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hidePivotFieldList="1"/>
  <mc:AlternateContent xmlns:mc="http://schemas.openxmlformats.org/markup-compatibility/2006">
    <mc:Choice Requires="x15">
      <x15ac:absPath xmlns:x15ac="http://schemas.microsoft.com/office/spreadsheetml/2010/11/ac" url="https://mhclg.sharepoint.com/sites/LGFdatacollection/Shared Documents/Local Tax/Council Tax Requirement (CTR)/CTR 26-27/Forms to LAs/Forms/To ecomms/"/>
    </mc:Choice>
  </mc:AlternateContent>
  <xr:revisionPtr revIDLastSave="26" documentId="8_{6B490805-1D44-44BC-A945-B118FDD07FF6}" xr6:coauthVersionLast="47" xr6:coauthVersionMax="47" xr10:uidLastSave="{DEA45402-80E9-451B-A01E-54F560120786}"/>
  <bookViews>
    <workbookView xWindow="19090" yWindow="-110" windowWidth="22780" windowHeight="14540" tabRatio="911" activeTab="2" xr2:uid="{00000000-000D-0000-FFFF-FFFF00000000}"/>
  </bookViews>
  <sheets>
    <sheet name="Upload_Data_CTR1_Billing" sheetId="32497" r:id="rId1"/>
    <sheet name="Upload_Data_CTR1_Local" sheetId="32498" r:id="rId2"/>
    <sheet name="Instructions" sheetId="32446" r:id="rId3"/>
    <sheet name="CTR1_Billing" sheetId="32488" r:id="rId4"/>
    <sheet name="CTR1_Local" sheetId="32451" r:id="rId5"/>
    <sheet name="Main_Validation" sheetId="32458" r:id="rId6"/>
    <sheet name="Local_Validation" sheetId="32457" r:id="rId7"/>
    <sheet name="Data" sheetId="32494" state="veryHidden" r:id="rId8"/>
    <sheet name="CTR1 Data Previous Year" sheetId="32492" state="veryHidden" r:id="rId9"/>
    <sheet name="Local Data Previous Year" sheetId="32485" state="veryHidden" r:id="rId10"/>
    <sheet name="CTR1 Precept Data Previous Year" sheetId="32460" state="veryHidden" r:id="rId11"/>
    <sheet name="MergersUnitaries" sheetId="32475" state="veryHidden" r:id="rId1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 hidden="1">#REF!</definedName>
    <definedName name="_xlnm._FilterDatabase" localSheetId="7" hidden="1">Data!$A$5:$AW$302</definedName>
    <definedName name="_xlnm._FilterDatabase" localSheetId="9" hidden="1">'Local Data Previous Year'!$A$2:$J$10237</definedName>
    <definedName name="_xlnm._FilterDatabase" localSheetId="11" hidden="1">MergersUnitaries!$A$1:$AG$1</definedName>
    <definedName name="_xlnm._FilterDatabase" hidden="1">#REF!</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CTRprint1" localSheetId="4">CTR1_Local!$B$1:$K$12</definedName>
    <definedName name="CTRprint1">CTR1_Billing!$B$1:$I$118</definedName>
    <definedName name="CTRprint2" localSheetId="4">CTR1_Local!$B$27:$K$710</definedName>
    <definedName name="CTRprint2">CTR1_Billing!$B$119:$I$191</definedName>
    <definedName name="datar" localSheetId="7">Data!$A$6:$AJ$302</definedName>
    <definedName name="datar">Data!$A$6:$AJ$302</definedName>
    <definedName name="detruse" localSheetId="3">CTR1_Billing!$N$235:$AQ$235</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2" hidden="1">{"'Trust by name'!$A$6:$E$350","'Trust by name'!$A$1:$D$348"}</definedName>
    <definedName name="eh_3" hidden="1">{"'Trust by name'!$A$6:$E$350","'Trust by name'!$A$1:$D$348"}</definedName>
    <definedName name="eh_4" hidden="1">{"'Trust by name'!$A$6:$E$350","'Trust by name'!$A$1:$D$348"}</definedName>
    <definedName name="eh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2" hidden="1">{"'Trust by name'!$A$6:$E$350","'Trust by name'!$A$1:$D$348"}</definedName>
    <definedName name="HTML_Control_3" hidden="1">{"'Trust by name'!$A$6:$E$350","'Trust by name'!$A$1:$D$348"}</definedName>
    <definedName name="HTML_Control_4" hidden="1">{"'Trust by name'!$A$6:$E$350","'Trust by name'!$A$1:$D$348"}</definedName>
    <definedName name="HTML_Control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LAcodes" localSheetId="7">Data!$D$8:$D$305</definedName>
    <definedName name="LAlist" localSheetId="7">Data!$B$8:$B$305</definedName>
    <definedName name="MHCLG_CONTROL">#REF!</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Pal_Workbook_GUID" hidden="1">"N7IQZZD5YBE28RGZHB5UQVKH"</definedName>
    <definedName name="_xlnm.Print_Area" localSheetId="3">CTR1_Billing!$A$1:$K$140</definedName>
    <definedName name="_xlnm.Print_Area" localSheetId="4">CTR1_Local!$A$1:$Y$708</definedName>
    <definedName name="_xlnm.Print_Area" localSheetId="2">Instructions!$A$1:$D$50</definedName>
    <definedName name="_xlnm.Print_Area" localSheetId="6">Local_Validation!$A$1:$L$23</definedName>
    <definedName name="_xlnm.Print_Area" localSheetId="5">Main_Validation!$A$1:$N$58</definedName>
    <definedName name="_xlnm.Print_Titles" localSheetId="3">CTR1_Billing!$1:$12</definedName>
    <definedName name="_xlnm.Print_Titles" localSheetId="4">CTR1_Local!$29:$31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able" localSheetId="7">Data!$A$6:$D$305</definedName>
    <definedName name="Table">#REF!</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2" hidden="1">{#N/A,#N/A,FALSE,"CGBR95C"}</definedName>
    <definedName name="wrn.table1._3" hidden="1">{#N/A,#N/A,FALSE,"CGBR95C"}</definedName>
    <definedName name="wrn.table1._4" hidden="1">{#N/A,#N/A,FALSE,"CGBR95C"}</definedName>
    <definedName name="wrn.table1._5" hidden="1">{#N/A,#N/A,FALSE,"CGBR95C"}</definedName>
    <definedName name="wrn.table2." hidden="1">{#N/A,#N/A,FALSE,"CGBR95C"}</definedName>
    <definedName name="wrn.table2._1" hidden="1">{#N/A,#N/A,FALSE,"CGBR95C"}</definedName>
    <definedName name="wrn.table2._2" hidden="1">{#N/A,#N/A,FALSE,"CGBR95C"}</definedName>
    <definedName name="wrn.table2._3" hidden="1">{#N/A,#N/A,FALSE,"CGBR95C"}</definedName>
    <definedName name="wrn.table2._4" hidden="1">{#N/A,#N/A,FALSE,"CGBR95C"}</definedName>
    <definedName name="wrn.table2._5" hidden="1">{#N/A,#N/A,FALSE,"CGBR95C"}</definedName>
    <definedName name="wrn.tablea." hidden="1">{#N/A,#N/A,FALSE,"CGBR95C"}</definedName>
    <definedName name="wrn.tablea._1" hidden="1">{#N/A,#N/A,FALSE,"CGBR95C"}</definedName>
    <definedName name="wrn.tablea._2" hidden="1">{#N/A,#N/A,FALSE,"CGBR95C"}</definedName>
    <definedName name="wrn.tablea._3" hidden="1">{#N/A,#N/A,FALSE,"CGBR95C"}</definedName>
    <definedName name="wrn.tablea._4" hidden="1">{#N/A,#N/A,FALSE,"CGBR95C"}</definedName>
    <definedName name="wrn.tablea._5" hidden="1">{#N/A,#N/A,FALSE,"CGBR95C"}</definedName>
    <definedName name="wrn.tableb." hidden="1">{#N/A,#N/A,FALSE,"CGBR95C"}</definedName>
    <definedName name="wrn.tableb._1" hidden="1">{#N/A,#N/A,FALSE,"CGBR95C"}</definedName>
    <definedName name="wrn.tableb._2" hidden="1">{#N/A,#N/A,FALSE,"CGBR95C"}</definedName>
    <definedName name="wrn.tableb._3" hidden="1">{#N/A,#N/A,FALSE,"CGBR95C"}</definedName>
    <definedName name="wrn.tableb._4" hidden="1">{#N/A,#N/A,FALSE,"CGBR95C"}</definedName>
    <definedName name="wrn.tableb._5" hidden="1">{#N/A,#N/A,FALSE,"CGBR95C"}</definedName>
    <definedName name="wrn.tableq." hidden="1">{#N/A,#N/A,FALSE,"CGBR95C"}</definedName>
    <definedName name="wrn.tableq._1" hidden="1">{#N/A,#N/A,FALSE,"CGBR95C"}</definedName>
    <definedName name="wrn.tableq._2" hidden="1">{#N/A,#N/A,FALSE,"CGBR95C"}</definedName>
    <definedName name="wrn.tableq._3" hidden="1">{#N/A,#N/A,FALSE,"CGBR95C"}</definedName>
    <definedName name="wrn.tableq._4" hidden="1">{#N/A,#N/A,FALSE,"CGBR95C"}</definedName>
    <definedName name="wrn.tableq.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3" i="32494" l="1"/>
  <c r="AL19" i="32494"/>
  <c r="AL14" i="32494"/>
  <c r="AM18" i="32494"/>
  <c r="AM17" i="32494"/>
  <c r="AM16" i="32494"/>
  <c r="AM15" i="32494"/>
  <c r="AM14" i="32494"/>
  <c r="AL13" i="32494"/>
  <c r="AL15" i="32494"/>
  <c r="AL16" i="32494"/>
  <c r="AL17" i="32494"/>
  <c r="AL18" i="32494"/>
  <c r="AL20" i="32494"/>
  <c r="AL21" i="32494"/>
  <c r="AL22" i="32494"/>
  <c r="AL23" i="32494"/>
  <c r="AL24" i="32494"/>
  <c r="AL25" i="32494"/>
  <c r="AL26" i="32494"/>
  <c r="AL27" i="32494"/>
  <c r="AL28" i="32494"/>
  <c r="AL29" i="32494"/>
  <c r="AL30" i="32494"/>
  <c r="AL31" i="32494"/>
  <c r="AL32" i="32494"/>
  <c r="AL33" i="32494"/>
  <c r="H34" i="32488" l="1"/>
  <c r="H46" i="32488"/>
  <c r="E21" i="32488" a="1"/>
  <c r="E21" i="32488" s="1"/>
  <c r="E20" i="32488" a="1"/>
  <c r="E20" i="32488" s="1"/>
  <c r="C114" i="32488"/>
  <c r="C37" i="32458" s="1"/>
  <c r="C112" i="32488"/>
  <c r="C34" i="32458" s="1"/>
  <c r="C110" i="32488"/>
  <c r="C31" i="32458" s="1"/>
  <c r="C108" i="32488"/>
  <c r="C28" i="32458" s="1"/>
  <c r="L66" i="32488" l="1"/>
  <c r="E33" i="32451" a="1"/>
  <c r="E33" i="32451" s="1"/>
  <c r="E698" i="32451" a="1"/>
  <c r="E698" i="32451" s="1"/>
  <c r="E114" i="32488"/>
  <c r="J21" i="32451"/>
  <c r="X36" i="32451"/>
  <c r="X48" i="32451"/>
  <c r="X60" i="32451"/>
  <c r="X72" i="32451"/>
  <c r="X84" i="32451"/>
  <c r="X96" i="32451"/>
  <c r="X108" i="32451"/>
  <c r="X120" i="32451"/>
  <c r="X132" i="32451"/>
  <c r="X144" i="32451"/>
  <c r="X156" i="32451"/>
  <c r="X168" i="32451"/>
  <c r="X180" i="32451"/>
  <c r="X192" i="32451"/>
  <c r="X204" i="32451"/>
  <c r="X216" i="32451"/>
  <c r="X228" i="32451"/>
  <c r="X240" i="32451"/>
  <c r="X252" i="32451"/>
  <c r="X264" i="32451"/>
  <c r="X276" i="32451"/>
  <c r="X288" i="32451"/>
  <c r="X300" i="32451"/>
  <c r="X312" i="32451"/>
  <c r="X324" i="32451"/>
  <c r="X336" i="32451"/>
  <c r="X348" i="32451"/>
  <c r="X360" i="32451"/>
  <c r="X372" i="32451"/>
  <c r="X384" i="32451"/>
  <c r="X396" i="32451"/>
  <c r="X408" i="32451"/>
  <c r="X420" i="32451"/>
  <c r="X432" i="32451"/>
  <c r="X444" i="32451"/>
  <c r="X456" i="32451"/>
  <c r="X468" i="32451"/>
  <c r="X480" i="32451"/>
  <c r="X492" i="32451"/>
  <c r="X504" i="32451"/>
  <c r="X516" i="32451"/>
  <c r="X528" i="32451"/>
  <c r="X540" i="32451"/>
  <c r="X552" i="32451"/>
  <c r="X564" i="32451"/>
  <c r="X576" i="32451"/>
  <c r="X588" i="32451"/>
  <c r="X600" i="32451"/>
  <c r="X612" i="32451"/>
  <c r="X624" i="32451"/>
  <c r="X636" i="32451"/>
  <c r="X648" i="32451"/>
  <c r="X660" i="32451"/>
  <c r="X672" i="32451"/>
  <c r="X684" i="32451"/>
  <c r="X696" i="32451"/>
  <c r="J24" i="32451"/>
  <c r="X37" i="32451"/>
  <c r="X49" i="32451"/>
  <c r="X61" i="32451"/>
  <c r="X73" i="32451"/>
  <c r="X85" i="32451"/>
  <c r="X97" i="32451"/>
  <c r="X109" i="32451"/>
  <c r="X121" i="32451"/>
  <c r="X133" i="32451"/>
  <c r="X145" i="32451"/>
  <c r="X157" i="32451"/>
  <c r="X169" i="32451"/>
  <c r="X181" i="32451"/>
  <c r="X193" i="32451"/>
  <c r="X205" i="32451"/>
  <c r="X217" i="32451"/>
  <c r="X229" i="32451"/>
  <c r="X241" i="32451"/>
  <c r="X253" i="32451"/>
  <c r="X265" i="32451"/>
  <c r="X277" i="32451"/>
  <c r="X289" i="32451"/>
  <c r="X301" i="32451"/>
  <c r="X313" i="32451"/>
  <c r="X325" i="32451"/>
  <c r="X337" i="32451"/>
  <c r="X349" i="32451"/>
  <c r="X361" i="32451"/>
  <c r="X373" i="32451"/>
  <c r="X385" i="32451"/>
  <c r="X397" i="32451"/>
  <c r="X409" i="32451"/>
  <c r="X421" i="32451"/>
  <c r="X433" i="32451"/>
  <c r="X445" i="32451"/>
  <c r="X457" i="32451"/>
  <c r="X469" i="32451"/>
  <c r="X481" i="32451"/>
  <c r="X493" i="32451"/>
  <c r="X505" i="32451"/>
  <c r="X517" i="32451"/>
  <c r="X529" i="32451"/>
  <c r="X541" i="32451"/>
  <c r="X553" i="32451"/>
  <c r="X565" i="32451"/>
  <c r="X577" i="32451"/>
  <c r="X589" i="32451"/>
  <c r="X601" i="32451"/>
  <c r="X613" i="32451"/>
  <c r="X625" i="32451"/>
  <c r="X637" i="32451"/>
  <c r="X649" i="32451"/>
  <c r="X661" i="32451"/>
  <c r="X673" i="32451"/>
  <c r="X685" i="32451"/>
  <c r="X697" i="32451"/>
  <c r="AC17" i="32451"/>
  <c r="X38" i="32451"/>
  <c r="X50" i="32451"/>
  <c r="X62" i="32451"/>
  <c r="X74" i="32451"/>
  <c r="X86" i="32451"/>
  <c r="X98" i="32451"/>
  <c r="X110" i="32451"/>
  <c r="X122" i="32451"/>
  <c r="X134" i="32451"/>
  <c r="X146" i="32451"/>
  <c r="X158" i="32451"/>
  <c r="X170" i="32451"/>
  <c r="X182" i="32451"/>
  <c r="X194" i="32451"/>
  <c r="X206" i="32451"/>
  <c r="X218" i="32451"/>
  <c r="X230" i="32451"/>
  <c r="X242" i="32451"/>
  <c r="X254" i="32451"/>
  <c r="X266" i="32451"/>
  <c r="X278" i="32451"/>
  <c r="X290" i="32451"/>
  <c r="X302" i="32451"/>
  <c r="X314" i="32451"/>
  <c r="X326" i="32451"/>
  <c r="X338" i="32451"/>
  <c r="X350" i="32451"/>
  <c r="X362" i="32451"/>
  <c r="X374" i="32451"/>
  <c r="X386" i="32451"/>
  <c r="X398" i="32451"/>
  <c r="X410" i="32451"/>
  <c r="X422" i="32451"/>
  <c r="X434" i="32451"/>
  <c r="X446" i="32451"/>
  <c r="X458" i="32451"/>
  <c r="X470" i="32451"/>
  <c r="X482" i="32451"/>
  <c r="X494" i="32451"/>
  <c r="X506" i="32451"/>
  <c r="X518" i="32451"/>
  <c r="X530" i="32451"/>
  <c r="X542" i="32451"/>
  <c r="X554" i="32451"/>
  <c r="X566" i="32451"/>
  <c r="X578" i="32451"/>
  <c r="X590" i="32451"/>
  <c r="X602" i="32451"/>
  <c r="X614" i="32451"/>
  <c r="X626" i="32451"/>
  <c r="X638" i="32451"/>
  <c r="X650" i="32451"/>
  <c r="X662" i="32451"/>
  <c r="X674" i="32451"/>
  <c r="X686" i="32451"/>
  <c r="X698" i="32451"/>
  <c r="AC19" i="32451"/>
  <c r="X39" i="32451"/>
  <c r="X51" i="32451"/>
  <c r="X63" i="32451"/>
  <c r="X75" i="32451"/>
  <c r="X87" i="32451"/>
  <c r="X99" i="32451"/>
  <c r="X111" i="32451"/>
  <c r="X123" i="32451"/>
  <c r="X135" i="32451"/>
  <c r="X147" i="32451"/>
  <c r="X159" i="32451"/>
  <c r="X171" i="32451"/>
  <c r="X183" i="32451"/>
  <c r="X195" i="32451"/>
  <c r="X207" i="32451"/>
  <c r="X219" i="32451"/>
  <c r="X231" i="32451"/>
  <c r="X243" i="32451"/>
  <c r="X255" i="32451"/>
  <c r="X267" i="32451"/>
  <c r="X279" i="32451"/>
  <c r="X291" i="32451"/>
  <c r="X303" i="32451"/>
  <c r="X315" i="32451"/>
  <c r="X327" i="32451"/>
  <c r="X339" i="32451"/>
  <c r="X351" i="32451"/>
  <c r="X363" i="32451"/>
  <c r="X375" i="32451"/>
  <c r="X387" i="32451"/>
  <c r="X399" i="32451"/>
  <c r="X411" i="32451"/>
  <c r="X423" i="32451"/>
  <c r="X435" i="32451"/>
  <c r="X447" i="32451"/>
  <c r="X459" i="32451"/>
  <c r="X471" i="32451"/>
  <c r="X483" i="32451"/>
  <c r="X495" i="32451"/>
  <c r="X507" i="32451"/>
  <c r="X519" i="32451"/>
  <c r="X531" i="32451"/>
  <c r="X543" i="32451"/>
  <c r="X555" i="32451"/>
  <c r="X567" i="32451"/>
  <c r="X579" i="32451"/>
  <c r="X591" i="32451"/>
  <c r="X603" i="32451"/>
  <c r="X615" i="32451"/>
  <c r="X627" i="32451"/>
  <c r="X639" i="32451"/>
  <c r="X651" i="32451"/>
  <c r="X663" i="32451"/>
  <c r="X675" i="32451"/>
  <c r="X687" i="32451"/>
  <c r="X699" i="32451"/>
  <c r="AE17" i="32451"/>
  <c r="X40" i="32451"/>
  <c r="X52" i="32451"/>
  <c r="X64" i="32451"/>
  <c r="X76" i="32451"/>
  <c r="X88" i="32451"/>
  <c r="X100" i="32451"/>
  <c r="X112" i="32451"/>
  <c r="X124" i="32451"/>
  <c r="X136" i="32451"/>
  <c r="X148" i="32451"/>
  <c r="X160" i="32451"/>
  <c r="X172" i="32451"/>
  <c r="X184" i="32451"/>
  <c r="X196" i="32451"/>
  <c r="X208" i="32451"/>
  <c r="X220" i="32451"/>
  <c r="X232" i="32451"/>
  <c r="X244" i="32451"/>
  <c r="X256" i="32451"/>
  <c r="X268" i="32451"/>
  <c r="X280" i="32451"/>
  <c r="X292" i="32451"/>
  <c r="X304" i="32451"/>
  <c r="X316" i="32451"/>
  <c r="X328" i="32451"/>
  <c r="X340" i="32451"/>
  <c r="X352" i="32451"/>
  <c r="X364" i="32451"/>
  <c r="X376" i="32451"/>
  <c r="X388" i="32451"/>
  <c r="X400" i="32451"/>
  <c r="X412" i="32451"/>
  <c r="X424" i="32451"/>
  <c r="X436" i="32451"/>
  <c r="X448" i="32451"/>
  <c r="X460" i="32451"/>
  <c r="X472" i="32451"/>
  <c r="X484" i="32451"/>
  <c r="X496" i="32451"/>
  <c r="X508" i="32451"/>
  <c r="X520" i="32451"/>
  <c r="X532" i="32451"/>
  <c r="X544" i="32451"/>
  <c r="X556" i="32451"/>
  <c r="X568" i="32451"/>
  <c r="X580" i="32451"/>
  <c r="X592" i="32451"/>
  <c r="X604" i="32451"/>
  <c r="X616" i="32451"/>
  <c r="X628" i="32451"/>
  <c r="X640" i="32451"/>
  <c r="X652" i="32451"/>
  <c r="X664" i="32451"/>
  <c r="X676" i="32451"/>
  <c r="X688" i="32451"/>
  <c r="X700" i="32451"/>
  <c r="AE19" i="32451"/>
  <c r="X41" i="32451"/>
  <c r="X53" i="32451"/>
  <c r="X65" i="32451"/>
  <c r="X77" i="32451"/>
  <c r="X89" i="32451"/>
  <c r="X101" i="32451"/>
  <c r="X113" i="32451"/>
  <c r="X125" i="32451"/>
  <c r="X137" i="32451"/>
  <c r="X149" i="32451"/>
  <c r="X161" i="32451"/>
  <c r="X173" i="32451"/>
  <c r="X185" i="32451"/>
  <c r="X197" i="32451"/>
  <c r="X209" i="32451"/>
  <c r="X221" i="32451"/>
  <c r="X233" i="32451"/>
  <c r="X245" i="32451"/>
  <c r="X257" i="32451"/>
  <c r="X269" i="32451"/>
  <c r="X281" i="32451"/>
  <c r="X293" i="32451"/>
  <c r="X305" i="32451"/>
  <c r="X317" i="32451"/>
  <c r="X329" i="32451"/>
  <c r="X341" i="32451"/>
  <c r="X353" i="32451"/>
  <c r="X365" i="32451"/>
  <c r="X377" i="32451"/>
  <c r="X389" i="32451"/>
  <c r="X401" i="32451"/>
  <c r="X413" i="32451"/>
  <c r="X425" i="32451"/>
  <c r="X437" i="32451"/>
  <c r="X449" i="32451"/>
  <c r="X461" i="32451"/>
  <c r="X473" i="32451"/>
  <c r="X485" i="32451"/>
  <c r="X497" i="32451"/>
  <c r="X509" i="32451"/>
  <c r="X521" i="32451"/>
  <c r="X533" i="32451"/>
  <c r="X545" i="32451"/>
  <c r="X557" i="32451"/>
  <c r="X569" i="32451"/>
  <c r="X581" i="32451"/>
  <c r="X593" i="32451"/>
  <c r="X605" i="32451"/>
  <c r="X617" i="32451"/>
  <c r="X629" i="32451"/>
  <c r="X641" i="32451"/>
  <c r="X653" i="32451"/>
  <c r="X665" i="32451"/>
  <c r="X677" i="32451"/>
  <c r="X689" i="32451"/>
  <c r="X701" i="32451"/>
  <c r="AC21" i="32451"/>
  <c r="X42" i="32451"/>
  <c r="X54" i="32451"/>
  <c r="X66" i="32451"/>
  <c r="X78" i="32451"/>
  <c r="X90" i="32451"/>
  <c r="X102" i="32451"/>
  <c r="X114" i="32451"/>
  <c r="X126" i="32451"/>
  <c r="X138" i="32451"/>
  <c r="X150" i="32451"/>
  <c r="X162" i="32451"/>
  <c r="X174" i="32451"/>
  <c r="X186" i="32451"/>
  <c r="X198" i="32451"/>
  <c r="X210" i="32451"/>
  <c r="X222" i="32451"/>
  <c r="X234" i="32451"/>
  <c r="X246" i="32451"/>
  <c r="X258" i="32451"/>
  <c r="X270" i="32451"/>
  <c r="X282" i="32451"/>
  <c r="X294" i="32451"/>
  <c r="X306" i="32451"/>
  <c r="X318" i="32451"/>
  <c r="X330" i="32451"/>
  <c r="X342" i="32451"/>
  <c r="X354" i="32451"/>
  <c r="X366" i="32451"/>
  <c r="X378" i="32451"/>
  <c r="X390" i="32451"/>
  <c r="X402" i="32451"/>
  <c r="X414" i="32451"/>
  <c r="X426" i="32451"/>
  <c r="X438" i="32451"/>
  <c r="X450" i="32451"/>
  <c r="X462" i="32451"/>
  <c r="X474" i="32451"/>
  <c r="X486" i="32451"/>
  <c r="X498" i="32451"/>
  <c r="X510" i="32451"/>
  <c r="X522" i="32451"/>
  <c r="X534" i="32451"/>
  <c r="X546" i="32451"/>
  <c r="X558" i="32451"/>
  <c r="X570" i="32451"/>
  <c r="X582" i="32451"/>
  <c r="X594" i="32451"/>
  <c r="X606" i="32451"/>
  <c r="X618" i="32451"/>
  <c r="X630" i="32451"/>
  <c r="X642" i="32451"/>
  <c r="X654" i="32451"/>
  <c r="X666" i="32451"/>
  <c r="X678" i="32451"/>
  <c r="X690" i="32451"/>
  <c r="X702" i="32451"/>
  <c r="H17" i="32451"/>
  <c r="AE21" i="32451"/>
  <c r="X43" i="32451"/>
  <c r="X55" i="32451"/>
  <c r="X67" i="32451"/>
  <c r="X79" i="32451"/>
  <c r="X91" i="32451"/>
  <c r="X103" i="32451"/>
  <c r="X115" i="32451"/>
  <c r="X127" i="32451"/>
  <c r="X139" i="32451"/>
  <c r="X151" i="32451"/>
  <c r="X163" i="32451"/>
  <c r="X175" i="32451"/>
  <c r="X187" i="32451"/>
  <c r="X199" i="32451"/>
  <c r="X211" i="32451"/>
  <c r="X223" i="32451"/>
  <c r="X235" i="32451"/>
  <c r="X247" i="32451"/>
  <c r="X259" i="32451"/>
  <c r="X271" i="32451"/>
  <c r="X283" i="32451"/>
  <c r="X295" i="32451"/>
  <c r="X307" i="32451"/>
  <c r="X319" i="32451"/>
  <c r="X331" i="32451"/>
  <c r="X343" i="32451"/>
  <c r="X355" i="32451"/>
  <c r="X367" i="32451"/>
  <c r="X379" i="32451"/>
  <c r="X391" i="32451"/>
  <c r="X403" i="32451"/>
  <c r="X415" i="32451"/>
  <c r="X427" i="32451"/>
  <c r="X439" i="32451"/>
  <c r="X451" i="32451"/>
  <c r="X463" i="32451"/>
  <c r="X475" i="32451"/>
  <c r="X487" i="32451"/>
  <c r="X499" i="32451"/>
  <c r="X511" i="32451"/>
  <c r="X523" i="32451"/>
  <c r="X535" i="32451"/>
  <c r="X547" i="32451"/>
  <c r="X559" i="32451"/>
  <c r="X571" i="32451"/>
  <c r="X583" i="32451"/>
  <c r="X595" i="32451"/>
  <c r="X607" i="32451"/>
  <c r="X619" i="32451"/>
  <c r="X631" i="32451"/>
  <c r="X643" i="32451"/>
  <c r="X655" i="32451"/>
  <c r="X667" i="32451"/>
  <c r="X679" i="32451"/>
  <c r="X691" i="32451"/>
  <c r="X703" i="32451"/>
  <c r="H19" i="32451"/>
  <c r="AE24" i="32451"/>
  <c r="X44" i="32451"/>
  <c r="X56" i="32451"/>
  <c r="X68" i="32451"/>
  <c r="X80" i="32451"/>
  <c r="X92" i="32451"/>
  <c r="X104" i="32451"/>
  <c r="X116" i="32451"/>
  <c r="X128" i="32451"/>
  <c r="X140" i="32451"/>
  <c r="X152" i="32451"/>
  <c r="X164" i="32451"/>
  <c r="X176" i="32451"/>
  <c r="X188" i="32451"/>
  <c r="X200" i="32451"/>
  <c r="X212" i="32451"/>
  <c r="X224" i="32451"/>
  <c r="X236" i="32451"/>
  <c r="X248" i="32451"/>
  <c r="X260" i="32451"/>
  <c r="X272" i="32451"/>
  <c r="X284" i="32451"/>
  <c r="X296" i="32451"/>
  <c r="X308" i="32451"/>
  <c r="X320" i="32451"/>
  <c r="X332" i="32451"/>
  <c r="X344" i="32451"/>
  <c r="X356" i="32451"/>
  <c r="X368" i="32451"/>
  <c r="X380" i="32451"/>
  <c r="X392" i="32451"/>
  <c r="X404" i="32451"/>
  <c r="X416" i="32451"/>
  <c r="X428" i="32451"/>
  <c r="X440" i="32451"/>
  <c r="X452" i="32451"/>
  <c r="X464" i="32451"/>
  <c r="X476" i="32451"/>
  <c r="X488" i="32451"/>
  <c r="X500" i="32451"/>
  <c r="X512" i="32451"/>
  <c r="X524" i="32451"/>
  <c r="X536" i="32451"/>
  <c r="X548" i="32451"/>
  <c r="X560" i="32451"/>
  <c r="X572" i="32451"/>
  <c r="X584" i="32451"/>
  <c r="X596" i="32451"/>
  <c r="X608" i="32451"/>
  <c r="X620" i="32451"/>
  <c r="X632" i="32451"/>
  <c r="X644" i="32451"/>
  <c r="X656" i="32451"/>
  <c r="X668" i="32451"/>
  <c r="X680" i="32451"/>
  <c r="X692" i="32451"/>
  <c r="X704" i="32451"/>
  <c r="H21" i="32451"/>
  <c r="X33" i="32451"/>
  <c r="X45" i="32451"/>
  <c r="X57" i="32451"/>
  <c r="X69" i="32451"/>
  <c r="X81" i="32451"/>
  <c r="X93" i="32451"/>
  <c r="X105" i="32451"/>
  <c r="X117" i="32451"/>
  <c r="X129" i="32451"/>
  <c r="X141" i="32451"/>
  <c r="X153" i="32451"/>
  <c r="X165" i="32451"/>
  <c r="X177" i="32451"/>
  <c r="X189" i="32451"/>
  <c r="X201" i="32451"/>
  <c r="X213" i="32451"/>
  <c r="X225" i="32451"/>
  <c r="X237" i="32451"/>
  <c r="X249" i="32451"/>
  <c r="X261" i="32451"/>
  <c r="X273" i="32451"/>
  <c r="X285" i="32451"/>
  <c r="X297" i="32451"/>
  <c r="X309" i="32451"/>
  <c r="X321" i="32451"/>
  <c r="X333" i="32451"/>
  <c r="X345" i="32451"/>
  <c r="X357" i="32451"/>
  <c r="X369" i="32451"/>
  <c r="X381" i="32451"/>
  <c r="X393" i="32451"/>
  <c r="X405" i="32451"/>
  <c r="X417" i="32451"/>
  <c r="X429" i="32451"/>
  <c r="X441" i="32451"/>
  <c r="X453" i="32451"/>
  <c r="X465" i="32451"/>
  <c r="X477" i="32451"/>
  <c r="X489" i="32451"/>
  <c r="X501" i="32451"/>
  <c r="X513" i="32451"/>
  <c r="X525" i="32451"/>
  <c r="X537" i="32451"/>
  <c r="X549" i="32451"/>
  <c r="X561" i="32451"/>
  <c r="X573" i="32451"/>
  <c r="X585" i="32451"/>
  <c r="X597" i="32451"/>
  <c r="X609" i="32451"/>
  <c r="X621" i="32451"/>
  <c r="X633" i="32451"/>
  <c r="X645" i="32451"/>
  <c r="X657" i="32451"/>
  <c r="X669" i="32451"/>
  <c r="X681" i="32451"/>
  <c r="X693" i="32451"/>
  <c r="X705" i="32451"/>
  <c r="J17" i="32451"/>
  <c r="X34" i="32451"/>
  <c r="X46" i="32451"/>
  <c r="X58" i="32451"/>
  <c r="X70" i="32451"/>
  <c r="X82" i="32451"/>
  <c r="X94" i="32451"/>
  <c r="X106" i="32451"/>
  <c r="X118" i="32451"/>
  <c r="X130" i="32451"/>
  <c r="X142" i="32451"/>
  <c r="X154" i="32451"/>
  <c r="X166" i="32451"/>
  <c r="X178" i="32451"/>
  <c r="X190" i="32451"/>
  <c r="X202" i="32451"/>
  <c r="X214" i="32451"/>
  <c r="X226" i="32451"/>
  <c r="X238" i="32451"/>
  <c r="X250" i="32451"/>
  <c r="X262" i="32451"/>
  <c r="X274" i="32451"/>
  <c r="X286" i="32451"/>
  <c r="X298" i="32451"/>
  <c r="X310" i="32451"/>
  <c r="X322" i="32451"/>
  <c r="X334" i="32451"/>
  <c r="X346" i="32451"/>
  <c r="X358" i="32451"/>
  <c r="X370" i="32451"/>
  <c r="X382" i="32451"/>
  <c r="X394" i="32451"/>
  <c r="X406" i="32451"/>
  <c r="X418" i="32451"/>
  <c r="X430" i="32451"/>
  <c r="X442" i="32451"/>
  <c r="X454" i="32451"/>
  <c r="X466" i="32451"/>
  <c r="X478" i="32451"/>
  <c r="X490" i="32451"/>
  <c r="X502" i="32451"/>
  <c r="X514" i="32451"/>
  <c r="X526" i="32451"/>
  <c r="X538" i="32451"/>
  <c r="X550" i="32451"/>
  <c r="X562" i="32451"/>
  <c r="X574" i="32451"/>
  <c r="X586" i="32451"/>
  <c r="X598" i="32451"/>
  <c r="X610" i="32451"/>
  <c r="X622" i="32451"/>
  <c r="X634" i="32451"/>
  <c r="X646" i="32451"/>
  <c r="X658" i="32451"/>
  <c r="X670" i="32451"/>
  <c r="X682" i="32451"/>
  <c r="X694" i="32451"/>
  <c r="X706" i="32451"/>
  <c r="J19" i="32451"/>
  <c r="X35" i="32451"/>
  <c r="X47" i="32451"/>
  <c r="X59" i="32451"/>
  <c r="X71" i="32451"/>
  <c r="X83" i="32451"/>
  <c r="X95" i="32451"/>
  <c r="X107" i="32451"/>
  <c r="X119" i="32451"/>
  <c r="X131" i="32451"/>
  <c r="X143" i="32451"/>
  <c r="X155" i="32451"/>
  <c r="X167" i="32451"/>
  <c r="X179" i="32451"/>
  <c r="X191" i="32451"/>
  <c r="X203" i="32451"/>
  <c r="X215" i="32451"/>
  <c r="X227" i="32451"/>
  <c r="X239" i="32451"/>
  <c r="X251" i="32451"/>
  <c r="X263" i="32451"/>
  <c r="X275" i="32451"/>
  <c r="X287" i="32451"/>
  <c r="X299" i="32451"/>
  <c r="X311" i="32451"/>
  <c r="X323" i="32451"/>
  <c r="X335" i="32451"/>
  <c r="X347" i="32451"/>
  <c r="X359" i="32451"/>
  <c r="X371" i="32451"/>
  <c r="X383" i="32451"/>
  <c r="X395" i="32451"/>
  <c r="X407" i="32451"/>
  <c r="X419" i="32451"/>
  <c r="X431" i="32451"/>
  <c r="X443" i="32451"/>
  <c r="X455" i="32451"/>
  <c r="X467" i="32451"/>
  <c r="X479" i="32451"/>
  <c r="X491" i="32451"/>
  <c r="X503" i="32451"/>
  <c r="X515" i="32451"/>
  <c r="X527" i="32451"/>
  <c r="X539" i="32451"/>
  <c r="X551" i="32451"/>
  <c r="X563" i="32451"/>
  <c r="X575" i="32451"/>
  <c r="X587" i="32451"/>
  <c r="X599" i="32451"/>
  <c r="X611" i="32451"/>
  <c r="X623" i="32451"/>
  <c r="X635" i="32451"/>
  <c r="X647" i="32451"/>
  <c r="X659" i="32451"/>
  <c r="X671" i="32451"/>
  <c r="X683" i="32451"/>
  <c r="X695" i="32451"/>
  <c r="X707" i="32451"/>
  <c r="E112" i="32488"/>
  <c r="E108" i="32488"/>
  <c r="E110" i="32488"/>
  <c r="O80" i="32488"/>
  <c r="L84" i="32488"/>
  <c r="B80" i="32488"/>
  <c r="M87" i="32488"/>
  <c r="L83" i="32488"/>
  <c r="M86" i="32488"/>
  <c r="M85" i="32488"/>
  <c r="L81" i="32488"/>
  <c r="M84" i="32488"/>
  <c r="O87" i="32488"/>
  <c r="B87" i="32488"/>
  <c r="M82" i="32488"/>
  <c r="M81" i="32488"/>
  <c r="O84" i="32488"/>
  <c r="B84" i="32488"/>
  <c r="O83" i="32488"/>
  <c r="B83" i="32488"/>
  <c r="B82" i="32488"/>
  <c r="O81" i="32488"/>
  <c r="B81" i="32488"/>
  <c r="L82" i="32488"/>
  <c r="L80" i="32488"/>
  <c r="M83" i="32488"/>
  <c r="O86" i="32488"/>
  <c r="B86" i="32488"/>
  <c r="O85" i="32488"/>
  <c r="B85" i="32488"/>
  <c r="M80" i="32488"/>
  <c r="L87" i="32488"/>
  <c r="O82" i="32488"/>
  <c r="L86" i="32488"/>
  <c r="L85" i="32488"/>
  <c r="L72" i="32488"/>
  <c r="E21" i="32457"/>
  <c r="E20" i="32457"/>
  <c r="E19" i="32457"/>
  <c r="E18" i="32457"/>
  <c r="E17" i="32457"/>
  <c r="E16" i="32457"/>
  <c r="F43" i="32458"/>
  <c r="C52" i="32458" l="1"/>
  <c r="C49" i="32458"/>
  <c r="C46" i="32458"/>
  <c r="C22" i="32458"/>
  <c r="C25" i="32458"/>
  <c r="L6" i="32494"/>
  <c r="Y6" i="32494" l="1"/>
  <c r="Y7" i="32494" l="1"/>
  <c r="Y8" i="32494"/>
  <c r="Y9" i="32494"/>
  <c r="Y10" i="32494"/>
  <c r="Y11" i="32494"/>
  <c r="Y12" i="32494"/>
  <c r="Y13" i="32494"/>
  <c r="Y14" i="32494"/>
  <c r="Y15" i="32494"/>
  <c r="Y16" i="32494"/>
  <c r="Y17" i="32494"/>
  <c r="Y18" i="32494"/>
  <c r="Y19" i="32494"/>
  <c r="Y20" i="32494"/>
  <c r="Y21" i="32494"/>
  <c r="Y22" i="32494"/>
  <c r="Y23" i="32494"/>
  <c r="Y24" i="32494"/>
  <c r="Y25" i="32494"/>
  <c r="Y26" i="32494"/>
  <c r="Y27" i="32494"/>
  <c r="Y28" i="32494"/>
  <c r="Y29" i="32494"/>
  <c r="Y30" i="32494"/>
  <c r="Y31" i="32494"/>
  <c r="Y32" i="32494"/>
  <c r="Y33" i="32494"/>
  <c r="Y34" i="32494"/>
  <c r="Y35" i="32494"/>
  <c r="Y36" i="32494"/>
  <c r="Y37" i="32494"/>
  <c r="Y38" i="32494"/>
  <c r="Y39" i="32494"/>
  <c r="Y40" i="32494"/>
  <c r="Y41" i="32494"/>
  <c r="Y42" i="32494"/>
  <c r="Y43" i="32494"/>
  <c r="Y44" i="32494"/>
  <c r="Y45" i="32494"/>
  <c r="Y46" i="32494"/>
  <c r="Y47" i="32494"/>
  <c r="Y48" i="32494"/>
  <c r="Y49" i="32494"/>
  <c r="Y50" i="32494"/>
  <c r="Y51" i="32494"/>
  <c r="Y52" i="32494"/>
  <c r="Y53" i="32494"/>
  <c r="Y54" i="32494"/>
  <c r="Y55" i="32494"/>
  <c r="Y56" i="32494"/>
  <c r="Y57" i="32494"/>
  <c r="Y58" i="32494"/>
  <c r="Y59" i="32494"/>
  <c r="Y60" i="32494"/>
  <c r="Y61" i="32494"/>
  <c r="Y62" i="32494"/>
  <c r="Y63" i="32494"/>
  <c r="Y64" i="32494"/>
  <c r="Y65" i="32494"/>
  <c r="Y66" i="32494"/>
  <c r="Y67" i="32494"/>
  <c r="Y68" i="32494"/>
  <c r="Y69" i="32494"/>
  <c r="Y70" i="32494"/>
  <c r="Y71" i="32494"/>
  <c r="Y72" i="32494"/>
  <c r="Y73" i="32494"/>
  <c r="Y74" i="32494"/>
  <c r="Y75" i="32494"/>
  <c r="Y76" i="32494"/>
  <c r="Y77" i="32494"/>
  <c r="Y78" i="32494"/>
  <c r="Y79" i="32494"/>
  <c r="Y80" i="32494"/>
  <c r="Y81" i="32494"/>
  <c r="Y82" i="32494"/>
  <c r="Y83" i="32494"/>
  <c r="Y84" i="32494"/>
  <c r="Y85" i="32494"/>
  <c r="Y86" i="32494"/>
  <c r="Y87" i="32494"/>
  <c r="Y88" i="32494"/>
  <c r="Y89" i="32494"/>
  <c r="Y90" i="32494"/>
  <c r="Y91" i="32494"/>
  <c r="Y92" i="32494"/>
  <c r="Y93" i="32494"/>
  <c r="Y94" i="32494"/>
  <c r="Y95" i="32494"/>
  <c r="Y96" i="32494"/>
  <c r="Y97" i="32494"/>
  <c r="Y98" i="32494"/>
  <c r="Y99" i="32494"/>
  <c r="Y100" i="32494"/>
  <c r="Y101" i="32494"/>
  <c r="Y102" i="32494"/>
  <c r="Y103" i="32494"/>
  <c r="Y104" i="32494"/>
  <c r="Y105" i="32494"/>
  <c r="Y106" i="32494"/>
  <c r="Y107" i="32494"/>
  <c r="Y108" i="32494"/>
  <c r="Y109" i="32494"/>
  <c r="Y110" i="32494"/>
  <c r="Y111" i="32494"/>
  <c r="Y112" i="32494"/>
  <c r="Y113" i="32494"/>
  <c r="Y114" i="32494"/>
  <c r="Y115" i="32494"/>
  <c r="Y116" i="32494"/>
  <c r="Y117" i="32494"/>
  <c r="Y118" i="32494"/>
  <c r="Y119" i="32494"/>
  <c r="Y120" i="32494"/>
  <c r="Y121" i="32494"/>
  <c r="Y122" i="32494"/>
  <c r="Y123" i="32494"/>
  <c r="Y124" i="32494"/>
  <c r="Y125" i="32494"/>
  <c r="Y126" i="32494"/>
  <c r="Y127" i="32494"/>
  <c r="Y128" i="32494"/>
  <c r="Y129" i="32494"/>
  <c r="Y130" i="32494"/>
  <c r="Y131" i="32494"/>
  <c r="Y132" i="32494"/>
  <c r="Y133" i="32494"/>
  <c r="Y134" i="32494"/>
  <c r="Y135" i="32494"/>
  <c r="Y136" i="32494"/>
  <c r="Y137" i="32494"/>
  <c r="Y138" i="32494"/>
  <c r="Y139" i="32494"/>
  <c r="Y140" i="32494"/>
  <c r="Y141" i="32494"/>
  <c r="Y142" i="32494"/>
  <c r="Y143" i="32494"/>
  <c r="Y144" i="32494"/>
  <c r="Y145" i="32494"/>
  <c r="Y146" i="32494"/>
  <c r="Y147" i="32494"/>
  <c r="Y148" i="32494"/>
  <c r="Y149" i="32494"/>
  <c r="Y150" i="32494"/>
  <c r="Y151" i="32494"/>
  <c r="Y152" i="32494"/>
  <c r="Y153" i="32494"/>
  <c r="Y154" i="32494"/>
  <c r="Y155" i="32494"/>
  <c r="Y156" i="32494"/>
  <c r="Y157" i="32494"/>
  <c r="Y158" i="32494"/>
  <c r="Y159" i="32494"/>
  <c r="Y160" i="32494"/>
  <c r="Y161" i="32494"/>
  <c r="Y162" i="32494"/>
  <c r="Y163" i="32494"/>
  <c r="Y164" i="32494"/>
  <c r="Y165" i="32494"/>
  <c r="Y166" i="32494"/>
  <c r="Y167" i="32494"/>
  <c r="Y168" i="32494"/>
  <c r="Y169" i="32494"/>
  <c r="Y170" i="32494"/>
  <c r="Y171" i="32494"/>
  <c r="Y172" i="32494"/>
  <c r="Y173" i="32494"/>
  <c r="Y174" i="32494"/>
  <c r="Y175" i="32494"/>
  <c r="Y176" i="32494"/>
  <c r="Y177" i="32494"/>
  <c r="Y178" i="32494"/>
  <c r="Y179" i="32494"/>
  <c r="Y180" i="32494"/>
  <c r="Y181" i="32494"/>
  <c r="Y182" i="32494"/>
  <c r="Y183" i="32494"/>
  <c r="Y184" i="32494"/>
  <c r="Y185" i="32494"/>
  <c r="Y186" i="32494"/>
  <c r="Y187" i="32494"/>
  <c r="Y188" i="32494"/>
  <c r="Y189" i="32494"/>
  <c r="Y190" i="32494"/>
  <c r="Y191" i="32494"/>
  <c r="Y192" i="32494"/>
  <c r="Y193" i="32494"/>
  <c r="Y194" i="32494"/>
  <c r="Y195" i="32494"/>
  <c r="Y196" i="32494"/>
  <c r="Y197" i="32494"/>
  <c r="Y198" i="32494"/>
  <c r="Y199" i="32494"/>
  <c r="Y200" i="32494"/>
  <c r="Y201" i="32494"/>
  <c r="Y202" i="32494"/>
  <c r="Y203" i="32494"/>
  <c r="Y204" i="32494"/>
  <c r="Y205" i="32494"/>
  <c r="Y206" i="32494"/>
  <c r="Y207" i="32494"/>
  <c r="Y208" i="32494"/>
  <c r="Y209" i="32494"/>
  <c r="Y210" i="32494"/>
  <c r="Y211" i="32494"/>
  <c r="Y212" i="32494"/>
  <c r="Y213" i="32494"/>
  <c r="Y214" i="32494"/>
  <c r="Y215" i="32494"/>
  <c r="Y216" i="32494"/>
  <c r="Y217" i="32494"/>
  <c r="Y218" i="32494"/>
  <c r="Y219" i="32494"/>
  <c r="Y220" i="32494"/>
  <c r="Y221" i="32494"/>
  <c r="Y222" i="32494"/>
  <c r="Y223" i="32494"/>
  <c r="Y224" i="32494"/>
  <c r="Y225" i="32494"/>
  <c r="Y226" i="32494"/>
  <c r="Y227" i="32494"/>
  <c r="Y228" i="32494"/>
  <c r="Y229" i="32494"/>
  <c r="Y230" i="32494"/>
  <c r="Y231" i="32494"/>
  <c r="Y232" i="32494"/>
  <c r="Y233" i="32494"/>
  <c r="Y234" i="32494"/>
  <c r="Y235" i="32494"/>
  <c r="Y236" i="32494"/>
  <c r="Y237" i="32494"/>
  <c r="Y238" i="32494"/>
  <c r="Y239" i="32494"/>
  <c r="Y240" i="32494"/>
  <c r="Y241" i="32494"/>
  <c r="Y242" i="32494"/>
  <c r="Y243" i="32494"/>
  <c r="Y244" i="32494"/>
  <c r="Y245" i="32494"/>
  <c r="Y246" i="32494"/>
  <c r="Y247" i="32494"/>
  <c r="Y248" i="32494"/>
  <c r="Y249" i="32494"/>
  <c r="Y250" i="32494"/>
  <c r="Y251" i="32494"/>
  <c r="Y252" i="32494"/>
  <c r="Y253" i="32494"/>
  <c r="Y254" i="32494"/>
  <c r="Y255" i="32494"/>
  <c r="Y256" i="32494"/>
  <c r="Y257" i="32494"/>
  <c r="Y258" i="32494"/>
  <c r="Y259" i="32494"/>
  <c r="Y260" i="32494"/>
  <c r="Y261" i="32494"/>
  <c r="Y262" i="32494"/>
  <c r="Y263" i="32494"/>
  <c r="Y264" i="32494"/>
  <c r="Y265" i="32494"/>
  <c r="Y266" i="32494"/>
  <c r="Y267" i="32494"/>
  <c r="Y268" i="32494"/>
  <c r="Y269" i="32494"/>
  <c r="Y270" i="32494"/>
  <c r="Y271" i="32494"/>
  <c r="Y272" i="32494"/>
  <c r="Y273" i="32494"/>
  <c r="Y274" i="32494"/>
  <c r="Y275" i="32494"/>
  <c r="Y276" i="32494"/>
  <c r="Y277" i="32494"/>
  <c r="Y278" i="32494"/>
  <c r="Y279" i="32494"/>
  <c r="Y280" i="32494"/>
  <c r="Y281" i="32494"/>
  <c r="Y282" i="32494"/>
  <c r="Y283" i="32494"/>
  <c r="Y284" i="32494"/>
  <c r="Y285" i="32494"/>
  <c r="Y286" i="32494"/>
  <c r="Y287" i="32494"/>
  <c r="Y288" i="32494"/>
  <c r="Y289" i="32494"/>
  <c r="Y290" i="32494"/>
  <c r="Y291" i="32494"/>
  <c r="Y292" i="32494"/>
  <c r="Y293" i="32494"/>
  <c r="Y294" i="32494"/>
  <c r="Y295" i="32494"/>
  <c r="Y296" i="32494"/>
  <c r="Y297" i="32494"/>
  <c r="Y298" i="32494"/>
  <c r="Y299" i="32494"/>
  <c r="Y300" i="32494"/>
  <c r="Y301" i="32494"/>
  <c r="X7" i="32494"/>
  <c r="X8" i="32494"/>
  <c r="X9" i="32494"/>
  <c r="X10" i="32494"/>
  <c r="X11" i="32494"/>
  <c r="X12" i="32494"/>
  <c r="X13" i="32494"/>
  <c r="X14" i="32494"/>
  <c r="X15" i="32494"/>
  <c r="X16" i="32494"/>
  <c r="X17" i="32494"/>
  <c r="X18" i="32494"/>
  <c r="X19" i="32494"/>
  <c r="X20" i="32494"/>
  <c r="X21" i="32494"/>
  <c r="X22" i="32494"/>
  <c r="X23" i="32494"/>
  <c r="X24" i="32494"/>
  <c r="X25" i="32494"/>
  <c r="X26" i="32494"/>
  <c r="X27" i="32494"/>
  <c r="X28" i="32494"/>
  <c r="X29" i="32494"/>
  <c r="X30" i="32494"/>
  <c r="X31" i="32494"/>
  <c r="X32" i="32494"/>
  <c r="X33" i="32494"/>
  <c r="X34" i="32494"/>
  <c r="X35" i="32494"/>
  <c r="X36" i="32494"/>
  <c r="X37" i="32494"/>
  <c r="X38" i="32494"/>
  <c r="X39" i="32494"/>
  <c r="X40" i="32494"/>
  <c r="X41" i="32494"/>
  <c r="X42" i="32494"/>
  <c r="X43" i="32494"/>
  <c r="X44" i="32494"/>
  <c r="X45" i="32494"/>
  <c r="X46" i="32494"/>
  <c r="X47" i="32494"/>
  <c r="X48" i="32494"/>
  <c r="X49" i="32494"/>
  <c r="X50" i="32494"/>
  <c r="X51" i="32494"/>
  <c r="X52" i="32494"/>
  <c r="X53" i="32494"/>
  <c r="X54" i="32494"/>
  <c r="X55" i="32494"/>
  <c r="X56" i="32494"/>
  <c r="X57" i="32494"/>
  <c r="X58" i="32494"/>
  <c r="X59" i="32494"/>
  <c r="X60" i="32494"/>
  <c r="X61" i="32494"/>
  <c r="X62" i="32494"/>
  <c r="X63" i="32494"/>
  <c r="X64" i="32494"/>
  <c r="X65" i="32494"/>
  <c r="X66" i="32494"/>
  <c r="X67" i="32494"/>
  <c r="X68" i="32494"/>
  <c r="X69" i="32494"/>
  <c r="X70" i="32494"/>
  <c r="X71" i="32494"/>
  <c r="X72" i="32494"/>
  <c r="X73" i="32494"/>
  <c r="X74" i="32494"/>
  <c r="X75" i="32494"/>
  <c r="X76" i="32494"/>
  <c r="X77" i="32494"/>
  <c r="X78" i="32494"/>
  <c r="X79" i="32494"/>
  <c r="X80" i="32494"/>
  <c r="X81" i="32494"/>
  <c r="X82" i="32494"/>
  <c r="X83" i="32494"/>
  <c r="X84" i="32494"/>
  <c r="X85" i="32494"/>
  <c r="X86" i="32494"/>
  <c r="X87" i="32494"/>
  <c r="X88" i="32494"/>
  <c r="X89" i="32494"/>
  <c r="X90" i="32494"/>
  <c r="X91" i="32494"/>
  <c r="X92" i="32494"/>
  <c r="X93" i="32494"/>
  <c r="X94" i="32494"/>
  <c r="X95" i="32494"/>
  <c r="X96" i="32494"/>
  <c r="X97" i="32494"/>
  <c r="X98" i="32494"/>
  <c r="X99" i="32494"/>
  <c r="X100" i="32494"/>
  <c r="X101" i="32494"/>
  <c r="X102" i="32494"/>
  <c r="X103" i="32494"/>
  <c r="X104" i="32494"/>
  <c r="X105" i="32494"/>
  <c r="X106" i="32494"/>
  <c r="X107" i="32494"/>
  <c r="X108" i="32494"/>
  <c r="X109" i="32494"/>
  <c r="X110" i="32494"/>
  <c r="X111" i="32494"/>
  <c r="X112" i="32494"/>
  <c r="X113" i="32494"/>
  <c r="X114" i="32494"/>
  <c r="X115" i="32494"/>
  <c r="X116" i="32494"/>
  <c r="X117" i="32494"/>
  <c r="X118" i="32494"/>
  <c r="X119" i="32494"/>
  <c r="X120" i="32494"/>
  <c r="X121" i="32494"/>
  <c r="X122" i="32494"/>
  <c r="X123" i="32494"/>
  <c r="X124" i="32494"/>
  <c r="X125" i="32494"/>
  <c r="X126" i="32494"/>
  <c r="X127" i="32494"/>
  <c r="X128" i="32494"/>
  <c r="X129" i="32494"/>
  <c r="X130" i="32494"/>
  <c r="X131" i="32494"/>
  <c r="X132" i="32494"/>
  <c r="X133" i="32494"/>
  <c r="X134" i="32494"/>
  <c r="X135" i="32494"/>
  <c r="X136" i="32494"/>
  <c r="X137" i="32494"/>
  <c r="X138" i="32494"/>
  <c r="X139" i="32494"/>
  <c r="X140" i="32494"/>
  <c r="X141" i="32494"/>
  <c r="X142" i="32494"/>
  <c r="X143" i="32494"/>
  <c r="X144" i="32494"/>
  <c r="X145" i="32494"/>
  <c r="X146" i="32494"/>
  <c r="X147" i="32494"/>
  <c r="X148" i="32494"/>
  <c r="X149" i="32494"/>
  <c r="X150" i="32494"/>
  <c r="X151" i="32494"/>
  <c r="X152" i="32494"/>
  <c r="X153" i="32494"/>
  <c r="X154" i="32494"/>
  <c r="X155" i="32494"/>
  <c r="X156" i="32494"/>
  <c r="X157" i="32494"/>
  <c r="X158" i="32494"/>
  <c r="X159" i="32494"/>
  <c r="X160" i="32494"/>
  <c r="X161" i="32494"/>
  <c r="X162" i="32494"/>
  <c r="X163" i="32494"/>
  <c r="X164" i="32494"/>
  <c r="X165" i="32494"/>
  <c r="X166" i="32494"/>
  <c r="X167" i="32494"/>
  <c r="X168" i="32494"/>
  <c r="X169" i="32494"/>
  <c r="X170" i="32494"/>
  <c r="X171" i="32494"/>
  <c r="X172" i="32494"/>
  <c r="X173" i="32494"/>
  <c r="X174" i="32494"/>
  <c r="X175" i="32494"/>
  <c r="X176" i="32494"/>
  <c r="X177" i="32494"/>
  <c r="X178" i="32494"/>
  <c r="X179" i="32494"/>
  <c r="X180" i="32494"/>
  <c r="X181" i="32494"/>
  <c r="X182" i="32494"/>
  <c r="X183" i="32494"/>
  <c r="X184" i="32494"/>
  <c r="X185" i="32494"/>
  <c r="X186" i="32494"/>
  <c r="X187" i="32494"/>
  <c r="X188" i="32494"/>
  <c r="X189" i="32494"/>
  <c r="X190" i="32494"/>
  <c r="X191" i="32494"/>
  <c r="X192" i="32494"/>
  <c r="X193" i="32494"/>
  <c r="X194" i="32494"/>
  <c r="X195" i="32494"/>
  <c r="X196" i="32494"/>
  <c r="X197" i="32494"/>
  <c r="X198" i="32494"/>
  <c r="X199" i="32494"/>
  <c r="X200" i="32494"/>
  <c r="X201" i="32494"/>
  <c r="X202" i="32494"/>
  <c r="X203" i="32494"/>
  <c r="X204" i="32494"/>
  <c r="X205" i="32494"/>
  <c r="X206" i="32494"/>
  <c r="X207" i="32494"/>
  <c r="X208" i="32494"/>
  <c r="X209" i="32494"/>
  <c r="X210" i="32494"/>
  <c r="X211" i="32494"/>
  <c r="X212" i="32494"/>
  <c r="X213" i="32494"/>
  <c r="X214" i="32494"/>
  <c r="X215" i="32494"/>
  <c r="X216" i="32494"/>
  <c r="X217" i="32494"/>
  <c r="X218" i="32494"/>
  <c r="X219" i="32494"/>
  <c r="X220" i="32494"/>
  <c r="X221" i="32494"/>
  <c r="X222" i="32494"/>
  <c r="X223" i="32494"/>
  <c r="X224" i="32494"/>
  <c r="X225" i="32494"/>
  <c r="X226" i="32494"/>
  <c r="X227" i="32494"/>
  <c r="X228" i="32494"/>
  <c r="X229" i="32494"/>
  <c r="X230" i="32494"/>
  <c r="X231" i="32494"/>
  <c r="X232" i="32494"/>
  <c r="X233" i="32494"/>
  <c r="X234" i="32494"/>
  <c r="X235" i="32494"/>
  <c r="X236" i="32494"/>
  <c r="X237" i="32494"/>
  <c r="X238" i="32494"/>
  <c r="X239" i="32494"/>
  <c r="X240" i="32494"/>
  <c r="X241" i="32494"/>
  <c r="X242" i="32494"/>
  <c r="X243" i="32494"/>
  <c r="X244" i="32494"/>
  <c r="X245" i="32494"/>
  <c r="X246" i="32494"/>
  <c r="X247" i="32494"/>
  <c r="X248" i="32494"/>
  <c r="X249" i="32494"/>
  <c r="X250" i="32494"/>
  <c r="X251" i="32494"/>
  <c r="X252" i="32494"/>
  <c r="X253" i="32494"/>
  <c r="X254" i="32494"/>
  <c r="X255" i="32494"/>
  <c r="X256" i="32494"/>
  <c r="X257" i="32494"/>
  <c r="X258" i="32494"/>
  <c r="X259" i="32494"/>
  <c r="X260" i="32494"/>
  <c r="X261" i="32494"/>
  <c r="X262" i="32494"/>
  <c r="X263" i="32494"/>
  <c r="X264" i="32494"/>
  <c r="X265" i="32494"/>
  <c r="X266" i="32494"/>
  <c r="X267" i="32494"/>
  <c r="X268" i="32494"/>
  <c r="X269" i="32494"/>
  <c r="X270" i="32494"/>
  <c r="X271" i="32494"/>
  <c r="X272" i="32494"/>
  <c r="X273" i="32494"/>
  <c r="X274" i="32494"/>
  <c r="X275" i="32494"/>
  <c r="X276" i="32494"/>
  <c r="X277" i="32494"/>
  <c r="X278" i="32494"/>
  <c r="X279" i="32494"/>
  <c r="X280" i="32494"/>
  <c r="X281" i="32494"/>
  <c r="X282" i="32494"/>
  <c r="X283" i="32494"/>
  <c r="X284" i="32494"/>
  <c r="X285" i="32494"/>
  <c r="X286" i="32494"/>
  <c r="X287" i="32494"/>
  <c r="X288" i="32494"/>
  <c r="X289" i="32494"/>
  <c r="X290" i="32494"/>
  <c r="X291" i="32494"/>
  <c r="X292" i="32494"/>
  <c r="X293" i="32494"/>
  <c r="X294" i="32494"/>
  <c r="X295" i="32494"/>
  <c r="X296" i="32494"/>
  <c r="X297" i="32494"/>
  <c r="X298" i="32494"/>
  <c r="X299" i="32494"/>
  <c r="X300" i="32494"/>
  <c r="X301" i="32494"/>
  <c r="W7" i="32494"/>
  <c r="W8" i="32494"/>
  <c r="W9" i="32494"/>
  <c r="W10" i="32494"/>
  <c r="W11" i="32494"/>
  <c r="W12" i="32494"/>
  <c r="W13" i="32494"/>
  <c r="W14" i="32494"/>
  <c r="W15" i="32494"/>
  <c r="W16" i="32494"/>
  <c r="W17" i="32494"/>
  <c r="W18" i="32494"/>
  <c r="W19" i="32494"/>
  <c r="W20" i="32494"/>
  <c r="W21" i="32494"/>
  <c r="W22" i="32494"/>
  <c r="W23" i="32494"/>
  <c r="W24" i="32494"/>
  <c r="W25" i="32494"/>
  <c r="W26" i="32494"/>
  <c r="W27" i="32494"/>
  <c r="W28" i="32494"/>
  <c r="W29" i="32494"/>
  <c r="W30" i="32494"/>
  <c r="W31" i="32494"/>
  <c r="W32" i="32494"/>
  <c r="W33" i="32494"/>
  <c r="W34" i="32494"/>
  <c r="W35" i="32494"/>
  <c r="W36" i="32494"/>
  <c r="W37" i="32494"/>
  <c r="W38" i="32494"/>
  <c r="W39" i="32494"/>
  <c r="W40" i="32494"/>
  <c r="W41" i="32494"/>
  <c r="W42" i="32494"/>
  <c r="W43" i="32494"/>
  <c r="W44" i="32494"/>
  <c r="W45" i="32494"/>
  <c r="W46" i="32494"/>
  <c r="W47" i="32494"/>
  <c r="W48" i="32494"/>
  <c r="W49" i="32494"/>
  <c r="W50" i="32494"/>
  <c r="W51" i="32494"/>
  <c r="W52" i="32494"/>
  <c r="W53" i="32494"/>
  <c r="W54" i="32494"/>
  <c r="W55" i="32494"/>
  <c r="W56" i="32494"/>
  <c r="W57" i="32494"/>
  <c r="W58" i="32494"/>
  <c r="W59" i="32494"/>
  <c r="W60" i="32494"/>
  <c r="W61" i="32494"/>
  <c r="W62" i="32494"/>
  <c r="W63" i="32494"/>
  <c r="W64" i="32494"/>
  <c r="W65" i="32494"/>
  <c r="W66" i="32494"/>
  <c r="W67" i="32494"/>
  <c r="W68" i="32494"/>
  <c r="W69" i="32494"/>
  <c r="W70" i="32494"/>
  <c r="W71" i="32494"/>
  <c r="W72" i="32494"/>
  <c r="W73" i="32494"/>
  <c r="W74" i="32494"/>
  <c r="W75" i="32494"/>
  <c r="W76" i="32494"/>
  <c r="W77" i="32494"/>
  <c r="W78" i="32494"/>
  <c r="W79" i="32494"/>
  <c r="W80" i="32494"/>
  <c r="W81" i="32494"/>
  <c r="W82" i="32494"/>
  <c r="W83" i="32494"/>
  <c r="W84" i="32494"/>
  <c r="W85" i="32494"/>
  <c r="W86" i="32494"/>
  <c r="W87" i="32494"/>
  <c r="W88" i="32494"/>
  <c r="W89" i="32494"/>
  <c r="W90" i="32494"/>
  <c r="W91" i="32494"/>
  <c r="W92" i="32494"/>
  <c r="W93" i="32494"/>
  <c r="W94" i="32494"/>
  <c r="W95" i="32494"/>
  <c r="W96" i="32494"/>
  <c r="W97" i="32494"/>
  <c r="W98" i="32494"/>
  <c r="W99" i="32494"/>
  <c r="W100" i="32494"/>
  <c r="W101" i="32494"/>
  <c r="W102" i="32494"/>
  <c r="W103" i="32494"/>
  <c r="W104" i="32494"/>
  <c r="W105" i="32494"/>
  <c r="W106" i="32494"/>
  <c r="W107" i="32494"/>
  <c r="W108" i="32494"/>
  <c r="W109" i="32494"/>
  <c r="W110" i="32494"/>
  <c r="W111" i="32494"/>
  <c r="W112" i="32494"/>
  <c r="W113" i="32494"/>
  <c r="W114" i="32494"/>
  <c r="W115" i="32494"/>
  <c r="W116" i="32494"/>
  <c r="W117" i="32494"/>
  <c r="W118" i="32494"/>
  <c r="W119" i="32494"/>
  <c r="W120" i="32494"/>
  <c r="W121" i="32494"/>
  <c r="W122" i="32494"/>
  <c r="W123" i="32494"/>
  <c r="W124" i="32494"/>
  <c r="W125" i="32494"/>
  <c r="W126" i="32494"/>
  <c r="W127" i="32494"/>
  <c r="W128" i="32494"/>
  <c r="W129" i="32494"/>
  <c r="W130" i="32494"/>
  <c r="W131" i="32494"/>
  <c r="W132" i="32494"/>
  <c r="W133" i="32494"/>
  <c r="W134" i="32494"/>
  <c r="W135" i="32494"/>
  <c r="W136" i="32494"/>
  <c r="W137" i="32494"/>
  <c r="W138" i="32494"/>
  <c r="W139" i="32494"/>
  <c r="W140" i="32494"/>
  <c r="W141" i="32494"/>
  <c r="W142" i="32494"/>
  <c r="W143" i="32494"/>
  <c r="W144" i="32494"/>
  <c r="W145" i="32494"/>
  <c r="W146" i="32494"/>
  <c r="W147" i="32494"/>
  <c r="W148" i="32494"/>
  <c r="W149" i="32494"/>
  <c r="W150" i="32494"/>
  <c r="W151" i="32494"/>
  <c r="W152" i="32494"/>
  <c r="W153" i="32494"/>
  <c r="W154" i="32494"/>
  <c r="W155" i="32494"/>
  <c r="W156" i="32494"/>
  <c r="W157" i="32494"/>
  <c r="W158" i="32494"/>
  <c r="W159" i="32494"/>
  <c r="W160" i="32494"/>
  <c r="W161" i="32494"/>
  <c r="W162" i="32494"/>
  <c r="W163" i="32494"/>
  <c r="W164" i="32494"/>
  <c r="W165" i="32494"/>
  <c r="W166" i="32494"/>
  <c r="W167" i="32494"/>
  <c r="W168" i="32494"/>
  <c r="W169" i="32494"/>
  <c r="W170" i="32494"/>
  <c r="W171" i="32494"/>
  <c r="W172" i="32494"/>
  <c r="W173" i="32494"/>
  <c r="W174" i="32494"/>
  <c r="W175" i="32494"/>
  <c r="W176" i="32494"/>
  <c r="W177" i="32494"/>
  <c r="W178" i="32494"/>
  <c r="W179" i="32494"/>
  <c r="W180" i="32494"/>
  <c r="W181" i="32494"/>
  <c r="W182" i="32494"/>
  <c r="W183" i="32494"/>
  <c r="W184" i="32494"/>
  <c r="W185" i="32494"/>
  <c r="W186" i="32494"/>
  <c r="W187" i="32494"/>
  <c r="W188" i="32494"/>
  <c r="W189" i="32494"/>
  <c r="W190" i="32494"/>
  <c r="W191" i="32494"/>
  <c r="W192" i="32494"/>
  <c r="W193" i="32494"/>
  <c r="W194" i="32494"/>
  <c r="W195" i="32494"/>
  <c r="W196" i="32494"/>
  <c r="W197" i="32494"/>
  <c r="W198" i="32494"/>
  <c r="W199" i="32494"/>
  <c r="W200" i="32494"/>
  <c r="W201" i="32494"/>
  <c r="W202" i="32494"/>
  <c r="W203" i="32494"/>
  <c r="W204" i="32494"/>
  <c r="W205" i="32494"/>
  <c r="W206" i="32494"/>
  <c r="W207" i="32494"/>
  <c r="W208" i="32494"/>
  <c r="W209" i="32494"/>
  <c r="W210" i="32494"/>
  <c r="W211" i="32494"/>
  <c r="W212" i="32494"/>
  <c r="W213" i="32494"/>
  <c r="W214" i="32494"/>
  <c r="W215" i="32494"/>
  <c r="W216" i="32494"/>
  <c r="W217" i="32494"/>
  <c r="W218" i="32494"/>
  <c r="W219" i="32494"/>
  <c r="W220" i="32494"/>
  <c r="W221" i="32494"/>
  <c r="W222" i="32494"/>
  <c r="W223" i="32494"/>
  <c r="W224" i="32494"/>
  <c r="W225" i="32494"/>
  <c r="W226" i="32494"/>
  <c r="W227" i="32494"/>
  <c r="W228" i="32494"/>
  <c r="W229" i="32494"/>
  <c r="W230" i="32494"/>
  <c r="W231" i="32494"/>
  <c r="W232" i="32494"/>
  <c r="W233" i="32494"/>
  <c r="W234" i="32494"/>
  <c r="W235" i="32494"/>
  <c r="W236" i="32494"/>
  <c r="W237" i="32494"/>
  <c r="W238" i="32494"/>
  <c r="W239" i="32494"/>
  <c r="W240" i="32494"/>
  <c r="W241" i="32494"/>
  <c r="W242" i="32494"/>
  <c r="W243" i="32494"/>
  <c r="W244" i="32494"/>
  <c r="W245" i="32494"/>
  <c r="W246" i="32494"/>
  <c r="W247" i="32494"/>
  <c r="W248" i="32494"/>
  <c r="W249" i="32494"/>
  <c r="W250" i="32494"/>
  <c r="W251" i="32494"/>
  <c r="W252" i="32494"/>
  <c r="W253" i="32494"/>
  <c r="W254" i="32494"/>
  <c r="W255" i="32494"/>
  <c r="W256" i="32494"/>
  <c r="W257" i="32494"/>
  <c r="W258" i="32494"/>
  <c r="W259" i="32494"/>
  <c r="W260" i="32494"/>
  <c r="W261" i="32494"/>
  <c r="W262" i="32494"/>
  <c r="W263" i="32494"/>
  <c r="W264" i="32494"/>
  <c r="W265" i="32494"/>
  <c r="W266" i="32494"/>
  <c r="W267" i="32494"/>
  <c r="W268" i="32494"/>
  <c r="W269" i="32494"/>
  <c r="W270" i="32494"/>
  <c r="W271" i="32494"/>
  <c r="W272" i="32494"/>
  <c r="W273" i="32494"/>
  <c r="W274" i="32494"/>
  <c r="W275" i="32494"/>
  <c r="W276" i="32494"/>
  <c r="W277" i="32494"/>
  <c r="W278" i="32494"/>
  <c r="W279" i="32494"/>
  <c r="W280" i="32494"/>
  <c r="W281" i="32494"/>
  <c r="W282" i="32494"/>
  <c r="W283" i="32494"/>
  <c r="W284" i="32494"/>
  <c r="W285" i="32494"/>
  <c r="W286" i="32494"/>
  <c r="W287" i="32494"/>
  <c r="W288" i="32494"/>
  <c r="W289" i="32494"/>
  <c r="W290" i="32494"/>
  <c r="W291" i="32494"/>
  <c r="W292" i="32494"/>
  <c r="W293" i="32494"/>
  <c r="W294" i="32494"/>
  <c r="W295" i="32494"/>
  <c r="W296" i="32494"/>
  <c r="W297" i="32494"/>
  <c r="W298" i="32494"/>
  <c r="W299" i="32494"/>
  <c r="W300" i="32494"/>
  <c r="W301" i="32494"/>
  <c r="N7" i="32494"/>
  <c r="N8" i="32494"/>
  <c r="N9" i="32494"/>
  <c r="N10" i="32494"/>
  <c r="N11" i="32494"/>
  <c r="N12" i="32494"/>
  <c r="N13" i="32494"/>
  <c r="N14" i="32494"/>
  <c r="N15" i="32494"/>
  <c r="N16" i="32494"/>
  <c r="N17" i="32494"/>
  <c r="N18" i="32494"/>
  <c r="N19" i="32494"/>
  <c r="N20" i="32494"/>
  <c r="N21" i="32494"/>
  <c r="N22" i="32494"/>
  <c r="N23" i="32494"/>
  <c r="N24" i="32494"/>
  <c r="N25" i="32494"/>
  <c r="N26" i="32494"/>
  <c r="N27" i="32494"/>
  <c r="N28" i="32494"/>
  <c r="N29" i="32494"/>
  <c r="N30" i="32494"/>
  <c r="N31" i="32494"/>
  <c r="N32" i="32494"/>
  <c r="N33" i="32494"/>
  <c r="N34" i="32494"/>
  <c r="N35" i="32494"/>
  <c r="N36" i="32494"/>
  <c r="N37" i="32494"/>
  <c r="N38" i="32494"/>
  <c r="N39" i="32494"/>
  <c r="N40" i="32494"/>
  <c r="N41" i="32494"/>
  <c r="N42" i="32494"/>
  <c r="N43" i="32494"/>
  <c r="N44" i="32494"/>
  <c r="N45" i="32494"/>
  <c r="N46" i="32494"/>
  <c r="N47" i="32494"/>
  <c r="N48" i="32494"/>
  <c r="N49" i="32494"/>
  <c r="N50" i="32494"/>
  <c r="N51" i="32494"/>
  <c r="N52" i="32494"/>
  <c r="N53" i="32494"/>
  <c r="N54" i="32494"/>
  <c r="N55" i="32494"/>
  <c r="N56" i="32494"/>
  <c r="N57" i="32494"/>
  <c r="N58" i="32494"/>
  <c r="N59" i="32494"/>
  <c r="N60" i="32494"/>
  <c r="N61" i="32494"/>
  <c r="N62" i="32494"/>
  <c r="N63" i="32494"/>
  <c r="N64" i="32494"/>
  <c r="N65" i="32494"/>
  <c r="N66" i="32494"/>
  <c r="N67" i="32494"/>
  <c r="N68" i="32494"/>
  <c r="N69" i="32494"/>
  <c r="N70" i="32494"/>
  <c r="N71" i="32494"/>
  <c r="N72" i="32494"/>
  <c r="N73" i="32494"/>
  <c r="N74" i="32494"/>
  <c r="N75" i="32494"/>
  <c r="N76" i="32494"/>
  <c r="N77" i="32494"/>
  <c r="N78" i="32494"/>
  <c r="N79" i="32494"/>
  <c r="N80" i="32494"/>
  <c r="N81" i="32494"/>
  <c r="N82" i="32494"/>
  <c r="N83" i="32494"/>
  <c r="N84" i="32494"/>
  <c r="N85" i="32494"/>
  <c r="N86" i="32494"/>
  <c r="N87" i="32494"/>
  <c r="N88" i="32494"/>
  <c r="N89" i="32494"/>
  <c r="N90" i="32494"/>
  <c r="N91" i="32494"/>
  <c r="N92" i="32494"/>
  <c r="N93" i="32494"/>
  <c r="N94" i="32494"/>
  <c r="N95" i="32494"/>
  <c r="N96" i="32494"/>
  <c r="N97" i="32494"/>
  <c r="N98" i="32494"/>
  <c r="N99" i="32494"/>
  <c r="N100" i="32494"/>
  <c r="N101" i="32494"/>
  <c r="N102" i="32494"/>
  <c r="N103" i="32494"/>
  <c r="N104" i="32494"/>
  <c r="N105" i="32494"/>
  <c r="N106" i="32494"/>
  <c r="N107" i="32494"/>
  <c r="N108" i="32494"/>
  <c r="N109" i="32494"/>
  <c r="N110" i="32494"/>
  <c r="N111" i="32494"/>
  <c r="N112" i="32494"/>
  <c r="N113" i="32494"/>
  <c r="N114" i="32494"/>
  <c r="N115" i="32494"/>
  <c r="N116" i="32494"/>
  <c r="N117" i="32494"/>
  <c r="N118" i="32494"/>
  <c r="N119" i="32494"/>
  <c r="N120" i="32494"/>
  <c r="N121" i="32494"/>
  <c r="N122" i="32494"/>
  <c r="N123" i="32494"/>
  <c r="N124" i="32494"/>
  <c r="N125" i="32494"/>
  <c r="N126" i="32494"/>
  <c r="N127" i="32494"/>
  <c r="N128" i="32494"/>
  <c r="N129" i="32494"/>
  <c r="N130" i="32494"/>
  <c r="N131" i="32494"/>
  <c r="N132" i="32494"/>
  <c r="N133" i="32494"/>
  <c r="N134" i="32494"/>
  <c r="N135" i="32494"/>
  <c r="N136" i="32494"/>
  <c r="N137" i="32494"/>
  <c r="N138" i="32494"/>
  <c r="N139" i="32494"/>
  <c r="N140" i="32494"/>
  <c r="N141" i="32494"/>
  <c r="N142" i="32494"/>
  <c r="N143" i="32494"/>
  <c r="N144" i="32494"/>
  <c r="N145" i="32494"/>
  <c r="N146" i="32494"/>
  <c r="N147" i="32494"/>
  <c r="N148" i="32494"/>
  <c r="N149" i="32494"/>
  <c r="N150" i="32494"/>
  <c r="N151" i="32494"/>
  <c r="N152" i="32494"/>
  <c r="N153" i="32494"/>
  <c r="N154" i="32494"/>
  <c r="N155" i="32494"/>
  <c r="N156" i="32494"/>
  <c r="N157" i="32494"/>
  <c r="N158" i="32494"/>
  <c r="N159" i="32494"/>
  <c r="N160" i="32494"/>
  <c r="N161" i="32494"/>
  <c r="N162" i="32494"/>
  <c r="N163" i="32494"/>
  <c r="N164" i="32494"/>
  <c r="N165" i="32494"/>
  <c r="N166" i="32494"/>
  <c r="N167" i="32494"/>
  <c r="N168" i="32494"/>
  <c r="N169" i="32494"/>
  <c r="N170" i="32494"/>
  <c r="N171" i="32494"/>
  <c r="N172" i="32494"/>
  <c r="N173" i="32494"/>
  <c r="N174" i="32494"/>
  <c r="N175" i="32494"/>
  <c r="N176" i="32494"/>
  <c r="N177" i="32494"/>
  <c r="N178" i="32494"/>
  <c r="N179" i="32494"/>
  <c r="N180" i="32494"/>
  <c r="N181" i="32494"/>
  <c r="N182" i="32494"/>
  <c r="N183" i="32494"/>
  <c r="N184" i="32494"/>
  <c r="N185" i="32494"/>
  <c r="N186" i="32494"/>
  <c r="N187" i="32494"/>
  <c r="N188" i="32494"/>
  <c r="N189" i="32494"/>
  <c r="N190" i="32494"/>
  <c r="N191" i="32494"/>
  <c r="N192" i="32494"/>
  <c r="N193" i="32494"/>
  <c r="N194" i="32494"/>
  <c r="N195" i="32494"/>
  <c r="N196" i="32494"/>
  <c r="N197" i="32494"/>
  <c r="N198" i="32494"/>
  <c r="N199" i="32494"/>
  <c r="N200" i="32494"/>
  <c r="N201" i="32494"/>
  <c r="N202" i="32494"/>
  <c r="N203" i="32494"/>
  <c r="N204" i="32494"/>
  <c r="N205" i="32494"/>
  <c r="N206" i="32494"/>
  <c r="N207" i="32494"/>
  <c r="N208" i="32494"/>
  <c r="N209" i="32494"/>
  <c r="N210" i="32494"/>
  <c r="N211" i="32494"/>
  <c r="N212" i="32494"/>
  <c r="N213" i="32494"/>
  <c r="N214" i="32494"/>
  <c r="N215" i="32494"/>
  <c r="N216" i="32494"/>
  <c r="N217" i="32494"/>
  <c r="N218" i="32494"/>
  <c r="N219" i="32494"/>
  <c r="N220" i="32494"/>
  <c r="N221" i="32494"/>
  <c r="N222" i="32494"/>
  <c r="N223" i="32494"/>
  <c r="N224" i="32494"/>
  <c r="N225" i="32494"/>
  <c r="N226" i="32494"/>
  <c r="N227" i="32494"/>
  <c r="N228" i="32494"/>
  <c r="N229" i="32494"/>
  <c r="N230" i="32494"/>
  <c r="N231" i="32494"/>
  <c r="N232" i="32494"/>
  <c r="N233" i="32494"/>
  <c r="N234" i="32494"/>
  <c r="N235" i="32494"/>
  <c r="N236" i="32494"/>
  <c r="N237" i="32494"/>
  <c r="N238" i="32494"/>
  <c r="N239" i="32494"/>
  <c r="N240" i="32494"/>
  <c r="N241" i="32494"/>
  <c r="N242" i="32494"/>
  <c r="N243" i="32494"/>
  <c r="N244" i="32494"/>
  <c r="N245" i="32494"/>
  <c r="N246" i="32494"/>
  <c r="N247" i="32494"/>
  <c r="N248" i="32494"/>
  <c r="N249" i="32494"/>
  <c r="N250" i="32494"/>
  <c r="N251" i="32494"/>
  <c r="N252" i="32494"/>
  <c r="N253" i="32494"/>
  <c r="N254" i="32494"/>
  <c r="N255" i="32494"/>
  <c r="N256" i="32494"/>
  <c r="N257" i="32494"/>
  <c r="N258" i="32494"/>
  <c r="N259" i="32494"/>
  <c r="N260" i="32494"/>
  <c r="N261" i="32494"/>
  <c r="N262" i="32494"/>
  <c r="N263" i="32494"/>
  <c r="N264" i="32494"/>
  <c r="N265" i="32494"/>
  <c r="N266" i="32494"/>
  <c r="N267" i="32494"/>
  <c r="N268" i="32494"/>
  <c r="N269" i="32494"/>
  <c r="N270" i="32494"/>
  <c r="N271" i="32494"/>
  <c r="N272" i="32494"/>
  <c r="N273" i="32494"/>
  <c r="N274" i="32494"/>
  <c r="N275" i="32494"/>
  <c r="N276" i="32494"/>
  <c r="N277" i="32494"/>
  <c r="N278" i="32494"/>
  <c r="N279" i="32494"/>
  <c r="N280" i="32494"/>
  <c r="N281" i="32494"/>
  <c r="N282" i="32494"/>
  <c r="N283" i="32494"/>
  <c r="N284" i="32494"/>
  <c r="N285" i="32494"/>
  <c r="N286" i="32494"/>
  <c r="N287" i="32494"/>
  <c r="N288" i="32494"/>
  <c r="N289" i="32494"/>
  <c r="N290" i="32494"/>
  <c r="N291" i="32494"/>
  <c r="N292" i="32494"/>
  <c r="N293" i="32494"/>
  <c r="N294" i="32494"/>
  <c r="N295" i="32494"/>
  <c r="N296" i="32494"/>
  <c r="N297" i="32494"/>
  <c r="N298" i="32494"/>
  <c r="N299" i="32494"/>
  <c r="N300" i="32494"/>
  <c r="N301" i="32494"/>
  <c r="M7" i="32494"/>
  <c r="M8" i="32494"/>
  <c r="M9" i="32494"/>
  <c r="M10" i="32494"/>
  <c r="M11" i="32494"/>
  <c r="M12" i="32494"/>
  <c r="M13" i="32494"/>
  <c r="M14" i="32494"/>
  <c r="M15" i="32494"/>
  <c r="M16" i="32494"/>
  <c r="M17" i="32494"/>
  <c r="M18" i="32494"/>
  <c r="M19" i="32494"/>
  <c r="M20" i="32494"/>
  <c r="M21" i="32494"/>
  <c r="M22" i="32494"/>
  <c r="M23" i="32494"/>
  <c r="M24" i="32494"/>
  <c r="M25" i="32494"/>
  <c r="M26" i="32494"/>
  <c r="M27" i="32494"/>
  <c r="M28" i="32494"/>
  <c r="M29" i="32494"/>
  <c r="M30" i="32494"/>
  <c r="M31" i="32494"/>
  <c r="M32" i="32494"/>
  <c r="M33" i="32494"/>
  <c r="M34" i="32494"/>
  <c r="M35" i="32494"/>
  <c r="M36" i="32494"/>
  <c r="M37" i="32494"/>
  <c r="M38" i="32494"/>
  <c r="M39" i="32494"/>
  <c r="M40" i="32494"/>
  <c r="M41" i="32494"/>
  <c r="M42" i="32494"/>
  <c r="M43" i="32494"/>
  <c r="M44" i="32494"/>
  <c r="M45" i="32494"/>
  <c r="M46" i="32494"/>
  <c r="M47" i="32494"/>
  <c r="M48" i="32494"/>
  <c r="M49" i="32494"/>
  <c r="M50" i="32494"/>
  <c r="M51" i="32494"/>
  <c r="M52" i="32494"/>
  <c r="M53" i="32494"/>
  <c r="M54" i="32494"/>
  <c r="M55" i="32494"/>
  <c r="M56" i="32494"/>
  <c r="M57" i="32494"/>
  <c r="M58" i="32494"/>
  <c r="M59" i="32494"/>
  <c r="M60" i="32494"/>
  <c r="M61" i="32494"/>
  <c r="M62" i="32494"/>
  <c r="M63" i="32494"/>
  <c r="M64" i="32494"/>
  <c r="M65" i="32494"/>
  <c r="M66" i="32494"/>
  <c r="M67" i="32494"/>
  <c r="M68" i="32494"/>
  <c r="M69" i="32494"/>
  <c r="M70" i="32494"/>
  <c r="M71" i="32494"/>
  <c r="M72" i="32494"/>
  <c r="M73" i="32494"/>
  <c r="M74" i="32494"/>
  <c r="M75" i="32494"/>
  <c r="M76" i="32494"/>
  <c r="M77" i="32494"/>
  <c r="M78" i="32494"/>
  <c r="M79" i="32494"/>
  <c r="M80" i="32494"/>
  <c r="M81" i="32494"/>
  <c r="M82" i="32494"/>
  <c r="M83" i="32494"/>
  <c r="M84" i="32494"/>
  <c r="M85" i="32494"/>
  <c r="M86" i="32494"/>
  <c r="M87" i="32494"/>
  <c r="M88" i="32494"/>
  <c r="M89" i="32494"/>
  <c r="M90" i="32494"/>
  <c r="M91" i="32494"/>
  <c r="M92" i="32494"/>
  <c r="M93" i="32494"/>
  <c r="M94" i="32494"/>
  <c r="M95" i="32494"/>
  <c r="M96" i="32494"/>
  <c r="M97" i="32494"/>
  <c r="M98" i="32494"/>
  <c r="M99" i="32494"/>
  <c r="M100" i="32494"/>
  <c r="M101" i="32494"/>
  <c r="M102" i="32494"/>
  <c r="M103" i="32494"/>
  <c r="M104" i="32494"/>
  <c r="M105" i="32494"/>
  <c r="M106" i="32494"/>
  <c r="M107" i="32494"/>
  <c r="M108" i="32494"/>
  <c r="M109" i="32494"/>
  <c r="M110" i="32494"/>
  <c r="M111" i="32494"/>
  <c r="M112" i="32494"/>
  <c r="M113" i="32494"/>
  <c r="M114" i="32494"/>
  <c r="M115" i="32494"/>
  <c r="M116" i="32494"/>
  <c r="M117" i="32494"/>
  <c r="M118" i="32494"/>
  <c r="M119" i="32494"/>
  <c r="M120" i="32494"/>
  <c r="M121" i="32494"/>
  <c r="M122" i="32494"/>
  <c r="M123" i="32494"/>
  <c r="M124" i="32494"/>
  <c r="M125" i="32494"/>
  <c r="M126" i="32494"/>
  <c r="M127" i="32494"/>
  <c r="M128" i="32494"/>
  <c r="M129" i="32494"/>
  <c r="M130" i="32494"/>
  <c r="M131" i="32494"/>
  <c r="M132" i="32494"/>
  <c r="M133" i="32494"/>
  <c r="M134" i="32494"/>
  <c r="M135" i="32494"/>
  <c r="M136" i="32494"/>
  <c r="M137" i="32494"/>
  <c r="M138" i="32494"/>
  <c r="M139" i="32494"/>
  <c r="M140" i="32494"/>
  <c r="M141" i="32494"/>
  <c r="M142" i="32494"/>
  <c r="M143" i="32494"/>
  <c r="M144" i="32494"/>
  <c r="M145" i="32494"/>
  <c r="M146" i="32494"/>
  <c r="M147" i="32494"/>
  <c r="M148" i="32494"/>
  <c r="M149" i="32494"/>
  <c r="M150" i="32494"/>
  <c r="M151" i="32494"/>
  <c r="M152" i="32494"/>
  <c r="M153" i="32494"/>
  <c r="M154" i="32494"/>
  <c r="M155" i="32494"/>
  <c r="M156" i="32494"/>
  <c r="M157" i="32494"/>
  <c r="M158" i="32494"/>
  <c r="M159" i="32494"/>
  <c r="M160" i="32494"/>
  <c r="M161" i="32494"/>
  <c r="M162" i="32494"/>
  <c r="M163" i="32494"/>
  <c r="M164" i="32494"/>
  <c r="M165" i="32494"/>
  <c r="M166" i="32494"/>
  <c r="M167" i="32494"/>
  <c r="M168" i="32494"/>
  <c r="M169" i="32494"/>
  <c r="M170" i="32494"/>
  <c r="M171" i="32494"/>
  <c r="M172" i="32494"/>
  <c r="M173" i="32494"/>
  <c r="M174" i="32494"/>
  <c r="M175" i="32494"/>
  <c r="M176" i="32494"/>
  <c r="M177" i="32494"/>
  <c r="M178" i="32494"/>
  <c r="M179" i="32494"/>
  <c r="M180" i="32494"/>
  <c r="M181" i="32494"/>
  <c r="M182" i="32494"/>
  <c r="M183" i="32494"/>
  <c r="M184" i="32494"/>
  <c r="M185" i="32494"/>
  <c r="M186" i="32494"/>
  <c r="M187" i="32494"/>
  <c r="M188" i="32494"/>
  <c r="M189" i="32494"/>
  <c r="M190" i="32494"/>
  <c r="M191" i="32494"/>
  <c r="M192" i="32494"/>
  <c r="M193" i="32494"/>
  <c r="M194" i="32494"/>
  <c r="M195" i="32494"/>
  <c r="M196" i="32494"/>
  <c r="M197" i="32494"/>
  <c r="M198" i="32494"/>
  <c r="M199" i="32494"/>
  <c r="M200" i="32494"/>
  <c r="M201" i="32494"/>
  <c r="M202" i="32494"/>
  <c r="M203" i="32494"/>
  <c r="M204" i="32494"/>
  <c r="M205" i="32494"/>
  <c r="M206" i="32494"/>
  <c r="M207" i="32494"/>
  <c r="M208" i="32494"/>
  <c r="M209" i="32494"/>
  <c r="M210" i="32494"/>
  <c r="M211" i="32494"/>
  <c r="M212" i="32494"/>
  <c r="M213" i="32494"/>
  <c r="M214" i="32494"/>
  <c r="M215" i="32494"/>
  <c r="M216" i="32494"/>
  <c r="M217" i="32494"/>
  <c r="M218" i="32494"/>
  <c r="M219" i="32494"/>
  <c r="M220" i="32494"/>
  <c r="M221" i="32494"/>
  <c r="M222" i="32494"/>
  <c r="M223" i="32494"/>
  <c r="M224" i="32494"/>
  <c r="M225" i="32494"/>
  <c r="M226" i="32494"/>
  <c r="M227" i="32494"/>
  <c r="M228" i="32494"/>
  <c r="M229" i="32494"/>
  <c r="M230" i="32494"/>
  <c r="M231" i="32494"/>
  <c r="M232" i="32494"/>
  <c r="M233" i="32494"/>
  <c r="M234" i="32494"/>
  <c r="M235" i="32494"/>
  <c r="M236" i="32494"/>
  <c r="M237" i="32494"/>
  <c r="M238" i="32494"/>
  <c r="M239" i="32494"/>
  <c r="M240" i="32494"/>
  <c r="M241" i="32494"/>
  <c r="M242" i="32494"/>
  <c r="M243" i="32494"/>
  <c r="M244" i="32494"/>
  <c r="M245" i="32494"/>
  <c r="M246" i="32494"/>
  <c r="M247" i="32494"/>
  <c r="M248" i="32494"/>
  <c r="M249" i="32494"/>
  <c r="M250" i="32494"/>
  <c r="M251" i="32494"/>
  <c r="M252" i="32494"/>
  <c r="M253" i="32494"/>
  <c r="M254" i="32494"/>
  <c r="M255" i="32494"/>
  <c r="M256" i="32494"/>
  <c r="M257" i="32494"/>
  <c r="M258" i="32494"/>
  <c r="M259" i="32494"/>
  <c r="M260" i="32494"/>
  <c r="M261" i="32494"/>
  <c r="M262" i="32494"/>
  <c r="M263" i="32494"/>
  <c r="M264" i="32494"/>
  <c r="M265" i="32494"/>
  <c r="M266" i="32494"/>
  <c r="M267" i="32494"/>
  <c r="M268" i="32494"/>
  <c r="M269" i="32494"/>
  <c r="M270" i="32494"/>
  <c r="M271" i="32494"/>
  <c r="M272" i="32494"/>
  <c r="M273" i="32494"/>
  <c r="M274" i="32494"/>
  <c r="M275" i="32494"/>
  <c r="M276" i="32494"/>
  <c r="M277" i="32494"/>
  <c r="M278" i="32494"/>
  <c r="M279" i="32494"/>
  <c r="M280" i="32494"/>
  <c r="M281" i="32494"/>
  <c r="M282" i="32494"/>
  <c r="M283" i="32494"/>
  <c r="M284" i="32494"/>
  <c r="M285" i="32494"/>
  <c r="M286" i="32494"/>
  <c r="M287" i="32494"/>
  <c r="M288" i="32494"/>
  <c r="M289" i="32494"/>
  <c r="M290" i="32494"/>
  <c r="M291" i="32494"/>
  <c r="M292" i="32494"/>
  <c r="M293" i="32494"/>
  <c r="M294" i="32494"/>
  <c r="M295" i="32494"/>
  <c r="M296" i="32494"/>
  <c r="M297" i="32494"/>
  <c r="M298" i="32494"/>
  <c r="M299" i="32494"/>
  <c r="M300" i="32494"/>
  <c r="M301" i="32494"/>
  <c r="L7" i="32494"/>
  <c r="L8" i="32494"/>
  <c r="L9" i="32494"/>
  <c r="L10" i="32494"/>
  <c r="L11" i="32494"/>
  <c r="L12" i="32494"/>
  <c r="L13" i="32494"/>
  <c r="L14" i="32494"/>
  <c r="L15" i="32494"/>
  <c r="L16" i="32494"/>
  <c r="L17" i="32494"/>
  <c r="L18" i="32494"/>
  <c r="L19" i="32494"/>
  <c r="L20" i="32494"/>
  <c r="L21" i="32494"/>
  <c r="L22" i="32494"/>
  <c r="L23" i="32494"/>
  <c r="L24" i="32494"/>
  <c r="L25" i="32494"/>
  <c r="L26" i="32494"/>
  <c r="L27" i="32494"/>
  <c r="L28" i="32494"/>
  <c r="L29" i="32494"/>
  <c r="L30" i="32494"/>
  <c r="L31" i="32494"/>
  <c r="L32" i="32494"/>
  <c r="L33" i="32494"/>
  <c r="L34" i="32494"/>
  <c r="L35" i="32494"/>
  <c r="L36" i="32494"/>
  <c r="L37" i="32494"/>
  <c r="L38" i="32494"/>
  <c r="L39" i="32494"/>
  <c r="L40" i="32494"/>
  <c r="L41" i="32494"/>
  <c r="L42" i="32494"/>
  <c r="L43" i="32494"/>
  <c r="L44" i="32494"/>
  <c r="L45" i="32494"/>
  <c r="L46" i="32494"/>
  <c r="L47" i="32494"/>
  <c r="L48" i="32494"/>
  <c r="L49" i="32494"/>
  <c r="L50" i="32494"/>
  <c r="L51" i="32494"/>
  <c r="L52" i="32494"/>
  <c r="L53" i="32494"/>
  <c r="L54" i="32494"/>
  <c r="L55" i="32494"/>
  <c r="L56" i="32494"/>
  <c r="L57" i="32494"/>
  <c r="L58" i="32494"/>
  <c r="L59" i="32494"/>
  <c r="L60" i="32494"/>
  <c r="L61" i="32494"/>
  <c r="L62" i="32494"/>
  <c r="L63" i="32494"/>
  <c r="L64" i="32494"/>
  <c r="L65" i="32494"/>
  <c r="L66" i="32494"/>
  <c r="L67" i="32494"/>
  <c r="L68" i="32494"/>
  <c r="L69" i="32494"/>
  <c r="L70" i="32494"/>
  <c r="L71" i="32494"/>
  <c r="L72" i="32494"/>
  <c r="L73" i="32494"/>
  <c r="L74" i="32494"/>
  <c r="L75" i="32494"/>
  <c r="L76" i="32494"/>
  <c r="L77" i="32494"/>
  <c r="L78" i="32494"/>
  <c r="L79" i="32494"/>
  <c r="L80" i="32494"/>
  <c r="L81" i="32494"/>
  <c r="L82" i="32494"/>
  <c r="L83" i="32494"/>
  <c r="L84" i="32494"/>
  <c r="L85" i="32494"/>
  <c r="L86" i="32494"/>
  <c r="L87" i="32494"/>
  <c r="L88" i="32494"/>
  <c r="L89" i="32494"/>
  <c r="L90" i="32494"/>
  <c r="L91" i="32494"/>
  <c r="L92" i="32494"/>
  <c r="L93" i="32494"/>
  <c r="L94" i="32494"/>
  <c r="L95" i="32494"/>
  <c r="L96" i="32494"/>
  <c r="L97" i="32494"/>
  <c r="L98" i="32494"/>
  <c r="L99" i="32494"/>
  <c r="L100" i="32494"/>
  <c r="L101" i="32494"/>
  <c r="L102" i="32494"/>
  <c r="L103" i="32494"/>
  <c r="L104" i="32494"/>
  <c r="L105" i="32494"/>
  <c r="L106" i="32494"/>
  <c r="L107" i="32494"/>
  <c r="L108" i="32494"/>
  <c r="L109" i="32494"/>
  <c r="L110" i="32494"/>
  <c r="L111" i="32494"/>
  <c r="L112" i="32494"/>
  <c r="L113" i="32494"/>
  <c r="L114" i="32494"/>
  <c r="L115" i="32494"/>
  <c r="L116" i="32494"/>
  <c r="L117" i="32494"/>
  <c r="L118" i="32494"/>
  <c r="L119" i="32494"/>
  <c r="L120" i="32494"/>
  <c r="L121" i="32494"/>
  <c r="L122" i="32494"/>
  <c r="L123" i="32494"/>
  <c r="L124" i="32494"/>
  <c r="L125" i="32494"/>
  <c r="L126" i="32494"/>
  <c r="L127" i="32494"/>
  <c r="L128" i="32494"/>
  <c r="L129" i="32494"/>
  <c r="L130" i="32494"/>
  <c r="L131" i="32494"/>
  <c r="L132" i="32494"/>
  <c r="L133" i="32494"/>
  <c r="L134" i="32494"/>
  <c r="L135" i="32494"/>
  <c r="L136" i="32494"/>
  <c r="L137" i="32494"/>
  <c r="L138" i="32494"/>
  <c r="L139" i="32494"/>
  <c r="L140" i="32494"/>
  <c r="L141" i="32494"/>
  <c r="L142" i="32494"/>
  <c r="L143" i="32494"/>
  <c r="L144" i="32494"/>
  <c r="L145" i="32494"/>
  <c r="L146" i="32494"/>
  <c r="L147" i="32494"/>
  <c r="L148" i="32494"/>
  <c r="L149" i="32494"/>
  <c r="L150" i="32494"/>
  <c r="L151" i="32494"/>
  <c r="L152" i="32494"/>
  <c r="L153" i="32494"/>
  <c r="L154" i="32494"/>
  <c r="L155" i="32494"/>
  <c r="L156" i="32494"/>
  <c r="L157" i="32494"/>
  <c r="L158" i="32494"/>
  <c r="L159" i="32494"/>
  <c r="L160" i="32494"/>
  <c r="L161" i="32494"/>
  <c r="L162" i="32494"/>
  <c r="L163" i="32494"/>
  <c r="L164" i="32494"/>
  <c r="L165" i="32494"/>
  <c r="L166" i="32494"/>
  <c r="L167" i="32494"/>
  <c r="L168" i="32494"/>
  <c r="L169" i="32494"/>
  <c r="L170" i="32494"/>
  <c r="L171" i="32494"/>
  <c r="L172" i="32494"/>
  <c r="L173" i="32494"/>
  <c r="L174" i="32494"/>
  <c r="L175" i="32494"/>
  <c r="L176" i="32494"/>
  <c r="L177" i="32494"/>
  <c r="L178" i="32494"/>
  <c r="L179" i="32494"/>
  <c r="L180" i="32494"/>
  <c r="L181" i="32494"/>
  <c r="L182" i="32494"/>
  <c r="L183" i="32494"/>
  <c r="L184" i="32494"/>
  <c r="L185" i="32494"/>
  <c r="L186" i="32494"/>
  <c r="L187" i="32494"/>
  <c r="L188" i="32494"/>
  <c r="L189" i="32494"/>
  <c r="L190" i="32494"/>
  <c r="L191" i="32494"/>
  <c r="L192" i="32494"/>
  <c r="L193" i="32494"/>
  <c r="L194" i="32494"/>
  <c r="L195" i="32494"/>
  <c r="L196" i="32494"/>
  <c r="L197" i="32494"/>
  <c r="L198" i="32494"/>
  <c r="L199" i="32494"/>
  <c r="L200" i="32494"/>
  <c r="L201" i="32494"/>
  <c r="L202" i="32494"/>
  <c r="L203" i="32494"/>
  <c r="L204" i="32494"/>
  <c r="L205" i="32494"/>
  <c r="L206" i="32494"/>
  <c r="L207" i="32494"/>
  <c r="L208" i="32494"/>
  <c r="L209" i="32494"/>
  <c r="L210" i="32494"/>
  <c r="L211" i="32494"/>
  <c r="L212" i="32494"/>
  <c r="L213" i="32494"/>
  <c r="L214" i="32494"/>
  <c r="L215" i="32494"/>
  <c r="L216" i="32494"/>
  <c r="L217" i="32494"/>
  <c r="L218" i="32494"/>
  <c r="L219" i="32494"/>
  <c r="L220" i="32494"/>
  <c r="L221" i="32494"/>
  <c r="L222" i="32494"/>
  <c r="L223" i="32494"/>
  <c r="L224" i="32494"/>
  <c r="L225" i="32494"/>
  <c r="L226" i="32494"/>
  <c r="L227" i="32494"/>
  <c r="L228" i="32494"/>
  <c r="L229" i="32494"/>
  <c r="L230" i="32494"/>
  <c r="L231" i="32494"/>
  <c r="L232" i="32494"/>
  <c r="L233" i="32494"/>
  <c r="L234" i="32494"/>
  <c r="L235" i="32494"/>
  <c r="L236" i="32494"/>
  <c r="L237" i="32494"/>
  <c r="L238" i="32494"/>
  <c r="L239" i="32494"/>
  <c r="L240" i="32494"/>
  <c r="L241" i="32494"/>
  <c r="L242" i="32494"/>
  <c r="L243" i="32494"/>
  <c r="L244" i="32494"/>
  <c r="L245" i="32494"/>
  <c r="L246" i="32494"/>
  <c r="L247" i="32494"/>
  <c r="L248" i="32494"/>
  <c r="L249" i="32494"/>
  <c r="L250" i="32494"/>
  <c r="L251" i="32494"/>
  <c r="L252" i="32494"/>
  <c r="L253" i="32494"/>
  <c r="L254" i="32494"/>
  <c r="L255" i="32494"/>
  <c r="L256" i="32494"/>
  <c r="L257" i="32494"/>
  <c r="L258" i="32494"/>
  <c r="L259" i="32494"/>
  <c r="L260" i="32494"/>
  <c r="L261" i="32494"/>
  <c r="L262" i="32494"/>
  <c r="L263" i="32494"/>
  <c r="L264" i="32494"/>
  <c r="L265" i="32494"/>
  <c r="L266" i="32494"/>
  <c r="L267" i="32494"/>
  <c r="L268" i="32494"/>
  <c r="L269" i="32494"/>
  <c r="L270" i="32494"/>
  <c r="L271" i="32494"/>
  <c r="L272" i="32494"/>
  <c r="L273" i="32494"/>
  <c r="L274" i="32494"/>
  <c r="L275" i="32494"/>
  <c r="L276" i="32494"/>
  <c r="L277" i="32494"/>
  <c r="L278" i="32494"/>
  <c r="L279" i="32494"/>
  <c r="L280" i="32494"/>
  <c r="L281" i="32494"/>
  <c r="L282" i="32494"/>
  <c r="L283" i="32494"/>
  <c r="L284" i="32494"/>
  <c r="L285" i="32494"/>
  <c r="L286" i="32494"/>
  <c r="L287" i="32494"/>
  <c r="L288" i="32494"/>
  <c r="L289" i="32494"/>
  <c r="L290" i="32494"/>
  <c r="L291" i="32494"/>
  <c r="L292" i="32494"/>
  <c r="L293" i="32494"/>
  <c r="L294" i="32494"/>
  <c r="L295" i="32494"/>
  <c r="L296" i="32494"/>
  <c r="L297" i="32494"/>
  <c r="L298" i="32494"/>
  <c r="L299" i="32494"/>
  <c r="L300" i="32494"/>
  <c r="L301" i="32494"/>
  <c r="K7" i="32494"/>
  <c r="K8" i="32494"/>
  <c r="K9" i="32494"/>
  <c r="K10" i="32494"/>
  <c r="K11" i="32494"/>
  <c r="K12" i="32494"/>
  <c r="K13" i="32494"/>
  <c r="K14" i="32494"/>
  <c r="K15" i="32494"/>
  <c r="K16" i="32494"/>
  <c r="K17" i="32494"/>
  <c r="K18" i="32494"/>
  <c r="K19" i="32494"/>
  <c r="K20" i="32494"/>
  <c r="K21" i="32494"/>
  <c r="K22" i="32494"/>
  <c r="K23" i="32494"/>
  <c r="K24" i="32494"/>
  <c r="K25" i="32494"/>
  <c r="K26" i="32494"/>
  <c r="K27" i="32494"/>
  <c r="K28" i="32494"/>
  <c r="K29" i="32494"/>
  <c r="K30" i="32494"/>
  <c r="K31" i="32494"/>
  <c r="K32" i="32494"/>
  <c r="K33" i="32494"/>
  <c r="K34" i="32494"/>
  <c r="K35" i="32494"/>
  <c r="K36" i="32494"/>
  <c r="K37" i="32494"/>
  <c r="K38" i="32494"/>
  <c r="K39" i="32494"/>
  <c r="K40" i="32494"/>
  <c r="K41" i="32494"/>
  <c r="K42" i="32494"/>
  <c r="K43" i="32494"/>
  <c r="K44" i="32494"/>
  <c r="K45" i="32494"/>
  <c r="K46" i="32494"/>
  <c r="K47" i="32494"/>
  <c r="K48" i="32494"/>
  <c r="K49" i="32494"/>
  <c r="K50" i="32494"/>
  <c r="K51" i="32494"/>
  <c r="K52" i="32494"/>
  <c r="K53" i="32494"/>
  <c r="K54" i="32494"/>
  <c r="K55" i="32494"/>
  <c r="K56" i="32494"/>
  <c r="K57" i="32494"/>
  <c r="K58" i="32494"/>
  <c r="K59" i="32494"/>
  <c r="K60" i="32494"/>
  <c r="K61" i="32494"/>
  <c r="K62" i="32494"/>
  <c r="K63" i="32494"/>
  <c r="K64" i="32494"/>
  <c r="K65" i="32494"/>
  <c r="K66" i="32494"/>
  <c r="K67" i="32494"/>
  <c r="K68" i="32494"/>
  <c r="K69" i="32494"/>
  <c r="K70" i="32494"/>
  <c r="K71" i="32494"/>
  <c r="K72" i="32494"/>
  <c r="K73" i="32494"/>
  <c r="K74" i="32494"/>
  <c r="K75" i="32494"/>
  <c r="K76" i="32494"/>
  <c r="K77" i="32494"/>
  <c r="K78" i="32494"/>
  <c r="K79" i="32494"/>
  <c r="K80" i="32494"/>
  <c r="K81" i="32494"/>
  <c r="K82" i="32494"/>
  <c r="K83" i="32494"/>
  <c r="K84" i="32494"/>
  <c r="K85" i="32494"/>
  <c r="K86" i="32494"/>
  <c r="K87" i="32494"/>
  <c r="K88" i="32494"/>
  <c r="K89" i="32494"/>
  <c r="K90" i="32494"/>
  <c r="K91" i="32494"/>
  <c r="K92" i="32494"/>
  <c r="K93" i="32494"/>
  <c r="K94" i="32494"/>
  <c r="K95" i="32494"/>
  <c r="K96" i="32494"/>
  <c r="K97" i="32494"/>
  <c r="K98" i="32494"/>
  <c r="K99" i="32494"/>
  <c r="K100" i="32494"/>
  <c r="K101" i="32494"/>
  <c r="K102" i="32494"/>
  <c r="K103" i="32494"/>
  <c r="K104" i="32494"/>
  <c r="K105" i="32494"/>
  <c r="K106" i="32494"/>
  <c r="K107" i="32494"/>
  <c r="K108" i="32494"/>
  <c r="K109" i="32494"/>
  <c r="K110" i="32494"/>
  <c r="K111" i="32494"/>
  <c r="K112" i="32494"/>
  <c r="K113" i="32494"/>
  <c r="K114" i="32494"/>
  <c r="K115" i="32494"/>
  <c r="K116" i="32494"/>
  <c r="K117" i="32494"/>
  <c r="K118" i="32494"/>
  <c r="K119" i="32494"/>
  <c r="K120" i="32494"/>
  <c r="K121" i="32494"/>
  <c r="K122" i="32494"/>
  <c r="K123" i="32494"/>
  <c r="K124" i="32494"/>
  <c r="K125" i="32494"/>
  <c r="K126" i="32494"/>
  <c r="K127" i="32494"/>
  <c r="K128" i="32494"/>
  <c r="K129" i="32494"/>
  <c r="K130" i="32494"/>
  <c r="K131" i="32494"/>
  <c r="K132" i="32494"/>
  <c r="K133" i="32494"/>
  <c r="K134" i="32494"/>
  <c r="K135" i="32494"/>
  <c r="K136" i="32494"/>
  <c r="K137" i="32494"/>
  <c r="K138" i="32494"/>
  <c r="K139" i="32494"/>
  <c r="K140" i="32494"/>
  <c r="K141" i="32494"/>
  <c r="K142" i="32494"/>
  <c r="K143" i="32494"/>
  <c r="K144" i="32494"/>
  <c r="K145" i="32494"/>
  <c r="K146" i="32494"/>
  <c r="K147" i="32494"/>
  <c r="K148" i="32494"/>
  <c r="K149" i="32494"/>
  <c r="K150" i="32494"/>
  <c r="K151" i="32494"/>
  <c r="K152" i="32494"/>
  <c r="K153" i="32494"/>
  <c r="K154" i="32494"/>
  <c r="K155" i="32494"/>
  <c r="K156" i="32494"/>
  <c r="K157" i="32494"/>
  <c r="K158" i="32494"/>
  <c r="K159" i="32494"/>
  <c r="K160" i="32494"/>
  <c r="K161" i="32494"/>
  <c r="K162" i="32494"/>
  <c r="K163" i="32494"/>
  <c r="K164" i="32494"/>
  <c r="K165" i="32494"/>
  <c r="K166" i="32494"/>
  <c r="K167" i="32494"/>
  <c r="K168" i="32494"/>
  <c r="K169" i="32494"/>
  <c r="K170" i="32494"/>
  <c r="K171" i="32494"/>
  <c r="K172" i="32494"/>
  <c r="K173" i="32494"/>
  <c r="K174" i="32494"/>
  <c r="K175" i="32494"/>
  <c r="K176" i="32494"/>
  <c r="K177" i="32494"/>
  <c r="K178" i="32494"/>
  <c r="K179" i="32494"/>
  <c r="K180" i="32494"/>
  <c r="K181" i="32494"/>
  <c r="K182" i="32494"/>
  <c r="K183" i="32494"/>
  <c r="K184" i="32494"/>
  <c r="K185" i="32494"/>
  <c r="K186" i="32494"/>
  <c r="K187" i="32494"/>
  <c r="K188" i="32494"/>
  <c r="K189" i="32494"/>
  <c r="K190" i="32494"/>
  <c r="K191" i="32494"/>
  <c r="K192" i="32494"/>
  <c r="K193" i="32494"/>
  <c r="K194" i="32494"/>
  <c r="K195" i="32494"/>
  <c r="K196" i="32494"/>
  <c r="K197" i="32494"/>
  <c r="K198" i="32494"/>
  <c r="K199" i="32494"/>
  <c r="K200" i="32494"/>
  <c r="K201" i="32494"/>
  <c r="K202" i="32494"/>
  <c r="K203" i="32494"/>
  <c r="K204" i="32494"/>
  <c r="K205" i="32494"/>
  <c r="K206" i="32494"/>
  <c r="K207" i="32494"/>
  <c r="K208" i="32494"/>
  <c r="K209" i="32494"/>
  <c r="K210" i="32494"/>
  <c r="K211" i="32494"/>
  <c r="K212" i="32494"/>
  <c r="K213" i="32494"/>
  <c r="K214" i="32494"/>
  <c r="K215" i="32494"/>
  <c r="K216" i="32494"/>
  <c r="K217" i="32494"/>
  <c r="K218" i="32494"/>
  <c r="K219" i="32494"/>
  <c r="K220" i="32494"/>
  <c r="K221" i="32494"/>
  <c r="K222" i="32494"/>
  <c r="K223" i="32494"/>
  <c r="K224" i="32494"/>
  <c r="K225" i="32494"/>
  <c r="K226" i="32494"/>
  <c r="K227" i="32494"/>
  <c r="K228" i="32494"/>
  <c r="K229" i="32494"/>
  <c r="K230" i="32494"/>
  <c r="K231" i="32494"/>
  <c r="K232" i="32494"/>
  <c r="K233" i="32494"/>
  <c r="K234" i="32494"/>
  <c r="K235" i="32494"/>
  <c r="K236" i="32494"/>
  <c r="K237" i="32494"/>
  <c r="K238" i="32494"/>
  <c r="K239" i="32494"/>
  <c r="K240" i="32494"/>
  <c r="K241" i="32494"/>
  <c r="K242" i="32494"/>
  <c r="K243" i="32494"/>
  <c r="K244" i="32494"/>
  <c r="K245" i="32494"/>
  <c r="K246" i="32494"/>
  <c r="K247" i="32494"/>
  <c r="K248" i="32494"/>
  <c r="K249" i="32494"/>
  <c r="K250" i="32494"/>
  <c r="K251" i="32494"/>
  <c r="K252" i="32494"/>
  <c r="K253" i="32494"/>
  <c r="K254" i="32494"/>
  <c r="K255" i="32494"/>
  <c r="K256" i="32494"/>
  <c r="K257" i="32494"/>
  <c r="K258" i="32494"/>
  <c r="K259" i="32494"/>
  <c r="K260" i="32494"/>
  <c r="K261" i="32494"/>
  <c r="K262" i="32494"/>
  <c r="K263" i="32494"/>
  <c r="K264" i="32494"/>
  <c r="K265" i="32494"/>
  <c r="K266" i="32494"/>
  <c r="K267" i="32494"/>
  <c r="K268" i="32494"/>
  <c r="K269" i="32494"/>
  <c r="K270" i="32494"/>
  <c r="K271" i="32494"/>
  <c r="K272" i="32494"/>
  <c r="K273" i="32494"/>
  <c r="K274" i="32494"/>
  <c r="K275" i="32494"/>
  <c r="K276" i="32494"/>
  <c r="K277" i="32494"/>
  <c r="K278" i="32494"/>
  <c r="K279" i="32494"/>
  <c r="K280" i="32494"/>
  <c r="K281" i="32494"/>
  <c r="K282" i="32494"/>
  <c r="K283" i="32494"/>
  <c r="K284" i="32494"/>
  <c r="K285" i="32494"/>
  <c r="K286" i="32494"/>
  <c r="K287" i="32494"/>
  <c r="K288" i="32494"/>
  <c r="K289" i="32494"/>
  <c r="K290" i="32494"/>
  <c r="K291" i="32494"/>
  <c r="K292" i="32494"/>
  <c r="K293" i="32494"/>
  <c r="K294" i="32494"/>
  <c r="K295" i="32494"/>
  <c r="K296" i="32494"/>
  <c r="K297" i="32494"/>
  <c r="K298" i="32494"/>
  <c r="K299" i="32494"/>
  <c r="K300" i="32494"/>
  <c r="K301" i="32494"/>
  <c r="J7" i="32494"/>
  <c r="J8" i="32494"/>
  <c r="J9" i="32494"/>
  <c r="J10" i="32494"/>
  <c r="J11" i="32494"/>
  <c r="J12" i="32494"/>
  <c r="J13" i="32494"/>
  <c r="J14" i="32494"/>
  <c r="J15" i="32494"/>
  <c r="J16" i="32494"/>
  <c r="J17" i="32494"/>
  <c r="J18" i="32494"/>
  <c r="J19" i="32494"/>
  <c r="J20" i="32494"/>
  <c r="J21" i="32494"/>
  <c r="J22" i="32494"/>
  <c r="J23" i="32494"/>
  <c r="J24" i="32494"/>
  <c r="J25" i="32494"/>
  <c r="J26" i="32494"/>
  <c r="J27" i="32494"/>
  <c r="J28" i="32494"/>
  <c r="J29" i="32494"/>
  <c r="J30" i="32494"/>
  <c r="J31" i="32494"/>
  <c r="J32" i="32494"/>
  <c r="J33" i="32494"/>
  <c r="J34" i="32494"/>
  <c r="J35" i="32494"/>
  <c r="J36" i="32494"/>
  <c r="J37" i="32494"/>
  <c r="J38" i="32494"/>
  <c r="J39" i="32494"/>
  <c r="J40" i="32494"/>
  <c r="J41" i="32494"/>
  <c r="J42" i="32494"/>
  <c r="J43" i="32494"/>
  <c r="J44" i="32494"/>
  <c r="J45" i="32494"/>
  <c r="J46" i="32494"/>
  <c r="J47" i="32494"/>
  <c r="J48" i="32494"/>
  <c r="J49" i="32494"/>
  <c r="J50" i="32494"/>
  <c r="J51" i="32494"/>
  <c r="J52" i="32494"/>
  <c r="J53" i="32494"/>
  <c r="J54" i="32494"/>
  <c r="J55" i="32494"/>
  <c r="J56" i="32494"/>
  <c r="J57" i="32494"/>
  <c r="J58" i="32494"/>
  <c r="J59" i="32494"/>
  <c r="J60" i="32494"/>
  <c r="J61" i="32494"/>
  <c r="J62" i="32494"/>
  <c r="J63" i="32494"/>
  <c r="J64" i="32494"/>
  <c r="J65" i="32494"/>
  <c r="J66" i="32494"/>
  <c r="J67" i="32494"/>
  <c r="J68" i="32494"/>
  <c r="J69" i="32494"/>
  <c r="J70" i="32494"/>
  <c r="J71" i="32494"/>
  <c r="J72" i="32494"/>
  <c r="J73" i="32494"/>
  <c r="J74" i="32494"/>
  <c r="J75" i="32494"/>
  <c r="J76" i="32494"/>
  <c r="J77" i="32494"/>
  <c r="J78" i="32494"/>
  <c r="J79" i="32494"/>
  <c r="J80" i="32494"/>
  <c r="J81" i="32494"/>
  <c r="J82" i="32494"/>
  <c r="J83" i="32494"/>
  <c r="J84" i="32494"/>
  <c r="J85" i="32494"/>
  <c r="J86" i="32494"/>
  <c r="J87" i="32494"/>
  <c r="J88" i="32494"/>
  <c r="J89" i="32494"/>
  <c r="J90" i="32494"/>
  <c r="J91" i="32494"/>
  <c r="J92" i="32494"/>
  <c r="J93" i="32494"/>
  <c r="J94" i="32494"/>
  <c r="J95" i="32494"/>
  <c r="J96" i="32494"/>
  <c r="J97" i="32494"/>
  <c r="J98" i="32494"/>
  <c r="J99" i="32494"/>
  <c r="J100" i="32494"/>
  <c r="J101" i="32494"/>
  <c r="J102" i="32494"/>
  <c r="J103" i="32494"/>
  <c r="J104" i="32494"/>
  <c r="J105" i="32494"/>
  <c r="J106" i="32494"/>
  <c r="J107" i="32494"/>
  <c r="J108" i="32494"/>
  <c r="J109" i="32494"/>
  <c r="J110" i="32494"/>
  <c r="J111" i="32494"/>
  <c r="J112" i="32494"/>
  <c r="J113" i="32494"/>
  <c r="J114" i="32494"/>
  <c r="J115" i="32494"/>
  <c r="J116" i="32494"/>
  <c r="J117" i="32494"/>
  <c r="J118" i="32494"/>
  <c r="J119" i="32494"/>
  <c r="J120" i="32494"/>
  <c r="J121" i="32494"/>
  <c r="J122" i="32494"/>
  <c r="J123" i="32494"/>
  <c r="J124" i="32494"/>
  <c r="J125" i="32494"/>
  <c r="J126" i="32494"/>
  <c r="J127" i="32494"/>
  <c r="J128" i="32494"/>
  <c r="J129" i="32494"/>
  <c r="J130" i="32494"/>
  <c r="J131" i="32494"/>
  <c r="J132" i="32494"/>
  <c r="J133" i="32494"/>
  <c r="J134" i="32494"/>
  <c r="J135" i="32494"/>
  <c r="J136" i="32494"/>
  <c r="J137" i="32494"/>
  <c r="J138" i="32494"/>
  <c r="J139" i="32494"/>
  <c r="J140" i="32494"/>
  <c r="J141" i="32494"/>
  <c r="J142" i="32494"/>
  <c r="J143" i="32494"/>
  <c r="J144" i="32494"/>
  <c r="J145" i="32494"/>
  <c r="J146" i="32494"/>
  <c r="J147" i="32494"/>
  <c r="J148" i="32494"/>
  <c r="J149" i="32494"/>
  <c r="J150" i="32494"/>
  <c r="J151" i="32494"/>
  <c r="J152" i="32494"/>
  <c r="J153" i="32494"/>
  <c r="J154" i="32494"/>
  <c r="J155" i="32494"/>
  <c r="J156" i="32494"/>
  <c r="J157" i="32494"/>
  <c r="J158" i="32494"/>
  <c r="J159" i="32494"/>
  <c r="J160" i="32494"/>
  <c r="J161" i="32494"/>
  <c r="J162" i="32494"/>
  <c r="J163" i="32494"/>
  <c r="J164" i="32494"/>
  <c r="J165" i="32494"/>
  <c r="J166" i="32494"/>
  <c r="J167" i="32494"/>
  <c r="J168" i="32494"/>
  <c r="J169" i="32494"/>
  <c r="J170" i="32494"/>
  <c r="J171" i="32494"/>
  <c r="J172" i="32494"/>
  <c r="J173" i="32494"/>
  <c r="J174" i="32494"/>
  <c r="J175" i="32494"/>
  <c r="J176" i="32494"/>
  <c r="J177" i="32494"/>
  <c r="J178" i="32494"/>
  <c r="J179" i="32494"/>
  <c r="J180" i="32494"/>
  <c r="J181" i="32494"/>
  <c r="J182" i="32494"/>
  <c r="J183" i="32494"/>
  <c r="J184" i="32494"/>
  <c r="J185" i="32494"/>
  <c r="J186" i="32494"/>
  <c r="J187" i="32494"/>
  <c r="J188" i="32494"/>
  <c r="J189" i="32494"/>
  <c r="J190" i="32494"/>
  <c r="J191" i="32494"/>
  <c r="J192" i="32494"/>
  <c r="J193" i="32494"/>
  <c r="J194" i="32494"/>
  <c r="J195" i="32494"/>
  <c r="J196" i="32494"/>
  <c r="J197" i="32494"/>
  <c r="J198" i="32494"/>
  <c r="J199" i="32494"/>
  <c r="J200" i="32494"/>
  <c r="J201" i="32494"/>
  <c r="J202" i="32494"/>
  <c r="J203" i="32494"/>
  <c r="J204" i="32494"/>
  <c r="J205" i="32494"/>
  <c r="J206" i="32494"/>
  <c r="J207" i="32494"/>
  <c r="J208" i="32494"/>
  <c r="J209" i="32494"/>
  <c r="J210" i="32494"/>
  <c r="J211" i="32494"/>
  <c r="J212" i="32494"/>
  <c r="J213" i="32494"/>
  <c r="J214" i="32494"/>
  <c r="J215" i="32494"/>
  <c r="J216" i="32494"/>
  <c r="J217" i="32494"/>
  <c r="J218" i="32494"/>
  <c r="J219" i="32494"/>
  <c r="J220" i="32494"/>
  <c r="J221" i="32494"/>
  <c r="J222" i="32494"/>
  <c r="J223" i="32494"/>
  <c r="J224" i="32494"/>
  <c r="J225" i="32494"/>
  <c r="J226" i="32494"/>
  <c r="J227" i="32494"/>
  <c r="J228" i="32494"/>
  <c r="J229" i="32494"/>
  <c r="J230" i="32494"/>
  <c r="J231" i="32494"/>
  <c r="J232" i="32494"/>
  <c r="J233" i="32494"/>
  <c r="J234" i="32494"/>
  <c r="J235" i="32494"/>
  <c r="J236" i="32494"/>
  <c r="J237" i="32494"/>
  <c r="J238" i="32494"/>
  <c r="J239" i="32494"/>
  <c r="J240" i="32494"/>
  <c r="J241" i="32494"/>
  <c r="J242" i="32494"/>
  <c r="J243" i="32494"/>
  <c r="J244" i="32494"/>
  <c r="J245" i="32494"/>
  <c r="J246" i="32494"/>
  <c r="J247" i="32494"/>
  <c r="J248" i="32494"/>
  <c r="J249" i="32494"/>
  <c r="J250" i="32494"/>
  <c r="J251" i="32494"/>
  <c r="J252" i="32494"/>
  <c r="J253" i="32494"/>
  <c r="J254" i="32494"/>
  <c r="J255" i="32494"/>
  <c r="J256" i="32494"/>
  <c r="J257" i="32494"/>
  <c r="J258" i="32494"/>
  <c r="J259" i="32494"/>
  <c r="J260" i="32494"/>
  <c r="J261" i="32494"/>
  <c r="J262" i="32494"/>
  <c r="J263" i="32494"/>
  <c r="J264" i="32494"/>
  <c r="J265" i="32494"/>
  <c r="J266" i="32494"/>
  <c r="J267" i="32494"/>
  <c r="J268" i="32494"/>
  <c r="J269" i="32494"/>
  <c r="J270" i="32494"/>
  <c r="J271" i="32494"/>
  <c r="J272" i="32494"/>
  <c r="J273" i="32494"/>
  <c r="J274" i="32494"/>
  <c r="J275" i="32494"/>
  <c r="J276" i="32494"/>
  <c r="J277" i="32494"/>
  <c r="J278" i="32494"/>
  <c r="J279" i="32494"/>
  <c r="J280" i="32494"/>
  <c r="J281" i="32494"/>
  <c r="J282" i="32494"/>
  <c r="J283" i="32494"/>
  <c r="J284" i="32494"/>
  <c r="J285" i="32494"/>
  <c r="J286" i="32494"/>
  <c r="J287" i="32494"/>
  <c r="J288" i="32494"/>
  <c r="J289" i="32494"/>
  <c r="J290" i="32494"/>
  <c r="J291" i="32494"/>
  <c r="J292" i="32494"/>
  <c r="J293" i="32494"/>
  <c r="J294" i="32494"/>
  <c r="J295" i="32494"/>
  <c r="J296" i="32494"/>
  <c r="J297" i="32494"/>
  <c r="J298" i="32494"/>
  <c r="J299" i="32494"/>
  <c r="J300" i="32494"/>
  <c r="J301" i="32494"/>
  <c r="I7" i="32494"/>
  <c r="I8" i="32494"/>
  <c r="I9" i="32494"/>
  <c r="I10" i="32494"/>
  <c r="I11" i="32494"/>
  <c r="I12" i="32494"/>
  <c r="I13" i="32494"/>
  <c r="I14" i="32494"/>
  <c r="I15" i="32494"/>
  <c r="I16" i="32494"/>
  <c r="I17" i="32494"/>
  <c r="I18" i="32494"/>
  <c r="I19" i="32494"/>
  <c r="I20" i="32494"/>
  <c r="I21" i="32494"/>
  <c r="I22" i="32494"/>
  <c r="I23" i="32494"/>
  <c r="I24" i="32494"/>
  <c r="I25" i="32494"/>
  <c r="I26" i="32494"/>
  <c r="I27" i="32494"/>
  <c r="I28" i="32494"/>
  <c r="I29" i="32494"/>
  <c r="I30" i="32494"/>
  <c r="I31" i="32494"/>
  <c r="I32" i="32494"/>
  <c r="I33" i="32494"/>
  <c r="I34" i="32494"/>
  <c r="I35" i="32494"/>
  <c r="I36" i="32494"/>
  <c r="I37" i="32494"/>
  <c r="I38" i="32494"/>
  <c r="I39" i="32494"/>
  <c r="I40" i="32494"/>
  <c r="I41" i="32494"/>
  <c r="I42" i="32494"/>
  <c r="I43" i="32494"/>
  <c r="I44" i="32494"/>
  <c r="I45" i="32494"/>
  <c r="I46" i="32494"/>
  <c r="I47" i="32494"/>
  <c r="I48" i="32494"/>
  <c r="I49" i="32494"/>
  <c r="I50" i="32494"/>
  <c r="I51" i="32494"/>
  <c r="I52" i="32494"/>
  <c r="I53" i="32494"/>
  <c r="I54" i="32494"/>
  <c r="I55" i="32494"/>
  <c r="I56" i="32494"/>
  <c r="I57" i="32494"/>
  <c r="I58" i="32494"/>
  <c r="I59" i="32494"/>
  <c r="I60" i="32494"/>
  <c r="I61" i="32494"/>
  <c r="I62" i="32494"/>
  <c r="I63" i="32494"/>
  <c r="I64" i="32494"/>
  <c r="I65" i="32494"/>
  <c r="I66" i="32494"/>
  <c r="I67" i="32494"/>
  <c r="I68" i="32494"/>
  <c r="I69" i="32494"/>
  <c r="I70" i="32494"/>
  <c r="I71" i="32494"/>
  <c r="I72" i="32494"/>
  <c r="I73" i="32494"/>
  <c r="I74" i="32494"/>
  <c r="I75" i="32494"/>
  <c r="I76" i="32494"/>
  <c r="I77" i="32494"/>
  <c r="I78" i="32494"/>
  <c r="I79" i="32494"/>
  <c r="I80" i="32494"/>
  <c r="I81" i="32494"/>
  <c r="I82" i="32494"/>
  <c r="I83" i="32494"/>
  <c r="I84" i="32494"/>
  <c r="I85" i="32494"/>
  <c r="I86" i="32494"/>
  <c r="I87" i="32494"/>
  <c r="I88" i="32494"/>
  <c r="I89" i="32494"/>
  <c r="I90" i="32494"/>
  <c r="I91" i="32494"/>
  <c r="I92" i="32494"/>
  <c r="I93" i="32494"/>
  <c r="I94" i="32494"/>
  <c r="I95" i="32494"/>
  <c r="I96" i="32494"/>
  <c r="I97" i="32494"/>
  <c r="I98" i="32494"/>
  <c r="I99" i="32494"/>
  <c r="I100" i="32494"/>
  <c r="I101" i="32494"/>
  <c r="I102" i="32494"/>
  <c r="I103" i="32494"/>
  <c r="I104" i="32494"/>
  <c r="I105" i="32494"/>
  <c r="I106" i="32494"/>
  <c r="I107" i="32494"/>
  <c r="I108" i="32494"/>
  <c r="I109" i="32494"/>
  <c r="I110" i="32494"/>
  <c r="I111" i="32494"/>
  <c r="I112" i="32494"/>
  <c r="I113" i="32494"/>
  <c r="I114" i="32494"/>
  <c r="I115" i="32494"/>
  <c r="I116" i="32494"/>
  <c r="I117" i="32494"/>
  <c r="I118" i="32494"/>
  <c r="I119" i="32494"/>
  <c r="I120" i="32494"/>
  <c r="I121" i="32494"/>
  <c r="I122" i="32494"/>
  <c r="I123" i="32494"/>
  <c r="I124" i="32494"/>
  <c r="I125" i="32494"/>
  <c r="I126" i="32494"/>
  <c r="I127" i="32494"/>
  <c r="I128" i="32494"/>
  <c r="I129" i="32494"/>
  <c r="I130" i="32494"/>
  <c r="I131" i="32494"/>
  <c r="I132" i="32494"/>
  <c r="I133" i="32494"/>
  <c r="I134" i="32494"/>
  <c r="I135" i="32494"/>
  <c r="I136" i="32494"/>
  <c r="I137" i="32494"/>
  <c r="I138" i="32494"/>
  <c r="I139" i="32494"/>
  <c r="I140" i="32494"/>
  <c r="I141" i="32494"/>
  <c r="I142" i="32494"/>
  <c r="I143" i="32494"/>
  <c r="I144" i="32494"/>
  <c r="I145" i="32494"/>
  <c r="I146" i="32494"/>
  <c r="I147" i="32494"/>
  <c r="I148" i="32494"/>
  <c r="I149" i="32494"/>
  <c r="I150" i="32494"/>
  <c r="I151" i="32494"/>
  <c r="I152" i="32494"/>
  <c r="I153" i="32494"/>
  <c r="I154" i="32494"/>
  <c r="I155" i="32494"/>
  <c r="I156" i="32494"/>
  <c r="I157" i="32494"/>
  <c r="I158" i="32494"/>
  <c r="I159" i="32494"/>
  <c r="I160" i="32494"/>
  <c r="I161" i="32494"/>
  <c r="I162" i="32494"/>
  <c r="I163" i="32494"/>
  <c r="I164" i="32494"/>
  <c r="I165" i="32494"/>
  <c r="I166" i="32494"/>
  <c r="I167" i="32494"/>
  <c r="I168" i="32494"/>
  <c r="I169" i="32494"/>
  <c r="I170" i="32494"/>
  <c r="I171" i="32494"/>
  <c r="I172" i="32494"/>
  <c r="I173" i="32494"/>
  <c r="I174" i="32494"/>
  <c r="I175" i="32494"/>
  <c r="I176" i="32494"/>
  <c r="I177" i="32494"/>
  <c r="I178" i="32494"/>
  <c r="I179" i="32494"/>
  <c r="I180" i="32494"/>
  <c r="I181" i="32494"/>
  <c r="I182" i="32494"/>
  <c r="I183" i="32494"/>
  <c r="I184" i="32494"/>
  <c r="I185" i="32494"/>
  <c r="I186" i="32494"/>
  <c r="I187" i="32494"/>
  <c r="I188" i="32494"/>
  <c r="I189" i="32494"/>
  <c r="I190" i="32494"/>
  <c r="I191" i="32494"/>
  <c r="I192" i="32494"/>
  <c r="I193" i="32494"/>
  <c r="I194" i="32494"/>
  <c r="I195" i="32494"/>
  <c r="I196" i="32494"/>
  <c r="I197" i="32494"/>
  <c r="I198" i="32494"/>
  <c r="I199" i="32494"/>
  <c r="I200" i="32494"/>
  <c r="I201" i="32494"/>
  <c r="I202" i="32494"/>
  <c r="I203" i="32494"/>
  <c r="I204" i="32494"/>
  <c r="I205" i="32494"/>
  <c r="I206" i="32494"/>
  <c r="I207" i="32494"/>
  <c r="I208" i="32494"/>
  <c r="I209" i="32494"/>
  <c r="I210" i="32494"/>
  <c r="I211" i="32494"/>
  <c r="I212" i="32494"/>
  <c r="I213" i="32494"/>
  <c r="I214" i="32494"/>
  <c r="I215" i="32494"/>
  <c r="I216" i="32494"/>
  <c r="I217" i="32494"/>
  <c r="I218" i="32494"/>
  <c r="I219" i="32494"/>
  <c r="I220" i="32494"/>
  <c r="I221" i="32494"/>
  <c r="I222" i="32494"/>
  <c r="I223" i="32494"/>
  <c r="I224" i="32494"/>
  <c r="I225" i="32494"/>
  <c r="I226" i="32494"/>
  <c r="I227" i="32494"/>
  <c r="I228" i="32494"/>
  <c r="I229" i="32494"/>
  <c r="I230" i="32494"/>
  <c r="I231" i="32494"/>
  <c r="I232" i="32494"/>
  <c r="I233" i="32494"/>
  <c r="I234" i="32494"/>
  <c r="I235" i="32494"/>
  <c r="I236" i="32494"/>
  <c r="I237" i="32494"/>
  <c r="I238" i="32494"/>
  <c r="I239" i="32494"/>
  <c r="I240" i="32494"/>
  <c r="I241" i="32494"/>
  <c r="I242" i="32494"/>
  <c r="I243" i="32494"/>
  <c r="I244" i="32494"/>
  <c r="I245" i="32494"/>
  <c r="I246" i="32494"/>
  <c r="I247" i="32494"/>
  <c r="I248" i="32494"/>
  <c r="I249" i="32494"/>
  <c r="I250" i="32494"/>
  <c r="I251" i="32494"/>
  <c r="I252" i="32494"/>
  <c r="I253" i="32494"/>
  <c r="I254" i="32494"/>
  <c r="I255" i="32494"/>
  <c r="I256" i="32494"/>
  <c r="I257" i="32494"/>
  <c r="I258" i="32494"/>
  <c r="I259" i="32494"/>
  <c r="I260" i="32494"/>
  <c r="I261" i="32494"/>
  <c r="I262" i="32494"/>
  <c r="I263" i="32494"/>
  <c r="I264" i="32494"/>
  <c r="I265" i="32494"/>
  <c r="I266" i="32494"/>
  <c r="I267" i="32494"/>
  <c r="I268" i="32494"/>
  <c r="I269" i="32494"/>
  <c r="I270" i="32494"/>
  <c r="I271" i="32494"/>
  <c r="I272" i="32494"/>
  <c r="I273" i="32494"/>
  <c r="I274" i="32494"/>
  <c r="I275" i="32494"/>
  <c r="I276" i="32494"/>
  <c r="I277" i="32494"/>
  <c r="I278" i="32494"/>
  <c r="I279" i="32494"/>
  <c r="I280" i="32494"/>
  <c r="I281" i="32494"/>
  <c r="I282" i="32494"/>
  <c r="I283" i="32494"/>
  <c r="I284" i="32494"/>
  <c r="I285" i="32494"/>
  <c r="I286" i="32494"/>
  <c r="I287" i="32494"/>
  <c r="I288" i="32494"/>
  <c r="I289" i="32494"/>
  <c r="I290" i="32494"/>
  <c r="I291" i="32494"/>
  <c r="I292" i="32494"/>
  <c r="I293" i="32494"/>
  <c r="I294" i="32494"/>
  <c r="I295" i="32494"/>
  <c r="I296" i="32494"/>
  <c r="I297" i="32494"/>
  <c r="I298" i="32494"/>
  <c r="I299" i="32494"/>
  <c r="I300" i="32494"/>
  <c r="I301" i="32494"/>
  <c r="H7" i="32494"/>
  <c r="H8" i="32494"/>
  <c r="H9" i="32494"/>
  <c r="H10" i="32494"/>
  <c r="H11" i="32494"/>
  <c r="H12" i="32494"/>
  <c r="H13" i="32494"/>
  <c r="H14" i="32494"/>
  <c r="H15" i="32494"/>
  <c r="H16" i="32494"/>
  <c r="H17" i="32494"/>
  <c r="H18" i="32494"/>
  <c r="H19" i="32494"/>
  <c r="H20" i="32494"/>
  <c r="H21" i="32494"/>
  <c r="H22" i="32494"/>
  <c r="H23" i="32494"/>
  <c r="H24" i="32494"/>
  <c r="H25" i="32494"/>
  <c r="H26" i="32494"/>
  <c r="H27" i="32494"/>
  <c r="H28" i="32494"/>
  <c r="H29" i="32494"/>
  <c r="H30" i="32494"/>
  <c r="H31" i="32494"/>
  <c r="H32" i="32494"/>
  <c r="H33" i="32494"/>
  <c r="H34" i="32494"/>
  <c r="H35" i="32494"/>
  <c r="H36" i="32494"/>
  <c r="H37" i="32494"/>
  <c r="H38" i="32494"/>
  <c r="H39" i="32494"/>
  <c r="H40" i="32494"/>
  <c r="H41" i="32494"/>
  <c r="H42" i="32494"/>
  <c r="H43" i="32494"/>
  <c r="H44" i="32494"/>
  <c r="H45" i="32494"/>
  <c r="H46" i="32494"/>
  <c r="H47" i="32494"/>
  <c r="H48" i="32494"/>
  <c r="H49" i="32494"/>
  <c r="H50" i="32494"/>
  <c r="H51" i="32494"/>
  <c r="H52" i="32494"/>
  <c r="H53" i="32494"/>
  <c r="H54" i="32494"/>
  <c r="H55" i="32494"/>
  <c r="H56" i="32494"/>
  <c r="H57" i="32494"/>
  <c r="H58" i="32494"/>
  <c r="H59" i="32494"/>
  <c r="H60" i="32494"/>
  <c r="H61" i="32494"/>
  <c r="H62" i="32494"/>
  <c r="H63" i="32494"/>
  <c r="H64" i="32494"/>
  <c r="H65" i="32494"/>
  <c r="H66" i="32494"/>
  <c r="H67" i="32494"/>
  <c r="H68" i="32494"/>
  <c r="H69" i="32494"/>
  <c r="H70" i="32494"/>
  <c r="H71" i="32494"/>
  <c r="H72" i="32494"/>
  <c r="H73" i="32494"/>
  <c r="H74" i="32494"/>
  <c r="H75" i="32494"/>
  <c r="H76" i="32494"/>
  <c r="H77" i="32494"/>
  <c r="H78" i="32494"/>
  <c r="H79" i="32494"/>
  <c r="H80" i="32494"/>
  <c r="H81" i="32494"/>
  <c r="H82" i="32494"/>
  <c r="H83" i="32494"/>
  <c r="H84" i="32494"/>
  <c r="H85" i="32494"/>
  <c r="H86" i="32494"/>
  <c r="H87" i="32494"/>
  <c r="H88" i="32494"/>
  <c r="H89" i="32494"/>
  <c r="H90" i="32494"/>
  <c r="H91" i="32494"/>
  <c r="H92" i="32494"/>
  <c r="H93" i="32494"/>
  <c r="H94" i="32494"/>
  <c r="H95" i="32494"/>
  <c r="H96" i="32494"/>
  <c r="H97" i="32494"/>
  <c r="H98" i="32494"/>
  <c r="H99" i="32494"/>
  <c r="H100" i="32494"/>
  <c r="H101" i="32494"/>
  <c r="H102" i="32494"/>
  <c r="H103" i="32494"/>
  <c r="H104" i="32494"/>
  <c r="H105" i="32494"/>
  <c r="H106" i="32494"/>
  <c r="H107" i="32494"/>
  <c r="H108" i="32494"/>
  <c r="H109" i="32494"/>
  <c r="H110" i="32494"/>
  <c r="H111" i="32494"/>
  <c r="H112" i="32494"/>
  <c r="H113" i="32494"/>
  <c r="H114" i="32494"/>
  <c r="H115" i="32494"/>
  <c r="H116" i="32494"/>
  <c r="H117" i="32494"/>
  <c r="H118" i="32494"/>
  <c r="H119" i="32494"/>
  <c r="H120" i="32494"/>
  <c r="H121" i="32494"/>
  <c r="H122" i="32494"/>
  <c r="H123" i="32494"/>
  <c r="H124" i="32494"/>
  <c r="H125" i="32494"/>
  <c r="H126" i="32494"/>
  <c r="H127" i="32494"/>
  <c r="H128" i="32494"/>
  <c r="H129" i="32494"/>
  <c r="H130" i="32494"/>
  <c r="H131" i="32494"/>
  <c r="H132" i="32494"/>
  <c r="H133" i="32494"/>
  <c r="H134" i="32494"/>
  <c r="H135" i="32494"/>
  <c r="H136" i="32494"/>
  <c r="H137" i="32494"/>
  <c r="H138" i="32494"/>
  <c r="H139" i="32494"/>
  <c r="H140" i="32494"/>
  <c r="H141" i="32494"/>
  <c r="H142" i="32494"/>
  <c r="H143" i="32494"/>
  <c r="H144" i="32494"/>
  <c r="H145" i="32494"/>
  <c r="H146" i="32494"/>
  <c r="H147" i="32494"/>
  <c r="H148" i="32494"/>
  <c r="H149" i="32494"/>
  <c r="H150" i="32494"/>
  <c r="H151" i="32494"/>
  <c r="H152" i="32494"/>
  <c r="H153" i="32494"/>
  <c r="H154" i="32494"/>
  <c r="H155" i="32494"/>
  <c r="H156" i="32494"/>
  <c r="H157" i="32494"/>
  <c r="H158" i="32494"/>
  <c r="H159" i="32494"/>
  <c r="H160" i="32494"/>
  <c r="H161" i="32494"/>
  <c r="H162" i="32494"/>
  <c r="H163" i="32494"/>
  <c r="H164" i="32494"/>
  <c r="H165" i="32494"/>
  <c r="H166" i="32494"/>
  <c r="H167" i="32494"/>
  <c r="H168" i="32494"/>
  <c r="H169" i="32494"/>
  <c r="H170" i="32494"/>
  <c r="H171" i="32494"/>
  <c r="H172" i="32494"/>
  <c r="H173" i="32494"/>
  <c r="H174" i="32494"/>
  <c r="H175" i="32494"/>
  <c r="H176" i="32494"/>
  <c r="H177" i="32494"/>
  <c r="H178" i="32494"/>
  <c r="H179" i="32494"/>
  <c r="H180" i="32494"/>
  <c r="H181" i="32494"/>
  <c r="H182" i="32494"/>
  <c r="H183" i="32494"/>
  <c r="H184" i="32494"/>
  <c r="H185" i="32494"/>
  <c r="H186" i="32494"/>
  <c r="H187" i="32494"/>
  <c r="H188" i="32494"/>
  <c r="H189" i="32494"/>
  <c r="H190" i="32494"/>
  <c r="H191" i="32494"/>
  <c r="H192" i="32494"/>
  <c r="H193" i="32494"/>
  <c r="H194" i="32494"/>
  <c r="H195" i="32494"/>
  <c r="H196" i="32494"/>
  <c r="H197" i="32494"/>
  <c r="H198" i="32494"/>
  <c r="H199" i="32494"/>
  <c r="H200" i="32494"/>
  <c r="H201" i="32494"/>
  <c r="H202" i="32494"/>
  <c r="H203" i="32494"/>
  <c r="H204" i="32494"/>
  <c r="H205" i="32494"/>
  <c r="H206" i="32494"/>
  <c r="H207" i="32494"/>
  <c r="H208" i="32494"/>
  <c r="H209" i="32494"/>
  <c r="H210" i="32494"/>
  <c r="H211" i="32494"/>
  <c r="H212" i="32494"/>
  <c r="H213" i="32494"/>
  <c r="H214" i="32494"/>
  <c r="H215" i="32494"/>
  <c r="H216" i="32494"/>
  <c r="H217" i="32494"/>
  <c r="H218" i="32494"/>
  <c r="H219" i="32494"/>
  <c r="H220" i="32494"/>
  <c r="H221" i="32494"/>
  <c r="H222" i="32494"/>
  <c r="H223" i="32494"/>
  <c r="H224" i="32494"/>
  <c r="H225" i="32494"/>
  <c r="H226" i="32494"/>
  <c r="H227" i="32494"/>
  <c r="H228" i="32494"/>
  <c r="H229" i="32494"/>
  <c r="H230" i="32494"/>
  <c r="H231" i="32494"/>
  <c r="H232" i="32494"/>
  <c r="H233" i="32494"/>
  <c r="H234" i="32494"/>
  <c r="H235" i="32494"/>
  <c r="H236" i="32494"/>
  <c r="H237" i="32494"/>
  <c r="H238" i="32494"/>
  <c r="H239" i="32494"/>
  <c r="H240" i="32494"/>
  <c r="H241" i="32494"/>
  <c r="H242" i="32494"/>
  <c r="H243" i="32494"/>
  <c r="H244" i="32494"/>
  <c r="H245" i="32494"/>
  <c r="H246" i="32494"/>
  <c r="H247" i="32494"/>
  <c r="H248" i="32494"/>
  <c r="H249" i="32494"/>
  <c r="H250" i="32494"/>
  <c r="H251" i="32494"/>
  <c r="H252" i="32494"/>
  <c r="H253" i="32494"/>
  <c r="H254" i="32494"/>
  <c r="H255" i="32494"/>
  <c r="H256" i="32494"/>
  <c r="H257" i="32494"/>
  <c r="H258" i="32494"/>
  <c r="H259" i="32494"/>
  <c r="H260" i="32494"/>
  <c r="H261" i="32494"/>
  <c r="H262" i="32494"/>
  <c r="H263" i="32494"/>
  <c r="H264" i="32494"/>
  <c r="H265" i="32494"/>
  <c r="H266" i="32494"/>
  <c r="H267" i="32494"/>
  <c r="H268" i="32494"/>
  <c r="H269" i="32494"/>
  <c r="H270" i="32494"/>
  <c r="H271" i="32494"/>
  <c r="H272" i="32494"/>
  <c r="H273" i="32494"/>
  <c r="H274" i="32494"/>
  <c r="H275" i="32494"/>
  <c r="H276" i="32494"/>
  <c r="H277" i="32494"/>
  <c r="H278" i="32494"/>
  <c r="H279" i="32494"/>
  <c r="H280" i="32494"/>
  <c r="H281" i="32494"/>
  <c r="H282" i="32494"/>
  <c r="H283" i="32494"/>
  <c r="H284" i="32494"/>
  <c r="H285" i="32494"/>
  <c r="H286" i="32494"/>
  <c r="H287" i="32494"/>
  <c r="H288" i="32494"/>
  <c r="H289" i="32494"/>
  <c r="H290" i="32494"/>
  <c r="H291" i="32494"/>
  <c r="H292" i="32494"/>
  <c r="H293" i="32494"/>
  <c r="H294" i="32494"/>
  <c r="H295" i="32494"/>
  <c r="H296" i="32494"/>
  <c r="H297" i="32494"/>
  <c r="H298" i="32494"/>
  <c r="H299" i="32494"/>
  <c r="H300" i="32494"/>
  <c r="H301" i="32494"/>
  <c r="G7" i="32494"/>
  <c r="G8" i="32494"/>
  <c r="G9" i="32494"/>
  <c r="G10" i="32494"/>
  <c r="G11" i="32494"/>
  <c r="G12" i="32494"/>
  <c r="G13" i="32494"/>
  <c r="G14" i="32494"/>
  <c r="G15" i="32494"/>
  <c r="G16" i="32494"/>
  <c r="G17" i="32494"/>
  <c r="G18" i="32494"/>
  <c r="G19" i="32494"/>
  <c r="G20" i="32494"/>
  <c r="G21" i="32494"/>
  <c r="G22" i="32494"/>
  <c r="G23" i="32494"/>
  <c r="G24" i="32494"/>
  <c r="G25" i="32494"/>
  <c r="G26" i="32494"/>
  <c r="G27" i="32494"/>
  <c r="G28" i="32494"/>
  <c r="G29" i="32494"/>
  <c r="G30" i="32494"/>
  <c r="G31" i="32494"/>
  <c r="G32" i="32494"/>
  <c r="G33" i="32494"/>
  <c r="G34" i="32494"/>
  <c r="G35" i="32494"/>
  <c r="G36" i="32494"/>
  <c r="G37" i="32494"/>
  <c r="G38" i="32494"/>
  <c r="G39" i="32494"/>
  <c r="G40" i="32494"/>
  <c r="G41" i="32494"/>
  <c r="G42" i="32494"/>
  <c r="G43" i="32494"/>
  <c r="G44" i="32494"/>
  <c r="G45" i="32494"/>
  <c r="G46" i="32494"/>
  <c r="G47" i="32494"/>
  <c r="G48" i="32494"/>
  <c r="G49" i="32494"/>
  <c r="G50" i="32494"/>
  <c r="G51" i="32494"/>
  <c r="G52" i="32494"/>
  <c r="G53" i="32494"/>
  <c r="G54" i="32494"/>
  <c r="G55" i="32494"/>
  <c r="G56" i="32494"/>
  <c r="G57" i="32494"/>
  <c r="G58" i="32494"/>
  <c r="G59" i="32494"/>
  <c r="G60" i="32494"/>
  <c r="G61" i="32494"/>
  <c r="G62" i="32494"/>
  <c r="G63" i="32494"/>
  <c r="G64" i="32494"/>
  <c r="G65" i="32494"/>
  <c r="G66" i="32494"/>
  <c r="G67" i="32494"/>
  <c r="G68" i="32494"/>
  <c r="G69" i="32494"/>
  <c r="G70" i="32494"/>
  <c r="G71" i="32494"/>
  <c r="G72" i="32494"/>
  <c r="G73" i="32494"/>
  <c r="G74" i="32494"/>
  <c r="G75" i="32494"/>
  <c r="G76" i="32494"/>
  <c r="G77" i="32494"/>
  <c r="G78" i="32494"/>
  <c r="G79" i="32494"/>
  <c r="G80" i="32494"/>
  <c r="G81" i="32494"/>
  <c r="G82" i="32494"/>
  <c r="G83" i="32494"/>
  <c r="G84" i="32494"/>
  <c r="G85" i="32494"/>
  <c r="G86" i="32494"/>
  <c r="G87" i="32494"/>
  <c r="G88" i="32494"/>
  <c r="G89" i="32494"/>
  <c r="G90" i="32494"/>
  <c r="G91" i="32494"/>
  <c r="G92" i="32494"/>
  <c r="G93" i="32494"/>
  <c r="G94" i="32494"/>
  <c r="G95" i="32494"/>
  <c r="G96" i="32494"/>
  <c r="G97" i="32494"/>
  <c r="G98" i="32494"/>
  <c r="G99" i="32494"/>
  <c r="G100" i="32494"/>
  <c r="G101" i="32494"/>
  <c r="G102" i="32494"/>
  <c r="G103" i="32494"/>
  <c r="G104" i="32494"/>
  <c r="G105" i="32494"/>
  <c r="G106" i="32494"/>
  <c r="G107" i="32494"/>
  <c r="G108" i="32494"/>
  <c r="G109" i="32494"/>
  <c r="G110" i="32494"/>
  <c r="G111" i="32494"/>
  <c r="G112" i="32494"/>
  <c r="G113" i="32494"/>
  <c r="G114" i="32494"/>
  <c r="G115" i="32494"/>
  <c r="G116" i="32494"/>
  <c r="G117" i="32494"/>
  <c r="G118" i="32494"/>
  <c r="G119" i="32494"/>
  <c r="G120" i="32494"/>
  <c r="G121" i="32494"/>
  <c r="G122" i="32494"/>
  <c r="G123" i="32494"/>
  <c r="G124" i="32494"/>
  <c r="G125" i="32494"/>
  <c r="G126" i="32494"/>
  <c r="G127" i="32494"/>
  <c r="G128" i="32494"/>
  <c r="G129" i="32494"/>
  <c r="G130" i="32494"/>
  <c r="G131" i="32494"/>
  <c r="G132" i="32494"/>
  <c r="G133" i="32494"/>
  <c r="G134" i="32494"/>
  <c r="G135" i="32494"/>
  <c r="G136" i="32494"/>
  <c r="G137" i="32494"/>
  <c r="G138" i="32494"/>
  <c r="G139" i="32494"/>
  <c r="G140" i="32494"/>
  <c r="G141" i="32494"/>
  <c r="G142" i="32494"/>
  <c r="G143" i="32494"/>
  <c r="G144" i="32494"/>
  <c r="G145" i="32494"/>
  <c r="G146" i="32494"/>
  <c r="G147" i="32494"/>
  <c r="G148" i="32494"/>
  <c r="G149" i="32494"/>
  <c r="G150" i="32494"/>
  <c r="G151" i="32494"/>
  <c r="G152" i="32494"/>
  <c r="G153" i="32494"/>
  <c r="G154" i="32494"/>
  <c r="G155" i="32494"/>
  <c r="G156" i="32494"/>
  <c r="G157" i="32494"/>
  <c r="G158" i="32494"/>
  <c r="G159" i="32494"/>
  <c r="G160" i="32494"/>
  <c r="G161" i="32494"/>
  <c r="G162" i="32494"/>
  <c r="G163" i="32494"/>
  <c r="G164" i="32494"/>
  <c r="G165" i="32494"/>
  <c r="G166" i="32494"/>
  <c r="G167" i="32494"/>
  <c r="G168" i="32494"/>
  <c r="G169" i="32494"/>
  <c r="G170" i="32494"/>
  <c r="G171" i="32494"/>
  <c r="G172" i="32494"/>
  <c r="G173" i="32494"/>
  <c r="G174" i="32494"/>
  <c r="G175" i="32494"/>
  <c r="G176" i="32494"/>
  <c r="G177" i="32494"/>
  <c r="G178" i="32494"/>
  <c r="G179" i="32494"/>
  <c r="G180" i="32494"/>
  <c r="G181" i="32494"/>
  <c r="G182" i="32494"/>
  <c r="G183" i="32494"/>
  <c r="G184" i="32494"/>
  <c r="G185" i="32494"/>
  <c r="G186" i="32494"/>
  <c r="G187" i="32494"/>
  <c r="G188" i="32494"/>
  <c r="G189" i="32494"/>
  <c r="G190" i="32494"/>
  <c r="G191" i="32494"/>
  <c r="G192" i="32494"/>
  <c r="G193" i="32494"/>
  <c r="G194" i="32494"/>
  <c r="G195" i="32494"/>
  <c r="G196" i="32494"/>
  <c r="G197" i="32494"/>
  <c r="G198" i="32494"/>
  <c r="G199" i="32494"/>
  <c r="G200" i="32494"/>
  <c r="G201" i="32494"/>
  <c r="G202" i="32494"/>
  <c r="G203" i="32494"/>
  <c r="G204" i="32494"/>
  <c r="G205" i="32494"/>
  <c r="G206" i="32494"/>
  <c r="G207" i="32494"/>
  <c r="G208" i="32494"/>
  <c r="G209" i="32494"/>
  <c r="G210" i="32494"/>
  <c r="G211" i="32494"/>
  <c r="G212" i="32494"/>
  <c r="G213" i="32494"/>
  <c r="G214" i="32494"/>
  <c r="G215" i="32494"/>
  <c r="G216" i="32494"/>
  <c r="G217" i="32494"/>
  <c r="G218" i="32494"/>
  <c r="G219" i="32494"/>
  <c r="G220" i="32494"/>
  <c r="G221" i="32494"/>
  <c r="G222" i="32494"/>
  <c r="G223" i="32494"/>
  <c r="G224" i="32494"/>
  <c r="G225" i="32494"/>
  <c r="G226" i="32494"/>
  <c r="G227" i="32494"/>
  <c r="G228" i="32494"/>
  <c r="G229" i="32494"/>
  <c r="G230" i="32494"/>
  <c r="G231" i="32494"/>
  <c r="G232" i="32494"/>
  <c r="G233" i="32494"/>
  <c r="G234" i="32494"/>
  <c r="G235" i="32494"/>
  <c r="G236" i="32494"/>
  <c r="G237" i="32494"/>
  <c r="G238" i="32494"/>
  <c r="G239" i="32494"/>
  <c r="G240" i="32494"/>
  <c r="G241" i="32494"/>
  <c r="G242" i="32494"/>
  <c r="G243" i="32494"/>
  <c r="G244" i="32494"/>
  <c r="G245" i="32494"/>
  <c r="G246" i="32494"/>
  <c r="G247" i="32494"/>
  <c r="G248" i="32494"/>
  <c r="G249" i="32494"/>
  <c r="G250" i="32494"/>
  <c r="G251" i="32494"/>
  <c r="G252" i="32494"/>
  <c r="G253" i="32494"/>
  <c r="G254" i="32494"/>
  <c r="G255" i="32494"/>
  <c r="G256" i="32494"/>
  <c r="G257" i="32494"/>
  <c r="G258" i="32494"/>
  <c r="G259" i="32494"/>
  <c r="G260" i="32494"/>
  <c r="G261" i="32494"/>
  <c r="G262" i="32494"/>
  <c r="G263" i="32494"/>
  <c r="G264" i="32494"/>
  <c r="G265" i="32494"/>
  <c r="G266" i="32494"/>
  <c r="G267" i="32494"/>
  <c r="G268" i="32494"/>
  <c r="G269" i="32494"/>
  <c r="G270" i="32494"/>
  <c r="G271" i="32494"/>
  <c r="G272" i="32494"/>
  <c r="G273" i="32494"/>
  <c r="G274" i="32494"/>
  <c r="G275" i="32494"/>
  <c r="G276" i="32494"/>
  <c r="G277" i="32494"/>
  <c r="G278" i="32494"/>
  <c r="G279" i="32494"/>
  <c r="G280" i="32494"/>
  <c r="G281" i="32494"/>
  <c r="G282" i="32494"/>
  <c r="G283" i="32494"/>
  <c r="G284" i="32494"/>
  <c r="G285" i="32494"/>
  <c r="G286" i="32494"/>
  <c r="G287" i="32494"/>
  <c r="G288" i="32494"/>
  <c r="G289" i="32494"/>
  <c r="G290" i="32494"/>
  <c r="G291" i="32494"/>
  <c r="G292" i="32494"/>
  <c r="G293" i="32494"/>
  <c r="G294" i="32494"/>
  <c r="G295" i="32494"/>
  <c r="G296" i="32494"/>
  <c r="G297" i="32494"/>
  <c r="G298" i="32494"/>
  <c r="G299" i="32494"/>
  <c r="G300" i="32494"/>
  <c r="G301" i="32494"/>
  <c r="AL37" i="32494"/>
  <c r="AL38" i="32494"/>
  <c r="AL39" i="32494"/>
  <c r="AL40" i="32494"/>
  <c r="AL41" i="32494"/>
  <c r="AL42" i="32494"/>
  <c r="AL43" i="32494"/>
  <c r="AL44" i="32494"/>
  <c r="AL45" i="32494"/>
  <c r="AL46" i="32494"/>
  <c r="AL47" i="32494"/>
  <c r="AL48" i="32494"/>
  <c r="AL49" i="32494"/>
  <c r="AL50" i="32494"/>
  <c r="AL51" i="32494"/>
  <c r="AL52" i="32494"/>
  <c r="AL53" i="32494"/>
  <c r="AL54" i="32494"/>
  <c r="AL55" i="32494"/>
  <c r="AL56" i="32494"/>
  <c r="AL36" i="32494"/>
  <c r="F667" i="32498"/>
  <c r="M667" i="32498"/>
  <c r="N667" i="32498"/>
  <c r="F668" i="32498"/>
  <c r="M668" i="32498"/>
  <c r="N668" i="32498"/>
  <c r="F669" i="32498"/>
  <c r="M669" i="32498"/>
  <c r="N669" i="32498"/>
  <c r="F670" i="32498"/>
  <c r="M670" i="32498"/>
  <c r="N670" i="32498"/>
  <c r="F671" i="32498"/>
  <c r="M671" i="32498"/>
  <c r="N671" i="32498"/>
  <c r="F672" i="32498"/>
  <c r="M672" i="32498"/>
  <c r="N672" i="32498"/>
  <c r="F673" i="32498"/>
  <c r="M673" i="32498"/>
  <c r="N673" i="32498"/>
  <c r="F674" i="32498"/>
  <c r="M674" i="32498"/>
  <c r="N674" i="32498"/>
  <c r="F675" i="32498"/>
  <c r="M675" i="32498"/>
  <c r="N675" i="32498"/>
  <c r="F676" i="32498"/>
  <c r="M676" i="32498"/>
  <c r="N676" i="32498"/>
  <c r="AU2" i="32497"/>
  <c r="AT2" i="32497"/>
  <c r="AS2" i="32497"/>
  <c r="AR2" i="32497"/>
  <c r="AQ2" i="32497"/>
  <c r="AM2" i="32497"/>
  <c r="AL2" i="32497"/>
  <c r="AK2" i="32497"/>
  <c r="AJ2" i="32497"/>
  <c r="AI2" i="32497"/>
  <c r="AH2" i="32497"/>
  <c r="AG2" i="32497"/>
  <c r="AE2" i="32497"/>
  <c r="AD2" i="32497"/>
  <c r="AC2" i="32497"/>
  <c r="AB2" i="32497"/>
  <c r="AA2" i="32497"/>
  <c r="Z2" i="32497"/>
  <c r="Y2" i="32497"/>
  <c r="W2" i="32497"/>
  <c r="V2" i="32497"/>
  <c r="U2" i="32497"/>
  <c r="T2" i="32497"/>
  <c r="S2" i="32497"/>
  <c r="R2" i="32497"/>
  <c r="Q2" i="32497"/>
  <c r="P2" i="32497"/>
  <c r="O2" i="32497"/>
  <c r="N2" i="32497"/>
  <c r="M2" i="32497"/>
  <c r="L2" i="32497"/>
  <c r="K2" i="32497"/>
  <c r="J2" i="32497"/>
  <c r="H2" i="32497"/>
  <c r="N666" i="32498"/>
  <c r="M666" i="32498"/>
  <c r="F666" i="32498"/>
  <c r="N665" i="32498"/>
  <c r="M665" i="32498"/>
  <c r="F665" i="32498"/>
  <c r="N664" i="32498"/>
  <c r="M664" i="32498"/>
  <c r="F664" i="32498"/>
  <c r="N663" i="32498"/>
  <c r="M663" i="32498"/>
  <c r="F663" i="32498"/>
  <c r="N662" i="32498"/>
  <c r="M662" i="32498"/>
  <c r="F662" i="32498"/>
  <c r="N661" i="32498"/>
  <c r="M661" i="32498"/>
  <c r="F661" i="32498"/>
  <c r="N660" i="32498"/>
  <c r="M660" i="32498"/>
  <c r="F660" i="32498"/>
  <c r="N659" i="32498"/>
  <c r="M659" i="32498"/>
  <c r="F659" i="32498"/>
  <c r="N658" i="32498"/>
  <c r="M658" i="32498"/>
  <c r="F658" i="32498"/>
  <c r="N657" i="32498"/>
  <c r="M657" i="32498"/>
  <c r="F657" i="32498"/>
  <c r="N656" i="32498"/>
  <c r="M656" i="32498"/>
  <c r="F656" i="32498"/>
  <c r="N655" i="32498"/>
  <c r="M655" i="32498"/>
  <c r="F655" i="32498"/>
  <c r="N654" i="32498"/>
  <c r="M654" i="32498"/>
  <c r="F654" i="32498"/>
  <c r="N653" i="32498"/>
  <c r="M653" i="32498"/>
  <c r="F653" i="32498"/>
  <c r="N652" i="32498"/>
  <c r="M652" i="32498"/>
  <c r="F652" i="32498"/>
  <c r="N651" i="32498"/>
  <c r="M651" i="32498"/>
  <c r="F651" i="32498"/>
  <c r="N650" i="32498"/>
  <c r="M650" i="32498"/>
  <c r="F650" i="32498"/>
  <c r="N649" i="32498"/>
  <c r="M649" i="32498"/>
  <c r="F649" i="32498"/>
  <c r="N648" i="32498"/>
  <c r="M648" i="32498"/>
  <c r="F648" i="32498"/>
  <c r="N647" i="32498"/>
  <c r="M647" i="32498"/>
  <c r="F647" i="32498"/>
  <c r="N646" i="32498"/>
  <c r="M646" i="32498"/>
  <c r="F646" i="32498"/>
  <c r="N645" i="32498"/>
  <c r="M645" i="32498"/>
  <c r="F645" i="32498"/>
  <c r="N644" i="32498"/>
  <c r="M644" i="32498"/>
  <c r="F644" i="32498"/>
  <c r="N643" i="32498"/>
  <c r="M643" i="32498"/>
  <c r="F643" i="32498"/>
  <c r="N642" i="32498"/>
  <c r="M642" i="32498"/>
  <c r="F642" i="32498"/>
  <c r="N641" i="32498"/>
  <c r="M641" i="32498"/>
  <c r="F641" i="32498"/>
  <c r="N640" i="32498"/>
  <c r="M640" i="32498"/>
  <c r="F640" i="32498"/>
  <c r="N639" i="32498"/>
  <c r="M639" i="32498"/>
  <c r="F639" i="32498"/>
  <c r="N638" i="32498"/>
  <c r="M638" i="32498"/>
  <c r="F638" i="32498"/>
  <c r="N637" i="32498"/>
  <c r="M637" i="32498"/>
  <c r="F637" i="32498"/>
  <c r="N636" i="32498"/>
  <c r="M636" i="32498"/>
  <c r="F636" i="32498"/>
  <c r="N635" i="32498"/>
  <c r="M635" i="32498"/>
  <c r="F635" i="32498"/>
  <c r="N634" i="32498"/>
  <c r="M634" i="32498"/>
  <c r="F634" i="32498"/>
  <c r="N633" i="32498"/>
  <c r="M633" i="32498"/>
  <c r="F633" i="32498"/>
  <c r="N632" i="32498"/>
  <c r="M632" i="32498"/>
  <c r="F632" i="32498"/>
  <c r="N631" i="32498"/>
  <c r="M631" i="32498"/>
  <c r="F631" i="32498"/>
  <c r="N630" i="32498"/>
  <c r="M630" i="32498"/>
  <c r="F630" i="32498"/>
  <c r="N629" i="32498"/>
  <c r="M629" i="32498"/>
  <c r="F629" i="32498"/>
  <c r="N628" i="32498"/>
  <c r="M628" i="32498"/>
  <c r="F628" i="32498"/>
  <c r="N627" i="32498"/>
  <c r="M627" i="32498"/>
  <c r="F627" i="32498"/>
  <c r="N626" i="32498"/>
  <c r="M626" i="32498"/>
  <c r="F626" i="32498"/>
  <c r="N625" i="32498"/>
  <c r="M625" i="32498"/>
  <c r="F625" i="32498"/>
  <c r="N624" i="32498"/>
  <c r="M624" i="32498"/>
  <c r="F624" i="32498"/>
  <c r="N623" i="32498"/>
  <c r="M623" i="32498"/>
  <c r="F623" i="32498"/>
  <c r="N622" i="32498"/>
  <c r="M622" i="32498"/>
  <c r="F622" i="32498"/>
  <c r="N621" i="32498"/>
  <c r="M621" i="32498"/>
  <c r="F621" i="32498"/>
  <c r="N620" i="32498"/>
  <c r="M620" i="32498"/>
  <c r="F620" i="32498"/>
  <c r="N619" i="32498"/>
  <c r="M619" i="32498"/>
  <c r="F619" i="32498"/>
  <c r="N618" i="32498"/>
  <c r="M618" i="32498"/>
  <c r="F618" i="32498"/>
  <c r="N617" i="32498"/>
  <c r="M617" i="32498"/>
  <c r="F617" i="32498"/>
  <c r="N616" i="32498"/>
  <c r="M616" i="32498"/>
  <c r="F616" i="32498"/>
  <c r="N615" i="32498"/>
  <c r="M615" i="32498"/>
  <c r="F615" i="32498"/>
  <c r="N614" i="32498"/>
  <c r="M614" i="32498"/>
  <c r="F614" i="32498"/>
  <c r="N613" i="32498"/>
  <c r="M613" i="32498"/>
  <c r="F613" i="32498"/>
  <c r="N612" i="32498"/>
  <c r="M612" i="32498"/>
  <c r="F612" i="32498"/>
  <c r="N611" i="32498"/>
  <c r="M611" i="32498"/>
  <c r="F611" i="32498"/>
  <c r="N610" i="32498"/>
  <c r="M610" i="32498"/>
  <c r="F610" i="32498"/>
  <c r="N609" i="32498"/>
  <c r="M609" i="32498"/>
  <c r="F609" i="32498"/>
  <c r="N608" i="32498"/>
  <c r="M608" i="32498"/>
  <c r="F608" i="32498"/>
  <c r="N607" i="32498"/>
  <c r="M607" i="32498"/>
  <c r="F607" i="32498"/>
  <c r="N606" i="32498"/>
  <c r="M606" i="32498"/>
  <c r="F606" i="32498"/>
  <c r="N605" i="32498"/>
  <c r="M605" i="32498"/>
  <c r="F605" i="32498"/>
  <c r="N604" i="32498"/>
  <c r="M604" i="32498"/>
  <c r="F604" i="32498"/>
  <c r="N603" i="32498"/>
  <c r="M603" i="32498"/>
  <c r="F603" i="32498"/>
  <c r="N602" i="32498"/>
  <c r="M602" i="32498"/>
  <c r="F602" i="32498"/>
  <c r="N601" i="32498"/>
  <c r="M601" i="32498"/>
  <c r="F601" i="32498"/>
  <c r="N600" i="32498"/>
  <c r="M600" i="32498"/>
  <c r="F600" i="32498"/>
  <c r="N599" i="32498"/>
  <c r="M599" i="32498"/>
  <c r="F599" i="32498"/>
  <c r="N598" i="32498"/>
  <c r="M598" i="32498"/>
  <c r="F598" i="32498"/>
  <c r="N597" i="32498"/>
  <c r="M597" i="32498"/>
  <c r="F597" i="32498"/>
  <c r="N596" i="32498"/>
  <c r="M596" i="32498"/>
  <c r="F596" i="32498"/>
  <c r="N595" i="32498"/>
  <c r="M595" i="32498"/>
  <c r="F595" i="32498"/>
  <c r="N594" i="32498"/>
  <c r="M594" i="32498"/>
  <c r="F594" i="32498"/>
  <c r="N593" i="32498"/>
  <c r="M593" i="32498"/>
  <c r="F593" i="32498"/>
  <c r="N592" i="32498"/>
  <c r="M592" i="32498"/>
  <c r="F592" i="32498"/>
  <c r="N591" i="32498"/>
  <c r="M591" i="32498"/>
  <c r="F591" i="32498"/>
  <c r="N590" i="32498"/>
  <c r="M590" i="32498"/>
  <c r="F590" i="32498"/>
  <c r="N589" i="32498"/>
  <c r="M589" i="32498"/>
  <c r="F589" i="32498"/>
  <c r="N588" i="32498"/>
  <c r="M588" i="32498"/>
  <c r="F588" i="32498"/>
  <c r="N587" i="32498"/>
  <c r="M587" i="32498"/>
  <c r="F587" i="32498"/>
  <c r="N586" i="32498"/>
  <c r="M586" i="32498"/>
  <c r="F586" i="32498"/>
  <c r="N585" i="32498"/>
  <c r="M585" i="32498"/>
  <c r="F585" i="32498"/>
  <c r="N584" i="32498"/>
  <c r="M584" i="32498"/>
  <c r="F584" i="32498"/>
  <c r="N583" i="32498"/>
  <c r="M583" i="32498"/>
  <c r="F583" i="32498"/>
  <c r="N582" i="32498"/>
  <c r="M582" i="32498"/>
  <c r="F582" i="32498"/>
  <c r="N581" i="32498"/>
  <c r="M581" i="32498"/>
  <c r="F581" i="32498"/>
  <c r="N580" i="32498"/>
  <c r="M580" i="32498"/>
  <c r="F580" i="32498"/>
  <c r="N579" i="32498"/>
  <c r="M579" i="32498"/>
  <c r="F579" i="32498"/>
  <c r="N578" i="32498"/>
  <c r="M578" i="32498"/>
  <c r="F578" i="32498"/>
  <c r="N577" i="32498"/>
  <c r="M577" i="32498"/>
  <c r="F577" i="32498"/>
  <c r="N576" i="32498"/>
  <c r="M576" i="32498"/>
  <c r="F576" i="32498"/>
  <c r="N575" i="32498"/>
  <c r="M575" i="32498"/>
  <c r="F575" i="32498"/>
  <c r="N574" i="32498"/>
  <c r="M574" i="32498"/>
  <c r="F574" i="32498"/>
  <c r="N573" i="32498"/>
  <c r="M573" i="32498"/>
  <c r="F573" i="32498"/>
  <c r="N572" i="32498"/>
  <c r="M572" i="32498"/>
  <c r="F572" i="32498"/>
  <c r="N571" i="32498"/>
  <c r="M571" i="32498"/>
  <c r="F571" i="32498"/>
  <c r="N570" i="32498"/>
  <c r="M570" i="32498"/>
  <c r="F570" i="32498"/>
  <c r="N569" i="32498"/>
  <c r="M569" i="32498"/>
  <c r="F569" i="32498"/>
  <c r="N568" i="32498"/>
  <c r="M568" i="32498"/>
  <c r="F568" i="32498"/>
  <c r="N567" i="32498"/>
  <c r="M567" i="32498"/>
  <c r="F567" i="32498"/>
  <c r="N566" i="32498"/>
  <c r="M566" i="32498"/>
  <c r="F566" i="32498"/>
  <c r="N565" i="32498"/>
  <c r="M565" i="32498"/>
  <c r="F565" i="32498"/>
  <c r="N564" i="32498"/>
  <c r="M564" i="32498"/>
  <c r="F564" i="32498"/>
  <c r="N563" i="32498"/>
  <c r="M563" i="32498"/>
  <c r="F563" i="32498"/>
  <c r="N562" i="32498"/>
  <c r="M562" i="32498"/>
  <c r="F562" i="32498"/>
  <c r="N561" i="32498"/>
  <c r="M561" i="32498"/>
  <c r="F561" i="32498"/>
  <c r="N560" i="32498"/>
  <c r="M560" i="32498"/>
  <c r="F560" i="32498"/>
  <c r="N559" i="32498"/>
  <c r="M559" i="32498"/>
  <c r="F559" i="32498"/>
  <c r="N558" i="32498"/>
  <c r="M558" i="32498"/>
  <c r="F558" i="32498"/>
  <c r="N557" i="32498"/>
  <c r="M557" i="32498"/>
  <c r="F557" i="32498"/>
  <c r="N556" i="32498"/>
  <c r="M556" i="32498"/>
  <c r="F556" i="32498"/>
  <c r="N555" i="32498"/>
  <c r="M555" i="32498"/>
  <c r="F555" i="32498"/>
  <c r="N554" i="32498"/>
  <c r="M554" i="32498"/>
  <c r="F554" i="32498"/>
  <c r="N553" i="32498"/>
  <c r="M553" i="32498"/>
  <c r="F553" i="32498"/>
  <c r="N552" i="32498"/>
  <c r="M552" i="32498"/>
  <c r="F552" i="32498"/>
  <c r="N551" i="32498"/>
  <c r="M551" i="32498"/>
  <c r="F551" i="32498"/>
  <c r="N550" i="32498"/>
  <c r="M550" i="32498"/>
  <c r="F550" i="32498"/>
  <c r="N549" i="32498"/>
  <c r="M549" i="32498"/>
  <c r="F549" i="32498"/>
  <c r="N548" i="32498"/>
  <c r="M548" i="32498"/>
  <c r="F548" i="32498"/>
  <c r="N547" i="32498"/>
  <c r="M547" i="32498"/>
  <c r="F547" i="32498"/>
  <c r="N546" i="32498"/>
  <c r="M546" i="32498"/>
  <c r="F546" i="32498"/>
  <c r="N545" i="32498"/>
  <c r="M545" i="32498"/>
  <c r="F545" i="32498"/>
  <c r="N544" i="32498"/>
  <c r="M544" i="32498"/>
  <c r="F544" i="32498"/>
  <c r="N543" i="32498"/>
  <c r="M543" i="32498"/>
  <c r="F543" i="32498"/>
  <c r="N542" i="32498"/>
  <c r="M542" i="32498"/>
  <c r="F542" i="32498"/>
  <c r="N541" i="32498"/>
  <c r="M541" i="32498"/>
  <c r="F541" i="32498"/>
  <c r="N540" i="32498"/>
  <c r="M540" i="32498"/>
  <c r="F540" i="32498"/>
  <c r="N539" i="32498"/>
  <c r="M539" i="32498"/>
  <c r="F539" i="32498"/>
  <c r="N538" i="32498"/>
  <c r="M538" i="32498"/>
  <c r="F538" i="32498"/>
  <c r="N537" i="32498"/>
  <c r="M537" i="32498"/>
  <c r="F537" i="32498"/>
  <c r="N536" i="32498"/>
  <c r="M536" i="32498"/>
  <c r="F536" i="32498"/>
  <c r="N535" i="32498"/>
  <c r="M535" i="32498"/>
  <c r="F535" i="32498"/>
  <c r="N534" i="32498"/>
  <c r="M534" i="32498"/>
  <c r="F534" i="32498"/>
  <c r="N533" i="32498"/>
  <c r="M533" i="32498"/>
  <c r="F533" i="32498"/>
  <c r="N532" i="32498"/>
  <c r="M532" i="32498"/>
  <c r="F532" i="32498"/>
  <c r="N531" i="32498"/>
  <c r="M531" i="32498"/>
  <c r="F531" i="32498"/>
  <c r="N530" i="32498"/>
  <c r="M530" i="32498"/>
  <c r="F530" i="32498"/>
  <c r="N529" i="32498"/>
  <c r="M529" i="32498"/>
  <c r="F529" i="32498"/>
  <c r="N528" i="32498"/>
  <c r="M528" i="32498"/>
  <c r="F528" i="32498"/>
  <c r="N527" i="32498"/>
  <c r="M527" i="32498"/>
  <c r="F527" i="32498"/>
  <c r="N526" i="32498"/>
  <c r="M526" i="32498"/>
  <c r="F526" i="32498"/>
  <c r="N525" i="32498"/>
  <c r="M525" i="32498"/>
  <c r="F525" i="32498"/>
  <c r="N524" i="32498"/>
  <c r="M524" i="32498"/>
  <c r="F524" i="32498"/>
  <c r="N523" i="32498"/>
  <c r="M523" i="32498"/>
  <c r="F523" i="32498"/>
  <c r="N522" i="32498"/>
  <c r="M522" i="32498"/>
  <c r="F522" i="32498"/>
  <c r="N521" i="32498"/>
  <c r="M521" i="32498"/>
  <c r="F521" i="32498"/>
  <c r="N520" i="32498"/>
  <c r="M520" i="32498"/>
  <c r="F520" i="32498"/>
  <c r="N519" i="32498"/>
  <c r="M519" i="32498"/>
  <c r="F519" i="32498"/>
  <c r="N518" i="32498"/>
  <c r="M518" i="32498"/>
  <c r="F518" i="32498"/>
  <c r="N517" i="32498"/>
  <c r="M517" i="32498"/>
  <c r="F517" i="32498"/>
  <c r="N516" i="32498"/>
  <c r="M516" i="32498"/>
  <c r="F516" i="32498"/>
  <c r="N515" i="32498"/>
  <c r="M515" i="32498"/>
  <c r="F515" i="32498"/>
  <c r="N514" i="32498"/>
  <c r="M514" i="32498"/>
  <c r="F514" i="32498"/>
  <c r="N513" i="32498"/>
  <c r="M513" i="32498"/>
  <c r="F513" i="32498"/>
  <c r="N512" i="32498"/>
  <c r="M512" i="32498"/>
  <c r="F512" i="32498"/>
  <c r="N511" i="32498"/>
  <c r="M511" i="32498"/>
  <c r="F511" i="32498"/>
  <c r="N510" i="32498"/>
  <c r="M510" i="32498"/>
  <c r="F510" i="32498"/>
  <c r="N509" i="32498"/>
  <c r="M509" i="32498"/>
  <c r="F509" i="32498"/>
  <c r="N508" i="32498"/>
  <c r="M508" i="32498"/>
  <c r="F508" i="32498"/>
  <c r="N507" i="32498"/>
  <c r="M507" i="32498"/>
  <c r="F507" i="32498"/>
  <c r="N506" i="32498"/>
  <c r="M506" i="32498"/>
  <c r="F506" i="32498"/>
  <c r="N505" i="32498"/>
  <c r="M505" i="32498"/>
  <c r="F505" i="32498"/>
  <c r="N504" i="32498"/>
  <c r="M504" i="32498"/>
  <c r="F504" i="32498"/>
  <c r="N503" i="32498"/>
  <c r="M503" i="32498"/>
  <c r="F503" i="32498"/>
  <c r="N502" i="32498"/>
  <c r="M502" i="32498"/>
  <c r="F502" i="32498"/>
  <c r="N501" i="32498"/>
  <c r="M501" i="32498"/>
  <c r="F501" i="32498"/>
  <c r="N500" i="32498"/>
  <c r="M500" i="32498"/>
  <c r="F500" i="32498"/>
  <c r="N499" i="32498"/>
  <c r="M499" i="32498"/>
  <c r="F499" i="32498"/>
  <c r="N498" i="32498"/>
  <c r="M498" i="32498"/>
  <c r="F498" i="32498"/>
  <c r="N497" i="32498"/>
  <c r="M497" i="32498"/>
  <c r="F497" i="32498"/>
  <c r="N496" i="32498"/>
  <c r="M496" i="32498"/>
  <c r="F496" i="32498"/>
  <c r="N495" i="32498"/>
  <c r="M495" i="32498"/>
  <c r="F495" i="32498"/>
  <c r="N494" i="32498"/>
  <c r="M494" i="32498"/>
  <c r="F494" i="32498"/>
  <c r="N493" i="32498"/>
  <c r="M493" i="32498"/>
  <c r="F493" i="32498"/>
  <c r="N492" i="32498"/>
  <c r="M492" i="32498"/>
  <c r="F492" i="32498"/>
  <c r="N491" i="32498"/>
  <c r="M491" i="32498"/>
  <c r="F491" i="32498"/>
  <c r="N490" i="32498"/>
  <c r="M490" i="32498"/>
  <c r="F490" i="32498"/>
  <c r="N489" i="32498"/>
  <c r="M489" i="32498"/>
  <c r="F489" i="32498"/>
  <c r="N488" i="32498"/>
  <c r="M488" i="32498"/>
  <c r="F488" i="32498"/>
  <c r="N487" i="32498"/>
  <c r="M487" i="32498"/>
  <c r="F487" i="32498"/>
  <c r="N486" i="32498"/>
  <c r="M486" i="32498"/>
  <c r="F486" i="32498"/>
  <c r="N485" i="32498"/>
  <c r="M485" i="32498"/>
  <c r="F485" i="32498"/>
  <c r="N484" i="32498"/>
  <c r="M484" i="32498"/>
  <c r="F484" i="32498"/>
  <c r="N483" i="32498"/>
  <c r="M483" i="32498"/>
  <c r="F483" i="32498"/>
  <c r="N482" i="32498"/>
  <c r="M482" i="32498"/>
  <c r="F482" i="32498"/>
  <c r="N481" i="32498"/>
  <c r="M481" i="32498"/>
  <c r="F481" i="32498"/>
  <c r="N480" i="32498"/>
  <c r="M480" i="32498"/>
  <c r="F480" i="32498"/>
  <c r="N479" i="32498"/>
  <c r="M479" i="32498"/>
  <c r="F479" i="32498"/>
  <c r="N478" i="32498"/>
  <c r="M478" i="32498"/>
  <c r="F478" i="32498"/>
  <c r="N477" i="32498"/>
  <c r="M477" i="32498"/>
  <c r="F477" i="32498"/>
  <c r="N476" i="32498"/>
  <c r="M476" i="32498"/>
  <c r="F476" i="32498"/>
  <c r="N475" i="32498"/>
  <c r="M475" i="32498"/>
  <c r="F475" i="32498"/>
  <c r="N474" i="32498"/>
  <c r="M474" i="32498"/>
  <c r="F474" i="32498"/>
  <c r="N473" i="32498"/>
  <c r="M473" i="32498"/>
  <c r="F473" i="32498"/>
  <c r="N472" i="32498"/>
  <c r="M472" i="32498"/>
  <c r="F472" i="32498"/>
  <c r="N471" i="32498"/>
  <c r="M471" i="32498"/>
  <c r="F471" i="32498"/>
  <c r="N470" i="32498"/>
  <c r="M470" i="32498"/>
  <c r="F470" i="32498"/>
  <c r="N469" i="32498"/>
  <c r="M469" i="32498"/>
  <c r="F469" i="32498"/>
  <c r="N468" i="32498"/>
  <c r="M468" i="32498"/>
  <c r="F468" i="32498"/>
  <c r="N467" i="32498"/>
  <c r="M467" i="32498"/>
  <c r="F467" i="32498"/>
  <c r="N466" i="32498"/>
  <c r="M466" i="32498"/>
  <c r="F466" i="32498"/>
  <c r="N465" i="32498"/>
  <c r="M465" i="32498"/>
  <c r="F465" i="32498"/>
  <c r="N464" i="32498"/>
  <c r="M464" i="32498"/>
  <c r="F464" i="32498"/>
  <c r="N463" i="32498"/>
  <c r="M463" i="32498"/>
  <c r="F463" i="32498"/>
  <c r="N462" i="32498"/>
  <c r="M462" i="32498"/>
  <c r="F462" i="32498"/>
  <c r="N461" i="32498"/>
  <c r="M461" i="32498"/>
  <c r="F461" i="32498"/>
  <c r="N460" i="32498"/>
  <c r="M460" i="32498"/>
  <c r="F460" i="32498"/>
  <c r="N459" i="32498"/>
  <c r="M459" i="32498"/>
  <c r="F459" i="32498"/>
  <c r="N458" i="32498"/>
  <c r="M458" i="32498"/>
  <c r="F458" i="32498"/>
  <c r="N457" i="32498"/>
  <c r="M457" i="32498"/>
  <c r="F457" i="32498"/>
  <c r="N456" i="32498"/>
  <c r="M456" i="32498"/>
  <c r="F456" i="32498"/>
  <c r="N455" i="32498"/>
  <c r="M455" i="32498"/>
  <c r="F455" i="32498"/>
  <c r="N454" i="32498"/>
  <c r="M454" i="32498"/>
  <c r="F454" i="32498"/>
  <c r="N453" i="32498"/>
  <c r="M453" i="32498"/>
  <c r="F453" i="32498"/>
  <c r="N452" i="32498"/>
  <c r="M452" i="32498"/>
  <c r="F452" i="32498"/>
  <c r="N451" i="32498"/>
  <c r="M451" i="32498"/>
  <c r="F451" i="32498"/>
  <c r="N450" i="32498"/>
  <c r="M450" i="32498"/>
  <c r="F450" i="32498"/>
  <c r="N449" i="32498"/>
  <c r="M449" i="32498"/>
  <c r="F449" i="32498"/>
  <c r="N448" i="32498"/>
  <c r="M448" i="32498"/>
  <c r="F448" i="32498"/>
  <c r="N447" i="32498"/>
  <c r="M447" i="32498"/>
  <c r="F447" i="32498"/>
  <c r="N446" i="32498"/>
  <c r="M446" i="32498"/>
  <c r="F446" i="32498"/>
  <c r="N445" i="32498"/>
  <c r="M445" i="32498"/>
  <c r="F445" i="32498"/>
  <c r="N444" i="32498"/>
  <c r="M444" i="32498"/>
  <c r="F444" i="32498"/>
  <c r="N443" i="32498"/>
  <c r="M443" i="32498"/>
  <c r="F443" i="32498"/>
  <c r="N442" i="32498"/>
  <c r="M442" i="32498"/>
  <c r="F442" i="32498"/>
  <c r="N441" i="32498"/>
  <c r="M441" i="32498"/>
  <c r="F441" i="32498"/>
  <c r="N440" i="32498"/>
  <c r="M440" i="32498"/>
  <c r="F440" i="32498"/>
  <c r="N439" i="32498"/>
  <c r="M439" i="32498"/>
  <c r="F439" i="32498"/>
  <c r="N438" i="32498"/>
  <c r="M438" i="32498"/>
  <c r="F438" i="32498"/>
  <c r="N437" i="32498"/>
  <c r="M437" i="32498"/>
  <c r="F437" i="32498"/>
  <c r="N436" i="32498"/>
  <c r="M436" i="32498"/>
  <c r="F436" i="32498"/>
  <c r="N435" i="32498"/>
  <c r="M435" i="32498"/>
  <c r="F435" i="32498"/>
  <c r="N434" i="32498"/>
  <c r="M434" i="32498"/>
  <c r="F434" i="32498"/>
  <c r="N433" i="32498"/>
  <c r="M433" i="32498"/>
  <c r="F433" i="32498"/>
  <c r="N432" i="32498"/>
  <c r="M432" i="32498"/>
  <c r="F432" i="32498"/>
  <c r="N431" i="32498"/>
  <c r="M431" i="32498"/>
  <c r="F431" i="32498"/>
  <c r="N430" i="32498"/>
  <c r="M430" i="32498"/>
  <c r="F430" i="32498"/>
  <c r="N429" i="32498"/>
  <c r="M429" i="32498"/>
  <c r="F429" i="32498"/>
  <c r="N428" i="32498"/>
  <c r="M428" i="32498"/>
  <c r="F428" i="32498"/>
  <c r="N427" i="32498"/>
  <c r="M427" i="32498"/>
  <c r="F427" i="32498"/>
  <c r="N426" i="32498"/>
  <c r="M426" i="32498"/>
  <c r="F426" i="32498"/>
  <c r="N425" i="32498"/>
  <c r="M425" i="32498"/>
  <c r="F425" i="32498"/>
  <c r="N424" i="32498"/>
  <c r="M424" i="32498"/>
  <c r="F424" i="32498"/>
  <c r="N423" i="32498"/>
  <c r="M423" i="32498"/>
  <c r="F423" i="32498"/>
  <c r="N422" i="32498"/>
  <c r="M422" i="32498"/>
  <c r="F422" i="32498"/>
  <c r="N421" i="32498"/>
  <c r="M421" i="32498"/>
  <c r="F421" i="32498"/>
  <c r="N420" i="32498"/>
  <c r="M420" i="32498"/>
  <c r="F420" i="32498"/>
  <c r="N419" i="32498"/>
  <c r="M419" i="32498"/>
  <c r="F419" i="32498"/>
  <c r="N418" i="32498"/>
  <c r="M418" i="32498"/>
  <c r="F418" i="32498"/>
  <c r="N417" i="32498"/>
  <c r="M417" i="32498"/>
  <c r="F417" i="32498"/>
  <c r="N416" i="32498"/>
  <c r="M416" i="32498"/>
  <c r="F416" i="32498"/>
  <c r="N415" i="32498"/>
  <c r="M415" i="32498"/>
  <c r="F415" i="32498"/>
  <c r="N414" i="32498"/>
  <c r="M414" i="32498"/>
  <c r="F414" i="32498"/>
  <c r="N413" i="32498"/>
  <c r="M413" i="32498"/>
  <c r="F413" i="32498"/>
  <c r="N412" i="32498"/>
  <c r="M412" i="32498"/>
  <c r="F412" i="32498"/>
  <c r="N411" i="32498"/>
  <c r="M411" i="32498"/>
  <c r="F411" i="32498"/>
  <c r="N410" i="32498"/>
  <c r="M410" i="32498"/>
  <c r="F410" i="32498"/>
  <c r="N409" i="32498"/>
  <c r="M409" i="32498"/>
  <c r="F409" i="32498"/>
  <c r="N408" i="32498"/>
  <c r="M408" i="32498"/>
  <c r="F408" i="32498"/>
  <c r="N407" i="32498"/>
  <c r="M407" i="32498"/>
  <c r="F407" i="32498"/>
  <c r="N406" i="32498"/>
  <c r="M406" i="32498"/>
  <c r="F406" i="32498"/>
  <c r="N405" i="32498"/>
  <c r="M405" i="32498"/>
  <c r="F405" i="32498"/>
  <c r="N404" i="32498"/>
  <c r="M404" i="32498"/>
  <c r="F404" i="32498"/>
  <c r="N403" i="32498"/>
  <c r="M403" i="32498"/>
  <c r="F403" i="32498"/>
  <c r="N402" i="32498"/>
  <c r="M402" i="32498"/>
  <c r="F402" i="32498"/>
  <c r="N401" i="32498"/>
  <c r="M401" i="32498"/>
  <c r="F401" i="32498"/>
  <c r="N400" i="32498"/>
  <c r="M400" i="32498"/>
  <c r="F400" i="32498"/>
  <c r="N399" i="32498"/>
  <c r="M399" i="32498"/>
  <c r="F399" i="32498"/>
  <c r="N398" i="32498"/>
  <c r="M398" i="32498"/>
  <c r="F398" i="32498"/>
  <c r="N397" i="32498"/>
  <c r="M397" i="32498"/>
  <c r="F397" i="32498"/>
  <c r="N396" i="32498"/>
  <c r="M396" i="32498"/>
  <c r="F396" i="32498"/>
  <c r="N395" i="32498"/>
  <c r="M395" i="32498"/>
  <c r="F395" i="32498"/>
  <c r="N394" i="32498"/>
  <c r="M394" i="32498"/>
  <c r="F394" i="32498"/>
  <c r="N393" i="32498"/>
  <c r="M393" i="32498"/>
  <c r="F393" i="32498"/>
  <c r="N392" i="32498"/>
  <c r="M392" i="32498"/>
  <c r="F392" i="32498"/>
  <c r="N391" i="32498"/>
  <c r="M391" i="32498"/>
  <c r="F391" i="32498"/>
  <c r="N390" i="32498"/>
  <c r="M390" i="32498"/>
  <c r="F390" i="32498"/>
  <c r="N389" i="32498"/>
  <c r="M389" i="32498"/>
  <c r="F389" i="32498"/>
  <c r="N388" i="32498"/>
  <c r="M388" i="32498"/>
  <c r="F388" i="32498"/>
  <c r="N387" i="32498"/>
  <c r="M387" i="32498"/>
  <c r="F387" i="32498"/>
  <c r="N386" i="32498"/>
  <c r="M386" i="32498"/>
  <c r="F386" i="32498"/>
  <c r="N385" i="32498"/>
  <c r="M385" i="32498"/>
  <c r="F385" i="32498"/>
  <c r="N384" i="32498"/>
  <c r="M384" i="32498"/>
  <c r="F384" i="32498"/>
  <c r="N383" i="32498"/>
  <c r="M383" i="32498"/>
  <c r="F383" i="32498"/>
  <c r="N382" i="32498"/>
  <c r="M382" i="32498"/>
  <c r="F382" i="32498"/>
  <c r="N381" i="32498"/>
  <c r="M381" i="32498"/>
  <c r="F381" i="32498"/>
  <c r="N380" i="32498"/>
  <c r="M380" i="32498"/>
  <c r="F380" i="32498"/>
  <c r="N379" i="32498"/>
  <c r="M379" i="32498"/>
  <c r="F379" i="32498"/>
  <c r="N378" i="32498"/>
  <c r="M378" i="32498"/>
  <c r="F378" i="32498"/>
  <c r="N377" i="32498"/>
  <c r="M377" i="32498"/>
  <c r="F377" i="32498"/>
  <c r="N376" i="32498"/>
  <c r="M376" i="32498"/>
  <c r="F376" i="32498"/>
  <c r="N375" i="32498"/>
  <c r="M375" i="32498"/>
  <c r="F375" i="32498"/>
  <c r="N374" i="32498"/>
  <c r="M374" i="32498"/>
  <c r="F374" i="32498"/>
  <c r="N373" i="32498"/>
  <c r="M373" i="32498"/>
  <c r="F373" i="32498"/>
  <c r="N372" i="32498"/>
  <c r="M372" i="32498"/>
  <c r="F372" i="32498"/>
  <c r="N371" i="32498"/>
  <c r="M371" i="32498"/>
  <c r="F371" i="32498"/>
  <c r="N370" i="32498"/>
  <c r="M370" i="32498"/>
  <c r="F370" i="32498"/>
  <c r="N369" i="32498"/>
  <c r="M369" i="32498"/>
  <c r="F369" i="32498"/>
  <c r="N368" i="32498"/>
  <c r="M368" i="32498"/>
  <c r="F368" i="32498"/>
  <c r="N367" i="32498"/>
  <c r="M367" i="32498"/>
  <c r="F367" i="32498"/>
  <c r="N366" i="32498"/>
  <c r="M366" i="32498"/>
  <c r="F366" i="32498"/>
  <c r="N365" i="32498"/>
  <c r="M365" i="32498"/>
  <c r="F365" i="32498"/>
  <c r="N364" i="32498"/>
  <c r="M364" i="32498"/>
  <c r="F364" i="32498"/>
  <c r="N363" i="32498"/>
  <c r="M363" i="32498"/>
  <c r="F363" i="32498"/>
  <c r="N362" i="32498"/>
  <c r="M362" i="32498"/>
  <c r="F362" i="32498"/>
  <c r="N361" i="32498"/>
  <c r="M361" i="32498"/>
  <c r="F361" i="32498"/>
  <c r="N360" i="32498"/>
  <c r="M360" i="32498"/>
  <c r="F360" i="32498"/>
  <c r="N359" i="32498"/>
  <c r="M359" i="32498"/>
  <c r="F359" i="32498"/>
  <c r="N358" i="32498"/>
  <c r="M358" i="32498"/>
  <c r="F358" i="32498"/>
  <c r="N357" i="32498"/>
  <c r="M357" i="32498"/>
  <c r="F357" i="32498"/>
  <c r="N356" i="32498"/>
  <c r="M356" i="32498"/>
  <c r="F356" i="32498"/>
  <c r="N355" i="32498"/>
  <c r="M355" i="32498"/>
  <c r="F355" i="32498"/>
  <c r="N354" i="32498"/>
  <c r="M354" i="32498"/>
  <c r="F354" i="32498"/>
  <c r="N353" i="32498"/>
  <c r="M353" i="32498"/>
  <c r="F353" i="32498"/>
  <c r="N352" i="32498"/>
  <c r="M352" i="32498"/>
  <c r="F352" i="32498"/>
  <c r="N351" i="32498"/>
  <c r="M351" i="32498"/>
  <c r="F351" i="32498"/>
  <c r="N350" i="32498"/>
  <c r="M350" i="32498"/>
  <c r="F350" i="32498"/>
  <c r="N349" i="32498"/>
  <c r="M349" i="32498"/>
  <c r="F349" i="32498"/>
  <c r="N348" i="32498"/>
  <c r="M348" i="32498"/>
  <c r="F348" i="32498"/>
  <c r="N347" i="32498"/>
  <c r="M347" i="32498"/>
  <c r="F347" i="32498"/>
  <c r="N346" i="32498"/>
  <c r="M346" i="32498"/>
  <c r="F346" i="32498"/>
  <c r="N345" i="32498"/>
  <c r="M345" i="32498"/>
  <c r="F345" i="32498"/>
  <c r="N344" i="32498"/>
  <c r="M344" i="32498"/>
  <c r="F344" i="32498"/>
  <c r="N343" i="32498"/>
  <c r="M343" i="32498"/>
  <c r="F343" i="32498"/>
  <c r="N342" i="32498"/>
  <c r="M342" i="32498"/>
  <c r="F342" i="32498"/>
  <c r="N341" i="32498"/>
  <c r="M341" i="32498"/>
  <c r="F341" i="32498"/>
  <c r="N340" i="32498"/>
  <c r="M340" i="32498"/>
  <c r="F340" i="32498"/>
  <c r="N339" i="32498"/>
  <c r="M339" i="32498"/>
  <c r="F339" i="32498"/>
  <c r="N338" i="32498"/>
  <c r="M338" i="32498"/>
  <c r="F338" i="32498"/>
  <c r="N337" i="32498"/>
  <c r="M337" i="32498"/>
  <c r="F337" i="32498"/>
  <c r="N336" i="32498"/>
  <c r="M336" i="32498"/>
  <c r="F336" i="32498"/>
  <c r="N335" i="32498"/>
  <c r="M335" i="32498"/>
  <c r="F335" i="32498"/>
  <c r="N334" i="32498"/>
  <c r="M334" i="32498"/>
  <c r="F334" i="32498"/>
  <c r="N333" i="32498"/>
  <c r="M333" i="32498"/>
  <c r="F333" i="32498"/>
  <c r="N332" i="32498"/>
  <c r="M332" i="32498"/>
  <c r="F332" i="32498"/>
  <c r="N331" i="32498"/>
  <c r="M331" i="32498"/>
  <c r="F331" i="32498"/>
  <c r="N330" i="32498"/>
  <c r="M330" i="32498"/>
  <c r="F330" i="32498"/>
  <c r="N329" i="32498"/>
  <c r="M329" i="32498"/>
  <c r="F329" i="32498"/>
  <c r="N328" i="32498"/>
  <c r="M328" i="32498"/>
  <c r="F328" i="32498"/>
  <c r="N327" i="32498"/>
  <c r="M327" i="32498"/>
  <c r="F327" i="32498"/>
  <c r="N326" i="32498"/>
  <c r="M326" i="32498"/>
  <c r="F326" i="32498"/>
  <c r="N325" i="32498"/>
  <c r="M325" i="32498"/>
  <c r="F325" i="32498"/>
  <c r="N324" i="32498"/>
  <c r="M324" i="32498"/>
  <c r="F324" i="32498"/>
  <c r="N323" i="32498"/>
  <c r="M323" i="32498"/>
  <c r="F323" i="32498"/>
  <c r="N322" i="32498"/>
  <c r="M322" i="32498"/>
  <c r="F322" i="32498"/>
  <c r="N321" i="32498"/>
  <c r="M321" i="32498"/>
  <c r="F321" i="32498"/>
  <c r="N320" i="32498"/>
  <c r="M320" i="32498"/>
  <c r="F320" i="32498"/>
  <c r="N319" i="32498"/>
  <c r="M319" i="32498"/>
  <c r="F319" i="32498"/>
  <c r="N318" i="32498"/>
  <c r="M318" i="32498"/>
  <c r="F318" i="32498"/>
  <c r="N317" i="32498"/>
  <c r="M317" i="32498"/>
  <c r="F317" i="32498"/>
  <c r="N316" i="32498"/>
  <c r="M316" i="32498"/>
  <c r="F316" i="32498"/>
  <c r="N315" i="32498"/>
  <c r="M315" i="32498"/>
  <c r="F315" i="32498"/>
  <c r="N314" i="32498"/>
  <c r="M314" i="32498"/>
  <c r="F314" i="32498"/>
  <c r="N313" i="32498"/>
  <c r="M313" i="32498"/>
  <c r="F313" i="32498"/>
  <c r="N312" i="32498"/>
  <c r="M312" i="32498"/>
  <c r="F312" i="32498"/>
  <c r="N311" i="32498"/>
  <c r="M311" i="32498"/>
  <c r="F311" i="32498"/>
  <c r="N310" i="32498"/>
  <c r="M310" i="32498"/>
  <c r="F310" i="32498"/>
  <c r="N309" i="32498"/>
  <c r="M309" i="32498"/>
  <c r="F309" i="32498"/>
  <c r="N308" i="32498"/>
  <c r="M308" i="32498"/>
  <c r="F308" i="32498"/>
  <c r="N307" i="32498"/>
  <c r="M307" i="32498"/>
  <c r="F307" i="32498"/>
  <c r="N306" i="32498"/>
  <c r="M306" i="32498"/>
  <c r="F306" i="32498"/>
  <c r="N305" i="32498"/>
  <c r="M305" i="32498"/>
  <c r="F305" i="32498"/>
  <c r="N304" i="32498"/>
  <c r="M304" i="32498"/>
  <c r="F304" i="32498"/>
  <c r="N303" i="32498"/>
  <c r="M303" i="32498"/>
  <c r="F303" i="32498"/>
  <c r="N302" i="32498"/>
  <c r="M302" i="32498"/>
  <c r="F302" i="32498"/>
  <c r="N301" i="32498"/>
  <c r="M301" i="32498"/>
  <c r="F301" i="32498"/>
  <c r="N300" i="32498"/>
  <c r="M300" i="32498"/>
  <c r="F300" i="32498"/>
  <c r="N299" i="32498"/>
  <c r="M299" i="32498"/>
  <c r="F299" i="32498"/>
  <c r="N298" i="32498"/>
  <c r="M298" i="32498"/>
  <c r="F298" i="32498"/>
  <c r="N297" i="32498"/>
  <c r="M297" i="32498"/>
  <c r="F297" i="32498"/>
  <c r="N296" i="32498"/>
  <c r="M296" i="32498"/>
  <c r="F296" i="32498"/>
  <c r="N295" i="32498"/>
  <c r="M295" i="32498"/>
  <c r="F295" i="32498"/>
  <c r="N294" i="32498"/>
  <c r="M294" i="32498"/>
  <c r="F294" i="32498"/>
  <c r="N293" i="32498"/>
  <c r="M293" i="32498"/>
  <c r="F293" i="32498"/>
  <c r="N292" i="32498"/>
  <c r="M292" i="32498"/>
  <c r="F292" i="32498"/>
  <c r="N291" i="32498"/>
  <c r="M291" i="32498"/>
  <c r="F291" i="32498"/>
  <c r="N290" i="32498"/>
  <c r="M290" i="32498"/>
  <c r="F290" i="32498"/>
  <c r="N289" i="32498"/>
  <c r="M289" i="32498"/>
  <c r="F289" i="32498"/>
  <c r="N288" i="32498"/>
  <c r="M288" i="32498"/>
  <c r="F288" i="32498"/>
  <c r="N287" i="32498"/>
  <c r="M287" i="32498"/>
  <c r="F287" i="32498"/>
  <c r="N286" i="32498"/>
  <c r="M286" i="32498"/>
  <c r="F286" i="32498"/>
  <c r="N285" i="32498"/>
  <c r="M285" i="32498"/>
  <c r="F285" i="32498"/>
  <c r="N284" i="32498"/>
  <c r="M284" i="32498"/>
  <c r="F284" i="32498"/>
  <c r="N283" i="32498"/>
  <c r="M283" i="32498"/>
  <c r="F283" i="32498"/>
  <c r="N282" i="32498"/>
  <c r="M282" i="32498"/>
  <c r="F282" i="32498"/>
  <c r="N281" i="32498"/>
  <c r="M281" i="32498"/>
  <c r="F281" i="32498"/>
  <c r="N280" i="32498"/>
  <c r="M280" i="32498"/>
  <c r="F280" i="32498"/>
  <c r="N279" i="32498"/>
  <c r="M279" i="32498"/>
  <c r="F279" i="32498"/>
  <c r="N278" i="32498"/>
  <c r="M278" i="32498"/>
  <c r="F278" i="32498"/>
  <c r="N277" i="32498"/>
  <c r="M277" i="32498"/>
  <c r="F277" i="32498"/>
  <c r="N276" i="32498"/>
  <c r="M276" i="32498"/>
  <c r="F276" i="32498"/>
  <c r="N275" i="32498"/>
  <c r="M275" i="32498"/>
  <c r="F275" i="32498"/>
  <c r="N274" i="32498"/>
  <c r="M274" i="32498"/>
  <c r="F274" i="32498"/>
  <c r="N273" i="32498"/>
  <c r="M273" i="32498"/>
  <c r="F273" i="32498"/>
  <c r="N272" i="32498"/>
  <c r="M272" i="32498"/>
  <c r="F272" i="32498"/>
  <c r="N271" i="32498"/>
  <c r="M271" i="32498"/>
  <c r="F271" i="32498"/>
  <c r="N270" i="32498"/>
  <c r="M270" i="32498"/>
  <c r="F270" i="32498"/>
  <c r="N269" i="32498"/>
  <c r="M269" i="32498"/>
  <c r="F269" i="32498"/>
  <c r="N268" i="32498"/>
  <c r="M268" i="32498"/>
  <c r="F268" i="32498"/>
  <c r="N267" i="32498"/>
  <c r="M267" i="32498"/>
  <c r="F267" i="32498"/>
  <c r="N266" i="32498"/>
  <c r="M266" i="32498"/>
  <c r="F266" i="32498"/>
  <c r="N265" i="32498"/>
  <c r="M265" i="32498"/>
  <c r="F265" i="32498"/>
  <c r="N264" i="32498"/>
  <c r="M264" i="32498"/>
  <c r="F264" i="32498"/>
  <c r="N263" i="32498"/>
  <c r="M263" i="32498"/>
  <c r="F263" i="32498"/>
  <c r="N262" i="32498"/>
  <c r="M262" i="32498"/>
  <c r="F262" i="32498"/>
  <c r="N261" i="32498"/>
  <c r="M261" i="32498"/>
  <c r="F261" i="32498"/>
  <c r="N260" i="32498"/>
  <c r="M260" i="32498"/>
  <c r="F260" i="32498"/>
  <c r="N259" i="32498"/>
  <c r="M259" i="32498"/>
  <c r="F259" i="32498"/>
  <c r="N258" i="32498"/>
  <c r="M258" i="32498"/>
  <c r="F258" i="32498"/>
  <c r="N257" i="32498"/>
  <c r="M257" i="32498"/>
  <c r="F257" i="32498"/>
  <c r="N256" i="32498"/>
  <c r="M256" i="32498"/>
  <c r="F256" i="32498"/>
  <c r="N255" i="32498"/>
  <c r="M255" i="32498"/>
  <c r="F255" i="32498"/>
  <c r="N254" i="32498"/>
  <c r="M254" i="32498"/>
  <c r="F254" i="32498"/>
  <c r="N253" i="32498"/>
  <c r="M253" i="32498"/>
  <c r="F253" i="32498"/>
  <c r="N252" i="32498"/>
  <c r="M252" i="32498"/>
  <c r="F252" i="32498"/>
  <c r="N251" i="32498"/>
  <c r="M251" i="32498"/>
  <c r="F251" i="32498"/>
  <c r="N250" i="32498"/>
  <c r="M250" i="32498"/>
  <c r="F250" i="32498"/>
  <c r="N249" i="32498"/>
  <c r="M249" i="32498"/>
  <c r="F249" i="32498"/>
  <c r="N248" i="32498"/>
  <c r="M248" i="32498"/>
  <c r="F248" i="32498"/>
  <c r="N247" i="32498"/>
  <c r="M247" i="32498"/>
  <c r="F247" i="32498"/>
  <c r="N246" i="32498"/>
  <c r="M246" i="32498"/>
  <c r="F246" i="32498"/>
  <c r="N245" i="32498"/>
  <c r="M245" i="32498"/>
  <c r="F245" i="32498"/>
  <c r="N244" i="32498"/>
  <c r="M244" i="32498"/>
  <c r="F244" i="32498"/>
  <c r="N243" i="32498"/>
  <c r="M243" i="32498"/>
  <c r="F243" i="32498"/>
  <c r="N242" i="32498"/>
  <c r="M242" i="32498"/>
  <c r="F242" i="32498"/>
  <c r="N241" i="32498"/>
  <c r="M241" i="32498"/>
  <c r="F241" i="32498"/>
  <c r="N240" i="32498"/>
  <c r="M240" i="32498"/>
  <c r="F240" i="32498"/>
  <c r="N239" i="32498"/>
  <c r="M239" i="32498"/>
  <c r="F239" i="32498"/>
  <c r="N238" i="32498"/>
  <c r="M238" i="32498"/>
  <c r="F238" i="32498"/>
  <c r="N237" i="32498"/>
  <c r="M237" i="32498"/>
  <c r="F237" i="32498"/>
  <c r="N236" i="32498"/>
  <c r="M236" i="32498"/>
  <c r="F236" i="32498"/>
  <c r="N235" i="32498"/>
  <c r="M235" i="32498"/>
  <c r="F235" i="32498"/>
  <c r="N234" i="32498"/>
  <c r="M234" i="32498"/>
  <c r="F234" i="32498"/>
  <c r="N233" i="32498"/>
  <c r="M233" i="32498"/>
  <c r="F233" i="32498"/>
  <c r="N232" i="32498"/>
  <c r="M232" i="32498"/>
  <c r="F232" i="32498"/>
  <c r="N231" i="32498"/>
  <c r="M231" i="32498"/>
  <c r="F231" i="32498"/>
  <c r="N230" i="32498"/>
  <c r="M230" i="32498"/>
  <c r="F230" i="32498"/>
  <c r="N229" i="32498"/>
  <c r="M229" i="32498"/>
  <c r="F229" i="32498"/>
  <c r="N228" i="32498"/>
  <c r="M228" i="32498"/>
  <c r="F228" i="32498"/>
  <c r="N227" i="32498"/>
  <c r="M227" i="32498"/>
  <c r="F227" i="32498"/>
  <c r="N226" i="32498"/>
  <c r="M226" i="32498"/>
  <c r="F226" i="32498"/>
  <c r="N225" i="32498"/>
  <c r="M225" i="32498"/>
  <c r="F225" i="32498"/>
  <c r="N224" i="32498"/>
  <c r="M224" i="32498"/>
  <c r="F224" i="32498"/>
  <c r="N223" i="32498"/>
  <c r="M223" i="32498"/>
  <c r="F223" i="32498"/>
  <c r="N222" i="32498"/>
  <c r="M222" i="32498"/>
  <c r="F222" i="32498"/>
  <c r="N221" i="32498"/>
  <c r="M221" i="32498"/>
  <c r="F221" i="32498"/>
  <c r="N220" i="32498"/>
  <c r="M220" i="32498"/>
  <c r="F220" i="32498"/>
  <c r="N219" i="32498"/>
  <c r="M219" i="32498"/>
  <c r="F219" i="32498"/>
  <c r="N218" i="32498"/>
  <c r="M218" i="32498"/>
  <c r="F218" i="32498"/>
  <c r="N217" i="32498"/>
  <c r="M217" i="32498"/>
  <c r="F217" i="32498"/>
  <c r="N216" i="32498"/>
  <c r="M216" i="32498"/>
  <c r="F216" i="32498"/>
  <c r="N215" i="32498"/>
  <c r="M215" i="32498"/>
  <c r="F215" i="32498"/>
  <c r="N214" i="32498"/>
  <c r="M214" i="32498"/>
  <c r="F214" i="32498"/>
  <c r="N213" i="32498"/>
  <c r="M213" i="32498"/>
  <c r="F213" i="32498"/>
  <c r="N212" i="32498"/>
  <c r="M212" i="32498"/>
  <c r="F212" i="32498"/>
  <c r="N211" i="32498"/>
  <c r="M211" i="32498"/>
  <c r="F211" i="32498"/>
  <c r="N210" i="32498"/>
  <c r="M210" i="32498"/>
  <c r="F210" i="32498"/>
  <c r="N209" i="32498"/>
  <c r="M209" i="32498"/>
  <c r="F209" i="32498"/>
  <c r="N208" i="32498"/>
  <c r="M208" i="32498"/>
  <c r="F208" i="32498"/>
  <c r="N207" i="32498"/>
  <c r="M207" i="32498"/>
  <c r="F207" i="32498"/>
  <c r="N206" i="32498"/>
  <c r="M206" i="32498"/>
  <c r="F206" i="32498"/>
  <c r="N205" i="32498"/>
  <c r="M205" i="32498"/>
  <c r="F205" i="32498"/>
  <c r="N204" i="32498"/>
  <c r="M204" i="32498"/>
  <c r="F204" i="32498"/>
  <c r="N203" i="32498"/>
  <c r="M203" i="32498"/>
  <c r="F203" i="32498"/>
  <c r="N202" i="32498"/>
  <c r="M202" i="32498"/>
  <c r="F202" i="32498"/>
  <c r="N201" i="32498"/>
  <c r="M201" i="32498"/>
  <c r="F201" i="32498"/>
  <c r="N200" i="32498"/>
  <c r="M200" i="32498"/>
  <c r="F200" i="32498"/>
  <c r="N199" i="32498"/>
  <c r="M199" i="32498"/>
  <c r="F199" i="32498"/>
  <c r="N198" i="32498"/>
  <c r="M198" i="32498"/>
  <c r="F198" i="32498"/>
  <c r="N197" i="32498"/>
  <c r="M197" i="32498"/>
  <c r="F197" i="32498"/>
  <c r="N196" i="32498"/>
  <c r="M196" i="32498"/>
  <c r="F196" i="32498"/>
  <c r="N195" i="32498"/>
  <c r="M195" i="32498"/>
  <c r="F195" i="32498"/>
  <c r="N194" i="32498"/>
  <c r="M194" i="32498"/>
  <c r="F194" i="32498"/>
  <c r="N193" i="32498"/>
  <c r="M193" i="32498"/>
  <c r="F193" i="32498"/>
  <c r="N192" i="32498"/>
  <c r="M192" i="32498"/>
  <c r="F192" i="32498"/>
  <c r="N191" i="32498"/>
  <c r="M191" i="32498"/>
  <c r="F191" i="32498"/>
  <c r="N190" i="32498"/>
  <c r="M190" i="32498"/>
  <c r="F190" i="32498"/>
  <c r="N189" i="32498"/>
  <c r="M189" i="32498"/>
  <c r="F189" i="32498"/>
  <c r="N188" i="32498"/>
  <c r="M188" i="32498"/>
  <c r="F188" i="32498"/>
  <c r="N187" i="32498"/>
  <c r="M187" i="32498"/>
  <c r="F187" i="32498"/>
  <c r="N186" i="32498"/>
  <c r="M186" i="32498"/>
  <c r="F186" i="32498"/>
  <c r="N185" i="32498"/>
  <c r="M185" i="32498"/>
  <c r="F185" i="32498"/>
  <c r="N184" i="32498"/>
  <c r="M184" i="32498"/>
  <c r="F184" i="32498"/>
  <c r="N183" i="32498"/>
  <c r="M183" i="32498"/>
  <c r="F183" i="32498"/>
  <c r="N182" i="32498"/>
  <c r="M182" i="32498"/>
  <c r="F182" i="32498"/>
  <c r="N181" i="32498"/>
  <c r="M181" i="32498"/>
  <c r="F181" i="32498"/>
  <c r="N180" i="32498"/>
  <c r="M180" i="32498"/>
  <c r="F180" i="32498"/>
  <c r="N179" i="32498"/>
  <c r="M179" i="32498"/>
  <c r="F179" i="32498"/>
  <c r="N178" i="32498"/>
  <c r="M178" i="32498"/>
  <c r="F178" i="32498"/>
  <c r="N177" i="32498"/>
  <c r="M177" i="32498"/>
  <c r="F177" i="32498"/>
  <c r="N176" i="32498"/>
  <c r="M176" i="32498"/>
  <c r="F176" i="32498"/>
  <c r="N175" i="32498"/>
  <c r="M175" i="32498"/>
  <c r="F175" i="32498"/>
  <c r="N174" i="32498"/>
  <c r="M174" i="32498"/>
  <c r="F174" i="32498"/>
  <c r="N173" i="32498"/>
  <c r="M173" i="32498"/>
  <c r="F173" i="32498"/>
  <c r="N172" i="32498"/>
  <c r="M172" i="32498"/>
  <c r="F172" i="32498"/>
  <c r="N171" i="32498"/>
  <c r="M171" i="32498"/>
  <c r="F171" i="32498"/>
  <c r="N170" i="32498"/>
  <c r="M170" i="32498"/>
  <c r="F170" i="32498"/>
  <c r="N169" i="32498"/>
  <c r="M169" i="32498"/>
  <c r="F169" i="32498"/>
  <c r="N168" i="32498"/>
  <c r="M168" i="32498"/>
  <c r="F168" i="32498"/>
  <c r="N167" i="32498"/>
  <c r="M167" i="32498"/>
  <c r="F167" i="32498"/>
  <c r="N166" i="32498"/>
  <c r="M166" i="32498"/>
  <c r="F166" i="32498"/>
  <c r="N165" i="32498"/>
  <c r="M165" i="32498"/>
  <c r="F165" i="32498"/>
  <c r="N164" i="32498"/>
  <c r="M164" i="32498"/>
  <c r="F164" i="32498"/>
  <c r="N163" i="32498"/>
  <c r="M163" i="32498"/>
  <c r="F163" i="32498"/>
  <c r="N162" i="32498"/>
  <c r="M162" i="32498"/>
  <c r="F162" i="32498"/>
  <c r="N161" i="32498"/>
  <c r="M161" i="32498"/>
  <c r="F161" i="32498"/>
  <c r="N160" i="32498"/>
  <c r="M160" i="32498"/>
  <c r="F160" i="32498"/>
  <c r="N159" i="32498"/>
  <c r="M159" i="32498"/>
  <c r="F159" i="32498"/>
  <c r="N158" i="32498"/>
  <c r="M158" i="32498"/>
  <c r="F158" i="32498"/>
  <c r="N157" i="32498"/>
  <c r="M157" i="32498"/>
  <c r="F157" i="32498"/>
  <c r="N156" i="32498"/>
  <c r="M156" i="32498"/>
  <c r="F156" i="32498"/>
  <c r="N155" i="32498"/>
  <c r="M155" i="32498"/>
  <c r="F155" i="32498"/>
  <c r="N154" i="32498"/>
  <c r="M154" i="32498"/>
  <c r="F154" i="32498"/>
  <c r="N153" i="32498"/>
  <c r="M153" i="32498"/>
  <c r="F153" i="32498"/>
  <c r="N152" i="32498"/>
  <c r="M152" i="32498"/>
  <c r="F152" i="32498"/>
  <c r="N151" i="32498"/>
  <c r="M151" i="32498"/>
  <c r="F151" i="32498"/>
  <c r="N150" i="32498"/>
  <c r="M150" i="32498"/>
  <c r="F150" i="32498"/>
  <c r="N149" i="32498"/>
  <c r="M149" i="32498"/>
  <c r="F149" i="32498"/>
  <c r="N148" i="32498"/>
  <c r="M148" i="32498"/>
  <c r="F148" i="32498"/>
  <c r="N147" i="32498"/>
  <c r="M147" i="32498"/>
  <c r="F147" i="32498"/>
  <c r="N146" i="32498"/>
  <c r="M146" i="32498"/>
  <c r="F146" i="32498"/>
  <c r="N145" i="32498"/>
  <c r="M145" i="32498"/>
  <c r="F145" i="32498"/>
  <c r="N144" i="32498"/>
  <c r="M144" i="32498"/>
  <c r="F144" i="32498"/>
  <c r="N143" i="32498"/>
  <c r="M143" i="32498"/>
  <c r="F143" i="32498"/>
  <c r="N142" i="32498"/>
  <c r="M142" i="32498"/>
  <c r="F142" i="32498"/>
  <c r="N141" i="32498"/>
  <c r="M141" i="32498"/>
  <c r="F141" i="32498"/>
  <c r="N140" i="32498"/>
  <c r="M140" i="32498"/>
  <c r="F140" i="32498"/>
  <c r="N139" i="32498"/>
  <c r="M139" i="32498"/>
  <c r="F139" i="32498"/>
  <c r="N138" i="32498"/>
  <c r="M138" i="32498"/>
  <c r="F138" i="32498"/>
  <c r="N137" i="32498"/>
  <c r="M137" i="32498"/>
  <c r="F137" i="32498"/>
  <c r="N136" i="32498"/>
  <c r="M136" i="32498"/>
  <c r="F136" i="32498"/>
  <c r="N135" i="32498"/>
  <c r="M135" i="32498"/>
  <c r="F135" i="32498"/>
  <c r="N134" i="32498"/>
  <c r="M134" i="32498"/>
  <c r="F134" i="32498"/>
  <c r="N133" i="32498"/>
  <c r="M133" i="32498"/>
  <c r="F133" i="32498"/>
  <c r="N132" i="32498"/>
  <c r="M132" i="32498"/>
  <c r="F132" i="32498"/>
  <c r="N131" i="32498"/>
  <c r="M131" i="32498"/>
  <c r="F131" i="32498"/>
  <c r="N130" i="32498"/>
  <c r="M130" i="32498"/>
  <c r="F130" i="32498"/>
  <c r="N129" i="32498"/>
  <c r="M129" i="32498"/>
  <c r="F129" i="32498"/>
  <c r="N128" i="32498"/>
  <c r="M128" i="32498"/>
  <c r="F128" i="32498"/>
  <c r="N127" i="32498"/>
  <c r="M127" i="32498"/>
  <c r="F127" i="32498"/>
  <c r="N126" i="32498"/>
  <c r="M126" i="32498"/>
  <c r="F126" i="32498"/>
  <c r="N125" i="32498"/>
  <c r="M125" i="32498"/>
  <c r="F125" i="32498"/>
  <c r="N124" i="32498"/>
  <c r="M124" i="32498"/>
  <c r="F124" i="32498"/>
  <c r="N123" i="32498"/>
  <c r="M123" i="32498"/>
  <c r="F123" i="32498"/>
  <c r="N122" i="32498"/>
  <c r="M122" i="32498"/>
  <c r="F122" i="32498"/>
  <c r="N121" i="32498"/>
  <c r="M121" i="32498"/>
  <c r="F121" i="32498"/>
  <c r="N120" i="32498"/>
  <c r="M120" i="32498"/>
  <c r="F120" i="32498"/>
  <c r="N119" i="32498"/>
  <c r="M119" i="32498"/>
  <c r="F119" i="32498"/>
  <c r="N118" i="32498"/>
  <c r="M118" i="32498"/>
  <c r="F118" i="32498"/>
  <c r="N117" i="32498"/>
  <c r="M117" i="32498"/>
  <c r="F117" i="32498"/>
  <c r="N116" i="32498"/>
  <c r="M116" i="32498"/>
  <c r="F116" i="32498"/>
  <c r="N115" i="32498"/>
  <c r="M115" i="32498"/>
  <c r="F115" i="32498"/>
  <c r="N114" i="32498"/>
  <c r="M114" i="32498"/>
  <c r="F114" i="32498"/>
  <c r="N113" i="32498"/>
  <c r="M113" i="32498"/>
  <c r="F113" i="32498"/>
  <c r="N112" i="32498"/>
  <c r="M112" i="32498"/>
  <c r="F112" i="32498"/>
  <c r="N111" i="32498"/>
  <c r="M111" i="32498"/>
  <c r="F111" i="32498"/>
  <c r="N110" i="32498"/>
  <c r="M110" i="32498"/>
  <c r="F110" i="32498"/>
  <c r="N109" i="32498"/>
  <c r="M109" i="32498"/>
  <c r="F109" i="32498"/>
  <c r="N108" i="32498"/>
  <c r="M108" i="32498"/>
  <c r="F108" i="32498"/>
  <c r="N107" i="32498"/>
  <c r="M107" i="32498"/>
  <c r="F107" i="32498"/>
  <c r="N106" i="32498"/>
  <c r="M106" i="32498"/>
  <c r="F106" i="32498"/>
  <c r="N105" i="32498"/>
  <c r="M105" i="32498"/>
  <c r="F105" i="32498"/>
  <c r="N104" i="32498"/>
  <c r="M104" i="32498"/>
  <c r="F104" i="32498"/>
  <c r="N103" i="32498"/>
  <c r="M103" i="32498"/>
  <c r="F103" i="32498"/>
  <c r="N102" i="32498"/>
  <c r="M102" i="32498"/>
  <c r="F102" i="32498"/>
  <c r="N101" i="32498"/>
  <c r="M101" i="32498"/>
  <c r="F101" i="32498"/>
  <c r="N100" i="32498"/>
  <c r="M100" i="32498"/>
  <c r="F100" i="32498"/>
  <c r="N99" i="32498"/>
  <c r="M99" i="32498"/>
  <c r="F99" i="32498"/>
  <c r="N98" i="32498"/>
  <c r="M98" i="32498"/>
  <c r="F98" i="32498"/>
  <c r="N97" i="32498"/>
  <c r="M97" i="32498"/>
  <c r="F97" i="32498"/>
  <c r="N96" i="32498"/>
  <c r="M96" i="32498"/>
  <c r="F96" i="32498"/>
  <c r="N95" i="32498"/>
  <c r="M95" i="32498"/>
  <c r="F95" i="32498"/>
  <c r="N94" i="32498"/>
  <c r="M94" i="32498"/>
  <c r="F94" i="32498"/>
  <c r="N93" i="32498"/>
  <c r="M93" i="32498"/>
  <c r="F93" i="32498"/>
  <c r="N92" i="32498"/>
  <c r="M92" i="32498"/>
  <c r="F92" i="32498"/>
  <c r="N91" i="32498"/>
  <c r="M91" i="32498"/>
  <c r="F91" i="32498"/>
  <c r="N90" i="32498"/>
  <c r="M90" i="32498"/>
  <c r="F90" i="32498"/>
  <c r="N89" i="32498"/>
  <c r="M89" i="32498"/>
  <c r="F89" i="32498"/>
  <c r="N88" i="32498"/>
  <c r="M88" i="32498"/>
  <c r="F88" i="32498"/>
  <c r="N87" i="32498"/>
  <c r="M87" i="32498"/>
  <c r="F87" i="32498"/>
  <c r="N86" i="32498"/>
  <c r="M86" i="32498"/>
  <c r="F86" i="32498"/>
  <c r="N85" i="32498"/>
  <c r="M85" i="32498"/>
  <c r="F85" i="32498"/>
  <c r="N84" i="32498"/>
  <c r="M84" i="32498"/>
  <c r="F84" i="32498"/>
  <c r="N83" i="32498"/>
  <c r="M83" i="32498"/>
  <c r="F83" i="32498"/>
  <c r="N82" i="32498"/>
  <c r="M82" i="32498"/>
  <c r="F82" i="32498"/>
  <c r="N81" i="32498"/>
  <c r="M81" i="32498"/>
  <c r="F81" i="32498"/>
  <c r="N80" i="32498"/>
  <c r="M80" i="32498"/>
  <c r="F80" i="32498"/>
  <c r="N79" i="32498"/>
  <c r="M79" i="32498"/>
  <c r="F79" i="32498"/>
  <c r="N78" i="32498"/>
  <c r="M78" i="32498"/>
  <c r="F78" i="32498"/>
  <c r="N77" i="32498"/>
  <c r="M77" i="32498"/>
  <c r="F77" i="32498"/>
  <c r="N76" i="32498"/>
  <c r="M76" i="32498"/>
  <c r="F76" i="32498"/>
  <c r="N75" i="32498"/>
  <c r="M75" i="32498"/>
  <c r="F75" i="32498"/>
  <c r="N74" i="32498"/>
  <c r="M74" i="32498"/>
  <c r="F74" i="32498"/>
  <c r="N73" i="32498"/>
  <c r="M73" i="32498"/>
  <c r="F73" i="32498"/>
  <c r="N72" i="32498"/>
  <c r="M72" i="32498"/>
  <c r="F72" i="32498"/>
  <c r="N71" i="32498"/>
  <c r="M71" i="32498"/>
  <c r="F71" i="32498"/>
  <c r="N70" i="32498"/>
  <c r="M70" i="32498"/>
  <c r="F70" i="32498"/>
  <c r="N69" i="32498"/>
  <c r="M69" i="32498"/>
  <c r="F69" i="32498"/>
  <c r="N68" i="32498"/>
  <c r="M68" i="32498"/>
  <c r="F68" i="32498"/>
  <c r="N67" i="32498"/>
  <c r="M67" i="32498"/>
  <c r="F67" i="32498"/>
  <c r="N66" i="32498"/>
  <c r="M66" i="32498"/>
  <c r="F66" i="32498"/>
  <c r="N65" i="32498"/>
  <c r="M65" i="32498"/>
  <c r="F65" i="32498"/>
  <c r="N64" i="32498"/>
  <c r="M64" i="32498"/>
  <c r="F64" i="32498"/>
  <c r="N63" i="32498"/>
  <c r="M63" i="32498"/>
  <c r="F63" i="32498"/>
  <c r="N62" i="32498"/>
  <c r="M62" i="32498"/>
  <c r="F62" i="32498"/>
  <c r="N61" i="32498"/>
  <c r="M61" i="32498"/>
  <c r="F61" i="32498"/>
  <c r="N60" i="32498"/>
  <c r="M60" i="32498"/>
  <c r="F60" i="32498"/>
  <c r="N59" i="32498"/>
  <c r="M59" i="32498"/>
  <c r="F59" i="32498"/>
  <c r="N58" i="32498"/>
  <c r="M58" i="32498"/>
  <c r="F58" i="32498"/>
  <c r="N57" i="32498"/>
  <c r="M57" i="32498"/>
  <c r="F57" i="32498"/>
  <c r="N56" i="32498"/>
  <c r="M56" i="32498"/>
  <c r="F56" i="32498"/>
  <c r="N55" i="32498"/>
  <c r="M55" i="32498"/>
  <c r="F55" i="32498"/>
  <c r="N54" i="32498"/>
  <c r="M54" i="32498"/>
  <c r="F54" i="32498"/>
  <c r="N53" i="32498"/>
  <c r="M53" i="32498"/>
  <c r="F53" i="32498"/>
  <c r="N52" i="32498"/>
  <c r="M52" i="32498"/>
  <c r="F52" i="32498"/>
  <c r="N51" i="32498"/>
  <c r="M51" i="32498"/>
  <c r="F51" i="32498"/>
  <c r="N50" i="32498"/>
  <c r="M50" i="32498"/>
  <c r="F50" i="32498"/>
  <c r="N49" i="32498"/>
  <c r="M49" i="32498"/>
  <c r="F49" i="32498"/>
  <c r="N48" i="32498"/>
  <c r="M48" i="32498"/>
  <c r="F48" i="32498"/>
  <c r="N47" i="32498"/>
  <c r="M47" i="32498"/>
  <c r="F47" i="32498"/>
  <c r="N46" i="32498"/>
  <c r="M46" i="32498"/>
  <c r="F46" i="32498"/>
  <c r="N45" i="32498"/>
  <c r="M45" i="32498"/>
  <c r="F45" i="32498"/>
  <c r="N44" i="32498"/>
  <c r="M44" i="32498"/>
  <c r="F44" i="32498"/>
  <c r="N43" i="32498"/>
  <c r="M43" i="32498"/>
  <c r="F43" i="32498"/>
  <c r="N42" i="32498"/>
  <c r="M42" i="32498"/>
  <c r="F42" i="32498"/>
  <c r="N41" i="32498"/>
  <c r="M41" i="32498"/>
  <c r="F41" i="32498"/>
  <c r="N40" i="32498"/>
  <c r="M40" i="32498"/>
  <c r="F40" i="32498"/>
  <c r="N39" i="32498"/>
  <c r="M39" i="32498"/>
  <c r="F39" i="32498"/>
  <c r="N38" i="32498"/>
  <c r="M38" i="32498"/>
  <c r="F38" i="32498"/>
  <c r="N37" i="32498"/>
  <c r="M37" i="32498"/>
  <c r="F37" i="32498"/>
  <c r="N36" i="32498"/>
  <c r="M36" i="32498"/>
  <c r="F36" i="32498"/>
  <c r="N35" i="32498"/>
  <c r="M35" i="32498"/>
  <c r="F35" i="32498"/>
  <c r="N34" i="32498"/>
  <c r="M34" i="32498"/>
  <c r="F34" i="32498"/>
  <c r="N33" i="32498"/>
  <c r="M33" i="32498"/>
  <c r="F33" i="32498"/>
  <c r="N32" i="32498"/>
  <c r="M32" i="32498"/>
  <c r="F32" i="32498"/>
  <c r="N31" i="32498"/>
  <c r="M31" i="32498"/>
  <c r="F31" i="32498"/>
  <c r="N30" i="32498"/>
  <c r="M30" i="32498"/>
  <c r="F30" i="32498"/>
  <c r="N29" i="32498"/>
  <c r="M29" i="32498"/>
  <c r="F29" i="32498"/>
  <c r="N28" i="32498"/>
  <c r="M28" i="32498"/>
  <c r="F28" i="32498"/>
  <c r="N27" i="32498"/>
  <c r="M27" i="32498"/>
  <c r="F27" i="32498"/>
  <c r="N26" i="32498"/>
  <c r="M26" i="32498"/>
  <c r="F26" i="32498"/>
  <c r="N25" i="32498"/>
  <c r="M25" i="32498"/>
  <c r="F25" i="32498"/>
  <c r="N24" i="32498"/>
  <c r="M24" i="32498"/>
  <c r="F24" i="32498"/>
  <c r="N23" i="32498"/>
  <c r="M23" i="32498"/>
  <c r="F23" i="32498"/>
  <c r="N22" i="32498"/>
  <c r="M22" i="32498"/>
  <c r="F22" i="32498"/>
  <c r="N21" i="32498"/>
  <c r="M21" i="32498"/>
  <c r="F21" i="32498"/>
  <c r="N20" i="32498"/>
  <c r="M20" i="32498"/>
  <c r="F20" i="32498"/>
  <c r="N19" i="32498"/>
  <c r="M19" i="32498"/>
  <c r="F19" i="32498"/>
  <c r="N18" i="32498"/>
  <c r="M18" i="32498"/>
  <c r="F18" i="32498"/>
  <c r="N17" i="32498"/>
  <c r="M17" i="32498"/>
  <c r="F17" i="32498"/>
  <c r="N16" i="32498"/>
  <c r="M16" i="32498"/>
  <c r="F16" i="32498"/>
  <c r="N15" i="32498"/>
  <c r="M15" i="32498"/>
  <c r="F15" i="32498"/>
  <c r="N14" i="32498"/>
  <c r="M14" i="32498"/>
  <c r="F14" i="32498"/>
  <c r="N13" i="32498"/>
  <c r="M13" i="32498"/>
  <c r="F13" i="32498"/>
  <c r="N12" i="32498"/>
  <c r="M12" i="32498"/>
  <c r="F12" i="32498"/>
  <c r="N11" i="32498"/>
  <c r="M11" i="32498"/>
  <c r="F11" i="32498"/>
  <c r="N10" i="32498"/>
  <c r="M10" i="32498"/>
  <c r="F10" i="32498"/>
  <c r="N9" i="32498"/>
  <c r="M9" i="32498"/>
  <c r="F9" i="32498"/>
  <c r="N8" i="32498"/>
  <c r="M8" i="32498"/>
  <c r="F8" i="32498"/>
  <c r="N7" i="32498"/>
  <c r="M7" i="32498"/>
  <c r="F7" i="32498"/>
  <c r="N6" i="32498"/>
  <c r="M6" i="32498"/>
  <c r="F6" i="32498"/>
  <c r="N5" i="32498"/>
  <c r="M5" i="32498"/>
  <c r="F5" i="32498"/>
  <c r="N4" i="32498"/>
  <c r="M4" i="32498"/>
  <c r="F4" i="32498"/>
  <c r="N3" i="32498"/>
  <c r="M3" i="32498"/>
  <c r="F3" i="32498"/>
  <c r="N2" i="32498"/>
  <c r="M2" i="32498"/>
  <c r="F2" i="32498"/>
  <c r="AZ2" i="32497"/>
  <c r="AY2" i="32497"/>
  <c r="AX2" i="32497"/>
  <c r="AW2" i="32497"/>
  <c r="AV2" i="32497"/>
  <c r="AJ330" i="32494"/>
  <c r="AG330" i="32494"/>
  <c r="AJ329" i="32494"/>
  <c r="AI329" i="32494" s="1"/>
  <c r="AG329" i="32494"/>
  <c r="AJ328" i="32494"/>
  <c r="AG328" i="32494"/>
  <c r="AJ327" i="32494"/>
  <c r="AI327" i="32494" s="1"/>
  <c r="AG327" i="32494"/>
  <c r="AJ326" i="32494"/>
  <c r="AG326" i="32494"/>
  <c r="AJ324" i="32494"/>
  <c r="AI324" i="32494" s="1"/>
  <c r="AG324" i="32494"/>
  <c r="AD324" i="32494"/>
  <c r="AJ323" i="32494"/>
  <c r="AI323" i="32494" s="1"/>
  <c r="AG323" i="32494"/>
  <c r="AD323" i="32494"/>
  <c r="AJ322" i="32494"/>
  <c r="AC322" i="32494" s="1"/>
  <c r="AF322" i="32494" s="1"/>
  <c r="AH322" i="32494" s="1"/>
  <c r="AG322" i="32494"/>
  <c r="AD322" i="32494"/>
  <c r="AJ321" i="32494"/>
  <c r="AI321" i="32494" s="1"/>
  <c r="AG321" i="32494"/>
  <c r="AD321" i="32494"/>
  <c r="AJ320" i="32494"/>
  <c r="AG320" i="32494"/>
  <c r="AD320" i="32494"/>
  <c r="AJ319" i="32494"/>
  <c r="AC319" i="32494" s="1"/>
  <c r="AF319" i="32494" s="1"/>
  <c r="AH319" i="32494" s="1"/>
  <c r="AG319" i="32494"/>
  <c r="AD319" i="32494"/>
  <c r="AJ318" i="32494"/>
  <c r="AG318" i="32494"/>
  <c r="AD318" i="32494"/>
  <c r="AJ317" i="32494"/>
  <c r="AC317" i="32494" s="1"/>
  <c r="AF317" i="32494" s="1"/>
  <c r="AH317" i="32494" s="1"/>
  <c r="AG317" i="32494"/>
  <c r="AD317" i="32494"/>
  <c r="AJ315" i="32494"/>
  <c r="AC315" i="32494" s="1"/>
  <c r="AG315" i="32494"/>
  <c r="AE315" i="32494"/>
  <c r="AD315" i="32494"/>
  <c r="AJ314" i="32494"/>
  <c r="AC314" i="32494" s="1"/>
  <c r="AF314" i="32494" s="1"/>
  <c r="AH314" i="32494" s="1"/>
  <c r="AG314" i="32494"/>
  <c r="AD314" i="32494"/>
  <c r="AJ313" i="32494"/>
  <c r="AC313" i="32494" s="1"/>
  <c r="AF313" i="32494" s="1"/>
  <c r="AH313" i="32494" s="1"/>
  <c r="AI313" i="32494"/>
  <c r="AG313" i="32494"/>
  <c r="AD313" i="32494"/>
  <c r="AJ312" i="32494"/>
  <c r="AI312" i="32494" s="1"/>
  <c r="AG312" i="32494"/>
  <c r="AD312" i="32494"/>
  <c r="AJ310" i="32494"/>
  <c r="AG310" i="32494"/>
  <c r="AE310" i="32494"/>
  <c r="AD310" i="32494"/>
  <c r="AJ309" i="32494"/>
  <c r="AI309" i="32494" s="1"/>
  <c r="AG309" i="32494"/>
  <c r="AD309" i="32494"/>
  <c r="AJ308" i="32494"/>
  <c r="AC308" i="32494" s="1"/>
  <c r="AF308" i="32494" s="1"/>
  <c r="AH308" i="32494" s="1"/>
  <c r="AG308" i="32494"/>
  <c r="AD308" i="32494"/>
  <c r="AJ307" i="32494"/>
  <c r="AC307" i="32494" s="1"/>
  <c r="AF307" i="32494" s="1"/>
  <c r="AH307" i="32494" s="1"/>
  <c r="AG307" i="32494"/>
  <c r="AD307" i="32494"/>
  <c r="AS35" i="32494"/>
  <c r="L76" i="32488" s="1"/>
  <c r="I2" i="32497" s="1"/>
  <c r="AS17" i="32494"/>
  <c r="L100" i="32488" s="1"/>
  <c r="AP2" i="32497" s="1"/>
  <c r="AS9" i="32494"/>
  <c r="L97" i="32488" s="1"/>
  <c r="AO2" i="32497" s="1"/>
  <c r="X6" i="32494"/>
  <c r="F50" i="32488" s="1" a="1"/>
  <c r="F50" i="32488" s="1"/>
  <c r="W6" i="32494"/>
  <c r="F46" i="32488" s="1" a="1"/>
  <c r="F46" i="32488" s="1"/>
  <c r="N6" i="32494"/>
  <c r="M6" i="32494"/>
  <c r="K6" i="32494"/>
  <c r="J6" i="32494"/>
  <c r="I6" i="32494"/>
  <c r="H6" i="32494"/>
  <c r="G6" i="32494"/>
  <c r="AI307" i="32494" l="1"/>
  <c r="F44" i="32488" a="1"/>
  <c r="F44" i="32488" s="1"/>
  <c r="G2" i="32497" s="1"/>
  <c r="F40" i="32488" a="1"/>
  <c r="F40" i="32488" s="1"/>
  <c r="F30" i="32488" a="1"/>
  <c r="F30" i="32488" s="1"/>
  <c r="B2" i="32497" s="1"/>
  <c r="E2" i="32497"/>
  <c r="F32" i="32488" a="1"/>
  <c r="F32" i="32488" s="1"/>
  <c r="F27" i="32488" a="1"/>
  <c r="F27" i="32488" s="1"/>
  <c r="F36" i="32488" a="1"/>
  <c r="F36" i="32488" s="1"/>
  <c r="F42" i="32488" a="1"/>
  <c r="F42" i="32488" s="1"/>
  <c r="AC327" i="32494"/>
  <c r="AF327" i="32494" s="1"/>
  <c r="AH327" i="32494" s="1"/>
  <c r="D19" i="32458"/>
  <c r="Z229" i="32494"/>
  <c r="AI314" i="32494"/>
  <c r="AA240" i="32494"/>
  <c r="AB240" i="32494" s="1"/>
  <c r="AA299" i="32494"/>
  <c r="AB299" i="32494" s="1"/>
  <c r="Z270" i="32494"/>
  <c r="AI322" i="32494"/>
  <c r="Z269" i="32494"/>
  <c r="AA287" i="32494"/>
  <c r="AB287" i="32494" s="1"/>
  <c r="AI287" i="32494" s="1"/>
  <c r="Z241" i="32494"/>
  <c r="Z223" i="32494"/>
  <c r="Z11" i="32494"/>
  <c r="Z16" i="32494"/>
  <c r="Z29" i="32494"/>
  <c r="Z42" i="32494"/>
  <c r="Z47" i="32494"/>
  <c r="Z52" i="32494"/>
  <c r="Z70" i="32494"/>
  <c r="Z73" i="32494"/>
  <c r="Z78" i="32494"/>
  <c r="Z104" i="32494"/>
  <c r="Z132" i="32494"/>
  <c r="Z139" i="32494"/>
  <c r="Z153" i="32494"/>
  <c r="Z158" i="32494"/>
  <c r="Z185" i="32494"/>
  <c r="Z190" i="32494"/>
  <c r="Z202" i="32494"/>
  <c r="Z218" i="32494"/>
  <c r="Z221" i="32494"/>
  <c r="Z7" i="32494"/>
  <c r="Z20" i="32494"/>
  <c r="Z24" i="32494"/>
  <c r="Z33" i="32494"/>
  <c r="Z57" i="32494"/>
  <c r="Z65" i="32494"/>
  <c r="Z76" i="32494"/>
  <c r="Z89" i="32494"/>
  <c r="Z93" i="32494"/>
  <c r="Z96" i="32494"/>
  <c r="Z107" i="32494"/>
  <c r="Z120" i="32494"/>
  <c r="Z166" i="32494"/>
  <c r="Z169" i="32494"/>
  <c r="Z173" i="32494"/>
  <c r="Z193" i="32494"/>
  <c r="Z200" i="32494"/>
  <c r="Z213" i="32494"/>
  <c r="Z14" i="32494"/>
  <c r="Z27" i="32494"/>
  <c r="Z44" i="32494"/>
  <c r="Z50" i="32494"/>
  <c r="Z55" i="32494"/>
  <c r="Z81" i="32494"/>
  <c r="Z84" i="32494"/>
  <c r="Z87" i="32494"/>
  <c r="Z91" i="32494"/>
  <c r="Z102" i="32494"/>
  <c r="Z144" i="32494"/>
  <c r="Z156" i="32494"/>
  <c r="Z163" i="32494"/>
  <c r="Z176" i="32494"/>
  <c r="Z205" i="32494"/>
  <c r="Z31" i="32494"/>
  <c r="Z34" i="32494"/>
  <c r="AC34" i="32494" s="1"/>
  <c r="Z37" i="32494"/>
  <c r="Z40" i="32494"/>
  <c r="Z48" i="32494"/>
  <c r="Z53" i="32494"/>
  <c r="Z58" i="32494"/>
  <c r="Z63" i="32494"/>
  <c r="Z113" i="32494"/>
  <c r="Z123" i="32494"/>
  <c r="Z125" i="32494"/>
  <c r="Z130" i="32494"/>
  <c r="Z140" i="32494"/>
  <c r="Z147" i="32494"/>
  <c r="Z171" i="32494"/>
  <c r="Z174" i="32494"/>
  <c r="Z181" i="32494"/>
  <c r="Z188" i="32494"/>
  <c r="Z208" i="32494"/>
  <c r="Z216" i="32494"/>
  <c r="Z21" i="32494"/>
  <c r="Z61" i="32494"/>
  <c r="Z68" i="32494"/>
  <c r="Z71" i="32494"/>
  <c r="Z74" i="32494"/>
  <c r="Z97" i="32494"/>
  <c r="Z115" i="32494"/>
  <c r="Z118" i="32494"/>
  <c r="Z128" i="32494"/>
  <c r="Z160" i="32494"/>
  <c r="Z179" i="32494"/>
  <c r="Z194" i="32494"/>
  <c r="Z196" i="32494"/>
  <c r="Z198" i="32494"/>
  <c r="Z210" i="32494"/>
  <c r="Z8" i="32494"/>
  <c r="Z12" i="32494"/>
  <c r="Z17" i="32494"/>
  <c r="Z19" i="32494"/>
  <c r="Z25" i="32494"/>
  <c r="Z79" i="32494"/>
  <c r="Z85" i="32494"/>
  <c r="Z94" i="32494"/>
  <c r="Z99" i="32494"/>
  <c r="Z108" i="32494"/>
  <c r="Z111" i="32494"/>
  <c r="Z133" i="32494"/>
  <c r="Z135" i="32494"/>
  <c r="Z138" i="32494"/>
  <c r="Z149" i="32494"/>
  <c r="Z152" i="32494"/>
  <c r="Z164" i="32494"/>
  <c r="Z167" i="32494"/>
  <c r="Z203" i="32494"/>
  <c r="Z206" i="32494"/>
  <c r="Z214" i="32494"/>
  <c r="Z219" i="32494"/>
  <c r="AC219" i="32494" s="1"/>
  <c r="Z28" i="32494"/>
  <c r="Z38" i="32494"/>
  <c r="Z41" i="32494"/>
  <c r="Z45" i="32494"/>
  <c r="Z51" i="32494"/>
  <c r="Z66" i="32494"/>
  <c r="Z82" i="32494"/>
  <c r="Z88" i="32494"/>
  <c r="Z90" i="32494"/>
  <c r="Z101" i="32494"/>
  <c r="Z105" i="32494"/>
  <c r="Z126" i="32494"/>
  <c r="Z141" i="32494"/>
  <c r="Z154" i="32494"/>
  <c r="Z157" i="32494"/>
  <c r="Z177" i="32494"/>
  <c r="Z182" i="32494"/>
  <c r="Z184" i="32494"/>
  <c r="Z186" i="32494"/>
  <c r="Z191" i="32494"/>
  <c r="Z13" i="32494"/>
  <c r="Z15" i="32494"/>
  <c r="Z26" i="32494"/>
  <c r="Z30" i="32494"/>
  <c r="Z43" i="32494"/>
  <c r="Z54" i="32494"/>
  <c r="Z64" i="32494"/>
  <c r="Z103" i="32494"/>
  <c r="Z109" i="32494"/>
  <c r="Z119" i="32494"/>
  <c r="Z143" i="32494"/>
  <c r="Z168" i="32494"/>
  <c r="Z170" i="32494"/>
  <c r="Z189" i="32494"/>
  <c r="Z201" i="32494"/>
  <c r="Z9" i="32494"/>
  <c r="Z22" i="32494"/>
  <c r="AD22" i="32494" s="1"/>
  <c r="Z35" i="32494"/>
  <c r="Z39" i="32494"/>
  <c r="Z49" i="32494"/>
  <c r="Z56" i="32494"/>
  <c r="Z59" i="32494"/>
  <c r="Z72" i="32494"/>
  <c r="Z77" i="32494"/>
  <c r="Z112" i="32494"/>
  <c r="Z116" i="32494"/>
  <c r="Z121" i="32494"/>
  <c r="Z124" i="32494"/>
  <c r="Z127" i="32494"/>
  <c r="Z131" i="32494"/>
  <c r="Z136" i="32494"/>
  <c r="Z145" i="32494"/>
  <c r="Z150" i="32494"/>
  <c r="Z159" i="32494"/>
  <c r="Z161" i="32494"/>
  <c r="Z165" i="32494"/>
  <c r="Z175" i="32494"/>
  <c r="Z192" i="32494"/>
  <c r="Z199" i="32494"/>
  <c r="Z215" i="32494"/>
  <c r="Z217" i="32494"/>
  <c r="Z220" i="32494"/>
  <c r="Z75" i="32494"/>
  <c r="Z83" i="32494"/>
  <c r="Z86" i="32494"/>
  <c r="Z92" i="32494"/>
  <c r="Z95" i="32494"/>
  <c r="Z106" i="32494"/>
  <c r="Z155" i="32494"/>
  <c r="Z195" i="32494"/>
  <c r="Z207" i="32494"/>
  <c r="Z209" i="32494"/>
  <c r="Z211" i="32494"/>
  <c r="AD211" i="32494" s="1"/>
  <c r="Z10" i="32494"/>
  <c r="Z23" i="32494"/>
  <c r="Z36" i="32494"/>
  <c r="Z46" i="32494"/>
  <c r="Z69" i="32494"/>
  <c r="Z100" i="32494"/>
  <c r="Z117" i="32494"/>
  <c r="Z122" i="32494"/>
  <c r="Z137" i="32494"/>
  <c r="Z148" i="32494"/>
  <c r="Z162" i="32494"/>
  <c r="Z178" i="32494"/>
  <c r="Z180" i="32494"/>
  <c r="Z197" i="32494"/>
  <c r="Z204" i="32494"/>
  <c r="Z18" i="32494"/>
  <c r="Z32" i="32494"/>
  <c r="Z60" i="32494"/>
  <c r="Z62" i="32494"/>
  <c r="Z67" i="32494"/>
  <c r="Z80" i="32494"/>
  <c r="Z98" i="32494"/>
  <c r="Z110" i="32494"/>
  <c r="Z114" i="32494"/>
  <c r="Z129" i="32494"/>
  <c r="Z134" i="32494"/>
  <c r="Z142" i="32494"/>
  <c r="Z146" i="32494"/>
  <c r="Z151" i="32494"/>
  <c r="Z172" i="32494"/>
  <c r="Z183" i="32494"/>
  <c r="Z187" i="32494"/>
  <c r="Z212" i="32494"/>
  <c r="Z287" i="32494"/>
  <c r="AA268" i="32494"/>
  <c r="AB268" i="32494" s="1"/>
  <c r="AA264" i="32494"/>
  <c r="AB264" i="32494" s="1"/>
  <c r="Z258" i="32494"/>
  <c r="Z255" i="32494"/>
  <c r="AA233" i="32494"/>
  <c r="AB233" i="32494" s="1"/>
  <c r="Z228" i="32494"/>
  <c r="Z225" i="32494"/>
  <c r="Z237" i="32494"/>
  <c r="Z294" i="32494"/>
  <c r="Z278" i="32494"/>
  <c r="AA258" i="32494"/>
  <c r="AB258" i="32494" s="1"/>
  <c r="AA225" i="32494"/>
  <c r="AB225" i="32494" s="1"/>
  <c r="AA301" i="32494"/>
  <c r="AB301" i="32494" s="1"/>
  <c r="Z299" i="32494"/>
  <c r="AA282" i="32494"/>
  <c r="AB282" i="32494" s="1"/>
  <c r="AA271" i="32494"/>
  <c r="AB271" i="32494" s="1"/>
  <c r="Z268" i="32494"/>
  <c r="Z264" i="32494"/>
  <c r="AA250" i="32494"/>
  <c r="AB250" i="32494" s="1"/>
  <c r="AI250" i="32494" s="1"/>
  <c r="Z233" i="32494"/>
  <c r="Z297" i="32494"/>
  <c r="Z253" i="32494"/>
  <c r="AA228" i="32494"/>
  <c r="AB228" i="32494" s="1"/>
  <c r="Z301" i="32494"/>
  <c r="AA298" i="32494"/>
  <c r="AB298" i="32494" s="1"/>
  <c r="Z282" i="32494"/>
  <c r="AA273" i="32494"/>
  <c r="AB273" i="32494" s="1"/>
  <c r="AI273" i="32494" s="1"/>
  <c r="Z271" i="32494"/>
  <c r="AA260" i="32494"/>
  <c r="AB260" i="32494" s="1"/>
  <c r="AI260" i="32494" s="1"/>
  <c r="AA257" i="32494"/>
  <c r="AB257" i="32494" s="1"/>
  <c r="AA252" i="32494"/>
  <c r="AB252" i="32494" s="1"/>
  <c r="Z250" i="32494"/>
  <c r="AA247" i="32494"/>
  <c r="AB247" i="32494" s="1"/>
  <c r="AI247" i="32494" s="1"/>
  <c r="AA245" i="32494"/>
  <c r="AB245" i="32494" s="1"/>
  <c r="AA243" i="32494"/>
  <c r="AB243" i="32494" s="1"/>
  <c r="AI243" i="32494" s="1"/>
  <c r="AA227" i="32494"/>
  <c r="AB227" i="32494" s="1"/>
  <c r="AA237" i="32494"/>
  <c r="AB237" i="32494" s="1"/>
  <c r="AI237" i="32494" s="1"/>
  <c r="AA241" i="32494"/>
  <c r="AB241" i="32494" s="1"/>
  <c r="Z262" i="32494"/>
  <c r="Z239" i="32494"/>
  <c r="Z298" i="32494"/>
  <c r="AA293" i="32494"/>
  <c r="AB293" i="32494" s="1"/>
  <c r="AI293" i="32494" s="1"/>
  <c r="AA289" i="32494"/>
  <c r="AB289" i="32494" s="1"/>
  <c r="AA281" i="32494"/>
  <c r="AB281" i="32494" s="1"/>
  <c r="AA277" i="32494"/>
  <c r="AB277" i="32494" s="1"/>
  <c r="AA275" i="32494"/>
  <c r="AB275" i="32494" s="1"/>
  <c r="AI275" i="32494" s="1"/>
  <c r="Z273" i="32494"/>
  <c r="Z260" i="32494"/>
  <c r="Z257" i="32494"/>
  <c r="Z252" i="32494"/>
  <c r="AD252" i="32494" s="1"/>
  <c r="Z247" i="32494"/>
  <c r="Z245" i="32494"/>
  <c r="Z243" i="32494"/>
  <c r="AA238" i="32494"/>
  <c r="AB238" i="32494" s="1"/>
  <c r="AI238" i="32494" s="1"/>
  <c r="AA236" i="32494"/>
  <c r="AB236" i="32494" s="1"/>
  <c r="AI236" i="32494" s="1"/>
  <c r="AA230" i="32494"/>
  <c r="AB230" i="32494" s="1"/>
  <c r="AI230" i="32494" s="1"/>
  <c r="Z227" i="32494"/>
  <c r="AA222" i="32494"/>
  <c r="AB222" i="32494" s="1"/>
  <c r="Z231" i="32494"/>
  <c r="AA239" i="32494"/>
  <c r="AB239" i="32494" s="1"/>
  <c r="Z290" i="32494"/>
  <c r="Z265" i="32494"/>
  <c r="AA255" i="32494"/>
  <c r="AB255" i="32494" s="1"/>
  <c r="AI255" i="32494" s="1"/>
  <c r="Z234" i="32494"/>
  <c r="AA296" i="32494"/>
  <c r="AB296" i="32494" s="1"/>
  <c r="Z293" i="32494"/>
  <c r="Z289" i="32494"/>
  <c r="AA284" i="32494"/>
  <c r="AB284" i="32494" s="1"/>
  <c r="AI284" i="32494" s="1"/>
  <c r="Z281" i="32494"/>
  <c r="Z277" i="32494"/>
  <c r="Z275" i="32494"/>
  <c r="AA270" i="32494"/>
  <c r="AB270" i="32494" s="1"/>
  <c r="AA266" i="32494"/>
  <c r="AB266" i="32494" s="1"/>
  <c r="AI266" i="32494" s="1"/>
  <c r="Z238" i="32494"/>
  <c r="Z236" i="32494"/>
  <c r="Z230" i="32494"/>
  <c r="Z222" i="32494"/>
  <c r="AA6" i="32494"/>
  <c r="AB6" i="32494" s="1"/>
  <c r="AA18" i="32494"/>
  <c r="AB18" i="32494" s="1"/>
  <c r="AA32" i="32494"/>
  <c r="AB32" i="32494" s="1"/>
  <c r="AA60" i="32494"/>
  <c r="AB60" i="32494" s="1"/>
  <c r="AA62" i="32494"/>
  <c r="AB62" i="32494" s="1"/>
  <c r="AA67" i="32494"/>
  <c r="AB67" i="32494" s="1"/>
  <c r="AA80" i="32494"/>
  <c r="AB80" i="32494" s="1"/>
  <c r="AA98" i="32494"/>
  <c r="AB98" i="32494" s="1"/>
  <c r="AI98" i="32494" s="1"/>
  <c r="AA110" i="32494"/>
  <c r="AB110" i="32494" s="1"/>
  <c r="AI110" i="32494" s="1"/>
  <c r="AA114" i="32494"/>
  <c r="AB114" i="32494" s="1"/>
  <c r="AA129" i="32494"/>
  <c r="AB129" i="32494" s="1"/>
  <c r="AA134" i="32494"/>
  <c r="AB134" i="32494" s="1"/>
  <c r="AI134" i="32494" s="1"/>
  <c r="AA142" i="32494"/>
  <c r="AB142" i="32494" s="1"/>
  <c r="AI142" i="32494" s="1"/>
  <c r="AA146" i="32494"/>
  <c r="AB146" i="32494" s="1"/>
  <c r="AA151" i="32494"/>
  <c r="AB151" i="32494" s="1"/>
  <c r="AA172" i="32494"/>
  <c r="AB172" i="32494" s="1"/>
  <c r="AA183" i="32494"/>
  <c r="AB183" i="32494" s="1"/>
  <c r="AI183" i="32494" s="1"/>
  <c r="AA187" i="32494"/>
  <c r="AB187" i="32494" s="1"/>
  <c r="AA212" i="32494"/>
  <c r="AB212" i="32494" s="1"/>
  <c r="AA11" i="32494"/>
  <c r="AB11" i="32494" s="1"/>
  <c r="AA16" i="32494"/>
  <c r="AB16" i="32494" s="1"/>
  <c r="AA29" i="32494"/>
  <c r="AB29" i="32494" s="1"/>
  <c r="AI29" i="32494" s="1"/>
  <c r="AA42" i="32494"/>
  <c r="AB42" i="32494" s="1"/>
  <c r="AI42" i="32494" s="1"/>
  <c r="AA47" i="32494"/>
  <c r="AB47" i="32494" s="1"/>
  <c r="AA52" i="32494"/>
  <c r="AB52" i="32494" s="1"/>
  <c r="AA70" i="32494"/>
  <c r="AB70" i="32494" s="1"/>
  <c r="AA73" i="32494"/>
  <c r="AB73" i="32494" s="1"/>
  <c r="AA78" i="32494"/>
  <c r="AB78" i="32494" s="1"/>
  <c r="AA104" i="32494"/>
  <c r="AB104" i="32494" s="1"/>
  <c r="AI104" i="32494" s="1"/>
  <c r="AA132" i="32494"/>
  <c r="AB132" i="32494" s="1"/>
  <c r="AI132" i="32494" s="1"/>
  <c r="AA139" i="32494"/>
  <c r="AB139" i="32494" s="1"/>
  <c r="AA153" i="32494"/>
  <c r="AB153" i="32494" s="1"/>
  <c r="AI153" i="32494" s="1"/>
  <c r="AA158" i="32494"/>
  <c r="AB158" i="32494" s="1"/>
  <c r="AI158" i="32494" s="1"/>
  <c r="AA185" i="32494"/>
  <c r="AB185" i="32494" s="1"/>
  <c r="AI185" i="32494" s="1"/>
  <c r="AA190" i="32494"/>
  <c r="AB190" i="32494" s="1"/>
  <c r="AI190" i="32494" s="1"/>
  <c r="AA202" i="32494"/>
  <c r="AB202" i="32494" s="1"/>
  <c r="AA218" i="32494"/>
  <c r="AB218" i="32494" s="1"/>
  <c r="AA7" i="32494"/>
  <c r="AB7" i="32494" s="1"/>
  <c r="AA20" i="32494"/>
  <c r="AB20" i="32494" s="1"/>
  <c r="AA24" i="32494"/>
  <c r="AB24" i="32494" s="1"/>
  <c r="AA33" i="32494"/>
  <c r="AB33" i="32494" s="1"/>
  <c r="AA57" i="32494"/>
  <c r="AB57" i="32494" s="1"/>
  <c r="AA65" i="32494"/>
  <c r="AB65" i="32494" s="1"/>
  <c r="AA76" i="32494"/>
  <c r="AB76" i="32494" s="1"/>
  <c r="AI76" i="32494" s="1"/>
  <c r="AA89" i="32494"/>
  <c r="AB89" i="32494" s="1"/>
  <c r="AA93" i="32494"/>
  <c r="AB93" i="32494" s="1"/>
  <c r="AI93" i="32494" s="1"/>
  <c r="AA96" i="32494"/>
  <c r="AB96" i="32494" s="1"/>
  <c r="AA107" i="32494"/>
  <c r="AB107" i="32494" s="1"/>
  <c r="AA120" i="32494"/>
  <c r="AB120" i="32494" s="1"/>
  <c r="AI120" i="32494" s="1"/>
  <c r="AA166" i="32494"/>
  <c r="AB166" i="32494" s="1"/>
  <c r="AA169" i="32494"/>
  <c r="AB169" i="32494" s="1"/>
  <c r="AA173" i="32494"/>
  <c r="AB173" i="32494" s="1"/>
  <c r="AA193" i="32494"/>
  <c r="AB193" i="32494" s="1"/>
  <c r="AA200" i="32494"/>
  <c r="AB200" i="32494" s="1"/>
  <c r="AA213" i="32494"/>
  <c r="AB213" i="32494" s="1"/>
  <c r="AA14" i="32494"/>
  <c r="AB14" i="32494" s="1"/>
  <c r="AI14" i="32494" s="1"/>
  <c r="AA27" i="32494"/>
  <c r="AB27" i="32494" s="1"/>
  <c r="AA44" i="32494"/>
  <c r="AB44" i="32494" s="1"/>
  <c r="AA50" i="32494"/>
  <c r="AB50" i="32494" s="1"/>
  <c r="AA55" i="32494"/>
  <c r="AB55" i="32494" s="1"/>
  <c r="AI55" i="32494" s="1"/>
  <c r="AA81" i="32494"/>
  <c r="AB81" i="32494" s="1"/>
  <c r="AI81" i="32494" s="1"/>
  <c r="AA84" i="32494"/>
  <c r="AB84" i="32494" s="1"/>
  <c r="AA87" i="32494"/>
  <c r="AB87" i="32494" s="1"/>
  <c r="AA91" i="32494"/>
  <c r="AB91" i="32494" s="1"/>
  <c r="AI91" i="32494" s="1"/>
  <c r="AA102" i="32494"/>
  <c r="AB102" i="32494" s="1"/>
  <c r="AA144" i="32494"/>
  <c r="AB144" i="32494" s="1"/>
  <c r="AI144" i="32494" s="1"/>
  <c r="AA156" i="32494"/>
  <c r="AB156" i="32494" s="1"/>
  <c r="AA163" i="32494"/>
  <c r="AB163" i="32494" s="1"/>
  <c r="AA176" i="32494"/>
  <c r="AB176" i="32494" s="1"/>
  <c r="AA205" i="32494"/>
  <c r="AB205" i="32494" s="1"/>
  <c r="AA31" i="32494"/>
  <c r="AB31" i="32494" s="1"/>
  <c r="AI31" i="32494" s="1"/>
  <c r="AA34" i="32494"/>
  <c r="AB34" i="32494" s="1"/>
  <c r="AI34" i="32494" s="1"/>
  <c r="AA37" i="32494"/>
  <c r="AB37" i="32494" s="1"/>
  <c r="AA40" i="32494"/>
  <c r="AB40" i="32494" s="1"/>
  <c r="AA48" i="32494"/>
  <c r="AB48" i="32494" s="1"/>
  <c r="AA53" i="32494"/>
  <c r="AB53" i="32494" s="1"/>
  <c r="AA58" i="32494"/>
  <c r="AB58" i="32494" s="1"/>
  <c r="AI58" i="32494" s="1"/>
  <c r="AA63" i="32494"/>
  <c r="AB63" i="32494" s="1"/>
  <c r="AA113" i="32494"/>
  <c r="AB113" i="32494" s="1"/>
  <c r="AI113" i="32494" s="1"/>
  <c r="AA123" i="32494"/>
  <c r="AB123" i="32494" s="1"/>
  <c r="AA125" i="32494"/>
  <c r="AB125" i="32494" s="1"/>
  <c r="AA130" i="32494"/>
  <c r="AB130" i="32494" s="1"/>
  <c r="AA140" i="32494"/>
  <c r="AB140" i="32494" s="1"/>
  <c r="AA147" i="32494"/>
  <c r="AB147" i="32494" s="1"/>
  <c r="AI147" i="32494" s="1"/>
  <c r="AA171" i="32494"/>
  <c r="AB171" i="32494" s="1"/>
  <c r="AI171" i="32494" s="1"/>
  <c r="AA174" i="32494"/>
  <c r="AA181" i="32494"/>
  <c r="AB181" i="32494" s="1"/>
  <c r="AA188" i="32494"/>
  <c r="AB188" i="32494" s="1"/>
  <c r="AA208" i="32494"/>
  <c r="AB208" i="32494" s="1"/>
  <c r="AI208" i="32494" s="1"/>
  <c r="AA216" i="32494"/>
  <c r="AB216" i="32494" s="1"/>
  <c r="AI216" i="32494" s="1"/>
  <c r="AA21" i="32494"/>
  <c r="AB21" i="32494" s="1"/>
  <c r="AI21" i="32494" s="1"/>
  <c r="AA61" i="32494"/>
  <c r="AB61" i="32494" s="1"/>
  <c r="AI61" i="32494" s="1"/>
  <c r="AA68" i="32494"/>
  <c r="AB68" i="32494" s="1"/>
  <c r="AI68" i="32494" s="1"/>
  <c r="AA71" i="32494"/>
  <c r="AB71" i="32494" s="1"/>
  <c r="AA74" i="32494"/>
  <c r="AB74" i="32494" s="1"/>
  <c r="AI74" i="32494" s="1"/>
  <c r="AA97" i="32494"/>
  <c r="AB97" i="32494" s="1"/>
  <c r="AI97" i="32494" s="1"/>
  <c r="AA115" i="32494"/>
  <c r="AB115" i="32494" s="1"/>
  <c r="AA118" i="32494"/>
  <c r="AB118" i="32494" s="1"/>
  <c r="AA128" i="32494"/>
  <c r="AB128" i="32494" s="1"/>
  <c r="AI128" i="32494" s="1"/>
  <c r="AA160" i="32494"/>
  <c r="AB160" i="32494" s="1"/>
  <c r="AI160" i="32494" s="1"/>
  <c r="AA179" i="32494"/>
  <c r="AB179" i="32494" s="1"/>
  <c r="AA194" i="32494"/>
  <c r="AB194" i="32494" s="1"/>
  <c r="AA196" i="32494"/>
  <c r="AB196" i="32494" s="1"/>
  <c r="AI196" i="32494" s="1"/>
  <c r="AA198" i="32494"/>
  <c r="AB198" i="32494" s="1"/>
  <c r="AA210" i="32494"/>
  <c r="AB210" i="32494" s="1"/>
  <c r="AI210" i="32494" s="1"/>
  <c r="AA8" i="32494"/>
  <c r="AB8" i="32494" s="1"/>
  <c r="AA12" i="32494"/>
  <c r="AB12" i="32494" s="1"/>
  <c r="AA17" i="32494"/>
  <c r="AB17" i="32494" s="1"/>
  <c r="AI17" i="32494" s="1"/>
  <c r="AA19" i="32494"/>
  <c r="AB19" i="32494" s="1"/>
  <c r="AI19" i="32494" s="1"/>
  <c r="AA25" i="32494"/>
  <c r="AB25" i="32494" s="1"/>
  <c r="AA79" i="32494"/>
  <c r="AB79" i="32494" s="1"/>
  <c r="AI79" i="32494" s="1"/>
  <c r="AA85" i="32494"/>
  <c r="AB85" i="32494" s="1"/>
  <c r="AA94" i="32494"/>
  <c r="AB94" i="32494" s="1"/>
  <c r="AA99" i="32494"/>
  <c r="AB99" i="32494" s="1"/>
  <c r="AA108" i="32494"/>
  <c r="AB108" i="32494" s="1"/>
  <c r="AA111" i="32494"/>
  <c r="AB111" i="32494" s="1"/>
  <c r="AA133" i="32494"/>
  <c r="AB133" i="32494" s="1"/>
  <c r="AI133" i="32494" s="1"/>
  <c r="AA135" i="32494"/>
  <c r="AB135" i="32494" s="1"/>
  <c r="AA138" i="32494"/>
  <c r="AB138" i="32494" s="1"/>
  <c r="AI138" i="32494" s="1"/>
  <c r="AA149" i="32494"/>
  <c r="AB149" i="32494" s="1"/>
  <c r="AA152" i="32494"/>
  <c r="AB152" i="32494" s="1"/>
  <c r="AI152" i="32494" s="1"/>
  <c r="AA164" i="32494"/>
  <c r="AB164" i="32494" s="1"/>
  <c r="AA167" i="32494"/>
  <c r="AB167" i="32494" s="1"/>
  <c r="AA203" i="32494"/>
  <c r="AB203" i="32494" s="1"/>
  <c r="AI203" i="32494" s="1"/>
  <c r="AA206" i="32494"/>
  <c r="AB206" i="32494" s="1"/>
  <c r="AA214" i="32494"/>
  <c r="AB214" i="32494" s="1"/>
  <c r="AA219" i="32494"/>
  <c r="AB219" i="32494" s="1"/>
  <c r="AA28" i="32494"/>
  <c r="AB28" i="32494" s="1"/>
  <c r="AA38" i="32494"/>
  <c r="AB38" i="32494" s="1"/>
  <c r="AA41" i="32494"/>
  <c r="AB41" i="32494" s="1"/>
  <c r="AI41" i="32494" s="1"/>
  <c r="AA45" i="32494"/>
  <c r="AB45" i="32494" s="1"/>
  <c r="AI45" i="32494" s="1"/>
  <c r="AA51" i="32494"/>
  <c r="AB51" i="32494" s="1"/>
  <c r="AI51" i="32494" s="1"/>
  <c r="AA66" i="32494"/>
  <c r="AB66" i="32494" s="1"/>
  <c r="AA82" i="32494"/>
  <c r="AB82" i="32494" s="1"/>
  <c r="AA88" i="32494"/>
  <c r="AB88" i="32494" s="1"/>
  <c r="AI88" i="32494" s="1"/>
  <c r="AA90" i="32494"/>
  <c r="AB90" i="32494" s="1"/>
  <c r="AI90" i="32494" s="1"/>
  <c r="AA101" i="32494"/>
  <c r="AB101" i="32494" s="1"/>
  <c r="AI101" i="32494" s="1"/>
  <c r="AA105" i="32494"/>
  <c r="AB105" i="32494" s="1"/>
  <c r="AA126" i="32494"/>
  <c r="AB126" i="32494" s="1"/>
  <c r="AA141" i="32494"/>
  <c r="AB141" i="32494" s="1"/>
  <c r="AA154" i="32494"/>
  <c r="AB154" i="32494" s="1"/>
  <c r="AA157" i="32494"/>
  <c r="AB157" i="32494" s="1"/>
  <c r="AI157" i="32494" s="1"/>
  <c r="AA177" i="32494"/>
  <c r="AB177" i="32494" s="1"/>
  <c r="AA182" i="32494"/>
  <c r="AB182" i="32494" s="1"/>
  <c r="AA184" i="32494"/>
  <c r="AB184" i="32494" s="1"/>
  <c r="AI184" i="32494" s="1"/>
  <c r="AA186" i="32494"/>
  <c r="AB186" i="32494" s="1"/>
  <c r="AA191" i="32494"/>
  <c r="AB191" i="32494" s="1"/>
  <c r="AA13" i="32494"/>
  <c r="AB13" i="32494" s="1"/>
  <c r="AI13" i="32494" s="1"/>
  <c r="AA15" i="32494"/>
  <c r="AB15" i="32494" s="1"/>
  <c r="AA26" i="32494"/>
  <c r="AB26" i="32494" s="1"/>
  <c r="AI26" i="32494" s="1"/>
  <c r="AA30" i="32494"/>
  <c r="AB30" i="32494" s="1"/>
  <c r="AI30" i="32494" s="1"/>
  <c r="AA43" i="32494"/>
  <c r="AB43" i="32494" s="1"/>
  <c r="AI43" i="32494" s="1"/>
  <c r="AA54" i="32494"/>
  <c r="AB54" i="32494" s="1"/>
  <c r="AI54" i="32494" s="1"/>
  <c r="AA64" i="32494"/>
  <c r="AB64" i="32494" s="1"/>
  <c r="AI64" i="32494" s="1"/>
  <c r="AA103" i="32494"/>
  <c r="AB103" i="32494" s="1"/>
  <c r="AA109" i="32494"/>
  <c r="AB109" i="32494" s="1"/>
  <c r="AA119" i="32494"/>
  <c r="AB119" i="32494" s="1"/>
  <c r="AA143" i="32494"/>
  <c r="AB143" i="32494" s="1"/>
  <c r="AI143" i="32494" s="1"/>
  <c r="AA168" i="32494"/>
  <c r="AB168" i="32494" s="1"/>
  <c r="AA170" i="32494"/>
  <c r="AB170" i="32494" s="1"/>
  <c r="AI170" i="32494" s="1"/>
  <c r="AA189" i="32494"/>
  <c r="AB189" i="32494" s="1"/>
  <c r="AA201" i="32494"/>
  <c r="AB201" i="32494" s="1"/>
  <c r="AA9" i="32494"/>
  <c r="AB9" i="32494" s="1"/>
  <c r="AA22" i="32494"/>
  <c r="AB22" i="32494" s="1"/>
  <c r="AA35" i="32494"/>
  <c r="AB35" i="32494" s="1"/>
  <c r="AA39" i="32494"/>
  <c r="AB39" i="32494" s="1"/>
  <c r="AI39" i="32494" s="1"/>
  <c r="AA49" i="32494"/>
  <c r="AB49" i="32494" s="1"/>
  <c r="AI49" i="32494" s="1"/>
  <c r="AA56" i="32494"/>
  <c r="AB56" i="32494" s="1"/>
  <c r="AI56" i="32494" s="1"/>
  <c r="AA59" i="32494"/>
  <c r="AB59" i="32494" s="1"/>
  <c r="AA72" i="32494"/>
  <c r="AB72" i="32494" s="1"/>
  <c r="AA77" i="32494"/>
  <c r="AB77" i="32494" s="1"/>
  <c r="AA112" i="32494"/>
  <c r="AB112" i="32494" s="1"/>
  <c r="AI112" i="32494" s="1"/>
  <c r="AA116" i="32494"/>
  <c r="AB116" i="32494" s="1"/>
  <c r="AA121" i="32494"/>
  <c r="AB121" i="32494" s="1"/>
  <c r="AA124" i="32494"/>
  <c r="AB124" i="32494" s="1"/>
  <c r="AI124" i="32494" s="1"/>
  <c r="AA127" i="32494"/>
  <c r="AB127" i="32494" s="1"/>
  <c r="AI127" i="32494" s="1"/>
  <c r="AA131" i="32494"/>
  <c r="AB131" i="32494" s="1"/>
  <c r="AA136" i="32494"/>
  <c r="AB136" i="32494" s="1"/>
  <c r="AA145" i="32494"/>
  <c r="AB145" i="32494" s="1"/>
  <c r="AA150" i="32494"/>
  <c r="AB150" i="32494" s="1"/>
  <c r="AA159" i="32494"/>
  <c r="AB159" i="32494" s="1"/>
  <c r="AI159" i="32494" s="1"/>
  <c r="AA161" i="32494"/>
  <c r="AB161" i="32494" s="1"/>
  <c r="AA165" i="32494"/>
  <c r="AB165" i="32494" s="1"/>
  <c r="AA175" i="32494"/>
  <c r="AB175" i="32494" s="1"/>
  <c r="AI175" i="32494" s="1"/>
  <c r="AA192" i="32494"/>
  <c r="AB192" i="32494" s="1"/>
  <c r="AA199" i="32494"/>
  <c r="AB199" i="32494" s="1"/>
  <c r="AA215" i="32494"/>
  <c r="AB215" i="32494" s="1"/>
  <c r="AI215" i="32494" s="1"/>
  <c r="AA217" i="32494"/>
  <c r="AB217" i="32494" s="1"/>
  <c r="AI217" i="32494" s="1"/>
  <c r="AA220" i="32494"/>
  <c r="AB220" i="32494" s="1"/>
  <c r="AA75" i="32494"/>
  <c r="AB75" i="32494" s="1"/>
  <c r="AA83" i="32494"/>
  <c r="AB83" i="32494" s="1"/>
  <c r="AA86" i="32494"/>
  <c r="AB86" i="32494" s="1"/>
  <c r="AI86" i="32494" s="1"/>
  <c r="AA92" i="32494"/>
  <c r="AB92" i="32494" s="1"/>
  <c r="AI92" i="32494" s="1"/>
  <c r="AA95" i="32494"/>
  <c r="AB95" i="32494" s="1"/>
  <c r="AA106" i="32494"/>
  <c r="AB106" i="32494" s="1"/>
  <c r="AA155" i="32494"/>
  <c r="AB155" i="32494" s="1"/>
  <c r="AI155" i="32494" s="1"/>
  <c r="AA195" i="32494"/>
  <c r="AB195" i="32494" s="1"/>
  <c r="AI195" i="32494" s="1"/>
  <c r="AA207" i="32494"/>
  <c r="AB207" i="32494" s="1"/>
  <c r="AI207" i="32494" s="1"/>
  <c r="AA209" i="32494"/>
  <c r="AB209" i="32494" s="1"/>
  <c r="AI209" i="32494" s="1"/>
  <c r="AA211" i="32494"/>
  <c r="AB211" i="32494" s="1"/>
  <c r="AA10" i="32494"/>
  <c r="AB10" i="32494" s="1"/>
  <c r="AA23" i="32494"/>
  <c r="AB23" i="32494" s="1"/>
  <c r="AA36" i="32494"/>
  <c r="AB36" i="32494" s="1"/>
  <c r="AA46" i="32494"/>
  <c r="AB46" i="32494" s="1"/>
  <c r="AA69" i="32494"/>
  <c r="AB69" i="32494" s="1"/>
  <c r="AA100" i="32494"/>
  <c r="AB100" i="32494" s="1"/>
  <c r="AI100" i="32494" s="1"/>
  <c r="AA117" i="32494"/>
  <c r="AB117" i="32494" s="1"/>
  <c r="AI117" i="32494" s="1"/>
  <c r="AA122" i="32494"/>
  <c r="AB122" i="32494" s="1"/>
  <c r="AA137" i="32494"/>
  <c r="AB137" i="32494" s="1"/>
  <c r="AI137" i="32494" s="1"/>
  <c r="AA148" i="32494"/>
  <c r="AB148" i="32494" s="1"/>
  <c r="AI148" i="32494" s="1"/>
  <c r="AA162" i="32494"/>
  <c r="AB162" i="32494" s="1"/>
  <c r="AA178" i="32494"/>
  <c r="AB178" i="32494" s="1"/>
  <c r="AI178" i="32494" s="1"/>
  <c r="AA180" i="32494"/>
  <c r="AB180" i="32494" s="1"/>
  <c r="AI180" i="32494" s="1"/>
  <c r="AA197" i="32494"/>
  <c r="AB197" i="32494" s="1"/>
  <c r="AI197" i="32494" s="1"/>
  <c r="AA204" i="32494"/>
  <c r="AB204" i="32494" s="1"/>
  <c r="Z300" i="32494"/>
  <c r="Z292" i="32494"/>
  <c r="Z285" i="32494"/>
  <c r="AA280" i="32494"/>
  <c r="AB280" i="32494" s="1"/>
  <c r="AI280" i="32494" s="1"/>
  <c r="AA272" i="32494"/>
  <c r="AB272" i="32494" s="1"/>
  <c r="AI272" i="32494" s="1"/>
  <c r="AA267" i="32494"/>
  <c r="AB267" i="32494" s="1"/>
  <c r="AI267" i="32494" s="1"/>
  <c r="Z246" i="32494"/>
  <c r="AA297" i="32494"/>
  <c r="AB297" i="32494" s="1"/>
  <c r="AI297" i="32494" s="1"/>
  <c r="AA290" i="32494"/>
  <c r="AB290" i="32494" s="1"/>
  <c r="AA278" i="32494"/>
  <c r="AB278" i="32494" s="1"/>
  <c r="Z272" i="32494"/>
  <c r="Z267" i="32494"/>
  <c r="AA262" i="32494"/>
  <c r="AB262" i="32494" s="1"/>
  <c r="AA223" i="32494"/>
  <c r="AB223" i="32494" s="1"/>
  <c r="AA288" i="32494"/>
  <c r="AB288" i="32494" s="1"/>
  <c r="Z284" i="32494"/>
  <c r="Z266" i="32494"/>
  <c r="AA256" i="32494"/>
  <c r="AB256" i="32494" s="1"/>
  <c r="Z240" i="32494"/>
  <c r="Z291" i="32494"/>
  <c r="Z288" i="32494"/>
  <c r="Z286" i="32494"/>
  <c r="Z279" i="32494"/>
  <c r="Z263" i="32494"/>
  <c r="Z256" i="32494"/>
  <c r="Z254" i="32494"/>
  <c r="Z249" i="32494"/>
  <c r="AA235" i="32494"/>
  <c r="AB235" i="32494" s="1"/>
  <c r="AA232" i="32494"/>
  <c r="AB232" i="32494" s="1"/>
  <c r="Z224" i="32494"/>
  <c r="Z295" i="32494"/>
  <c r="Z283" i="32494"/>
  <c r="AA276" i="32494"/>
  <c r="AB276" i="32494" s="1"/>
  <c r="AI276" i="32494" s="1"/>
  <c r="AA269" i="32494"/>
  <c r="AB269" i="32494" s="1"/>
  <c r="AI269" i="32494" s="1"/>
  <c r="Z242" i="32494"/>
  <c r="AA294" i="32494"/>
  <c r="AB294" i="32494" s="1"/>
  <c r="Z280" i="32494"/>
  <c r="Z276" i="32494"/>
  <c r="AA265" i="32494"/>
  <c r="AB265" i="32494" s="1"/>
  <c r="AA253" i="32494"/>
  <c r="AB253" i="32494" s="1"/>
  <c r="Z296" i="32494"/>
  <c r="AA291" i="32494"/>
  <c r="AB291" i="32494" s="1"/>
  <c r="AI291" i="32494" s="1"/>
  <c r="AA286" i="32494"/>
  <c r="AB286" i="32494" s="1"/>
  <c r="AI286" i="32494" s="1"/>
  <c r="AA279" i="32494"/>
  <c r="AB279" i="32494" s="1"/>
  <c r="AI279" i="32494" s="1"/>
  <c r="AA263" i="32494"/>
  <c r="AB263" i="32494" s="1"/>
  <c r="AI263" i="32494" s="1"/>
  <c r="AA254" i="32494"/>
  <c r="AB254" i="32494" s="1"/>
  <c r="AA249" i="32494"/>
  <c r="AB249" i="32494" s="1"/>
  <c r="AA224" i="32494"/>
  <c r="AB224" i="32494" s="1"/>
  <c r="AI224" i="32494" s="1"/>
  <c r="AA274" i="32494"/>
  <c r="AB274" i="32494" s="1"/>
  <c r="AA261" i="32494"/>
  <c r="AB261" i="32494" s="1"/>
  <c r="AI261" i="32494" s="1"/>
  <c r="AA259" i="32494"/>
  <c r="AB259" i="32494" s="1"/>
  <c r="AA251" i="32494"/>
  <c r="AB251" i="32494" s="1"/>
  <c r="AA248" i="32494"/>
  <c r="AB248" i="32494" s="1"/>
  <c r="AA244" i="32494"/>
  <c r="AB244" i="32494" s="1"/>
  <c r="AI244" i="32494" s="1"/>
  <c r="Z235" i="32494"/>
  <c r="Z232" i="32494"/>
  <c r="AA226" i="32494"/>
  <c r="AB226" i="32494" s="1"/>
  <c r="AA221" i="32494"/>
  <c r="AB221" i="32494" s="1"/>
  <c r="AA234" i="32494"/>
  <c r="AB234" i="32494" s="1"/>
  <c r="AA300" i="32494"/>
  <c r="AB300" i="32494" s="1"/>
  <c r="AI300" i="32494" s="1"/>
  <c r="AA295" i="32494"/>
  <c r="AB295" i="32494" s="1"/>
  <c r="AA292" i="32494"/>
  <c r="AB292" i="32494" s="1"/>
  <c r="AI292" i="32494" s="1"/>
  <c r="AA285" i="32494"/>
  <c r="AB285" i="32494" s="1"/>
  <c r="AA283" i="32494"/>
  <c r="AB283" i="32494" s="1"/>
  <c r="Z274" i="32494"/>
  <c r="Z261" i="32494"/>
  <c r="Z259" i="32494"/>
  <c r="Z251" i="32494"/>
  <c r="Z248" i="32494"/>
  <c r="AA246" i="32494"/>
  <c r="AB246" i="32494" s="1"/>
  <c r="Z244" i="32494"/>
  <c r="AA242" i="32494"/>
  <c r="AB242" i="32494" s="1"/>
  <c r="AA231" i="32494"/>
  <c r="AB231" i="32494" s="1"/>
  <c r="AA229" i="32494"/>
  <c r="AB229" i="32494" s="1"/>
  <c r="Z226" i="32494"/>
  <c r="AC323" i="32494"/>
  <c r="AF323" i="32494" s="1"/>
  <c r="AH323" i="32494" s="1"/>
  <c r="AI315" i="32494"/>
  <c r="AC324" i="32494"/>
  <c r="AF324" i="32494" s="1"/>
  <c r="AH324" i="32494" s="1"/>
  <c r="AI319" i="32494"/>
  <c r="AI317" i="32494"/>
  <c r="AC312" i="32494"/>
  <c r="AF312" i="32494" s="1"/>
  <c r="AH312" i="32494" s="1"/>
  <c r="AC321" i="32494"/>
  <c r="AF321" i="32494" s="1"/>
  <c r="AH321" i="32494" s="1"/>
  <c r="AC309" i="32494"/>
  <c r="AF309" i="32494" s="1"/>
  <c r="AH309" i="32494" s="1"/>
  <c r="AF315" i="32494"/>
  <c r="AH315" i="32494" s="1"/>
  <c r="AI310" i="32494"/>
  <c r="AC310" i="32494"/>
  <c r="AF310" i="32494" s="1"/>
  <c r="AH310" i="32494" s="1"/>
  <c r="AC320" i="32494"/>
  <c r="AF320" i="32494" s="1"/>
  <c r="AH320" i="32494" s="1"/>
  <c r="AI320" i="32494"/>
  <c r="AI318" i="32494"/>
  <c r="AC318" i="32494"/>
  <c r="AF318" i="32494" s="1"/>
  <c r="AH318" i="32494" s="1"/>
  <c r="AI328" i="32494"/>
  <c r="AC328" i="32494"/>
  <c r="AF328" i="32494" s="1"/>
  <c r="AH328" i="32494" s="1"/>
  <c r="AC329" i="32494"/>
  <c r="AF329" i="32494" s="1"/>
  <c r="AH329" i="32494" s="1"/>
  <c r="AI326" i="32494"/>
  <c r="AC326" i="32494"/>
  <c r="AF326" i="32494" s="1"/>
  <c r="AH326" i="32494" s="1"/>
  <c r="AI308" i="32494"/>
  <c r="AI330" i="32494"/>
  <c r="AC330" i="32494"/>
  <c r="AF330" i="32494" s="1"/>
  <c r="AH330" i="32494" s="1"/>
  <c r="F18" i="32458" l="1"/>
  <c r="F2" i="32497"/>
  <c r="F17" i="32458"/>
  <c r="D2" i="32497"/>
  <c r="H55" i="32488"/>
  <c r="A2" i="32497"/>
  <c r="E15" i="32457"/>
  <c r="F16" i="32458"/>
  <c r="C2" i="32497"/>
  <c r="AE192" i="32494"/>
  <c r="AI192" i="32494"/>
  <c r="AJ192" i="32494" s="1"/>
  <c r="AI15" i="32494"/>
  <c r="AJ15" i="32494" s="1"/>
  <c r="AE206" i="32494"/>
  <c r="AI206" i="32494"/>
  <c r="AJ206" i="32494" s="1"/>
  <c r="AF94" i="32494"/>
  <c r="AI94" i="32494"/>
  <c r="AJ94" i="32494" s="1"/>
  <c r="AE179" i="32494"/>
  <c r="AI179" i="32494"/>
  <c r="AJ179" i="32494" s="1"/>
  <c r="AI102" i="32494"/>
  <c r="AJ102" i="32494" s="1"/>
  <c r="AE193" i="32494"/>
  <c r="AI193" i="32494"/>
  <c r="AJ193" i="32494" s="1"/>
  <c r="AE33" i="32494"/>
  <c r="AI33" i="32494"/>
  <c r="AJ33" i="32494" s="1"/>
  <c r="AI62" i="32494"/>
  <c r="AJ62" i="32494" s="1"/>
  <c r="AI222" i="32494"/>
  <c r="AJ222" i="32494" s="1"/>
  <c r="AI245" i="32494"/>
  <c r="AJ245" i="32494" s="1"/>
  <c r="AF248" i="32494"/>
  <c r="AI248" i="32494"/>
  <c r="AJ248" i="32494" s="1"/>
  <c r="AE85" i="32494"/>
  <c r="AI85" i="32494"/>
  <c r="AJ85" i="32494" s="1"/>
  <c r="AE188" i="32494"/>
  <c r="AI188" i="32494"/>
  <c r="AJ188" i="32494" s="1"/>
  <c r="AF53" i="32494"/>
  <c r="AI53" i="32494"/>
  <c r="AJ53" i="32494" s="1"/>
  <c r="AF173" i="32494"/>
  <c r="AI173" i="32494"/>
  <c r="AJ173" i="32494" s="1"/>
  <c r="AE24" i="32494"/>
  <c r="AI24" i="32494"/>
  <c r="AJ24" i="32494" s="1"/>
  <c r="AE78" i="32494"/>
  <c r="AI78" i="32494"/>
  <c r="AJ78" i="32494" s="1"/>
  <c r="AE172" i="32494"/>
  <c r="AI172" i="32494"/>
  <c r="AJ172" i="32494" s="1"/>
  <c r="AI60" i="32494"/>
  <c r="AJ60" i="32494" s="1"/>
  <c r="AE277" i="32494"/>
  <c r="AI277" i="32494"/>
  <c r="AJ277" i="32494" s="1"/>
  <c r="AF232" i="32494"/>
  <c r="AI232" i="32494"/>
  <c r="AJ232" i="32494" s="1"/>
  <c r="AI181" i="32494"/>
  <c r="AJ181" i="32494" s="1"/>
  <c r="AF281" i="32494"/>
  <c r="AI281" i="32494"/>
  <c r="AJ281" i="32494" s="1"/>
  <c r="AE285" i="32494"/>
  <c r="AI285" i="32494"/>
  <c r="AJ285" i="32494" s="1"/>
  <c r="AE259" i="32494"/>
  <c r="AI259" i="32494"/>
  <c r="AJ259" i="32494" s="1"/>
  <c r="AI265" i="32494"/>
  <c r="AJ265" i="32494" s="1"/>
  <c r="AI288" i="32494"/>
  <c r="AJ288" i="32494" s="1"/>
  <c r="AI95" i="32494"/>
  <c r="AJ95" i="32494" s="1"/>
  <c r="AF161" i="32494"/>
  <c r="AI161" i="32494"/>
  <c r="AJ161" i="32494" s="1"/>
  <c r="AE72" i="32494"/>
  <c r="AI72" i="32494"/>
  <c r="AJ72" i="32494" s="1"/>
  <c r="AF186" i="32494"/>
  <c r="AI186" i="32494"/>
  <c r="AJ186" i="32494" s="1"/>
  <c r="AE82" i="32494"/>
  <c r="AI82" i="32494"/>
  <c r="AJ82" i="32494" s="1"/>
  <c r="AI164" i="32494"/>
  <c r="AJ164" i="32494" s="1"/>
  <c r="AF25" i="32494"/>
  <c r="AI25" i="32494"/>
  <c r="AJ25" i="32494" s="1"/>
  <c r="AE118" i="32494"/>
  <c r="AI118" i="32494"/>
  <c r="AJ118" i="32494" s="1"/>
  <c r="AI40" i="32494"/>
  <c r="AJ40" i="32494" s="1"/>
  <c r="AE84" i="32494"/>
  <c r="AI84" i="32494"/>
  <c r="AJ84" i="32494" s="1"/>
  <c r="AI166" i="32494"/>
  <c r="AJ166" i="32494" s="1"/>
  <c r="AF7" i="32494"/>
  <c r="AI7" i="32494"/>
  <c r="AJ7" i="32494" s="1"/>
  <c r="AF70" i="32494"/>
  <c r="AI70" i="32494"/>
  <c r="AJ70" i="32494" s="1"/>
  <c r="AE146" i="32494"/>
  <c r="AI146" i="32494"/>
  <c r="AJ146" i="32494" s="1"/>
  <c r="AI18" i="32494"/>
  <c r="AJ18" i="32494" s="1"/>
  <c r="AE289" i="32494"/>
  <c r="AI289" i="32494"/>
  <c r="AJ289" i="32494" s="1"/>
  <c r="AF252" i="32494"/>
  <c r="AI252" i="32494"/>
  <c r="AJ252" i="32494" s="1"/>
  <c r="AI253" i="32494"/>
  <c r="AJ253" i="32494" s="1"/>
  <c r="AF165" i="32494"/>
  <c r="AI165" i="32494"/>
  <c r="AJ165" i="32494" s="1"/>
  <c r="AE20" i="32494"/>
  <c r="AI20" i="32494"/>
  <c r="AJ20" i="32494" s="1"/>
  <c r="AI218" i="32494"/>
  <c r="AJ218" i="32494" s="1"/>
  <c r="AE52" i="32494"/>
  <c r="AI52" i="32494"/>
  <c r="AJ52" i="32494" s="1"/>
  <c r="AI6" i="32494"/>
  <c r="AJ6" i="32494" s="1"/>
  <c r="AE6" i="32494"/>
  <c r="AF257" i="32494"/>
  <c r="AI257" i="32494"/>
  <c r="AJ257" i="32494" s="1"/>
  <c r="AI299" i="32494"/>
  <c r="AJ299" i="32494" s="1"/>
  <c r="AE189" i="32494"/>
  <c r="AI189" i="32494"/>
  <c r="AJ189" i="32494" s="1"/>
  <c r="AE283" i="32494"/>
  <c r="AI283" i="32494"/>
  <c r="AJ283" i="32494" s="1"/>
  <c r="AE151" i="32494"/>
  <c r="AI151" i="32494"/>
  <c r="AJ151" i="32494" s="1"/>
  <c r="AE229" i="32494"/>
  <c r="AI229" i="32494"/>
  <c r="AJ229" i="32494" s="1"/>
  <c r="AE149" i="32494"/>
  <c r="AI149" i="32494"/>
  <c r="AJ149" i="32494" s="1"/>
  <c r="AI107" i="32494"/>
  <c r="AJ107" i="32494" s="1"/>
  <c r="AF202" i="32494"/>
  <c r="AI202" i="32494"/>
  <c r="AJ202" i="32494" s="1"/>
  <c r="AE47" i="32494"/>
  <c r="AI47" i="32494"/>
  <c r="AJ47" i="32494" s="1"/>
  <c r="AI296" i="32494"/>
  <c r="AJ296" i="32494" s="1"/>
  <c r="AE233" i="32494"/>
  <c r="AI233" i="32494"/>
  <c r="AJ233" i="32494" s="1"/>
  <c r="AI240" i="32494"/>
  <c r="AJ240" i="32494" s="1"/>
  <c r="AF251" i="32494"/>
  <c r="AI251" i="32494"/>
  <c r="AJ251" i="32494" s="1"/>
  <c r="AI73" i="32494"/>
  <c r="AJ73" i="32494" s="1"/>
  <c r="AI69" i="32494"/>
  <c r="AJ69" i="32494" s="1"/>
  <c r="AI119" i="32494"/>
  <c r="AJ119" i="32494" s="1"/>
  <c r="AI12" i="32494"/>
  <c r="AJ12" i="32494" s="1"/>
  <c r="AF140" i="32494"/>
  <c r="AI140" i="32494"/>
  <c r="AJ140" i="32494" s="1"/>
  <c r="AE50" i="32494"/>
  <c r="AI50" i="32494"/>
  <c r="AJ50" i="32494" s="1"/>
  <c r="AF96" i="32494"/>
  <c r="AI96" i="32494"/>
  <c r="AJ96" i="32494" s="1"/>
  <c r="AF129" i="32494"/>
  <c r="AI129" i="32494"/>
  <c r="AJ129" i="32494" s="1"/>
  <c r="AI271" i="32494"/>
  <c r="AJ271" i="32494" s="1"/>
  <c r="AE87" i="32494"/>
  <c r="AI87" i="32494"/>
  <c r="AJ87" i="32494" s="1"/>
  <c r="AE32" i="32494"/>
  <c r="AI32" i="32494"/>
  <c r="AJ32" i="32494" s="1"/>
  <c r="AE59" i="32494"/>
  <c r="AI59" i="32494"/>
  <c r="AJ59" i="32494" s="1"/>
  <c r="AI66" i="32494"/>
  <c r="AJ66" i="32494" s="1"/>
  <c r="AI274" i="32494"/>
  <c r="AJ274" i="32494" s="1"/>
  <c r="AI46" i="32494"/>
  <c r="AJ46" i="32494" s="1"/>
  <c r="AE109" i="32494"/>
  <c r="AI109" i="32494"/>
  <c r="AJ109" i="32494" s="1"/>
  <c r="AI204" i="32494"/>
  <c r="AJ204" i="32494" s="1"/>
  <c r="AE36" i="32494"/>
  <c r="AI36" i="32494"/>
  <c r="AJ36" i="32494" s="1"/>
  <c r="AE145" i="32494"/>
  <c r="AI145" i="32494"/>
  <c r="AJ145" i="32494" s="1"/>
  <c r="AE177" i="32494"/>
  <c r="AI177" i="32494"/>
  <c r="AJ177" i="32494" s="1"/>
  <c r="AE249" i="32494"/>
  <c r="AI249" i="32494"/>
  <c r="AJ249" i="32494" s="1"/>
  <c r="AF75" i="32494"/>
  <c r="AI75" i="32494"/>
  <c r="AJ75" i="32494" s="1"/>
  <c r="AF8" i="32494"/>
  <c r="AI8" i="32494"/>
  <c r="AJ8" i="32494" s="1"/>
  <c r="AI282" i="32494"/>
  <c r="AJ282" i="32494" s="1"/>
  <c r="AF246" i="32494"/>
  <c r="AI246" i="32494"/>
  <c r="AJ246" i="32494" s="1"/>
  <c r="AF254" i="32494"/>
  <c r="AI254" i="32494"/>
  <c r="AJ254" i="32494" s="1"/>
  <c r="AF278" i="32494"/>
  <c r="AI278" i="32494"/>
  <c r="AJ278" i="32494" s="1"/>
  <c r="AE220" i="32494"/>
  <c r="AI220" i="32494"/>
  <c r="AJ220" i="32494" s="1"/>
  <c r="AE35" i="32494"/>
  <c r="AI35" i="32494"/>
  <c r="AJ35" i="32494" s="1"/>
  <c r="AI154" i="32494"/>
  <c r="AJ154" i="32494" s="1"/>
  <c r="AI38" i="32494"/>
  <c r="AJ38" i="32494" s="1"/>
  <c r="AF125" i="32494"/>
  <c r="AI125" i="32494"/>
  <c r="AJ125" i="32494" s="1"/>
  <c r="AI176" i="32494"/>
  <c r="AJ176" i="32494" s="1"/>
  <c r="AE27" i="32494"/>
  <c r="AI27" i="32494"/>
  <c r="AJ27" i="32494" s="1"/>
  <c r="AI89" i="32494"/>
  <c r="AJ89" i="32494" s="1"/>
  <c r="AI16" i="32494"/>
  <c r="AJ16" i="32494" s="1"/>
  <c r="AF241" i="32494"/>
  <c r="AI241" i="32494"/>
  <c r="AJ241" i="32494" s="1"/>
  <c r="AE264" i="32494"/>
  <c r="AI264" i="32494"/>
  <c r="AJ264" i="32494" s="1"/>
  <c r="AI235" i="32494"/>
  <c r="AJ235" i="32494" s="1"/>
  <c r="AF106" i="32494"/>
  <c r="AI106" i="32494"/>
  <c r="AJ106" i="32494" s="1"/>
  <c r="AE77" i="32494"/>
  <c r="AI77" i="32494"/>
  <c r="AJ77" i="32494" s="1"/>
  <c r="AI191" i="32494"/>
  <c r="AJ191" i="32494" s="1"/>
  <c r="AF167" i="32494"/>
  <c r="AI167" i="32494"/>
  <c r="AJ167" i="32494" s="1"/>
  <c r="AI48" i="32494"/>
  <c r="AJ48" i="32494" s="1"/>
  <c r="AI169" i="32494"/>
  <c r="AJ169" i="32494" s="1"/>
  <c r="AF223" i="32494"/>
  <c r="AI223" i="32494"/>
  <c r="AJ223" i="32494" s="1"/>
  <c r="AI115" i="32494"/>
  <c r="AJ115" i="32494" s="1"/>
  <c r="AI37" i="32494"/>
  <c r="AJ37" i="32494" s="1"/>
  <c r="AF231" i="32494"/>
  <c r="AI231" i="32494"/>
  <c r="AJ231" i="32494" s="1"/>
  <c r="AI295" i="32494"/>
  <c r="AJ295" i="32494" s="1"/>
  <c r="AF262" i="32494"/>
  <c r="AI262" i="32494"/>
  <c r="AJ262" i="32494" s="1"/>
  <c r="AI150" i="32494"/>
  <c r="AJ150" i="32494" s="1"/>
  <c r="AE182" i="32494"/>
  <c r="AI182" i="32494"/>
  <c r="AJ182" i="32494" s="1"/>
  <c r="AI242" i="32494"/>
  <c r="AJ242" i="32494" s="1"/>
  <c r="AE294" i="32494"/>
  <c r="AI294" i="32494"/>
  <c r="AJ294" i="32494" s="1"/>
  <c r="AI83" i="32494"/>
  <c r="AJ83" i="32494" s="1"/>
  <c r="AI234" i="32494"/>
  <c r="AJ234" i="32494" s="1"/>
  <c r="AE23" i="32494"/>
  <c r="AI23" i="32494"/>
  <c r="AJ23" i="32494" s="1"/>
  <c r="AE135" i="32494"/>
  <c r="AI135" i="32494"/>
  <c r="AJ135" i="32494" s="1"/>
  <c r="AF71" i="32494"/>
  <c r="AI71" i="32494"/>
  <c r="AJ71" i="32494" s="1"/>
  <c r="AE205" i="32494"/>
  <c r="AI205" i="32494"/>
  <c r="AJ205" i="32494" s="1"/>
  <c r="AF44" i="32494"/>
  <c r="AI44" i="32494"/>
  <c r="AJ44" i="32494" s="1"/>
  <c r="AF114" i="32494"/>
  <c r="AI114" i="32494"/>
  <c r="AJ114" i="32494" s="1"/>
  <c r="AE221" i="32494"/>
  <c r="AI221" i="32494"/>
  <c r="AJ221" i="32494" s="1"/>
  <c r="AF10" i="32494"/>
  <c r="AI10" i="32494"/>
  <c r="AJ10" i="32494" s="1"/>
  <c r="AF131" i="32494"/>
  <c r="AI131" i="32494"/>
  <c r="AJ131" i="32494" s="1"/>
  <c r="AF226" i="32494"/>
  <c r="AI226" i="32494"/>
  <c r="AJ226" i="32494" s="1"/>
  <c r="AE290" i="32494"/>
  <c r="AI290" i="32494"/>
  <c r="AJ290" i="32494" s="1"/>
  <c r="AE211" i="32494"/>
  <c r="AI211" i="32494"/>
  <c r="AJ211" i="32494" s="1"/>
  <c r="AF22" i="32494"/>
  <c r="AI22" i="32494"/>
  <c r="AJ22" i="32494" s="1"/>
  <c r="AI141" i="32494"/>
  <c r="AJ141" i="32494" s="1"/>
  <c r="AE28" i="32494"/>
  <c r="AI28" i="32494"/>
  <c r="AJ28" i="32494" s="1"/>
  <c r="AE111" i="32494"/>
  <c r="AI111" i="32494"/>
  <c r="AJ111" i="32494" s="1"/>
  <c r="AI198" i="32494"/>
  <c r="AJ198" i="32494" s="1"/>
  <c r="AE123" i="32494"/>
  <c r="AI123" i="32494"/>
  <c r="AJ123" i="32494" s="1"/>
  <c r="AI163" i="32494"/>
  <c r="AJ163" i="32494" s="1"/>
  <c r="AI11" i="32494"/>
  <c r="AJ11" i="32494" s="1"/>
  <c r="AI298" i="32494"/>
  <c r="AJ298" i="32494" s="1"/>
  <c r="AI301" i="32494"/>
  <c r="AJ301" i="32494" s="1"/>
  <c r="AE268" i="32494"/>
  <c r="AI268" i="32494"/>
  <c r="AJ268" i="32494" s="1"/>
  <c r="AF103" i="32494"/>
  <c r="AI103" i="32494"/>
  <c r="AJ103" i="32494" s="1"/>
  <c r="AI136" i="32494"/>
  <c r="AJ136" i="32494" s="1"/>
  <c r="AI130" i="32494"/>
  <c r="AJ130" i="32494" s="1"/>
  <c r="AF162" i="32494"/>
  <c r="AI162" i="32494"/>
  <c r="AJ162" i="32494" s="1"/>
  <c r="AI9" i="32494"/>
  <c r="AJ9" i="32494" s="1"/>
  <c r="AI126" i="32494"/>
  <c r="AJ126" i="32494" s="1"/>
  <c r="AI219" i="32494"/>
  <c r="AJ219" i="32494" s="1"/>
  <c r="AE108" i="32494"/>
  <c r="AI108" i="32494"/>
  <c r="AJ108" i="32494" s="1"/>
  <c r="AF156" i="32494"/>
  <c r="AI156" i="32494"/>
  <c r="AJ156" i="32494" s="1"/>
  <c r="AI213" i="32494"/>
  <c r="AJ213" i="32494" s="1"/>
  <c r="AI65" i="32494"/>
  <c r="AJ65" i="32494" s="1"/>
  <c r="AF139" i="32494"/>
  <c r="AI139" i="32494"/>
  <c r="AJ139" i="32494" s="1"/>
  <c r="AI212" i="32494"/>
  <c r="AJ212" i="32494" s="1"/>
  <c r="AF80" i="32494"/>
  <c r="AI80" i="32494"/>
  <c r="AJ80" i="32494" s="1"/>
  <c r="AI270" i="32494"/>
  <c r="AJ270" i="32494" s="1"/>
  <c r="AI239" i="32494"/>
  <c r="AJ239" i="32494" s="1"/>
  <c r="AF227" i="32494"/>
  <c r="AI227" i="32494"/>
  <c r="AJ227" i="32494" s="1"/>
  <c r="AI225" i="32494"/>
  <c r="AJ225" i="32494" s="1"/>
  <c r="AE256" i="32494"/>
  <c r="AI256" i="32494"/>
  <c r="AJ256" i="32494" s="1"/>
  <c r="AI116" i="32494"/>
  <c r="AJ116" i="32494" s="1"/>
  <c r="AF122" i="32494"/>
  <c r="AI122" i="32494"/>
  <c r="AJ122" i="32494" s="1"/>
  <c r="AE168" i="32494"/>
  <c r="AI168" i="32494"/>
  <c r="AJ168" i="32494" s="1"/>
  <c r="AF199" i="32494"/>
  <c r="AI199" i="32494"/>
  <c r="AJ199" i="32494" s="1"/>
  <c r="AE121" i="32494"/>
  <c r="AI121" i="32494"/>
  <c r="AJ121" i="32494" s="1"/>
  <c r="AI201" i="32494"/>
  <c r="AJ201" i="32494" s="1"/>
  <c r="AF105" i="32494"/>
  <c r="AI105" i="32494"/>
  <c r="AJ105" i="32494" s="1"/>
  <c r="AF214" i="32494"/>
  <c r="AI214" i="32494"/>
  <c r="AJ214" i="32494" s="1"/>
  <c r="AE99" i="32494"/>
  <c r="AI99" i="32494"/>
  <c r="AJ99" i="32494" s="1"/>
  <c r="AF194" i="32494"/>
  <c r="AI194" i="32494"/>
  <c r="AJ194" i="32494" s="1"/>
  <c r="AF63" i="32494"/>
  <c r="AI63" i="32494"/>
  <c r="AJ63" i="32494" s="1"/>
  <c r="AE200" i="32494"/>
  <c r="AI200" i="32494"/>
  <c r="AJ200" i="32494" s="1"/>
  <c r="AI57" i="32494"/>
  <c r="AJ57" i="32494" s="1"/>
  <c r="AI187" i="32494"/>
  <c r="AJ187" i="32494" s="1"/>
  <c r="AE67" i="32494"/>
  <c r="AI67" i="32494"/>
  <c r="AJ67" i="32494" s="1"/>
  <c r="AE228" i="32494"/>
  <c r="AI228" i="32494"/>
  <c r="AJ228" i="32494" s="1"/>
  <c r="AI258" i="32494"/>
  <c r="AJ258" i="32494" s="1"/>
  <c r="AE155" i="32494"/>
  <c r="AJ155" i="32494"/>
  <c r="AE240" i="32494"/>
  <c r="AF240" i="32494"/>
  <c r="AF89" i="32494"/>
  <c r="AF155" i="32494"/>
  <c r="AF264" i="32494"/>
  <c r="AC105" i="32494"/>
  <c r="AC214" i="32494"/>
  <c r="AC98" i="32494"/>
  <c r="AD207" i="32494"/>
  <c r="AD57" i="32494"/>
  <c r="AD139" i="32494"/>
  <c r="AC121" i="32494"/>
  <c r="AC231" i="32494"/>
  <c r="AC241" i="32494"/>
  <c r="AD173" i="32494"/>
  <c r="AC281" i="32494"/>
  <c r="AD294" i="32494"/>
  <c r="AC181" i="32494"/>
  <c r="AD233" i="32494"/>
  <c r="AC95" i="32494"/>
  <c r="AC186" i="32494"/>
  <c r="AC25" i="32494"/>
  <c r="AC40" i="32494"/>
  <c r="AD32" i="32494"/>
  <c r="AD293" i="32494"/>
  <c r="AD264" i="32494"/>
  <c r="AC228" i="32494"/>
  <c r="AD146" i="32494"/>
  <c r="AC46" i="32494"/>
  <c r="AC86" i="32494"/>
  <c r="AC149" i="32494"/>
  <c r="AD34" i="32494"/>
  <c r="AG34" i="32494" s="1"/>
  <c r="AD107" i="32494"/>
  <c r="AC52" i="32494"/>
  <c r="AC212" i="32494"/>
  <c r="AC116" i="32494"/>
  <c r="AC193" i="32494"/>
  <c r="AC155" i="32494"/>
  <c r="AC203" i="32494"/>
  <c r="AD135" i="32494"/>
  <c r="AC144" i="32494"/>
  <c r="AD235" i="32494"/>
  <c r="AC80" i="32494"/>
  <c r="AC58" i="32494"/>
  <c r="AC132" i="32494"/>
  <c r="AC187" i="32494"/>
  <c r="AC160" i="32494"/>
  <c r="AD227" i="32494"/>
  <c r="AD62" i="32494"/>
  <c r="AC191" i="32494"/>
  <c r="AC167" i="32494"/>
  <c r="AD69" i="32494"/>
  <c r="AC37" i="32494"/>
  <c r="AC81" i="32494"/>
  <c r="AC269" i="32494"/>
  <c r="AD256" i="32494"/>
  <c r="AC298" i="32494"/>
  <c r="AC204" i="32494"/>
  <c r="AC145" i="32494"/>
  <c r="AC177" i="32494"/>
  <c r="AC45" i="32494"/>
  <c r="AC12" i="32494"/>
  <c r="AD74" i="32494"/>
  <c r="AC140" i="32494"/>
  <c r="AD96" i="32494"/>
  <c r="AC47" i="32494"/>
  <c r="AD270" i="32494"/>
  <c r="AC263" i="32494"/>
  <c r="AD255" i="32494"/>
  <c r="AC197" i="32494"/>
  <c r="AC23" i="32494"/>
  <c r="AC136" i="32494"/>
  <c r="AC8" i="32494"/>
  <c r="AC130" i="32494"/>
  <c r="AD205" i="32494"/>
  <c r="AC93" i="32494"/>
  <c r="AC190" i="32494"/>
  <c r="AC244" i="32494"/>
  <c r="AD247" i="32494"/>
  <c r="AC180" i="32494"/>
  <c r="AD10" i="32494"/>
  <c r="AD35" i="32494"/>
  <c r="AD154" i="32494"/>
  <c r="AC38" i="32494"/>
  <c r="AD210" i="32494"/>
  <c r="AC125" i="32494"/>
  <c r="AD176" i="32494"/>
  <c r="AD240" i="32494"/>
  <c r="AC94" i="32494"/>
  <c r="AD33" i="32494"/>
  <c r="AD188" i="32494"/>
  <c r="AD117" i="32494"/>
  <c r="AD20" i="32494"/>
  <c r="AD72" i="32494"/>
  <c r="AD249" i="32494"/>
  <c r="AD92" i="32494"/>
  <c r="AC70" i="32494"/>
  <c r="AC268" i="32494"/>
  <c r="AC238" i="32494"/>
  <c r="AD178" i="32494"/>
  <c r="AC211" i="32494"/>
  <c r="AG211" i="32494" s="1"/>
  <c r="AC22" i="32494"/>
  <c r="AG22" i="32494" s="1"/>
  <c r="AD111" i="32494"/>
  <c r="AD198" i="32494"/>
  <c r="AC14" i="32494"/>
  <c r="AC172" i="32494"/>
  <c r="AC161" i="32494"/>
  <c r="AC82" i="32494"/>
  <c r="AC164" i="32494"/>
  <c r="AD118" i="32494"/>
  <c r="AC174" i="32494"/>
  <c r="AD84" i="32494"/>
  <c r="AC285" i="32494"/>
  <c r="AD248" i="32494"/>
  <c r="AC288" i="32494"/>
  <c r="AC257" i="32494"/>
  <c r="AD162" i="32494"/>
  <c r="AC9" i="32494"/>
  <c r="AC126" i="32494"/>
  <c r="AD219" i="32494"/>
  <c r="AG219" i="32494" s="1"/>
  <c r="AC108" i="32494"/>
  <c r="AC21" i="32494"/>
  <c r="AC156" i="32494"/>
  <c r="AC213" i="32494"/>
  <c r="AC11" i="32494"/>
  <c r="AC229" i="32494"/>
  <c r="AD21" i="32494"/>
  <c r="AD38" i="32494"/>
  <c r="AC111" i="32494"/>
  <c r="AD14" i="32494"/>
  <c r="AD257" i="32494"/>
  <c r="AF298" i="32494"/>
  <c r="AE298" i="32494"/>
  <c r="AE301" i="32494"/>
  <c r="AF301" i="32494"/>
  <c r="AD126" i="32494"/>
  <c r="AF11" i="32494"/>
  <c r="AE141" i="32494"/>
  <c r="AE125" i="32494"/>
  <c r="AF27" i="32494"/>
  <c r="AF221" i="32494"/>
  <c r="AC178" i="32494"/>
  <c r="AD93" i="32494"/>
  <c r="AD214" i="32494"/>
  <c r="AE241" i="32494"/>
  <c r="AE270" i="32494"/>
  <c r="AF60" i="32494"/>
  <c r="AD98" i="32494"/>
  <c r="AC139" i="32494"/>
  <c r="AC207" i="32494"/>
  <c r="AE60" i="32494"/>
  <c r="AD23" i="32494"/>
  <c r="AD121" i="32494"/>
  <c r="AE227" i="32494"/>
  <c r="AC57" i="32494"/>
  <c r="AE89" i="32494"/>
  <c r="AC198" i="32494"/>
  <c r="AF172" i="32494"/>
  <c r="AD229" i="32494"/>
  <c r="AC154" i="32494"/>
  <c r="AF189" i="32494"/>
  <c r="AF78" i="32494"/>
  <c r="AE225" i="32494"/>
  <c r="AD281" i="32494"/>
  <c r="AC176" i="32494"/>
  <c r="AD116" i="32494"/>
  <c r="AE162" i="32494"/>
  <c r="AE15" i="32494"/>
  <c r="AF38" i="32494"/>
  <c r="AD144" i="32494"/>
  <c r="AF222" i="32494"/>
  <c r="AD80" i="32494"/>
  <c r="AC173" i="32494"/>
  <c r="AD193" i="32494"/>
  <c r="AD58" i="32494"/>
  <c r="AF188" i="32494"/>
  <c r="AC33" i="32494"/>
  <c r="AD203" i="32494"/>
  <c r="AC227" i="32494"/>
  <c r="AF192" i="32494"/>
  <c r="AD241" i="32494"/>
  <c r="AF187" i="32494"/>
  <c r="AF258" i="32494"/>
  <c r="AE187" i="32494"/>
  <c r="AE258" i="32494"/>
  <c r="AC10" i="32494"/>
  <c r="AE173" i="32494"/>
  <c r="AD81" i="32494"/>
  <c r="AE102" i="32494"/>
  <c r="AE222" i="32494"/>
  <c r="AE199" i="32494"/>
  <c r="AD231" i="32494"/>
  <c r="AE116" i="32494"/>
  <c r="AF245" i="32494"/>
  <c r="AF228" i="32494"/>
  <c r="AE122" i="32494"/>
  <c r="AD212" i="32494"/>
  <c r="AE245" i="32494"/>
  <c r="AD132" i="32494"/>
  <c r="AF33" i="32494"/>
  <c r="AF85" i="32494"/>
  <c r="AF277" i="32494"/>
  <c r="AF24" i="32494"/>
  <c r="AD160" i="32494"/>
  <c r="AE63" i="32494"/>
  <c r="AC294" i="32494"/>
  <c r="AC188" i="32494"/>
  <c r="AD94" i="32494"/>
  <c r="AC35" i="32494"/>
  <c r="AF193" i="32494"/>
  <c r="AF15" i="32494"/>
  <c r="AE11" i="32494"/>
  <c r="AF121" i="32494"/>
  <c r="AE53" i="32494"/>
  <c r="AE126" i="32494"/>
  <c r="AD11" i="32494"/>
  <c r="AD105" i="32494"/>
  <c r="AF67" i="32494"/>
  <c r="AD108" i="32494"/>
  <c r="AE62" i="32494"/>
  <c r="AE214" i="32494"/>
  <c r="AF213" i="32494"/>
  <c r="AF198" i="32494"/>
  <c r="AE22" i="32494"/>
  <c r="AF28" i="32494"/>
  <c r="AD156" i="32494"/>
  <c r="AE198" i="32494"/>
  <c r="AC270" i="32494"/>
  <c r="AB174" i="32494"/>
  <c r="F56" i="32488"/>
  <c r="AD9" i="32494"/>
  <c r="AE105" i="32494"/>
  <c r="AF62" i="32494"/>
  <c r="AE57" i="32494"/>
  <c r="AF57" i="32494"/>
  <c r="AF163" i="32494"/>
  <c r="AE212" i="32494"/>
  <c r="AF211" i="32494"/>
  <c r="AF9" i="32494"/>
  <c r="AE163" i="32494"/>
  <c r="AF141" i="32494"/>
  <c r="AD213" i="32494"/>
  <c r="AC162" i="32494"/>
  <c r="AE239" i="32494"/>
  <c r="AE201" i="32494"/>
  <c r="AF219" i="32494"/>
  <c r="AF111" i="32494"/>
  <c r="AF108" i="32494"/>
  <c r="AF290" i="32494"/>
  <c r="AF126" i="32494"/>
  <c r="AF102" i="32494"/>
  <c r="AE131" i="32494"/>
  <c r="AF107" i="32494"/>
  <c r="AE107" i="32494"/>
  <c r="AF182" i="32494"/>
  <c r="AD125" i="32494"/>
  <c r="AC210" i="32494"/>
  <c r="AF295" i="32494"/>
  <c r="AF35" i="32494"/>
  <c r="AF154" i="32494"/>
  <c r="AE154" i="32494"/>
  <c r="AF16" i="32494"/>
  <c r="AF220" i="32494"/>
  <c r="AD238" i="32494"/>
  <c r="AC205" i="32494"/>
  <c r="AF176" i="32494"/>
  <c r="AE16" i="32494"/>
  <c r="AC256" i="32494"/>
  <c r="AC248" i="32494"/>
  <c r="AD180" i="32494"/>
  <c r="AC240" i="32494"/>
  <c r="AE176" i="32494"/>
  <c r="AD263" i="32494"/>
  <c r="AE75" i="32494"/>
  <c r="AD45" i="32494"/>
  <c r="AF135" i="32494"/>
  <c r="AF69" i="32494"/>
  <c r="AD52" i="32494"/>
  <c r="AD268" i="32494"/>
  <c r="AF274" i="32494"/>
  <c r="AF271" i="32494"/>
  <c r="AC117" i="32494"/>
  <c r="AF36" i="32494"/>
  <c r="AE242" i="32494"/>
  <c r="AE281" i="32494"/>
  <c r="AE257" i="32494"/>
  <c r="AE114" i="32494"/>
  <c r="AE274" i="32494"/>
  <c r="AF149" i="32494"/>
  <c r="AF235" i="32494"/>
  <c r="AD244" i="32494"/>
  <c r="AD12" i="32494"/>
  <c r="AF65" i="32494"/>
  <c r="AE38" i="32494"/>
  <c r="AD136" i="32494"/>
  <c r="AD191" i="32494"/>
  <c r="AD288" i="32494"/>
  <c r="AD269" i="32494"/>
  <c r="AF48" i="32494"/>
  <c r="AF179" i="32494"/>
  <c r="AF201" i="32494"/>
  <c r="AE271" i="32494"/>
  <c r="AE46" i="32494"/>
  <c r="AF205" i="32494"/>
  <c r="AE202" i="32494"/>
  <c r="AD149" i="32494"/>
  <c r="AE295" i="32494"/>
  <c r="AF18" i="32494"/>
  <c r="AE150" i="32494"/>
  <c r="AE18" i="32494"/>
  <c r="AD130" i="32494"/>
  <c r="AF233" i="32494"/>
  <c r="AC293" i="32494"/>
  <c r="AD298" i="32494"/>
  <c r="AD197" i="32494"/>
  <c r="AE231" i="32494"/>
  <c r="AF12" i="32494"/>
  <c r="AC135" i="32494"/>
  <c r="AF218" i="32494"/>
  <c r="AF123" i="32494"/>
  <c r="AF99" i="32494"/>
  <c r="AF150" i="32494"/>
  <c r="AE70" i="32494"/>
  <c r="AD37" i="32494"/>
  <c r="AE161" i="32494"/>
  <c r="AE166" i="32494"/>
  <c r="AC32" i="32494"/>
  <c r="AF130" i="32494"/>
  <c r="AD8" i="32494"/>
  <c r="AD164" i="32494"/>
  <c r="AE136" i="32494"/>
  <c r="AF115" i="32494"/>
  <c r="AE71" i="32494"/>
  <c r="AF109" i="32494"/>
  <c r="AF47" i="32494"/>
  <c r="AC146" i="32494"/>
  <c r="AF119" i="32494"/>
  <c r="AD46" i="32494"/>
  <c r="AF23" i="32494"/>
  <c r="AD70" i="32494"/>
  <c r="AD204" i="32494"/>
  <c r="AD190" i="32494"/>
  <c r="AF46" i="32494"/>
  <c r="AE119" i="32494"/>
  <c r="AC107" i="32494"/>
  <c r="AD140" i="32494"/>
  <c r="AE12" i="32494"/>
  <c r="AF66" i="32494"/>
  <c r="AD86" i="32494"/>
  <c r="AE66" i="32494"/>
  <c r="AC69" i="32494"/>
  <c r="AC92" i="32494"/>
  <c r="AE37" i="32494"/>
  <c r="AF52" i="32494"/>
  <c r="AC247" i="32494"/>
  <c r="AC74" i="32494"/>
  <c r="AE10" i="32494"/>
  <c r="AC96" i="32494"/>
  <c r="AE96" i="32494"/>
  <c r="AE94" i="32494"/>
  <c r="AE69" i="32494"/>
  <c r="AC264" i="32494"/>
  <c r="AF116" i="32494"/>
  <c r="AE234" i="32494"/>
  <c r="AF40" i="32494"/>
  <c r="AF72" i="32494"/>
  <c r="AC62" i="32494"/>
  <c r="AF151" i="32494"/>
  <c r="AF50" i="32494"/>
  <c r="AE167" i="32494"/>
  <c r="AF288" i="32494"/>
  <c r="AD40" i="32494"/>
  <c r="AE40" i="32494"/>
  <c r="AF82" i="32494"/>
  <c r="AC118" i="32494"/>
  <c r="AD25" i="32494"/>
  <c r="AD161" i="32494"/>
  <c r="AE218" i="32494"/>
  <c r="AF77" i="32494"/>
  <c r="AF169" i="32494"/>
  <c r="AE278" i="32494"/>
  <c r="AF181" i="32494"/>
  <c r="AF259" i="32494"/>
  <c r="AE194" i="32494"/>
  <c r="AF285" i="32494"/>
  <c r="AF242" i="32494"/>
  <c r="AE9" i="32494"/>
  <c r="AF206" i="32494"/>
  <c r="AD186" i="32494"/>
  <c r="AE288" i="32494"/>
  <c r="AD95" i="32494"/>
  <c r="AF145" i="32494"/>
  <c r="AF87" i="32494"/>
  <c r="AF73" i="32494"/>
  <c r="AE48" i="32494"/>
  <c r="AE235" i="32494"/>
  <c r="AE181" i="32494"/>
  <c r="AD285" i="32494"/>
  <c r="AD47" i="32494"/>
  <c r="AE130" i="32494"/>
  <c r="AF37" i="32494"/>
  <c r="AE106" i="32494"/>
  <c r="AF136" i="32494"/>
  <c r="AE164" i="32494"/>
  <c r="AF289" i="32494"/>
  <c r="AD228" i="32494"/>
  <c r="AF200" i="32494"/>
  <c r="AF283" i="32494"/>
  <c r="AE95" i="32494"/>
  <c r="AD145" i="32494"/>
  <c r="AF164" i="32494"/>
  <c r="AF20" i="32494"/>
  <c r="AF59" i="32494"/>
  <c r="AF118" i="32494"/>
  <c r="AD177" i="32494"/>
  <c r="AE8" i="32494"/>
  <c r="AC235" i="32494"/>
  <c r="AF191" i="32494"/>
  <c r="AF212" i="32494"/>
  <c r="AF249" i="32494"/>
  <c r="AE25" i="32494"/>
  <c r="AE80" i="32494"/>
  <c r="AC72" i="32494"/>
  <c r="AD167" i="32494"/>
  <c r="AE165" i="32494"/>
  <c r="AC20" i="32494"/>
  <c r="AE140" i="32494"/>
  <c r="AF239" i="32494"/>
  <c r="AE191" i="32494"/>
  <c r="AE223" i="32494"/>
  <c r="AE73" i="32494"/>
  <c r="AE219" i="32494"/>
  <c r="AD172" i="32494"/>
  <c r="AF166" i="32494"/>
  <c r="AE248" i="32494"/>
  <c r="AF146" i="32494"/>
  <c r="AF294" i="32494"/>
  <c r="AC84" i="32494"/>
  <c r="AF84" i="32494"/>
  <c r="AF32" i="32494"/>
  <c r="AE204" i="32494"/>
  <c r="AD181" i="32494"/>
  <c r="AC255" i="32494"/>
  <c r="AE129" i="32494"/>
  <c r="AF177" i="32494"/>
  <c r="AE253" i="32494"/>
  <c r="AC233" i="32494"/>
  <c r="AE103" i="32494"/>
  <c r="AF253" i="32494"/>
  <c r="AF83" i="32494"/>
  <c r="AD174" i="32494"/>
  <c r="AF229" i="32494"/>
  <c r="AE213" i="32494"/>
  <c r="AF234" i="32494"/>
  <c r="AF95" i="32494"/>
  <c r="AE169" i="32494"/>
  <c r="AF204" i="32494"/>
  <c r="AD82" i="32494"/>
  <c r="AE115" i="32494"/>
  <c r="AE139" i="32494"/>
  <c r="AF270" i="32494"/>
  <c r="AE65" i="32494"/>
  <c r="AE83" i="32494"/>
  <c r="AE251" i="32494"/>
  <c r="AF168" i="32494"/>
  <c r="AC249" i="32494"/>
  <c r="AF299" i="32494"/>
  <c r="AE299" i="32494"/>
  <c r="AE226" i="32494"/>
  <c r="AJ263" i="32494"/>
  <c r="AE263" i="32494"/>
  <c r="AF263" i="32494"/>
  <c r="AE276" i="32494"/>
  <c r="AF276" i="32494"/>
  <c r="AJ276" i="32494"/>
  <c r="AJ178" i="32494"/>
  <c r="AE178" i="32494"/>
  <c r="AF178" i="32494"/>
  <c r="AE217" i="32494"/>
  <c r="AJ217" i="32494"/>
  <c r="AE127" i="32494"/>
  <c r="AF127" i="32494"/>
  <c r="AJ127" i="32494"/>
  <c r="AF43" i="32494"/>
  <c r="AJ43" i="32494"/>
  <c r="AE43" i="32494"/>
  <c r="AF61" i="32494"/>
  <c r="AE61" i="32494"/>
  <c r="AJ61" i="32494"/>
  <c r="AJ14" i="32494"/>
  <c r="AE14" i="32494"/>
  <c r="AF14" i="32494"/>
  <c r="AJ76" i="32494"/>
  <c r="AE76" i="32494"/>
  <c r="AF76" i="32494"/>
  <c r="AE153" i="32494"/>
  <c r="AF153" i="32494"/>
  <c r="AJ153" i="32494"/>
  <c r="AJ98" i="32494"/>
  <c r="AE98" i="32494"/>
  <c r="AF98" i="32494"/>
  <c r="AF266" i="32494"/>
  <c r="AJ266" i="32494"/>
  <c r="AE266" i="32494"/>
  <c r="AC290" i="32494"/>
  <c r="AD290" i="32494"/>
  <c r="AJ237" i="32494"/>
  <c r="AF237" i="32494"/>
  <c r="AE237" i="32494"/>
  <c r="AF268" i="32494"/>
  <c r="AC114" i="32494"/>
  <c r="AD114" i="32494"/>
  <c r="AD217" i="32494"/>
  <c r="AC217" i="32494"/>
  <c r="AD127" i="32494"/>
  <c r="AC127" i="32494"/>
  <c r="AC43" i="32494"/>
  <c r="AD43" i="32494"/>
  <c r="AC141" i="32494"/>
  <c r="AD141" i="32494"/>
  <c r="AC28" i="32494"/>
  <c r="AD28" i="32494"/>
  <c r="AC61" i="32494"/>
  <c r="AD61" i="32494"/>
  <c r="AD123" i="32494"/>
  <c r="AC123" i="32494"/>
  <c r="AD163" i="32494"/>
  <c r="AC163" i="32494"/>
  <c r="AC76" i="32494"/>
  <c r="AD76" i="32494"/>
  <c r="AC158" i="32494"/>
  <c r="AD158" i="32494"/>
  <c r="AC16" i="32494"/>
  <c r="AD16" i="32494"/>
  <c r="AC251" i="32494"/>
  <c r="AD251" i="32494"/>
  <c r="AC232" i="32494"/>
  <c r="AD232" i="32494"/>
  <c r="AJ279" i="32494"/>
  <c r="AE279" i="32494"/>
  <c r="AF279" i="32494"/>
  <c r="AC283" i="32494"/>
  <c r="AD283" i="32494"/>
  <c r="AC291" i="32494"/>
  <c r="AD291" i="32494"/>
  <c r="AE297" i="32494"/>
  <c r="AF297" i="32494"/>
  <c r="AJ297" i="32494"/>
  <c r="AE209" i="32494"/>
  <c r="AF209" i="32494"/>
  <c r="AJ209" i="32494"/>
  <c r="AJ215" i="32494"/>
  <c r="AE215" i="32494"/>
  <c r="AF215" i="32494"/>
  <c r="AE124" i="32494"/>
  <c r="AF124" i="32494"/>
  <c r="AJ124" i="32494"/>
  <c r="AE30" i="32494"/>
  <c r="AF30" i="32494"/>
  <c r="AJ30" i="32494"/>
  <c r="AE196" i="32494"/>
  <c r="AF196" i="32494"/>
  <c r="AJ196" i="32494"/>
  <c r="AF21" i="32494"/>
  <c r="AE21" i="32494"/>
  <c r="AJ21" i="32494"/>
  <c r="AE113" i="32494"/>
  <c r="AF113" i="32494"/>
  <c r="AJ113" i="32494"/>
  <c r="AE156" i="32494"/>
  <c r="AC260" i="32494"/>
  <c r="AD260" i="32494"/>
  <c r="AC301" i="32494"/>
  <c r="AD301" i="32494"/>
  <c r="AC287" i="32494"/>
  <c r="AD287" i="32494"/>
  <c r="AC110" i="32494"/>
  <c r="AD110" i="32494"/>
  <c r="AC209" i="32494"/>
  <c r="AD209" i="32494"/>
  <c r="AD215" i="32494"/>
  <c r="AC215" i="32494"/>
  <c r="AD124" i="32494"/>
  <c r="AC124" i="32494"/>
  <c r="AC30" i="32494"/>
  <c r="AD30" i="32494"/>
  <c r="AC196" i="32494"/>
  <c r="AD196" i="32494"/>
  <c r="AC113" i="32494"/>
  <c r="AD113" i="32494"/>
  <c r="AC65" i="32494"/>
  <c r="AD65" i="32494"/>
  <c r="AC153" i="32494"/>
  <c r="AD153" i="32494"/>
  <c r="AC259" i="32494"/>
  <c r="AD259" i="32494"/>
  <c r="AJ286" i="32494"/>
  <c r="AE286" i="32494"/>
  <c r="AF286" i="32494"/>
  <c r="AD295" i="32494"/>
  <c r="AC295" i="32494"/>
  <c r="AD246" i="32494"/>
  <c r="AC246" i="32494"/>
  <c r="AE148" i="32494"/>
  <c r="AF148" i="32494"/>
  <c r="AJ148" i="32494"/>
  <c r="AJ207" i="32494"/>
  <c r="AE207" i="32494"/>
  <c r="AF207" i="32494"/>
  <c r="AJ26" i="32494"/>
  <c r="AE26" i="32494"/>
  <c r="AF26" i="32494"/>
  <c r="AF216" i="32494"/>
  <c r="AE216" i="32494"/>
  <c r="AJ216" i="32494"/>
  <c r="AE144" i="32494"/>
  <c r="AF144" i="32494"/>
  <c r="AJ144" i="32494"/>
  <c r="AJ132" i="32494"/>
  <c r="AE132" i="32494"/>
  <c r="AF132" i="32494"/>
  <c r="AC275" i="32494"/>
  <c r="AD275" i="32494"/>
  <c r="AC273" i="32494"/>
  <c r="AD273" i="32494"/>
  <c r="AJ243" i="32494"/>
  <c r="AE243" i="32494"/>
  <c r="AF243" i="32494"/>
  <c r="AC148" i="32494"/>
  <c r="AD148" i="32494"/>
  <c r="AD199" i="32494"/>
  <c r="AC199" i="32494"/>
  <c r="AC201" i="32494"/>
  <c r="AD201" i="32494"/>
  <c r="AC26" i="32494"/>
  <c r="AD26" i="32494"/>
  <c r="AC99" i="32494"/>
  <c r="AD99" i="32494"/>
  <c r="AC194" i="32494"/>
  <c r="AD194" i="32494"/>
  <c r="AC216" i="32494"/>
  <c r="AD216" i="32494"/>
  <c r="AC63" i="32494"/>
  <c r="AD63" i="32494"/>
  <c r="AC200" i="32494"/>
  <c r="AD200" i="32494"/>
  <c r="AC223" i="32494"/>
  <c r="AD223" i="32494"/>
  <c r="AC261" i="32494"/>
  <c r="AD261" i="32494"/>
  <c r="AJ244" i="32494"/>
  <c r="AE244" i="32494"/>
  <c r="AF244" i="32494"/>
  <c r="AJ291" i="32494"/>
  <c r="AE291" i="32494"/>
  <c r="AF291" i="32494"/>
  <c r="AC224" i="32494"/>
  <c r="AD224" i="32494"/>
  <c r="AE267" i="32494"/>
  <c r="AF267" i="32494"/>
  <c r="AJ267" i="32494"/>
  <c r="AF137" i="32494"/>
  <c r="AE137" i="32494"/>
  <c r="AJ137" i="32494"/>
  <c r="AJ195" i="32494"/>
  <c r="AE195" i="32494"/>
  <c r="AF195" i="32494"/>
  <c r="AF101" i="32494"/>
  <c r="AJ101" i="32494"/>
  <c r="AE101" i="32494"/>
  <c r="AJ208" i="32494"/>
  <c r="AE208" i="32494"/>
  <c r="AF208" i="32494"/>
  <c r="AE58" i="32494"/>
  <c r="AF58" i="32494"/>
  <c r="AJ58" i="32494"/>
  <c r="AE104" i="32494"/>
  <c r="AF104" i="32494"/>
  <c r="AJ104" i="32494"/>
  <c r="AJ183" i="32494"/>
  <c r="AE183" i="32494"/>
  <c r="AF183" i="32494"/>
  <c r="AC277" i="32494"/>
  <c r="AD277" i="32494"/>
  <c r="AJ275" i="32494"/>
  <c r="AF275" i="32494"/>
  <c r="AE275" i="32494"/>
  <c r="AC253" i="32494"/>
  <c r="AD253" i="32494"/>
  <c r="AC278" i="32494"/>
  <c r="AD278" i="32494"/>
  <c r="AC137" i="32494"/>
  <c r="AD137" i="32494"/>
  <c r="AC195" i="32494"/>
  <c r="AD195" i="32494"/>
  <c r="AC192" i="32494"/>
  <c r="AD192" i="32494"/>
  <c r="AC189" i="32494"/>
  <c r="AD189" i="32494"/>
  <c r="AC15" i="32494"/>
  <c r="AD15" i="32494"/>
  <c r="AC101" i="32494"/>
  <c r="AD101" i="32494"/>
  <c r="AC206" i="32494"/>
  <c r="AD206" i="32494"/>
  <c r="AC179" i="32494"/>
  <c r="AD179" i="32494"/>
  <c r="AC208" i="32494"/>
  <c r="AD208" i="32494"/>
  <c r="AC102" i="32494"/>
  <c r="AD102" i="32494"/>
  <c r="AC274" i="32494"/>
  <c r="AD274" i="32494"/>
  <c r="AC296" i="32494"/>
  <c r="AD296" i="32494"/>
  <c r="AE232" i="32494"/>
  <c r="AC266" i="32494"/>
  <c r="AD266" i="32494"/>
  <c r="AF272" i="32494"/>
  <c r="AE272" i="32494"/>
  <c r="AJ272" i="32494"/>
  <c r="AE175" i="32494"/>
  <c r="AF175" i="32494"/>
  <c r="AJ175" i="32494"/>
  <c r="AF112" i="32494"/>
  <c r="AE112" i="32494"/>
  <c r="AJ112" i="32494"/>
  <c r="AF170" i="32494"/>
  <c r="AJ170" i="32494"/>
  <c r="AE170" i="32494"/>
  <c r="AF13" i="32494"/>
  <c r="AE13" i="32494"/>
  <c r="AJ13" i="32494"/>
  <c r="AF90" i="32494"/>
  <c r="AJ90" i="32494"/>
  <c r="AE90" i="32494"/>
  <c r="AJ203" i="32494"/>
  <c r="AE203" i="32494"/>
  <c r="AF203" i="32494"/>
  <c r="AE160" i="32494"/>
  <c r="AF160" i="32494"/>
  <c r="AJ160" i="32494"/>
  <c r="AE91" i="32494"/>
  <c r="AF91" i="32494"/>
  <c r="AJ91" i="32494"/>
  <c r="AF247" i="32494"/>
  <c r="AJ247" i="32494"/>
  <c r="AE247" i="32494"/>
  <c r="AC297" i="32494"/>
  <c r="AD297" i="32494"/>
  <c r="AC67" i="32494"/>
  <c r="AD67" i="32494"/>
  <c r="AC122" i="32494"/>
  <c r="AD122" i="32494"/>
  <c r="AD155" i="32494"/>
  <c r="AD175" i="32494"/>
  <c r="AC175" i="32494"/>
  <c r="AD112" i="32494"/>
  <c r="AC112" i="32494"/>
  <c r="AC170" i="32494"/>
  <c r="AD170" i="32494"/>
  <c r="AC13" i="32494"/>
  <c r="AD13" i="32494"/>
  <c r="AC90" i="32494"/>
  <c r="AD90" i="32494"/>
  <c r="AC85" i="32494"/>
  <c r="AD85" i="32494"/>
  <c r="AC53" i="32494"/>
  <c r="AD53" i="32494"/>
  <c r="AC91" i="32494"/>
  <c r="AD91" i="32494"/>
  <c r="AC24" i="32494"/>
  <c r="AD24" i="32494"/>
  <c r="AC104" i="32494"/>
  <c r="AD104" i="32494"/>
  <c r="AJ287" i="32494"/>
  <c r="AE287" i="32494"/>
  <c r="AF287" i="32494"/>
  <c r="AC284" i="32494"/>
  <c r="AD284" i="32494"/>
  <c r="AE280" i="32494"/>
  <c r="AF280" i="32494"/>
  <c r="AJ280" i="32494"/>
  <c r="AE117" i="32494"/>
  <c r="AF117" i="32494"/>
  <c r="AJ117" i="32494"/>
  <c r="AJ88" i="32494"/>
  <c r="AF88" i="32494"/>
  <c r="AE88" i="32494"/>
  <c r="AE79" i="32494"/>
  <c r="AF79" i="32494"/>
  <c r="AJ79" i="32494"/>
  <c r="AJ128" i="32494"/>
  <c r="AE128" i="32494"/>
  <c r="AF128" i="32494"/>
  <c r="AF284" i="32494"/>
  <c r="AJ284" i="32494"/>
  <c r="AE284" i="32494"/>
  <c r="AJ230" i="32494"/>
  <c r="AF230" i="32494"/>
  <c r="AE230" i="32494"/>
  <c r="AD250" i="32494"/>
  <c r="AC250" i="32494"/>
  <c r="AC237" i="32494"/>
  <c r="AD237" i="32494"/>
  <c r="AC183" i="32494"/>
  <c r="AD183" i="32494"/>
  <c r="AD106" i="32494"/>
  <c r="AC106" i="32494"/>
  <c r="AD165" i="32494"/>
  <c r="AC165" i="32494"/>
  <c r="AC77" i="32494"/>
  <c r="AD77" i="32494"/>
  <c r="AC168" i="32494"/>
  <c r="AD168" i="32494"/>
  <c r="AC88" i="32494"/>
  <c r="AD88" i="32494"/>
  <c r="AC79" i="32494"/>
  <c r="AD79" i="32494"/>
  <c r="AC128" i="32494"/>
  <c r="AD128" i="32494"/>
  <c r="AC48" i="32494"/>
  <c r="AD48" i="32494"/>
  <c r="AC87" i="32494"/>
  <c r="AD87" i="32494"/>
  <c r="AC169" i="32494"/>
  <c r="AD169" i="32494"/>
  <c r="AC78" i="32494"/>
  <c r="AD78" i="32494"/>
  <c r="AD187" i="32494"/>
  <c r="AF217" i="32494"/>
  <c r="AF225" i="32494"/>
  <c r="AF256" i="32494"/>
  <c r="AD226" i="32494"/>
  <c r="AC226" i="32494"/>
  <c r="AE265" i="32494"/>
  <c r="AF265" i="32494"/>
  <c r="AJ100" i="32494"/>
  <c r="AE100" i="32494"/>
  <c r="AF100" i="32494"/>
  <c r="AF143" i="32494"/>
  <c r="AJ143" i="32494"/>
  <c r="AE143" i="32494"/>
  <c r="AE186" i="32494"/>
  <c r="AE7" i="32494"/>
  <c r="AC289" i="32494"/>
  <c r="AD289" i="32494"/>
  <c r="AF236" i="32494"/>
  <c r="AJ236" i="32494"/>
  <c r="AE236" i="32494"/>
  <c r="AE252" i="32494"/>
  <c r="AJ250" i="32494"/>
  <c r="AF250" i="32494"/>
  <c r="AE250" i="32494"/>
  <c r="AC225" i="32494"/>
  <c r="AD225" i="32494"/>
  <c r="AC60" i="32494"/>
  <c r="AD60" i="32494"/>
  <c r="AC100" i="32494"/>
  <c r="AD100" i="32494"/>
  <c r="AC143" i="32494"/>
  <c r="AD143" i="32494"/>
  <c r="AC166" i="32494"/>
  <c r="AD166" i="32494"/>
  <c r="AD7" i="32494"/>
  <c r="AC7" i="32494"/>
  <c r="AC73" i="32494"/>
  <c r="AD73" i="32494"/>
  <c r="AJ292" i="32494"/>
  <c r="AE292" i="32494"/>
  <c r="AF292" i="32494"/>
  <c r="AE261" i="32494"/>
  <c r="AF261" i="32494"/>
  <c r="AJ261" i="32494"/>
  <c r="AD276" i="32494"/>
  <c r="AC276" i="32494"/>
  <c r="AC254" i="32494"/>
  <c r="AD254" i="32494"/>
  <c r="AC292" i="32494"/>
  <c r="AD292" i="32494"/>
  <c r="AE92" i="32494"/>
  <c r="AJ92" i="32494"/>
  <c r="AF92" i="32494"/>
  <c r="AE159" i="32494"/>
  <c r="AF159" i="32494"/>
  <c r="AJ159" i="32494"/>
  <c r="AJ184" i="32494"/>
  <c r="AE184" i="32494"/>
  <c r="AF184" i="32494"/>
  <c r="AJ152" i="32494"/>
  <c r="AE152" i="32494"/>
  <c r="AF152" i="32494"/>
  <c r="AJ19" i="32494"/>
  <c r="AE19" i="32494"/>
  <c r="AF19" i="32494"/>
  <c r="AE171" i="32494"/>
  <c r="AF171" i="32494"/>
  <c r="AJ171" i="32494"/>
  <c r="AF81" i="32494"/>
  <c r="AE81" i="32494"/>
  <c r="AJ81" i="32494"/>
  <c r="AE120" i="32494"/>
  <c r="AF120" i="32494"/>
  <c r="AJ120" i="32494"/>
  <c r="AE142" i="32494"/>
  <c r="AF142" i="32494"/>
  <c r="AJ142" i="32494"/>
  <c r="AF6" i="32494"/>
  <c r="AE238" i="32494"/>
  <c r="AF238" i="32494"/>
  <c r="AJ238" i="32494"/>
  <c r="AE293" i="32494"/>
  <c r="AF293" i="32494"/>
  <c r="AJ293" i="32494"/>
  <c r="AC151" i="32494"/>
  <c r="AD151" i="32494"/>
  <c r="AD159" i="32494"/>
  <c r="AC159" i="32494"/>
  <c r="AD59" i="32494"/>
  <c r="AC59" i="32494"/>
  <c r="AC119" i="32494"/>
  <c r="AD119" i="32494"/>
  <c r="AC184" i="32494"/>
  <c r="AD184" i="32494"/>
  <c r="AC66" i="32494"/>
  <c r="AD66" i="32494"/>
  <c r="AC152" i="32494"/>
  <c r="AD152" i="32494"/>
  <c r="AC19" i="32494"/>
  <c r="AD19" i="32494"/>
  <c r="AC115" i="32494"/>
  <c r="AD115" i="32494"/>
  <c r="AC171" i="32494"/>
  <c r="AD171" i="32494"/>
  <c r="AC120" i="32494"/>
  <c r="AD120" i="32494"/>
  <c r="AC221" i="32494"/>
  <c r="AD221" i="32494"/>
  <c r="AC280" i="32494"/>
  <c r="AD280" i="32494"/>
  <c r="AE262" i="32494"/>
  <c r="AC300" i="32494"/>
  <c r="AD300" i="32494"/>
  <c r="AJ86" i="32494"/>
  <c r="AE86" i="32494"/>
  <c r="AF86" i="32494"/>
  <c r="AE56" i="32494"/>
  <c r="AJ56" i="32494"/>
  <c r="AF56" i="32494"/>
  <c r="AJ51" i="32494"/>
  <c r="AE51" i="32494"/>
  <c r="AF51" i="32494"/>
  <c r="AE17" i="32494"/>
  <c r="AF17" i="32494"/>
  <c r="AJ17" i="32494"/>
  <c r="AF97" i="32494"/>
  <c r="AE97" i="32494"/>
  <c r="AJ97" i="32494"/>
  <c r="AF147" i="32494"/>
  <c r="AE147" i="32494"/>
  <c r="AJ147" i="32494"/>
  <c r="AE34" i="32494"/>
  <c r="AF34" i="32494"/>
  <c r="AJ34" i="32494"/>
  <c r="AJ55" i="32494"/>
  <c r="AE55" i="32494"/>
  <c r="AF55" i="32494"/>
  <c r="AE134" i="32494"/>
  <c r="AF134" i="32494"/>
  <c r="AJ134" i="32494"/>
  <c r="AC222" i="32494"/>
  <c r="AD222" i="32494"/>
  <c r="AF296" i="32494"/>
  <c r="AE296" i="32494"/>
  <c r="AD243" i="32494"/>
  <c r="AC243" i="32494"/>
  <c r="AF260" i="32494"/>
  <c r="AE260" i="32494"/>
  <c r="AJ260" i="32494"/>
  <c r="AC18" i="32494"/>
  <c r="AD18" i="32494"/>
  <c r="AC150" i="32494"/>
  <c r="AD150" i="32494"/>
  <c r="AC56" i="32494"/>
  <c r="AD56" i="32494"/>
  <c r="AC109" i="32494"/>
  <c r="AD109" i="32494"/>
  <c r="AC182" i="32494"/>
  <c r="AD182" i="32494"/>
  <c r="AC51" i="32494"/>
  <c r="AD51" i="32494"/>
  <c r="AC17" i="32494"/>
  <c r="AD17" i="32494"/>
  <c r="AC97" i="32494"/>
  <c r="AD97" i="32494"/>
  <c r="AD147" i="32494"/>
  <c r="AC147" i="32494"/>
  <c r="AC55" i="32494"/>
  <c r="AD55" i="32494"/>
  <c r="AC218" i="32494"/>
  <c r="AD218" i="32494"/>
  <c r="AJ300" i="32494"/>
  <c r="AE300" i="32494"/>
  <c r="AF300" i="32494"/>
  <c r="AJ224" i="32494"/>
  <c r="AE224" i="32494"/>
  <c r="AF224" i="32494"/>
  <c r="AC267" i="32494"/>
  <c r="AD267" i="32494"/>
  <c r="AF49" i="32494"/>
  <c r="AE49" i="32494"/>
  <c r="AJ49" i="32494"/>
  <c r="AF45" i="32494"/>
  <c r="AE45" i="32494"/>
  <c r="AJ45" i="32494"/>
  <c r="AJ138" i="32494"/>
  <c r="AE138" i="32494"/>
  <c r="AF138" i="32494"/>
  <c r="AJ74" i="32494"/>
  <c r="AE74" i="32494"/>
  <c r="AF74" i="32494"/>
  <c r="AE31" i="32494"/>
  <c r="AF31" i="32494"/>
  <c r="AJ31" i="32494"/>
  <c r="AE190" i="32494"/>
  <c r="AF190" i="32494"/>
  <c r="AJ190" i="32494"/>
  <c r="AJ42" i="32494"/>
  <c r="AE42" i="32494"/>
  <c r="AF42" i="32494"/>
  <c r="AC230" i="32494"/>
  <c r="AD230" i="32494"/>
  <c r="AD234" i="32494"/>
  <c r="AC234" i="32494"/>
  <c r="AD245" i="32494"/>
  <c r="AC245" i="32494"/>
  <c r="AC239" i="32494"/>
  <c r="AD239" i="32494"/>
  <c r="AD271" i="32494"/>
  <c r="AC271" i="32494"/>
  <c r="AC142" i="32494"/>
  <c r="AD142" i="32494"/>
  <c r="AC36" i="32494"/>
  <c r="AD36" i="32494"/>
  <c r="AD83" i="32494"/>
  <c r="AC83" i="32494"/>
  <c r="AC49" i="32494"/>
  <c r="AD49" i="32494"/>
  <c r="AC103" i="32494"/>
  <c r="AD103" i="32494"/>
  <c r="AC138" i="32494"/>
  <c r="AD138" i="32494"/>
  <c r="AC31" i="32494"/>
  <c r="AD31" i="32494"/>
  <c r="AC50" i="32494"/>
  <c r="AD50" i="32494"/>
  <c r="AC202" i="32494"/>
  <c r="AD202" i="32494"/>
  <c r="AD242" i="32494"/>
  <c r="AC242" i="32494"/>
  <c r="AC279" i="32494"/>
  <c r="AD279" i="32494"/>
  <c r="AC272" i="32494"/>
  <c r="AD272" i="32494"/>
  <c r="AE197" i="32494"/>
  <c r="AF197" i="32494"/>
  <c r="AJ197" i="32494"/>
  <c r="AJ39" i="32494"/>
  <c r="AE39" i="32494"/>
  <c r="AF39" i="32494"/>
  <c r="AJ64" i="32494"/>
  <c r="AF64" i="32494"/>
  <c r="AE64" i="32494"/>
  <c r="AJ157" i="32494"/>
  <c r="AE157" i="32494"/>
  <c r="AF157" i="32494"/>
  <c r="AJ41" i="32494"/>
  <c r="AE41" i="32494"/>
  <c r="AF41" i="32494"/>
  <c r="AE44" i="32494"/>
  <c r="AJ93" i="32494"/>
  <c r="AE93" i="32494"/>
  <c r="AF93" i="32494"/>
  <c r="AE185" i="32494"/>
  <c r="AF185" i="32494"/>
  <c r="AJ185" i="32494"/>
  <c r="AE29" i="32494"/>
  <c r="AF29" i="32494"/>
  <c r="AJ29" i="32494"/>
  <c r="AC236" i="32494"/>
  <c r="AD236" i="32494"/>
  <c r="AF255" i="32494"/>
  <c r="AJ255" i="32494"/>
  <c r="AE255" i="32494"/>
  <c r="AD262" i="32494"/>
  <c r="AC262" i="32494"/>
  <c r="AF273" i="32494"/>
  <c r="AJ273" i="32494"/>
  <c r="AE273" i="32494"/>
  <c r="AE282" i="32494"/>
  <c r="AF282" i="32494"/>
  <c r="AD258" i="32494"/>
  <c r="AC258" i="32494"/>
  <c r="AC134" i="32494"/>
  <c r="AD134" i="32494"/>
  <c r="AD75" i="32494"/>
  <c r="AC75" i="32494"/>
  <c r="AD39" i="32494"/>
  <c r="AC39" i="32494"/>
  <c r="AC64" i="32494"/>
  <c r="AD64" i="32494"/>
  <c r="AC157" i="32494"/>
  <c r="AD157" i="32494"/>
  <c r="AC41" i="32494"/>
  <c r="AD41" i="32494"/>
  <c r="AD71" i="32494"/>
  <c r="AC71" i="32494"/>
  <c r="AC44" i="32494"/>
  <c r="AD44" i="32494"/>
  <c r="AC42" i="32494"/>
  <c r="AD42" i="32494"/>
  <c r="AE246" i="32494"/>
  <c r="AE254" i="32494"/>
  <c r="AJ269" i="32494"/>
  <c r="AE269" i="32494"/>
  <c r="AF269" i="32494"/>
  <c r="AC286" i="32494"/>
  <c r="AD286" i="32494"/>
  <c r="AJ180" i="32494"/>
  <c r="AE180" i="32494"/>
  <c r="AF180" i="32494"/>
  <c r="AJ54" i="32494"/>
  <c r="AE54" i="32494"/>
  <c r="AF54" i="32494"/>
  <c r="AE133" i="32494"/>
  <c r="AF133" i="32494"/>
  <c r="AJ133" i="32494"/>
  <c r="AE210" i="32494"/>
  <c r="AF210" i="32494"/>
  <c r="AJ210" i="32494"/>
  <c r="AE68" i="32494"/>
  <c r="AF68" i="32494"/>
  <c r="AJ68" i="32494"/>
  <c r="AE158" i="32494"/>
  <c r="AF158" i="32494"/>
  <c r="AJ158" i="32494"/>
  <c r="AJ110" i="32494"/>
  <c r="AE110" i="32494"/>
  <c r="AF110" i="32494"/>
  <c r="AC265" i="32494"/>
  <c r="AD265" i="32494"/>
  <c r="AC252" i="32494"/>
  <c r="AG252" i="32494" s="1"/>
  <c r="AD282" i="32494"/>
  <c r="AC282" i="32494"/>
  <c r="AD299" i="32494"/>
  <c r="AC299" i="32494"/>
  <c r="AC129" i="32494"/>
  <c r="AD129" i="32494"/>
  <c r="AC220" i="32494"/>
  <c r="AD220" i="32494"/>
  <c r="AC131" i="32494"/>
  <c r="AD131" i="32494"/>
  <c r="AC54" i="32494"/>
  <c r="AD54" i="32494"/>
  <c r="AD133" i="32494"/>
  <c r="AC133" i="32494"/>
  <c r="AC68" i="32494"/>
  <c r="AD68" i="32494"/>
  <c r="AC27" i="32494"/>
  <c r="AD27" i="32494"/>
  <c r="AC89" i="32494"/>
  <c r="AD89" i="32494"/>
  <c r="AC185" i="32494"/>
  <c r="AD185" i="32494"/>
  <c r="AC29" i="32494"/>
  <c r="AD29" i="32494"/>
  <c r="M66" i="32488" l="1"/>
  <c r="D52" i="32458"/>
  <c r="F66" i="32488"/>
  <c r="D43" i="32458"/>
  <c r="H50" i="32488"/>
  <c r="H117" i="32488" s="1"/>
  <c r="D28" i="32458"/>
  <c r="F46" i="32458"/>
  <c r="D37" i="32458"/>
  <c r="D34" i="32458"/>
  <c r="D31" i="32458"/>
  <c r="F19" i="32458"/>
  <c r="H19" i="32458" s="1"/>
  <c r="AG176" i="32494"/>
  <c r="AH176" i="32494" s="1"/>
  <c r="AG203" i="32494"/>
  <c r="AH203" i="32494" s="1"/>
  <c r="AG158" i="32494"/>
  <c r="AH158" i="32494" s="1"/>
  <c r="AG141" i="32494"/>
  <c r="AG80" i="32494"/>
  <c r="AH80" i="32494" s="1"/>
  <c r="AG246" i="32494"/>
  <c r="AH246" i="32494" s="1"/>
  <c r="AG255" i="32494"/>
  <c r="AH255" i="32494" s="1"/>
  <c r="AG135" i="32494"/>
  <c r="AH135" i="32494" s="1"/>
  <c r="AG229" i="32494"/>
  <c r="AH229" i="32494" s="1"/>
  <c r="AG197" i="32494"/>
  <c r="AH197" i="32494" s="1"/>
  <c r="AG92" i="32494"/>
  <c r="AH92" i="32494" s="1"/>
  <c r="AG95" i="32494"/>
  <c r="AH95" i="32494" s="1"/>
  <c r="AG237" i="32494"/>
  <c r="AH237" i="32494" s="1"/>
  <c r="AG175" i="32494"/>
  <c r="AH175" i="32494" s="1"/>
  <c r="AG39" i="32494"/>
  <c r="AH39" i="32494" s="1"/>
  <c r="AG188" i="32494"/>
  <c r="AH188" i="32494" s="1"/>
  <c r="AI174" i="32494"/>
  <c r="AJ174" i="32494" s="1"/>
  <c r="AG164" i="32494"/>
  <c r="AH164" i="32494" s="1"/>
  <c r="AG140" i="32494"/>
  <c r="AH140" i="32494" s="1"/>
  <c r="AG133" i="32494"/>
  <c r="AH133" i="32494" s="1"/>
  <c r="AG282" i="32494"/>
  <c r="AH282" i="32494" s="1"/>
  <c r="AG262" i="32494"/>
  <c r="AH262" i="32494" s="1"/>
  <c r="AG19" i="32494"/>
  <c r="AH19" i="32494" s="1"/>
  <c r="AG159" i="32494"/>
  <c r="AH159" i="32494" s="1"/>
  <c r="AG216" i="32494"/>
  <c r="AH216" i="32494" s="1"/>
  <c r="AG291" i="32494"/>
  <c r="AH291" i="32494" s="1"/>
  <c r="AG273" i="32494"/>
  <c r="AH273" i="32494" s="1"/>
  <c r="AG265" i="32494"/>
  <c r="AH265" i="32494" s="1"/>
  <c r="AG155" i="32494"/>
  <c r="AH155" i="32494" s="1"/>
  <c r="AG173" i="32494"/>
  <c r="AH173" i="32494" s="1"/>
  <c r="AG298" i="32494"/>
  <c r="AH298" i="32494" s="1"/>
  <c r="AG177" i="32494"/>
  <c r="AH177" i="32494" s="1"/>
  <c r="AG118" i="32494"/>
  <c r="AH118" i="32494" s="1"/>
  <c r="AH22" i="32494"/>
  <c r="AG248" i="32494"/>
  <c r="AH248" i="32494" s="1"/>
  <c r="AG199" i="32494"/>
  <c r="AH199" i="32494" s="1"/>
  <c r="AG14" i="32494"/>
  <c r="AH14" i="32494" s="1"/>
  <c r="AG57" i="32494"/>
  <c r="AH57" i="32494" s="1"/>
  <c r="AG147" i="32494"/>
  <c r="AH147" i="32494" s="1"/>
  <c r="AG226" i="32494"/>
  <c r="AH226" i="32494" s="1"/>
  <c r="AG52" i="32494"/>
  <c r="AH52" i="32494" s="1"/>
  <c r="AG25" i="32494"/>
  <c r="AH25" i="32494" s="1"/>
  <c r="AG187" i="32494"/>
  <c r="AH187" i="32494" s="1"/>
  <c r="AG32" i="32494"/>
  <c r="AH32" i="32494" s="1"/>
  <c r="AG130" i="32494"/>
  <c r="AH130" i="32494" s="1"/>
  <c r="AG212" i="32494"/>
  <c r="AH212" i="32494" s="1"/>
  <c r="AG208" i="32494"/>
  <c r="AH208" i="32494" s="1"/>
  <c r="AG192" i="32494"/>
  <c r="AH192" i="32494" s="1"/>
  <c r="AG244" i="32494"/>
  <c r="AH244" i="32494" s="1"/>
  <c r="AG71" i="32494"/>
  <c r="AH71" i="32494" s="1"/>
  <c r="AG202" i="32494"/>
  <c r="AH202" i="32494" s="1"/>
  <c r="AG83" i="32494"/>
  <c r="AH83" i="32494" s="1"/>
  <c r="AG234" i="32494"/>
  <c r="AH234" i="32494" s="1"/>
  <c r="AG179" i="32494"/>
  <c r="AH179" i="32494" s="1"/>
  <c r="AG163" i="32494"/>
  <c r="AH163" i="32494" s="1"/>
  <c r="AG127" i="32494"/>
  <c r="AH127" i="32494" s="1"/>
  <c r="AG107" i="32494"/>
  <c r="AH107" i="32494" s="1"/>
  <c r="AG149" i="32494"/>
  <c r="AH149" i="32494" s="1"/>
  <c r="AG58" i="32494"/>
  <c r="AH58" i="32494" s="1"/>
  <c r="AG247" i="32494"/>
  <c r="AH247" i="32494" s="1"/>
  <c r="AG210" i="32494"/>
  <c r="AH210" i="32494" s="1"/>
  <c r="AG214" i="32494"/>
  <c r="AH214" i="32494" s="1"/>
  <c r="AG156" i="32494"/>
  <c r="AH156" i="32494" s="1"/>
  <c r="AG238" i="32494"/>
  <c r="AH238" i="32494" s="1"/>
  <c r="AG270" i="32494"/>
  <c r="AH270" i="32494" s="1"/>
  <c r="AG105" i="32494"/>
  <c r="AH105" i="32494" s="1"/>
  <c r="AG281" i="32494"/>
  <c r="AH281" i="32494" s="1"/>
  <c r="AG21" i="32494"/>
  <c r="AH21" i="32494" s="1"/>
  <c r="AG157" i="32494"/>
  <c r="AH157" i="32494" s="1"/>
  <c r="AG296" i="32494"/>
  <c r="AH296" i="32494" s="1"/>
  <c r="AG101" i="32494"/>
  <c r="AH101" i="32494" s="1"/>
  <c r="AG278" i="32494"/>
  <c r="AH278" i="32494" s="1"/>
  <c r="AG251" i="32494"/>
  <c r="AH251" i="32494" s="1"/>
  <c r="AG61" i="32494"/>
  <c r="AH61" i="32494" s="1"/>
  <c r="AG114" i="32494"/>
  <c r="AH114" i="32494" s="1"/>
  <c r="AG70" i="32494"/>
  <c r="AH70" i="32494" s="1"/>
  <c r="AG257" i="32494"/>
  <c r="AH257" i="32494" s="1"/>
  <c r="AG23" i="32494"/>
  <c r="AH23" i="32494" s="1"/>
  <c r="AG31" i="32494"/>
  <c r="AH31" i="32494" s="1"/>
  <c r="AG142" i="32494"/>
  <c r="AH142" i="32494" s="1"/>
  <c r="AG297" i="32494"/>
  <c r="AH297" i="32494" s="1"/>
  <c r="AG204" i="32494"/>
  <c r="AH204" i="32494" s="1"/>
  <c r="AG68" i="32494"/>
  <c r="AH68" i="32494" s="1"/>
  <c r="AG299" i="32494"/>
  <c r="AH299" i="32494" s="1"/>
  <c r="AG59" i="32494"/>
  <c r="AH59" i="32494" s="1"/>
  <c r="AG183" i="32494"/>
  <c r="AH183" i="32494" s="1"/>
  <c r="AG112" i="32494"/>
  <c r="AH112" i="32494" s="1"/>
  <c r="AG152" i="32494"/>
  <c r="AH152" i="32494" s="1"/>
  <c r="AG289" i="32494"/>
  <c r="AH289" i="32494" s="1"/>
  <c r="AG193" i="32494"/>
  <c r="AH193" i="32494" s="1"/>
  <c r="AG167" i="32494"/>
  <c r="AH167" i="32494" s="1"/>
  <c r="AG169" i="32494"/>
  <c r="AH169" i="32494" s="1"/>
  <c r="AG287" i="32494"/>
  <c r="AH287" i="32494" s="1"/>
  <c r="AG266" i="32494"/>
  <c r="AH266" i="32494" s="1"/>
  <c r="AG7" i="32494"/>
  <c r="AH7" i="32494" s="1"/>
  <c r="AG165" i="32494"/>
  <c r="AH165" i="32494" s="1"/>
  <c r="AG124" i="32494"/>
  <c r="AH124" i="32494" s="1"/>
  <c r="AG72" i="32494"/>
  <c r="AH72" i="32494" s="1"/>
  <c r="AG190" i="32494"/>
  <c r="AH190" i="32494" s="1"/>
  <c r="AG205" i="32494"/>
  <c r="AH205" i="32494" s="1"/>
  <c r="AG109" i="32494"/>
  <c r="AH109" i="32494" s="1"/>
  <c r="AG168" i="32494"/>
  <c r="AH168" i="32494" s="1"/>
  <c r="AG290" i="32494"/>
  <c r="AH290" i="32494" s="1"/>
  <c r="AG249" i="32494"/>
  <c r="AH249" i="32494" s="1"/>
  <c r="AG69" i="32494"/>
  <c r="AH69" i="32494" s="1"/>
  <c r="AG293" i="32494"/>
  <c r="AH293" i="32494" s="1"/>
  <c r="AG8" i="32494"/>
  <c r="AH8" i="32494" s="1"/>
  <c r="AG277" i="32494"/>
  <c r="AH277" i="32494" s="1"/>
  <c r="AG207" i="32494"/>
  <c r="AH207" i="32494" s="1"/>
  <c r="AG54" i="32494"/>
  <c r="AH54" i="32494" s="1"/>
  <c r="AG26" i="32494"/>
  <c r="AH26" i="32494" s="1"/>
  <c r="AG96" i="32494"/>
  <c r="AH96" i="32494" s="1"/>
  <c r="AH141" i="32494"/>
  <c r="AG162" i="32494"/>
  <c r="AH162" i="32494" s="1"/>
  <c r="AG227" i="32494"/>
  <c r="AH227" i="32494" s="1"/>
  <c r="AG38" i="32494"/>
  <c r="AH38" i="32494" s="1"/>
  <c r="AG10" i="32494"/>
  <c r="AH10" i="32494" s="1"/>
  <c r="AG151" i="32494"/>
  <c r="AH151" i="32494" s="1"/>
  <c r="AG60" i="32494"/>
  <c r="AH60" i="32494" s="1"/>
  <c r="AG85" i="32494"/>
  <c r="AH85" i="32494" s="1"/>
  <c r="AG253" i="32494"/>
  <c r="AH253" i="32494" s="1"/>
  <c r="AG94" i="32494"/>
  <c r="AH94" i="32494" s="1"/>
  <c r="AG286" i="32494"/>
  <c r="AH286" i="32494" s="1"/>
  <c r="AG55" i="32494"/>
  <c r="AH55" i="32494" s="1"/>
  <c r="AG280" i="32494"/>
  <c r="AH280" i="32494" s="1"/>
  <c r="AG223" i="32494"/>
  <c r="AH223" i="32494" s="1"/>
  <c r="AG64" i="32494"/>
  <c r="AH64" i="32494" s="1"/>
  <c r="AG138" i="32494"/>
  <c r="AH138" i="32494" s="1"/>
  <c r="AG274" i="32494"/>
  <c r="AH274" i="32494" s="1"/>
  <c r="AG16" i="32494"/>
  <c r="AH16" i="32494" s="1"/>
  <c r="AG28" i="32494"/>
  <c r="AH28" i="32494" s="1"/>
  <c r="AG145" i="32494"/>
  <c r="AH145" i="32494" s="1"/>
  <c r="AG75" i="32494"/>
  <c r="AH75" i="32494" s="1"/>
  <c r="AG242" i="32494"/>
  <c r="AH242" i="32494" s="1"/>
  <c r="AG245" i="32494"/>
  <c r="AH245" i="32494" s="1"/>
  <c r="AG113" i="32494"/>
  <c r="AH113" i="32494" s="1"/>
  <c r="AG47" i="32494"/>
  <c r="AH47" i="32494" s="1"/>
  <c r="AG294" i="32494"/>
  <c r="AH294" i="32494" s="1"/>
  <c r="AG198" i="32494"/>
  <c r="AH198" i="32494" s="1"/>
  <c r="AG134" i="32494"/>
  <c r="AH134" i="32494" s="1"/>
  <c r="AG62" i="32494"/>
  <c r="AH62" i="32494" s="1"/>
  <c r="AG160" i="32494"/>
  <c r="AH160" i="32494" s="1"/>
  <c r="AG275" i="32494"/>
  <c r="AH275" i="32494" s="1"/>
  <c r="AG30" i="32494"/>
  <c r="AH30" i="32494" s="1"/>
  <c r="AG136" i="32494"/>
  <c r="AH136" i="32494" s="1"/>
  <c r="AG144" i="32494"/>
  <c r="AH144" i="32494" s="1"/>
  <c r="AG154" i="32494"/>
  <c r="AH154" i="32494" s="1"/>
  <c r="AG139" i="32494"/>
  <c r="AH139" i="32494" s="1"/>
  <c r="AG9" i="32494"/>
  <c r="AH9" i="32494" s="1"/>
  <c r="AG195" i="32494"/>
  <c r="AH195" i="32494" s="1"/>
  <c r="AG267" i="32494"/>
  <c r="AH267" i="32494" s="1"/>
  <c r="AG233" i="32494"/>
  <c r="AH233" i="32494" s="1"/>
  <c r="AG46" i="32494"/>
  <c r="AH46" i="32494" s="1"/>
  <c r="AG111" i="32494"/>
  <c r="AH111" i="32494" s="1"/>
  <c r="AG82" i="32494"/>
  <c r="AH82" i="32494" s="1"/>
  <c r="AG132" i="32494"/>
  <c r="AH132" i="32494" s="1"/>
  <c r="AG116" i="32494"/>
  <c r="AH116" i="32494" s="1"/>
  <c r="AG161" i="32494"/>
  <c r="AH161" i="32494" s="1"/>
  <c r="AG269" i="32494"/>
  <c r="AH269" i="32494" s="1"/>
  <c r="AG292" i="32494"/>
  <c r="AH292" i="32494" s="1"/>
  <c r="AG90" i="32494"/>
  <c r="AH90" i="32494" s="1"/>
  <c r="AG189" i="32494"/>
  <c r="AH189" i="32494" s="1"/>
  <c r="AG74" i="32494"/>
  <c r="AH74" i="32494" s="1"/>
  <c r="AG12" i="32494"/>
  <c r="AH12" i="32494" s="1"/>
  <c r="AG117" i="32494"/>
  <c r="AH117" i="32494" s="1"/>
  <c r="AG172" i="32494"/>
  <c r="AH172" i="32494" s="1"/>
  <c r="AG279" i="32494"/>
  <c r="AH279" i="32494" s="1"/>
  <c r="AG235" i="32494"/>
  <c r="AH235" i="32494" s="1"/>
  <c r="AG288" i="32494"/>
  <c r="AH288" i="32494" s="1"/>
  <c r="AG186" i="32494"/>
  <c r="AH186" i="32494" s="1"/>
  <c r="AG231" i="32494"/>
  <c r="AH231" i="32494" s="1"/>
  <c r="AG122" i="32494"/>
  <c r="AH122" i="32494" s="1"/>
  <c r="AG221" i="32494"/>
  <c r="AH221" i="32494" s="1"/>
  <c r="AG44" i="32494"/>
  <c r="AH44" i="32494" s="1"/>
  <c r="AG250" i="32494"/>
  <c r="AH250" i="32494" s="1"/>
  <c r="AG284" i="32494"/>
  <c r="AH284" i="32494" s="1"/>
  <c r="AG76" i="32494"/>
  <c r="AH76" i="32494" s="1"/>
  <c r="AG43" i="32494"/>
  <c r="AH43" i="32494" s="1"/>
  <c r="AG20" i="32494"/>
  <c r="AH20" i="32494" s="1"/>
  <c r="AG11" i="32494"/>
  <c r="AH11" i="32494" s="1"/>
  <c r="AG121" i="32494"/>
  <c r="AH121" i="32494" s="1"/>
  <c r="AG285" i="32494"/>
  <c r="AH285" i="32494" s="1"/>
  <c r="AG131" i="32494"/>
  <c r="AH131" i="32494" s="1"/>
  <c r="AG77" i="32494"/>
  <c r="AH77" i="32494" s="1"/>
  <c r="AG181" i="32494"/>
  <c r="AH181" i="32494" s="1"/>
  <c r="AG236" i="32494"/>
  <c r="AH236" i="32494" s="1"/>
  <c r="AG36" i="32494"/>
  <c r="AH36" i="32494" s="1"/>
  <c r="AG67" i="32494"/>
  <c r="AH67" i="32494" s="1"/>
  <c r="AG206" i="32494"/>
  <c r="AH206" i="32494" s="1"/>
  <c r="AG137" i="32494"/>
  <c r="AH137" i="32494" s="1"/>
  <c r="AG232" i="32494"/>
  <c r="AH232" i="32494" s="1"/>
  <c r="AG225" i="32494"/>
  <c r="AH225" i="32494" s="1"/>
  <c r="AG224" i="32494"/>
  <c r="AH224" i="32494" s="1"/>
  <c r="AG41" i="32494"/>
  <c r="AH41" i="32494" s="1"/>
  <c r="AG50" i="32494"/>
  <c r="AH50" i="32494" s="1"/>
  <c r="AG230" i="32494"/>
  <c r="AH230" i="32494" s="1"/>
  <c r="AG222" i="32494"/>
  <c r="AH222" i="32494" s="1"/>
  <c r="AG220" i="32494"/>
  <c r="AH220" i="32494" s="1"/>
  <c r="AG97" i="32494"/>
  <c r="AH97" i="32494" s="1"/>
  <c r="AG120" i="32494"/>
  <c r="AH120" i="32494" s="1"/>
  <c r="AG254" i="32494"/>
  <c r="AH254" i="32494" s="1"/>
  <c r="AG259" i="32494"/>
  <c r="AH259" i="32494" s="1"/>
  <c r="AG260" i="32494"/>
  <c r="AH260" i="32494" s="1"/>
  <c r="AH219" i="32494"/>
  <c r="AG108" i="32494"/>
  <c r="AH108" i="32494" s="1"/>
  <c r="AG268" i="32494"/>
  <c r="AH268" i="32494" s="1"/>
  <c r="AH34" i="32494"/>
  <c r="AG174" i="32494"/>
  <c r="AG185" i="32494"/>
  <c r="AH185" i="32494" s="1"/>
  <c r="AG258" i="32494"/>
  <c r="AH258" i="32494" s="1"/>
  <c r="AG56" i="32494"/>
  <c r="AH56" i="32494" s="1"/>
  <c r="AG66" i="32494"/>
  <c r="AH66" i="32494" s="1"/>
  <c r="AG73" i="32494"/>
  <c r="AH73" i="32494" s="1"/>
  <c r="AG87" i="32494"/>
  <c r="AH87" i="32494" s="1"/>
  <c r="AG200" i="32494"/>
  <c r="AH200" i="32494" s="1"/>
  <c r="AG201" i="32494"/>
  <c r="AH201" i="32494" s="1"/>
  <c r="AG301" i="32494"/>
  <c r="AH301" i="32494" s="1"/>
  <c r="AG123" i="32494"/>
  <c r="AH123" i="32494" s="1"/>
  <c r="AG217" i="32494"/>
  <c r="AH217" i="32494" s="1"/>
  <c r="AG228" i="32494"/>
  <c r="AH228" i="32494" s="1"/>
  <c r="AG93" i="32494"/>
  <c r="AH93" i="32494" s="1"/>
  <c r="AG40" i="32494"/>
  <c r="AH40" i="32494" s="1"/>
  <c r="AG89" i="32494"/>
  <c r="AH89" i="32494" s="1"/>
  <c r="AG150" i="32494"/>
  <c r="AH150" i="32494" s="1"/>
  <c r="AG184" i="32494"/>
  <c r="AH184" i="32494" s="1"/>
  <c r="AG48" i="32494"/>
  <c r="AH48" i="32494" s="1"/>
  <c r="AG104" i="32494"/>
  <c r="AH104" i="32494" s="1"/>
  <c r="AG13" i="32494"/>
  <c r="AH13" i="32494" s="1"/>
  <c r="AG63" i="32494"/>
  <c r="AH63" i="32494" s="1"/>
  <c r="AG178" i="32494"/>
  <c r="AH178" i="32494" s="1"/>
  <c r="AH211" i="32494"/>
  <c r="AG191" i="32494"/>
  <c r="AH191" i="32494" s="1"/>
  <c r="AG45" i="32494"/>
  <c r="AH45" i="32494" s="1"/>
  <c r="AG86" i="32494"/>
  <c r="AH86" i="32494" s="1"/>
  <c r="AG27" i="32494"/>
  <c r="AH27" i="32494" s="1"/>
  <c r="AG129" i="32494"/>
  <c r="AH129" i="32494" s="1"/>
  <c r="AG272" i="32494"/>
  <c r="AH272" i="32494" s="1"/>
  <c r="AG271" i="32494"/>
  <c r="AH271" i="32494" s="1"/>
  <c r="AG17" i="32494"/>
  <c r="AH17" i="32494" s="1"/>
  <c r="AG18" i="32494"/>
  <c r="AH18" i="32494" s="1"/>
  <c r="AG171" i="32494"/>
  <c r="AH171" i="32494" s="1"/>
  <c r="AG119" i="32494"/>
  <c r="AH119" i="32494" s="1"/>
  <c r="AG276" i="32494"/>
  <c r="AH276" i="32494" s="1"/>
  <c r="AG166" i="32494"/>
  <c r="AH166" i="32494" s="1"/>
  <c r="AG128" i="32494"/>
  <c r="AH128" i="32494" s="1"/>
  <c r="AG106" i="32494"/>
  <c r="AH106" i="32494" s="1"/>
  <c r="AG24" i="32494"/>
  <c r="AH24" i="32494" s="1"/>
  <c r="AG170" i="32494"/>
  <c r="AH170" i="32494" s="1"/>
  <c r="AG15" i="32494"/>
  <c r="AH15" i="32494" s="1"/>
  <c r="AG148" i="32494"/>
  <c r="AH148" i="32494" s="1"/>
  <c r="AG153" i="32494"/>
  <c r="AH153" i="32494" s="1"/>
  <c r="AG215" i="32494"/>
  <c r="AH215" i="32494" s="1"/>
  <c r="AG84" i="32494"/>
  <c r="AH84" i="32494" s="1"/>
  <c r="AG263" i="32494"/>
  <c r="AH263" i="32494" s="1"/>
  <c r="AG35" i="32494"/>
  <c r="AH35" i="32494" s="1"/>
  <c r="AG81" i="32494"/>
  <c r="AH81" i="32494" s="1"/>
  <c r="AG241" i="32494"/>
  <c r="AH241" i="32494" s="1"/>
  <c r="AG209" i="32494"/>
  <c r="AH209" i="32494" s="1"/>
  <c r="AH252" i="32494"/>
  <c r="AG146" i="32494"/>
  <c r="AH146" i="32494" s="1"/>
  <c r="AG180" i="32494"/>
  <c r="AH180" i="32494" s="1"/>
  <c r="AG264" i="32494"/>
  <c r="AH264" i="32494" s="1"/>
  <c r="AG79" i="32494"/>
  <c r="AH79" i="32494" s="1"/>
  <c r="AG194" i="32494"/>
  <c r="AH194" i="32494" s="1"/>
  <c r="AG240" i="32494"/>
  <c r="AH240" i="32494" s="1"/>
  <c r="AG42" i="32494"/>
  <c r="AH42" i="32494" s="1"/>
  <c r="AG239" i="32494"/>
  <c r="AH239" i="32494" s="1"/>
  <c r="AG218" i="32494"/>
  <c r="AH218" i="32494" s="1"/>
  <c r="AG182" i="32494"/>
  <c r="AH182" i="32494" s="1"/>
  <c r="AG243" i="32494"/>
  <c r="AH243" i="32494" s="1"/>
  <c r="AG100" i="32494"/>
  <c r="AH100" i="32494" s="1"/>
  <c r="AG78" i="32494"/>
  <c r="AH78" i="32494" s="1"/>
  <c r="AG88" i="32494"/>
  <c r="AH88" i="32494" s="1"/>
  <c r="AG53" i="32494"/>
  <c r="AH53" i="32494" s="1"/>
  <c r="AG261" i="32494"/>
  <c r="AH261" i="32494" s="1"/>
  <c r="AG99" i="32494"/>
  <c r="AH99" i="32494" s="1"/>
  <c r="AG295" i="32494"/>
  <c r="AH295" i="32494" s="1"/>
  <c r="AG110" i="32494"/>
  <c r="AH110" i="32494" s="1"/>
  <c r="AG283" i="32494"/>
  <c r="AH283" i="32494" s="1"/>
  <c r="AG213" i="32494"/>
  <c r="AH213" i="32494" s="1"/>
  <c r="AG33" i="32494"/>
  <c r="AH33" i="32494" s="1"/>
  <c r="AG125" i="32494"/>
  <c r="AH125" i="32494" s="1"/>
  <c r="AG98" i="32494"/>
  <c r="AH98" i="32494" s="1"/>
  <c r="AG51" i="32494"/>
  <c r="AH51" i="32494" s="1"/>
  <c r="AG300" i="32494"/>
  <c r="AH300" i="32494" s="1"/>
  <c r="AG115" i="32494"/>
  <c r="AH115" i="32494" s="1"/>
  <c r="AG143" i="32494"/>
  <c r="AH143" i="32494" s="1"/>
  <c r="AG91" i="32494"/>
  <c r="AH91" i="32494" s="1"/>
  <c r="AG65" i="32494"/>
  <c r="AH65" i="32494" s="1"/>
  <c r="AG103" i="32494"/>
  <c r="AH103" i="32494" s="1"/>
  <c r="AG102" i="32494"/>
  <c r="AH102" i="32494" s="1"/>
  <c r="AG29" i="32494"/>
  <c r="AH29" i="32494" s="1"/>
  <c r="AG49" i="32494"/>
  <c r="AH49" i="32494" s="1"/>
  <c r="AG196" i="32494"/>
  <c r="AH196" i="32494" s="1"/>
  <c r="AG37" i="32494"/>
  <c r="AH37" i="32494" s="1"/>
  <c r="AG256" i="32494"/>
  <c r="AH256" i="32494" s="1"/>
  <c r="AG126" i="32494"/>
  <c r="AH126" i="32494" s="1"/>
  <c r="AF174" i="32494"/>
  <c r="AE174" i="32494"/>
  <c r="I50" i="32488" l="1"/>
  <c r="J50" i="32488"/>
  <c r="H52" i="32488"/>
  <c r="M43" i="32458"/>
  <c r="H43" i="32458"/>
  <c r="H57" i="32488"/>
  <c r="N58" i="32488" s="1"/>
  <c r="B68" i="32488"/>
  <c r="L68" i="32488"/>
  <c r="D46" i="32458"/>
  <c r="H46" i="32458" s="1"/>
  <c r="M46" i="32458" s="1"/>
  <c r="AH174" i="32494"/>
  <c r="C102" i="32488" l="1"/>
  <c r="B8" i="32457"/>
  <c r="B8" i="32458"/>
  <c r="B14" i="32451"/>
  <c r="AT708" i="32451" l="1"/>
  <c r="AS708" i="32451"/>
  <c r="H33" i="32488" l="1"/>
  <c r="Z24" i="32451" l="1"/>
  <c r="Z21" i="32451"/>
  <c r="Z19" i="32451"/>
  <c r="Z17" i="32451"/>
  <c r="K12" i="32488"/>
  <c r="X12" i="32451" s="1"/>
  <c r="J85" i="32488" l="1"/>
  <c r="G87" i="32488"/>
  <c r="AN2" i="32497" s="1"/>
  <c r="D87" i="32488"/>
  <c r="J84" i="32488"/>
  <c r="I84" i="32488"/>
  <c r="I88" i="32488" l="1"/>
  <c r="J12" i="32488"/>
  <c r="E87" i="32488"/>
  <c r="X2" i="32497" s="1"/>
  <c r="D18" i="32458" l="1"/>
  <c r="H18" i="32458" s="1"/>
  <c r="M18" i="32458" s="1"/>
  <c r="D17" i="32458"/>
  <c r="H17" i="32458" s="1"/>
  <c r="D16" i="32458"/>
  <c r="H16" i="32458" s="1"/>
  <c r="E696" i="32451" a="1"/>
  <c r="E696" i="32451" s="1"/>
  <c r="D696" i="32451" a="1"/>
  <c r="D696" i="32451" s="1"/>
  <c r="E697" i="32451" a="1"/>
  <c r="E697" i="32451" s="1"/>
  <c r="D697" i="32451" a="1"/>
  <c r="D697" i="32451" s="1"/>
  <c r="D698" i="32451" a="1"/>
  <c r="D698" i="32451" s="1"/>
  <c r="F698" i="32451" s="1"/>
  <c r="E699" i="32451" a="1"/>
  <c r="E699" i="32451" s="1"/>
  <c r="D699" i="32451" a="1"/>
  <c r="D699" i="32451" s="1"/>
  <c r="F699" i="32451" s="1"/>
  <c r="E700" i="32451" a="1"/>
  <c r="E700" i="32451" s="1"/>
  <c r="D700" i="32451" a="1"/>
  <c r="D700" i="32451" s="1"/>
  <c r="F700" i="32451" s="1"/>
  <c r="E701" i="32451" a="1"/>
  <c r="E701" i="32451" s="1"/>
  <c r="D701" i="32451" a="1"/>
  <c r="D701" i="32451" s="1"/>
  <c r="F701" i="32451" s="1"/>
  <c r="E702" i="32451" a="1"/>
  <c r="E702" i="32451" s="1"/>
  <c r="D702" i="32451" a="1"/>
  <c r="D702" i="32451" s="1"/>
  <c r="F702" i="32451" s="1"/>
  <c r="E703" i="32451" a="1"/>
  <c r="E703" i="32451" s="1"/>
  <c r="D703" i="32451" a="1"/>
  <c r="D703" i="32451" s="1"/>
  <c r="F703" i="32451" s="1"/>
  <c r="E704" i="32451" a="1"/>
  <c r="E704" i="32451" s="1"/>
  <c r="D704" i="32451" a="1"/>
  <c r="D704" i="32451" s="1"/>
  <c r="F704" i="32451" s="1"/>
  <c r="E705" i="32451" a="1"/>
  <c r="E705" i="32451" s="1"/>
  <c r="D705" i="32451" a="1"/>
  <c r="D705" i="32451" s="1"/>
  <c r="F705" i="32451" s="1"/>
  <c r="E706" i="32451" a="1"/>
  <c r="E706" i="32451" s="1"/>
  <c r="D706" i="32451" a="1"/>
  <c r="D706" i="32451" s="1"/>
  <c r="F706" i="32451" s="1"/>
  <c r="E707" i="32451" a="1"/>
  <c r="E707" i="32451" s="1"/>
  <c r="D707" i="32451" a="1"/>
  <c r="D707" i="32451" s="1"/>
  <c r="F707" i="32451" s="1"/>
  <c r="E85" i="32451" a="1"/>
  <c r="E85" i="32451" s="1"/>
  <c r="AN34" i="32451" a="1"/>
  <c r="AN34" i="32451" s="1"/>
  <c r="AN42" i="32451" a="1"/>
  <c r="AN42" i="32451" s="1"/>
  <c r="AN51" i="32451" a="1"/>
  <c r="AN51" i="32451" s="1"/>
  <c r="AN62" i="32451" a="1"/>
  <c r="AN62" i="32451" s="1"/>
  <c r="AN74" i="32451" a="1"/>
  <c r="AN74" i="32451" s="1"/>
  <c r="AN86" i="32451" a="1"/>
  <c r="AN86" i="32451" s="1"/>
  <c r="AN98" i="32451" a="1"/>
  <c r="AN98" i="32451" s="1"/>
  <c r="AN110" i="32451" a="1"/>
  <c r="AN110" i="32451" s="1"/>
  <c r="AN122" i="32451" a="1"/>
  <c r="AN122" i="32451" s="1"/>
  <c r="AN134" i="32451" a="1"/>
  <c r="AN134" i="32451" s="1"/>
  <c r="AN146" i="32451" a="1"/>
  <c r="AN146" i="32451" s="1"/>
  <c r="AN158" i="32451" a="1"/>
  <c r="AN158" i="32451" s="1"/>
  <c r="AN170" i="32451" a="1"/>
  <c r="AN170" i="32451" s="1"/>
  <c r="AN182" i="32451" a="1"/>
  <c r="AN182" i="32451" s="1"/>
  <c r="AN194" i="32451" a="1"/>
  <c r="AN194" i="32451" s="1"/>
  <c r="AN206" i="32451" a="1"/>
  <c r="AN206" i="32451" s="1"/>
  <c r="AN218" i="32451" a="1"/>
  <c r="AN218" i="32451" s="1"/>
  <c r="AN230" i="32451" a="1"/>
  <c r="AN230" i="32451" s="1"/>
  <c r="AN242" i="32451" a="1"/>
  <c r="AN242" i="32451" s="1"/>
  <c r="AN254" i="32451" a="1"/>
  <c r="AN254" i="32451" s="1"/>
  <c r="AN266" i="32451" a="1"/>
  <c r="AN266" i="32451" s="1"/>
  <c r="AN278" i="32451" a="1"/>
  <c r="AN278" i="32451" s="1"/>
  <c r="AN290" i="32451" a="1"/>
  <c r="AN290" i="32451" s="1"/>
  <c r="AN302" i="32451" a="1"/>
  <c r="AN302" i="32451" s="1"/>
  <c r="AN314" i="32451" a="1"/>
  <c r="AN314" i="32451" s="1"/>
  <c r="AN326" i="32451" a="1"/>
  <c r="AN326" i="32451" s="1"/>
  <c r="AN338" i="32451" a="1"/>
  <c r="AN338" i="32451" s="1"/>
  <c r="AN350" i="32451" a="1"/>
  <c r="AN350" i="32451" s="1"/>
  <c r="AN362" i="32451" a="1"/>
  <c r="AN362" i="32451" s="1"/>
  <c r="AN374" i="32451" a="1"/>
  <c r="AN374" i="32451" s="1"/>
  <c r="AN386" i="32451" a="1"/>
  <c r="AN386" i="32451" s="1"/>
  <c r="AN398" i="32451" a="1"/>
  <c r="AN398" i="32451" s="1"/>
  <c r="AN410" i="32451" a="1"/>
  <c r="AN410" i="32451" s="1"/>
  <c r="AN422" i="32451" a="1"/>
  <c r="AN422" i="32451" s="1"/>
  <c r="AN434" i="32451" a="1"/>
  <c r="AN434" i="32451" s="1"/>
  <c r="AN446" i="32451" a="1"/>
  <c r="AN446" i="32451" s="1"/>
  <c r="AN458" i="32451" a="1"/>
  <c r="AN458" i="32451" s="1"/>
  <c r="AN470" i="32451" a="1"/>
  <c r="AN470" i="32451" s="1"/>
  <c r="AN482" i="32451" a="1"/>
  <c r="AN482" i="32451" s="1"/>
  <c r="AN494" i="32451" a="1"/>
  <c r="AN494" i="32451" s="1"/>
  <c r="AN506" i="32451" a="1"/>
  <c r="AN506" i="32451" s="1"/>
  <c r="AN518" i="32451" a="1"/>
  <c r="AN518" i="32451" s="1"/>
  <c r="AN530" i="32451" a="1"/>
  <c r="AN530" i="32451" s="1"/>
  <c r="AN542" i="32451" a="1"/>
  <c r="AN542" i="32451" s="1"/>
  <c r="AN554" i="32451" a="1"/>
  <c r="AN554" i="32451" s="1"/>
  <c r="AN571" i="32451" a="1"/>
  <c r="AN571" i="32451" s="1"/>
  <c r="AN580" i="32451" a="1"/>
  <c r="AN580" i="32451" s="1"/>
  <c r="AN587" i="32451" a="1"/>
  <c r="AN587" i="32451" s="1"/>
  <c r="AN596" i="32451" a="1"/>
  <c r="AN596" i="32451" s="1"/>
  <c r="AN613" i="32451" a="1"/>
  <c r="AN613" i="32451" s="1"/>
  <c r="AN621" i="32451" a="1"/>
  <c r="AN621" i="32451" s="1"/>
  <c r="AN639" i="32451" a="1"/>
  <c r="AN639" i="32451" s="1"/>
  <c r="AN646" i="32451" a="1"/>
  <c r="AN646" i="32451" s="1"/>
  <c r="AN665" i="32451" a="1"/>
  <c r="AN665" i="32451" s="1"/>
  <c r="AN672" i="32451" a="1"/>
  <c r="AN672" i="32451" s="1"/>
  <c r="AN690" i="32451" a="1"/>
  <c r="AN690" i="32451" s="1"/>
  <c r="AN698" i="32451" a="1"/>
  <c r="AN698" i="32451" s="1"/>
  <c r="AN79" i="32451" a="1"/>
  <c r="AN79" i="32451" s="1"/>
  <c r="AN91" i="32451" a="1"/>
  <c r="AN91" i="32451" s="1"/>
  <c r="AN127" i="32451" a="1"/>
  <c r="AN127" i="32451" s="1"/>
  <c r="AN175" i="32451" a="1"/>
  <c r="AN175" i="32451" s="1"/>
  <c r="AN223" i="32451" a="1"/>
  <c r="AN223" i="32451" s="1"/>
  <c r="AN271" i="32451" a="1"/>
  <c r="AN271" i="32451" s="1"/>
  <c r="AN319" i="32451" a="1"/>
  <c r="AN319" i="32451" s="1"/>
  <c r="AN379" i="32451" a="1"/>
  <c r="AN379" i="32451" s="1"/>
  <c r="AN427" i="32451" a="1"/>
  <c r="AN427" i="32451" s="1"/>
  <c r="AN475" i="32451" a="1"/>
  <c r="AN475" i="32451" s="1"/>
  <c r="AN535" i="32451" a="1"/>
  <c r="AN535" i="32451" s="1"/>
  <c r="AN583" i="32451" a="1"/>
  <c r="AN583" i="32451" s="1"/>
  <c r="AN625" i="32451" a="1"/>
  <c r="AN625" i="32451" s="1"/>
  <c r="AN164" i="32451" a="1"/>
  <c r="AN164" i="32451" s="1"/>
  <c r="AN236" i="32451" a="1"/>
  <c r="AN236" i="32451" s="1"/>
  <c r="AN332" i="32451" a="1"/>
  <c r="AN332" i="32451" s="1"/>
  <c r="AN392" i="32451" a="1"/>
  <c r="AN392" i="32451" s="1"/>
  <c r="AN452" i="32451" a="1"/>
  <c r="AN452" i="32451" s="1"/>
  <c r="AN35" i="32451" a="1"/>
  <c r="AN35" i="32451" s="1"/>
  <c r="AN43" i="32451" a="1"/>
  <c r="AN43" i="32451" s="1"/>
  <c r="AN52" i="32451" a="1"/>
  <c r="AN52" i="32451" s="1"/>
  <c r="AN63" i="32451" a="1"/>
  <c r="AN63" i="32451" s="1"/>
  <c r="AN75" i="32451" a="1"/>
  <c r="AN75" i="32451" s="1"/>
  <c r="AN87" i="32451" a="1"/>
  <c r="AN87" i="32451" s="1"/>
  <c r="AN99" i="32451" a="1"/>
  <c r="AN99" i="32451" s="1"/>
  <c r="AN111" i="32451" a="1"/>
  <c r="AN111" i="32451" s="1"/>
  <c r="AN123" i="32451" a="1"/>
  <c r="AN123" i="32451" s="1"/>
  <c r="AN135" i="32451" a="1"/>
  <c r="AN135" i="32451" s="1"/>
  <c r="AN147" i="32451" a="1"/>
  <c r="AN147" i="32451" s="1"/>
  <c r="AN159" i="32451" a="1"/>
  <c r="AN159" i="32451" s="1"/>
  <c r="AN171" i="32451" a="1"/>
  <c r="AN171" i="32451" s="1"/>
  <c r="AN183" i="32451" a="1"/>
  <c r="AN183" i="32451" s="1"/>
  <c r="AN195" i="32451" a="1"/>
  <c r="AN195" i="32451" s="1"/>
  <c r="AN207" i="32451" a="1"/>
  <c r="AN207" i="32451" s="1"/>
  <c r="AN219" i="32451" a="1"/>
  <c r="AN219" i="32451" s="1"/>
  <c r="AN231" i="32451" a="1"/>
  <c r="AN231" i="32451" s="1"/>
  <c r="AN243" i="32451" a="1"/>
  <c r="AN243" i="32451" s="1"/>
  <c r="AN255" i="32451" a="1"/>
  <c r="AN255" i="32451" s="1"/>
  <c r="AN267" i="32451" a="1"/>
  <c r="AN267" i="32451" s="1"/>
  <c r="AN279" i="32451" a="1"/>
  <c r="AN279" i="32451" s="1"/>
  <c r="AN291" i="32451" a="1"/>
  <c r="AN291" i="32451" s="1"/>
  <c r="AN303" i="32451" a="1"/>
  <c r="AN303" i="32451" s="1"/>
  <c r="AN315" i="32451" a="1"/>
  <c r="AN315" i="32451" s="1"/>
  <c r="AN327" i="32451" a="1"/>
  <c r="AN327" i="32451" s="1"/>
  <c r="AN339" i="32451" a="1"/>
  <c r="AN339" i="32451" s="1"/>
  <c r="AN351" i="32451" a="1"/>
  <c r="AN351" i="32451" s="1"/>
  <c r="AN363" i="32451" a="1"/>
  <c r="AN363" i="32451" s="1"/>
  <c r="AN375" i="32451" a="1"/>
  <c r="AN375" i="32451" s="1"/>
  <c r="AN387" i="32451" a="1"/>
  <c r="AN387" i="32451" s="1"/>
  <c r="AN399" i="32451" a="1"/>
  <c r="AN399" i="32451" s="1"/>
  <c r="AN411" i="32451" a="1"/>
  <c r="AN411" i="32451" s="1"/>
  <c r="AN423" i="32451" a="1"/>
  <c r="AN423" i="32451" s="1"/>
  <c r="AN435" i="32451" a="1"/>
  <c r="AN435" i="32451" s="1"/>
  <c r="AN447" i="32451" a="1"/>
  <c r="AN447" i="32451" s="1"/>
  <c r="AN459" i="32451" a="1"/>
  <c r="AN459" i="32451" s="1"/>
  <c r="AN471" i="32451" a="1"/>
  <c r="AN471" i="32451" s="1"/>
  <c r="AN483" i="32451" a="1"/>
  <c r="AN483" i="32451" s="1"/>
  <c r="AN495" i="32451" a="1"/>
  <c r="AN495" i="32451" s="1"/>
  <c r="AN507" i="32451" a="1"/>
  <c r="AN507" i="32451" s="1"/>
  <c r="AN519" i="32451" a="1"/>
  <c r="AN519" i="32451" s="1"/>
  <c r="AN531" i="32451" a="1"/>
  <c r="AN531" i="32451" s="1"/>
  <c r="AN543" i="32451" a="1"/>
  <c r="AN543" i="32451" s="1"/>
  <c r="AN555" i="32451" a="1"/>
  <c r="AN555" i="32451" s="1"/>
  <c r="AN562" i="32451" a="1"/>
  <c r="AN562" i="32451" s="1"/>
  <c r="AN581" i="32451" a="1"/>
  <c r="AN581" i="32451" s="1"/>
  <c r="AN588" i="32451" a="1"/>
  <c r="AN588" i="32451" s="1"/>
  <c r="AN606" i="32451" a="1"/>
  <c r="AN606" i="32451" s="1"/>
  <c r="AN614" i="32451" a="1"/>
  <c r="AN614" i="32451" s="1"/>
  <c r="AN631" i="32451" a="1"/>
  <c r="AN631" i="32451" s="1"/>
  <c r="AN640" i="32451" a="1"/>
  <c r="AN640" i="32451" s="1"/>
  <c r="AN647" i="32451" a="1"/>
  <c r="AN647" i="32451" s="1"/>
  <c r="AN656" i="32451" a="1"/>
  <c r="AN656" i="32451" s="1"/>
  <c r="AN673" i="32451" a="1"/>
  <c r="AN673" i="32451" s="1"/>
  <c r="AN681" i="32451" a="1"/>
  <c r="AN681" i="32451" s="1"/>
  <c r="AN699" i="32451" a="1"/>
  <c r="AN699" i="32451" s="1"/>
  <c r="AN706" i="32451" a="1"/>
  <c r="AN706" i="32451" s="1"/>
  <c r="AN67" i="32451" a="1"/>
  <c r="AN67" i="32451" s="1"/>
  <c r="AN115" i="32451" a="1"/>
  <c r="AN115" i="32451" s="1"/>
  <c r="AN163" i="32451" a="1"/>
  <c r="AN163" i="32451" s="1"/>
  <c r="AN211" i="32451" a="1"/>
  <c r="AN211" i="32451" s="1"/>
  <c r="AN247" i="32451" a="1"/>
  <c r="AN247" i="32451" s="1"/>
  <c r="AN283" i="32451" a="1"/>
  <c r="AN283" i="32451" s="1"/>
  <c r="AN331" i="32451" a="1"/>
  <c r="AN331" i="32451" s="1"/>
  <c r="AN367" i="32451" a="1"/>
  <c r="AN367" i="32451" s="1"/>
  <c r="AN415" i="32451" a="1"/>
  <c r="AN415" i="32451" s="1"/>
  <c r="AN463" i="32451" a="1"/>
  <c r="AN463" i="32451" s="1"/>
  <c r="AN523" i="32451" a="1"/>
  <c r="AN523" i="32451" s="1"/>
  <c r="AN558" i="32451" a="1"/>
  <c r="AN558" i="32451" s="1"/>
  <c r="AN592" i="32451" a="1"/>
  <c r="AN592" i="32451" s="1"/>
  <c r="AN658" i="32451" a="1"/>
  <c r="AN658" i="32451" s="1"/>
  <c r="AN702" i="32451" a="1"/>
  <c r="AN702" i="32451" s="1"/>
  <c r="AN68" i="32451" a="1"/>
  <c r="AN68" i="32451" s="1"/>
  <c r="AN212" i="32451" a="1"/>
  <c r="AN212" i="32451" s="1"/>
  <c r="AN260" i="32451" a="1"/>
  <c r="AN260" i="32451" s="1"/>
  <c r="AN320" i="32451" a="1"/>
  <c r="AN320" i="32451" s="1"/>
  <c r="AN380" i="32451" a="1"/>
  <c r="AN380" i="32451" s="1"/>
  <c r="AN440" i="32451" a="1"/>
  <c r="AN440" i="32451" s="1"/>
  <c r="AN53" i="32451" a="1"/>
  <c r="AN53" i="32451" s="1"/>
  <c r="AN64" i="32451" a="1"/>
  <c r="AN64" i="32451" s="1"/>
  <c r="AN76" i="32451" a="1"/>
  <c r="AN76" i="32451" s="1"/>
  <c r="AN88" i="32451" a="1"/>
  <c r="AN88" i="32451" s="1"/>
  <c r="AN100" i="32451" a="1"/>
  <c r="AN100" i="32451" s="1"/>
  <c r="AN112" i="32451" a="1"/>
  <c r="AN112" i="32451" s="1"/>
  <c r="AN124" i="32451" a="1"/>
  <c r="AN124" i="32451" s="1"/>
  <c r="AN136" i="32451" a="1"/>
  <c r="AN136" i="32451" s="1"/>
  <c r="AN148" i="32451" a="1"/>
  <c r="AN148" i="32451" s="1"/>
  <c r="AN160" i="32451" a="1"/>
  <c r="AN160" i="32451" s="1"/>
  <c r="AN172" i="32451" a="1"/>
  <c r="AN172" i="32451" s="1"/>
  <c r="AN184" i="32451" a="1"/>
  <c r="AN184" i="32451" s="1"/>
  <c r="AN196" i="32451" a="1"/>
  <c r="AN196" i="32451" s="1"/>
  <c r="AN208" i="32451" a="1"/>
  <c r="AN208" i="32451" s="1"/>
  <c r="AN220" i="32451" a="1"/>
  <c r="AN220" i="32451" s="1"/>
  <c r="AN232" i="32451" a="1"/>
  <c r="AN232" i="32451" s="1"/>
  <c r="AN244" i="32451" a="1"/>
  <c r="AN244" i="32451" s="1"/>
  <c r="AN256" i="32451" a="1"/>
  <c r="AN256" i="32451" s="1"/>
  <c r="AN268" i="32451" a="1"/>
  <c r="AN268" i="32451" s="1"/>
  <c r="AN280" i="32451" a="1"/>
  <c r="AN280" i="32451" s="1"/>
  <c r="AN292" i="32451" a="1"/>
  <c r="AN292" i="32451" s="1"/>
  <c r="AN304" i="32451" a="1"/>
  <c r="AN304" i="32451" s="1"/>
  <c r="AN316" i="32451" a="1"/>
  <c r="AN316" i="32451" s="1"/>
  <c r="AN328" i="32451" a="1"/>
  <c r="AN328" i="32451" s="1"/>
  <c r="AN340" i="32451" a="1"/>
  <c r="AN340" i="32451" s="1"/>
  <c r="AN352" i="32451" a="1"/>
  <c r="AN352" i="32451" s="1"/>
  <c r="AN364" i="32451" a="1"/>
  <c r="AN364" i="32451" s="1"/>
  <c r="AN376" i="32451" a="1"/>
  <c r="AN376" i="32451" s="1"/>
  <c r="AN388" i="32451" a="1"/>
  <c r="AN388" i="32451" s="1"/>
  <c r="AN400" i="32451" a="1"/>
  <c r="AN400" i="32451" s="1"/>
  <c r="AN412" i="32451" a="1"/>
  <c r="AN412" i="32451" s="1"/>
  <c r="AN424" i="32451" a="1"/>
  <c r="AN424" i="32451" s="1"/>
  <c r="AN436" i="32451" a="1"/>
  <c r="AN436" i="32451" s="1"/>
  <c r="AN448" i="32451" a="1"/>
  <c r="AN448" i="32451" s="1"/>
  <c r="AN460" i="32451" a="1"/>
  <c r="AN460" i="32451" s="1"/>
  <c r="AN472" i="32451" a="1"/>
  <c r="AN472" i="32451" s="1"/>
  <c r="AN484" i="32451" a="1"/>
  <c r="AN484" i="32451" s="1"/>
  <c r="AN496" i="32451" a="1"/>
  <c r="AN496" i="32451" s="1"/>
  <c r="AN508" i="32451" a="1"/>
  <c r="AN508" i="32451" s="1"/>
  <c r="AN520" i="32451" a="1"/>
  <c r="AN520" i="32451" s="1"/>
  <c r="AN532" i="32451" a="1"/>
  <c r="AN532" i="32451" s="1"/>
  <c r="AN544" i="32451" a="1"/>
  <c r="AN544" i="32451" s="1"/>
  <c r="AN556" i="32451" a="1"/>
  <c r="AN556" i="32451" s="1"/>
  <c r="AN563" i="32451" a="1"/>
  <c r="AN563" i="32451" s="1"/>
  <c r="AN572" i="32451" a="1"/>
  <c r="AN572" i="32451" s="1"/>
  <c r="AN589" i="32451" a="1"/>
  <c r="AN589" i="32451" s="1"/>
  <c r="AN597" i="32451" a="1"/>
  <c r="AN597" i="32451" s="1"/>
  <c r="AN615" i="32451" a="1"/>
  <c r="AN615" i="32451" s="1"/>
  <c r="AN622" i="32451" a="1"/>
  <c r="AN622" i="32451" s="1"/>
  <c r="AN641" i="32451" a="1"/>
  <c r="AN641" i="32451" s="1"/>
  <c r="AN648" i="32451" a="1"/>
  <c r="AN648" i="32451" s="1"/>
  <c r="AN666" i="32451" a="1"/>
  <c r="AN666" i="32451" s="1"/>
  <c r="AN674" i="32451" a="1"/>
  <c r="AN674" i="32451" s="1"/>
  <c r="AN691" i="32451" a="1"/>
  <c r="AN691" i="32451" s="1"/>
  <c r="AN700" i="32451" a="1"/>
  <c r="AN700" i="32451" s="1"/>
  <c r="AN707" i="32451" a="1"/>
  <c r="AN707" i="32451" s="1"/>
  <c r="AN56" i="32451" a="1"/>
  <c r="AN56" i="32451" s="1"/>
  <c r="AN139" i="32451" a="1"/>
  <c r="AN139" i="32451" s="1"/>
  <c r="AN187" i="32451" a="1"/>
  <c r="AN187" i="32451" s="1"/>
  <c r="AN235" i="32451" a="1"/>
  <c r="AN235" i="32451" s="1"/>
  <c r="AN295" i="32451" a="1"/>
  <c r="AN295" i="32451" s="1"/>
  <c r="AN355" i="32451" a="1"/>
  <c r="AN355" i="32451" s="1"/>
  <c r="AN391" i="32451" a="1"/>
  <c r="AN391" i="32451" s="1"/>
  <c r="AN439" i="32451" a="1"/>
  <c r="AN439" i="32451" s="1"/>
  <c r="AN499" i="32451" a="1"/>
  <c r="AN499" i="32451" s="1"/>
  <c r="AN547" i="32451" a="1"/>
  <c r="AN547" i="32451" s="1"/>
  <c r="AN599" i="32451" a="1"/>
  <c r="AN599" i="32451" s="1"/>
  <c r="AN633" i="32451" a="1"/>
  <c r="AN633" i="32451" s="1"/>
  <c r="AN684" i="32451" a="1"/>
  <c r="AN684" i="32451" s="1"/>
  <c r="AN80" i="32451" a="1"/>
  <c r="AN80" i="32451" s="1"/>
  <c r="AN176" i="32451" a="1"/>
  <c r="AN176" i="32451" s="1"/>
  <c r="AN284" i="32451" a="1"/>
  <c r="AN284" i="32451" s="1"/>
  <c r="AN344" i="32451" a="1"/>
  <c r="AN344" i="32451" s="1"/>
  <c r="AN404" i="32451" a="1"/>
  <c r="AN404" i="32451" s="1"/>
  <c r="AN476" i="32451" a="1"/>
  <c r="AN476" i="32451" s="1"/>
  <c r="AN36" i="32451" a="1"/>
  <c r="AN36" i="32451" s="1"/>
  <c r="AN44" i="32451" a="1"/>
  <c r="AN44" i="32451" s="1"/>
  <c r="AN54" i="32451" a="1"/>
  <c r="AN54" i="32451" s="1"/>
  <c r="AN65" i="32451" a="1"/>
  <c r="AN65" i="32451" s="1"/>
  <c r="AN77" i="32451" a="1"/>
  <c r="AN77" i="32451" s="1"/>
  <c r="AN89" i="32451" a="1"/>
  <c r="AN89" i="32451" s="1"/>
  <c r="AN101" i="32451" a="1"/>
  <c r="AN101" i="32451" s="1"/>
  <c r="AN113" i="32451" a="1"/>
  <c r="AN113" i="32451" s="1"/>
  <c r="AN125" i="32451" a="1"/>
  <c r="AN125" i="32451" s="1"/>
  <c r="AN137" i="32451" a="1"/>
  <c r="AN137" i="32451" s="1"/>
  <c r="AN149" i="32451" a="1"/>
  <c r="AN149" i="32451" s="1"/>
  <c r="AN161" i="32451" a="1"/>
  <c r="AN161" i="32451" s="1"/>
  <c r="AN173" i="32451" a="1"/>
  <c r="AN173" i="32451" s="1"/>
  <c r="AN185" i="32451" a="1"/>
  <c r="AN185" i="32451" s="1"/>
  <c r="AN197" i="32451" a="1"/>
  <c r="AN197" i="32451" s="1"/>
  <c r="AN209" i="32451" a="1"/>
  <c r="AN209" i="32451" s="1"/>
  <c r="AN221" i="32451" a="1"/>
  <c r="AN221" i="32451" s="1"/>
  <c r="AN233" i="32451" a="1"/>
  <c r="AN233" i="32451" s="1"/>
  <c r="AN245" i="32451" a="1"/>
  <c r="AN245" i="32451" s="1"/>
  <c r="AN257" i="32451" a="1"/>
  <c r="AN257" i="32451" s="1"/>
  <c r="AN269" i="32451" a="1"/>
  <c r="AN269" i="32451" s="1"/>
  <c r="AN281" i="32451" a="1"/>
  <c r="AN281" i="32451" s="1"/>
  <c r="AN293" i="32451" a="1"/>
  <c r="AN293" i="32451" s="1"/>
  <c r="AN305" i="32451" a="1"/>
  <c r="AN305" i="32451" s="1"/>
  <c r="AN317" i="32451" a="1"/>
  <c r="AN317" i="32451" s="1"/>
  <c r="AN329" i="32451" a="1"/>
  <c r="AN329" i="32451" s="1"/>
  <c r="AN341" i="32451" a="1"/>
  <c r="AN341" i="32451" s="1"/>
  <c r="AN353" i="32451" a="1"/>
  <c r="AN353" i="32451" s="1"/>
  <c r="AN365" i="32451" a="1"/>
  <c r="AN365" i="32451" s="1"/>
  <c r="AN377" i="32451" a="1"/>
  <c r="AN377" i="32451" s="1"/>
  <c r="AN389" i="32451" a="1"/>
  <c r="AN389" i="32451" s="1"/>
  <c r="AN401" i="32451" a="1"/>
  <c r="AN401" i="32451" s="1"/>
  <c r="AN413" i="32451" a="1"/>
  <c r="AN413" i="32451" s="1"/>
  <c r="AN425" i="32451" a="1"/>
  <c r="AN425" i="32451" s="1"/>
  <c r="AN437" i="32451" a="1"/>
  <c r="AN437" i="32451" s="1"/>
  <c r="AN449" i="32451" a="1"/>
  <c r="AN449" i="32451" s="1"/>
  <c r="AN461" i="32451" a="1"/>
  <c r="AN461" i="32451" s="1"/>
  <c r="AN473" i="32451" a="1"/>
  <c r="AN473" i="32451" s="1"/>
  <c r="AN485" i="32451" a="1"/>
  <c r="AN485" i="32451" s="1"/>
  <c r="AN497" i="32451" a="1"/>
  <c r="AN497" i="32451" s="1"/>
  <c r="AN509" i="32451" a="1"/>
  <c r="AN509" i="32451" s="1"/>
  <c r="AN521" i="32451" a="1"/>
  <c r="AN521" i="32451" s="1"/>
  <c r="AN533" i="32451" a="1"/>
  <c r="AN533" i="32451" s="1"/>
  <c r="AN545" i="32451" a="1"/>
  <c r="AN545" i="32451" s="1"/>
  <c r="AN557" i="32451" a="1"/>
  <c r="AN557" i="32451" s="1"/>
  <c r="AN564" i="32451" a="1"/>
  <c r="AN564" i="32451" s="1"/>
  <c r="AN582" i="32451" a="1"/>
  <c r="AN582" i="32451" s="1"/>
  <c r="AN590" i="32451" a="1"/>
  <c r="AN590" i="32451" s="1"/>
  <c r="AN607" i="32451" a="1"/>
  <c r="AN607" i="32451" s="1"/>
  <c r="AN616" i="32451" a="1"/>
  <c r="AN616" i="32451" s="1"/>
  <c r="AN623" i="32451" a="1"/>
  <c r="AN623" i="32451" s="1"/>
  <c r="AN632" i="32451" a="1"/>
  <c r="AN632" i="32451" s="1"/>
  <c r="AN649" i="32451" a="1"/>
  <c r="AN649" i="32451" s="1"/>
  <c r="AN657" i="32451" a="1"/>
  <c r="AN657" i="32451" s="1"/>
  <c r="AN675" i="32451" a="1"/>
  <c r="AN675" i="32451" s="1"/>
  <c r="AN682" i="32451" a="1"/>
  <c r="AN682" i="32451" s="1"/>
  <c r="AN701" i="32451" a="1"/>
  <c r="AN701" i="32451" s="1"/>
  <c r="AN708" i="32451" a="1"/>
  <c r="AN708" i="32451" s="1"/>
  <c r="AN103" i="32451" a="1"/>
  <c r="AN103" i="32451" s="1"/>
  <c r="AN151" i="32451" a="1"/>
  <c r="AN151" i="32451" s="1"/>
  <c r="AN199" i="32451" a="1"/>
  <c r="AN199" i="32451" s="1"/>
  <c r="AN259" i="32451" a="1"/>
  <c r="AN259" i="32451" s="1"/>
  <c r="AN307" i="32451" a="1"/>
  <c r="AN307" i="32451" s="1"/>
  <c r="AN343" i="32451" a="1"/>
  <c r="AN343" i="32451" s="1"/>
  <c r="AN403" i="32451" a="1"/>
  <c r="AN403" i="32451" s="1"/>
  <c r="AN451" i="32451" a="1"/>
  <c r="AN451" i="32451" s="1"/>
  <c r="AN511" i="32451" a="1"/>
  <c r="AN511" i="32451" s="1"/>
  <c r="AN566" i="32451" a="1"/>
  <c r="AN566" i="32451" s="1"/>
  <c r="AN608" i="32451" a="1"/>
  <c r="AN608" i="32451" s="1"/>
  <c r="AN651" i="32451" a="1"/>
  <c r="AN651" i="32451" s="1"/>
  <c r="AN57" i="32451" a="1"/>
  <c r="AN57" i="32451" s="1"/>
  <c r="AN188" i="32451" a="1"/>
  <c r="AN188" i="32451" s="1"/>
  <c r="AN248" i="32451" a="1"/>
  <c r="AN248" i="32451" s="1"/>
  <c r="AN296" i="32451" a="1"/>
  <c r="AN296" i="32451" s="1"/>
  <c r="AN356" i="32451" a="1"/>
  <c r="AN356" i="32451" s="1"/>
  <c r="AN416" i="32451" a="1"/>
  <c r="AN416" i="32451" s="1"/>
  <c r="AN488" i="32451" a="1"/>
  <c r="AN488" i="32451" s="1"/>
  <c r="AN45" i="32451" a="1"/>
  <c r="AN45" i="32451" s="1"/>
  <c r="AN55" i="32451" a="1"/>
  <c r="AN55" i="32451" s="1"/>
  <c r="AN66" i="32451" a="1"/>
  <c r="AN66" i="32451" s="1"/>
  <c r="AN78" i="32451" a="1"/>
  <c r="AN78" i="32451" s="1"/>
  <c r="AN90" i="32451" a="1"/>
  <c r="AN90" i="32451" s="1"/>
  <c r="AN102" i="32451" a="1"/>
  <c r="AN102" i="32451" s="1"/>
  <c r="AN114" i="32451" a="1"/>
  <c r="AN114" i="32451" s="1"/>
  <c r="AN126" i="32451" a="1"/>
  <c r="AN126" i="32451" s="1"/>
  <c r="AN138" i="32451" a="1"/>
  <c r="AN138" i="32451" s="1"/>
  <c r="AN150" i="32451" a="1"/>
  <c r="AN150" i="32451" s="1"/>
  <c r="AN162" i="32451" a="1"/>
  <c r="AN162" i="32451" s="1"/>
  <c r="AN174" i="32451" a="1"/>
  <c r="AN174" i="32451" s="1"/>
  <c r="AN186" i="32451" a="1"/>
  <c r="AN186" i="32451" s="1"/>
  <c r="AN198" i="32451" a="1"/>
  <c r="AN198" i="32451" s="1"/>
  <c r="AN210" i="32451" a="1"/>
  <c r="AN210" i="32451" s="1"/>
  <c r="AN222" i="32451" a="1"/>
  <c r="AN222" i="32451" s="1"/>
  <c r="AN234" i="32451" a="1"/>
  <c r="AN234" i="32451" s="1"/>
  <c r="AN246" i="32451" a="1"/>
  <c r="AN246" i="32451" s="1"/>
  <c r="AN258" i="32451" a="1"/>
  <c r="AN258" i="32451" s="1"/>
  <c r="AN270" i="32451" a="1"/>
  <c r="AN270" i="32451" s="1"/>
  <c r="AN282" i="32451" a="1"/>
  <c r="AN282" i="32451" s="1"/>
  <c r="AN294" i="32451" a="1"/>
  <c r="AN294" i="32451" s="1"/>
  <c r="AN306" i="32451" a="1"/>
  <c r="AN306" i="32451" s="1"/>
  <c r="AN318" i="32451" a="1"/>
  <c r="AN318" i="32451" s="1"/>
  <c r="AN330" i="32451" a="1"/>
  <c r="AN330" i="32451" s="1"/>
  <c r="AN342" i="32451" a="1"/>
  <c r="AN342" i="32451" s="1"/>
  <c r="AN354" i="32451" a="1"/>
  <c r="AN354" i="32451" s="1"/>
  <c r="AN366" i="32451" a="1"/>
  <c r="AN366" i="32451" s="1"/>
  <c r="AN378" i="32451" a="1"/>
  <c r="AN378" i="32451" s="1"/>
  <c r="AN390" i="32451" a="1"/>
  <c r="AN390" i="32451" s="1"/>
  <c r="AN402" i="32451" a="1"/>
  <c r="AN402" i="32451" s="1"/>
  <c r="AN414" i="32451" a="1"/>
  <c r="AN414" i="32451" s="1"/>
  <c r="AN426" i="32451" a="1"/>
  <c r="AN426" i="32451" s="1"/>
  <c r="AN438" i="32451" a="1"/>
  <c r="AN438" i="32451" s="1"/>
  <c r="AN450" i="32451" a="1"/>
  <c r="AN450" i="32451" s="1"/>
  <c r="AN462" i="32451" a="1"/>
  <c r="AN462" i="32451" s="1"/>
  <c r="AN474" i="32451" a="1"/>
  <c r="AN474" i="32451" s="1"/>
  <c r="AN486" i="32451" a="1"/>
  <c r="AN486" i="32451" s="1"/>
  <c r="AN498" i="32451" a="1"/>
  <c r="AN498" i="32451" s="1"/>
  <c r="AN510" i="32451" a="1"/>
  <c r="AN510" i="32451" s="1"/>
  <c r="AN522" i="32451" a="1"/>
  <c r="AN522" i="32451" s="1"/>
  <c r="AN534" i="32451" a="1"/>
  <c r="AN534" i="32451" s="1"/>
  <c r="AN546" i="32451" a="1"/>
  <c r="AN546" i="32451" s="1"/>
  <c r="AN565" i="32451" a="1"/>
  <c r="AN565" i="32451" s="1"/>
  <c r="AN573" i="32451" a="1"/>
  <c r="AN573" i="32451" s="1"/>
  <c r="AN591" i="32451" a="1"/>
  <c r="AN591" i="32451" s="1"/>
  <c r="AN598" i="32451" a="1"/>
  <c r="AN598" i="32451" s="1"/>
  <c r="AN617" i="32451" a="1"/>
  <c r="AN617" i="32451" s="1"/>
  <c r="AN624" i="32451" a="1"/>
  <c r="AN624" i="32451" s="1"/>
  <c r="AN642" i="32451" a="1"/>
  <c r="AN642" i="32451" s="1"/>
  <c r="AN650" i="32451" a="1"/>
  <c r="AN650" i="32451" s="1"/>
  <c r="AN667" i="32451" a="1"/>
  <c r="AN667" i="32451" s="1"/>
  <c r="AN676" i="32451" a="1"/>
  <c r="AN676" i="32451" s="1"/>
  <c r="AN683" i="32451" a="1"/>
  <c r="AN683" i="32451" s="1"/>
  <c r="AN692" i="32451" a="1"/>
  <c r="AN692" i="32451" s="1"/>
  <c r="AN33" i="32451" a="1"/>
  <c r="AN33" i="32451" s="1"/>
  <c r="AN37" i="32451" a="1"/>
  <c r="AN37" i="32451" s="1"/>
  <c r="AN487" i="32451" a="1"/>
  <c r="AN487" i="32451" s="1"/>
  <c r="AN677" i="32451" a="1"/>
  <c r="AN677" i="32451" s="1"/>
  <c r="AN46" i="32451" a="1"/>
  <c r="AN46" i="32451" s="1"/>
  <c r="AN92" i="32451" a="1"/>
  <c r="AN92" i="32451" s="1"/>
  <c r="AN104" i="32451" a="1"/>
  <c r="AN104" i="32451" s="1"/>
  <c r="AN116" i="32451" a="1"/>
  <c r="AN116" i="32451" s="1"/>
  <c r="AN128" i="32451" a="1"/>
  <c r="AN128" i="32451" s="1"/>
  <c r="AN140" i="32451" a="1"/>
  <c r="AN140" i="32451" s="1"/>
  <c r="AN152" i="32451" a="1"/>
  <c r="AN152" i="32451" s="1"/>
  <c r="AN200" i="32451" a="1"/>
  <c r="AN200" i="32451" s="1"/>
  <c r="AN224" i="32451" a="1"/>
  <c r="AN224" i="32451" s="1"/>
  <c r="AN272" i="32451" a="1"/>
  <c r="AN272" i="32451" s="1"/>
  <c r="AN308" i="32451" a="1"/>
  <c r="AN308" i="32451" s="1"/>
  <c r="AN368" i="32451" a="1"/>
  <c r="AN368" i="32451" s="1"/>
  <c r="AN428" i="32451" a="1"/>
  <c r="AN428" i="32451" s="1"/>
  <c r="AN464" i="32451" a="1"/>
  <c r="AN464" i="32451" s="1"/>
  <c r="AN512" i="32451" a="1"/>
  <c r="AN512" i="32451" s="1"/>
  <c r="AN536" i="32451" a="1"/>
  <c r="AN536" i="32451" s="1"/>
  <c r="AN38" i="32451" a="1"/>
  <c r="AN38" i="32451" s="1"/>
  <c r="AN39" i="32451" a="1"/>
  <c r="AN39" i="32451" s="1"/>
  <c r="AN40" i="32451" a="1"/>
  <c r="AN40" i="32451" s="1"/>
  <c r="AN41" i="32451" a="1"/>
  <c r="AN41" i="32451" s="1"/>
  <c r="AN70" i="32451" a="1"/>
  <c r="AN70" i="32451" s="1"/>
  <c r="AN96" i="32451" a="1"/>
  <c r="AN96" i="32451" s="1"/>
  <c r="AN129" i="32451" a="1"/>
  <c r="AN129" i="32451" s="1"/>
  <c r="AN155" i="32451" a="1"/>
  <c r="AN155" i="32451" s="1"/>
  <c r="AN181" i="32451" a="1"/>
  <c r="AN181" i="32451" s="1"/>
  <c r="AN214" i="32451" a="1"/>
  <c r="AN214" i="32451" s="1"/>
  <c r="AN240" i="32451" a="1"/>
  <c r="AN240" i="32451" s="1"/>
  <c r="AN273" i="32451" a="1"/>
  <c r="AN273" i="32451" s="1"/>
  <c r="AN299" i="32451" a="1"/>
  <c r="AN299" i="32451" s="1"/>
  <c r="AN325" i="32451" a="1"/>
  <c r="AN325" i="32451" s="1"/>
  <c r="AN358" i="32451" a="1"/>
  <c r="AN358" i="32451" s="1"/>
  <c r="AN384" i="32451" a="1"/>
  <c r="AN384" i="32451" s="1"/>
  <c r="AN417" i="32451" a="1"/>
  <c r="AN417" i="32451" s="1"/>
  <c r="AN443" i="32451" a="1"/>
  <c r="AN443" i="32451" s="1"/>
  <c r="AN469" i="32451" a="1"/>
  <c r="AN469" i="32451" s="1"/>
  <c r="AN501" i="32451" a="1"/>
  <c r="AN501" i="32451" s="1"/>
  <c r="AN526" i="32451" a="1"/>
  <c r="AN526" i="32451" s="1"/>
  <c r="AN551" i="32451" a="1"/>
  <c r="AN551" i="32451" s="1"/>
  <c r="AN585" i="32451" a="1"/>
  <c r="AN585" i="32451" s="1"/>
  <c r="AN603" i="32451" a="1"/>
  <c r="AN603" i="32451" s="1"/>
  <c r="AN636" i="32451" a="1"/>
  <c r="AN636" i="32451" s="1"/>
  <c r="AN654" i="32451" a="1"/>
  <c r="AN654" i="32451" s="1"/>
  <c r="AN688" i="32451" a="1"/>
  <c r="AN688" i="32451" s="1"/>
  <c r="AN704" i="32451" a="1"/>
  <c r="AN704" i="32451" s="1"/>
  <c r="AN47" i="32451" a="1"/>
  <c r="AN47" i="32451" s="1"/>
  <c r="AN71" i="32451" a="1"/>
  <c r="AN71" i="32451" s="1"/>
  <c r="AN97" i="32451" a="1"/>
  <c r="AN97" i="32451" s="1"/>
  <c r="AN130" i="32451" a="1"/>
  <c r="AN130" i="32451" s="1"/>
  <c r="AN156" i="32451" a="1"/>
  <c r="AN156" i="32451" s="1"/>
  <c r="AN189" i="32451" a="1"/>
  <c r="AN189" i="32451" s="1"/>
  <c r="AN215" i="32451" a="1"/>
  <c r="AN215" i="32451" s="1"/>
  <c r="AN241" i="32451" a="1"/>
  <c r="AN241" i="32451" s="1"/>
  <c r="AN274" i="32451" a="1"/>
  <c r="AN274" i="32451" s="1"/>
  <c r="AN300" i="32451" a="1"/>
  <c r="AN300" i="32451" s="1"/>
  <c r="AN333" i="32451" a="1"/>
  <c r="AN333" i="32451" s="1"/>
  <c r="AN359" i="32451" a="1"/>
  <c r="AN359" i="32451" s="1"/>
  <c r="AN385" i="32451" a="1"/>
  <c r="AN385" i="32451" s="1"/>
  <c r="AN418" i="32451" a="1"/>
  <c r="AN418" i="32451" s="1"/>
  <c r="AN444" i="32451" a="1"/>
  <c r="AN444" i="32451" s="1"/>
  <c r="AN477" i="32451" a="1"/>
  <c r="AN477" i="32451" s="1"/>
  <c r="AN502" i="32451" a="1"/>
  <c r="AN502" i="32451" s="1"/>
  <c r="AN527" i="32451" a="1"/>
  <c r="AN527" i="32451" s="1"/>
  <c r="AN552" i="32451" a="1"/>
  <c r="AN552" i="32451" s="1"/>
  <c r="AN570" i="32451" a="1"/>
  <c r="AN570" i="32451" s="1"/>
  <c r="AN604" i="32451" a="1"/>
  <c r="AN604" i="32451" s="1"/>
  <c r="AN620" i="32451" a="1"/>
  <c r="AN620" i="32451" s="1"/>
  <c r="AN637" i="32451" a="1"/>
  <c r="AN637" i="32451" s="1"/>
  <c r="AN670" i="32451" a="1"/>
  <c r="AN670" i="32451" s="1"/>
  <c r="AN689" i="32451" a="1"/>
  <c r="AN689" i="32451" s="1"/>
  <c r="AN48" i="32451" a="1"/>
  <c r="AN48" i="32451" s="1"/>
  <c r="AN72" i="32451" a="1"/>
  <c r="AN72" i="32451" s="1"/>
  <c r="AN105" i="32451" a="1"/>
  <c r="AN105" i="32451" s="1"/>
  <c r="AN131" i="32451" a="1"/>
  <c r="AN131" i="32451" s="1"/>
  <c r="AN157" i="32451" a="1"/>
  <c r="AN157" i="32451" s="1"/>
  <c r="AN190" i="32451" a="1"/>
  <c r="AN190" i="32451" s="1"/>
  <c r="AN216" i="32451" a="1"/>
  <c r="AN216" i="32451" s="1"/>
  <c r="AN249" i="32451" a="1"/>
  <c r="AN249" i="32451" s="1"/>
  <c r="AN275" i="32451" a="1"/>
  <c r="AN275" i="32451" s="1"/>
  <c r="AN301" i="32451" a="1"/>
  <c r="AN301" i="32451" s="1"/>
  <c r="AN334" i="32451" a="1"/>
  <c r="AN334" i="32451" s="1"/>
  <c r="AN360" i="32451" a="1"/>
  <c r="AN360" i="32451" s="1"/>
  <c r="AN393" i="32451" a="1"/>
  <c r="AN393" i="32451" s="1"/>
  <c r="AN419" i="32451" a="1"/>
  <c r="AN419" i="32451" s="1"/>
  <c r="AN445" i="32451" a="1"/>
  <c r="AN445" i="32451" s="1"/>
  <c r="AN478" i="32451" a="1"/>
  <c r="AN478" i="32451" s="1"/>
  <c r="AN503" i="32451" a="1"/>
  <c r="AN503" i="32451" s="1"/>
  <c r="AN528" i="32451" a="1"/>
  <c r="AN528" i="32451" s="1"/>
  <c r="AN553" i="32451" a="1"/>
  <c r="AN553" i="32451" s="1"/>
  <c r="AN586" i="32451" a="1"/>
  <c r="AN586" i="32451" s="1"/>
  <c r="AN605" i="32451" a="1"/>
  <c r="AN605" i="32451" s="1"/>
  <c r="AN638" i="32451" a="1"/>
  <c r="AN638" i="32451" s="1"/>
  <c r="AN655" i="32451" a="1"/>
  <c r="AN655" i="32451" s="1"/>
  <c r="AN671" i="32451" a="1"/>
  <c r="AN671" i="32451" s="1"/>
  <c r="AN705" i="32451" a="1"/>
  <c r="AN705" i="32451" s="1"/>
  <c r="AN49" i="32451" a="1"/>
  <c r="AN49" i="32451" s="1"/>
  <c r="AN50" i="32451" a="1"/>
  <c r="AN50" i="32451" s="1"/>
  <c r="AN84" i="32451" a="1"/>
  <c r="AN84" i="32451" s="1"/>
  <c r="AN120" i="32451" a="1"/>
  <c r="AN120" i="32451" s="1"/>
  <c r="AN166" i="32451" a="1"/>
  <c r="AN166" i="32451" s="1"/>
  <c r="AN202" i="32451" a="1"/>
  <c r="AN202" i="32451" s="1"/>
  <c r="AN238" i="32451" a="1"/>
  <c r="AN238" i="32451" s="1"/>
  <c r="AN277" i="32451" a="1"/>
  <c r="AN277" i="32451" s="1"/>
  <c r="AN313" i="32451" a="1"/>
  <c r="AN313" i="32451" s="1"/>
  <c r="AN349" i="32451" a="1"/>
  <c r="AN349" i="32451" s="1"/>
  <c r="AN431" i="32451" a="1"/>
  <c r="AN431" i="32451" s="1"/>
  <c r="AN95" i="32451" a="1"/>
  <c r="AN95" i="32451" s="1"/>
  <c r="AN687" i="32451" a="1"/>
  <c r="AN687" i="32451" s="1"/>
  <c r="AN217" i="32451" a="1"/>
  <c r="AN217" i="32451" s="1"/>
  <c r="AN489" i="32451" a="1"/>
  <c r="AN489" i="32451" s="1"/>
  <c r="AN693" i="32451" a="1"/>
  <c r="AN693" i="32451" s="1"/>
  <c r="AN143" i="32451" a="1"/>
  <c r="AN143" i="32451" s="1"/>
  <c r="AN261" i="32451" a="1"/>
  <c r="AN261" i="32451" s="1"/>
  <c r="AN454" i="32451" a="1"/>
  <c r="AN454" i="32451" s="1"/>
  <c r="AN559" i="32451" a="1"/>
  <c r="AN559" i="32451" s="1"/>
  <c r="AN69" i="32451" a="1"/>
  <c r="AN69" i="32451" s="1"/>
  <c r="AN337" i="32451" a="1"/>
  <c r="AN337" i="32451" s="1"/>
  <c r="AN579" i="32451" a="1"/>
  <c r="AN579" i="32451" s="1"/>
  <c r="AN73" i="32451" a="1"/>
  <c r="AN73" i="32451" s="1"/>
  <c r="AN263" i="32451" a="1"/>
  <c r="AN263" i="32451" s="1"/>
  <c r="AN456" i="32451" a="1"/>
  <c r="AN456" i="32451" s="1"/>
  <c r="AN81" i="32451" a="1"/>
  <c r="AN81" i="32451" s="1"/>
  <c r="AN264" i="32451" a="1"/>
  <c r="AN264" i="32451" s="1"/>
  <c r="AN457" i="32451" a="1"/>
  <c r="AN457" i="32451" s="1"/>
  <c r="AN584" i="32451" a="1"/>
  <c r="AN584" i="32451" s="1"/>
  <c r="AN696" i="32451" a="1"/>
  <c r="AN696" i="32451" s="1"/>
  <c r="AN85" i="32451" a="1"/>
  <c r="AN85" i="32451" s="1"/>
  <c r="AN121" i="32451" a="1"/>
  <c r="AN121" i="32451" s="1"/>
  <c r="AN167" i="32451" a="1"/>
  <c r="AN167" i="32451" s="1"/>
  <c r="AN203" i="32451" a="1"/>
  <c r="AN203" i="32451" s="1"/>
  <c r="AN239" i="32451" a="1"/>
  <c r="AN239" i="32451" s="1"/>
  <c r="AN285" i="32451" a="1"/>
  <c r="AN285" i="32451" s="1"/>
  <c r="AN321" i="32451" a="1"/>
  <c r="AN321" i="32451" s="1"/>
  <c r="AN357" i="32451" a="1"/>
  <c r="AN357" i="32451" s="1"/>
  <c r="AN396" i="32451" a="1"/>
  <c r="AN396" i="32451" s="1"/>
  <c r="AN432" i="32451" a="1"/>
  <c r="AN432" i="32451" s="1"/>
  <c r="AN468" i="32451" a="1"/>
  <c r="AN468" i="32451" s="1"/>
  <c r="AN513" i="32451" a="1"/>
  <c r="AN513" i="32451" s="1"/>
  <c r="AN569" i="32451" a="1"/>
  <c r="AN569" i="32451" s="1"/>
  <c r="AN612" i="32451" a="1"/>
  <c r="AN612" i="32451" s="1"/>
  <c r="AN661" i="32451" a="1"/>
  <c r="AN661" i="32451" s="1"/>
  <c r="AN141" i="32451" a="1"/>
  <c r="AN141" i="32451" s="1"/>
  <c r="AN252" i="32451" a="1"/>
  <c r="AN252" i="32451" s="1"/>
  <c r="AN442" i="32451" a="1"/>
  <c r="AN442" i="32451" s="1"/>
  <c r="AN576" i="32451" a="1"/>
  <c r="AN576" i="32451" s="1"/>
  <c r="AN60" i="32451" a="1"/>
  <c r="AN60" i="32451" s="1"/>
  <c r="AN253" i="32451" a="1"/>
  <c r="AN253" i="32451" s="1"/>
  <c r="AN407" i="32451" a="1"/>
  <c r="AN407" i="32451" s="1"/>
  <c r="AN577" i="32451" a="1"/>
  <c r="AN577" i="32451" s="1"/>
  <c r="AN107" i="32451" a="1"/>
  <c r="AN107" i="32451" s="1"/>
  <c r="AN297" i="32451" a="1"/>
  <c r="AN297" i="32451" s="1"/>
  <c r="AN490" i="32451" a="1"/>
  <c r="AN490" i="32451" s="1"/>
  <c r="AN645" i="32451" a="1"/>
  <c r="AN645" i="32451" s="1"/>
  <c r="AN226" i="32451" a="1"/>
  <c r="AN226" i="32451" s="1"/>
  <c r="AN409" i="32451" a="1"/>
  <c r="AN409" i="32451" s="1"/>
  <c r="AN602" i="32451" a="1"/>
  <c r="AN602" i="32451" s="1"/>
  <c r="AN694" i="32451" a="1"/>
  <c r="AN694" i="32451" s="1"/>
  <c r="AN109" i="32451" a="1"/>
  <c r="AN109" i="32451" s="1"/>
  <c r="AN309" i="32451" a="1"/>
  <c r="AN309" i="32451" s="1"/>
  <c r="AN560" i="32451" a="1"/>
  <c r="AN560" i="32451" s="1"/>
  <c r="AN153" i="32451" a="1"/>
  <c r="AN153" i="32451" s="1"/>
  <c r="AN421" i="32451" a="1"/>
  <c r="AN421" i="32451" s="1"/>
  <c r="AN609" i="32451" a="1"/>
  <c r="AN609" i="32451" s="1"/>
  <c r="AN93" i="32451" a="1"/>
  <c r="AN93" i="32451" s="1"/>
  <c r="AN132" i="32451" a="1"/>
  <c r="AN132" i="32451" s="1"/>
  <c r="AN168" i="32451" a="1"/>
  <c r="AN168" i="32451" s="1"/>
  <c r="AN204" i="32451" a="1"/>
  <c r="AN204" i="32451" s="1"/>
  <c r="AN250" i="32451" a="1"/>
  <c r="AN250" i="32451" s="1"/>
  <c r="AN286" i="32451" a="1"/>
  <c r="AN286" i="32451" s="1"/>
  <c r="AN322" i="32451" a="1"/>
  <c r="AN322" i="32451" s="1"/>
  <c r="AN361" i="32451" a="1"/>
  <c r="AN361" i="32451" s="1"/>
  <c r="AN397" i="32451" a="1"/>
  <c r="AN397" i="32451" s="1"/>
  <c r="AN433" i="32451" a="1"/>
  <c r="AN433" i="32451" s="1"/>
  <c r="AN479" i="32451" a="1"/>
  <c r="AN479" i="32451" s="1"/>
  <c r="AN514" i="32451" a="1"/>
  <c r="AN514" i="32451" s="1"/>
  <c r="AN548" i="32451" a="1"/>
  <c r="AN548" i="32451" s="1"/>
  <c r="AN574" i="32451" a="1"/>
  <c r="AN574" i="32451" s="1"/>
  <c r="AN618" i="32451" a="1"/>
  <c r="AN618" i="32451" s="1"/>
  <c r="AN643" i="32451" a="1"/>
  <c r="AN643" i="32451" s="1"/>
  <c r="AN685" i="32451" a="1"/>
  <c r="AN685" i="32451" s="1"/>
  <c r="AN213" i="32451" a="1"/>
  <c r="AN213" i="32451" s="1"/>
  <c r="AN370" i="32451" a="1"/>
  <c r="AN370" i="32451" s="1"/>
  <c r="AN516" i="32451" a="1"/>
  <c r="AN516" i="32451" s="1"/>
  <c r="AN664" i="32451" a="1"/>
  <c r="AN664" i="32451" s="1"/>
  <c r="AN178" i="32451" a="1"/>
  <c r="AN178" i="32451" s="1"/>
  <c r="AN371" i="32451" a="1"/>
  <c r="AN371" i="32451" s="1"/>
  <c r="AN626" i="32451" a="1"/>
  <c r="AN626" i="32451" s="1"/>
  <c r="AN61" i="32451" a="1"/>
  <c r="AN61" i="32451" s="1"/>
  <c r="AN408" i="32451" a="1"/>
  <c r="AN408" i="32451" s="1"/>
  <c r="AN578" i="32451" a="1"/>
  <c r="AN578" i="32451" s="1"/>
  <c r="AN144" i="32451" a="1"/>
  <c r="AN144" i="32451" s="1"/>
  <c r="AN262" i="32451" a="1"/>
  <c r="AN262" i="32451" s="1"/>
  <c r="AN455" i="32451" a="1"/>
  <c r="AN455" i="32451" s="1"/>
  <c r="AN628" i="32451" a="1"/>
  <c r="AN628" i="32451" s="1"/>
  <c r="AN145" i="32451" a="1"/>
  <c r="AN145" i="32451" s="1"/>
  <c r="AN345" i="32451" a="1"/>
  <c r="AN345" i="32451" s="1"/>
  <c r="AN695" i="32451" a="1"/>
  <c r="AN695" i="32451" s="1"/>
  <c r="AN228" i="32451" a="1"/>
  <c r="AN228" i="32451" s="1"/>
  <c r="AN382" i="32451" a="1"/>
  <c r="AN382" i="32451" s="1"/>
  <c r="AN678" i="32451" a="1"/>
  <c r="AN678" i="32451" s="1"/>
  <c r="AN58" i="32451" a="1"/>
  <c r="AN58" i="32451" s="1"/>
  <c r="AN94" i="32451" a="1"/>
  <c r="AN94" i="32451" s="1"/>
  <c r="AN133" i="32451" a="1"/>
  <c r="AN133" i="32451" s="1"/>
  <c r="AN169" i="32451" a="1"/>
  <c r="AN169" i="32451" s="1"/>
  <c r="AN205" i="32451" a="1"/>
  <c r="AN205" i="32451" s="1"/>
  <c r="AN251" i="32451" a="1"/>
  <c r="AN251" i="32451" s="1"/>
  <c r="AN287" i="32451" a="1"/>
  <c r="AN287" i="32451" s="1"/>
  <c r="AN323" i="32451" a="1"/>
  <c r="AN323" i="32451" s="1"/>
  <c r="AN369" i="32451" a="1"/>
  <c r="AN369" i="32451" s="1"/>
  <c r="AN405" i="32451" a="1"/>
  <c r="AN405" i="32451" s="1"/>
  <c r="AN441" i="32451" a="1"/>
  <c r="AN441" i="32451" s="1"/>
  <c r="AN480" i="32451" a="1"/>
  <c r="AN480" i="32451" s="1"/>
  <c r="AN515" i="32451" a="1"/>
  <c r="AN515" i="32451" s="1"/>
  <c r="AN549" i="32451" a="1"/>
  <c r="AN549" i="32451" s="1"/>
  <c r="AN575" i="32451" a="1"/>
  <c r="AN575" i="32451" s="1"/>
  <c r="AN595" i="32451" a="1"/>
  <c r="AN595" i="32451" s="1"/>
  <c r="AN663" i="32451" a="1"/>
  <c r="AN663" i="32451" s="1"/>
  <c r="AN686" i="32451" a="1"/>
  <c r="AN686" i="32451" s="1"/>
  <c r="AN177" i="32451" a="1"/>
  <c r="AN177" i="32451" s="1"/>
  <c r="AN288" i="32451" a="1"/>
  <c r="AN288" i="32451" s="1"/>
  <c r="AN406" i="32451" a="1"/>
  <c r="AN406" i="32451" s="1"/>
  <c r="AN550" i="32451" a="1"/>
  <c r="AN550" i="32451" s="1"/>
  <c r="AN619" i="32451" a="1"/>
  <c r="AN619" i="32451" s="1"/>
  <c r="AN106" i="32451" a="1"/>
  <c r="AN106" i="32451" s="1"/>
  <c r="AN335" i="32451" a="1"/>
  <c r="AN335" i="32451" s="1"/>
  <c r="AN517" i="32451" a="1"/>
  <c r="AN517" i="32451" s="1"/>
  <c r="AN668" i="32451" a="1"/>
  <c r="AN668" i="32451" s="1"/>
  <c r="AN225" i="32451" a="1"/>
  <c r="AN225" i="32451" s="1"/>
  <c r="AN372" i="32451" a="1"/>
  <c r="AN372" i="32451" s="1"/>
  <c r="AN601" i="32451" a="1"/>
  <c r="AN601" i="32451" s="1"/>
  <c r="AN108" i="32451" a="1"/>
  <c r="AN108" i="32451" s="1"/>
  <c r="AN298" i="32451" a="1"/>
  <c r="AN298" i="32451" s="1"/>
  <c r="AN491" i="32451" a="1"/>
  <c r="AN491" i="32451" s="1"/>
  <c r="AN191" i="32451" a="1"/>
  <c r="AN191" i="32451" s="1"/>
  <c r="AN381" i="32451" a="1"/>
  <c r="AN381" i="32451" s="1"/>
  <c r="AN492" i="32451" a="1"/>
  <c r="AN492" i="32451" s="1"/>
  <c r="AN652" i="32451" a="1"/>
  <c r="AN652" i="32451" s="1"/>
  <c r="AN192" i="32451" a="1"/>
  <c r="AN192" i="32451" s="1"/>
  <c r="AN310" i="32451" a="1"/>
  <c r="AN310" i="32451" s="1"/>
  <c r="AN493" i="32451" a="1"/>
  <c r="AN493" i="32451" s="1"/>
  <c r="AN653" i="32451" a="1"/>
  <c r="AN653" i="32451" s="1"/>
  <c r="AN82" i="32451" a="1"/>
  <c r="AN82" i="32451" s="1"/>
  <c r="AN118" i="32451" a="1"/>
  <c r="AN118" i="32451" s="1"/>
  <c r="AN154" i="32451" a="1"/>
  <c r="AN154" i="32451" s="1"/>
  <c r="AN193" i="32451" a="1"/>
  <c r="AN193" i="32451" s="1"/>
  <c r="AN229" i="32451" a="1"/>
  <c r="AN229" i="32451" s="1"/>
  <c r="AN265" i="32451" a="1"/>
  <c r="AN265" i="32451" s="1"/>
  <c r="AN311" i="32451" a="1"/>
  <c r="AN311" i="32451" s="1"/>
  <c r="AN347" i="32451" a="1"/>
  <c r="AN347" i="32451" s="1"/>
  <c r="AN383" i="32451" a="1"/>
  <c r="AN383" i="32451" s="1"/>
  <c r="AN429" i="32451" a="1"/>
  <c r="AN429" i="32451" s="1"/>
  <c r="AN465" i="32451" a="1"/>
  <c r="AN465" i="32451" s="1"/>
  <c r="AN500" i="32451" a="1"/>
  <c r="AN500" i="32451" s="1"/>
  <c r="AN538" i="32451" a="1"/>
  <c r="AN538" i="32451" s="1"/>
  <c r="AN561" i="32451" a="1"/>
  <c r="AN561" i="32451" s="1"/>
  <c r="AN630" i="32451" a="1"/>
  <c r="AN630" i="32451" s="1"/>
  <c r="AN697" i="32451" a="1"/>
  <c r="AN697" i="32451" s="1"/>
  <c r="AN83" i="32451" a="1"/>
  <c r="AN83" i="32451" s="1"/>
  <c r="AN119" i="32451" a="1"/>
  <c r="AN119" i="32451" s="1"/>
  <c r="AN165" i="32451" a="1"/>
  <c r="AN165" i="32451" s="1"/>
  <c r="AN201" i="32451" a="1"/>
  <c r="AN201" i="32451" s="1"/>
  <c r="AN237" i="32451" a="1"/>
  <c r="AN237" i="32451" s="1"/>
  <c r="AN276" i="32451" a="1"/>
  <c r="AN276" i="32451" s="1"/>
  <c r="AN312" i="32451" a="1"/>
  <c r="AN312" i="32451" s="1"/>
  <c r="AN348" i="32451" a="1"/>
  <c r="AN348" i="32451" s="1"/>
  <c r="AN394" i="32451" a="1"/>
  <c r="AN394" i="32451" s="1"/>
  <c r="AN430" i="32451" a="1"/>
  <c r="AN430" i="32451" s="1"/>
  <c r="AN466" i="32451" a="1"/>
  <c r="AN466" i="32451" s="1"/>
  <c r="AN504" i="32451" a="1"/>
  <c r="AN504" i="32451" s="1"/>
  <c r="AN539" i="32451" a="1"/>
  <c r="AN539" i="32451" s="1"/>
  <c r="AN567" i="32451" a="1"/>
  <c r="AN567" i="32451" s="1"/>
  <c r="AN593" i="32451" a="1"/>
  <c r="AN593" i="32451" s="1"/>
  <c r="AN610" i="32451" a="1"/>
  <c r="AN610" i="32451" s="1"/>
  <c r="AN659" i="32451" a="1"/>
  <c r="AN659" i="32451" s="1"/>
  <c r="AN679" i="32451" a="1"/>
  <c r="AN679" i="32451" s="1"/>
  <c r="AN395" i="32451" a="1"/>
  <c r="AN395" i="32451" s="1"/>
  <c r="AN467" i="32451" a="1"/>
  <c r="AN467" i="32451" s="1"/>
  <c r="AN505" i="32451" a="1"/>
  <c r="AN505" i="32451" s="1"/>
  <c r="AN540" i="32451" a="1"/>
  <c r="AN540" i="32451" s="1"/>
  <c r="AN568" i="32451" a="1"/>
  <c r="AN568" i="32451" s="1"/>
  <c r="AN611" i="32451" a="1"/>
  <c r="AN611" i="32451" s="1"/>
  <c r="AN634" i="32451" a="1"/>
  <c r="AN634" i="32451" s="1"/>
  <c r="AN660" i="32451" a="1"/>
  <c r="AN660" i="32451" s="1"/>
  <c r="AN703" i="32451" a="1"/>
  <c r="AN703" i="32451" s="1"/>
  <c r="AN541" i="32451" a="1"/>
  <c r="AN541" i="32451" s="1"/>
  <c r="AN594" i="32451" a="1"/>
  <c r="AN594" i="32451" s="1"/>
  <c r="AN635" i="32451" a="1"/>
  <c r="AN635" i="32451" s="1"/>
  <c r="AN680" i="32451" a="1"/>
  <c r="AN680" i="32451" s="1"/>
  <c r="AN662" i="32451" a="1"/>
  <c r="AN662" i="32451" s="1"/>
  <c r="AN59" i="32451" a="1"/>
  <c r="AN59" i="32451" s="1"/>
  <c r="AN324" i="32451" a="1"/>
  <c r="AN324" i="32451" s="1"/>
  <c r="AN481" i="32451" a="1"/>
  <c r="AN481" i="32451" s="1"/>
  <c r="AN644" i="32451" a="1"/>
  <c r="AN644" i="32451" s="1"/>
  <c r="AN142" i="32451" a="1"/>
  <c r="AN142" i="32451" s="1"/>
  <c r="AN289" i="32451" a="1"/>
  <c r="AN289" i="32451" s="1"/>
  <c r="AN453" i="32451" a="1"/>
  <c r="AN453" i="32451" s="1"/>
  <c r="AN600" i="32451" a="1"/>
  <c r="AN600" i="32451" s="1"/>
  <c r="AN179" i="32451" a="1"/>
  <c r="AN179" i="32451" s="1"/>
  <c r="AN336" i="32451" a="1"/>
  <c r="AN336" i="32451" s="1"/>
  <c r="AN524" i="32451" a="1"/>
  <c r="AN524" i="32451" s="1"/>
  <c r="AN627" i="32451" a="1"/>
  <c r="AN627" i="32451" s="1"/>
  <c r="AN180" i="32451" a="1"/>
  <c r="AN180" i="32451" s="1"/>
  <c r="AN373" i="32451" a="1"/>
  <c r="AN373" i="32451" s="1"/>
  <c r="AN525" i="32451" a="1"/>
  <c r="AN525" i="32451" s="1"/>
  <c r="AN669" i="32451" a="1"/>
  <c r="AN669" i="32451" s="1"/>
  <c r="AN227" i="32451" a="1"/>
  <c r="AN227" i="32451" s="1"/>
  <c r="AN420" i="32451" a="1"/>
  <c r="AN420" i="32451" s="1"/>
  <c r="AN529" i="32451" a="1"/>
  <c r="AN529" i="32451" s="1"/>
  <c r="AN629" i="32451" a="1"/>
  <c r="AN629" i="32451" s="1"/>
  <c r="AN117" i="32451" a="1"/>
  <c r="AN117" i="32451" s="1"/>
  <c r="AN346" i="32451" a="1"/>
  <c r="AN346" i="32451" s="1"/>
  <c r="AN537" i="32451" a="1"/>
  <c r="AN537" i="32451" s="1"/>
  <c r="B707" i="32451"/>
  <c r="B697" i="32451"/>
  <c r="E692" i="32451" a="1"/>
  <c r="E692" i="32451" s="1"/>
  <c r="B692" i="32451" s="1"/>
  <c r="E687" i="32451" a="1"/>
  <c r="E687" i="32451" s="1"/>
  <c r="B687" i="32451" s="1"/>
  <c r="D682" i="32451" a="1"/>
  <c r="D682" i="32451" s="1"/>
  <c r="D678" i="32451" a="1"/>
  <c r="D678" i="32451" s="1"/>
  <c r="D672" i="32451" a="1"/>
  <c r="D672" i="32451" s="1"/>
  <c r="E667" i="32451" a="1"/>
  <c r="E667" i="32451" s="1"/>
  <c r="B667" i="32451" s="1"/>
  <c r="E662" i="32451" a="1"/>
  <c r="E662" i="32451" s="1"/>
  <c r="B662" i="32451" s="1"/>
  <c r="E657" i="32451" a="1"/>
  <c r="E657" i="32451" s="1"/>
  <c r="B657" i="32451" s="1"/>
  <c r="D653" i="32451" a="1"/>
  <c r="D653" i="32451" s="1"/>
  <c r="D648" i="32451" a="1"/>
  <c r="D648" i="32451" s="1"/>
  <c r="E643" i="32451" a="1"/>
  <c r="E643" i="32451" s="1"/>
  <c r="B643" i="32451" s="1"/>
  <c r="E638" i="32451" a="1"/>
  <c r="E638" i="32451" s="1"/>
  <c r="B638" i="32451" s="1"/>
  <c r="E634" i="32451" a="1"/>
  <c r="E634" i="32451" s="1"/>
  <c r="B634" i="32451" s="1"/>
  <c r="D630" i="32451" a="1"/>
  <c r="D630" i="32451" s="1"/>
  <c r="D622" i="32451" a="1"/>
  <c r="D622" i="32451" s="1"/>
  <c r="E609" i="32451" a="1"/>
  <c r="E609" i="32451" s="1"/>
  <c r="B609" i="32451" s="1"/>
  <c r="E600" i="32451" a="1"/>
  <c r="E600" i="32451" s="1"/>
  <c r="B600" i="32451" s="1"/>
  <c r="D597" i="32451" a="1"/>
  <c r="D597" i="32451" s="1"/>
  <c r="D592" i="32451" a="1"/>
  <c r="D592" i="32451" s="1"/>
  <c r="D588" i="32451" a="1"/>
  <c r="D588" i="32451" s="1"/>
  <c r="D579" i="32451" a="1"/>
  <c r="D579" i="32451" s="1"/>
  <c r="D567" i="32451" a="1"/>
  <c r="D567" i="32451" s="1"/>
  <c r="D555" i="32451" a="1"/>
  <c r="D555" i="32451" s="1"/>
  <c r="D543" i="32451" a="1"/>
  <c r="D543" i="32451" s="1"/>
  <c r="D531" i="32451" a="1"/>
  <c r="D531" i="32451" s="1"/>
  <c r="E527" i="32451" a="1"/>
  <c r="E527" i="32451" s="1"/>
  <c r="B527" i="32451" s="1"/>
  <c r="E523" i="32451" a="1"/>
  <c r="E523" i="32451" s="1"/>
  <c r="B523" i="32451" s="1"/>
  <c r="D519" i="32451" a="1"/>
  <c r="D519" i="32451" s="1"/>
  <c r="E515" i="32451" a="1"/>
  <c r="E515" i="32451" s="1"/>
  <c r="B515" i="32451" s="1"/>
  <c r="E511" i="32451" a="1"/>
  <c r="E511" i="32451" s="1"/>
  <c r="B511" i="32451" s="1"/>
  <c r="D507" i="32451" a="1"/>
  <c r="D507" i="32451" s="1"/>
  <c r="D503" i="32451" a="1"/>
  <c r="D503" i="32451" s="1"/>
  <c r="D498" i="32451" a="1"/>
  <c r="D498" i="32451" s="1"/>
  <c r="D482" i="32451" a="1"/>
  <c r="D482" i="32451" s="1"/>
  <c r="E477" i="32451" a="1"/>
  <c r="E477" i="32451" s="1"/>
  <c r="B477" i="32451" s="1"/>
  <c r="D473" i="32451" a="1"/>
  <c r="D473" i="32451" s="1"/>
  <c r="D466" i="32451" a="1"/>
  <c r="D466" i="32451" s="1"/>
  <c r="E462" i="32451" a="1"/>
  <c r="E462" i="32451" s="1"/>
  <c r="B462" i="32451" s="1"/>
  <c r="D455" i="32451" a="1"/>
  <c r="D455" i="32451" s="1"/>
  <c r="E446" i="32451" a="1"/>
  <c r="E446" i="32451" s="1"/>
  <c r="B446" i="32451" s="1"/>
  <c r="D443" i="32451" a="1"/>
  <c r="D443" i="32451" s="1"/>
  <c r="E438" i="32451" a="1"/>
  <c r="E438" i="32451" s="1"/>
  <c r="B438" i="32451" s="1"/>
  <c r="D435" i="32451" a="1"/>
  <c r="D435" i="32451" s="1"/>
  <c r="D423" i="32451" a="1"/>
  <c r="D423" i="32451" s="1"/>
  <c r="D419" i="32451" a="1"/>
  <c r="D419" i="32451" s="1"/>
  <c r="D415" i="32451" a="1"/>
  <c r="D415" i="32451" s="1"/>
  <c r="E406" i="32451" a="1"/>
  <c r="E406" i="32451" s="1"/>
  <c r="B406" i="32451" s="1"/>
  <c r="D393" i="32451" a="1"/>
  <c r="D393" i="32451" s="1"/>
  <c r="E389" i="32451" a="1"/>
  <c r="E389" i="32451" s="1"/>
  <c r="B389" i="32451" s="1"/>
  <c r="D386" i="32451" a="1"/>
  <c r="D386" i="32451" s="1"/>
  <c r="D382" i="32451" a="1"/>
  <c r="D382" i="32451" s="1"/>
  <c r="D378" i="32451" a="1"/>
  <c r="D378" i="32451" s="1"/>
  <c r="E360" i="32451" a="1"/>
  <c r="E360" i="32451" s="1"/>
  <c r="B360" i="32451" s="1"/>
  <c r="E355" i="32451" a="1"/>
  <c r="E355" i="32451" s="1"/>
  <c r="B355" i="32451" s="1"/>
  <c r="B702" i="32451"/>
  <c r="D692" i="32451" a="1"/>
  <c r="D692" i="32451" s="1"/>
  <c r="D687" i="32451" a="1"/>
  <c r="D687" i="32451" s="1"/>
  <c r="E677" i="32451" a="1"/>
  <c r="E677" i="32451" s="1"/>
  <c r="B677" i="32451" s="1"/>
  <c r="D667" i="32451" a="1"/>
  <c r="D667" i="32451" s="1"/>
  <c r="D643" i="32451" a="1"/>
  <c r="D643" i="32451" s="1"/>
  <c r="D634" i="32451" a="1"/>
  <c r="D634" i="32451" s="1"/>
  <c r="E629" i="32451" a="1"/>
  <c r="E629" i="32451" s="1"/>
  <c r="B629" i="32451" s="1"/>
  <c r="E625" i="32451" a="1"/>
  <c r="E625" i="32451" s="1"/>
  <c r="B625" i="32451" s="1"/>
  <c r="E621" i="32451" a="1"/>
  <c r="E621" i="32451" s="1"/>
  <c r="B621" i="32451" s="1"/>
  <c r="E616" i="32451" a="1"/>
  <c r="E616" i="32451" s="1"/>
  <c r="B616" i="32451" s="1"/>
  <c r="D613" i="32451" a="1"/>
  <c r="D613" i="32451" s="1"/>
  <c r="E604" i="32451" a="1"/>
  <c r="E604" i="32451" s="1"/>
  <c r="B604" i="32451" s="1"/>
  <c r="E596" i="32451" a="1"/>
  <c r="E596" i="32451" s="1"/>
  <c r="B596" i="32451" s="1"/>
  <c r="E591" i="32451" a="1"/>
  <c r="E591" i="32451" s="1"/>
  <c r="B591" i="32451" s="1"/>
  <c r="D584" i="32451" a="1"/>
  <c r="D584" i="32451" s="1"/>
  <c r="E575" i="32451" a="1"/>
  <c r="E575" i="32451" s="1"/>
  <c r="B575" i="32451" s="1"/>
  <c r="D572" i="32451" a="1"/>
  <c r="D572" i="32451" s="1"/>
  <c r="E563" i="32451" a="1"/>
  <c r="E563" i="32451" s="1"/>
  <c r="B563" i="32451" s="1"/>
  <c r="D560" i="32451" a="1"/>
  <c r="D560" i="32451" s="1"/>
  <c r="E551" i="32451" a="1"/>
  <c r="E551" i="32451" s="1"/>
  <c r="B551" i="32451" s="1"/>
  <c r="D548" i="32451" a="1"/>
  <c r="D548" i="32451" s="1"/>
  <c r="E539" i="32451" a="1"/>
  <c r="E539" i="32451" s="1"/>
  <c r="B539" i="32451" s="1"/>
  <c r="D536" i="32451" a="1"/>
  <c r="D536" i="32451" s="1"/>
  <c r="D523" i="32451" a="1"/>
  <c r="D523" i="32451" s="1"/>
  <c r="E518" i="32451" a="1"/>
  <c r="E518" i="32451" s="1"/>
  <c r="B518" i="32451" s="1"/>
  <c r="D511" i="32451" a="1"/>
  <c r="D511" i="32451" s="1"/>
  <c r="E506" i="32451" a="1"/>
  <c r="E506" i="32451" s="1"/>
  <c r="B506" i="32451" s="1"/>
  <c r="E502" i="32451" a="1"/>
  <c r="E502" i="32451" s="1"/>
  <c r="B502" i="32451" s="1"/>
  <c r="D494" i="32451" a="1"/>
  <c r="D494" i="32451" s="1"/>
  <c r="D490" i="32451" a="1"/>
  <c r="D490" i="32451" s="1"/>
  <c r="E485" i="32451" a="1"/>
  <c r="E485" i="32451" s="1"/>
  <c r="B485" i="32451" s="1"/>
  <c r="D477" i="32451" a="1"/>
  <c r="D477" i="32451" s="1"/>
  <c r="E469" i="32451" a="1"/>
  <c r="E469" i="32451" s="1"/>
  <c r="B469" i="32451" s="1"/>
  <c r="D462" i="32451" a="1"/>
  <c r="D462" i="32451" s="1"/>
  <c r="E458" i="32451" a="1"/>
  <c r="E458" i="32451" s="1"/>
  <c r="B458" i="32451" s="1"/>
  <c r="E454" i="32451" a="1"/>
  <c r="E454" i="32451" s="1"/>
  <c r="B454" i="32451" s="1"/>
  <c r="E450" i="32451" a="1"/>
  <c r="E450" i="32451" s="1"/>
  <c r="B450" i="32451" s="1"/>
  <c r="D438" i="32451" a="1"/>
  <c r="D438" i="32451" s="1"/>
  <c r="E434" i="32451" a="1"/>
  <c r="E434" i="32451" s="1"/>
  <c r="B434" i="32451" s="1"/>
  <c r="E430" i="32451" a="1"/>
  <c r="E430" i="32451" s="1"/>
  <c r="B430" i="32451" s="1"/>
  <c r="D427" i="32451" a="1"/>
  <c r="D427" i="32451" s="1"/>
  <c r="E418" i="32451" a="1"/>
  <c r="E418" i="32451" s="1"/>
  <c r="B418" i="32451" s="1"/>
  <c r="D411" i="32451" a="1"/>
  <c r="D411" i="32451" s="1"/>
  <c r="D402" i="32451" a="1"/>
  <c r="D402" i="32451" s="1"/>
  <c r="D398" i="32451" a="1"/>
  <c r="D398" i="32451" s="1"/>
  <c r="E381" i="32451" a="1"/>
  <c r="E381" i="32451" s="1"/>
  <c r="B381" i="32451" s="1"/>
  <c r="E377" i="32451" a="1"/>
  <c r="E377" i="32451" s="1"/>
  <c r="B377" i="32451" s="1"/>
  <c r="E373" i="32451" a="1"/>
  <c r="E373" i="32451" s="1"/>
  <c r="B373" i="32451" s="1"/>
  <c r="E369" i="32451" a="1"/>
  <c r="E369" i="32451" s="1"/>
  <c r="B369" i="32451" s="1"/>
  <c r="D366" i="32451" a="1"/>
  <c r="D366" i="32451" s="1"/>
  <c r="D355" i="32451" a="1"/>
  <c r="D355" i="32451" s="1"/>
  <c r="D351" i="32451" a="1"/>
  <c r="D351" i="32451" s="1"/>
  <c r="B696" i="32451"/>
  <c r="E691" i="32451" a="1"/>
  <c r="E691" i="32451" s="1"/>
  <c r="B691" i="32451" s="1"/>
  <c r="E686" i="32451" a="1"/>
  <c r="E686" i="32451" s="1"/>
  <c r="B686" i="32451" s="1"/>
  <c r="E681" i="32451" a="1"/>
  <c r="E681" i="32451" s="1"/>
  <c r="B681" i="32451" s="1"/>
  <c r="D677" i="32451" a="1"/>
  <c r="D677" i="32451" s="1"/>
  <c r="E671" i="32451" a="1"/>
  <c r="E671" i="32451" s="1"/>
  <c r="B671" i="32451" s="1"/>
  <c r="E666" i="32451" a="1"/>
  <c r="E666" i="32451" s="1"/>
  <c r="B666" i="32451" s="1"/>
  <c r="D662" i="32451" a="1"/>
  <c r="D662" i="32451" s="1"/>
  <c r="D657" i="32451" a="1"/>
  <c r="D657" i="32451" s="1"/>
  <c r="E652" i="32451" a="1"/>
  <c r="E652" i="32451" s="1"/>
  <c r="B652" i="32451" s="1"/>
  <c r="E647" i="32451" a="1"/>
  <c r="E647" i="32451" s="1"/>
  <c r="B647" i="32451" s="1"/>
  <c r="E642" i="32451" a="1"/>
  <c r="E642" i="32451" s="1"/>
  <c r="B642" i="32451" s="1"/>
  <c r="D638" i="32451" a="1"/>
  <c r="D638" i="32451" s="1"/>
  <c r="E633" i="32451" a="1"/>
  <c r="E633" i="32451" s="1"/>
  <c r="B633" i="32451" s="1"/>
  <c r="D629" i="32451" a="1"/>
  <c r="D629" i="32451" s="1"/>
  <c r="D625" i="32451" a="1"/>
  <c r="D625" i="32451" s="1"/>
  <c r="D616" i="32451" a="1"/>
  <c r="D616" i="32451" s="1"/>
  <c r="E612" i="32451" a="1"/>
  <c r="E612" i="32451" s="1"/>
  <c r="B612" i="32451" s="1"/>
  <c r="D609" i="32451" a="1"/>
  <c r="D609" i="32451" s="1"/>
  <c r="D604" i="32451" a="1"/>
  <c r="D604" i="32451" s="1"/>
  <c r="D600" i="32451" a="1"/>
  <c r="D600" i="32451" s="1"/>
  <c r="D591" i="32451" a="1"/>
  <c r="D591" i="32451" s="1"/>
  <c r="E587" i="32451" a="1"/>
  <c r="E587" i="32451" s="1"/>
  <c r="B587" i="32451" s="1"/>
  <c r="E583" i="32451" a="1"/>
  <c r="E583" i="32451" s="1"/>
  <c r="B583" i="32451" s="1"/>
  <c r="E578" i="32451" a="1"/>
  <c r="E578" i="32451" s="1"/>
  <c r="B578" i="32451" s="1"/>
  <c r="E571" i="32451" a="1"/>
  <c r="E571" i="32451" s="1"/>
  <c r="B571" i="32451" s="1"/>
  <c r="E566" i="32451" a="1"/>
  <c r="E566" i="32451" s="1"/>
  <c r="B566" i="32451" s="1"/>
  <c r="E559" i="32451" a="1"/>
  <c r="E559" i="32451" s="1"/>
  <c r="B559" i="32451" s="1"/>
  <c r="E554" i="32451" a="1"/>
  <c r="E554" i="32451" s="1"/>
  <c r="B554" i="32451" s="1"/>
  <c r="E547" i="32451" a="1"/>
  <c r="E547" i="32451" s="1"/>
  <c r="B547" i="32451" s="1"/>
  <c r="E542" i="32451" a="1"/>
  <c r="E542" i="32451" s="1"/>
  <c r="B542" i="32451" s="1"/>
  <c r="E535" i="32451" a="1"/>
  <c r="E535" i="32451" s="1"/>
  <c r="B535" i="32451" s="1"/>
  <c r="E530" i="32451" a="1"/>
  <c r="E530" i="32451" s="1"/>
  <c r="B530" i="32451" s="1"/>
  <c r="D527" i="32451" a="1"/>
  <c r="D527" i="32451" s="1"/>
  <c r="E522" i="32451" a="1"/>
  <c r="E522" i="32451" s="1"/>
  <c r="B522" i="32451" s="1"/>
  <c r="D515" i="32451" a="1"/>
  <c r="D515" i="32451" s="1"/>
  <c r="E510" i="32451" a="1"/>
  <c r="E510" i="32451" s="1"/>
  <c r="B510" i="32451" s="1"/>
  <c r="D502" i="32451" a="1"/>
  <c r="D502" i="32451" s="1"/>
  <c r="E497" i="32451" a="1"/>
  <c r="E497" i="32451" s="1"/>
  <c r="B497" i="32451" s="1"/>
  <c r="E489" i="32451" a="1"/>
  <c r="E489" i="32451" s="1"/>
  <c r="B489" i="32451" s="1"/>
  <c r="E481" i="32451" a="1"/>
  <c r="E481" i="32451" s="1"/>
  <c r="B481" i="32451" s="1"/>
  <c r="E476" i="32451" a="1"/>
  <c r="E476" i="32451" s="1"/>
  <c r="B476" i="32451" s="1"/>
  <c r="E472" i="32451" a="1"/>
  <c r="E472" i="32451" s="1"/>
  <c r="B472" i="32451" s="1"/>
  <c r="D469" i="32451" a="1"/>
  <c r="D469" i="32451" s="1"/>
  <c r="E465" i="32451" a="1"/>
  <c r="E465" i="32451" s="1"/>
  <c r="B465" i="32451" s="1"/>
  <c r="D450" i="32451" a="1"/>
  <c r="D450" i="32451" s="1"/>
  <c r="D446" i="32451" a="1"/>
  <c r="D446" i="32451" s="1"/>
  <c r="E442" i="32451" a="1"/>
  <c r="E442" i="32451" s="1"/>
  <c r="B442" i="32451" s="1"/>
  <c r="E422" i="32451" a="1"/>
  <c r="E422" i="32451" s="1"/>
  <c r="B422" i="32451" s="1"/>
  <c r="E414" i="32451" a="1"/>
  <c r="E414" i="32451" s="1"/>
  <c r="B414" i="32451" s="1"/>
  <c r="E410" i="32451" a="1"/>
  <c r="E410" i="32451" s="1"/>
  <c r="B410" i="32451" s="1"/>
  <c r="D406" i="32451" a="1"/>
  <c r="D406" i="32451" s="1"/>
  <c r="E401" i="32451" a="1"/>
  <c r="E401" i="32451" s="1"/>
  <c r="B401" i="32451" s="1"/>
  <c r="E397" i="32451" a="1"/>
  <c r="E397" i="32451" s="1"/>
  <c r="B397" i="32451" s="1"/>
  <c r="E392" i="32451" a="1"/>
  <c r="E392" i="32451" s="1"/>
  <c r="B392" i="32451" s="1"/>
  <c r="D389" i="32451" a="1"/>
  <c r="D389" i="32451" s="1"/>
  <c r="E385" i="32451" a="1"/>
  <c r="E385" i="32451" s="1"/>
  <c r="B385" i="32451" s="1"/>
  <c r="D381" i="32451" a="1"/>
  <c r="D381" i="32451" s="1"/>
  <c r="D377" i="32451" a="1"/>
  <c r="D377" i="32451" s="1"/>
  <c r="D373" i="32451" a="1"/>
  <c r="D373" i="32451" s="1"/>
  <c r="E365" i="32451" a="1"/>
  <c r="E365" i="32451" s="1"/>
  <c r="B365" i="32451" s="1"/>
  <c r="D360" i="32451" a="1"/>
  <c r="D360" i="32451" s="1"/>
  <c r="E354" i="32451" a="1"/>
  <c r="E354" i="32451" s="1"/>
  <c r="B354" i="32451" s="1"/>
  <c r="E695" i="32451" a="1"/>
  <c r="E695" i="32451" s="1"/>
  <c r="B695" i="32451" s="1"/>
  <c r="D691" i="32451" a="1"/>
  <c r="D691" i="32451" s="1"/>
  <c r="E685" i="32451" a="1"/>
  <c r="E685" i="32451" s="1"/>
  <c r="B685" i="32451" s="1"/>
  <c r="D676" i="32451" a="1"/>
  <c r="D676" i="32451" s="1"/>
  <c r="E670" i="32451" a="1"/>
  <c r="E670" i="32451" s="1"/>
  <c r="B670" i="32451" s="1"/>
  <c r="D666" i="32451" a="1"/>
  <c r="D666" i="32451" s="1"/>
  <c r="D661" i="32451" a="1"/>
  <c r="D661" i="32451" s="1"/>
  <c r="E656" i="32451" a="1"/>
  <c r="E656" i="32451" s="1"/>
  <c r="B656" i="32451" s="1"/>
  <c r="E651" i="32451" a="1"/>
  <c r="E651" i="32451" s="1"/>
  <c r="B651" i="32451" s="1"/>
  <c r="E646" i="32451" a="1"/>
  <c r="E646" i="32451" s="1"/>
  <c r="B646" i="32451" s="1"/>
  <c r="D642" i="32451" a="1"/>
  <c r="D642" i="32451" s="1"/>
  <c r="E637" i="32451" a="1"/>
  <c r="E637" i="32451" s="1"/>
  <c r="B637" i="32451" s="1"/>
  <c r="D633" i="32451" a="1"/>
  <c r="D633" i="32451" s="1"/>
  <c r="E628" i="32451" a="1"/>
  <c r="E628" i="32451" s="1"/>
  <c r="B628" i="32451" s="1"/>
  <c r="E620" i="32451" a="1"/>
  <c r="E620" i="32451" s="1"/>
  <c r="B620" i="32451" s="1"/>
  <c r="E615" i="32451" a="1"/>
  <c r="E615" i="32451" s="1"/>
  <c r="B615" i="32451" s="1"/>
  <c r="D612" i="32451" a="1"/>
  <c r="D612" i="32451" s="1"/>
  <c r="D603" i="32451" a="1"/>
  <c r="D603" i="32451" s="1"/>
  <c r="E599" i="32451" a="1"/>
  <c r="E599" i="32451" s="1"/>
  <c r="B599" i="32451" s="1"/>
  <c r="E595" i="32451" a="1"/>
  <c r="E595" i="32451" s="1"/>
  <c r="B595" i="32451" s="1"/>
  <c r="E590" i="32451" a="1"/>
  <c r="E590" i="32451" s="1"/>
  <c r="B590" i="32451" s="1"/>
  <c r="D587" i="32451" a="1"/>
  <c r="D587" i="32451" s="1"/>
  <c r="E582" i="32451" a="1"/>
  <c r="E582" i="32451" s="1"/>
  <c r="B582" i="32451" s="1"/>
  <c r="D578" i="32451" a="1"/>
  <c r="D578" i="32451" s="1"/>
  <c r="E570" i="32451" a="1"/>
  <c r="E570" i="32451" s="1"/>
  <c r="B570" i="32451" s="1"/>
  <c r="D566" i="32451" a="1"/>
  <c r="D566" i="32451" s="1"/>
  <c r="E558" i="32451" a="1"/>
  <c r="E558" i="32451" s="1"/>
  <c r="B558" i="32451" s="1"/>
  <c r="D554" i="32451" a="1"/>
  <c r="D554" i="32451" s="1"/>
  <c r="E546" i="32451" a="1"/>
  <c r="E546" i="32451" s="1"/>
  <c r="B546" i="32451" s="1"/>
  <c r="D542" i="32451" a="1"/>
  <c r="D542" i="32451" s="1"/>
  <c r="E534" i="32451" a="1"/>
  <c r="E534" i="32451" s="1"/>
  <c r="B534" i="32451" s="1"/>
  <c r="D530" i="32451" a="1"/>
  <c r="D530" i="32451" s="1"/>
  <c r="E526" i="32451" a="1"/>
  <c r="E526" i="32451" s="1"/>
  <c r="B526" i="32451" s="1"/>
  <c r="D501" i="32451" a="1"/>
  <c r="D501" i="32451" s="1"/>
  <c r="D493" i="32451" a="1"/>
  <c r="D493" i="32451" s="1"/>
  <c r="E488" i="32451" a="1"/>
  <c r="E488" i="32451" s="1"/>
  <c r="B488" i="32451" s="1"/>
  <c r="E480" i="32451" a="1"/>
  <c r="E480" i="32451" s="1"/>
  <c r="B480" i="32451" s="1"/>
  <c r="D476" i="32451" a="1"/>
  <c r="D476" i="32451" s="1"/>
  <c r="D472" i="32451" a="1"/>
  <c r="D472" i="32451" s="1"/>
  <c r="E464" i="32451" a="1"/>
  <c r="E464" i="32451" s="1"/>
  <c r="B464" i="32451" s="1"/>
  <c r="D461" i="32451" a="1"/>
  <c r="D461" i="32451" s="1"/>
  <c r="D449" i="32451" a="1"/>
  <c r="D449" i="32451" s="1"/>
  <c r="E445" i="32451" a="1"/>
  <c r="E445" i="32451" s="1"/>
  <c r="B445" i="32451" s="1"/>
  <c r="E441" i="32451" a="1"/>
  <c r="E441" i="32451" s="1"/>
  <c r="B441" i="32451" s="1"/>
  <c r="D426" i="32451" a="1"/>
  <c r="D426" i="32451" s="1"/>
  <c r="D422" i="32451" a="1"/>
  <c r="D422" i="32451" s="1"/>
  <c r="D414" i="32451" a="1"/>
  <c r="D414" i="32451" s="1"/>
  <c r="D410" i="32451" a="1"/>
  <c r="D410" i="32451" s="1"/>
  <c r="D405" i="32451" a="1"/>
  <c r="D405" i="32451" s="1"/>
  <c r="D401" i="32451" a="1"/>
  <c r="D401" i="32451" s="1"/>
  <c r="E396" i="32451" a="1"/>
  <c r="E396" i="32451" s="1"/>
  <c r="B396" i="32451" s="1"/>
  <c r="D392" i="32451" a="1"/>
  <c r="D392" i="32451" s="1"/>
  <c r="E388" i="32451" a="1"/>
  <c r="E388" i="32451" s="1"/>
  <c r="B388" i="32451" s="1"/>
  <c r="E384" i="32451" a="1"/>
  <c r="E384" i="32451" s="1"/>
  <c r="B384" i="32451" s="1"/>
  <c r="E380" i="32451" a="1"/>
  <c r="E380" i="32451" s="1"/>
  <c r="B380" i="32451" s="1"/>
  <c r="E376" i="32451" a="1"/>
  <c r="E376" i="32451" s="1"/>
  <c r="B376" i="32451" s="1"/>
  <c r="E372" i="32451" a="1"/>
  <c r="E372" i="32451" s="1"/>
  <c r="B372" i="32451" s="1"/>
  <c r="E364" i="32451" a="1"/>
  <c r="E364" i="32451" s="1"/>
  <c r="B364" i="32451" s="1"/>
  <c r="B703" i="32451"/>
  <c r="D693" i="32451" a="1"/>
  <c r="D693" i="32451" s="1"/>
  <c r="E688" i="32451" a="1"/>
  <c r="E688" i="32451" s="1"/>
  <c r="B688" i="32451" s="1"/>
  <c r="D683" i="32451" a="1"/>
  <c r="D683" i="32451" s="1"/>
  <c r="E678" i="32451" a="1"/>
  <c r="E678" i="32451" s="1"/>
  <c r="B678" i="32451" s="1"/>
  <c r="D673" i="32451" a="1"/>
  <c r="D673" i="32451" s="1"/>
  <c r="E668" i="32451" a="1"/>
  <c r="E668" i="32451" s="1"/>
  <c r="B668" i="32451" s="1"/>
  <c r="E663" i="32451" a="1"/>
  <c r="E663" i="32451" s="1"/>
  <c r="B663" i="32451" s="1"/>
  <c r="E658" i="32451" a="1"/>
  <c r="E658" i="32451" s="1"/>
  <c r="B658" i="32451" s="1"/>
  <c r="D654" i="32451" a="1"/>
  <c r="D654" i="32451" s="1"/>
  <c r="D649" i="32451" a="1"/>
  <c r="D649" i="32451" s="1"/>
  <c r="E644" i="32451" a="1"/>
  <c r="E644" i="32451" s="1"/>
  <c r="B644" i="32451" s="1"/>
  <c r="E639" i="32451" a="1"/>
  <c r="E639" i="32451" s="1"/>
  <c r="B639" i="32451" s="1"/>
  <c r="E630" i="32451" a="1"/>
  <c r="E630" i="32451" s="1"/>
  <c r="B630" i="32451" s="1"/>
  <c r="E617" i="32451" a="1"/>
  <c r="E617" i="32451" s="1"/>
  <c r="B617" i="32451" s="1"/>
  <c r="E610" i="32451" a="1"/>
  <c r="E610" i="32451" s="1"/>
  <c r="B610" i="32451" s="1"/>
  <c r="E605" i="32451" a="1"/>
  <c r="E605" i="32451" s="1"/>
  <c r="B605" i="32451" s="1"/>
  <c r="E601" i="32451" a="1"/>
  <c r="E601" i="32451" s="1"/>
  <c r="B601" i="32451" s="1"/>
  <c r="E597" i="32451" a="1"/>
  <c r="E597" i="32451" s="1"/>
  <c r="B597" i="32451" s="1"/>
  <c r="E588" i="32451" a="1"/>
  <c r="E588" i="32451" s="1"/>
  <c r="B588" i="32451" s="1"/>
  <c r="D585" i="32451" a="1"/>
  <c r="D585" i="32451" s="1"/>
  <c r="D580" i="32451" a="1"/>
  <c r="D580" i="32451" s="1"/>
  <c r="D573" i="32451" a="1"/>
  <c r="D573" i="32451" s="1"/>
  <c r="D568" i="32451" a="1"/>
  <c r="D568" i="32451" s="1"/>
  <c r="D561" i="32451" a="1"/>
  <c r="D561" i="32451" s="1"/>
  <c r="D556" i="32451" a="1"/>
  <c r="D556" i="32451" s="1"/>
  <c r="D549" i="32451" a="1"/>
  <c r="D549" i="32451" s="1"/>
  <c r="D544" i="32451" a="1"/>
  <c r="D544" i="32451" s="1"/>
  <c r="D537" i="32451" a="1"/>
  <c r="D537" i="32451" s="1"/>
  <c r="D532" i="32451" a="1"/>
  <c r="D532" i="32451" s="1"/>
  <c r="D528" i="32451" a="1"/>
  <c r="D528" i="32451" s="1"/>
  <c r="E524" i="32451" a="1"/>
  <c r="E524" i="32451" s="1"/>
  <c r="B524" i="32451" s="1"/>
  <c r="E519" i="32451" a="1"/>
  <c r="E519" i="32451" s="1"/>
  <c r="B519" i="32451" s="1"/>
  <c r="D516" i="32451" a="1"/>
  <c r="D516" i="32451" s="1"/>
  <c r="E512" i="32451" a="1"/>
  <c r="E512" i="32451" s="1"/>
  <c r="B512" i="32451" s="1"/>
  <c r="E507" i="32451" a="1"/>
  <c r="E507" i="32451" s="1"/>
  <c r="B507" i="32451" s="1"/>
  <c r="E503" i="32451" a="1"/>
  <c r="E503" i="32451" s="1"/>
  <c r="B503" i="32451" s="1"/>
  <c r="D491" i="32451" a="1"/>
  <c r="D491" i="32451" s="1"/>
  <c r="E486" i="32451" a="1"/>
  <c r="E486" i="32451" s="1"/>
  <c r="B486" i="32451" s="1"/>
  <c r="E482" i="32451" a="1"/>
  <c r="E482" i="32451" s="1"/>
  <c r="B482" i="32451" s="1"/>
  <c r="E478" i="32451" a="1"/>
  <c r="E478" i="32451" s="1"/>
  <c r="B478" i="32451" s="1"/>
  <c r="E473" i="32451" a="1"/>
  <c r="E473" i="32451" s="1"/>
  <c r="B473" i="32451" s="1"/>
  <c r="E466" i="32451" a="1"/>
  <c r="E466" i="32451" s="1"/>
  <c r="B466" i="32451" s="1"/>
  <c r="D463" i="32451" a="1"/>
  <c r="D463" i="32451" s="1"/>
  <c r="E455" i="32451" a="1"/>
  <c r="E455" i="32451" s="1"/>
  <c r="B455" i="32451" s="1"/>
  <c r="D447" i="32451" a="1"/>
  <c r="D447" i="32451" s="1"/>
  <c r="E443" i="32451" a="1"/>
  <c r="E443" i="32451" s="1"/>
  <c r="B443" i="32451" s="1"/>
  <c r="D439" i="32451" a="1"/>
  <c r="D439" i="32451" s="1"/>
  <c r="E435" i="32451" a="1"/>
  <c r="E435" i="32451" s="1"/>
  <c r="B435" i="32451" s="1"/>
  <c r="D424" i="32451" a="1"/>
  <c r="D424" i="32451" s="1"/>
  <c r="D420" i="32451" a="1"/>
  <c r="D420" i="32451" s="1"/>
  <c r="E415" i="32451" a="1"/>
  <c r="E415" i="32451" s="1"/>
  <c r="B415" i="32451" s="1"/>
  <c r="D412" i="32451" a="1"/>
  <c r="D412" i="32451" s="1"/>
  <c r="D407" i="32451" a="1"/>
  <c r="D407" i="32451" s="1"/>
  <c r="D394" i="32451" a="1"/>
  <c r="D394" i="32451" s="1"/>
  <c r="D390" i="32451" a="1"/>
  <c r="D390" i="32451" s="1"/>
  <c r="E386" i="32451" a="1"/>
  <c r="E386" i="32451" s="1"/>
  <c r="B386" i="32451" s="1"/>
  <c r="E382" i="32451" a="1"/>
  <c r="E382" i="32451" s="1"/>
  <c r="B382" i="32451" s="1"/>
  <c r="E378" i="32451" a="1"/>
  <c r="E378" i="32451" s="1"/>
  <c r="B378" i="32451" s="1"/>
  <c r="E374" i="32451" a="1"/>
  <c r="E374" i="32451" s="1"/>
  <c r="B374" i="32451" s="1"/>
  <c r="D367" i="32451" a="1"/>
  <c r="D367" i="32451" s="1"/>
  <c r="E361" i="32451" a="1"/>
  <c r="E361" i="32451" s="1"/>
  <c r="B361" i="32451" s="1"/>
  <c r="E356" i="32451" a="1"/>
  <c r="E356" i="32451" s="1"/>
  <c r="B356" i="32451" s="1"/>
  <c r="E348" i="32451" a="1"/>
  <c r="E348" i="32451" s="1"/>
  <c r="B348" i="32451" s="1"/>
  <c r="B706" i="32451"/>
  <c r="B698" i="32451"/>
  <c r="D690" i="32451" a="1"/>
  <c r="D690" i="32451" s="1"/>
  <c r="E680" i="32451" a="1"/>
  <c r="E680" i="32451" s="1"/>
  <c r="B680" i="32451" s="1"/>
  <c r="E672" i="32451" a="1"/>
  <c r="E672" i="32451" s="1"/>
  <c r="B672" i="32451" s="1"/>
  <c r="E664" i="32451" a="1"/>
  <c r="E664" i="32451" s="1"/>
  <c r="B664" i="32451" s="1"/>
  <c r="E655" i="32451" a="1"/>
  <c r="E655" i="32451" s="1"/>
  <c r="B655" i="32451" s="1"/>
  <c r="D647" i="32451" a="1"/>
  <c r="D647" i="32451" s="1"/>
  <c r="D640" i="32451" a="1"/>
  <c r="D640" i="32451" s="1"/>
  <c r="D632" i="32451" a="1"/>
  <c r="D632" i="32451" s="1"/>
  <c r="D624" i="32451" a="1"/>
  <c r="D624" i="32451" s="1"/>
  <c r="D617" i="32451" a="1"/>
  <c r="D617" i="32451" s="1"/>
  <c r="D611" i="32451" a="1"/>
  <c r="D611" i="32451" s="1"/>
  <c r="E602" i="32451" a="1"/>
  <c r="E602" i="32451" s="1"/>
  <c r="B602" i="32451" s="1"/>
  <c r="D596" i="32451" a="1"/>
  <c r="D596" i="32451" s="1"/>
  <c r="D589" i="32451" a="1"/>
  <c r="D589" i="32451" s="1"/>
  <c r="D581" i="32451" a="1"/>
  <c r="D581" i="32451" s="1"/>
  <c r="E574" i="32451" a="1"/>
  <c r="E574" i="32451" s="1"/>
  <c r="B574" i="32451" s="1"/>
  <c r="E567" i="32451" a="1"/>
  <c r="E567" i="32451" s="1"/>
  <c r="B567" i="32451" s="1"/>
  <c r="E561" i="32451" a="1"/>
  <c r="E561" i="32451" s="1"/>
  <c r="B561" i="32451" s="1"/>
  <c r="E553" i="32451" a="1"/>
  <c r="E553" i="32451" s="1"/>
  <c r="B553" i="32451" s="1"/>
  <c r="D547" i="32451" a="1"/>
  <c r="D547" i="32451" s="1"/>
  <c r="E540" i="32451" a="1"/>
  <c r="E540" i="32451" s="1"/>
  <c r="B540" i="32451" s="1"/>
  <c r="D533" i="32451" a="1"/>
  <c r="D533" i="32451" s="1"/>
  <c r="D505" i="32451" a="1"/>
  <c r="D505" i="32451" s="1"/>
  <c r="D497" i="32451" a="1"/>
  <c r="D497" i="32451" s="1"/>
  <c r="D484" i="32451" a="1"/>
  <c r="D484" i="32451" s="1"/>
  <c r="E475" i="32451" a="1"/>
  <c r="E475" i="32451" s="1"/>
  <c r="B475" i="32451" s="1"/>
  <c r="D470" i="32451" a="1"/>
  <c r="D470" i="32451" s="1"/>
  <c r="E463" i="32451" a="1"/>
  <c r="E463" i="32451" s="1"/>
  <c r="B463" i="32451" s="1"/>
  <c r="D457" i="32451" a="1"/>
  <c r="D457" i="32451" s="1"/>
  <c r="E449" i="32451" a="1"/>
  <c r="E449" i="32451" s="1"/>
  <c r="B449" i="32451" s="1"/>
  <c r="D444" i="32451" a="1"/>
  <c r="D444" i="32451" s="1"/>
  <c r="E436" i="32451" a="1"/>
  <c r="E436" i="32451" s="1"/>
  <c r="B436" i="32451" s="1"/>
  <c r="E429" i="32451" a="1"/>
  <c r="E429" i="32451" s="1"/>
  <c r="B429" i="32451" s="1"/>
  <c r="E423" i="32451" a="1"/>
  <c r="E423" i="32451" s="1"/>
  <c r="B423" i="32451" s="1"/>
  <c r="E416" i="32451" a="1"/>
  <c r="E416" i="32451" s="1"/>
  <c r="B416" i="32451" s="1"/>
  <c r="D409" i="32451" a="1"/>
  <c r="D409" i="32451" s="1"/>
  <c r="E394" i="32451" a="1"/>
  <c r="E394" i="32451" s="1"/>
  <c r="B394" i="32451" s="1"/>
  <c r="E387" i="32451" a="1"/>
  <c r="E387" i="32451" s="1"/>
  <c r="B387" i="32451" s="1"/>
  <c r="D374" i="32451" a="1"/>
  <c r="D374" i="32451" s="1"/>
  <c r="E367" i="32451" a="1"/>
  <c r="E367" i="32451" s="1"/>
  <c r="B367" i="32451" s="1"/>
  <c r="E358" i="32451" a="1"/>
  <c r="E358" i="32451" s="1"/>
  <c r="B358" i="32451" s="1"/>
  <c r="E350" i="32451" a="1"/>
  <c r="E350" i="32451" s="1"/>
  <c r="B350" i="32451" s="1"/>
  <c r="D346" i="32451" a="1"/>
  <c r="D346" i="32451" s="1"/>
  <c r="D328" i="32451" a="1"/>
  <c r="D328" i="32451" s="1"/>
  <c r="E324" i="32451" a="1"/>
  <c r="E324" i="32451" s="1"/>
  <c r="B324" i="32451" s="1"/>
  <c r="E320" i="32451" a="1"/>
  <c r="E320" i="32451" s="1"/>
  <c r="B320" i="32451" s="1"/>
  <c r="E315" i="32451" a="1"/>
  <c r="E315" i="32451" s="1"/>
  <c r="B315" i="32451" s="1"/>
  <c r="D312" i="32451" a="1"/>
  <c r="D312" i="32451" s="1"/>
  <c r="E307" i="32451" a="1"/>
  <c r="E307" i="32451" s="1"/>
  <c r="B307" i="32451" s="1"/>
  <c r="D303" i="32451" a="1"/>
  <c r="D303" i="32451" s="1"/>
  <c r="E299" i="32451" a="1"/>
  <c r="E299" i="32451" s="1"/>
  <c r="B299" i="32451" s="1"/>
  <c r="E294" i="32451" a="1"/>
  <c r="E294" i="32451" s="1"/>
  <c r="B294" i="32451" s="1"/>
  <c r="E290" i="32451" a="1"/>
  <c r="E290" i="32451" s="1"/>
  <c r="B290" i="32451" s="1"/>
  <c r="D287" i="32451" a="1"/>
  <c r="D287" i="32451" s="1"/>
  <c r="D274" i="32451" a="1"/>
  <c r="D274" i="32451" s="1"/>
  <c r="D269" i="32451" a="1"/>
  <c r="D269" i="32451" s="1"/>
  <c r="D256" i="32451" a="1"/>
  <c r="D256" i="32451" s="1"/>
  <c r="E252" i="32451" a="1"/>
  <c r="E252" i="32451" s="1"/>
  <c r="B252" i="32451" s="1"/>
  <c r="E248" i="32451" a="1"/>
  <c r="E248" i="32451" s="1"/>
  <c r="B248" i="32451" s="1"/>
  <c r="E243" i="32451" a="1"/>
  <c r="E243" i="32451" s="1"/>
  <c r="B243" i="32451" s="1"/>
  <c r="D240" i="32451" a="1"/>
  <c r="D240" i="32451" s="1"/>
  <c r="E235" i="32451" a="1"/>
  <c r="E235" i="32451" s="1"/>
  <c r="B235" i="32451" s="1"/>
  <c r="D231" i="32451" a="1"/>
  <c r="D231" i="32451" s="1"/>
  <c r="E227" i="32451" a="1"/>
  <c r="E227" i="32451" s="1"/>
  <c r="B227" i="32451" s="1"/>
  <c r="E222" i="32451" a="1"/>
  <c r="E222" i="32451" s="1"/>
  <c r="B222" i="32451" s="1"/>
  <c r="E218" i="32451" a="1"/>
  <c r="E218" i="32451" s="1"/>
  <c r="B218" i="32451" s="1"/>
  <c r="D215" i="32451" a="1"/>
  <c r="D215" i="32451" s="1"/>
  <c r="D202" i="32451" a="1"/>
  <c r="D202" i="32451" s="1"/>
  <c r="D197" i="32451" a="1"/>
  <c r="D197" i="32451" s="1"/>
  <c r="E184" i="32451" a="1"/>
  <c r="E184" i="32451" s="1"/>
  <c r="B184" i="32451" s="1"/>
  <c r="E176" i="32451" a="1"/>
  <c r="E176" i="32451" s="1"/>
  <c r="B176" i="32451" s="1"/>
  <c r="E689" i="32451" a="1"/>
  <c r="E689" i="32451" s="1"/>
  <c r="B689" i="32451" s="1"/>
  <c r="D680" i="32451" a="1"/>
  <c r="D680" i="32451" s="1"/>
  <c r="D671" i="32451" a="1"/>
  <c r="D671" i="32451" s="1"/>
  <c r="D664" i="32451" a="1"/>
  <c r="D664" i="32451" s="1"/>
  <c r="D655" i="32451" a="1"/>
  <c r="D655" i="32451" s="1"/>
  <c r="D646" i="32451" a="1"/>
  <c r="D646" i="32451" s="1"/>
  <c r="D639" i="32451" a="1"/>
  <c r="D639" i="32451" s="1"/>
  <c r="E631" i="32451" a="1"/>
  <c r="E631" i="32451" s="1"/>
  <c r="B631" i="32451" s="1"/>
  <c r="D595" i="32451" a="1"/>
  <c r="D595" i="32451" s="1"/>
  <c r="D553" i="32451" a="1"/>
  <c r="D553" i="32451" s="1"/>
  <c r="D546" i="32451" a="1"/>
  <c r="D546" i="32451" s="1"/>
  <c r="D540" i="32451" a="1"/>
  <c r="D540" i="32451" s="1"/>
  <c r="D526" i="32451" a="1"/>
  <c r="D526" i="32451" s="1"/>
  <c r="D518" i="32451" a="1"/>
  <c r="D518" i="32451" s="1"/>
  <c r="D513" i="32451" a="1"/>
  <c r="D513" i="32451" s="1"/>
  <c r="E504" i="32451" a="1"/>
  <c r="E504" i="32451" s="1"/>
  <c r="B504" i="32451" s="1"/>
  <c r="E496" i="32451" a="1"/>
  <c r="E496" i="32451" s="1"/>
  <c r="B496" i="32451" s="1"/>
  <c r="E490" i="32451" a="1"/>
  <c r="E490" i="32451" s="1"/>
  <c r="B490" i="32451" s="1"/>
  <c r="E483" i="32451" a="1"/>
  <c r="E483" i="32451" s="1"/>
  <c r="B483" i="32451" s="1"/>
  <c r="D475" i="32451" a="1"/>
  <c r="D475" i="32451" s="1"/>
  <c r="E468" i="32451" a="1"/>
  <c r="E468" i="32451" s="1"/>
  <c r="B468" i="32451" s="1"/>
  <c r="D429" i="32451" a="1"/>
  <c r="D429" i="32451" s="1"/>
  <c r="D416" i="32451" a="1"/>
  <c r="D416" i="32451" s="1"/>
  <c r="E408" i="32451" a="1"/>
  <c r="E408" i="32451" s="1"/>
  <c r="B408" i="32451" s="1"/>
  <c r="E393" i="32451" a="1"/>
  <c r="E393" i="32451" s="1"/>
  <c r="B393" i="32451" s="1"/>
  <c r="D387" i="32451" a="1"/>
  <c r="D387" i="32451" s="1"/>
  <c r="D380" i="32451" a="1"/>
  <c r="D380" i="32451" s="1"/>
  <c r="D358" i="32451" a="1"/>
  <c r="D358" i="32451" s="1"/>
  <c r="D350" i="32451" a="1"/>
  <c r="D350" i="32451" s="1"/>
  <c r="E345" i="32451" a="1"/>
  <c r="E345" i="32451" s="1"/>
  <c r="B345" i="32451" s="1"/>
  <c r="E340" i="32451" a="1"/>
  <c r="E340" i="32451" s="1"/>
  <c r="B340" i="32451" s="1"/>
  <c r="D337" i="32451" a="1"/>
  <c r="D337" i="32451" s="1"/>
  <c r="D333" i="32451" a="1"/>
  <c r="D333" i="32451" s="1"/>
  <c r="D320" i="32451" a="1"/>
  <c r="D320" i="32451" s="1"/>
  <c r="D307" i="32451" a="1"/>
  <c r="D307" i="32451" s="1"/>
  <c r="D294" i="32451" a="1"/>
  <c r="D294" i="32451" s="1"/>
  <c r="D290" i="32451" a="1"/>
  <c r="D290" i="32451" s="1"/>
  <c r="E286" i="32451" a="1"/>
  <c r="E286" i="32451" s="1"/>
  <c r="B286" i="32451" s="1"/>
  <c r="E281" i="32451" a="1"/>
  <c r="E281" i="32451" s="1"/>
  <c r="B281" i="32451" s="1"/>
  <c r="E277" i="32451" a="1"/>
  <c r="E277" i="32451" s="1"/>
  <c r="B277" i="32451" s="1"/>
  <c r="E273" i="32451" a="1"/>
  <c r="E273" i="32451" s="1"/>
  <c r="B273" i="32451" s="1"/>
  <c r="E268" i="32451" a="1"/>
  <c r="E268" i="32451" s="1"/>
  <c r="B268" i="32451" s="1"/>
  <c r="D265" i="32451" a="1"/>
  <c r="D265" i="32451" s="1"/>
  <c r="D261" i="32451" a="1"/>
  <c r="D261" i="32451" s="1"/>
  <c r="D248" i="32451" a="1"/>
  <c r="D248" i="32451" s="1"/>
  <c r="D235" i="32451" a="1"/>
  <c r="D235" i="32451" s="1"/>
  <c r="D222" i="32451" a="1"/>
  <c r="D222" i="32451" s="1"/>
  <c r="D218" i="32451" a="1"/>
  <c r="D218" i="32451" s="1"/>
  <c r="E214" i="32451" a="1"/>
  <c r="E214" i="32451" s="1"/>
  <c r="B214" i="32451" s="1"/>
  <c r="E209" i="32451" a="1"/>
  <c r="E209" i="32451" s="1"/>
  <c r="B209" i="32451" s="1"/>
  <c r="E205" i="32451" a="1"/>
  <c r="E205" i="32451" s="1"/>
  <c r="B205" i="32451" s="1"/>
  <c r="E201" i="32451" a="1"/>
  <c r="E201" i="32451" s="1"/>
  <c r="B201" i="32451" s="1"/>
  <c r="E196" i="32451" a="1"/>
  <c r="E196" i="32451" s="1"/>
  <c r="B196" i="32451" s="1"/>
  <c r="D193" i="32451" a="1"/>
  <c r="D193" i="32451" s="1"/>
  <c r="D189" i="32451" a="1"/>
  <c r="D189" i="32451" s="1"/>
  <c r="D181" i="32451" a="1"/>
  <c r="D181" i="32451" s="1"/>
  <c r="D176" i="32451" a="1"/>
  <c r="D176" i="32451" s="1"/>
  <c r="E171" i="32451" a="1"/>
  <c r="E171" i="32451" s="1"/>
  <c r="B171" i="32451" s="1"/>
  <c r="B705" i="32451"/>
  <c r="D689" i="32451" a="1"/>
  <c r="D689" i="32451" s="1"/>
  <c r="E679" i="32451" a="1"/>
  <c r="E679" i="32451" s="1"/>
  <c r="B679" i="32451" s="1"/>
  <c r="D670" i="32451" a="1"/>
  <c r="D670" i="32451" s="1"/>
  <c r="D663" i="32451" a="1"/>
  <c r="D663" i="32451" s="1"/>
  <c r="E654" i="32451" a="1"/>
  <c r="E654" i="32451" s="1"/>
  <c r="B654" i="32451" s="1"/>
  <c r="E645" i="32451" a="1"/>
  <c r="E645" i="32451" s="1"/>
  <c r="B645" i="32451" s="1"/>
  <c r="D631" i="32451" a="1"/>
  <c r="D631" i="32451" s="1"/>
  <c r="E623" i="32451" a="1"/>
  <c r="E623" i="32451" s="1"/>
  <c r="B623" i="32451" s="1"/>
  <c r="D615" i="32451" a="1"/>
  <c r="D615" i="32451" s="1"/>
  <c r="D610" i="32451" a="1"/>
  <c r="D610" i="32451" s="1"/>
  <c r="D602" i="32451" a="1"/>
  <c r="D602" i="32451" s="1"/>
  <c r="E594" i="32451" a="1"/>
  <c r="E594" i="32451" s="1"/>
  <c r="B594" i="32451" s="1"/>
  <c r="E580" i="32451" a="1"/>
  <c r="E580" i="32451" s="1"/>
  <c r="B580" i="32451" s="1"/>
  <c r="D574" i="32451" a="1"/>
  <c r="D574" i="32451" s="1"/>
  <c r="E560" i="32451" a="1"/>
  <c r="E560" i="32451" s="1"/>
  <c r="B560" i="32451" s="1"/>
  <c r="E545" i="32451" a="1"/>
  <c r="E545" i="32451" s="1"/>
  <c r="B545" i="32451" s="1"/>
  <c r="D539" i="32451" a="1"/>
  <c r="D539" i="32451" s="1"/>
  <c r="E532" i="32451" a="1"/>
  <c r="E532" i="32451" s="1"/>
  <c r="B532" i="32451" s="1"/>
  <c r="E525" i="32451" a="1"/>
  <c r="E525" i="32451" s="1"/>
  <c r="B525" i="32451" s="1"/>
  <c r="E517" i="32451" a="1"/>
  <c r="E517" i="32451" s="1"/>
  <c r="B517" i="32451" s="1"/>
  <c r="D512" i="32451" a="1"/>
  <c r="D512" i="32451" s="1"/>
  <c r="D504" i="32451" a="1"/>
  <c r="D504" i="32451" s="1"/>
  <c r="D489" i="32451" a="1"/>
  <c r="D489" i="32451" s="1"/>
  <c r="D483" i="32451" a="1"/>
  <c r="D483" i="32451" s="1"/>
  <c r="D468" i="32451" a="1"/>
  <c r="D468" i="32451" s="1"/>
  <c r="E456" i="32451" a="1"/>
  <c r="E456" i="32451" s="1"/>
  <c r="B456" i="32451" s="1"/>
  <c r="E448" i="32451" a="1"/>
  <c r="E448" i="32451" s="1"/>
  <c r="B448" i="32451" s="1"/>
  <c r="D442" i="32451" a="1"/>
  <c r="D442" i="32451" s="1"/>
  <c r="D436" i="32451" a="1"/>
  <c r="D436" i="32451" s="1"/>
  <c r="E428" i="32451" a="1"/>
  <c r="E428" i="32451" s="1"/>
  <c r="B428" i="32451" s="1"/>
  <c r="E421" i="32451" a="1"/>
  <c r="E421" i="32451" s="1"/>
  <c r="B421" i="32451" s="1"/>
  <c r="D408" i="32451" a="1"/>
  <c r="D408" i="32451" s="1"/>
  <c r="E400" i="32451" a="1"/>
  <c r="E400" i="32451" s="1"/>
  <c r="B400" i="32451" s="1"/>
  <c r="E379" i="32451" a="1"/>
  <c r="E379" i="32451" s="1"/>
  <c r="B379" i="32451" s="1"/>
  <c r="E366" i="32451" a="1"/>
  <c r="E366" i="32451" s="1"/>
  <c r="B366" i="32451" s="1"/>
  <c r="E357" i="32451" a="1"/>
  <c r="E357" i="32451" s="1"/>
  <c r="B357" i="32451" s="1"/>
  <c r="D345" i="32451" a="1"/>
  <c r="D345" i="32451" s="1"/>
  <c r="D340" i="32451" a="1"/>
  <c r="D340" i="32451" s="1"/>
  <c r="E336" i="32451" a="1"/>
  <c r="E336" i="32451" s="1"/>
  <c r="B336" i="32451" s="1"/>
  <c r="E332" i="32451" a="1"/>
  <c r="E332" i="32451" s="1"/>
  <c r="B332" i="32451" s="1"/>
  <c r="E327" i="32451" a="1"/>
  <c r="E327" i="32451" s="1"/>
  <c r="B327" i="32451" s="1"/>
  <c r="D324" i="32451" a="1"/>
  <c r="D324" i="32451" s="1"/>
  <c r="E319" i="32451" a="1"/>
  <c r="E319" i="32451" s="1"/>
  <c r="B319" i="32451" s="1"/>
  <c r="D315" i="32451" a="1"/>
  <c r="D315" i="32451" s="1"/>
  <c r="E311" i="32451" a="1"/>
  <c r="E311" i="32451" s="1"/>
  <c r="B311" i="32451" s="1"/>
  <c r="E306" i="32451" a="1"/>
  <c r="E306" i="32451" s="1"/>
  <c r="B306" i="32451" s="1"/>
  <c r="E302" i="32451" a="1"/>
  <c r="E302" i="32451" s="1"/>
  <c r="B302" i="32451" s="1"/>
  <c r="D299" i="32451" a="1"/>
  <c r="D299" i="32451" s="1"/>
  <c r="D286" i="32451" a="1"/>
  <c r="D286" i="32451" s="1"/>
  <c r="D281" i="32451" a="1"/>
  <c r="D281" i="32451" s="1"/>
  <c r="D268" i="32451" a="1"/>
  <c r="D268" i="32451" s="1"/>
  <c r="E264" i="32451" a="1"/>
  <c r="E264" i="32451" s="1"/>
  <c r="B264" i="32451" s="1"/>
  <c r="E260" i="32451" a="1"/>
  <c r="E260" i="32451" s="1"/>
  <c r="B260" i="32451" s="1"/>
  <c r="E255" i="32451" a="1"/>
  <c r="E255" i="32451" s="1"/>
  <c r="B255" i="32451" s="1"/>
  <c r="D252" i="32451" a="1"/>
  <c r="D252" i="32451" s="1"/>
  <c r="E247" i="32451" a="1"/>
  <c r="E247" i="32451" s="1"/>
  <c r="B247" i="32451" s="1"/>
  <c r="D243" i="32451" a="1"/>
  <c r="D243" i="32451" s="1"/>
  <c r="E239" i="32451" a="1"/>
  <c r="E239" i="32451" s="1"/>
  <c r="B239" i="32451" s="1"/>
  <c r="E234" i="32451" a="1"/>
  <c r="E234" i="32451" s="1"/>
  <c r="B234" i="32451" s="1"/>
  <c r="E230" i="32451" a="1"/>
  <c r="E230" i="32451" s="1"/>
  <c r="B230" i="32451" s="1"/>
  <c r="D227" i="32451" a="1"/>
  <c r="D227" i="32451" s="1"/>
  <c r="D214" i="32451" a="1"/>
  <c r="D214" i="32451" s="1"/>
  <c r="D209" i="32451" a="1"/>
  <c r="D209" i="32451" s="1"/>
  <c r="D196" i="32451" a="1"/>
  <c r="D196" i="32451" s="1"/>
  <c r="E192" i="32451" a="1"/>
  <c r="E192" i="32451" s="1"/>
  <c r="B192" i="32451" s="1"/>
  <c r="E188" i="32451" a="1"/>
  <c r="E188" i="32451" s="1"/>
  <c r="B188" i="32451" s="1"/>
  <c r="D184" i="32451" a="1"/>
  <c r="D184" i="32451" s="1"/>
  <c r="E180" i="32451" a="1"/>
  <c r="E180" i="32451" s="1"/>
  <c r="B180" i="32451" s="1"/>
  <c r="E175" i="32451" a="1"/>
  <c r="E175" i="32451" s="1"/>
  <c r="B175" i="32451" s="1"/>
  <c r="D695" i="32451" a="1"/>
  <c r="D695" i="32451" s="1"/>
  <c r="D688" i="32451" a="1"/>
  <c r="D688" i="32451" s="1"/>
  <c r="E669" i="32451" a="1"/>
  <c r="E669" i="32451" s="1"/>
  <c r="B669" i="32451" s="1"/>
  <c r="E661" i="32451" a="1"/>
  <c r="E661" i="32451" s="1"/>
  <c r="B661" i="32451" s="1"/>
  <c r="D637" i="32451" a="1"/>
  <c r="D637" i="32451" s="1"/>
  <c r="E608" i="32451" a="1"/>
  <c r="E608" i="32451" s="1"/>
  <c r="B608" i="32451" s="1"/>
  <c r="D594" i="32451" a="1"/>
  <c r="D594" i="32451" s="1"/>
  <c r="E579" i="32451" a="1"/>
  <c r="E579" i="32451" s="1"/>
  <c r="B579" i="32451" s="1"/>
  <c r="E573" i="32451" a="1"/>
  <c r="E573" i="32451" s="1"/>
  <c r="B573" i="32451" s="1"/>
  <c r="E565" i="32451" a="1"/>
  <c r="E565" i="32451" s="1"/>
  <c r="B565" i="32451" s="1"/>
  <c r="D559" i="32451" a="1"/>
  <c r="D559" i="32451" s="1"/>
  <c r="E552" i="32451" a="1"/>
  <c r="E552" i="32451" s="1"/>
  <c r="B552" i="32451" s="1"/>
  <c r="D545" i="32451" a="1"/>
  <c r="D545" i="32451" s="1"/>
  <c r="E538" i="32451" a="1"/>
  <c r="E538" i="32451" s="1"/>
  <c r="B538" i="32451" s="1"/>
  <c r="E531" i="32451" a="1"/>
  <c r="E531" i="32451" s="1"/>
  <c r="B531" i="32451" s="1"/>
  <c r="D517" i="32451" a="1"/>
  <c r="D517" i="32451" s="1"/>
  <c r="D510" i="32451" a="1"/>
  <c r="D510" i="32451" s="1"/>
  <c r="D496" i="32451" a="1"/>
  <c r="D496" i="32451" s="1"/>
  <c r="D488" i="32451" a="1"/>
  <c r="D488" i="32451" s="1"/>
  <c r="E474" i="32451" a="1"/>
  <c r="E474" i="32451" s="1"/>
  <c r="B474" i="32451" s="1"/>
  <c r="E467" i="32451" a="1"/>
  <c r="E467" i="32451" s="1"/>
  <c r="B467" i="32451" s="1"/>
  <c r="E461" i="32451" a="1"/>
  <c r="E461" i="32451" s="1"/>
  <c r="B461" i="32451" s="1"/>
  <c r="D456" i="32451" a="1"/>
  <c r="D456" i="32451" s="1"/>
  <c r="D441" i="32451" a="1"/>
  <c r="D441" i="32451" s="1"/>
  <c r="D421" i="32451" a="1"/>
  <c r="D421" i="32451" s="1"/>
  <c r="E407" i="32451" a="1"/>
  <c r="E407" i="32451" s="1"/>
  <c r="B407" i="32451" s="1"/>
  <c r="D400" i="32451" a="1"/>
  <c r="D400" i="32451" s="1"/>
  <c r="E391" i="32451" a="1"/>
  <c r="E391" i="32451" s="1"/>
  <c r="B391" i="32451" s="1"/>
  <c r="D379" i="32451" a="1"/>
  <c r="D379" i="32451" s="1"/>
  <c r="D372" i="32451" a="1"/>
  <c r="D372" i="32451" s="1"/>
  <c r="D365" i="32451" a="1"/>
  <c r="D365" i="32451" s="1"/>
  <c r="D357" i="32451" a="1"/>
  <c r="D357" i="32451" s="1"/>
  <c r="E349" i="32451" a="1"/>
  <c r="E349" i="32451" s="1"/>
  <c r="B349" i="32451" s="1"/>
  <c r="E344" i="32451" a="1"/>
  <c r="E344" i="32451" s="1"/>
  <c r="B344" i="32451" s="1"/>
  <c r="D332" i="32451" a="1"/>
  <c r="D332" i="32451" s="1"/>
  <c r="D319" i="32451" a="1"/>
  <c r="D319" i="32451" s="1"/>
  <c r="D306" i="32451" a="1"/>
  <c r="D306" i="32451" s="1"/>
  <c r="D302" i="32451" a="1"/>
  <c r="D302" i="32451" s="1"/>
  <c r="E298" i="32451" a="1"/>
  <c r="E298" i="32451" s="1"/>
  <c r="B298" i="32451" s="1"/>
  <c r="E293" i="32451" a="1"/>
  <c r="E293" i="32451" s="1"/>
  <c r="B293" i="32451" s="1"/>
  <c r="E289" i="32451" a="1"/>
  <c r="E289" i="32451" s="1"/>
  <c r="B289" i="32451" s="1"/>
  <c r="E285" i="32451" a="1"/>
  <c r="E285" i="32451" s="1"/>
  <c r="B285" i="32451" s="1"/>
  <c r="E280" i="32451" a="1"/>
  <c r="E280" i="32451" s="1"/>
  <c r="B280" i="32451" s="1"/>
  <c r="D277" i="32451" a="1"/>
  <c r="D277" i="32451" s="1"/>
  <c r="D273" i="32451" a="1"/>
  <c r="D273" i="32451" s="1"/>
  <c r="D260" i="32451" a="1"/>
  <c r="D260" i="32451" s="1"/>
  <c r="D247" i="32451" a="1"/>
  <c r="D247" i="32451" s="1"/>
  <c r="D234" i="32451" a="1"/>
  <c r="D234" i="32451" s="1"/>
  <c r="D230" i="32451" a="1"/>
  <c r="D230" i="32451" s="1"/>
  <c r="E226" i="32451" a="1"/>
  <c r="E226" i="32451" s="1"/>
  <c r="B226" i="32451" s="1"/>
  <c r="E221" i="32451" a="1"/>
  <c r="E221" i="32451" s="1"/>
  <c r="B221" i="32451" s="1"/>
  <c r="E217" i="32451" a="1"/>
  <c r="E217" i="32451" s="1"/>
  <c r="B217" i="32451" s="1"/>
  <c r="E213" i="32451" a="1"/>
  <c r="E213" i="32451" s="1"/>
  <c r="B213" i="32451" s="1"/>
  <c r="E208" i="32451" a="1"/>
  <c r="E208" i="32451" s="1"/>
  <c r="B208" i="32451" s="1"/>
  <c r="D205" i="32451" a="1"/>
  <c r="D205" i="32451" s="1"/>
  <c r="D201" i="32451" a="1"/>
  <c r="D201" i="32451" s="1"/>
  <c r="B704" i="32451"/>
  <c r="E694" i="32451" a="1"/>
  <c r="E694" i="32451" s="1"/>
  <c r="B694" i="32451" s="1"/>
  <c r="D686" i="32451" a="1"/>
  <c r="D686" i="32451" s="1"/>
  <c r="D679" i="32451" a="1"/>
  <c r="D679" i="32451" s="1"/>
  <c r="E660" i="32451" a="1"/>
  <c r="E660" i="32451" s="1"/>
  <c r="B660" i="32451" s="1"/>
  <c r="E653" i="32451" a="1"/>
  <c r="E653" i="32451" s="1"/>
  <c r="B653" i="32451" s="1"/>
  <c r="D645" i="32451" a="1"/>
  <c r="D645" i="32451" s="1"/>
  <c r="E636" i="32451" a="1"/>
  <c r="E636" i="32451" s="1"/>
  <c r="B636" i="32451" s="1"/>
  <c r="D623" i="32451" a="1"/>
  <c r="D623" i="32451" s="1"/>
  <c r="E614" i="32451" a="1"/>
  <c r="E614" i="32451" s="1"/>
  <c r="B614" i="32451" s="1"/>
  <c r="D608" i="32451" a="1"/>
  <c r="D608" i="32451" s="1"/>
  <c r="D601" i="32451" a="1"/>
  <c r="D601" i="32451" s="1"/>
  <c r="E593" i="32451" a="1"/>
  <c r="E593" i="32451" s="1"/>
  <c r="B593" i="32451" s="1"/>
  <c r="E586" i="32451" a="1"/>
  <c r="E586" i="32451" s="1"/>
  <c r="B586" i="32451" s="1"/>
  <c r="D565" i="32451" a="1"/>
  <c r="D565" i="32451" s="1"/>
  <c r="D558" i="32451" a="1"/>
  <c r="D558" i="32451" s="1"/>
  <c r="D552" i="32451" a="1"/>
  <c r="D552" i="32451" s="1"/>
  <c r="D525" i="32451" a="1"/>
  <c r="D525" i="32451" s="1"/>
  <c r="E509" i="32451" a="1"/>
  <c r="E509" i="32451" s="1"/>
  <c r="B509" i="32451" s="1"/>
  <c r="E495" i="32451" a="1"/>
  <c r="E495" i="32451" s="1"/>
  <c r="B495" i="32451" s="1"/>
  <c r="E487" i="32451" a="1"/>
  <c r="E487" i="32451" s="1"/>
  <c r="B487" i="32451" s="1"/>
  <c r="D481" i="32451" a="1"/>
  <c r="D481" i="32451" s="1"/>
  <c r="D474" i="32451" a="1"/>
  <c r="D474" i="32451" s="1"/>
  <c r="D448" i="32451" a="1"/>
  <c r="D448" i="32451" s="1"/>
  <c r="E440" i="32451" a="1"/>
  <c r="E440" i="32451" s="1"/>
  <c r="B440" i="32451" s="1"/>
  <c r="D434" i="32451" a="1"/>
  <c r="D434" i="32451" s="1"/>
  <c r="D428" i="32451" a="1"/>
  <c r="D428" i="32451" s="1"/>
  <c r="E413" i="32451" a="1"/>
  <c r="E413" i="32451" s="1"/>
  <c r="B413" i="32451" s="1"/>
  <c r="E399" i="32451" a="1"/>
  <c r="E399" i="32451" s="1"/>
  <c r="B399" i="32451" s="1"/>
  <c r="D391" i="32451" a="1"/>
  <c r="D391" i="32451" s="1"/>
  <c r="D385" i="32451" a="1"/>
  <c r="D385" i="32451" s="1"/>
  <c r="E371" i="32451" a="1"/>
  <c r="E371" i="32451" s="1"/>
  <c r="B371" i="32451" s="1"/>
  <c r="D364" i="32451" a="1"/>
  <c r="D364" i="32451" s="1"/>
  <c r="D356" i="32451" a="1"/>
  <c r="D356" i="32451" s="1"/>
  <c r="D344" i="32451" a="1"/>
  <c r="D344" i="32451" s="1"/>
  <c r="E339" i="32451" a="1"/>
  <c r="E339" i="32451" s="1"/>
  <c r="B339" i="32451" s="1"/>
  <c r="D336" i="32451" a="1"/>
  <c r="D336" i="32451" s="1"/>
  <c r="E331" i="32451" a="1"/>
  <c r="E331" i="32451" s="1"/>
  <c r="B331" i="32451" s="1"/>
  <c r="D327" i="32451" a="1"/>
  <c r="D327" i="32451" s="1"/>
  <c r="E323" i="32451" a="1"/>
  <c r="E323" i="32451" s="1"/>
  <c r="B323" i="32451" s="1"/>
  <c r="E318" i="32451" a="1"/>
  <c r="E318" i="32451" s="1"/>
  <c r="B318" i="32451" s="1"/>
  <c r="E314" i="32451" a="1"/>
  <c r="E314" i="32451" s="1"/>
  <c r="B314" i="32451" s="1"/>
  <c r="D311" i="32451" a="1"/>
  <c r="D311" i="32451" s="1"/>
  <c r="D298" i="32451" a="1"/>
  <c r="D298" i="32451" s="1"/>
  <c r="D293" i="32451" a="1"/>
  <c r="D293" i="32451" s="1"/>
  <c r="D280" i="32451" a="1"/>
  <c r="D280" i="32451" s="1"/>
  <c r="E276" i="32451" a="1"/>
  <c r="E276" i="32451" s="1"/>
  <c r="B276" i="32451" s="1"/>
  <c r="E272" i="32451" a="1"/>
  <c r="E272" i="32451" s="1"/>
  <c r="B272" i="32451" s="1"/>
  <c r="E267" i="32451" a="1"/>
  <c r="E267" i="32451" s="1"/>
  <c r="B267" i="32451" s="1"/>
  <c r="D264" i="32451" a="1"/>
  <c r="D264" i="32451" s="1"/>
  <c r="E259" i="32451" a="1"/>
  <c r="E259" i="32451" s="1"/>
  <c r="B259" i="32451" s="1"/>
  <c r="D255" i="32451" a="1"/>
  <c r="D255" i="32451" s="1"/>
  <c r="E251" i="32451" a="1"/>
  <c r="E251" i="32451" s="1"/>
  <c r="B251" i="32451" s="1"/>
  <c r="E246" i="32451" a="1"/>
  <c r="E246" i="32451" s="1"/>
  <c r="B246" i="32451" s="1"/>
  <c r="E242" i="32451" a="1"/>
  <c r="E242" i="32451" s="1"/>
  <c r="B242" i="32451" s="1"/>
  <c r="D239" i="32451" a="1"/>
  <c r="D239" i="32451" s="1"/>
  <c r="D226" i="32451" a="1"/>
  <c r="D226" i="32451" s="1"/>
  <c r="D221" i="32451" a="1"/>
  <c r="D221" i="32451" s="1"/>
  <c r="D208" i="32451" a="1"/>
  <c r="D208" i="32451" s="1"/>
  <c r="E204" i="32451" a="1"/>
  <c r="E204" i="32451" s="1"/>
  <c r="B204" i="32451" s="1"/>
  <c r="E200" i="32451" a="1"/>
  <c r="E200" i="32451" s="1"/>
  <c r="B200" i="32451" s="1"/>
  <c r="E195" i="32451" a="1"/>
  <c r="E195" i="32451" s="1"/>
  <c r="B195" i="32451" s="1"/>
  <c r="D192" i="32451" a="1"/>
  <c r="D192" i="32451" s="1"/>
  <c r="E187" i="32451" a="1"/>
  <c r="E187" i="32451" s="1"/>
  <c r="B187" i="32451" s="1"/>
  <c r="E183" i="32451" a="1"/>
  <c r="E183" i="32451" s="1"/>
  <c r="B183" i="32451" s="1"/>
  <c r="D180" i="32451" a="1"/>
  <c r="D180" i="32451" s="1"/>
  <c r="E690" i="32451" a="1"/>
  <c r="E690" i="32451" s="1"/>
  <c r="B690" i="32451" s="1"/>
  <c r="D675" i="32451" a="1"/>
  <c r="D675" i="32451" s="1"/>
  <c r="E648" i="32451" a="1"/>
  <c r="E648" i="32451" s="1"/>
  <c r="B648" i="32451" s="1"/>
  <c r="D620" i="32451" a="1"/>
  <c r="D620" i="32451" s="1"/>
  <c r="E607" i="32451" a="1"/>
  <c r="E607" i="32451" s="1"/>
  <c r="B607" i="32451" s="1"/>
  <c r="D598" i="32451" a="1"/>
  <c r="D598" i="32451" s="1"/>
  <c r="E584" i="32451" a="1"/>
  <c r="E584" i="32451" s="1"/>
  <c r="B584" i="32451" s="1"/>
  <c r="D571" i="32451" a="1"/>
  <c r="D571" i="32451" s="1"/>
  <c r="D562" i="32451" a="1"/>
  <c r="D562" i="32451" s="1"/>
  <c r="E549" i="32451" a="1"/>
  <c r="E549" i="32451" s="1"/>
  <c r="B549" i="32451" s="1"/>
  <c r="D524" i="32451" a="1"/>
  <c r="D524" i="32451" s="1"/>
  <c r="D487" i="32451" a="1"/>
  <c r="D487" i="32451" s="1"/>
  <c r="D453" i="32451" a="1"/>
  <c r="D453" i="32451" s="1"/>
  <c r="D440" i="32451" a="1"/>
  <c r="D440" i="32451" s="1"/>
  <c r="D431" i="32451" a="1"/>
  <c r="D431" i="32451" s="1"/>
  <c r="D418" i="32451" a="1"/>
  <c r="D418" i="32451" s="1"/>
  <c r="D395" i="32451" a="1"/>
  <c r="D395" i="32451" s="1"/>
  <c r="D370" i="32451" a="1"/>
  <c r="D370" i="32451" s="1"/>
  <c r="D354" i="32451" a="1"/>
  <c r="D354" i="32451" s="1"/>
  <c r="D347" i="32451" a="1"/>
  <c r="D347" i="32451" s="1"/>
  <c r="E338" i="32451" a="1"/>
  <c r="E338" i="32451" s="1"/>
  <c r="B338" i="32451" s="1"/>
  <c r="E330" i="32451" a="1"/>
  <c r="E330" i="32451" s="1"/>
  <c r="B330" i="32451" s="1"/>
  <c r="D325" i="32451" a="1"/>
  <c r="D325" i="32451" s="1"/>
  <c r="E316" i="32451" a="1"/>
  <c r="E316" i="32451" s="1"/>
  <c r="B316" i="32451" s="1"/>
  <c r="E309" i="32451" a="1"/>
  <c r="E309" i="32451" s="1"/>
  <c r="B309" i="32451" s="1"/>
  <c r="E301" i="32451" a="1"/>
  <c r="E301" i="32451" s="1"/>
  <c r="B301" i="32451" s="1"/>
  <c r="E295" i="32451" a="1"/>
  <c r="E295" i="32451" s="1"/>
  <c r="B295" i="32451" s="1"/>
  <c r="D288" i="32451" a="1"/>
  <c r="D288" i="32451" s="1"/>
  <c r="E279" i="32451" a="1"/>
  <c r="E279" i="32451" s="1"/>
  <c r="B279" i="32451" s="1"/>
  <c r="E274" i="32451" a="1"/>
  <c r="E274" i="32451" s="1"/>
  <c r="B274" i="32451" s="1"/>
  <c r="D266" i="32451" a="1"/>
  <c r="D266" i="32451" s="1"/>
  <c r="D258" i="32451" a="1"/>
  <c r="D258" i="32451" s="1"/>
  <c r="D244" i="32451" a="1"/>
  <c r="D244" i="32451" s="1"/>
  <c r="D223" i="32451" a="1"/>
  <c r="D223" i="32451" s="1"/>
  <c r="D200" i="32451" a="1"/>
  <c r="D200" i="32451" s="1"/>
  <c r="D194" i="32451" a="1"/>
  <c r="D194" i="32451" s="1"/>
  <c r="D187" i="32451" a="1"/>
  <c r="D187" i="32451" s="1"/>
  <c r="D182" i="32451" a="1"/>
  <c r="D182" i="32451" s="1"/>
  <c r="E174" i="32451" a="1"/>
  <c r="E174" i="32451" s="1"/>
  <c r="B174" i="32451" s="1"/>
  <c r="E169" i="32451" a="1"/>
  <c r="E169" i="32451" s="1"/>
  <c r="B169" i="32451" s="1"/>
  <c r="E165" i="32451" a="1"/>
  <c r="E165" i="32451" s="1"/>
  <c r="B165" i="32451" s="1"/>
  <c r="E161" i="32451" a="1"/>
  <c r="E161" i="32451" s="1"/>
  <c r="B161" i="32451" s="1"/>
  <c r="D145" i="32451" a="1"/>
  <c r="D145" i="32451" s="1"/>
  <c r="D140" i="32451" a="1"/>
  <c r="D140" i="32451" s="1"/>
  <c r="D136" i="32451" a="1"/>
  <c r="D136" i="32451" s="1"/>
  <c r="E131" i="32451" a="1"/>
  <c r="E131" i="32451" s="1"/>
  <c r="B131" i="32451" s="1"/>
  <c r="E127" i="32451" a="1"/>
  <c r="E127" i="32451" s="1"/>
  <c r="B127" i="32451" s="1"/>
  <c r="D124" i="32451" a="1"/>
  <c r="D124" i="32451" s="1"/>
  <c r="E119" i="32451" a="1"/>
  <c r="E119" i="32451" s="1"/>
  <c r="B119" i="32451" s="1"/>
  <c r="D112" i="32451" a="1"/>
  <c r="D112" i="32451" s="1"/>
  <c r="E107" i="32451" a="1"/>
  <c r="E107" i="32451" s="1"/>
  <c r="B107" i="32451" s="1"/>
  <c r="D100" i="32451" a="1"/>
  <c r="D100" i="32451" s="1"/>
  <c r="E95" i="32451" a="1"/>
  <c r="E95" i="32451" s="1"/>
  <c r="B95" i="32451" s="1"/>
  <c r="D88" i="32451" a="1"/>
  <c r="D88" i="32451" s="1"/>
  <c r="E83" i="32451" a="1"/>
  <c r="E83" i="32451" s="1"/>
  <c r="B83" i="32451" s="1"/>
  <c r="E79" i="32451" a="1"/>
  <c r="E79" i="32451" s="1"/>
  <c r="B79" i="32451" s="1"/>
  <c r="D71" i="32451" a="1"/>
  <c r="D71" i="32451" s="1"/>
  <c r="E67" i="32451" a="1"/>
  <c r="E67" i="32451" s="1"/>
  <c r="B67" i="32451" s="1"/>
  <c r="D59" i="32451" a="1"/>
  <c r="D59" i="32451" s="1"/>
  <c r="E55" i="32451" a="1"/>
  <c r="E55" i="32451" s="1"/>
  <c r="B55" i="32451" s="1"/>
  <c r="D47" i="32451" a="1"/>
  <c r="D47" i="32451" s="1"/>
  <c r="E43" i="32451" a="1"/>
  <c r="E43" i="32451" s="1"/>
  <c r="B43" i="32451" s="1"/>
  <c r="D35" i="32451" a="1"/>
  <c r="D35" i="32451" s="1"/>
  <c r="E674" i="32451" a="1"/>
  <c r="E674" i="32451" s="1"/>
  <c r="B674" i="32451" s="1"/>
  <c r="E659" i="32451" a="1"/>
  <c r="E659" i="32451" s="1"/>
  <c r="B659" i="32451" s="1"/>
  <c r="E619" i="32451" a="1"/>
  <c r="E619" i="32451" s="1"/>
  <c r="B619" i="32451" s="1"/>
  <c r="D607" i="32451" a="1"/>
  <c r="D607" i="32451" s="1"/>
  <c r="D583" i="32451" a="1"/>
  <c r="D583" i="32451" s="1"/>
  <c r="D570" i="32451" a="1"/>
  <c r="D570" i="32451" s="1"/>
  <c r="E557" i="32451" a="1"/>
  <c r="E557" i="32451" s="1"/>
  <c r="B557" i="32451" s="1"/>
  <c r="E536" i="32451" a="1"/>
  <c r="E536" i="32451" s="1"/>
  <c r="B536" i="32451" s="1"/>
  <c r="D522" i="32451" a="1"/>
  <c r="D522" i="32451" s="1"/>
  <c r="E513" i="32451" a="1"/>
  <c r="E513" i="32451" s="1"/>
  <c r="B513" i="32451" s="1"/>
  <c r="E499" i="32451" a="1"/>
  <c r="E499" i="32451" s="1"/>
  <c r="B499" i="32451" s="1"/>
  <c r="D464" i="32451" a="1"/>
  <c r="D464" i="32451" s="1"/>
  <c r="E452" i="32451" a="1"/>
  <c r="E452" i="32451" s="1"/>
  <c r="B452" i="32451" s="1"/>
  <c r="D430" i="32451" a="1"/>
  <c r="D430" i="32451" s="1"/>
  <c r="E417" i="32451" a="1"/>
  <c r="E417" i="32451" s="1"/>
  <c r="B417" i="32451" s="1"/>
  <c r="E404" i="32451" a="1"/>
  <c r="E404" i="32451" s="1"/>
  <c r="B404" i="32451" s="1"/>
  <c r="D369" i="32451" a="1"/>
  <c r="D369" i="32451" s="1"/>
  <c r="E353" i="32451" a="1"/>
  <c r="E353" i="32451" s="1"/>
  <c r="B353" i="32451" s="1"/>
  <c r="E346" i="32451" a="1"/>
  <c r="E346" i="32451" s="1"/>
  <c r="B346" i="32451" s="1"/>
  <c r="D338" i="32451" a="1"/>
  <c r="D338" i="32451" s="1"/>
  <c r="D330" i="32451" a="1"/>
  <c r="D330" i="32451" s="1"/>
  <c r="D316" i="32451" a="1"/>
  <c r="D316" i="32451" s="1"/>
  <c r="D295" i="32451" a="1"/>
  <c r="D295" i="32451" s="1"/>
  <c r="D272" i="32451" a="1"/>
  <c r="D272" i="32451" s="1"/>
  <c r="D251" i="32451" a="1"/>
  <c r="D251" i="32451" s="1"/>
  <c r="D237" i="32451" a="1"/>
  <c r="D237" i="32451" s="1"/>
  <c r="D229" i="32451" a="1"/>
  <c r="D229" i="32451" s="1"/>
  <c r="E220" i="32451" a="1"/>
  <c r="E220" i="32451" s="1"/>
  <c r="B220" i="32451" s="1"/>
  <c r="E215" i="32451" a="1"/>
  <c r="E215" i="32451" s="1"/>
  <c r="B215" i="32451" s="1"/>
  <c r="D207" i="32451" a="1"/>
  <c r="D207" i="32451" s="1"/>
  <c r="E199" i="32451" a="1"/>
  <c r="E199" i="32451" s="1"/>
  <c r="B199" i="32451" s="1"/>
  <c r="E186" i="32451" a="1"/>
  <c r="E186" i="32451" s="1"/>
  <c r="B186" i="32451" s="1"/>
  <c r="D174" i="32451" a="1"/>
  <c r="D174" i="32451" s="1"/>
  <c r="E157" i="32451" a="1"/>
  <c r="E157" i="32451" s="1"/>
  <c r="B157" i="32451" s="1"/>
  <c r="D153" i="32451" a="1"/>
  <c r="D153" i="32451" s="1"/>
  <c r="E148" i="32451" a="1"/>
  <c r="E148" i="32451" s="1"/>
  <c r="B148" i="32451" s="1"/>
  <c r="E144" i="32451" a="1"/>
  <c r="E144" i="32451" s="1"/>
  <c r="B144" i="32451" s="1"/>
  <c r="E139" i="32451" a="1"/>
  <c r="E139" i="32451" s="1"/>
  <c r="B139" i="32451" s="1"/>
  <c r="D119" i="32451" a="1"/>
  <c r="D119" i="32451" s="1"/>
  <c r="E115" i="32451" a="1"/>
  <c r="E115" i="32451" s="1"/>
  <c r="B115" i="32451" s="1"/>
  <c r="D107" i="32451" a="1"/>
  <c r="D107" i="32451" s="1"/>
  <c r="E103" i="32451" a="1"/>
  <c r="E103" i="32451" s="1"/>
  <c r="B103" i="32451" s="1"/>
  <c r="D95" i="32451" a="1"/>
  <c r="D95" i="32451" s="1"/>
  <c r="E91" i="32451" a="1"/>
  <c r="E91" i="32451" s="1"/>
  <c r="B91" i="32451" s="1"/>
  <c r="D83" i="32451" a="1"/>
  <c r="D83" i="32451" s="1"/>
  <c r="E75" i="32451" a="1"/>
  <c r="E75" i="32451" s="1"/>
  <c r="B75" i="32451" s="1"/>
  <c r="E63" i="32451" a="1"/>
  <c r="E63" i="32451" s="1"/>
  <c r="B63" i="32451" s="1"/>
  <c r="E51" i="32451" a="1"/>
  <c r="E51" i="32451" s="1"/>
  <c r="B51" i="32451" s="1"/>
  <c r="E39" i="32451" a="1"/>
  <c r="E39" i="32451" s="1"/>
  <c r="B39" i="32451" s="1"/>
  <c r="B701" i="32451"/>
  <c r="A670" i="32498" s="1"/>
  <c r="D685" i="32451" a="1"/>
  <c r="D685" i="32451" s="1"/>
  <c r="D674" i="32451" a="1"/>
  <c r="D674" i="32451" s="1"/>
  <c r="D659" i="32451" a="1"/>
  <c r="D659" i="32451" s="1"/>
  <c r="D644" i="32451" a="1"/>
  <c r="D644" i="32451" s="1"/>
  <c r="E632" i="32451" a="1"/>
  <c r="E632" i="32451" s="1"/>
  <c r="B632" i="32451" s="1"/>
  <c r="D619" i="32451" a="1"/>
  <c r="D619" i="32451" s="1"/>
  <c r="E606" i="32451" a="1"/>
  <c r="E606" i="32451" s="1"/>
  <c r="B606" i="32451" s="1"/>
  <c r="D593" i="32451" a="1"/>
  <c r="D593" i="32451" s="1"/>
  <c r="D582" i="32451" a="1"/>
  <c r="D582" i="32451" s="1"/>
  <c r="E569" i="32451" a="1"/>
  <c r="E569" i="32451" s="1"/>
  <c r="B569" i="32451" s="1"/>
  <c r="D557" i="32451" a="1"/>
  <c r="D557" i="32451" s="1"/>
  <c r="E548" i="32451" a="1"/>
  <c r="E548" i="32451" s="1"/>
  <c r="B548" i="32451" s="1"/>
  <c r="D535" i="32451" a="1"/>
  <c r="D535" i="32451" s="1"/>
  <c r="E521" i="32451" a="1"/>
  <c r="E521" i="32451" s="1"/>
  <c r="B521" i="32451" s="1"/>
  <c r="D509" i="32451" a="1"/>
  <c r="D509" i="32451" s="1"/>
  <c r="D499" i="32451" a="1"/>
  <c r="D499" i="32451" s="1"/>
  <c r="D486" i="32451" a="1"/>
  <c r="D486" i="32451" s="1"/>
  <c r="D452" i="32451" a="1"/>
  <c r="D452" i="32451" s="1"/>
  <c r="E439" i="32451" a="1"/>
  <c r="E439" i="32451" s="1"/>
  <c r="B439" i="32451" s="1"/>
  <c r="E427" i="32451" a="1"/>
  <c r="E427" i="32451" s="1"/>
  <c r="B427" i="32451" s="1"/>
  <c r="D417" i="32451" a="1"/>
  <c r="D417" i="32451" s="1"/>
  <c r="D404" i="32451" a="1"/>
  <c r="D404" i="32451" s="1"/>
  <c r="E390" i="32451" a="1"/>
  <c r="E390" i="32451" s="1"/>
  <c r="B390" i="32451" s="1"/>
  <c r="E368" i="32451" a="1"/>
  <c r="E368" i="32451" s="1"/>
  <c r="B368" i="32451" s="1"/>
  <c r="D353" i="32451" a="1"/>
  <c r="D353" i="32451" s="1"/>
  <c r="E343" i="32451" a="1"/>
  <c r="E343" i="32451" s="1"/>
  <c r="B343" i="32451" s="1"/>
  <c r="D323" i="32451" a="1"/>
  <c r="D323" i="32451" s="1"/>
  <c r="D309" i="32451" a="1"/>
  <c r="D309" i="32451" s="1"/>
  <c r="D301" i="32451" a="1"/>
  <c r="D301" i="32451" s="1"/>
  <c r="E292" i="32451" a="1"/>
  <c r="E292" i="32451" s="1"/>
  <c r="B292" i="32451" s="1"/>
  <c r="E287" i="32451" a="1"/>
  <c r="E287" i="32451" s="1"/>
  <c r="B287" i="32451" s="1"/>
  <c r="D279" i="32451" a="1"/>
  <c r="D279" i="32451" s="1"/>
  <c r="E271" i="32451" a="1"/>
  <c r="E271" i="32451" s="1"/>
  <c r="B271" i="32451" s="1"/>
  <c r="E265" i="32451" a="1"/>
  <c r="E265" i="32451" s="1"/>
  <c r="B265" i="32451" s="1"/>
  <c r="E257" i="32451" a="1"/>
  <c r="E257" i="32451" s="1"/>
  <c r="B257" i="32451" s="1"/>
  <c r="E250" i="32451" a="1"/>
  <c r="E250" i="32451" s="1"/>
  <c r="B250" i="32451" s="1"/>
  <c r="D242" i="32451" a="1"/>
  <c r="D242" i="32451" s="1"/>
  <c r="E236" i="32451" a="1"/>
  <c r="E236" i="32451" s="1"/>
  <c r="B236" i="32451" s="1"/>
  <c r="E228" i="32451" a="1"/>
  <c r="E228" i="32451" s="1"/>
  <c r="B228" i="32451" s="1"/>
  <c r="D220" i="32451" a="1"/>
  <c r="D220" i="32451" s="1"/>
  <c r="D199" i="32451" a="1"/>
  <c r="D199" i="32451" s="1"/>
  <c r="E193" i="32451" a="1"/>
  <c r="E193" i="32451" s="1"/>
  <c r="B193" i="32451" s="1"/>
  <c r="D186" i="32451" a="1"/>
  <c r="D186" i="32451" s="1"/>
  <c r="E181" i="32451" a="1"/>
  <c r="E181" i="32451" s="1"/>
  <c r="B181" i="32451" s="1"/>
  <c r="D169" i="32451" a="1"/>
  <c r="D169" i="32451" s="1"/>
  <c r="D165" i="32451" a="1"/>
  <c r="D165" i="32451" s="1"/>
  <c r="D161" i="32451" a="1"/>
  <c r="D161" i="32451" s="1"/>
  <c r="E152" i="32451" a="1"/>
  <c r="E152" i="32451" s="1"/>
  <c r="B152" i="32451" s="1"/>
  <c r="D148" i="32451" a="1"/>
  <c r="D148" i="32451" s="1"/>
  <c r="D144" i="32451" a="1"/>
  <c r="D144" i="32451" s="1"/>
  <c r="D139" i="32451" a="1"/>
  <c r="D139" i="32451" s="1"/>
  <c r="E135" i="32451" a="1"/>
  <c r="E135" i="32451" s="1"/>
  <c r="B135" i="32451" s="1"/>
  <c r="D131" i="32451" a="1"/>
  <c r="D131" i="32451" s="1"/>
  <c r="D127" i="32451" a="1"/>
  <c r="D127" i="32451" s="1"/>
  <c r="E123" i="32451" a="1"/>
  <c r="E123" i="32451" s="1"/>
  <c r="B123" i="32451" s="1"/>
  <c r="E111" i="32451" a="1"/>
  <c r="E111" i="32451" s="1"/>
  <c r="B111" i="32451" s="1"/>
  <c r="E99" i="32451" a="1"/>
  <c r="E99" i="32451" s="1"/>
  <c r="B99" i="32451" s="1"/>
  <c r="E87" i="32451" a="1"/>
  <c r="E87" i="32451" s="1"/>
  <c r="B87" i="32451" s="1"/>
  <c r="D79" i="32451" a="1"/>
  <c r="D79" i="32451" s="1"/>
  <c r="D75" i="32451" a="1"/>
  <c r="D75" i="32451" s="1"/>
  <c r="E70" i="32451" a="1"/>
  <c r="E70" i="32451" s="1"/>
  <c r="B70" i="32451" s="1"/>
  <c r="D67" i="32451" a="1"/>
  <c r="D67" i="32451" s="1"/>
  <c r="D63" i="32451" a="1"/>
  <c r="D63" i="32451" s="1"/>
  <c r="E58" i="32451" a="1"/>
  <c r="E58" i="32451" s="1"/>
  <c r="B58" i="32451" s="1"/>
  <c r="D55" i="32451" a="1"/>
  <c r="D55" i="32451" s="1"/>
  <c r="D51" i="32451" a="1"/>
  <c r="D51" i="32451" s="1"/>
  <c r="E46" i="32451" a="1"/>
  <c r="E46" i="32451" s="1"/>
  <c r="B46" i="32451" s="1"/>
  <c r="D43" i="32451" a="1"/>
  <c r="D43" i="32451" s="1"/>
  <c r="D39" i="32451" a="1"/>
  <c r="D39" i="32451" s="1"/>
  <c r="E34" i="32451" a="1"/>
  <c r="E34" i="32451" s="1"/>
  <c r="B34" i="32451" s="1"/>
  <c r="B700" i="32451"/>
  <c r="E684" i="32451" a="1"/>
  <c r="E684" i="32451" s="1"/>
  <c r="B684" i="32451" s="1"/>
  <c r="E673" i="32451" a="1"/>
  <c r="E673" i="32451" s="1"/>
  <c r="B673" i="32451" s="1"/>
  <c r="D658" i="32451" a="1"/>
  <c r="D658" i="32451" s="1"/>
  <c r="D628" i="32451" a="1"/>
  <c r="D628" i="32451" s="1"/>
  <c r="E618" i="32451" a="1"/>
  <c r="E618" i="32451" s="1"/>
  <c r="B618" i="32451" s="1"/>
  <c r="D606" i="32451" a="1"/>
  <c r="D606" i="32451" s="1"/>
  <c r="E592" i="32451" a="1"/>
  <c r="E592" i="32451" s="1"/>
  <c r="B592" i="32451" s="1"/>
  <c r="E581" i="32451" a="1"/>
  <c r="E581" i="32451" s="1"/>
  <c r="B581" i="32451" s="1"/>
  <c r="D569" i="32451" a="1"/>
  <c r="D569" i="32451" s="1"/>
  <c r="E544" i="32451" a="1"/>
  <c r="E544" i="32451" s="1"/>
  <c r="B544" i="32451" s="1"/>
  <c r="D534" i="32451" a="1"/>
  <c r="D534" i="32451" s="1"/>
  <c r="D521" i="32451" a="1"/>
  <c r="D521" i="32451" s="1"/>
  <c r="E498" i="32451" a="1"/>
  <c r="E498" i="32451" s="1"/>
  <c r="B498" i="32451" s="1"/>
  <c r="D485" i="32451" a="1"/>
  <c r="D485" i="32451" s="1"/>
  <c r="E471" i="32451" a="1"/>
  <c r="E471" i="32451" s="1"/>
  <c r="B471" i="32451" s="1"/>
  <c r="E460" i="32451" a="1"/>
  <c r="E460" i="32451" s="1"/>
  <c r="B460" i="32451" s="1"/>
  <c r="E451" i="32451" a="1"/>
  <c r="E451" i="32451" s="1"/>
  <c r="B451" i="32451" s="1"/>
  <c r="E426" i="32451" a="1"/>
  <c r="E426" i="32451" s="1"/>
  <c r="B426" i="32451" s="1"/>
  <c r="E403" i="32451" a="1"/>
  <c r="E403" i="32451" s="1"/>
  <c r="B403" i="32451" s="1"/>
  <c r="D368" i="32451" a="1"/>
  <c r="D368" i="32451" s="1"/>
  <c r="D343" i="32451" a="1"/>
  <c r="D343" i="32451" s="1"/>
  <c r="E337" i="32451" a="1"/>
  <c r="E337" i="32451" s="1"/>
  <c r="B337" i="32451" s="1"/>
  <c r="E329" i="32451" a="1"/>
  <c r="E329" i="32451" s="1"/>
  <c r="B329" i="32451" s="1"/>
  <c r="E322" i="32451" a="1"/>
  <c r="E322" i="32451" s="1"/>
  <c r="B322" i="32451" s="1"/>
  <c r="D314" i="32451" a="1"/>
  <c r="D314" i="32451" s="1"/>
  <c r="E308" i="32451" a="1"/>
  <c r="E308" i="32451" s="1"/>
  <c r="B308" i="32451" s="1"/>
  <c r="E300" i="32451" a="1"/>
  <c r="E300" i="32451" s="1"/>
  <c r="B300" i="32451" s="1"/>
  <c r="D292" i="32451" a="1"/>
  <c r="D292" i="32451" s="1"/>
  <c r="D271" i="32451" a="1"/>
  <c r="D271" i="32451" s="1"/>
  <c r="D257" i="32451" a="1"/>
  <c r="D257" i="32451" s="1"/>
  <c r="D250" i="32451" a="1"/>
  <c r="D250" i="32451" s="1"/>
  <c r="D236" i="32451" a="1"/>
  <c r="D236" i="32451" s="1"/>
  <c r="D213" i="32451" a="1"/>
  <c r="D213" i="32451" s="1"/>
  <c r="E206" i="32451" a="1"/>
  <c r="E206" i="32451" s="1"/>
  <c r="B206" i="32451" s="1"/>
  <c r="E198" i="32451" a="1"/>
  <c r="E198" i="32451" s="1"/>
  <c r="B198" i="32451" s="1"/>
  <c r="E173" i="32451" a="1"/>
  <c r="E173" i="32451" s="1"/>
  <c r="B173" i="32451" s="1"/>
  <c r="E168" i="32451" a="1"/>
  <c r="E168" i="32451" s="1"/>
  <c r="B168" i="32451" s="1"/>
  <c r="E164" i="32451" a="1"/>
  <c r="E164" i="32451" s="1"/>
  <c r="B164" i="32451" s="1"/>
  <c r="E160" i="32451" a="1"/>
  <c r="E160" i="32451" s="1"/>
  <c r="B160" i="32451" s="1"/>
  <c r="D157" i="32451" a="1"/>
  <c r="D157" i="32451" s="1"/>
  <c r="D152" i="32451" a="1"/>
  <c r="D152" i="32451" s="1"/>
  <c r="E143" i="32451" a="1"/>
  <c r="E143" i="32451" s="1"/>
  <c r="B143" i="32451" s="1"/>
  <c r="E130" i="32451" a="1"/>
  <c r="E130" i="32451" s="1"/>
  <c r="B130" i="32451" s="1"/>
  <c r="D123" i="32451" a="1"/>
  <c r="D123" i="32451" s="1"/>
  <c r="E118" i="32451" a="1"/>
  <c r="E118" i="32451" s="1"/>
  <c r="B118" i="32451" s="1"/>
  <c r="D115" i="32451" a="1"/>
  <c r="D115" i="32451" s="1"/>
  <c r="D111" i="32451" a="1"/>
  <c r="D111" i="32451" s="1"/>
  <c r="E106" i="32451" a="1"/>
  <c r="E106" i="32451" s="1"/>
  <c r="B106" i="32451" s="1"/>
  <c r="D103" i="32451" a="1"/>
  <c r="D103" i="32451" s="1"/>
  <c r="D99" i="32451" a="1"/>
  <c r="D99" i="32451" s="1"/>
  <c r="E94" i="32451" a="1"/>
  <c r="E94" i="32451" s="1"/>
  <c r="B94" i="32451" s="1"/>
  <c r="D91" i="32451" a="1"/>
  <c r="D91" i="32451" s="1"/>
  <c r="D87" i="32451" a="1"/>
  <c r="D87" i="32451" s="1"/>
  <c r="E82" i="32451" a="1"/>
  <c r="E82" i="32451" s="1"/>
  <c r="B82" i="32451" s="1"/>
  <c r="E74" i="32451" a="1"/>
  <c r="E74" i="32451" s="1"/>
  <c r="B74" i="32451" s="1"/>
  <c r="D70" i="32451" a="1"/>
  <c r="D70" i="32451" s="1"/>
  <c r="E62" i="32451" a="1"/>
  <c r="E62" i="32451" s="1"/>
  <c r="B62" i="32451" s="1"/>
  <c r="D58" i="32451" a="1"/>
  <c r="D58" i="32451" s="1"/>
  <c r="E50" i="32451" a="1"/>
  <c r="E50" i="32451" s="1"/>
  <c r="B50" i="32451" s="1"/>
  <c r="D46" i="32451" a="1"/>
  <c r="D46" i="32451" s="1"/>
  <c r="E38" i="32451" a="1"/>
  <c r="E38" i="32451" s="1"/>
  <c r="B38" i="32451" s="1"/>
  <c r="D34" i="32451" a="1"/>
  <c r="D34" i="32451" s="1"/>
  <c r="D684" i="32451" a="1"/>
  <c r="D684" i="32451" s="1"/>
  <c r="D669" i="32451" a="1"/>
  <c r="D669" i="32451" s="1"/>
  <c r="E641" i="32451" a="1"/>
  <c r="E641" i="32451" s="1"/>
  <c r="B641" i="32451" s="1"/>
  <c r="E627" i="32451" a="1"/>
  <c r="E627" i="32451" s="1"/>
  <c r="B627" i="32451" s="1"/>
  <c r="D618" i="32451" a="1"/>
  <c r="D618" i="32451" s="1"/>
  <c r="D605" i="32451" a="1"/>
  <c r="D605" i="32451" s="1"/>
  <c r="E556" i="32451" a="1"/>
  <c r="E556" i="32451" s="1"/>
  <c r="B556" i="32451" s="1"/>
  <c r="E543" i="32451" a="1"/>
  <c r="E543" i="32451" s="1"/>
  <c r="B543" i="32451" s="1"/>
  <c r="E533" i="32451" a="1"/>
  <c r="E533" i="32451" s="1"/>
  <c r="B533" i="32451" s="1"/>
  <c r="E508" i="32451" a="1"/>
  <c r="E508" i="32451" s="1"/>
  <c r="B508" i="32451" s="1"/>
  <c r="D495" i="32451" a="1"/>
  <c r="D495" i="32451" s="1"/>
  <c r="E484" i="32451" a="1"/>
  <c r="E484" i="32451" s="1"/>
  <c r="B484" i="32451" s="1"/>
  <c r="D451" i="32451" a="1"/>
  <c r="D451" i="32451" s="1"/>
  <c r="E437" i="32451" a="1"/>
  <c r="E437" i="32451" s="1"/>
  <c r="B437" i="32451" s="1"/>
  <c r="E425" i="32451" a="1"/>
  <c r="E425" i="32451" s="1"/>
  <c r="B425" i="32451" s="1"/>
  <c r="D413" i="32451" a="1"/>
  <c r="D413" i="32451" s="1"/>
  <c r="D403" i="32451" a="1"/>
  <c r="D403" i="32451" s="1"/>
  <c r="E352" i="32451" a="1"/>
  <c r="E352" i="32451" s="1"/>
  <c r="B352" i="32451" s="1"/>
  <c r="E342" i="32451" a="1"/>
  <c r="E342" i="32451" s="1"/>
  <c r="B342" i="32451" s="1"/>
  <c r="D329" i="32451" a="1"/>
  <c r="D329" i="32451" s="1"/>
  <c r="D322" i="32451" a="1"/>
  <c r="D322" i="32451" s="1"/>
  <c r="D308" i="32451" a="1"/>
  <c r="D308" i="32451" s="1"/>
  <c r="D285" i="32451" a="1"/>
  <c r="D285" i="32451" s="1"/>
  <c r="E278" i="32451" a="1"/>
  <c r="E278" i="32451" s="1"/>
  <c r="B278" i="32451" s="1"/>
  <c r="E270" i="32451" a="1"/>
  <c r="E270" i="32451" s="1"/>
  <c r="B270" i="32451" s="1"/>
  <c r="E263" i="32451" a="1"/>
  <c r="E263" i="32451" s="1"/>
  <c r="B263" i="32451" s="1"/>
  <c r="E256" i="32451" a="1"/>
  <c r="E256" i="32451" s="1"/>
  <c r="B256" i="32451" s="1"/>
  <c r="E249" i="32451" a="1"/>
  <c r="E249" i="32451" s="1"/>
  <c r="B249" i="32451" s="1"/>
  <c r="E241" i="32451" a="1"/>
  <c r="E241" i="32451" s="1"/>
  <c r="B241" i="32451" s="1"/>
  <c r="E233" i="32451" a="1"/>
  <c r="E233" i="32451" s="1"/>
  <c r="B233" i="32451" s="1"/>
  <c r="D228" i="32451" a="1"/>
  <c r="D228" i="32451" s="1"/>
  <c r="E219" i="32451" a="1"/>
  <c r="E219" i="32451" s="1"/>
  <c r="B219" i="32451" s="1"/>
  <c r="E212" i="32451" a="1"/>
  <c r="E212" i="32451" s="1"/>
  <c r="B212" i="32451" s="1"/>
  <c r="D206" i="32451" a="1"/>
  <c r="D206" i="32451" s="1"/>
  <c r="D198" i="32451" a="1"/>
  <c r="D198" i="32451" s="1"/>
  <c r="E185" i="32451" a="1"/>
  <c r="E185" i="32451" s="1"/>
  <c r="B185" i="32451" s="1"/>
  <c r="E179" i="32451" a="1"/>
  <c r="E179" i="32451" s="1"/>
  <c r="B179" i="32451" s="1"/>
  <c r="D173" i="32451" a="1"/>
  <c r="D173" i="32451" s="1"/>
  <c r="D164" i="32451" a="1"/>
  <c r="D164" i="32451" s="1"/>
  <c r="D160" i="32451" a="1"/>
  <c r="D160" i="32451" s="1"/>
  <c r="E156" i="32451" a="1"/>
  <c r="E156" i="32451" s="1"/>
  <c r="B156" i="32451" s="1"/>
  <c r="E151" i="32451" a="1"/>
  <c r="E151" i="32451" s="1"/>
  <c r="B151" i="32451" s="1"/>
  <c r="E147" i="32451" a="1"/>
  <c r="E147" i="32451" s="1"/>
  <c r="B147" i="32451" s="1"/>
  <c r="E138" i="32451" a="1"/>
  <c r="E138" i="32451" s="1"/>
  <c r="B138" i="32451" s="1"/>
  <c r="D135" i="32451" a="1"/>
  <c r="D135" i="32451" s="1"/>
  <c r="D130" i="32451" a="1"/>
  <c r="D130" i="32451" s="1"/>
  <c r="E126" i="32451" a="1"/>
  <c r="E126" i="32451" s="1"/>
  <c r="B126" i="32451" s="1"/>
  <c r="E122" i="32451" a="1"/>
  <c r="E122" i="32451" s="1"/>
  <c r="B122" i="32451" s="1"/>
  <c r="D118" i="32451" a="1"/>
  <c r="D118" i="32451" s="1"/>
  <c r="E110" i="32451" a="1"/>
  <c r="E110" i="32451" s="1"/>
  <c r="B110" i="32451" s="1"/>
  <c r="D106" i="32451" a="1"/>
  <c r="D106" i="32451" s="1"/>
  <c r="E98" i="32451" a="1"/>
  <c r="E98" i="32451" s="1"/>
  <c r="B98" i="32451" s="1"/>
  <c r="D94" i="32451" a="1"/>
  <c r="D94" i="32451" s="1"/>
  <c r="E86" i="32451" a="1"/>
  <c r="E86" i="32451" s="1"/>
  <c r="B86" i="32451" s="1"/>
  <c r="D82" i="32451" a="1"/>
  <c r="D82" i="32451" s="1"/>
  <c r="E78" i="32451" a="1"/>
  <c r="E78" i="32451" s="1"/>
  <c r="B78" i="32451" s="1"/>
  <c r="D74" i="32451" a="1"/>
  <c r="D74" i="32451" s="1"/>
  <c r="E66" i="32451" a="1"/>
  <c r="E66" i="32451" s="1"/>
  <c r="B66" i="32451" s="1"/>
  <c r="D62" i="32451" a="1"/>
  <c r="D62" i="32451" s="1"/>
  <c r="E54" i="32451" a="1"/>
  <c r="E54" i="32451" s="1"/>
  <c r="B54" i="32451" s="1"/>
  <c r="D50" i="32451" a="1"/>
  <c r="D50" i="32451" s="1"/>
  <c r="E42" i="32451" a="1"/>
  <c r="E42" i="32451" s="1"/>
  <c r="B42" i="32451" s="1"/>
  <c r="D38" i="32451" a="1"/>
  <c r="D38" i="32451" s="1"/>
  <c r="B699" i="32451"/>
  <c r="E676" i="32451" a="1"/>
  <c r="E676" i="32451" s="1"/>
  <c r="B676" i="32451" s="1"/>
  <c r="E650" i="32451" a="1"/>
  <c r="E650" i="32451" s="1"/>
  <c r="B650" i="32451" s="1"/>
  <c r="D586" i="32451" a="1"/>
  <c r="D586" i="32451" s="1"/>
  <c r="E564" i="32451" a="1"/>
  <c r="E564" i="32451" s="1"/>
  <c r="B564" i="32451" s="1"/>
  <c r="E505" i="32451" a="1"/>
  <c r="E505" i="32451" s="1"/>
  <c r="B505" i="32451" s="1"/>
  <c r="D465" i="32451" a="1"/>
  <c r="D465" i="32451" s="1"/>
  <c r="E424" i="32451" a="1"/>
  <c r="E424" i="32451" s="1"/>
  <c r="B424" i="32451" s="1"/>
  <c r="E402" i="32451" a="1"/>
  <c r="E402" i="32451" s="1"/>
  <c r="B402" i="32451" s="1"/>
  <c r="E383" i="32451" a="1"/>
  <c r="E383" i="32451" s="1"/>
  <c r="B383" i="32451" s="1"/>
  <c r="D362" i="32451" a="1"/>
  <c r="D362" i="32451" s="1"/>
  <c r="D331" i="32451" a="1"/>
  <c r="D331" i="32451" s="1"/>
  <c r="E304" i="32451" a="1"/>
  <c r="E304" i="32451" s="1"/>
  <c r="B304" i="32451" s="1"/>
  <c r="E291" i="32451" a="1"/>
  <c r="E291" i="32451" s="1"/>
  <c r="B291" i="32451" s="1"/>
  <c r="D282" i="32451" a="1"/>
  <c r="D282" i="32451" s="1"/>
  <c r="E254" i="32451" a="1"/>
  <c r="E254" i="32451" s="1"/>
  <c r="B254" i="32451" s="1"/>
  <c r="E244" i="32451" a="1"/>
  <c r="E244" i="32451" s="1"/>
  <c r="B244" i="32451" s="1"/>
  <c r="E231" i="32451" a="1"/>
  <c r="E231" i="32451" s="1"/>
  <c r="B231" i="32451" s="1"/>
  <c r="D172" i="32451" a="1"/>
  <c r="D172" i="32451" s="1"/>
  <c r="E150" i="32451" a="1"/>
  <c r="E150" i="32451" s="1"/>
  <c r="B150" i="32451" s="1"/>
  <c r="D143" i="32451" a="1"/>
  <c r="D143" i="32451" s="1"/>
  <c r="E136" i="32451" a="1"/>
  <c r="E136" i="32451" s="1"/>
  <c r="B136" i="32451" s="1"/>
  <c r="E121" i="32451" a="1"/>
  <c r="E121" i="32451" s="1"/>
  <c r="B121" i="32451" s="1"/>
  <c r="D116" i="32451" a="1"/>
  <c r="D116" i="32451" s="1"/>
  <c r="E108" i="32451" a="1"/>
  <c r="E108" i="32451" s="1"/>
  <c r="B108" i="32451" s="1"/>
  <c r="E101" i="32451" a="1"/>
  <c r="E101" i="32451" s="1"/>
  <c r="B101" i="32451" s="1"/>
  <c r="E88" i="32451" a="1"/>
  <c r="E88" i="32451" s="1"/>
  <c r="B88" i="32451" s="1"/>
  <c r="E80" i="32451" a="1"/>
  <c r="E80" i="32451" s="1"/>
  <c r="B80" i="32451" s="1"/>
  <c r="D60" i="32451" a="1"/>
  <c r="D60" i="32451" s="1"/>
  <c r="E45" i="32451" a="1"/>
  <c r="E45" i="32451" s="1"/>
  <c r="B45" i="32451" s="1"/>
  <c r="E675" i="32451" a="1"/>
  <c r="E675" i="32451" s="1"/>
  <c r="B675" i="32451" s="1"/>
  <c r="E626" i="32451" a="1"/>
  <c r="E626" i="32451" s="1"/>
  <c r="B626" i="32451" s="1"/>
  <c r="E603" i="32451" a="1"/>
  <c r="E603" i="32451" s="1"/>
  <c r="B603" i="32451" s="1"/>
  <c r="E585" i="32451" a="1"/>
  <c r="E585" i="32451" s="1"/>
  <c r="B585" i="32451" s="1"/>
  <c r="D564" i="32451" a="1"/>
  <c r="D564" i="32451" s="1"/>
  <c r="E501" i="32451" a="1"/>
  <c r="E501" i="32451" s="1"/>
  <c r="B501" i="32451" s="1"/>
  <c r="D480" i="32451" a="1"/>
  <c r="D480" i="32451" s="1"/>
  <c r="D460" i="32451" a="1"/>
  <c r="D460" i="32451" s="1"/>
  <c r="E444" i="32451" a="1"/>
  <c r="E444" i="32451" s="1"/>
  <c r="B444" i="32451" s="1"/>
  <c r="D399" i="32451" a="1"/>
  <c r="D399" i="32451" s="1"/>
  <c r="D383" i="32451" a="1"/>
  <c r="D383" i="32451" s="1"/>
  <c r="D361" i="32451" a="1"/>
  <c r="D361" i="32451" s="1"/>
  <c r="E341" i="32451" a="1"/>
  <c r="E341" i="32451" s="1"/>
  <c r="B341" i="32451" s="1"/>
  <c r="E328" i="32451" a="1"/>
  <c r="E328" i="32451" s="1"/>
  <c r="B328" i="32451" s="1"/>
  <c r="E317" i="32451" a="1"/>
  <c r="E317" i="32451" s="1"/>
  <c r="B317" i="32451" s="1"/>
  <c r="D304" i="32451" a="1"/>
  <c r="D304" i="32451" s="1"/>
  <c r="D267" i="32451" a="1"/>
  <c r="D267" i="32451" s="1"/>
  <c r="D254" i="32451" a="1"/>
  <c r="D254" i="32451" s="1"/>
  <c r="D217" i="32451" a="1"/>
  <c r="D217" i="32451" s="1"/>
  <c r="D204" i="32451" a="1"/>
  <c r="D204" i="32451" s="1"/>
  <c r="E194" i="32451" a="1"/>
  <c r="E194" i="32451" s="1"/>
  <c r="B194" i="32451" s="1"/>
  <c r="D183" i="32451" a="1"/>
  <c r="D183" i="32451" s="1"/>
  <c r="D171" i="32451" a="1"/>
  <c r="D171" i="32451" s="1"/>
  <c r="E163" i="32451" a="1"/>
  <c r="E163" i="32451" s="1"/>
  <c r="B163" i="32451" s="1"/>
  <c r="E158" i="32451" a="1"/>
  <c r="E158" i="32451" s="1"/>
  <c r="B158" i="32451" s="1"/>
  <c r="D150" i="32451" a="1"/>
  <c r="D150" i="32451" s="1"/>
  <c r="E142" i="32451" a="1"/>
  <c r="E142" i="32451" s="1"/>
  <c r="B142" i="32451" s="1"/>
  <c r="E128" i="32451" a="1"/>
  <c r="E128" i="32451" s="1"/>
  <c r="B128" i="32451" s="1"/>
  <c r="E114" i="32451" a="1"/>
  <c r="E114" i="32451" s="1"/>
  <c r="B114" i="32451" s="1"/>
  <c r="D108" i="32451" a="1"/>
  <c r="D108" i="32451" s="1"/>
  <c r="E93" i="32451" a="1"/>
  <c r="E93" i="32451" s="1"/>
  <c r="B93" i="32451" s="1"/>
  <c r="D73" i="32451" a="1"/>
  <c r="D73" i="32451" s="1"/>
  <c r="D66" i="32451" a="1"/>
  <c r="D66" i="32451" s="1"/>
  <c r="D53" i="32451" a="1"/>
  <c r="D53" i="32451" s="1"/>
  <c r="D40" i="32451" a="1"/>
  <c r="D40" i="32451" s="1"/>
  <c r="D694" i="32451" a="1"/>
  <c r="D694" i="32451" s="1"/>
  <c r="D650" i="32451" a="1"/>
  <c r="D650" i="32451" s="1"/>
  <c r="D626" i="32451" a="1"/>
  <c r="D626" i="32451" s="1"/>
  <c r="D563" i="32451" a="1"/>
  <c r="D563" i="32451" s="1"/>
  <c r="E541" i="32451" a="1"/>
  <c r="E541" i="32451" s="1"/>
  <c r="B541" i="32451" s="1"/>
  <c r="E520" i="32451" a="1"/>
  <c r="E520" i="32451" s="1"/>
  <c r="B520" i="32451" s="1"/>
  <c r="E500" i="32451" a="1"/>
  <c r="E500" i="32451" s="1"/>
  <c r="B500" i="32451" s="1"/>
  <c r="E479" i="32451" a="1"/>
  <c r="E479" i="32451" s="1"/>
  <c r="B479" i="32451" s="1"/>
  <c r="E459" i="32451" a="1"/>
  <c r="E459" i="32451" s="1"/>
  <c r="B459" i="32451" s="1"/>
  <c r="E420" i="32451" a="1"/>
  <c r="E420" i="32451" s="1"/>
  <c r="B420" i="32451" s="1"/>
  <c r="E398" i="32451" a="1"/>
  <c r="E398" i="32451" s="1"/>
  <c r="B398" i="32451" s="1"/>
  <c r="E359" i="32451" a="1"/>
  <c r="E359" i="32451" s="1"/>
  <c r="B359" i="32451" s="1"/>
  <c r="D341" i="32451" a="1"/>
  <c r="D341" i="32451" s="1"/>
  <c r="D317" i="32451" a="1"/>
  <c r="D317" i="32451" s="1"/>
  <c r="D291" i="32451" a="1"/>
  <c r="D291" i="32451" s="1"/>
  <c r="D278" i="32451" a="1"/>
  <c r="D278" i="32451" s="1"/>
  <c r="D241" i="32451" a="1"/>
  <c r="D241" i="32451" s="1"/>
  <c r="E229" i="32451" a="1"/>
  <c r="E229" i="32451" s="1"/>
  <c r="B229" i="32451" s="1"/>
  <c r="E216" i="32451" a="1"/>
  <c r="E216" i="32451" s="1"/>
  <c r="B216" i="32451" s="1"/>
  <c r="E191" i="32451" a="1"/>
  <c r="E191" i="32451" s="1"/>
  <c r="B191" i="32451" s="1"/>
  <c r="D158" i="32451" a="1"/>
  <c r="D158" i="32451" s="1"/>
  <c r="D142" i="32451" a="1"/>
  <c r="D142" i="32451" s="1"/>
  <c r="E134" i="32451" a="1"/>
  <c r="E134" i="32451" s="1"/>
  <c r="B134" i="32451" s="1"/>
  <c r="D128" i="32451" a="1"/>
  <c r="D128" i="32451" s="1"/>
  <c r="D121" i="32451" a="1"/>
  <c r="D121" i="32451" s="1"/>
  <c r="D114" i="32451" a="1"/>
  <c r="D114" i="32451" s="1"/>
  <c r="D101" i="32451" a="1"/>
  <c r="D101" i="32451" s="1"/>
  <c r="D86" i="32451" a="1"/>
  <c r="D86" i="32451" s="1"/>
  <c r="D80" i="32451" a="1"/>
  <c r="D80" i="32451" s="1"/>
  <c r="E72" i="32451" a="1"/>
  <c r="E72" i="32451" s="1"/>
  <c r="B72" i="32451" s="1"/>
  <c r="E65" i="32451" a="1"/>
  <c r="E65" i="32451" s="1"/>
  <c r="B65" i="32451" s="1"/>
  <c r="E59" i="32451" a="1"/>
  <c r="E59" i="32451" s="1"/>
  <c r="B59" i="32451" s="1"/>
  <c r="E52" i="32451" a="1"/>
  <c r="E52" i="32451" s="1"/>
  <c r="B52" i="32451" s="1"/>
  <c r="D45" i="32451" a="1"/>
  <c r="D45" i="32451" s="1"/>
  <c r="E37" i="32451" a="1"/>
  <c r="E37" i="32451" s="1"/>
  <c r="B37" i="32451" s="1"/>
  <c r="D668" i="32451" a="1"/>
  <c r="D668" i="32451" s="1"/>
  <c r="E649" i="32451" a="1"/>
  <c r="E649" i="32451" s="1"/>
  <c r="B649" i="32451" s="1"/>
  <c r="E624" i="32451" a="1"/>
  <c r="E624" i="32451" s="1"/>
  <c r="B624" i="32451" s="1"/>
  <c r="E577" i="32451" a="1"/>
  <c r="E577" i="32451" s="1"/>
  <c r="B577" i="32451" s="1"/>
  <c r="E562" i="32451" a="1"/>
  <c r="E562" i="32451" s="1"/>
  <c r="B562" i="32451" s="1"/>
  <c r="D541" i="32451" a="1"/>
  <c r="D541" i="32451" s="1"/>
  <c r="D520" i="32451" a="1"/>
  <c r="D520" i="32451" s="1"/>
  <c r="D500" i="32451" a="1"/>
  <c r="D500" i="32451" s="1"/>
  <c r="D459" i="32451" a="1"/>
  <c r="D459" i="32451" s="1"/>
  <c r="D437" i="32451" a="1"/>
  <c r="D437" i="32451" s="1"/>
  <c r="D397" i="32451" a="1"/>
  <c r="D397" i="32451" s="1"/>
  <c r="D376" i="32451" a="1"/>
  <c r="D376" i="32451" s="1"/>
  <c r="D359" i="32451" a="1"/>
  <c r="D359" i="32451" s="1"/>
  <c r="E326" i="32451" a="1"/>
  <c r="E326" i="32451" s="1"/>
  <c r="B326" i="32451" s="1"/>
  <c r="E313" i="32451" a="1"/>
  <c r="E313" i="32451" s="1"/>
  <c r="B313" i="32451" s="1"/>
  <c r="E303" i="32451" a="1"/>
  <c r="E303" i="32451" s="1"/>
  <c r="B303" i="32451" s="1"/>
  <c r="E266" i="32451" a="1"/>
  <c r="E266" i="32451" s="1"/>
  <c r="B266" i="32451" s="1"/>
  <c r="E253" i="32451" a="1"/>
  <c r="E253" i="32451" s="1"/>
  <c r="B253" i="32451" s="1"/>
  <c r="E240" i="32451" a="1"/>
  <c r="E240" i="32451" s="1"/>
  <c r="B240" i="32451" s="1"/>
  <c r="E203" i="32451" a="1"/>
  <c r="E203" i="32451" s="1"/>
  <c r="B203" i="32451" s="1"/>
  <c r="E182" i="32451" a="1"/>
  <c r="E182" i="32451" s="1"/>
  <c r="B182" i="32451" s="1"/>
  <c r="E170" i="32451" a="1"/>
  <c r="E170" i="32451" s="1"/>
  <c r="B170" i="32451" s="1"/>
  <c r="D163" i="32451" a="1"/>
  <c r="D163" i="32451" s="1"/>
  <c r="D156" i="32451" a="1"/>
  <c r="D156" i="32451" s="1"/>
  <c r="E149" i="32451" a="1"/>
  <c r="E149" i="32451" s="1"/>
  <c r="B149" i="32451" s="1"/>
  <c r="D134" i="32451" a="1"/>
  <c r="D134" i="32451" s="1"/>
  <c r="E120" i="32451" a="1"/>
  <c r="E120" i="32451" s="1"/>
  <c r="B120" i="32451" s="1"/>
  <c r="E113" i="32451" a="1"/>
  <c r="E113" i="32451" s="1"/>
  <c r="B113" i="32451" s="1"/>
  <c r="E100" i="32451" a="1"/>
  <c r="E100" i="32451" s="1"/>
  <c r="B100" i="32451" s="1"/>
  <c r="D93" i="32451" a="1"/>
  <c r="D93" i="32451" s="1"/>
  <c r="B85" i="32451"/>
  <c r="D72" i="32451" a="1"/>
  <c r="D72" i="32451" s="1"/>
  <c r="E57" i="32451" a="1"/>
  <c r="E57" i="32451" s="1"/>
  <c r="B57" i="32451" s="1"/>
  <c r="E44" i="32451" a="1"/>
  <c r="E44" i="32451" s="1"/>
  <c r="B44" i="32451" s="1"/>
  <c r="D665" i="32451" a="1"/>
  <c r="D665" i="32451" s="1"/>
  <c r="E640" i="32451" a="1"/>
  <c r="E640" i="32451" s="1"/>
  <c r="B640" i="32451" s="1"/>
  <c r="E576" i="32451" a="1"/>
  <c r="E576" i="32451" s="1"/>
  <c r="B576" i="32451" s="1"/>
  <c r="E537" i="32451" a="1"/>
  <c r="E537" i="32451" s="1"/>
  <c r="B537" i="32451" s="1"/>
  <c r="D471" i="32451" a="1"/>
  <c r="D471" i="32451" s="1"/>
  <c r="D454" i="32451" a="1"/>
  <c r="D454" i="32451" s="1"/>
  <c r="D433" i="32451" a="1"/>
  <c r="D433" i="32451" s="1"/>
  <c r="E412" i="32451" a="1"/>
  <c r="E412" i="32451" s="1"/>
  <c r="B412" i="32451" s="1"/>
  <c r="E395" i="32451" a="1"/>
  <c r="E395" i="32451" s="1"/>
  <c r="B395" i="32451" s="1"/>
  <c r="D375" i="32451" a="1"/>
  <c r="D375" i="32451" s="1"/>
  <c r="D349" i="32451" a="1"/>
  <c r="D349" i="32451" s="1"/>
  <c r="E335" i="32451" a="1"/>
  <c r="E335" i="32451" s="1"/>
  <c r="B335" i="32451" s="1"/>
  <c r="E325" i="32451" a="1"/>
  <c r="E325" i="32451" s="1"/>
  <c r="B325" i="32451" s="1"/>
  <c r="E312" i="32451" a="1"/>
  <c r="E312" i="32451" s="1"/>
  <c r="B312" i="32451" s="1"/>
  <c r="E275" i="32451" a="1"/>
  <c r="E275" i="32451" s="1"/>
  <c r="B275" i="32451" s="1"/>
  <c r="E262" i="32451" a="1"/>
  <c r="E262" i="32451" s="1"/>
  <c r="B262" i="32451" s="1"/>
  <c r="D238" i="32451" a="1"/>
  <c r="D238" i="32451" s="1"/>
  <c r="D225" i="32451" a="1"/>
  <c r="D225" i="32451" s="1"/>
  <c r="E211" i="32451" a="1"/>
  <c r="E211" i="32451" s="1"/>
  <c r="B211" i="32451" s="1"/>
  <c r="E202" i="32451" a="1"/>
  <c r="E202" i="32451" s="1"/>
  <c r="B202" i="32451" s="1"/>
  <c r="D190" i="32451" a="1"/>
  <c r="D190" i="32451" s="1"/>
  <c r="E178" i="32451" a="1"/>
  <c r="E178" i="32451" s="1"/>
  <c r="B178" i="32451" s="1"/>
  <c r="D168" i="32451" a="1"/>
  <c r="D168" i="32451" s="1"/>
  <c r="D162" i="32451" a="1"/>
  <c r="D162" i="32451" s="1"/>
  <c r="D155" i="32451" a="1"/>
  <c r="D155" i="32451" s="1"/>
  <c r="D147" i="32451" a="1"/>
  <c r="D147" i="32451" s="1"/>
  <c r="E140" i="32451" a="1"/>
  <c r="E140" i="32451" s="1"/>
  <c r="B140" i="32451" s="1"/>
  <c r="D133" i="32451" a="1"/>
  <c r="D133" i="32451" s="1"/>
  <c r="E125" i="32451" a="1"/>
  <c r="E125" i="32451" s="1"/>
  <c r="B125" i="32451" s="1"/>
  <c r="E112" i="32451" a="1"/>
  <c r="E112" i="32451" s="1"/>
  <c r="B112" i="32451" s="1"/>
  <c r="D105" i="32451" a="1"/>
  <c r="D105" i="32451" s="1"/>
  <c r="E97" i="32451" a="1"/>
  <c r="E97" i="32451" s="1"/>
  <c r="B97" i="32451" s="1"/>
  <c r="D92" i="32451" a="1"/>
  <c r="D92" i="32451" s="1"/>
  <c r="E84" i="32451" a="1"/>
  <c r="E84" i="32451" s="1"/>
  <c r="B84" i="32451" s="1"/>
  <c r="E69" i="32451" a="1"/>
  <c r="E69" i="32451" s="1"/>
  <c r="B69" i="32451" s="1"/>
  <c r="E56" i="32451" a="1"/>
  <c r="E56" i="32451" s="1"/>
  <c r="B56" i="32451" s="1"/>
  <c r="D36" i="32451" a="1"/>
  <c r="D36" i="32451" s="1"/>
  <c r="D636" i="32451" a="1"/>
  <c r="D636" i="32451" s="1"/>
  <c r="D614" i="32451" a="1"/>
  <c r="D614" i="32451" s="1"/>
  <c r="E598" i="32451" a="1"/>
  <c r="E598" i="32451" s="1"/>
  <c r="B598" i="32451" s="1"/>
  <c r="D576" i="32451" a="1"/>
  <c r="D576" i="32451" s="1"/>
  <c r="E492" i="32451" a="1"/>
  <c r="E492" i="32451" s="1"/>
  <c r="B492" i="32451" s="1"/>
  <c r="E453" i="32451" a="1"/>
  <c r="E453" i="32451" s="1"/>
  <c r="B453" i="32451" s="1"/>
  <c r="E432" i="32451" a="1"/>
  <c r="E432" i="32451" s="1"/>
  <c r="B432" i="32451" s="1"/>
  <c r="D371" i="32451" a="1"/>
  <c r="D371" i="32451" s="1"/>
  <c r="E297" i="32451" a="1"/>
  <c r="E297" i="32451" s="1"/>
  <c r="B297" i="32451" s="1"/>
  <c r="E284" i="32451" a="1"/>
  <c r="E284" i="32451" s="1"/>
  <c r="B284" i="32451" s="1"/>
  <c r="D262" i="32451" a="1"/>
  <c r="D262" i="32451" s="1"/>
  <c r="D249" i="32451" a="1"/>
  <c r="D249" i="32451" s="1"/>
  <c r="E237" i="32451" a="1"/>
  <c r="E237" i="32451" s="1"/>
  <c r="B237" i="32451" s="1"/>
  <c r="E224" i="32451" a="1"/>
  <c r="E224" i="32451" s="1"/>
  <c r="B224" i="32451" s="1"/>
  <c r="D211" i="32451" a="1"/>
  <c r="D211" i="32451" s="1"/>
  <c r="E189" i="32451" a="1"/>
  <c r="E189" i="32451" s="1"/>
  <c r="B189" i="32451" s="1"/>
  <c r="D178" i="32451" a="1"/>
  <c r="D178" i="32451" s="1"/>
  <c r="E167" i="32451" a="1"/>
  <c r="E167" i="32451" s="1"/>
  <c r="B167" i="32451" s="1"/>
  <c r="E154" i="32451" a="1"/>
  <c r="E154" i="32451" s="1"/>
  <c r="B154" i="32451" s="1"/>
  <c r="E146" i="32451" a="1"/>
  <c r="E146" i="32451" s="1"/>
  <c r="B146" i="32451" s="1"/>
  <c r="D138" i="32451" a="1"/>
  <c r="D138" i="32451" s="1"/>
  <c r="E132" i="32451" a="1"/>
  <c r="E132" i="32451" s="1"/>
  <c r="B132" i="32451" s="1"/>
  <c r="E117" i="32451" a="1"/>
  <c r="E117" i="32451" s="1"/>
  <c r="B117" i="32451" s="1"/>
  <c r="E104" i="32451" a="1"/>
  <c r="E104" i="32451" s="1"/>
  <c r="B104" i="32451" s="1"/>
  <c r="E90" i="32451" a="1"/>
  <c r="E90" i="32451" s="1"/>
  <c r="B90" i="32451" s="1"/>
  <c r="D84" i="32451" a="1"/>
  <c r="D84" i="32451" s="1"/>
  <c r="D77" i="32451" a="1"/>
  <c r="D77" i="32451" s="1"/>
  <c r="D64" i="32451" a="1"/>
  <c r="D64" i="32451" s="1"/>
  <c r="D49" i="32451" a="1"/>
  <c r="D49" i="32451" s="1"/>
  <c r="D42" i="32451" a="1"/>
  <c r="D42" i="32451" s="1"/>
  <c r="E683" i="32451" a="1"/>
  <c r="E683" i="32451" s="1"/>
  <c r="B683" i="32451" s="1"/>
  <c r="D514" i="32451" a="1"/>
  <c r="D514" i="32451" s="1"/>
  <c r="E447" i="32451" a="1"/>
  <c r="E447" i="32451" s="1"/>
  <c r="B447" i="32451" s="1"/>
  <c r="E411" i="32451" a="1"/>
  <c r="E411" i="32451" s="1"/>
  <c r="B411" i="32451" s="1"/>
  <c r="D348" i="32451" a="1"/>
  <c r="D348" i="32451" s="1"/>
  <c r="E321" i="32451" a="1"/>
  <c r="E321" i="32451" s="1"/>
  <c r="B321" i="32451" s="1"/>
  <c r="D275" i="32451" a="1"/>
  <c r="D275" i="32451" s="1"/>
  <c r="D246" i="32451" a="1"/>
  <c r="D246" i="32451" s="1"/>
  <c r="D224" i="32451" a="1"/>
  <c r="D224" i="32451" s="1"/>
  <c r="E693" i="32451" a="1"/>
  <c r="E693" i="32451" s="1"/>
  <c r="B693" i="32451" s="1"/>
  <c r="D641" i="32451" a="1"/>
  <c r="D641" i="32451" s="1"/>
  <c r="E622" i="32451" a="1"/>
  <c r="E622" i="32451" s="1"/>
  <c r="B622" i="32451" s="1"/>
  <c r="D577" i="32451" a="1"/>
  <c r="D577" i="32451" s="1"/>
  <c r="E516" i="32451" a="1"/>
  <c r="E516" i="32451" s="1"/>
  <c r="B516" i="32451" s="1"/>
  <c r="E494" i="32451" a="1"/>
  <c r="E494" i="32451" s="1"/>
  <c r="B494" i="32451" s="1"/>
  <c r="D479" i="32451" a="1"/>
  <c r="D479" i="32451" s="1"/>
  <c r="D458" i="32451" a="1"/>
  <c r="D458" i="32451" s="1"/>
  <c r="E419" i="32451" a="1"/>
  <c r="E419" i="32451" s="1"/>
  <c r="B419" i="32451" s="1"/>
  <c r="E375" i="32451" a="1"/>
  <c r="E375" i="32451" s="1"/>
  <c r="B375" i="32451" s="1"/>
  <c r="D352" i="32451" a="1"/>
  <c r="D352" i="32451" s="1"/>
  <c r="D339" i="32451" a="1"/>
  <c r="D339" i="32451" s="1"/>
  <c r="D326" i="32451" a="1"/>
  <c r="D326" i="32451" s="1"/>
  <c r="D289" i="32451" a="1"/>
  <c r="D289" i="32451" s="1"/>
  <c r="D276" i="32451" a="1"/>
  <c r="D276" i="32451" s="1"/>
  <c r="E225" i="32451" a="1"/>
  <c r="E225" i="32451" s="1"/>
  <c r="B225" i="32451" s="1"/>
  <c r="D216" i="32451" a="1"/>
  <c r="D216" i="32451" s="1"/>
  <c r="D191" i="32451" a="1"/>
  <c r="D191" i="32451" s="1"/>
  <c r="D170" i="32451" a="1"/>
  <c r="D170" i="32451" s="1"/>
  <c r="E155" i="32451" a="1"/>
  <c r="E155" i="32451" s="1"/>
  <c r="B155" i="32451" s="1"/>
  <c r="D149" i="32451" a="1"/>
  <c r="D149" i="32451" s="1"/>
  <c r="E141" i="32451" a="1"/>
  <c r="E141" i="32451" s="1"/>
  <c r="B141" i="32451" s="1"/>
  <c r="D126" i="32451" a="1"/>
  <c r="D126" i="32451" s="1"/>
  <c r="D120" i="32451" a="1"/>
  <c r="D120" i="32451" s="1"/>
  <c r="E105" i="32451" a="1"/>
  <c r="E105" i="32451" s="1"/>
  <c r="B105" i="32451" s="1"/>
  <c r="E92" i="32451" a="1"/>
  <c r="E92" i="32451" s="1"/>
  <c r="B92" i="32451" s="1"/>
  <c r="D78" i="32451" a="1"/>
  <c r="D78" i="32451" s="1"/>
  <c r="D65" i="32451" a="1"/>
  <c r="D65" i="32451" s="1"/>
  <c r="D52" i="32451" a="1"/>
  <c r="D52" i="32451" s="1"/>
  <c r="D37" i="32451" a="1"/>
  <c r="D37" i="32451" s="1"/>
  <c r="E665" i="32451" a="1"/>
  <c r="E665" i="32451" s="1"/>
  <c r="B665" i="32451" s="1"/>
  <c r="D621" i="32451" a="1"/>
  <c r="D621" i="32451" s="1"/>
  <c r="D599" i="32451" a="1"/>
  <c r="D599" i="32451" s="1"/>
  <c r="E555" i="32451" a="1"/>
  <c r="E555" i="32451" s="1"/>
  <c r="B555" i="32451" s="1"/>
  <c r="D538" i="32451" a="1"/>
  <c r="D538" i="32451" s="1"/>
  <c r="E493" i="32451" a="1"/>
  <c r="E493" i="32451" s="1"/>
  <c r="B493" i="32451" s="1"/>
  <c r="D478" i="32451" a="1"/>
  <c r="D478" i="32451" s="1"/>
  <c r="E457" i="32451" a="1"/>
  <c r="E457" i="32451" s="1"/>
  <c r="B457" i="32451" s="1"/>
  <c r="E433" i="32451" a="1"/>
  <c r="E433" i="32451" s="1"/>
  <c r="B433" i="32451" s="1"/>
  <c r="D396" i="32451" a="1"/>
  <c r="D396" i="32451" s="1"/>
  <c r="E351" i="32451" a="1"/>
  <c r="E351" i="32451" s="1"/>
  <c r="B351" i="32451" s="1"/>
  <c r="D313" i="32451" a="1"/>
  <c r="D313" i="32451" s="1"/>
  <c r="D300" i="32451" a="1"/>
  <c r="D300" i="32451" s="1"/>
  <c r="E288" i="32451" a="1"/>
  <c r="E288" i="32451" s="1"/>
  <c r="B288" i="32451" s="1"/>
  <c r="D263" i="32451" a="1"/>
  <c r="D263" i="32451" s="1"/>
  <c r="D253" i="32451" a="1"/>
  <c r="D253" i="32451" s="1"/>
  <c r="E238" i="32451" a="1"/>
  <c r="E238" i="32451" s="1"/>
  <c r="B238" i="32451" s="1"/>
  <c r="D212" i="32451" a="1"/>
  <c r="D212" i="32451" s="1"/>
  <c r="D203" i="32451" a="1"/>
  <c r="D203" i="32451" s="1"/>
  <c r="E190" i="32451" a="1"/>
  <c r="E190" i="32451" s="1"/>
  <c r="B190" i="32451" s="1"/>
  <c r="D179" i="32451" a="1"/>
  <c r="D179" i="32451" s="1"/>
  <c r="E162" i="32451" a="1"/>
  <c r="E162" i="32451" s="1"/>
  <c r="B162" i="32451" s="1"/>
  <c r="D141" i="32451" a="1"/>
  <c r="D141" i="32451" s="1"/>
  <c r="E133" i="32451" a="1"/>
  <c r="E133" i="32451" s="1"/>
  <c r="B133" i="32451" s="1"/>
  <c r="D113" i="32451" a="1"/>
  <c r="D113" i="32451" s="1"/>
  <c r="D98" i="32451" a="1"/>
  <c r="D98" i="32451" s="1"/>
  <c r="D85" i="32451" a="1"/>
  <c r="D85" i="32451" s="1"/>
  <c r="E77" i="32451" a="1"/>
  <c r="E77" i="32451" s="1"/>
  <c r="B77" i="32451" s="1"/>
  <c r="E71" i="32451" a="1"/>
  <c r="E71" i="32451" s="1"/>
  <c r="B71" i="32451" s="1"/>
  <c r="E64" i="32451" a="1"/>
  <c r="E64" i="32451" s="1"/>
  <c r="B64" i="32451" s="1"/>
  <c r="D57" i="32451" a="1"/>
  <c r="D57" i="32451" s="1"/>
  <c r="E49" i="32451" a="1"/>
  <c r="E49" i="32451" s="1"/>
  <c r="B49" i="32451" s="1"/>
  <c r="D44" i="32451" a="1"/>
  <c r="D44" i="32451" s="1"/>
  <c r="E36" i="32451" a="1"/>
  <c r="E36" i="32451" s="1"/>
  <c r="B36" i="32451" s="1"/>
  <c r="E514" i="32451" a="1"/>
  <c r="E514" i="32451" s="1"/>
  <c r="B514" i="32451" s="1"/>
  <c r="D660" i="32451" a="1"/>
  <c r="D660" i="32451" s="1"/>
  <c r="E613" i="32451" a="1"/>
  <c r="E613" i="32451" s="1"/>
  <c r="B613" i="32451" s="1"/>
  <c r="D575" i="32451" a="1"/>
  <c r="D575" i="32451" s="1"/>
  <c r="D551" i="32451" a="1"/>
  <c r="D551" i="32451" s="1"/>
  <c r="E529" i="32451" a="1"/>
  <c r="E529" i="32451" s="1"/>
  <c r="B529" i="32451" s="1"/>
  <c r="D492" i="32451" a="1"/>
  <c r="D492" i="32451" s="1"/>
  <c r="E470" i="32451" a="1"/>
  <c r="E470" i="32451" s="1"/>
  <c r="B470" i="32451" s="1"/>
  <c r="D432" i="32451" a="1"/>
  <c r="D432" i="32451" s="1"/>
  <c r="E370" i="32451" a="1"/>
  <c r="E370" i="32451" s="1"/>
  <c r="B370" i="32451" s="1"/>
  <c r="D335" i="32451" a="1"/>
  <c r="D335" i="32451" s="1"/>
  <c r="E310" i="32451" a="1"/>
  <c r="E310" i="32451" s="1"/>
  <c r="B310" i="32451" s="1"/>
  <c r="D284" i="32451" a="1"/>
  <c r="D284" i="32451" s="1"/>
  <c r="E261" i="32451" a="1"/>
  <c r="E261" i="32451" s="1"/>
  <c r="B261" i="32451" s="1"/>
  <c r="D233" i="32451" a="1"/>
  <c r="D233" i="32451" s="1"/>
  <c r="E682" i="32451" a="1"/>
  <c r="E682" i="32451" s="1"/>
  <c r="B682" i="32451" s="1"/>
  <c r="D590" i="32451" a="1"/>
  <c r="D590" i="32451" s="1"/>
  <c r="D508" i="32451" a="1"/>
  <c r="D508" i="32451" s="1"/>
  <c r="E431" i="32451" a="1"/>
  <c r="E431" i="32451" s="1"/>
  <c r="B431" i="32451" s="1"/>
  <c r="E347" i="32451" a="1"/>
  <c r="E347" i="32451" s="1"/>
  <c r="B347" i="32451" s="1"/>
  <c r="D297" i="32451" a="1"/>
  <c r="D297" i="32451" s="1"/>
  <c r="E207" i="32451" a="1"/>
  <c r="E207" i="32451" s="1"/>
  <c r="B207" i="32451" s="1"/>
  <c r="E172" i="32451" a="1"/>
  <c r="E172" i="32451" s="1"/>
  <c r="B172" i="32451" s="1"/>
  <c r="D151" i="32451" a="1"/>
  <c r="D151" i="32451" s="1"/>
  <c r="D129" i="32451" a="1"/>
  <c r="D129" i="32451" s="1"/>
  <c r="D109" i="32451" a="1"/>
  <c r="D109" i="32451" s="1"/>
  <c r="D89" i="32451" a="1"/>
  <c r="D89" i="32451" s="1"/>
  <c r="D68" i="32451" a="1"/>
  <c r="D68" i="32451" s="1"/>
  <c r="E47" i="32451" a="1"/>
  <c r="E47" i="32451" s="1"/>
  <c r="B47" i="32451" s="1"/>
  <c r="D627" i="32451" a="1"/>
  <c r="D627" i="32451" s="1"/>
  <c r="D318" i="32451" a="1"/>
  <c r="D318" i="32451" s="1"/>
  <c r="D159" i="32451" a="1"/>
  <c r="D159" i="32451" s="1"/>
  <c r="E73" i="32451" a="1"/>
  <c r="E73" i="32451" s="1"/>
  <c r="B73" i="32451" s="1"/>
  <c r="D681" i="32451" a="1"/>
  <c r="D681" i="32451" s="1"/>
  <c r="D425" i="32451" a="1"/>
  <c r="D425" i="32451" s="1"/>
  <c r="E296" i="32451" a="1"/>
  <c r="E296" i="32451" s="1"/>
  <c r="B296" i="32451" s="1"/>
  <c r="E245" i="32451" a="1"/>
  <c r="E245" i="32451" s="1"/>
  <c r="B245" i="32451" s="1"/>
  <c r="E197" i="32451" a="1"/>
  <c r="E197" i="32451" s="1"/>
  <c r="B197" i="32451" s="1"/>
  <c r="D146" i="32451" a="1"/>
  <c r="D146" i="32451" s="1"/>
  <c r="D125" i="32451" a="1"/>
  <c r="D125" i="32451" s="1"/>
  <c r="E61" i="32451" a="1"/>
  <c r="E61" i="32451" s="1"/>
  <c r="B61" i="32451" s="1"/>
  <c r="E41" i="32451" a="1"/>
  <c r="E41" i="32451" s="1"/>
  <c r="B41" i="32451" s="1"/>
  <c r="E589" i="32451" a="1"/>
  <c r="E589" i="32451" s="1"/>
  <c r="B589" i="32451" s="1"/>
  <c r="D506" i="32451" a="1"/>
  <c r="D506" i="32451" s="1"/>
  <c r="D342" i="32451" a="1"/>
  <c r="D342" i="32451" s="1"/>
  <c r="D296" i="32451" a="1"/>
  <c r="D296" i="32451" s="1"/>
  <c r="D245" i="32451" a="1"/>
  <c r="D245" i="32451" s="1"/>
  <c r="D167" i="32451" a="1"/>
  <c r="D167" i="32451" s="1"/>
  <c r="E124" i="32451" a="1"/>
  <c r="E124" i="32451" s="1"/>
  <c r="B124" i="32451" s="1"/>
  <c r="D104" i="32451" a="1"/>
  <c r="D104" i="32451" s="1"/>
  <c r="D656" i="32451" a="1"/>
  <c r="D656" i="32451" s="1"/>
  <c r="E572" i="32451" a="1"/>
  <c r="E572" i="32451" s="1"/>
  <c r="B572" i="32451" s="1"/>
  <c r="E491" i="32451" a="1"/>
  <c r="E491" i="32451" s="1"/>
  <c r="B491" i="32451" s="1"/>
  <c r="E334" i="32451" a="1"/>
  <c r="E334" i="32451" s="1"/>
  <c r="B334" i="32451" s="1"/>
  <c r="E283" i="32451" a="1"/>
  <c r="E283" i="32451" s="1"/>
  <c r="B283" i="32451" s="1"/>
  <c r="E232" i="32451" a="1"/>
  <c r="E232" i="32451" s="1"/>
  <c r="B232" i="32451" s="1"/>
  <c r="E166" i="32451" a="1"/>
  <c r="E166" i="32451" s="1"/>
  <c r="B166" i="32451" s="1"/>
  <c r="E145" i="32451" a="1"/>
  <c r="E145" i="32451" s="1"/>
  <c r="B145" i="32451" s="1"/>
  <c r="E102" i="32451" a="1"/>
  <c r="E102" i="32451" s="1"/>
  <c r="B102" i="32451" s="1"/>
  <c r="E81" i="32451" a="1"/>
  <c r="E81" i="32451" s="1"/>
  <c r="B81" i="32451" s="1"/>
  <c r="D61" i="32451" a="1"/>
  <c r="D61" i="32451" s="1"/>
  <c r="D41" i="32451" a="1"/>
  <c r="D41" i="32451" s="1"/>
  <c r="D384" i="32451" a="1"/>
  <c r="D384" i="32451" s="1"/>
  <c r="E363" i="32451" a="1"/>
  <c r="E363" i="32451" s="1"/>
  <c r="B363" i="32451" s="1"/>
  <c r="D310" i="32451" a="1"/>
  <c r="D310" i="32451" s="1"/>
  <c r="D259" i="32451" a="1"/>
  <c r="D259" i="32451" s="1"/>
  <c r="E210" i="32451" a="1"/>
  <c r="E210" i="32451" s="1"/>
  <c r="B210" i="32451" s="1"/>
  <c r="E177" i="32451" a="1"/>
  <c r="E177" i="32451" s="1"/>
  <c r="B177" i="32451" s="1"/>
  <c r="D132" i="32451" a="1"/>
  <c r="D132" i="32451" s="1"/>
  <c r="D110" i="32451" a="1"/>
  <c r="D110" i="32451" s="1"/>
  <c r="D90" i="32451" a="1"/>
  <c r="D90" i="32451" s="1"/>
  <c r="D69" i="32451" a="1"/>
  <c r="D69" i="32451" s="1"/>
  <c r="E48" i="32451" a="1"/>
  <c r="E48" i="32451" s="1"/>
  <c r="B48" i="32451" s="1"/>
  <c r="D363" i="32451" a="1"/>
  <c r="D363" i="32451" s="1"/>
  <c r="E258" i="32451" a="1"/>
  <c r="E258" i="32451" s="1"/>
  <c r="B258" i="32451" s="1"/>
  <c r="D177" i="32451" a="1"/>
  <c r="D177" i="32451" s="1"/>
  <c r="E129" i="32451" a="1"/>
  <c r="E129" i="32451" s="1"/>
  <c r="B129" i="32451" s="1"/>
  <c r="E109" i="32451" a="1"/>
  <c r="E109" i="32451" s="1"/>
  <c r="B109" i="32451" s="1"/>
  <c r="E68" i="32451" a="1"/>
  <c r="E68" i="32451" s="1"/>
  <c r="B68" i="32451" s="1"/>
  <c r="D48" i="32451" a="1"/>
  <c r="D48" i="32451" s="1"/>
  <c r="E611" i="32451" a="1"/>
  <c r="E611" i="32451" s="1"/>
  <c r="B611" i="32451" s="1"/>
  <c r="D445" i="32451" a="1"/>
  <c r="D445" i="32451" s="1"/>
  <c r="E362" i="32451" a="1"/>
  <c r="E362" i="32451" s="1"/>
  <c r="B362" i="32451" s="1"/>
  <c r="D305" i="32451" a="1"/>
  <c r="D305" i="32451" s="1"/>
  <c r="D175" i="32451" a="1"/>
  <c r="D175" i="32451" s="1"/>
  <c r="D154" i="32451" a="1"/>
  <c r="D154" i="32451" s="1"/>
  <c r="D210" i="32451" a="1"/>
  <c r="D210" i="32451" s="1"/>
  <c r="E153" i="32451" a="1"/>
  <c r="E153" i="32451" s="1"/>
  <c r="B153" i="32451" s="1"/>
  <c r="E89" i="32451" a="1"/>
  <c r="E89" i="32451" s="1"/>
  <c r="B89" i="32451" s="1"/>
  <c r="E528" i="32451" a="1"/>
  <c r="E528" i="32451" s="1"/>
  <c r="B528" i="32451" s="1"/>
  <c r="D652" i="32451" a="1"/>
  <c r="D652" i="32451" s="1"/>
  <c r="E568" i="32451" a="1"/>
  <c r="E568" i="32451" s="1"/>
  <c r="B568" i="32451" s="1"/>
  <c r="E409" i="32451" a="1"/>
  <c r="E409" i="32451" s="1"/>
  <c r="B409" i="32451" s="1"/>
  <c r="D334" i="32451" a="1"/>
  <c r="D334" i="32451" s="1"/>
  <c r="D283" i="32451" a="1"/>
  <c r="D283" i="32451" s="1"/>
  <c r="D232" i="32451" a="1"/>
  <c r="D232" i="32451" s="1"/>
  <c r="D195" i="32451" a="1"/>
  <c r="D195" i="32451" s="1"/>
  <c r="D166" i="32451" a="1"/>
  <c r="D166" i="32451" s="1"/>
  <c r="D122" i="32451" a="1"/>
  <c r="D122" i="32451" s="1"/>
  <c r="D102" i="32451" a="1"/>
  <c r="D102" i="32451" s="1"/>
  <c r="D81" i="32451" a="1"/>
  <c r="D81" i="32451" s="1"/>
  <c r="E60" i="32451" a="1"/>
  <c r="E60" i="32451" s="1"/>
  <c r="B60" i="32451" s="1"/>
  <c r="E40" i="32451" a="1"/>
  <c r="E40" i="32451" s="1"/>
  <c r="B40" i="32451" s="1"/>
  <c r="E550" i="32451" a="1"/>
  <c r="E550" i="32451" s="1"/>
  <c r="B550" i="32451" s="1"/>
  <c r="D467" i="32451" a="1"/>
  <c r="D467" i="32451" s="1"/>
  <c r="E223" i="32451" a="1"/>
  <c r="E223" i="32451" s="1"/>
  <c r="B223" i="32451" s="1"/>
  <c r="E159" i="32451" a="1"/>
  <c r="E159" i="32451" s="1"/>
  <c r="B159" i="32451" s="1"/>
  <c r="D117" i="32451" a="1"/>
  <c r="D117" i="32451" s="1"/>
  <c r="B33" i="32451"/>
  <c r="D635" i="32451" a="1"/>
  <c r="D635" i="32451" s="1"/>
  <c r="D96" i="32451" a="1"/>
  <c r="D96" i="32451" s="1"/>
  <c r="D54" i="32451" a="1"/>
  <c r="D54" i="32451" s="1"/>
  <c r="E269" i="32451" a="1"/>
  <c r="E269" i="32451" s="1"/>
  <c r="B269" i="32451" s="1"/>
  <c r="D219" i="32451" a="1"/>
  <c r="D219" i="32451" s="1"/>
  <c r="D137" i="32451" a="1"/>
  <c r="D137" i="32451" s="1"/>
  <c r="E53" i="32451" a="1"/>
  <c r="E53" i="32451" s="1"/>
  <c r="B53" i="32451" s="1"/>
  <c r="D529" i="32451" a="1"/>
  <c r="D529" i="32451" s="1"/>
  <c r="E305" i="32451" a="1"/>
  <c r="E305" i="32451" s="1"/>
  <c r="B305" i="32451" s="1"/>
  <c r="D651" i="32451" a="1"/>
  <c r="D651" i="32451" s="1"/>
  <c r="E405" i="32451" a="1"/>
  <c r="E405" i="32451" s="1"/>
  <c r="B405" i="32451" s="1"/>
  <c r="E333" i="32451" a="1"/>
  <c r="E333" i="32451" s="1"/>
  <c r="B333" i="32451" s="1"/>
  <c r="E282" i="32451" a="1"/>
  <c r="E282" i="32451" s="1"/>
  <c r="B282" i="32451" s="1"/>
  <c r="D188" i="32451" a="1"/>
  <c r="D188" i="32451" s="1"/>
  <c r="D97" i="32451" a="1"/>
  <c r="D97" i="32451" s="1"/>
  <c r="E76" i="32451" a="1"/>
  <c r="E76" i="32451" s="1"/>
  <c r="B76" i="32451" s="1"/>
  <c r="D56" i="32451" a="1"/>
  <c r="D56" i="32451" s="1"/>
  <c r="E35" i="32451" a="1"/>
  <c r="E35" i="32451" s="1"/>
  <c r="B35" i="32451" s="1"/>
  <c r="E635" i="32451" a="1"/>
  <c r="E635" i="32451" s="1"/>
  <c r="B635" i="32451" s="1"/>
  <c r="D388" i="32451" a="1"/>
  <c r="D388" i="32451" s="1"/>
  <c r="D270" i="32451" a="1"/>
  <c r="D270" i="32451" s="1"/>
  <c r="D185" i="32451" a="1"/>
  <c r="D185" i="32451" s="1"/>
  <c r="E137" i="32451" a="1"/>
  <c r="E137" i="32451" s="1"/>
  <c r="B137" i="32451" s="1"/>
  <c r="E96" i="32451" a="1"/>
  <c r="E96" i="32451" s="1"/>
  <c r="B96" i="32451" s="1"/>
  <c r="D321" i="32451" a="1"/>
  <c r="D321" i="32451" s="1"/>
  <c r="E116" i="32451" a="1"/>
  <c r="E116" i="32451" s="1"/>
  <c r="B116" i="32451" s="1"/>
  <c r="D76" i="32451" a="1"/>
  <c r="D76" i="32451" s="1"/>
  <c r="D33" i="32451" a="1"/>
  <c r="D33" i="32451" s="1"/>
  <c r="D550" i="32451" a="1"/>
  <c r="D550" i="32451" s="1"/>
  <c r="B9" i="32457"/>
  <c r="B9" i="32458"/>
  <c r="F52" i="32451" l="1"/>
  <c r="F44" i="32451"/>
  <c r="F62" i="32451"/>
  <c r="F61" i="32451"/>
  <c r="F46" i="32451"/>
  <c r="F58" i="32451"/>
  <c r="F56" i="32451"/>
  <c r="F55" i="32451"/>
  <c r="F39" i="32451"/>
  <c r="F43" i="32451"/>
  <c r="F25" i="32458"/>
  <c r="F22" i="32458"/>
  <c r="F63" i="32451"/>
  <c r="F57" i="32451"/>
  <c r="F54" i="32451"/>
  <c r="F50" i="32451"/>
  <c r="F42" i="32451"/>
  <c r="F34" i="32451"/>
  <c r="F48" i="32451"/>
  <c r="F35" i="32451"/>
  <c r="F40" i="32451"/>
  <c r="F60" i="32451"/>
  <c r="F697" i="32451"/>
  <c r="F33" i="32451"/>
  <c r="F36" i="32451"/>
  <c r="F53" i="32451"/>
  <c r="F59" i="32451"/>
  <c r="F696" i="32451"/>
  <c r="F41" i="32451"/>
  <c r="F37" i="32451"/>
  <c r="F38" i="32451"/>
  <c r="A559" i="32498"/>
  <c r="B559" i="32498" s="1"/>
  <c r="F590" i="32451"/>
  <c r="A353" i="32498"/>
  <c r="B353" i="32498" s="1"/>
  <c r="F384" i="32451"/>
  <c r="A58" i="32498"/>
  <c r="B58" i="32498" s="1"/>
  <c r="F89" i="32451"/>
  <c r="A604" i="32498"/>
  <c r="B604" i="32498" s="1"/>
  <c r="F635" i="32451"/>
  <c r="A332" i="32498"/>
  <c r="B332" i="32498" s="1"/>
  <c r="F363" i="32451"/>
  <c r="A73" i="32498"/>
  <c r="B73" i="32498" s="1"/>
  <c r="F104" i="32451"/>
  <c r="A78" i="32498"/>
  <c r="B78" i="32498" s="1"/>
  <c r="F109" i="32451"/>
  <c r="A164" i="32498"/>
  <c r="B164" i="32498" s="1"/>
  <c r="F195" i="32451"/>
  <c r="A144" i="32498"/>
  <c r="B144" i="32498" s="1"/>
  <c r="F175" i="32451"/>
  <c r="A98" i="32498"/>
  <c r="B98" i="32498" s="1"/>
  <c r="F129" i="32451"/>
  <c r="A253" i="32498"/>
  <c r="B253" i="32498" s="1"/>
  <c r="F284" i="32451"/>
  <c r="A110" i="32498"/>
  <c r="B110" i="32498" s="1"/>
  <c r="F141" i="32451"/>
  <c r="A185" i="32498"/>
  <c r="B185" i="32498" s="1"/>
  <c r="F216" i="32451"/>
  <c r="A483" i="32498"/>
  <c r="B483" i="32498" s="1"/>
  <c r="F514" i="32451"/>
  <c r="A340" i="32498"/>
  <c r="B340" i="32498" s="1"/>
  <c r="F371" i="32451"/>
  <c r="A61" i="32498"/>
  <c r="B61" i="32498" s="1"/>
  <c r="F92" i="32451"/>
  <c r="A159" i="32498"/>
  <c r="B159" i="32498" s="1"/>
  <c r="F190" i="32451"/>
  <c r="A489" i="32498"/>
  <c r="B489" i="32498" s="1"/>
  <c r="F520" i="32451"/>
  <c r="A236" i="32498"/>
  <c r="B236" i="32498" s="1"/>
  <c r="F267" i="32451"/>
  <c r="A533" i="32498"/>
  <c r="B533" i="32498" s="1"/>
  <c r="F564" i="32451"/>
  <c r="A85" i="32498"/>
  <c r="B85" i="32498" s="1"/>
  <c r="F116" i="32451"/>
  <c r="A300" i="32498"/>
  <c r="B300" i="32498" s="1"/>
  <c r="F331" i="32451"/>
  <c r="A75" i="32498"/>
  <c r="B75" i="32498" s="1"/>
  <c r="F106" i="32451"/>
  <c r="A133" i="32498"/>
  <c r="B133" i="32498" s="1"/>
  <c r="F164" i="32451"/>
  <c r="A226" i="32498"/>
  <c r="B226" i="32498" s="1"/>
  <c r="F257" i="32451"/>
  <c r="A575" i="32498"/>
  <c r="B575" i="32498" s="1"/>
  <c r="F606" i="32451"/>
  <c r="A100" i="32498"/>
  <c r="B100" i="32498" s="1"/>
  <c r="F131" i="32451"/>
  <c r="A168" i="32498"/>
  <c r="B168" i="32498" s="1"/>
  <c r="F199" i="32451"/>
  <c r="A270" i="32498"/>
  <c r="B270" i="32498" s="1"/>
  <c r="F301" i="32451"/>
  <c r="A455" i="32498"/>
  <c r="B455" i="32498" s="1"/>
  <c r="F486" i="32451"/>
  <c r="A64" i="32498"/>
  <c r="B64" i="32498" s="1"/>
  <c r="F95" i="32451"/>
  <c r="A192" i="32498"/>
  <c r="B192" i="32498" s="1"/>
  <c r="F223" i="32451"/>
  <c r="A521" i="32498"/>
  <c r="B521" i="32498" s="1"/>
  <c r="F552" i="32451"/>
  <c r="A199" i="32498"/>
  <c r="B199" i="32498" s="1"/>
  <c r="F230" i="32451"/>
  <c r="A275" i="32498"/>
  <c r="B275" i="32498" s="1"/>
  <c r="F306" i="32451"/>
  <c r="A390" i="32498"/>
  <c r="B390" i="32498" s="1"/>
  <c r="F421" i="32451"/>
  <c r="A514" i="32498"/>
  <c r="B514" i="32498" s="1"/>
  <c r="F545" i="32451"/>
  <c r="A664" i="32498"/>
  <c r="B664" i="32498" s="1"/>
  <c r="F695" i="32451"/>
  <c r="A458" i="32498"/>
  <c r="B458" i="32498" s="1"/>
  <c r="F489" i="32451"/>
  <c r="A571" i="32498"/>
  <c r="B571" i="32498" s="1"/>
  <c r="F602" i="32451"/>
  <c r="A191" i="32498"/>
  <c r="B191" i="32498" s="1"/>
  <c r="F222" i="32451"/>
  <c r="A276" i="32498"/>
  <c r="B276" i="32498" s="1"/>
  <c r="F307" i="32451"/>
  <c r="A385" i="32498"/>
  <c r="B385" i="32498" s="1"/>
  <c r="F416" i="32451"/>
  <c r="A515" i="32498"/>
  <c r="B515" i="32498" s="1"/>
  <c r="F546" i="32451"/>
  <c r="A502" i="32498"/>
  <c r="B502" i="32498" s="1"/>
  <c r="F533" i="32451"/>
  <c r="A586" i="32498"/>
  <c r="B586" i="32498" s="1"/>
  <c r="F617" i="32451"/>
  <c r="A513" i="32498"/>
  <c r="B513" i="32498" s="1"/>
  <c r="F544" i="32451"/>
  <c r="A652" i="32498"/>
  <c r="B652" i="32498" s="1"/>
  <c r="F683" i="32451"/>
  <c r="A441" i="32498"/>
  <c r="B441" i="32498" s="1"/>
  <c r="F472" i="32451"/>
  <c r="A358" i="32498"/>
  <c r="B358" i="32498" s="1"/>
  <c r="F389" i="32451"/>
  <c r="A438" i="32498"/>
  <c r="B438" i="32498" s="1"/>
  <c r="F469" i="32451"/>
  <c r="A573" i="32498"/>
  <c r="B573" i="32498" s="1"/>
  <c r="F604" i="32451"/>
  <c r="A631" i="32498"/>
  <c r="B631" i="32498" s="1"/>
  <c r="F662" i="32451"/>
  <c r="A335" i="32498"/>
  <c r="B335" i="32498" s="1"/>
  <c r="F366" i="32451"/>
  <c r="A407" i="32498"/>
  <c r="B407" i="32498" s="1"/>
  <c r="F438" i="32451"/>
  <c r="A480" i="32498"/>
  <c r="B480" i="32498" s="1"/>
  <c r="F511" i="32451"/>
  <c r="A656" i="32498"/>
  <c r="B656" i="32498" s="1"/>
  <c r="F687" i="32451"/>
  <c r="A384" i="32498"/>
  <c r="B384" i="32498" s="1"/>
  <c r="F415" i="32451"/>
  <c r="A451" i="32498"/>
  <c r="B451" i="32498" s="1"/>
  <c r="F482" i="32451"/>
  <c r="A536" i="32498"/>
  <c r="B536" i="32498" s="1"/>
  <c r="F567" i="32451"/>
  <c r="A617" i="32498"/>
  <c r="B617" i="32498" s="1"/>
  <c r="F648" i="32451"/>
  <c r="A279" i="32498"/>
  <c r="B279" i="32498" s="1"/>
  <c r="F310" i="32451"/>
  <c r="A146" i="32498"/>
  <c r="B146" i="32498" s="1"/>
  <c r="F177" i="32451"/>
  <c r="A65" i="32498"/>
  <c r="B65" i="32498" s="1"/>
  <c r="F96" i="32451"/>
  <c r="A625" i="32498"/>
  <c r="B625" i="32498" s="1"/>
  <c r="F656" i="32451"/>
  <c r="A135" i="32498"/>
  <c r="B135" i="32498" s="1"/>
  <c r="F166" i="32451"/>
  <c r="A86" i="32498"/>
  <c r="B86" i="32498" s="1"/>
  <c r="F117" i="32451"/>
  <c r="A201" i="32498"/>
  <c r="B201" i="32498" s="1"/>
  <c r="F232" i="32451"/>
  <c r="A274" i="32498"/>
  <c r="B274" i="32498" s="1"/>
  <c r="F305" i="32451"/>
  <c r="A38" i="32498"/>
  <c r="B38" i="32498" s="1"/>
  <c r="F69" i="32451"/>
  <c r="A136" i="32498"/>
  <c r="B136" i="32498" s="1"/>
  <c r="F167" i="32451"/>
  <c r="A120" i="32498"/>
  <c r="B120" i="32498" s="1"/>
  <c r="F151" i="32451"/>
  <c r="A365" i="32498"/>
  <c r="B365" i="32498" s="1"/>
  <c r="F396" i="32451"/>
  <c r="A34" i="32498"/>
  <c r="B34" i="32498" s="1"/>
  <c r="F65" i="32451"/>
  <c r="A546" i="32498"/>
  <c r="B546" i="32498" s="1"/>
  <c r="F577" i="32451"/>
  <c r="A62" i="32498"/>
  <c r="B62" i="32498" s="1"/>
  <c r="F93" i="32451"/>
  <c r="A510" i="32498"/>
  <c r="B510" i="32498" s="1"/>
  <c r="F541" i="32451"/>
  <c r="A49" i="32498"/>
  <c r="B49" i="32498" s="1"/>
  <c r="F80" i="32451"/>
  <c r="A210" i="32498"/>
  <c r="B210" i="32498" s="1"/>
  <c r="F241" i="32451"/>
  <c r="A273" i="32498"/>
  <c r="B273" i="32498" s="1"/>
  <c r="F304" i="32451"/>
  <c r="A331" i="32498"/>
  <c r="B331" i="32498" s="1"/>
  <c r="F362" i="32451"/>
  <c r="A142" i="32498"/>
  <c r="B142" i="32498" s="1"/>
  <c r="F173" i="32451"/>
  <c r="A638" i="32498"/>
  <c r="B638" i="32498" s="1"/>
  <c r="F669" i="32451"/>
  <c r="A56" i="32498"/>
  <c r="B56" i="32498" s="1"/>
  <c r="F87" i="32451"/>
  <c r="A121" i="32498"/>
  <c r="B121" i="32498" s="1"/>
  <c r="F152" i="32451"/>
  <c r="A240" i="32498"/>
  <c r="B240" i="32498" s="1"/>
  <c r="F271" i="32451"/>
  <c r="A189" i="32498"/>
  <c r="B189" i="32498" s="1"/>
  <c r="F220" i="32451"/>
  <c r="A278" i="32498"/>
  <c r="B278" i="32498" s="1"/>
  <c r="F309" i="32451"/>
  <c r="A468" i="32498"/>
  <c r="B468" i="32498" s="1"/>
  <c r="F499" i="32451"/>
  <c r="A613" i="32498"/>
  <c r="B613" i="32498" s="1"/>
  <c r="F644" i="32451"/>
  <c r="A176" i="32498"/>
  <c r="B176" i="32498" s="1"/>
  <c r="F207" i="32451"/>
  <c r="A539" i="32498"/>
  <c r="B539" i="32498" s="1"/>
  <c r="F570" i="32451"/>
  <c r="A40" i="32498"/>
  <c r="B40" i="32498" s="1"/>
  <c r="F71" i="32451"/>
  <c r="A105" i="32498"/>
  <c r="B105" i="32498" s="1"/>
  <c r="F136" i="32451"/>
  <c r="A213" i="32498"/>
  <c r="B213" i="32498" s="1"/>
  <c r="F244" i="32451"/>
  <c r="A531" i="32498"/>
  <c r="B531" i="32498" s="1"/>
  <c r="F562" i="32451"/>
  <c r="A224" i="32498"/>
  <c r="B224" i="32498" s="1"/>
  <c r="F255" i="32451"/>
  <c r="A527" i="32498"/>
  <c r="B527" i="32498" s="1"/>
  <c r="F558" i="32451"/>
  <c r="A648" i="32498"/>
  <c r="B648" i="32498" s="1"/>
  <c r="F679" i="32451"/>
  <c r="A203" i="32498"/>
  <c r="B203" i="32498" s="1"/>
  <c r="F234" i="32451"/>
  <c r="A288" i="32498"/>
  <c r="B288" i="32498" s="1"/>
  <c r="F319" i="32451"/>
  <c r="A410" i="32498"/>
  <c r="B410" i="32498" s="1"/>
  <c r="F441" i="32451"/>
  <c r="AI705" i="32451"/>
  <c r="E674" i="32498"/>
  <c r="A674" i="32498"/>
  <c r="A473" i="32498"/>
  <c r="B473" i="32498" s="1"/>
  <c r="F504" i="32451"/>
  <c r="A579" i="32498"/>
  <c r="B579" i="32498" s="1"/>
  <c r="F610" i="32451"/>
  <c r="A204" i="32498"/>
  <c r="B204" i="32498" s="1"/>
  <c r="F235" i="32451"/>
  <c r="A289" i="32498"/>
  <c r="B289" i="32498" s="1"/>
  <c r="F320" i="32451"/>
  <c r="A398" i="32498"/>
  <c r="B398" i="32498" s="1"/>
  <c r="F429" i="32451"/>
  <c r="A522" i="32498"/>
  <c r="B522" i="32498" s="1"/>
  <c r="F553" i="32451"/>
  <c r="A166" i="32498"/>
  <c r="B166" i="32498" s="1"/>
  <c r="F197" i="32451"/>
  <c r="A225" i="32498"/>
  <c r="B225" i="32498" s="1"/>
  <c r="F256" i="32451"/>
  <c r="A593" i="32498"/>
  <c r="B593" i="32498" s="1"/>
  <c r="F624" i="32451"/>
  <c r="A389" i="32498"/>
  <c r="B389" i="32498" s="1"/>
  <c r="F420" i="32451"/>
  <c r="A518" i="32498"/>
  <c r="B518" i="32498" s="1"/>
  <c r="F549" i="32451"/>
  <c r="A370" i="32498"/>
  <c r="B370" i="32498" s="1"/>
  <c r="F401" i="32451"/>
  <c r="A445" i="32498"/>
  <c r="B445" i="32498" s="1"/>
  <c r="F476" i="32451"/>
  <c r="A535" i="32498"/>
  <c r="B535" i="32498" s="1"/>
  <c r="F566" i="32451"/>
  <c r="A660" i="32498"/>
  <c r="B660" i="32498" s="1"/>
  <c r="F691" i="32451"/>
  <c r="A578" i="32498"/>
  <c r="B578" i="32498" s="1"/>
  <c r="F609" i="32451"/>
  <c r="A661" i="32498"/>
  <c r="B661" i="32498" s="1"/>
  <c r="F692" i="32451"/>
  <c r="A388" i="32498"/>
  <c r="B388" i="32498" s="1"/>
  <c r="F419" i="32451"/>
  <c r="A467" i="32498"/>
  <c r="B467" i="32498" s="1"/>
  <c r="F498" i="32451"/>
  <c r="A548" i="32498"/>
  <c r="B548" i="32498" s="1"/>
  <c r="F579" i="32451"/>
  <c r="A622" i="32498"/>
  <c r="B622" i="32498" s="1"/>
  <c r="F653" i="32451"/>
  <c r="A157" i="32498"/>
  <c r="B157" i="32498" s="1"/>
  <c r="F188" i="32451"/>
  <c r="A252" i="32498"/>
  <c r="B252" i="32498" s="1"/>
  <c r="F283" i="32451"/>
  <c r="A59" i="32498"/>
  <c r="B59" i="32498" s="1"/>
  <c r="F90" i="32451"/>
  <c r="A214" i="32498"/>
  <c r="B214" i="32498" s="1"/>
  <c r="F245" i="32451"/>
  <c r="A394" i="32498"/>
  <c r="B394" i="32498" s="1"/>
  <c r="F425" i="32451"/>
  <c r="A304" i="32498"/>
  <c r="B304" i="32498" s="1"/>
  <c r="F335" i="32451"/>
  <c r="A148" i="32498"/>
  <c r="B148" i="32498" s="1"/>
  <c r="F179" i="32451"/>
  <c r="A47" i="32498"/>
  <c r="B47" i="32498" s="1"/>
  <c r="F78" i="32451"/>
  <c r="A245" i="32498"/>
  <c r="B245" i="32498" s="1"/>
  <c r="F276" i="32451"/>
  <c r="A74" i="32498"/>
  <c r="B74" i="32498" s="1"/>
  <c r="F105" i="32451"/>
  <c r="A402" i="32498"/>
  <c r="B402" i="32498" s="1"/>
  <c r="F433" i="32451"/>
  <c r="A55" i="32498"/>
  <c r="B55" i="32498" s="1"/>
  <c r="F86" i="32451"/>
  <c r="A247" i="32498"/>
  <c r="B247" i="32498" s="1"/>
  <c r="F278" i="32451"/>
  <c r="A532" i="32498"/>
  <c r="B532" i="32498" s="1"/>
  <c r="F563" i="32451"/>
  <c r="A87" i="32498"/>
  <c r="B87" i="32498" s="1"/>
  <c r="F118" i="32451"/>
  <c r="A420" i="32498"/>
  <c r="B420" i="32498" s="1"/>
  <c r="F451" i="32451"/>
  <c r="A653" i="32498"/>
  <c r="B653" i="32498" s="1"/>
  <c r="F684" i="32451"/>
  <c r="A60" i="32498"/>
  <c r="B60" i="32498" s="1"/>
  <c r="F91" i="32451"/>
  <c r="A126" i="32498"/>
  <c r="B126" i="32498" s="1"/>
  <c r="F157" i="32451"/>
  <c r="A261" i="32498"/>
  <c r="B261" i="32498" s="1"/>
  <c r="F292" i="32451"/>
  <c r="A597" i="32498"/>
  <c r="B597" i="32498" s="1"/>
  <c r="F628" i="32451"/>
  <c r="A108" i="32498"/>
  <c r="B108" i="32498" s="1"/>
  <c r="F139" i="32451"/>
  <c r="A292" i="32498"/>
  <c r="B292" i="32498" s="1"/>
  <c r="F323" i="32451"/>
  <c r="A478" i="32498"/>
  <c r="B478" i="32498" s="1"/>
  <c r="F509" i="32451"/>
  <c r="A628" i="32498"/>
  <c r="B628" i="32498" s="1"/>
  <c r="F659" i="32451"/>
  <c r="A76" i="32498"/>
  <c r="B76" i="32498" s="1"/>
  <c r="F107" i="32451"/>
  <c r="A338" i="32498"/>
  <c r="B338" i="32498" s="1"/>
  <c r="F369" i="32451"/>
  <c r="A552" i="32498"/>
  <c r="B552" i="32498" s="1"/>
  <c r="F583" i="32451"/>
  <c r="A109" i="32498"/>
  <c r="B109" i="32498" s="1"/>
  <c r="F140" i="32451"/>
  <c r="A227" i="32498"/>
  <c r="B227" i="32498" s="1"/>
  <c r="F258" i="32451"/>
  <c r="A316" i="32498"/>
  <c r="B316" i="32498" s="1"/>
  <c r="F347" i="32451"/>
  <c r="A540" i="32498"/>
  <c r="B540" i="32498" s="1"/>
  <c r="F571" i="32451"/>
  <c r="A161" i="32498"/>
  <c r="B161" i="32498" s="1"/>
  <c r="F192" i="32451"/>
  <c r="A296" i="32498"/>
  <c r="B296" i="32498" s="1"/>
  <c r="F327" i="32451"/>
  <c r="A397" i="32498"/>
  <c r="B397" i="32498" s="1"/>
  <c r="F428" i="32451"/>
  <c r="A534" i="32498"/>
  <c r="B534" i="32498" s="1"/>
  <c r="F565" i="32451"/>
  <c r="A655" i="32498"/>
  <c r="B655" i="32498" s="1"/>
  <c r="F686" i="32451"/>
  <c r="A216" i="32498"/>
  <c r="B216" i="32498" s="1"/>
  <c r="F247" i="32451"/>
  <c r="A301" i="32498"/>
  <c r="B301" i="32498" s="1"/>
  <c r="F332" i="32451"/>
  <c r="A425" i="32498"/>
  <c r="B425" i="32498" s="1"/>
  <c r="F456" i="32451"/>
  <c r="A528" i="32498"/>
  <c r="B528" i="32498" s="1"/>
  <c r="F559" i="32451"/>
  <c r="A212" i="32498"/>
  <c r="B212" i="32498" s="1"/>
  <c r="F243" i="32451"/>
  <c r="A481" i="32498"/>
  <c r="B481" i="32498" s="1"/>
  <c r="F512" i="32451"/>
  <c r="A584" i="32498"/>
  <c r="B584" i="32498" s="1"/>
  <c r="F615" i="32451"/>
  <c r="A145" i="32498"/>
  <c r="B145" i="32498" s="1"/>
  <c r="F176" i="32451"/>
  <c r="A217" i="32498"/>
  <c r="B217" i="32498" s="1"/>
  <c r="F248" i="32451"/>
  <c r="A302" i="32498"/>
  <c r="B302" i="32498" s="1"/>
  <c r="F333" i="32451"/>
  <c r="A564" i="32498"/>
  <c r="B564" i="32498" s="1"/>
  <c r="F595" i="32451"/>
  <c r="A171" i="32498"/>
  <c r="B171" i="32498" s="1"/>
  <c r="F202" i="32451"/>
  <c r="A238" i="32498"/>
  <c r="B238" i="32498" s="1"/>
  <c r="F269" i="32451"/>
  <c r="A297" i="32498"/>
  <c r="B297" i="32498" s="1"/>
  <c r="F328" i="32451"/>
  <c r="A516" i="32498"/>
  <c r="B516" i="32498" s="1"/>
  <c r="F547" i="32451"/>
  <c r="A601" i="32498"/>
  <c r="B601" i="32498" s="1"/>
  <c r="F632" i="32451"/>
  <c r="A393" i="32498"/>
  <c r="B393" i="32498" s="1"/>
  <c r="F424" i="32451"/>
  <c r="A460" i="32498"/>
  <c r="B460" i="32498" s="1"/>
  <c r="F491" i="32451"/>
  <c r="A525" i="32498"/>
  <c r="B525" i="32498" s="1"/>
  <c r="F556" i="32451"/>
  <c r="A662" i="32498"/>
  <c r="B662" i="32498" s="1"/>
  <c r="F693" i="32451"/>
  <c r="A374" i="32498"/>
  <c r="B374" i="32498" s="1"/>
  <c r="F405" i="32451"/>
  <c r="A602" i="32498"/>
  <c r="B602" i="32498" s="1"/>
  <c r="F633" i="32451"/>
  <c r="A492" i="32498"/>
  <c r="B492" i="32498" s="1"/>
  <c r="F523" i="32451"/>
  <c r="A666" i="32498"/>
  <c r="B666" i="32498" s="1"/>
  <c r="A392" i="32498"/>
  <c r="B392" i="32498" s="1"/>
  <c r="F423" i="32451"/>
  <c r="A472" i="32498"/>
  <c r="B472" i="32498" s="1"/>
  <c r="F503" i="32451"/>
  <c r="A557" i="32498"/>
  <c r="B557" i="32498" s="1"/>
  <c r="F588" i="32451"/>
  <c r="A45" i="32498"/>
  <c r="B45" i="32498" s="1"/>
  <c r="F76" i="32451"/>
  <c r="A620" i="32498"/>
  <c r="B620" i="32498" s="1"/>
  <c r="F651" i="32451"/>
  <c r="A414" i="32498"/>
  <c r="B414" i="32498" s="1"/>
  <c r="F445" i="32451"/>
  <c r="A79" i="32498"/>
  <c r="B79" i="32498" s="1"/>
  <c r="F110" i="32451"/>
  <c r="A265" i="32498"/>
  <c r="B265" i="32498" s="1"/>
  <c r="F296" i="32451"/>
  <c r="A650" i="32498"/>
  <c r="B650" i="32498" s="1"/>
  <c r="F681" i="32451"/>
  <c r="A258" i="32498"/>
  <c r="B258" i="32498" s="1"/>
  <c r="F289" i="32451"/>
  <c r="A610" i="32498"/>
  <c r="B610" i="32498" s="1"/>
  <c r="F641" i="32451"/>
  <c r="A18" i="32498"/>
  <c r="B18" i="32498" s="1"/>
  <c r="F49" i="32451"/>
  <c r="A147" i="32498"/>
  <c r="B147" i="32498" s="1"/>
  <c r="F178" i="32451"/>
  <c r="A194" i="32498"/>
  <c r="B194" i="32498" s="1"/>
  <c r="F225" i="32451"/>
  <c r="A423" i="32498"/>
  <c r="B423" i="32498" s="1"/>
  <c r="F454" i="32451"/>
  <c r="A70" i="32498"/>
  <c r="B70" i="32498" s="1"/>
  <c r="F101" i="32451"/>
  <c r="A260" i="32498"/>
  <c r="B260" i="32498" s="1"/>
  <c r="F291" i="32451"/>
  <c r="A595" i="32498"/>
  <c r="B595" i="32498" s="1"/>
  <c r="F626" i="32451"/>
  <c r="A119" i="32498"/>
  <c r="B119" i="32498" s="1"/>
  <c r="F150" i="32451"/>
  <c r="A112" i="32498"/>
  <c r="B112" i="32498" s="1"/>
  <c r="F143" i="32451"/>
  <c r="A669" i="32498"/>
  <c r="E669" i="32498"/>
  <c r="A627" i="32498"/>
  <c r="B627" i="32498" s="1"/>
  <c r="F658" i="32451"/>
  <c r="A36" i="32498"/>
  <c r="B36" i="32498" s="1"/>
  <c r="F67" i="32451"/>
  <c r="A113" i="32498"/>
  <c r="B113" i="32498" s="1"/>
  <c r="F144" i="32451"/>
  <c r="A643" i="32498"/>
  <c r="B643" i="32498" s="1"/>
  <c r="F674" i="32451"/>
  <c r="A576" i="32498"/>
  <c r="B576" i="32498" s="1"/>
  <c r="F607" i="32451"/>
  <c r="A114" i="32498"/>
  <c r="B114" i="32498" s="1"/>
  <c r="F145" i="32451"/>
  <c r="A235" i="32498"/>
  <c r="B235" i="32498" s="1"/>
  <c r="F266" i="32451"/>
  <c r="A323" i="32498"/>
  <c r="B323" i="32498" s="1"/>
  <c r="F354" i="32451"/>
  <c r="A233" i="32498"/>
  <c r="B233" i="32498" s="1"/>
  <c r="F264" i="32451"/>
  <c r="A403" i="32498"/>
  <c r="B403" i="32498" s="1"/>
  <c r="F434" i="32451"/>
  <c r="A229" i="32498"/>
  <c r="B229" i="32498" s="1"/>
  <c r="F260" i="32451"/>
  <c r="A284" i="32498"/>
  <c r="B284" i="32498" s="1"/>
  <c r="F315" i="32451"/>
  <c r="A377" i="32498"/>
  <c r="B377" i="32498" s="1"/>
  <c r="F408" i="32451"/>
  <c r="A150" i="32498"/>
  <c r="B150" i="32498" s="1"/>
  <c r="F181" i="32451"/>
  <c r="A230" i="32498"/>
  <c r="B230" i="32498" s="1"/>
  <c r="F261" i="32451"/>
  <c r="A306" i="32498"/>
  <c r="B306" i="32498" s="1"/>
  <c r="F337" i="32451"/>
  <c r="A444" i="32498"/>
  <c r="B444" i="32498" s="1"/>
  <c r="F475" i="32451"/>
  <c r="A184" i="32498"/>
  <c r="B184" i="32498" s="1"/>
  <c r="F215" i="32451"/>
  <c r="A243" i="32498"/>
  <c r="B243" i="32498" s="1"/>
  <c r="F274" i="32451"/>
  <c r="A315" i="32498"/>
  <c r="B315" i="32498" s="1"/>
  <c r="F346" i="32451"/>
  <c r="A413" i="32498"/>
  <c r="B413" i="32498" s="1"/>
  <c r="F444" i="32451"/>
  <c r="A609" i="32498"/>
  <c r="B609" i="32498" s="1"/>
  <c r="F640" i="32451"/>
  <c r="A336" i="32498"/>
  <c r="B336" i="32498" s="1"/>
  <c r="F367" i="32451"/>
  <c r="A530" i="32498"/>
  <c r="B530" i="32498" s="1"/>
  <c r="F561" i="32451"/>
  <c r="E667" i="32498"/>
  <c r="A667" i="32498"/>
  <c r="A379" i="32498"/>
  <c r="B379" i="32498" s="1"/>
  <c r="F410" i="32451"/>
  <c r="A547" i="32498"/>
  <c r="B547" i="32498" s="1"/>
  <c r="F578" i="32451"/>
  <c r="A585" i="32498"/>
  <c r="B585" i="32498" s="1"/>
  <c r="F616" i="32451"/>
  <c r="A646" i="32498"/>
  <c r="B646" i="32498" s="1"/>
  <c r="F677" i="32451"/>
  <c r="A505" i="32498"/>
  <c r="B505" i="32498" s="1"/>
  <c r="F536" i="32451"/>
  <c r="A582" i="32498"/>
  <c r="B582" i="32498" s="1"/>
  <c r="F613" i="32451"/>
  <c r="A404" i="32498"/>
  <c r="B404" i="32498" s="1"/>
  <c r="F435" i="32451"/>
  <c r="A476" i="32498"/>
  <c r="B476" i="32498" s="1"/>
  <c r="F507" i="32451"/>
  <c r="A561" i="32498"/>
  <c r="B561" i="32498" s="1"/>
  <c r="F592" i="32451"/>
  <c r="A71" i="32498"/>
  <c r="B71" i="32498" s="1"/>
  <c r="F102" i="32451"/>
  <c r="A154" i="32498"/>
  <c r="B154" i="32498" s="1"/>
  <c r="F185" i="32451"/>
  <c r="A239" i="32498"/>
  <c r="B239" i="32498" s="1"/>
  <c r="F270" i="32451"/>
  <c r="A303" i="32498"/>
  <c r="B303" i="32498" s="1"/>
  <c r="F334" i="32451"/>
  <c r="A357" i="32498"/>
  <c r="B357" i="32498" s="1"/>
  <c r="F388" i="32451"/>
  <c r="A436" i="32498"/>
  <c r="B436" i="32498" s="1"/>
  <c r="F467" i="32451"/>
  <c r="A101" i="32498"/>
  <c r="B101" i="32498" s="1"/>
  <c r="F132" i="32451"/>
  <c r="A311" i="32498"/>
  <c r="B311" i="32498" s="1"/>
  <c r="F342" i="32451"/>
  <c r="A266" i="32498"/>
  <c r="B266" i="32498" s="1"/>
  <c r="F297" i="32451"/>
  <c r="A401" i="32498"/>
  <c r="B401" i="32498" s="1"/>
  <c r="F432" i="32451"/>
  <c r="A172" i="32498"/>
  <c r="B172" i="32498" s="1"/>
  <c r="F203" i="32451"/>
  <c r="A447" i="32498"/>
  <c r="B447" i="32498" s="1"/>
  <c r="F478" i="32451"/>
  <c r="A295" i="32498"/>
  <c r="B295" i="32498" s="1"/>
  <c r="F326" i="32451"/>
  <c r="A33" i="32498"/>
  <c r="B33" i="32498" s="1"/>
  <c r="F64" i="32451"/>
  <c r="A545" i="32498"/>
  <c r="B545" i="32498" s="1"/>
  <c r="F576" i="32451"/>
  <c r="A207" i="32498"/>
  <c r="B207" i="32498" s="1"/>
  <c r="F238" i="32451"/>
  <c r="A440" i="32498"/>
  <c r="B440" i="32498" s="1"/>
  <c r="F471" i="32451"/>
  <c r="A83" i="32498"/>
  <c r="B83" i="32498" s="1"/>
  <c r="F114" i="32451"/>
  <c r="A286" i="32498"/>
  <c r="B286" i="32498" s="1"/>
  <c r="F317" i="32451"/>
  <c r="A619" i="32498"/>
  <c r="B619" i="32498" s="1"/>
  <c r="F650" i="32451"/>
  <c r="A167" i="32498"/>
  <c r="B167" i="32498" s="1"/>
  <c r="F198" i="32451"/>
  <c r="A254" i="32498"/>
  <c r="B254" i="32498" s="1"/>
  <c r="F285" i="32451"/>
  <c r="A464" i="32498"/>
  <c r="B464" i="32498" s="1"/>
  <c r="F495" i="32451"/>
  <c r="A68" i="32498"/>
  <c r="B68" i="32498" s="1"/>
  <c r="F99" i="32451"/>
  <c r="A454" i="32498"/>
  <c r="B454" i="32498" s="1"/>
  <c r="F485" i="32451"/>
  <c r="A117" i="32498"/>
  <c r="B117" i="32498" s="1"/>
  <c r="F148" i="32451"/>
  <c r="A211" i="32498"/>
  <c r="B211" i="32498" s="1"/>
  <c r="F242" i="32451"/>
  <c r="A322" i="32498"/>
  <c r="B322" i="32498" s="1"/>
  <c r="F353" i="32451"/>
  <c r="A504" i="32498"/>
  <c r="B504" i="32498" s="1"/>
  <c r="F535" i="32451"/>
  <c r="A654" i="32498"/>
  <c r="B654" i="32498" s="1"/>
  <c r="F685" i="32451"/>
  <c r="A88" i="32498"/>
  <c r="B88" i="32498" s="1"/>
  <c r="F119" i="32451"/>
  <c r="A198" i="32498"/>
  <c r="B198" i="32498" s="1"/>
  <c r="F229" i="32451"/>
  <c r="A57" i="32498"/>
  <c r="B57" i="32498" s="1"/>
  <c r="F88" i="32451"/>
  <c r="A339" i="32498"/>
  <c r="B339" i="32498" s="1"/>
  <c r="F370" i="32451"/>
  <c r="A567" i="32498"/>
  <c r="B567" i="32498" s="1"/>
  <c r="F598" i="32451"/>
  <c r="A305" i="32498"/>
  <c r="B305" i="32498" s="1"/>
  <c r="F336" i="32451"/>
  <c r="A242" i="32498"/>
  <c r="B242" i="32498" s="1"/>
  <c r="F273" i="32451"/>
  <c r="A153" i="32498"/>
  <c r="B153" i="32498" s="1"/>
  <c r="F184" i="32451"/>
  <c r="A221" i="32498"/>
  <c r="B221" i="32498" s="1"/>
  <c r="F252" i="32451"/>
  <c r="A600" i="32498"/>
  <c r="B600" i="32498" s="1"/>
  <c r="F631" i="32451"/>
  <c r="A158" i="32498"/>
  <c r="B158" i="32498" s="1"/>
  <c r="F189" i="32451"/>
  <c r="A234" i="32498"/>
  <c r="B234" i="32498" s="1"/>
  <c r="F265" i="32451"/>
  <c r="A608" i="32498"/>
  <c r="B608" i="32498" s="1"/>
  <c r="F639" i="32451"/>
  <c r="A256" i="32498"/>
  <c r="B256" i="32498" s="1"/>
  <c r="F287" i="32451"/>
  <c r="A616" i="32498"/>
  <c r="B616" i="32498" s="1"/>
  <c r="F647" i="32451"/>
  <c r="A408" i="32498"/>
  <c r="B408" i="32498" s="1"/>
  <c r="F439" i="32451"/>
  <c r="A537" i="32498"/>
  <c r="B537" i="32498" s="1"/>
  <c r="F568" i="32451"/>
  <c r="A383" i="32498"/>
  <c r="B383" i="32498" s="1"/>
  <c r="F414" i="32451"/>
  <c r="A462" i="32498"/>
  <c r="B462" i="32498" s="1"/>
  <c r="F493" i="32451"/>
  <c r="A611" i="32498"/>
  <c r="B611" i="32498" s="1"/>
  <c r="F642" i="32451"/>
  <c r="AI706" i="32451"/>
  <c r="E675" i="32498"/>
  <c r="A675" i="32498"/>
  <c r="A375" i="32498"/>
  <c r="B375" i="32498" s="1"/>
  <c r="F406" i="32451"/>
  <c r="A594" i="32498"/>
  <c r="B594" i="32498" s="1"/>
  <c r="F625" i="32451"/>
  <c r="A431" i="32498"/>
  <c r="B431" i="32498" s="1"/>
  <c r="F462" i="32451"/>
  <c r="A566" i="32498"/>
  <c r="B566" i="32498" s="1"/>
  <c r="F597" i="32451"/>
  <c r="A37" i="32498"/>
  <c r="B37" i="32498" s="1"/>
  <c r="F68" i="32451"/>
  <c r="A179" i="32498"/>
  <c r="B179" i="32498" s="1"/>
  <c r="F210" i="32451"/>
  <c r="A498" i="32498"/>
  <c r="B498" i="32498" s="1"/>
  <c r="F529" i="32451"/>
  <c r="A475" i="32498"/>
  <c r="B475" i="32498" s="1"/>
  <c r="F506" i="32451"/>
  <c r="A128" i="32498"/>
  <c r="B128" i="32498" s="1"/>
  <c r="F159" i="32451"/>
  <c r="A181" i="32498"/>
  <c r="B181" i="32498" s="1"/>
  <c r="F212" i="32451"/>
  <c r="A89" i="32498"/>
  <c r="B89" i="32498" s="1"/>
  <c r="F120" i="32451"/>
  <c r="A308" i="32498"/>
  <c r="B308" i="32498" s="1"/>
  <c r="F339" i="32451"/>
  <c r="A193" i="32498"/>
  <c r="B193" i="32498" s="1"/>
  <c r="F224" i="32451"/>
  <c r="A46" i="32498"/>
  <c r="B46" i="32498" s="1"/>
  <c r="F77" i="32451"/>
  <c r="A180" i="32498"/>
  <c r="B180" i="32498" s="1"/>
  <c r="F211" i="32451"/>
  <c r="A102" i="32498"/>
  <c r="B102" i="32498" s="1"/>
  <c r="F133" i="32451"/>
  <c r="A103" i="32498"/>
  <c r="B103" i="32498" s="1"/>
  <c r="F134" i="32451"/>
  <c r="A90" i="32498"/>
  <c r="B90" i="32498" s="1"/>
  <c r="F121" i="32451"/>
  <c r="A310" i="32498"/>
  <c r="B310" i="32498" s="1"/>
  <c r="F341" i="32451"/>
  <c r="A663" i="32498"/>
  <c r="B663" i="32498" s="1"/>
  <c r="F694" i="32451"/>
  <c r="A330" i="32498"/>
  <c r="B330" i="32498" s="1"/>
  <c r="F361" i="32451"/>
  <c r="E668" i="32498"/>
  <c r="A668" i="32498"/>
  <c r="A141" i="32498"/>
  <c r="B141" i="32498" s="1"/>
  <c r="F172" i="32451"/>
  <c r="A434" i="32498"/>
  <c r="B434" i="32498" s="1"/>
  <c r="F465" i="32451"/>
  <c r="A99" i="32498"/>
  <c r="B99" i="32498" s="1"/>
  <c r="F130" i="32451"/>
  <c r="A175" i="32498"/>
  <c r="B175" i="32498" s="1"/>
  <c r="F206" i="32451"/>
  <c r="A277" i="32498"/>
  <c r="B277" i="32498" s="1"/>
  <c r="F308" i="32451"/>
  <c r="A72" i="32498"/>
  <c r="B72" i="32498" s="1"/>
  <c r="F103" i="32451"/>
  <c r="A283" i="32498"/>
  <c r="B283" i="32498" s="1"/>
  <c r="F314" i="32451"/>
  <c r="A44" i="32498"/>
  <c r="B44" i="32498" s="1"/>
  <c r="F75" i="32451"/>
  <c r="A206" i="32498"/>
  <c r="B206" i="32498" s="1"/>
  <c r="F237" i="32451"/>
  <c r="A399" i="32498"/>
  <c r="B399" i="32498" s="1"/>
  <c r="F430" i="32451"/>
  <c r="A364" i="32498"/>
  <c r="B364" i="32498" s="1"/>
  <c r="F395" i="32451"/>
  <c r="A417" i="32498"/>
  <c r="B417" i="32498" s="1"/>
  <c r="F448" i="32451"/>
  <c r="A570" i="32498"/>
  <c r="B570" i="32498" s="1"/>
  <c r="F601" i="32451"/>
  <c r="A170" i="32498"/>
  <c r="B170" i="32498" s="1"/>
  <c r="F201" i="32451"/>
  <c r="A246" i="32498"/>
  <c r="B246" i="32498" s="1"/>
  <c r="F277" i="32451"/>
  <c r="A326" i="32498"/>
  <c r="B326" i="32498" s="1"/>
  <c r="F357" i="32451"/>
  <c r="A293" i="32498"/>
  <c r="B293" i="32498" s="1"/>
  <c r="F324" i="32451"/>
  <c r="A162" i="32498"/>
  <c r="B162" i="32498" s="1"/>
  <c r="F193" i="32451"/>
  <c r="A615" i="32498"/>
  <c r="B615" i="32498" s="1"/>
  <c r="F646" i="32451"/>
  <c r="A426" i="32498"/>
  <c r="B426" i="32498" s="1"/>
  <c r="F457" i="32451"/>
  <c r="A542" i="32498"/>
  <c r="B542" i="32498" s="1"/>
  <c r="F573" i="32451"/>
  <c r="A618" i="32498"/>
  <c r="B618" i="32498" s="1"/>
  <c r="F649" i="32451"/>
  <c r="A391" i="32498"/>
  <c r="B391" i="32498" s="1"/>
  <c r="F422" i="32451"/>
  <c r="A470" i="32498"/>
  <c r="B470" i="32498" s="1"/>
  <c r="F501" i="32451"/>
  <c r="A556" i="32498"/>
  <c r="B556" i="32498" s="1"/>
  <c r="F587" i="32451"/>
  <c r="A598" i="32498"/>
  <c r="B598" i="32498" s="1"/>
  <c r="F629" i="32451"/>
  <c r="A367" i="32498"/>
  <c r="B367" i="32498" s="1"/>
  <c r="F398" i="32451"/>
  <c r="A517" i="32498"/>
  <c r="B517" i="32498" s="1"/>
  <c r="F548" i="32451"/>
  <c r="A412" i="32498"/>
  <c r="B412" i="32498" s="1"/>
  <c r="F443" i="32451"/>
  <c r="A641" i="32498"/>
  <c r="B641" i="32498" s="1"/>
  <c r="F672" i="32451"/>
  <c r="A106" i="32498"/>
  <c r="B106" i="32498" s="1"/>
  <c r="F137" i="32451"/>
  <c r="A621" i="32498"/>
  <c r="B621" i="32498" s="1"/>
  <c r="F652" i="32451"/>
  <c r="A287" i="32498"/>
  <c r="B287" i="32498" s="1"/>
  <c r="F318" i="32451"/>
  <c r="A461" i="32498"/>
  <c r="B461" i="32498" s="1"/>
  <c r="F492" i="32451"/>
  <c r="A507" i="32498"/>
  <c r="B507" i="32498" s="1"/>
  <c r="F538" i="32451"/>
  <c r="A95" i="32498"/>
  <c r="B95" i="32498" s="1"/>
  <c r="F126" i="32451"/>
  <c r="A321" i="32498"/>
  <c r="B321" i="32498" s="1"/>
  <c r="F352" i="32451"/>
  <c r="A215" i="32498"/>
  <c r="B215" i="32498" s="1"/>
  <c r="F246" i="32451"/>
  <c r="A53" i="32498"/>
  <c r="B53" i="32498" s="1"/>
  <c r="F84" i="32451"/>
  <c r="A583" i="32498"/>
  <c r="B583" i="32498" s="1"/>
  <c r="F614" i="32451"/>
  <c r="A328" i="32498"/>
  <c r="B328" i="32498" s="1"/>
  <c r="F359" i="32451"/>
  <c r="A637" i="32498"/>
  <c r="B637" i="32498" s="1"/>
  <c r="F668" i="32451"/>
  <c r="A97" i="32498"/>
  <c r="B97" i="32498" s="1"/>
  <c r="F128" i="32451"/>
  <c r="A140" i="32498"/>
  <c r="B140" i="32498" s="1"/>
  <c r="F171" i="32451"/>
  <c r="A352" i="32498"/>
  <c r="B352" i="32498" s="1"/>
  <c r="F383" i="32451"/>
  <c r="A43" i="32498"/>
  <c r="B43" i="32498" s="1"/>
  <c r="F74" i="32451"/>
  <c r="A104" i="32498"/>
  <c r="B104" i="32498" s="1"/>
  <c r="F135" i="32451"/>
  <c r="A291" i="32498"/>
  <c r="B291" i="32498" s="1"/>
  <c r="F322" i="32451"/>
  <c r="A490" i="32498"/>
  <c r="B490" i="32498" s="1"/>
  <c r="F521" i="32451"/>
  <c r="A48" i="32498"/>
  <c r="B48" i="32498" s="1"/>
  <c r="F79" i="32451"/>
  <c r="A130" i="32498"/>
  <c r="B130" i="32498" s="1"/>
  <c r="F161" i="32451"/>
  <c r="A526" i="32498"/>
  <c r="B526" i="32498" s="1"/>
  <c r="F557" i="32451"/>
  <c r="A220" i="32498"/>
  <c r="B220" i="32498" s="1"/>
  <c r="F251" i="32451"/>
  <c r="A69" i="32498"/>
  <c r="B69" i="32498" s="1"/>
  <c r="F100" i="32451"/>
  <c r="A257" i="32498"/>
  <c r="B257" i="32498" s="1"/>
  <c r="F288" i="32451"/>
  <c r="A387" i="32498"/>
  <c r="B387" i="32498" s="1"/>
  <c r="F418" i="32451"/>
  <c r="A589" i="32498"/>
  <c r="B589" i="32498" s="1"/>
  <c r="F620" i="32451"/>
  <c r="A177" i="32498"/>
  <c r="B177" i="32498" s="1"/>
  <c r="F208" i="32451"/>
  <c r="A313" i="32498"/>
  <c r="B313" i="32498" s="1"/>
  <c r="F344" i="32451"/>
  <c r="A443" i="32498"/>
  <c r="B443" i="32498" s="1"/>
  <c r="F474" i="32451"/>
  <c r="A577" i="32498"/>
  <c r="B577" i="32498" s="1"/>
  <c r="F608" i="32451"/>
  <c r="A174" i="32498"/>
  <c r="B174" i="32498" s="1"/>
  <c r="F205" i="32451"/>
  <c r="A334" i="32498"/>
  <c r="B334" i="32498" s="1"/>
  <c r="F365" i="32451"/>
  <c r="A457" i="32498"/>
  <c r="B457" i="32498" s="1"/>
  <c r="F488" i="32451"/>
  <c r="A563" i="32498"/>
  <c r="B563" i="32498" s="1"/>
  <c r="F594" i="32451"/>
  <c r="A405" i="32498"/>
  <c r="B405" i="32498" s="1"/>
  <c r="F436" i="32451"/>
  <c r="A508" i="32498"/>
  <c r="B508" i="32498" s="1"/>
  <c r="F539" i="32451"/>
  <c r="A319" i="32498"/>
  <c r="B319" i="32498" s="1"/>
  <c r="F350" i="32451"/>
  <c r="A624" i="32498"/>
  <c r="B624" i="32498" s="1"/>
  <c r="F655" i="32451"/>
  <c r="A416" i="32498"/>
  <c r="B416" i="32498" s="1"/>
  <c r="F447" i="32451"/>
  <c r="A485" i="32498"/>
  <c r="B485" i="32498" s="1"/>
  <c r="F516" i="32451"/>
  <c r="A549" i="32498"/>
  <c r="B549" i="32498" s="1"/>
  <c r="F580" i="32451"/>
  <c r="A623" i="32498"/>
  <c r="B623" i="32498" s="1"/>
  <c r="F654" i="32451"/>
  <c r="A395" i="32498"/>
  <c r="B395" i="32498" s="1"/>
  <c r="F426" i="32451"/>
  <c r="A329" i="32498"/>
  <c r="B329" i="32498" s="1"/>
  <c r="F360" i="32451"/>
  <c r="A471" i="32498"/>
  <c r="B471" i="32498" s="1"/>
  <c r="F502" i="32451"/>
  <c r="A371" i="32498"/>
  <c r="B371" i="32498" s="1"/>
  <c r="F402" i="32451"/>
  <c r="A446" i="32498"/>
  <c r="B446" i="32498" s="1"/>
  <c r="F477" i="32451"/>
  <c r="A347" i="32498"/>
  <c r="B347" i="32498" s="1"/>
  <c r="F378" i="32451"/>
  <c r="A488" i="32498"/>
  <c r="B488" i="32498" s="1"/>
  <c r="F519" i="32451"/>
  <c r="A647" i="32498"/>
  <c r="B647" i="32498" s="1"/>
  <c r="F678" i="32451"/>
  <c r="A519" i="32498"/>
  <c r="B519" i="32498" s="1"/>
  <c r="F550" i="32451"/>
  <c r="A188" i="32498"/>
  <c r="B188" i="32498" s="1"/>
  <c r="F219" i="32451"/>
  <c r="A228" i="32498"/>
  <c r="B228" i="32498" s="1"/>
  <c r="F259" i="32451"/>
  <c r="A596" i="32498"/>
  <c r="B596" i="32498" s="1"/>
  <c r="F627" i="32451"/>
  <c r="A477" i="32498"/>
  <c r="B477" i="32498" s="1"/>
  <c r="F508" i="32451"/>
  <c r="A222" i="32498"/>
  <c r="B222" i="32498" s="1"/>
  <c r="F253" i="32451"/>
  <c r="A244" i="32498"/>
  <c r="B244" i="32498" s="1"/>
  <c r="F275" i="32451"/>
  <c r="A605" i="32498"/>
  <c r="B605" i="32498" s="1"/>
  <c r="F636" i="32451"/>
  <c r="A116" i="32498"/>
  <c r="B116" i="32498" s="1"/>
  <c r="F147" i="32451"/>
  <c r="A125" i="32498"/>
  <c r="B125" i="32498" s="1"/>
  <c r="F156" i="32451"/>
  <c r="A345" i="32498"/>
  <c r="B345" i="32498" s="1"/>
  <c r="F376" i="32451"/>
  <c r="A152" i="32498"/>
  <c r="B152" i="32498" s="1"/>
  <c r="F183" i="32451"/>
  <c r="A368" i="32498"/>
  <c r="B368" i="32498" s="1"/>
  <c r="F399" i="32451"/>
  <c r="A298" i="32498"/>
  <c r="B298" i="32498" s="1"/>
  <c r="F329" i="32451"/>
  <c r="A80" i="32498"/>
  <c r="B80" i="32498" s="1"/>
  <c r="F111" i="32451"/>
  <c r="A503" i="32498"/>
  <c r="B503" i="32498" s="1"/>
  <c r="F534" i="32451"/>
  <c r="A134" i="32498"/>
  <c r="B134" i="32498" s="1"/>
  <c r="F165" i="32451"/>
  <c r="A373" i="32498"/>
  <c r="B373" i="32498" s="1"/>
  <c r="F404" i="32451"/>
  <c r="A241" i="32498"/>
  <c r="B241" i="32498" s="1"/>
  <c r="F272" i="32451"/>
  <c r="A433" i="32498"/>
  <c r="B433" i="32498" s="1"/>
  <c r="F464" i="32451"/>
  <c r="A400" i="32498"/>
  <c r="B400" i="32498" s="1"/>
  <c r="F431" i="32451"/>
  <c r="A190" i="32498"/>
  <c r="B190" i="32498" s="1"/>
  <c r="F221" i="32451"/>
  <c r="A249" i="32498"/>
  <c r="B249" i="32498" s="1"/>
  <c r="F280" i="32451"/>
  <c r="A325" i="32498"/>
  <c r="B325" i="32498" s="1"/>
  <c r="F356" i="32451"/>
  <c r="A450" i="32498"/>
  <c r="B450" i="32498" s="1"/>
  <c r="F481" i="32451"/>
  <c r="A341" i="32498"/>
  <c r="B341" i="32498" s="1"/>
  <c r="F372" i="32451"/>
  <c r="A465" i="32498"/>
  <c r="B465" i="32498" s="1"/>
  <c r="F496" i="32451"/>
  <c r="A165" i="32498"/>
  <c r="B165" i="32498" s="1"/>
  <c r="F196" i="32451"/>
  <c r="A411" i="32498"/>
  <c r="B411" i="32498" s="1"/>
  <c r="F442" i="32451"/>
  <c r="A632" i="32498"/>
  <c r="B632" i="32498" s="1"/>
  <c r="F663" i="32451"/>
  <c r="A327" i="32498"/>
  <c r="B327" i="32498" s="1"/>
  <c r="F358" i="32451"/>
  <c r="A633" i="32498"/>
  <c r="B633" i="32498" s="1"/>
  <c r="F664" i="32451"/>
  <c r="A200" i="32498"/>
  <c r="B200" i="32498" s="1"/>
  <c r="F231" i="32451"/>
  <c r="A343" i="32498"/>
  <c r="B343" i="32498" s="1"/>
  <c r="F374" i="32451"/>
  <c r="A439" i="32498"/>
  <c r="B439" i="32498" s="1"/>
  <c r="F470" i="32451"/>
  <c r="A550" i="32498"/>
  <c r="B550" i="32498" s="1"/>
  <c r="F581" i="32451"/>
  <c r="A554" i="32498"/>
  <c r="B554" i="32498" s="1"/>
  <c r="F585" i="32451"/>
  <c r="A499" i="32498"/>
  <c r="B499" i="32498" s="1"/>
  <c r="F530" i="32451"/>
  <c r="A607" i="32498"/>
  <c r="B607" i="32498" s="1"/>
  <c r="F638" i="32451"/>
  <c r="A380" i="32498"/>
  <c r="B380" i="32498" s="1"/>
  <c r="F411" i="32451"/>
  <c r="A529" i="32498"/>
  <c r="B529" i="32498" s="1"/>
  <c r="F560" i="32451"/>
  <c r="A351" i="32498"/>
  <c r="B351" i="32498" s="1"/>
  <c r="F382" i="32451"/>
  <c r="A424" i="32498"/>
  <c r="B424" i="32498" s="1"/>
  <c r="F455" i="32451"/>
  <c r="A591" i="32498"/>
  <c r="B591" i="32498" s="1"/>
  <c r="F622" i="32451"/>
  <c r="A651" i="32498"/>
  <c r="B651" i="32498" s="1"/>
  <c r="F682" i="32451"/>
  <c r="A520" i="32498"/>
  <c r="B520" i="32498" s="1"/>
  <c r="F551" i="32451"/>
  <c r="A54" i="32498"/>
  <c r="B54" i="32498" s="1"/>
  <c r="F85" i="32451"/>
  <c r="A232" i="32498"/>
  <c r="B232" i="32498" s="1"/>
  <c r="F263" i="32451"/>
  <c r="A568" i="32498"/>
  <c r="B568" i="32498" s="1"/>
  <c r="F599" i="32451"/>
  <c r="A118" i="32498"/>
  <c r="B118" i="32498" s="1"/>
  <c r="F149" i="32451"/>
  <c r="A218" i="32498"/>
  <c r="B218" i="32498" s="1"/>
  <c r="F249" i="32451"/>
  <c r="A124" i="32498"/>
  <c r="B124" i="32498" s="1"/>
  <c r="F155" i="32451"/>
  <c r="A634" i="32498"/>
  <c r="B634" i="32498" s="1"/>
  <c r="F665" i="32451"/>
  <c r="A132" i="32498"/>
  <c r="B132" i="32498" s="1"/>
  <c r="F163" i="32451"/>
  <c r="A366" i="32498"/>
  <c r="B366" i="32498" s="1"/>
  <c r="F397" i="32451"/>
  <c r="A14" i="32498"/>
  <c r="B14" i="32498" s="1"/>
  <c r="F45" i="32451"/>
  <c r="A111" i="32498"/>
  <c r="B111" i="32498" s="1"/>
  <c r="F142" i="32451"/>
  <c r="A35" i="32498"/>
  <c r="B35" i="32498" s="1"/>
  <c r="F66" i="32451"/>
  <c r="A555" i="32498"/>
  <c r="B555" i="32498" s="1"/>
  <c r="F586" i="32451"/>
  <c r="A51" i="32498"/>
  <c r="B51" i="32498" s="1"/>
  <c r="F82" i="32451"/>
  <c r="A197" i="32498"/>
  <c r="B197" i="32498" s="1"/>
  <c r="F228" i="32451"/>
  <c r="A84" i="32498"/>
  <c r="B84" i="32498" s="1"/>
  <c r="F115" i="32451"/>
  <c r="A138" i="32498"/>
  <c r="B138" i="32498" s="1"/>
  <c r="F169" i="32451"/>
  <c r="A386" i="32498"/>
  <c r="B386" i="32498" s="1"/>
  <c r="F417" i="32451"/>
  <c r="A551" i="32498"/>
  <c r="B551" i="32498" s="1"/>
  <c r="F582" i="32451"/>
  <c r="A122" i="32498"/>
  <c r="B122" i="32498" s="1"/>
  <c r="F153" i="32451"/>
  <c r="A264" i="32498"/>
  <c r="B264" i="32498" s="1"/>
  <c r="F295" i="32451"/>
  <c r="A81" i="32498"/>
  <c r="B81" i="32498" s="1"/>
  <c r="F112" i="32451"/>
  <c r="A151" i="32498"/>
  <c r="B151" i="32498" s="1"/>
  <c r="F182" i="32451"/>
  <c r="A409" i="32498"/>
  <c r="B409" i="32498" s="1"/>
  <c r="F440" i="32451"/>
  <c r="A644" i="32498"/>
  <c r="B644" i="32498" s="1"/>
  <c r="F675" i="32451"/>
  <c r="A195" i="32498"/>
  <c r="B195" i="32498" s="1"/>
  <c r="F226" i="32451"/>
  <c r="A262" i="32498"/>
  <c r="B262" i="32498" s="1"/>
  <c r="F293" i="32451"/>
  <c r="A333" i="32498"/>
  <c r="B333" i="32498" s="1"/>
  <c r="F364" i="32451"/>
  <c r="A592" i="32498"/>
  <c r="B592" i="32498" s="1"/>
  <c r="F623" i="32451"/>
  <c r="A348" i="32498"/>
  <c r="B348" i="32498" s="1"/>
  <c r="F379" i="32451"/>
  <c r="A479" i="32498"/>
  <c r="B479" i="32498" s="1"/>
  <c r="F510" i="32451"/>
  <c r="A606" i="32498"/>
  <c r="B606" i="32498" s="1"/>
  <c r="F637" i="32451"/>
  <c r="A178" i="32498"/>
  <c r="B178" i="32498" s="1"/>
  <c r="F209" i="32451"/>
  <c r="A237" i="32498"/>
  <c r="B237" i="32498" s="1"/>
  <c r="F268" i="32451"/>
  <c r="A639" i="32498"/>
  <c r="B639" i="32498" s="1"/>
  <c r="F670" i="32451"/>
  <c r="A349" i="32498"/>
  <c r="B349" i="32498" s="1"/>
  <c r="F380" i="32451"/>
  <c r="A482" i="32498"/>
  <c r="B482" i="32498" s="1"/>
  <c r="F513" i="32451"/>
  <c r="A640" i="32498"/>
  <c r="B640" i="32498" s="1"/>
  <c r="F671" i="32451"/>
  <c r="A272" i="32498"/>
  <c r="B272" i="32498" s="1"/>
  <c r="F303" i="32451"/>
  <c r="A558" i="32498"/>
  <c r="B558" i="32498" s="1"/>
  <c r="F589" i="32451"/>
  <c r="A359" i="32498"/>
  <c r="B359" i="32498" s="1"/>
  <c r="F390" i="32451"/>
  <c r="A432" i="32498"/>
  <c r="B432" i="32498" s="1"/>
  <c r="F463" i="32451"/>
  <c r="A630" i="32498"/>
  <c r="B630" i="32498" s="1"/>
  <c r="F661" i="32451"/>
  <c r="A342" i="32498"/>
  <c r="B342" i="32498" s="1"/>
  <c r="F373" i="32451"/>
  <c r="A484" i="32498"/>
  <c r="B484" i="32498" s="1"/>
  <c r="F515" i="32451"/>
  <c r="A671" i="32498"/>
  <c r="E671" i="32498"/>
  <c r="A459" i="32498"/>
  <c r="B459" i="32498" s="1"/>
  <c r="F490" i="32451"/>
  <c r="A603" i="32498"/>
  <c r="B603" i="32498" s="1"/>
  <c r="F634" i="32451"/>
  <c r="A355" i="32498"/>
  <c r="B355" i="32498" s="1"/>
  <c r="F386" i="32451"/>
  <c r="A599" i="32498"/>
  <c r="B599" i="32498" s="1"/>
  <c r="F630" i="32451"/>
  <c r="A94" i="32498"/>
  <c r="B94" i="32498" s="1"/>
  <c r="F125" i="32451"/>
  <c r="A544" i="32498"/>
  <c r="B544" i="32498" s="1"/>
  <c r="F575" i="32451"/>
  <c r="A67" i="32498"/>
  <c r="B67" i="32498" s="1"/>
  <c r="F98" i="32451"/>
  <c r="A590" i="32498"/>
  <c r="B590" i="32498" s="1"/>
  <c r="F621" i="32451"/>
  <c r="A427" i="32498"/>
  <c r="B427" i="32498" s="1"/>
  <c r="F458" i="32451"/>
  <c r="A317" i="32498"/>
  <c r="B317" i="32498" s="1"/>
  <c r="F348" i="32451"/>
  <c r="A231" i="32498"/>
  <c r="B231" i="32498" s="1"/>
  <c r="F262" i="32451"/>
  <c r="A131" i="32498"/>
  <c r="B131" i="32498" s="1"/>
  <c r="F162" i="32451"/>
  <c r="A406" i="32498"/>
  <c r="B406" i="32498" s="1"/>
  <c r="F437" i="32451"/>
  <c r="A127" i="32498"/>
  <c r="B127" i="32498" s="1"/>
  <c r="F158" i="32451"/>
  <c r="A42" i="32498"/>
  <c r="B42" i="32498" s="1"/>
  <c r="F73" i="32451"/>
  <c r="A173" i="32498"/>
  <c r="B173" i="32498" s="1"/>
  <c r="F204" i="32451"/>
  <c r="A429" i="32498"/>
  <c r="B429" i="32498" s="1"/>
  <c r="F460" i="32451"/>
  <c r="A251" i="32498"/>
  <c r="B251" i="32498" s="1"/>
  <c r="F282" i="32451"/>
  <c r="A574" i="32498"/>
  <c r="B574" i="32498" s="1"/>
  <c r="F605" i="32451"/>
  <c r="A182" i="32498"/>
  <c r="B182" i="32498" s="1"/>
  <c r="F213" i="32451"/>
  <c r="A312" i="32498"/>
  <c r="B312" i="32498" s="1"/>
  <c r="F343" i="32451"/>
  <c r="A538" i="32498"/>
  <c r="B538" i="32498" s="1"/>
  <c r="F569" i="32451"/>
  <c r="A248" i="32498"/>
  <c r="B248" i="32498" s="1"/>
  <c r="F279" i="32451"/>
  <c r="A562" i="32498"/>
  <c r="B562" i="32498" s="1"/>
  <c r="F593" i="32451"/>
  <c r="A285" i="32498"/>
  <c r="B285" i="32498" s="1"/>
  <c r="F316" i="32451"/>
  <c r="A16" i="32498"/>
  <c r="B16" i="32498" s="1"/>
  <c r="F47" i="32451"/>
  <c r="A156" i="32498"/>
  <c r="B156" i="32498" s="1"/>
  <c r="F187" i="32451"/>
  <c r="A422" i="32498"/>
  <c r="B422" i="32498" s="1"/>
  <c r="F453" i="32451"/>
  <c r="A208" i="32498"/>
  <c r="B208" i="32498" s="1"/>
  <c r="F239" i="32451"/>
  <c r="A267" i="32498"/>
  <c r="B267" i="32498" s="1"/>
  <c r="F298" i="32451"/>
  <c r="A486" i="32498"/>
  <c r="B486" i="32498" s="1"/>
  <c r="F517" i="32451"/>
  <c r="A183" i="32498"/>
  <c r="B183" i="32498" s="1"/>
  <c r="F214" i="32451"/>
  <c r="A250" i="32498"/>
  <c r="B250" i="32498" s="1"/>
  <c r="F281" i="32451"/>
  <c r="A309" i="32498"/>
  <c r="B309" i="32498" s="1"/>
  <c r="F340" i="32451"/>
  <c r="A543" i="32498"/>
  <c r="B543" i="32498" s="1"/>
  <c r="F574" i="32451"/>
  <c r="A356" i="32498"/>
  <c r="B356" i="32498" s="1"/>
  <c r="F387" i="32451"/>
  <c r="A487" i="32498"/>
  <c r="B487" i="32498" s="1"/>
  <c r="F518" i="32451"/>
  <c r="A649" i="32498"/>
  <c r="B649" i="32498" s="1"/>
  <c r="F680" i="32451"/>
  <c r="A209" i="32498"/>
  <c r="B209" i="32498" s="1"/>
  <c r="F240" i="32451"/>
  <c r="A453" i="32498"/>
  <c r="B453" i="32498" s="1"/>
  <c r="F484" i="32451"/>
  <c r="A565" i="32498"/>
  <c r="B565" i="32498" s="1"/>
  <c r="F596" i="32451"/>
  <c r="A659" i="32498"/>
  <c r="B659" i="32498" s="1"/>
  <c r="F690" i="32451"/>
  <c r="A363" i="32498"/>
  <c r="B363" i="32498" s="1"/>
  <c r="F394" i="32451"/>
  <c r="A497" i="32498"/>
  <c r="B497" i="32498" s="1"/>
  <c r="F528" i="32451"/>
  <c r="A418" i="32498"/>
  <c r="B418" i="32498" s="1"/>
  <c r="F449" i="32451"/>
  <c r="A511" i="32498"/>
  <c r="B511" i="32498" s="1"/>
  <c r="F542" i="32451"/>
  <c r="A572" i="32498"/>
  <c r="B572" i="32498" s="1"/>
  <c r="F603" i="32451"/>
  <c r="A635" i="32498"/>
  <c r="B635" i="32498" s="1"/>
  <c r="F666" i="32451"/>
  <c r="A346" i="32498"/>
  <c r="B346" i="32498" s="1"/>
  <c r="F377" i="32451"/>
  <c r="A415" i="32498"/>
  <c r="B415" i="32498" s="1"/>
  <c r="F446" i="32451"/>
  <c r="AI707" i="32451"/>
  <c r="E676" i="32498"/>
  <c r="A676" i="32498"/>
  <c r="A396" i="32498"/>
  <c r="B396" i="32498" s="1"/>
  <c r="F427" i="32451"/>
  <c r="A463" i="32498"/>
  <c r="B463" i="32498" s="1"/>
  <c r="F494" i="32451"/>
  <c r="A541" i="32498"/>
  <c r="B541" i="32498" s="1"/>
  <c r="F572" i="32451"/>
  <c r="A612" i="32498"/>
  <c r="B612" i="32498" s="1"/>
  <c r="F643" i="32451"/>
  <c r="A435" i="32498"/>
  <c r="B435" i="32498" s="1"/>
  <c r="F466" i="32451"/>
  <c r="A500" i="32498"/>
  <c r="B500" i="32498" s="1"/>
  <c r="F531" i="32451"/>
  <c r="A66" i="32498"/>
  <c r="B66" i="32498" s="1"/>
  <c r="F97" i="32451"/>
  <c r="A91" i="32498"/>
  <c r="B91" i="32498" s="1"/>
  <c r="F122" i="32451"/>
  <c r="A115" i="32498"/>
  <c r="B115" i="32498" s="1"/>
  <c r="F146" i="32451"/>
  <c r="A202" i="32498"/>
  <c r="B202" i="32498" s="1"/>
  <c r="F233" i="32451"/>
  <c r="A82" i="32498"/>
  <c r="B82" i="32498" s="1"/>
  <c r="F113" i="32451"/>
  <c r="A269" i="32498"/>
  <c r="B269" i="32498" s="1"/>
  <c r="F300" i="32451"/>
  <c r="A139" i="32498"/>
  <c r="B139" i="32498" s="1"/>
  <c r="F170" i="32451"/>
  <c r="A448" i="32498"/>
  <c r="B448" i="32498" s="1"/>
  <c r="F479" i="32451"/>
  <c r="A137" i="32498"/>
  <c r="B137" i="32498" s="1"/>
  <c r="F168" i="32451"/>
  <c r="A318" i="32498"/>
  <c r="B318" i="32498" s="1"/>
  <c r="F349" i="32451"/>
  <c r="A428" i="32498"/>
  <c r="B428" i="32498" s="1"/>
  <c r="F459" i="32451"/>
  <c r="A186" i="32498"/>
  <c r="B186" i="32498" s="1"/>
  <c r="F217" i="32451"/>
  <c r="A449" i="32498"/>
  <c r="B449" i="32498" s="1"/>
  <c r="F480" i="32451"/>
  <c r="A63" i="32498"/>
  <c r="B63" i="32498" s="1"/>
  <c r="F94" i="32451"/>
  <c r="A372" i="32498"/>
  <c r="B372" i="32498" s="1"/>
  <c r="F403" i="32451"/>
  <c r="A587" i="32498"/>
  <c r="B587" i="32498" s="1"/>
  <c r="F618" i="32451"/>
  <c r="A39" i="32498"/>
  <c r="B39" i="32498" s="1"/>
  <c r="F70" i="32451"/>
  <c r="A92" i="32498"/>
  <c r="B92" i="32498" s="1"/>
  <c r="F123" i="32451"/>
  <c r="A205" i="32498"/>
  <c r="B205" i="32498" s="1"/>
  <c r="F236" i="32451"/>
  <c r="A337" i="32498"/>
  <c r="B337" i="32498" s="1"/>
  <c r="F368" i="32451"/>
  <c r="A155" i="32498"/>
  <c r="B155" i="32498" s="1"/>
  <c r="F186" i="32451"/>
  <c r="A52" i="32498"/>
  <c r="B52" i="32498" s="1"/>
  <c r="F83" i="32451"/>
  <c r="A143" i="32498"/>
  <c r="B143" i="32498" s="1"/>
  <c r="F174" i="32451"/>
  <c r="A299" i="32498"/>
  <c r="B299" i="32498" s="1"/>
  <c r="F330" i="32451"/>
  <c r="A491" i="32498"/>
  <c r="B491" i="32498" s="1"/>
  <c r="F522" i="32451"/>
  <c r="A93" i="32498"/>
  <c r="B93" i="32498" s="1"/>
  <c r="F124" i="32451"/>
  <c r="A163" i="32498"/>
  <c r="B163" i="32498" s="1"/>
  <c r="F194" i="32451"/>
  <c r="A456" i="32498"/>
  <c r="B456" i="32498" s="1"/>
  <c r="F487" i="32451"/>
  <c r="A280" i="32498"/>
  <c r="B280" i="32498" s="1"/>
  <c r="F311" i="32451"/>
  <c r="A354" i="32498"/>
  <c r="B354" i="32498" s="1"/>
  <c r="F385" i="32451"/>
  <c r="A614" i="32498"/>
  <c r="B614" i="32498" s="1"/>
  <c r="F645" i="32451"/>
  <c r="A369" i="32498"/>
  <c r="B369" i="32498" s="1"/>
  <c r="F400" i="32451"/>
  <c r="A196" i="32498"/>
  <c r="B196" i="32498" s="1"/>
  <c r="F227" i="32451"/>
  <c r="A255" i="32498"/>
  <c r="B255" i="32498" s="1"/>
  <c r="F286" i="32451"/>
  <c r="A314" i="32498"/>
  <c r="B314" i="32498" s="1"/>
  <c r="F345" i="32451"/>
  <c r="A437" i="32498"/>
  <c r="B437" i="32498" s="1"/>
  <c r="F468" i="32451"/>
  <c r="A658" i="32498"/>
  <c r="B658" i="32498" s="1"/>
  <c r="F689" i="32451"/>
  <c r="A259" i="32498"/>
  <c r="B259" i="32498" s="1"/>
  <c r="F290" i="32451"/>
  <c r="A495" i="32498"/>
  <c r="B495" i="32498" s="1"/>
  <c r="F526" i="32451"/>
  <c r="A281" i="32498"/>
  <c r="B281" i="32498" s="1"/>
  <c r="F312" i="32451"/>
  <c r="A378" i="32498"/>
  <c r="B378" i="32498" s="1"/>
  <c r="F409" i="32451"/>
  <c r="A466" i="32498"/>
  <c r="B466" i="32498" s="1"/>
  <c r="F497" i="32451"/>
  <c r="A376" i="32498"/>
  <c r="B376" i="32498" s="1"/>
  <c r="F407" i="32451"/>
  <c r="A501" i="32498"/>
  <c r="B501" i="32498" s="1"/>
  <c r="F532" i="32451"/>
  <c r="A642" i="32498"/>
  <c r="B642" i="32498" s="1"/>
  <c r="F673" i="32451"/>
  <c r="A430" i="32498"/>
  <c r="B430" i="32498" s="1"/>
  <c r="F461" i="32451"/>
  <c r="A581" i="32498"/>
  <c r="B581" i="32498" s="1"/>
  <c r="F612" i="32451"/>
  <c r="A350" i="32498"/>
  <c r="B350" i="32498" s="1"/>
  <c r="F381" i="32451"/>
  <c r="A419" i="32498"/>
  <c r="B419" i="32498" s="1"/>
  <c r="F450" i="32451"/>
  <c r="A496" i="32498"/>
  <c r="B496" i="32498" s="1"/>
  <c r="F527" i="32451"/>
  <c r="A560" i="32498"/>
  <c r="B560" i="32498" s="1"/>
  <c r="F591" i="32451"/>
  <c r="A320" i="32498"/>
  <c r="B320" i="32498" s="1"/>
  <c r="F351" i="32451"/>
  <c r="A636" i="32498"/>
  <c r="B636" i="32498" s="1"/>
  <c r="F667" i="32451"/>
  <c r="A362" i="32498"/>
  <c r="B362" i="32498" s="1"/>
  <c r="F393" i="32451"/>
  <c r="A442" i="32498"/>
  <c r="B442" i="32498" s="1"/>
  <c r="F473" i="32451"/>
  <c r="A512" i="32498"/>
  <c r="B512" i="32498" s="1"/>
  <c r="F543" i="32451"/>
  <c r="A50" i="32498"/>
  <c r="B50" i="32498" s="1"/>
  <c r="F81" i="32451"/>
  <c r="A290" i="32498"/>
  <c r="B290" i="32498" s="1"/>
  <c r="F321" i="32451"/>
  <c r="A123" i="32498"/>
  <c r="B123" i="32498" s="1"/>
  <c r="F154" i="32451"/>
  <c r="A629" i="32498"/>
  <c r="B629" i="32498" s="1"/>
  <c r="F660" i="32451"/>
  <c r="A282" i="32498"/>
  <c r="B282" i="32498" s="1"/>
  <c r="F313" i="32451"/>
  <c r="A160" i="32498"/>
  <c r="B160" i="32498" s="1"/>
  <c r="F191" i="32451"/>
  <c r="A107" i="32498"/>
  <c r="B107" i="32498" s="1"/>
  <c r="F138" i="32451"/>
  <c r="A344" i="32498"/>
  <c r="B344" i="32498" s="1"/>
  <c r="F375" i="32451"/>
  <c r="A41" i="32498"/>
  <c r="B41" i="32498" s="1"/>
  <c r="F72" i="32451"/>
  <c r="A469" i="32498"/>
  <c r="B469" i="32498" s="1"/>
  <c r="F500" i="32451"/>
  <c r="A77" i="32498"/>
  <c r="B77" i="32498" s="1"/>
  <c r="F108" i="32451"/>
  <c r="A223" i="32498"/>
  <c r="B223" i="32498" s="1"/>
  <c r="F254" i="32451"/>
  <c r="A129" i="32498"/>
  <c r="B129" i="32498" s="1"/>
  <c r="F160" i="32451"/>
  <c r="A382" i="32498"/>
  <c r="B382" i="32498" s="1"/>
  <c r="F413" i="32451"/>
  <c r="A219" i="32498"/>
  <c r="B219" i="32498" s="1"/>
  <c r="F250" i="32451"/>
  <c r="A20" i="32498"/>
  <c r="B20" i="32498" s="1"/>
  <c r="F51" i="32451"/>
  <c r="A96" i="32498"/>
  <c r="B96" i="32498" s="1"/>
  <c r="F127" i="32451"/>
  <c r="A421" i="32498"/>
  <c r="B421" i="32498" s="1"/>
  <c r="F452" i="32451"/>
  <c r="A588" i="32498"/>
  <c r="B588" i="32498" s="1"/>
  <c r="F619" i="32451"/>
  <c r="A307" i="32498"/>
  <c r="B307" i="32498" s="1"/>
  <c r="F338" i="32451"/>
  <c r="A169" i="32498"/>
  <c r="B169" i="32498" s="1"/>
  <c r="F200" i="32451"/>
  <c r="A294" i="32498"/>
  <c r="B294" i="32498" s="1"/>
  <c r="F325" i="32451"/>
  <c r="A493" i="32498"/>
  <c r="B493" i="32498" s="1"/>
  <c r="F524" i="32451"/>
  <c r="A149" i="32498"/>
  <c r="B149" i="32498" s="1"/>
  <c r="F180" i="32451"/>
  <c r="A360" i="32498"/>
  <c r="B360" i="32498" s="1"/>
  <c r="F391" i="32451"/>
  <c r="A494" i="32498"/>
  <c r="B494" i="32498" s="1"/>
  <c r="F525" i="32451"/>
  <c r="A271" i="32498"/>
  <c r="B271" i="32498" s="1"/>
  <c r="F302" i="32451"/>
  <c r="A657" i="32498"/>
  <c r="B657" i="32498" s="1"/>
  <c r="F688" i="32451"/>
  <c r="A268" i="32498"/>
  <c r="B268" i="32498" s="1"/>
  <c r="F299" i="32451"/>
  <c r="A452" i="32498"/>
  <c r="B452" i="32498" s="1"/>
  <c r="F483" i="32451"/>
  <c r="A665" i="32498"/>
  <c r="B665" i="32498" s="1"/>
  <c r="A187" i="32498"/>
  <c r="B187" i="32498" s="1"/>
  <c r="F218" i="32451"/>
  <c r="A263" i="32498"/>
  <c r="B263" i="32498" s="1"/>
  <c r="F294" i="32451"/>
  <c r="A509" i="32498"/>
  <c r="B509" i="32498" s="1"/>
  <c r="F540" i="32451"/>
  <c r="A474" i="32498"/>
  <c r="B474" i="32498" s="1"/>
  <c r="F505" i="32451"/>
  <c r="A580" i="32498"/>
  <c r="B580" i="32498" s="1"/>
  <c r="F611" i="32451"/>
  <c r="A381" i="32498"/>
  <c r="B381" i="32498" s="1"/>
  <c r="F412" i="32451"/>
  <c r="A506" i="32498"/>
  <c r="B506" i="32498" s="1"/>
  <c r="F537" i="32451"/>
  <c r="A361" i="32498"/>
  <c r="B361" i="32498" s="1"/>
  <c r="F392" i="32451"/>
  <c r="A523" i="32498"/>
  <c r="B523" i="32498" s="1"/>
  <c r="F554" i="32451"/>
  <c r="A645" i="32498"/>
  <c r="B645" i="32498" s="1"/>
  <c r="F676" i="32451"/>
  <c r="A569" i="32498"/>
  <c r="B569" i="32498" s="1"/>
  <c r="F600" i="32451"/>
  <c r="A626" i="32498"/>
  <c r="B626" i="32498" s="1"/>
  <c r="F657" i="32451"/>
  <c r="A324" i="32498"/>
  <c r="B324" i="32498" s="1"/>
  <c r="F355" i="32451"/>
  <c r="A553" i="32498"/>
  <c r="B553" i="32498" s="1"/>
  <c r="F584" i="32451"/>
  <c r="A524" i="32498"/>
  <c r="B524" i="32498" s="1"/>
  <c r="F555" i="32451"/>
  <c r="AI703" i="32451"/>
  <c r="E672" i="32498"/>
  <c r="A672" i="32498"/>
  <c r="D670" i="32498"/>
  <c r="B670" i="32498"/>
  <c r="AI704" i="32451"/>
  <c r="A673" i="32498"/>
  <c r="A10" i="32498"/>
  <c r="A28" i="32498"/>
  <c r="A30" i="32498"/>
  <c r="A21" i="32498"/>
  <c r="A7" i="32498"/>
  <c r="A24" i="32498"/>
  <c r="A5" i="32498"/>
  <c r="A19" i="32498"/>
  <c r="A32" i="32498"/>
  <c r="A13" i="32498"/>
  <c r="A11" i="32498"/>
  <c r="A26" i="32498"/>
  <c r="A3" i="32498"/>
  <c r="A17" i="32498"/>
  <c r="A25" i="32498"/>
  <c r="A31" i="32498"/>
  <c r="A9" i="32498"/>
  <c r="A15" i="32498"/>
  <c r="A22" i="32498"/>
  <c r="A4" i="32498"/>
  <c r="A29" i="32498"/>
  <c r="A27" i="32498"/>
  <c r="A8" i="32498"/>
  <c r="A23" i="32498"/>
  <c r="A2" i="32498"/>
  <c r="A12" i="32498"/>
  <c r="A6" i="32498"/>
  <c r="AI116" i="32451"/>
  <c r="AI106" i="32451"/>
  <c r="AI164" i="32451"/>
  <c r="AI257" i="32451"/>
  <c r="AI606" i="32451"/>
  <c r="AI131" i="32451"/>
  <c r="AI199" i="32451"/>
  <c r="AI301" i="32451"/>
  <c r="AI486" i="32451"/>
  <c r="AI95" i="32451"/>
  <c r="AI223" i="32451"/>
  <c r="AI552" i="32451"/>
  <c r="AI230" i="32451"/>
  <c r="AI306" i="32451"/>
  <c r="AI421" i="32451"/>
  <c r="AI545" i="32451"/>
  <c r="AI695" i="32451"/>
  <c r="AI489" i="32451"/>
  <c r="AI602" i="32451"/>
  <c r="AI222" i="32451"/>
  <c r="AI307" i="32451"/>
  <c r="AI416" i="32451"/>
  <c r="AI546" i="32451"/>
  <c r="AI533" i="32451"/>
  <c r="AI617" i="32451"/>
  <c r="AI544" i="32451"/>
  <c r="AI683" i="32451"/>
  <c r="AI472" i="32451"/>
  <c r="AI389" i="32451"/>
  <c r="AI469" i="32451"/>
  <c r="AI604" i="32451"/>
  <c r="AI662" i="32451"/>
  <c r="AI366" i="32451"/>
  <c r="AI438" i="32451"/>
  <c r="AI511" i="32451"/>
  <c r="AI687" i="32451"/>
  <c r="AI415" i="32451"/>
  <c r="AI482" i="32451"/>
  <c r="AI567" i="32451"/>
  <c r="AI648" i="32451"/>
  <c r="AI152" i="32451"/>
  <c r="AI271" i="32451"/>
  <c r="AI220" i="32451"/>
  <c r="AI309" i="32451"/>
  <c r="AI499" i="32451"/>
  <c r="AI644" i="32451"/>
  <c r="AI207" i="32451"/>
  <c r="AI570" i="32451"/>
  <c r="AI71" i="32451"/>
  <c r="AI136" i="32451"/>
  <c r="AI244" i="32451"/>
  <c r="AI562" i="32451"/>
  <c r="AI255" i="32451"/>
  <c r="AI558" i="32451"/>
  <c r="AI679" i="32451"/>
  <c r="AI234" i="32451"/>
  <c r="AI319" i="32451"/>
  <c r="AI441" i="32451"/>
  <c r="AI504" i="32451"/>
  <c r="AI610" i="32451"/>
  <c r="AI235" i="32451"/>
  <c r="AI320" i="32451"/>
  <c r="AI429" i="32451"/>
  <c r="AI553" i="32451"/>
  <c r="AI197" i="32451"/>
  <c r="AI256" i="32451"/>
  <c r="AI624" i="32451"/>
  <c r="AI420" i="32451"/>
  <c r="AI549" i="32451"/>
  <c r="AI401" i="32451"/>
  <c r="AI476" i="32451"/>
  <c r="AI566" i="32451"/>
  <c r="AI691" i="32451"/>
  <c r="AI609" i="32451"/>
  <c r="AI692" i="32451"/>
  <c r="AI419" i="32451"/>
  <c r="AI498" i="32451"/>
  <c r="AI579" i="32451"/>
  <c r="AI653" i="32451"/>
  <c r="AI283" i="32451"/>
  <c r="AI78" i="32451"/>
  <c r="AI509" i="32451"/>
  <c r="AI659" i="32451"/>
  <c r="AI107" i="32451"/>
  <c r="AI369" i="32451"/>
  <c r="AI583" i="32451"/>
  <c r="AI140" i="32451"/>
  <c r="AI258" i="32451"/>
  <c r="AI347" i="32451"/>
  <c r="AI571" i="32451"/>
  <c r="AI192" i="32451"/>
  <c r="AI327" i="32451"/>
  <c r="AI428" i="32451"/>
  <c r="AI565" i="32451"/>
  <c r="AI686" i="32451"/>
  <c r="AI247" i="32451"/>
  <c r="AI332" i="32451"/>
  <c r="AI456" i="32451"/>
  <c r="AI559" i="32451"/>
  <c r="AI243" i="32451"/>
  <c r="AI512" i="32451"/>
  <c r="AI615" i="32451"/>
  <c r="AI176" i="32451"/>
  <c r="AI248" i="32451"/>
  <c r="AI333" i="32451"/>
  <c r="AI595" i="32451"/>
  <c r="AI202" i="32451"/>
  <c r="AI269" i="32451"/>
  <c r="AI328" i="32451"/>
  <c r="AI547" i="32451"/>
  <c r="AI632" i="32451"/>
  <c r="AI424" i="32451"/>
  <c r="AI491" i="32451"/>
  <c r="AI556" i="32451"/>
  <c r="AI693" i="32451"/>
  <c r="AI405" i="32451"/>
  <c r="AI633" i="32451"/>
  <c r="AI523" i="32451"/>
  <c r="AI697" i="32451"/>
  <c r="AI423" i="32451"/>
  <c r="AI503" i="32451"/>
  <c r="AI588" i="32451"/>
  <c r="AI284" i="32451"/>
  <c r="AI69" i="32451"/>
  <c r="AI93" i="32451"/>
  <c r="AI362" i="32451"/>
  <c r="AI335" i="32451"/>
  <c r="AI433" i="32451"/>
  <c r="AI270" i="32451"/>
  <c r="AI454" i="32451"/>
  <c r="AI144" i="32451"/>
  <c r="AI674" i="32451"/>
  <c r="AI607" i="32451"/>
  <c r="AI145" i="32451"/>
  <c r="AI266" i="32451"/>
  <c r="AI354" i="32451"/>
  <c r="AI264" i="32451"/>
  <c r="AI434" i="32451"/>
  <c r="AI260" i="32451"/>
  <c r="AI315" i="32451"/>
  <c r="AI408" i="32451"/>
  <c r="AI181" i="32451"/>
  <c r="AI261" i="32451"/>
  <c r="AI337" i="32451"/>
  <c r="AI475" i="32451"/>
  <c r="AI215" i="32451"/>
  <c r="AI274" i="32451"/>
  <c r="AI346" i="32451"/>
  <c r="AI444" i="32451"/>
  <c r="AI640" i="32451"/>
  <c r="AI367" i="32451"/>
  <c r="AI561" i="32451"/>
  <c r="AI698" i="32451"/>
  <c r="AI410" i="32451"/>
  <c r="AI578" i="32451"/>
  <c r="AI701" i="32451"/>
  <c r="AI616" i="32451"/>
  <c r="AI677" i="32451"/>
  <c r="AI536" i="32451"/>
  <c r="AI613" i="32451"/>
  <c r="AI435" i="32451"/>
  <c r="AI507" i="32451"/>
  <c r="AI592" i="32451"/>
  <c r="AI577" i="32451"/>
  <c r="AI651" i="32451"/>
  <c r="AI139" i="32451"/>
  <c r="AI291" i="32451"/>
  <c r="AI388" i="32451"/>
  <c r="AI432" i="32451"/>
  <c r="AI650" i="32451"/>
  <c r="AI198" i="32451"/>
  <c r="AI353" i="32451"/>
  <c r="AI685" i="32451"/>
  <c r="AI119" i="32451"/>
  <c r="AI229" i="32451"/>
  <c r="AI88" i="32451"/>
  <c r="AI370" i="32451"/>
  <c r="AI598" i="32451"/>
  <c r="AI336" i="32451"/>
  <c r="AI273" i="32451"/>
  <c r="AI184" i="32451"/>
  <c r="AI252" i="32451"/>
  <c r="AI631" i="32451"/>
  <c r="AI189" i="32451"/>
  <c r="AI265" i="32451"/>
  <c r="AI639" i="32451"/>
  <c r="AI287" i="32451"/>
  <c r="AI647" i="32451"/>
  <c r="AI439" i="32451"/>
  <c r="AI568" i="32451"/>
  <c r="AI414" i="32451"/>
  <c r="AI493" i="32451"/>
  <c r="AI642" i="32451"/>
  <c r="AI406" i="32451"/>
  <c r="AI625" i="32451"/>
  <c r="AI462" i="32451"/>
  <c r="AI597" i="32451"/>
  <c r="AI245" i="32451"/>
  <c r="AI86" i="32451"/>
  <c r="AI684" i="32451"/>
  <c r="AI297" i="32451"/>
  <c r="AI285" i="32451"/>
  <c r="AI535" i="32451"/>
  <c r="AI77" i="32451"/>
  <c r="AI308" i="32451"/>
  <c r="AI430" i="32451"/>
  <c r="AI395" i="32451"/>
  <c r="AI448" i="32451"/>
  <c r="AI601" i="32451"/>
  <c r="AI201" i="32451"/>
  <c r="AI277" i="32451"/>
  <c r="AI357" i="32451"/>
  <c r="AI324" i="32451"/>
  <c r="AI193" i="32451"/>
  <c r="AI646" i="32451"/>
  <c r="AI457" i="32451"/>
  <c r="AI573" i="32451"/>
  <c r="AI649" i="32451"/>
  <c r="AI422" i="32451"/>
  <c r="AI501" i="32451"/>
  <c r="AI587" i="32451"/>
  <c r="AI629" i="32451"/>
  <c r="AI398" i="32451"/>
  <c r="AI548" i="32451"/>
  <c r="AI443" i="32451"/>
  <c r="AI672" i="32451"/>
  <c r="AI520" i="32451"/>
  <c r="AI305" i="32451"/>
  <c r="AI541" i="32451"/>
  <c r="AI143" i="32451"/>
  <c r="AI203" i="32451"/>
  <c r="AI211" i="32451"/>
  <c r="AI699" i="32451"/>
  <c r="AI84" i="32451"/>
  <c r="AI100" i="32451"/>
  <c r="AI608" i="32451"/>
  <c r="AI436" i="32451"/>
  <c r="AI539" i="32451"/>
  <c r="AI350" i="32451"/>
  <c r="AI655" i="32451"/>
  <c r="AI447" i="32451"/>
  <c r="AI516" i="32451"/>
  <c r="AI580" i="32451"/>
  <c r="AI654" i="32451"/>
  <c r="AI426" i="32451"/>
  <c r="AI360" i="32451"/>
  <c r="AI502" i="32451"/>
  <c r="AI402" i="32451"/>
  <c r="AI477" i="32451"/>
  <c r="AI378" i="32451"/>
  <c r="AI519" i="32451"/>
  <c r="AI678" i="32451"/>
  <c r="AI175" i="32451"/>
  <c r="AI514" i="32451"/>
  <c r="AI276" i="32451"/>
  <c r="AI563" i="32451"/>
  <c r="AI157" i="32451"/>
  <c r="AI334" i="32451"/>
  <c r="AI120" i="32451"/>
  <c r="AI134" i="32451"/>
  <c r="AI172" i="32451"/>
  <c r="AI538" i="32451"/>
  <c r="AI521" i="32451"/>
  <c r="AI620" i="32451"/>
  <c r="AI365" i="32451"/>
  <c r="AI253" i="32451"/>
  <c r="AI111" i="32451"/>
  <c r="AI221" i="32451"/>
  <c r="AI196" i="32451"/>
  <c r="AI663" i="32451"/>
  <c r="AI358" i="32451"/>
  <c r="AI664" i="32451"/>
  <c r="AI231" i="32451"/>
  <c r="AI374" i="32451"/>
  <c r="AI470" i="32451"/>
  <c r="AI581" i="32451"/>
  <c r="AI585" i="32451"/>
  <c r="AI530" i="32451"/>
  <c r="AI638" i="32451"/>
  <c r="AI411" i="32451"/>
  <c r="AI560" i="32451"/>
  <c r="AI382" i="32451"/>
  <c r="AI455" i="32451"/>
  <c r="AI622" i="32451"/>
  <c r="AI682" i="32451"/>
  <c r="AI129" i="32451"/>
  <c r="AI371" i="32451"/>
  <c r="AI564" i="32451"/>
  <c r="AI117" i="32451"/>
  <c r="AI80" i="32451"/>
  <c r="AI173" i="32451"/>
  <c r="AI185" i="32451"/>
  <c r="AI425" i="32451"/>
  <c r="AI451" i="32451"/>
  <c r="AI110" i="32451"/>
  <c r="AI178" i="32451"/>
  <c r="AI101" i="32451"/>
  <c r="AI132" i="32451"/>
  <c r="AI478" i="32451"/>
  <c r="AI576" i="32451"/>
  <c r="AI212" i="32451"/>
  <c r="AI361" i="32451"/>
  <c r="AI206" i="32451"/>
  <c r="AI314" i="32451"/>
  <c r="AI137" i="32451"/>
  <c r="AI126" i="32451"/>
  <c r="AI614" i="32451"/>
  <c r="AI359" i="32451"/>
  <c r="AI171" i="32451"/>
  <c r="AI74" i="32451"/>
  <c r="AI161" i="32451"/>
  <c r="AI288" i="32451"/>
  <c r="AI344" i="32451"/>
  <c r="AI594" i="32451"/>
  <c r="AI275" i="32451"/>
  <c r="AI399" i="32451"/>
  <c r="AI464" i="32451"/>
  <c r="AI280" i="32451"/>
  <c r="AI496" i="32451"/>
  <c r="AI442" i="32451"/>
  <c r="AI590" i="32451"/>
  <c r="AI551" i="32451"/>
  <c r="AI85" i="32451"/>
  <c r="AI263" i="32451"/>
  <c r="AI599" i="32451"/>
  <c r="AI149" i="32451"/>
  <c r="AI249" i="32451"/>
  <c r="AI155" i="32451"/>
  <c r="AI665" i="32451"/>
  <c r="AI163" i="32451"/>
  <c r="AI397" i="32451"/>
  <c r="AI45" i="32451"/>
  <c r="AI142" i="32451"/>
  <c r="AI66" i="32451"/>
  <c r="AI586" i="32451"/>
  <c r="AI82" i="32451"/>
  <c r="AI228" i="32451"/>
  <c r="AI115" i="32451"/>
  <c r="AI169" i="32451"/>
  <c r="AI417" i="32451"/>
  <c r="AI582" i="32451"/>
  <c r="AI153" i="32451"/>
  <c r="AI295" i="32451"/>
  <c r="AI112" i="32451"/>
  <c r="AI182" i="32451"/>
  <c r="AI440" i="32451"/>
  <c r="AI675" i="32451"/>
  <c r="AI226" i="32451"/>
  <c r="AI293" i="32451"/>
  <c r="AI364" i="32451"/>
  <c r="AI623" i="32451"/>
  <c r="AI379" i="32451"/>
  <c r="AI510" i="32451"/>
  <c r="AI637" i="32451"/>
  <c r="AI209" i="32451"/>
  <c r="AI268" i="32451"/>
  <c r="AI670" i="32451"/>
  <c r="AI380" i="32451"/>
  <c r="AI513" i="32451"/>
  <c r="AI671" i="32451"/>
  <c r="AI303" i="32451"/>
  <c r="AI589" i="32451"/>
  <c r="AI390" i="32451"/>
  <c r="AI463" i="32451"/>
  <c r="AI661" i="32451"/>
  <c r="AI373" i="32451"/>
  <c r="AI515" i="32451"/>
  <c r="AI702" i="32451"/>
  <c r="AI490" i="32451"/>
  <c r="AI634" i="32451"/>
  <c r="AI386" i="32451"/>
  <c r="AI630" i="32451"/>
  <c r="AI216" i="32451"/>
  <c r="AI167" i="32451"/>
  <c r="AI65" i="32451"/>
  <c r="AI87" i="32451"/>
  <c r="AI91" i="32451"/>
  <c r="AI323" i="32451"/>
  <c r="AI289" i="32451"/>
  <c r="AI626" i="32451"/>
  <c r="AI658" i="32451"/>
  <c r="AI467" i="32451"/>
  <c r="AI326" i="32451"/>
  <c r="AI471" i="32451"/>
  <c r="AI317" i="32451"/>
  <c r="AI242" i="32451"/>
  <c r="AI506" i="32451"/>
  <c r="AI224" i="32451"/>
  <c r="AI341" i="32451"/>
  <c r="AI465" i="32451"/>
  <c r="AI652" i="32451"/>
  <c r="AI318" i="32451"/>
  <c r="AI79" i="32451"/>
  <c r="AI488" i="32451"/>
  <c r="AI219" i="32451"/>
  <c r="AI147" i="32451"/>
  <c r="AI156" i="32451"/>
  <c r="AI183" i="32451"/>
  <c r="AI534" i="32451"/>
  <c r="AI165" i="32451"/>
  <c r="AI404" i="32451"/>
  <c r="AI272" i="32451"/>
  <c r="AI481" i="32451"/>
  <c r="AI372" i="32451"/>
  <c r="AI76" i="32451"/>
  <c r="AI97" i="32451"/>
  <c r="AI102" i="32451"/>
  <c r="AI177" i="32451"/>
  <c r="AI125" i="32451"/>
  <c r="AI68" i="32451"/>
  <c r="AI575" i="32451"/>
  <c r="AI98" i="32451"/>
  <c r="AI621" i="32451"/>
  <c r="AI458" i="32451"/>
  <c r="AI348" i="32451"/>
  <c r="AI262" i="32451"/>
  <c r="AI162" i="32451"/>
  <c r="AI437" i="32451"/>
  <c r="AI158" i="32451"/>
  <c r="AI73" i="32451"/>
  <c r="AI204" i="32451"/>
  <c r="AI460" i="32451"/>
  <c r="AI282" i="32451"/>
  <c r="AI605" i="32451"/>
  <c r="AI213" i="32451"/>
  <c r="AI343" i="32451"/>
  <c r="AI569" i="32451"/>
  <c r="AI279" i="32451"/>
  <c r="AI593" i="32451"/>
  <c r="AI316" i="32451"/>
  <c r="AI47" i="32451"/>
  <c r="AI187" i="32451"/>
  <c r="AI453" i="32451"/>
  <c r="AI239" i="32451"/>
  <c r="AI298" i="32451"/>
  <c r="AI517" i="32451"/>
  <c r="AI214" i="32451"/>
  <c r="AI281" i="32451"/>
  <c r="AI340" i="32451"/>
  <c r="AI574" i="32451"/>
  <c r="AI387" i="32451"/>
  <c r="AI518" i="32451"/>
  <c r="AI680" i="32451"/>
  <c r="AI240" i="32451"/>
  <c r="AI484" i="32451"/>
  <c r="AI596" i="32451"/>
  <c r="AI690" i="32451"/>
  <c r="AI394" i="32451"/>
  <c r="AI528" i="32451"/>
  <c r="AI449" i="32451"/>
  <c r="AI542" i="32451"/>
  <c r="AI603" i="32451"/>
  <c r="AI666" i="32451"/>
  <c r="AI377" i="32451"/>
  <c r="AI446" i="32451"/>
  <c r="AI427" i="32451"/>
  <c r="AI494" i="32451"/>
  <c r="AI572" i="32451"/>
  <c r="AI643" i="32451"/>
  <c r="AI466" i="32451"/>
  <c r="AI531" i="32451"/>
  <c r="AI92" i="32451"/>
  <c r="AI267" i="32451"/>
  <c r="AI232" i="32451"/>
  <c r="AI396" i="32451"/>
  <c r="AI241" i="32451"/>
  <c r="AI179" i="32451"/>
  <c r="AI118" i="32451"/>
  <c r="AI628" i="32451"/>
  <c r="AI445" i="32451"/>
  <c r="AI681" i="32451"/>
  <c r="AI49" i="32451"/>
  <c r="AI700" i="32451"/>
  <c r="AI64" i="32451"/>
  <c r="AI495" i="32451"/>
  <c r="AI485" i="32451"/>
  <c r="AI121" i="32451"/>
  <c r="AI75" i="32451"/>
  <c r="AI492" i="32451"/>
  <c r="AI246" i="32451"/>
  <c r="AI668" i="32451"/>
  <c r="AI383" i="32451"/>
  <c r="AI135" i="32451"/>
  <c r="AI251" i="32451"/>
  <c r="AI418" i="32451"/>
  <c r="AI474" i="32451"/>
  <c r="AI259" i="32451"/>
  <c r="AI508" i="32451"/>
  <c r="AI636" i="32451"/>
  <c r="AI376" i="32451"/>
  <c r="AI329" i="32451"/>
  <c r="AI431" i="32451"/>
  <c r="AI356" i="32451"/>
  <c r="AI81" i="32451"/>
  <c r="AI310" i="32451"/>
  <c r="AI188" i="32451"/>
  <c r="AI96" i="32451"/>
  <c r="AI122" i="32451"/>
  <c r="AI210" i="32451"/>
  <c r="AI384" i="32451"/>
  <c r="AI656" i="32451"/>
  <c r="AI146" i="32451"/>
  <c r="AI89" i="32451"/>
  <c r="AI233" i="32451"/>
  <c r="AI113" i="32451"/>
  <c r="AI300" i="32451"/>
  <c r="AI170" i="32451"/>
  <c r="AI479" i="32451"/>
  <c r="AI168" i="32451"/>
  <c r="AI349" i="32451"/>
  <c r="AI459" i="32451"/>
  <c r="AI217" i="32451"/>
  <c r="AI480" i="32451"/>
  <c r="AI94" i="32451"/>
  <c r="AI403" i="32451"/>
  <c r="AI618" i="32451"/>
  <c r="AI70" i="32451"/>
  <c r="AI123" i="32451"/>
  <c r="AI236" i="32451"/>
  <c r="AI368" i="32451"/>
  <c r="AI186" i="32451"/>
  <c r="AI83" i="32451"/>
  <c r="AI174" i="32451"/>
  <c r="AI330" i="32451"/>
  <c r="AI522" i="32451"/>
  <c r="AI124" i="32451"/>
  <c r="AI194" i="32451"/>
  <c r="AI487" i="32451"/>
  <c r="AI311" i="32451"/>
  <c r="AI385" i="32451"/>
  <c r="AI645" i="32451"/>
  <c r="AI400" i="32451"/>
  <c r="AI227" i="32451"/>
  <c r="AI286" i="32451"/>
  <c r="AI345" i="32451"/>
  <c r="AI468" i="32451"/>
  <c r="AI689" i="32451"/>
  <c r="AI290" i="32451"/>
  <c r="AI526" i="32451"/>
  <c r="AI312" i="32451"/>
  <c r="AI409" i="32451"/>
  <c r="AI497" i="32451"/>
  <c r="AI407" i="32451"/>
  <c r="AI532" i="32451"/>
  <c r="AI673" i="32451"/>
  <c r="AI461" i="32451"/>
  <c r="AI612" i="32451"/>
  <c r="AI381" i="32451"/>
  <c r="AI450" i="32451"/>
  <c r="AI527" i="32451"/>
  <c r="AI591" i="32451"/>
  <c r="AI351" i="32451"/>
  <c r="AI667" i="32451"/>
  <c r="AI393" i="32451"/>
  <c r="AI473" i="32451"/>
  <c r="AI543" i="32451"/>
  <c r="AI195" i="32451"/>
  <c r="AI141" i="32451"/>
  <c r="AI190" i="32451"/>
  <c r="AI331" i="32451"/>
  <c r="AI151" i="32451"/>
  <c r="AI304" i="32451"/>
  <c r="AI669" i="32451"/>
  <c r="AI90" i="32451"/>
  <c r="AI105" i="32451"/>
  <c r="AI278" i="32451"/>
  <c r="AI292" i="32451"/>
  <c r="AI296" i="32451"/>
  <c r="AI641" i="32451"/>
  <c r="AI225" i="32451"/>
  <c r="AI150" i="32451"/>
  <c r="AI67" i="32451"/>
  <c r="AI529" i="32451"/>
  <c r="AI342" i="32451"/>
  <c r="AI238" i="32451"/>
  <c r="AI114" i="32451"/>
  <c r="AI99" i="32451"/>
  <c r="AI148" i="32451"/>
  <c r="AI159" i="32451"/>
  <c r="AI339" i="32451"/>
  <c r="AI133" i="32451"/>
  <c r="AI694" i="32451"/>
  <c r="AI130" i="32451"/>
  <c r="AI103" i="32451"/>
  <c r="AI237" i="32451"/>
  <c r="AI352" i="32451"/>
  <c r="AI128" i="32451"/>
  <c r="AI322" i="32451"/>
  <c r="AI557" i="32451"/>
  <c r="AI208" i="32451"/>
  <c r="AI205" i="32451"/>
  <c r="AI550" i="32451"/>
  <c r="AI627" i="32451"/>
  <c r="AI321" i="32451"/>
  <c r="AI635" i="32451"/>
  <c r="AI166" i="32451"/>
  <c r="AI154" i="32451"/>
  <c r="AI363" i="32451"/>
  <c r="AI104" i="32451"/>
  <c r="AI109" i="32451"/>
  <c r="AI660" i="32451"/>
  <c r="AI313" i="32451"/>
  <c r="AI191" i="32451"/>
  <c r="AI138" i="32451"/>
  <c r="AI375" i="32451"/>
  <c r="AI72" i="32451"/>
  <c r="AI500" i="32451"/>
  <c r="AI108" i="32451"/>
  <c r="AI254" i="32451"/>
  <c r="AI160" i="32451"/>
  <c r="AI413" i="32451"/>
  <c r="AI250" i="32451"/>
  <c r="AI51" i="32451"/>
  <c r="AI127" i="32451"/>
  <c r="AI452" i="32451"/>
  <c r="AI619" i="32451"/>
  <c r="AI338" i="32451"/>
  <c r="AI200" i="32451"/>
  <c r="AI325" i="32451"/>
  <c r="AI524" i="32451"/>
  <c r="AI180" i="32451"/>
  <c r="AI391" i="32451"/>
  <c r="AI525" i="32451"/>
  <c r="AI302" i="32451"/>
  <c r="AI688" i="32451"/>
  <c r="AI299" i="32451"/>
  <c r="AI483" i="32451"/>
  <c r="AI696" i="32451"/>
  <c r="AI218" i="32451"/>
  <c r="AI294" i="32451"/>
  <c r="AI540" i="32451"/>
  <c r="AI505" i="32451"/>
  <c r="AI611" i="32451"/>
  <c r="AI412" i="32451"/>
  <c r="AI537" i="32451"/>
  <c r="AI392" i="32451"/>
  <c r="AI554" i="32451"/>
  <c r="AI676" i="32451"/>
  <c r="AI600" i="32451"/>
  <c r="AI657" i="32451"/>
  <c r="AI355" i="32451"/>
  <c r="AI584" i="32451"/>
  <c r="AI555" i="32451"/>
  <c r="AI53" i="32451"/>
  <c r="AH53" i="32451"/>
  <c r="AG53" i="32451"/>
  <c r="AG60" i="32451"/>
  <c r="AI60" i="32451"/>
  <c r="AH60" i="32451"/>
  <c r="AH35" i="32451"/>
  <c r="AG35" i="32451"/>
  <c r="AI35" i="32451"/>
  <c r="A38" i="32451"/>
  <c r="AM38" i="32451"/>
  <c r="AH36" i="32451"/>
  <c r="AI36" i="32451"/>
  <c r="AG36" i="32451"/>
  <c r="AH58" i="32451"/>
  <c r="AG58" i="32451"/>
  <c r="AI58" i="32451"/>
  <c r="AI39" i="32451"/>
  <c r="AG39" i="32451"/>
  <c r="AH39" i="32451"/>
  <c r="AG54" i="32451"/>
  <c r="AI54" i="32451"/>
  <c r="AH54" i="32451"/>
  <c r="AG43" i="32451"/>
  <c r="AI43" i="32451"/>
  <c r="AH43" i="32451"/>
  <c r="A55" i="32451"/>
  <c r="AM55" i="32451"/>
  <c r="AG56" i="32451"/>
  <c r="AI56" i="32451"/>
  <c r="AH56" i="32451"/>
  <c r="AH33" i="32451"/>
  <c r="AG33" i="32451"/>
  <c r="AI33" i="32451"/>
  <c r="A56" i="32451"/>
  <c r="AM56" i="32451"/>
  <c r="AM63" i="32451"/>
  <c r="A63" i="32451"/>
  <c r="AG41" i="32451"/>
  <c r="AI41" i="32451"/>
  <c r="AH41" i="32451"/>
  <c r="AI37" i="32451"/>
  <c r="AH37" i="32451"/>
  <c r="AG37" i="32451"/>
  <c r="AG59" i="32451"/>
  <c r="AI59" i="32451"/>
  <c r="AH59" i="32451"/>
  <c r="AM59" i="32451"/>
  <c r="A59" i="32451"/>
  <c r="A60" i="32451"/>
  <c r="AM60" i="32451"/>
  <c r="AM46" i="32451"/>
  <c r="A46" i="32451"/>
  <c r="AM52" i="32451"/>
  <c r="A52" i="32451"/>
  <c r="AG61" i="32451"/>
  <c r="AI61" i="32451"/>
  <c r="AH61" i="32451"/>
  <c r="AH52" i="32451"/>
  <c r="AI52" i="32451"/>
  <c r="AG52" i="32451"/>
  <c r="AI38" i="32451"/>
  <c r="AG38" i="32451"/>
  <c r="AH38" i="32451"/>
  <c r="AI55" i="32451"/>
  <c r="AH55" i="32451"/>
  <c r="AG55" i="32451"/>
  <c r="A50" i="32451"/>
  <c r="AM50" i="32451"/>
  <c r="A43" i="32451"/>
  <c r="AM43" i="32451"/>
  <c r="AM54" i="32451"/>
  <c r="A54" i="32451"/>
  <c r="A35" i="32451"/>
  <c r="AM35" i="32451"/>
  <c r="AM62" i="32451"/>
  <c r="A62" i="32451"/>
  <c r="AI44" i="32451"/>
  <c r="AG44" i="32451"/>
  <c r="AH44" i="32451"/>
  <c r="AH42" i="32451"/>
  <c r="AG42" i="32451"/>
  <c r="AI42" i="32451"/>
  <c r="AI50" i="32451"/>
  <c r="AH50" i="32451"/>
  <c r="AG50" i="32451"/>
  <c r="AH63" i="32451"/>
  <c r="AI63" i="32451"/>
  <c r="AG63" i="32451"/>
  <c r="A48" i="32451"/>
  <c r="AM48" i="32451"/>
  <c r="A37" i="32451"/>
  <c r="AM37" i="32451"/>
  <c r="A44" i="32451"/>
  <c r="AM44" i="32451"/>
  <c r="AM33" i="32451"/>
  <c r="A33" i="32451"/>
  <c r="A36" i="32451"/>
  <c r="AM36" i="32451"/>
  <c r="A42" i="32451"/>
  <c r="AM42" i="32451"/>
  <c r="AG57" i="32451"/>
  <c r="AH57" i="32451"/>
  <c r="AI57" i="32451"/>
  <c r="AH62" i="32451"/>
  <c r="AG62" i="32451"/>
  <c r="AI62" i="32451"/>
  <c r="AH34" i="32451"/>
  <c r="AG34" i="32451"/>
  <c r="AI34" i="32451"/>
  <c r="AM58" i="32451"/>
  <c r="A58" i="32451"/>
  <c r="A41" i="32451"/>
  <c r="AM41" i="32451"/>
  <c r="A34" i="32451"/>
  <c r="AM34" i="32451"/>
  <c r="AH48" i="32451"/>
  <c r="AI48" i="32451"/>
  <c r="AG48" i="32451"/>
  <c r="AM61" i="32451"/>
  <c r="A61" i="32451"/>
  <c r="A40" i="32451"/>
  <c r="AM40" i="32451"/>
  <c r="A57" i="32451"/>
  <c r="AM57" i="32451"/>
  <c r="AI40" i="32451"/>
  <c r="AH40" i="32451"/>
  <c r="AG40" i="32451"/>
  <c r="AG46" i="32451"/>
  <c r="AI46" i="32451"/>
  <c r="AH46" i="32451"/>
  <c r="AM39" i="32451"/>
  <c r="A39" i="32451"/>
  <c r="A53" i="32451"/>
  <c r="AM53" i="32451"/>
  <c r="A493" i="32451"/>
  <c r="A671" i="32451"/>
  <c r="A385" i="32451"/>
  <c r="AM65" i="32451"/>
  <c r="A65" i="32451"/>
  <c r="AM529" i="32451"/>
  <c r="A529" i="32451"/>
  <c r="AM453" i="32451"/>
  <c r="A453" i="32451"/>
  <c r="AM703" i="32451"/>
  <c r="A703" i="32451"/>
  <c r="AM593" i="32451"/>
  <c r="A593" i="32451"/>
  <c r="AM165" i="32451"/>
  <c r="A165" i="32451"/>
  <c r="AM311" i="32451"/>
  <c r="A311" i="32451"/>
  <c r="AM492" i="32451"/>
  <c r="A492" i="32451"/>
  <c r="AM106" i="32451"/>
  <c r="A106" i="32451"/>
  <c r="AM480" i="32451"/>
  <c r="A480" i="32451"/>
  <c r="AM678" i="32451"/>
  <c r="A678" i="32451"/>
  <c r="AM548" i="32451"/>
  <c r="A548" i="32451"/>
  <c r="AM93" i="32451"/>
  <c r="A93" i="32451"/>
  <c r="AM490" i="32451"/>
  <c r="A490" i="32451"/>
  <c r="AM612" i="32451"/>
  <c r="A612" i="32451"/>
  <c r="AM121" i="32451"/>
  <c r="A121" i="32451"/>
  <c r="AM69" i="32451"/>
  <c r="A69" i="32451"/>
  <c r="AM313" i="32451"/>
  <c r="A313" i="32451"/>
  <c r="AM638" i="32451"/>
  <c r="A638" i="32451"/>
  <c r="AM301" i="32451"/>
  <c r="A301" i="32451"/>
  <c r="AM637" i="32451"/>
  <c r="A637" i="32451"/>
  <c r="AM333" i="32451"/>
  <c r="A333" i="32451"/>
  <c r="AM688" i="32451"/>
  <c r="A688" i="32451"/>
  <c r="AM358" i="32451"/>
  <c r="A358" i="32451"/>
  <c r="AM152" i="32451"/>
  <c r="A152" i="32451"/>
  <c r="AM683" i="32451"/>
  <c r="A683" i="32451"/>
  <c r="AM534" i="32451"/>
  <c r="A534" i="32451"/>
  <c r="AM390" i="32451"/>
  <c r="A390" i="32451"/>
  <c r="AM246" i="32451"/>
  <c r="A246" i="32451"/>
  <c r="AM102" i="32451"/>
  <c r="A102" i="32451"/>
  <c r="AM103" i="32451"/>
  <c r="A103" i="32451"/>
  <c r="AM582" i="32451"/>
  <c r="A582" i="32451"/>
  <c r="AM437" i="32451"/>
  <c r="A437" i="32451"/>
  <c r="AM293" i="32451"/>
  <c r="A293" i="32451"/>
  <c r="AM149" i="32451"/>
  <c r="A149" i="32451"/>
  <c r="AM404" i="32451"/>
  <c r="A404" i="32451"/>
  <c r="AM355" i="32451"/>
  <c r="A355" i="32451"/>
  <c r="AM641" i="32451"/>
  <c r="A641" i="32451"/>
  <c r="AM496" i="32451"/>
  <c r="A496" i="32451"/>
  <c r="AM352" i="32451"/>
  <c r="A352" i="32451"/>
  <c r="AM208" i="32451"/>
  <c r="A208" i="32451"/>
  <c r="AM64" i="32451"/>
  <c r="A64" i="32451"/>
  <c r="AM523" i="32451"/>
  <c r="A523" i="32451"/>
  <c r="AM699" i="32451"/>
  <c r="A699" i="32451"/>
  <c r="AM555" i="32451"/>
  <c r="A555" i="32451"/>
  <c r="AM411" i="32451"/>
  <c r="A411" i="32451"/>
  <c r="AM267" i="32451"/>
  <c r="A267" i="32451"/>
  <c r="AM123" i="32451"/>
  <c r="A123" i="32451"/>
  <c r="AM236" i="32451"/>
  <c r="A236" i="32451"/>
  <c r="AM127" i="32451"/>
  <c r="A127" i="32451"/>
  <c r="AM587" i="32451"/>
  <c r="A587" i="32451"/>
  <c r="AM446" i="32451"/>
  <c r="A446" i="32451"/>
  <c r="AM302" i="32451"/>
  <c r="A302" i="32451"/>
  <c r="AM158" i="32451"/>
  <c r="A158" i="32451"/>
  <c r="AM420" i="32451"/>
  <c r="A420" i="32451"/>
  <c r="AM289" i="32451"/>
  <c r="A289" i="32451"/>
  <c r="AM660" i="32451"/>
  <c r="A660" i="32451"/>
  <c r="AM567" i="32451"/>
  <c r="A567" i="32451"/>
  <c r="AM119" i="32451"/>
  <c r="A119" i="32451"/>
  <c r="AM265" i="32451"/>
  <c r="A265" i="32451"/>
  <c r="AM381" i="32451"/>
  <c r="A381" i="32451"/>
  <c r="AM619" i="32451"/>
  <c r="A619" i="32451"/>
  <c r="AM441" i="32451"/>
  <c r="A441" i="32451"/>
  <c r="AM382" i="32451"/>
  <c r="A382" i="32451"/>
  <c r="AM626" i="32451"/>
  <c r="A626" i="32451"/>
  <c r="AM514" i="32451"/>
  <c r="A514" i="32451"/>
  <c r="AM609" i="32451"/>
  <c r="A609" i="32451"/>
  <c r="AM297" i="32451"/>
  <c r="A297" i="32451"/>
  <c r="AM569" i="32451"/>
  <c r="A569" i="32451"/>
  <c r="AM85" i="32451"/>
  <c r="A85" i="32451"/>
  <c r="AM559" i="32451"/>
  <c r="A559" i="32451"/>
  <c r="AM277" i="32451"/>
  <c r="A277" i="32451"/>
  <c r="AM605" i="32451"/>
  <c r="A605" i="32451"/>
  <c r="AM275" i="32451"/>
  <c r="A275" i="32451"/>
  <c r="AM620" i="32451"/>
  <c r="A620" i="32451"/>
  <c r="AM300" i="32451"/>
  <c r="A300" i="32451"/>
  <c r="AM654" i="32451"/>
  <c r="A654" i="32451"/>
  <c r="AM325" i="32451"/>
  <c r="A325" i="32451"/>
  <c r="AM140" i="32451"/>
  <c r="A140" i="32451"/>
  <c r="AM676" i="32451"/>
  <c r="A676" i="32451"/>
  <c r="AM522" i="32451"/>
  <c r="A522" i="32451"/>
  <c r="AM378" i="32451"/>
  <c r="A378" i="32451"/>
  <c r="AM234" i="32451"/>
  <c r="A234" i="32451"/>
  <c r="AM90" i="32451"/>
  <c r="A90" i="32451"/>
  <c r="AM651" i="32451"/>
  <c r="A651" i="32451"/>
  <c r="AM564" i="32451"/>
  <c r="A564" i="32451"/>
  <c r="AM425" i="32451"/>
  <c r="A425" i="32451"/>
  <c r="AM281" i="32451"/>
  <c r="A281" i="32451"/>
  <c r="AM137" i="32451"/>
  <c r="A137" i="32451"/>
  <c r="AM344" i="32451"/>
  <c r="A344" i="32451"/>
  <c r="AM295" i="32451"/>
  <c r="A295" i="32451"/>
  <c r="AM622" i="32451"/>
  <c r="A622" i="32451"/>
  <c r="AM484" i="32451"/>
  <c r="A484" i="32451"/>
  <c r="AM340" i="32451"/>
  <c r="A340" i="32451"/>
  <c r="AM196" i="32451"/>
  <c r="A196" i="32451"/>
  <c r="AM463" i="32451"/>
  <c r="A463" i="32451"/>
  <c r="AM681" i="32451"/>
  <c r="A681" i="32451"/>
  <c r="AM543" i="32451"/>
  <c r="A543" i="32451"/>
  <c r="AM399" i="32451"/>
  <c r="A399" i="32451"/>
  <c r="AM255" i="32451"/>
  <c r="A255" i="32451"/>
  <c r="AM111" i="32451"/>
  <c r="A111" i="32451"/>
  <c r="AM164" i="32451"/>
  <c r="A164" i="32451"/>
  <c r="AM91" i="32451"/>
  <c r="A91" i="32451"/>
  <c r="AM580" i="32451"/>
  <c r="A580" i="32451"/>
  <c r="AM434" i="32451"/>
  <c r="A434" i="32451"/>
  <c r="AM290" i="32451"/>
  <c r="A290" i="32451"/>
  <c r="AM146" i="32451"/>
  <c r="A146" i="32451"/>
  <c r="AM227" i="32451"/>
  <c r="A227" i="32451"/>
  <c r="AM142" i="32451"/>
  <c r="A142" i="32451"/>
  <c r="AM634" i="32451"/>
  <c r="A634" i="32451"/>
  <c r="AM539" i="32451"/>
  <c r="A539" i="32451"/>
  <c r="AM83" i="32451"/>
  <c r="A83" i="32451"/>
  <c r="AM229" i="32451"/>
  <c r="A229" i="32451"/>
  <c r="AM191" i="32451"/>
  <c r="A191" i="32451"/>
  <c r="AM550" i="32451"/>
  <c r="A550" i="32451"/>
  <c r="AM405" i="32451"/>
  <c r="A405" i="32451"/>
  <c r="AM228" i="32451"/>
  <c r="A228" i="32451"/>
  <c r="AM371" i="32451"/>
  <c r="A371" i="32451"/>
  <c r="AM479" i="32451"/>
  <c r="A479" i="32451"/>
  <c r="AM421" i="32451"/>
  <c r="A421" i="32451"/>
  <c r="AM107" i="32451"/>
  <c r="A107" i="32451"/>
  <c r="AM513" i="32451"/>
  <c r="A513" i="32451"/>
  <c r="AM696" i="32451"/>
  <c r="A696" i="32451"/>
  <c r="AM454" i="32451"/>
  <c r="A454" i="32451"/>
  <c r="AM238" i="32451"/>
  <c r="A238" i="32451"/>
  <c r="AM586" i="32451"/>
  <c r="A586" i="32451"/>
  <c r="AM249" i="32451"/>
  <c r="A249" i="32451"/>
  <c r="AM604" i="32451"/>
  <c r="A604" i="32451"/>
  <c r="AM274" i="32451"/>
  <c r="A274" i="32451"/>
  <c r="AM636" i="32451"/>
  <c r="A636" i="32451"/>
  <c r="AM299" i="32451"/>
  <c r="A299" i="32451"/>
  <c r="AM128" i="32451"/>
  <c r="A128" i="32451"/>
  <c r="AM667" i="32451"/>
  <c r="A667" i="32451"/>
  <c r="AM510" i="32451"/>
  <c r="A510" i="32451"/>
  <c r="AM366" i="32451"/>
  <c r="A366" i="32451"/>
  <c r="AM222" i="32451"/>
  <c r="A222" i="32451"/>
  <c r="AM78" i="32451"/>
  <c r="A78" i="32451"/>
  <c r="AM608" i="32451"/>
  <c r="A608" i="32451"/>
  <c r="AM701" i="32451"/>
  <c r="A701" i="32451"/>
  <c r="AM557" i="32451"/>
  <c r="A557" i="32451"/>
  <c r="AM413" i="32451"/>
  <c r="A413" i="32451"/>
  <c r="AM269" i="32451"/>
  <c r="A269" i="32451"/>
  <c r="AM125" i="32451"/>
  <c r="A125" i="32451"/>
  <c r="AM284" i="32451"/>
  <c r="A284" i="32451"/>
  <c r="AM235" i="32451"/>
  <c r="A235" i="32451"/>
  <c r="AM615" i="32451"/>
  <c r="A615" i="32451"/>
  <c r="AM472" i="32451"/>
  <c r="A472" i="32451"/>
  <c r="AM328" i="32451"/>
  <c r="A328" i="32451"/>
  <c r="AM184" i="32451"/>
  <c r="A184" i="32451"/>
  <c r="AM440" i="32451"/>
  <c r="A440" i="32451"/>
  <c r="AM415" i="32451"/>
  <c r="A415" i="32451"/>
  <c r="AM673" i="32451"/>
  <c r="A673" i="32451"/>
  <c r="AM531" i="32451"/>
  <c r="A531" i="32451"/>
  <c r="AM387" i="32451"/>
  <c r="A387" i="32451"/>
  <c r="AM243" i="32451"/>
  <c r="A243" i="32451"/>
  <c r="AM99" i="32451"/>
  <c r="A99" i="32451"/>
  <c r="AM625" i="32451"/>
  <c r="A625" i="32451"/>
  <c r="AM79" i="32451"/>
  <c r="A79" i="32451"/>
  <c r="AM571" i="32451"/>
  <c r="A571" i="32451"/>
  <c r="AM422" i="32451"/>
  <c r="A422" i="32451"/>
  <c r="AM278" i="32451"/>
  <c r="A278" i="32451"/>
  <c r="AM134" i="32451"/>
  <c r="A134" i="32451"/>
  <c r="AM669" i="32451"/>
  <c r="A669" i="32451"/>
  <c r="AM644" i="32451"/>
  <c r="A644" i="32451"/>
  <c r="AM611" i="32451"/>
  <c r="A611" i="32451"/>
  <c r="AM504" i="32451"/>
  <c r="A504" i="32451"/>
  <c r="AM697" i="32451"/>
  <c r="A697" i="32451"/>
  <c r="AM193" i="32451"/>
  <c r="A193" i="32451"/>
  <c r="AM491" i="32451"/>
  <c r="A491" i="32451"/>
  <c r="AM406" i="32451"/>
  <c r="A406" i="32451"/>
  <c r="AM369" i="32451"/>
  <c r="A369" i="32451"/>
  <c r="AM695" i="32451"/>
  <c r="A695" i="32451"/>
  <c r="AM178" i="32451"/>
  <c r="A178" i="32451"/>
  <c r="AM433" i="32451"/>
  <c r="A433" i="32451"/>
  <c r="AM153" i="32451"/>
  <c r="A153" i="32451"/>
  <c r="AM577" i="32451"/>
  <c r="A577" i="32451"/>
  <c r="AM468" i="32451"/>
  <c r="A468" i="32451"/>
  <c r="AM584" i="32451"/>
  <c r="A584" i="32451"/>
  <c r="AM261" i="32451"/>
  <c r="A261" i="32451"/>
  <c r="AM202" i="32451"/>
  <c r="A202" i="32451"/>
  <c r="AM553" i="32451"/>
  <c r="A553" i="32451"/>
  <c r="AM216" i="32451"/>
  <c r="A216" i="32451"/>
  <c r="AM570" i="32451"/>
  <c r="A570" i="32451"/>
  <c r="AM241" i="32451"/>
  <c r="A241" i="32451"/>
  <c r="AM603" i="32451"/>
  <c r="A603" i="32451"/>
  <c r="AM273" i="32451"/>
  <c r="A273" i="32451"/>
  <c r="AM536" i="32451"/>
  <c r="A536" i="32451"/>
  <c r="AM116" i="32451"/>
  <c r="A116" i="32451"/>
  <c r="AM650" i="32451"/>
  <c r="A650" i="32451"/>
  <c r="AM498" i="32451"/>
  <c r="A498" i="32451"/>
  <c r="AM354" i="32451"/>
  <c r="A354" i="32451"/>
  <c r="AM210" i="32451"/>
  <c r="A210" i="32451"/>
  <c r="AM66" i="32451"/>
  <c r="A66" i="32451"/>
  <c r="AM566" i="32451"/>
  <c r="A566" i="32451"/>
  <c r="AM682" i="32451"/>
  <c r="A682" i="32451"/>
  <c r="AM545" i="32451"/>
  <c r="A545" i="32451"/>
  <c r="AM401" i="32451"/>
  <c r="A401" i="32451"/>
  <c r="AM257" i="32451"/>
  <c r="A257" i="32451"/>
  <c r="AM113" i="32451"/>
  <c r="A113" i="32451"/>
  <c r="AM176" i="32451"/>
  <c r="A176" i="32451"/>
  <c r="AM187" i="32451"/>
  <c r="A187" i="32451"/>
  <c r="AM597" i="32451"/>
  <c r="A597" i="32451"/>
  <c r="AM460" i="32451"/>
  <c r="A460" i="32451"/>
  <c r="AM316" i="32451"/>
  <c r="A316" i="32451"/>
  <c r="AM172" i="32451"/>
  <c r="A172" i="32451"/>
  <c r="AM380" i="32451"/>
  <c r="A380" i="32451"/>
  <c r="AM367" i="32451"/>
  <c r="A367" i="32451"/>
  <c r="AM656" i="32451"/>
  <c r="A656" i="32451"/>
  <c r="AM519" i="32451"/>
  <c r="A519" i="32451"/>
  <c r="AM375" i="32451"/>
  <c r="A375" i="32451"/>
  <c r="AM231" i="32451"/>
  <c r="A231" i="32451"/>
  <c r="AM87" i="32451"/>
  <c r="A87" i="32451"/>
  <c r="AM583" i="32451"/>
  <c r="A583" i="32451"/>
  <c r="AM698" i="32451"/>
  <c r="A698" i="32451"/>
  <c r="AM554" i="32451"/>
  <c r="A554" i="32451"/>
  <c r="AM410" i="32451"/>
  <c r="A410" i="32451"/>
  <c r="AM266" i="32451"/>
  <c r="A266" i="32451"/>
  <c r="AM122" i="32451"/>
  <c r="A122" i="32451"/>
  <c r="AM525" i="32451"/>
  <c r="A525" i="32451"/>
  <c r="AM481" i="32451"/>
  <c r="A481" i="32451"/>
  <c r="AM568" i="32451"/>
  <c r="A568" i="32451"/>
  <c r="AM466" i="32451"/>
  <c r="A466" i="32451"/>
  <c r="AM630" i="32451"/>
  <c r="A630" i="32451"/>
  <c r="AM154" i="32451"/>
  <c r="A154" i="32451"/>
  <c r="AM298" i="32451"/>
  <c r="A298" i="32451"/>
  <c r="AM288" i="32451"/>
  <c r="A288" i="32451"/>
  <c r="AM323" i="32451"/>
  <c r="A323" i="32451"/>
  <c r="AM345" i="32451"/>
  <c r="A345" i="32451"/>
  <c r="AM664" i="32451"/>
  <c r="A664" i="32451"/>
  <c r="AM397" i="32451"/>
  <c r="A397" i="32451"/>
  <c r="AM560" i="32451"/>
  <c r="A560" i="32451"/>
  <c r="AM407" i="32451"/>
  <c r="A407" i="32451"/>
  <c r="AM432" i="32451"/>
  <c r="A432" i="32451"/>
  <c r="AM457" i="32451"/>
  <c r="A457" i="32451"/>
  <c r="AM143" i="32451"/>
  <c r="A143" i="32451"/>
  <c r="AM166" i="32451"/>
  <c r="A166" i="32451"/>
  <c r="AM528" i="32451"/>
  <c r="A528" i="32451"/>
  <c r="AM190" i="32451"/>
  <c r="A190" i="32451"/>
  <c r="AM552" i="32451"/>
  <c r="A552" i="32451"/>
  <c r="AM215" i="32451"/>
  <c r="A215" i="32451"/>
  <c r="AM585" i="32451"/>
  <c r="A585" i="32451"/>
  <c r="AM240" i="32451"/>
  <c r="A240" i="32451"/>
  <c r="AM512" i="32451"/>
  <c r="A512" i="32451"/>
  <c r="AM104" i="32451"/>
  <c r="A104" i="32451"/>
  <c r="AM642" i="32451"/>
  <c r="A642" i="32451"/>
  <c r="AM486" i="32451"/>
  <c r="A486" i="32451"/>
  <c r="AM342" i="32451"/>
  <c r="A342" i="32451"/>
  <c r="AM198" i="32451"/>
  <c r="A198" i="32451"/>
  <c r="AM511" i="32451"/>
  <c r="A511" i="32451"/>
  <c r="AM675" i="32451"/>
  <c r="A675" i="32451"/>
  <c r="AM533" i="32451"/>
  <c r="A533" i="32451"/>
  <c r="AM389" i="32451"/>
  <c r="A389" i="32451"/>
  <c r="AM245" i="32451"/>
  <c r="A245" i="32451"/>
  <c r="AM101" i="32451"/>
  <c r="A101" i="32451"/>
  <c r="AM80" i="32451"/>
  <c r="A80" i="32451"/>
  <c r="AM139" i="32451"/>
  <c r="A139" i="32451"/>
  <c r="AM589" i="32451"/>
  <c r="A589" i="32451"/>
  <c r="AM448" i="32451"/>
  <c r="A448" i="32451"/>
  <c r="AM304" i="32451"/>
  <c r="A304" i="32451"/>
  <c r="AM160" i="32451"/>
  <c r="A160" i="32451"/>
  <c r="AM320" i="32451"/>
  <c r="A320" i="32451"/>
  <c r="AM331" i="32451"/>
  <c r="A331" i="32451"/>
  <c r="AM647" i="32451"/>
  <c r="A647" i="32451"/>
  <c r="AM507" i="32451"/>
  <c r="A507" i="32451"/>
  <c r="AM363" i="32451"/>
  <c r="A363" i="32451"/>
  <c r="AM219" i="32451"/>
  <c r="A219" i="32451"/>
  <c r="AM75" i="32451"/>
  <c r="A75" i="32451"/>
  <c r="AM535" i="32451"/>
  <c r="A535" i="32451"/>
  <c r="AM690" i="32451"/>
  <c r="A690" i="32451"/>
  <c r="AM542" i="32451"/>
  <c r="A542" i="32451"/>
  <c r="AM398" i="32451"/>
  <c r="A398" i="32451"/>
  <c r="AM254" i="32451"/>
  <c r="A254" i="32451"/>
  <c r="AM110" i="32451"/>
  <c r="A110" i="32451"/>
  <c r="AM373" i="32451"/>
  <c r="A373" i="32451"/>
  <c r="AM324" i="32451"/>
  <c r="A324" i="32451"/>
  <c r="AM540" i="32451"/>
  <c r="A540" i="32451"/>
  <c r="AM430" i="32451"/>
  <c r="A430" i="32451"/>
  <c r="AM561" i="32451"/>
  <c r="A561" i="32451"/>
  <c r="AM118" i="32451"/>
  <c r="A118" i="32451"/>
  <c r="AM108" i="32451"/>
  <c r="A108" i="32451"/>
  <c r="AM177" i="32451"/>
  <c r="A177" i="32451"/>
  <c r="AM287" i="32451"/>
  <c r="A287" i="32451"/>
  <c r="AM145" i="32451"/>
  <c r="A145" i="32451"/>
  <c r="AM516" i="32451"/>
  <c r="A516" i="32451"/>
  <c r="AM361" i="32451"/>
  <c r="A361" i="32451"/>
  <c r="AM309" i="32451"/>
  <c r="A309" i="32451"/>
  <c r="AM253" i="32451"/>
  <c r="A253" i="32451"/>
  <c r="AM396" i="32451"/>
  <c r="A396" i="32451"/>
  <c r="AM264" i="32451"/>
  <c r="A264" i="32451"/>
  <c r="AM693" i="32451"/>
  <c r="A693" i="32451"/>
  <c r="AM120" i="32451"/>
  <c r="A120" i="32451"/>
  <c r="AM503" i="32451"/>
  <c r="A503" i="32451"/>
  <c r="AM157" i="32451"/>
  <c r="A157" i="32451"/>
  <c r="AM527" i="32451"/>
  <c r="A527" i="32451"/>
  <c r="AM189" i="32451"/>
  <c r="A189" i="32451"/>
  <c r="AM551" i="32451"/>
  <c r="A551" i="32451"/>
  <c r="AM214" i="32451"/>
  <c r="A214" i="32451"/>
  <c r="AM464" i="32451"/>
  <c r="A464" i="32451"/>
  <c r="AM92" i="32451"/>
  <c r="A92" i="32451"/>
  <c r="AM624" i="32451"/>
  <c r="A624" i="32451"/>
  <c r="AM474" i="32451"/>
  <c r="A474" i="32451"/>
  <c r="AM330" i="32451"/>
  <c r="A330" i="32451"/>
  <c r="AM186" i="32451"/>
  <c r="A186" i="32451"/>
  <c r="AM45" i="32451"/>
  <c r="A45" i="32451"/>
  <c r="AM451" i="32451"/>
  <c r="A451" i="32451"/>
  <c r="AM657" i="32451"/>
  <c r="A657" i="32451"/>
  <c r="AM521" i="32451"/>
  <c r="A521" i="32451"/>
  <c r="AM377" i="32451"/>
  <c r="A377" i="32451"/>
  <c r="AM233" i="32451"/>
  <c r="A233" i="32451"/>
  <c r="AM89" i="32451"/>
  <c r="A89" i="32451"/>
  <c r="AM684" i="32451"/>
  <c r="A684" i="32451"/>
  <c r="AM572" i="32451"/>
  <c r="A572" i="32451"/>
  <c r="AM436" i="32451"/>
  <c r="A436" i="32451"/>
  <c r="AM292" i="32451"/>
  <c r="A292" i="32451"/>
  <c r="AM148" i="32451"/>
  <c r="A148" i="32451"/>
  <c r="AM260" i="32451"/>
  <c r="A260" i="32451"/>
  <c r="AM283" i="32451"/>
  <c r="A283" i="32451"/>
  <c r="AM640" i="32451"/>
  <c r="A640" i="32451"/>
  <c r="AM495" i="32451"/>
  <c r="A495" i="32451"/>
  <c r="AM351" i="32451"/>
  <c r="A351" i="32451"/>
  <c r="AM207" i="32451"/>
  <c r="A207" i="32451"/>
  <c r="AM475" i="32451"/>
  <c r="A475" i="32451"/>
  <c r="AM672" i="32451"/>
  <c r="A672" i="32451"/>
  <c r="AM530" i="32451"/>
  <c r="A530" i="32451"/>
  <c r="AM386" i="32451"/>
  <c r="A386" i="32451"/>
  <c r="AM242" i="32451"/>
  <c r="A242" i="32451"/>
  <c r="AM98" i="32451"/>
  <c r="A98" i="32451"/>
  <c r="AM180" i="32451"/>
  <c r="A180" i="32451"/>
  <c r="AM505" i="32451"/>
  <c r="A505" i="32451"/>
  <c r="AM394" i="32451"/>
  <c r="A394" i="32451"/>
  <c r="AM538" i="32451"/>
  <c r="A538" i="32451"/>
  <c r="AM82" i="32451"/>
  <c r="A82" i="32451"/>
  <c r="AM601" i="32451"/>
  <c r="A601" i="32451"/>
  <c r="AM686" i="32451"/>
  <c r="A686" i="32451"/>
  <c r="AM251" i="32451"/>
  <c r="A251" i="32451"/>
  <c r="AM628" i="32451"/>
  <c r="A628" i="32451"/>
  <c r="AM370" i="32451"/>
  <c r="A370" i="32451"/>
  <c r="AM322" i="32451"/>
  <c r="A322" i="32451"/>
  <c r="AM109" i="32451"/>
  <c r="A109" i="32451"/>
  <c r="AM357" i="32451"/>
  <c r="A357" i="32451"/>
  <c r="AM81" i="32451"/>
  <c r="A81" i="32451"/>
  <c r="AM489" i="32451"/>
  <c r="A489" i="32451"/>
  <c r="AM84" i="32451"/>
  <c r="A84" i="32451"/>
  <c r="AM478" i="32451"/>
  <c r="A478" i="32451"/>
  <c r="AM131" i="32451"/>
  <c r="A131" i="32451"/>
  <c r="AM502" i="32451"/>
  <c r="A502" i="32451"/>
  <c r="AM156" i="32451"/>
  <c r="A156" i="32451"/>
  <c r="AM526" i="32451"/>
  <c r="A526" i="32451"/>
  <c r="AM181" i="32451"/>
  <c r="A181" i="32451"/>
  <c r="AM428" i="32451"/>
  <c r="A428" i="32451"/>
  <c r="AM617" i="32451"/>
  <c r="A617" i="32451"/>
  <c r="AM462" i="32451"/>
  <c r="A462" i="32451"/>
  <c r="AM318" i="32451"/>
  <c r="A318" i="32451"/>
  <c r="AM174" i="32451"/>
  <c r="A174" i="32451"/>
  <c r="AM488" i="32451"/>
  <c r="A488" i="32451"/>
  <c r="AM403" i="32451"/>
  <c r="A403" i="32451"/>
  <c r="AM649" i="32451"/>
  <c r="A649" i="32451"/>
  <c r="AM509" i="32451"/>
  <c r="A509" i="32451"/>
  <c r="AM365" i="32451"/>
  <c r="A365" i="32451"/>
  <c r="AM221" i="32451"/>
  <c r="A221" i="32451"/>
  <c r="AM77" i="32451"/>
  <c r="A77" i="32451"/>
  <c r="AM633" i="32451"/>
  <c r="A633" i="32451"/>
  <c r="AM707" i="32451"/>
  <c r="A707" i="32451"/>
  <c r="AM563" i="32451"/>
  <c r="A563" i="32451"/>
  <c r="AM424" i="32451"/>
  <c r="A424" i="32451"/>
  <c r="AM280" i="32451"/>
  <c r="A280" i="32451"/>
  <c r="AM136" i="32451"/>
  <c r="A136" i="32451"/>
  <c r="AM212" i="32451"/>
  <c r="A212" i="32451"/>
  <c r="AM247" i="32451"/>
  <c r="A247" i="32451"/>
  <c r="AM631" i="32451"/>
  <c r="A631" i="32451"/>
  <c r="AM483" i="32451"/>
  <c r="A483" i="32451"/>
  <c r="AM339" i="32451"/>
  <c r="A339" i="32451"/>
  <c r="AM195" i="32451"/>
  <c r="A195" i="32451"/>
  <c r="AM427" i="32451"/>
  <c r="A427" i="32451"/>
  <c r="AM665" i="32451"/>
  <c r="A665" i="32451"/>
  <c r="AM518" i="32451"/>
  <c r="A518" i="32451"/>
  <c r="AM374" i="32451"/>
  <c r="A374" i="32451"/>
  <c r="AM230" i="32451"/>
  <c r="A230" i="32451"/>
  <c r="AM86" i="32451"/>
  <c r="A86" i="32451"/>
  <c r="AM627" i="32451"/>
  <c r="A627" i="32451"/>
  <c r="AM662" i="32451"/>
  <c r="A662" i="32451"/>
  <c r="AM467" i="32451"/>
  <c r="A467" i="32451"/>
  <c r="AM348" i="32451"/>
  <c r="A348" i="32451"/>
  <c r="AM500" i="32451"/>
  <c r="A500" i="32451"/>
  <c r="AM653" i="32451"/>
  <c r="A653" i="32451"/>
  <c r="AM372" i="32451"/>
  <c r="A372" i="32451"/>
  <c r="AM663" i="32451"/>
  <c r="A663" i="32451"/>
  <c r="AM205" i="32451"/>
  <c r="A205" i="32451"/>
  <c r="AM455" i="32451"/>
  <c r="A455" i="32451"/>
  <c r="AM213" i="32451"/>
  <c r="A213" i="32451"/>
  <c r="AM286" i="32451"/>
  <c r="A286" i="32451"/>
  <c r="AM694" i="32451"/>
  <c r="A694" i="32451"/>
  <c r="AM576" i="32451"/>
  <c r="A576" i="32451"/>
  <c r="AM321" i="32451"/>
  <c r="A321" i="32451"/>
  <c r="AM456" i="32451"/>
  <c r="A456" i="32451"/>
  <c r="AM217" i="32451"/>
  <c r="A217" i="32451"/>
  <c r="AM445" i="32451"/>
  <c r="A445" i="32451"/>
  <c r="AM105" i="32451"/>
  <c r="A105" i="32451"/>
  <c r="AM477" i="32451"/>
  <c r="A477" i="32451"/>
  <c r="AM130" i="32451"/>
  <c r="A130" i="32451"/>
  <c r="AM501" i="32451"/>
  <c r="A501" i="32451"/>
  <c r="AM155" i="32451"/>
  <c r="A155" i="32451"/>
  <c r="AM368" i="32451"/>
  <c r="A368" i="32451"/>
  <c r="AM677" i="32451"/>
  <c r="A677" i="32451"/>
  <c r="AM598" i="32451"/>
  <c r="A598" i="32451"/>
  <c r="AM450" i="32451"/>
  <c r="A450" i="32451"/>
  <c r="AM306" i="32451"/>
  <c r="A306" i="32451"/>
  <c r="AM162" i="32451"/>
  <c r="A162" i="32451"/>
  <c r="AM416" i="32451"/>
  <c r="A416" i="32451"/>
  <c r="AM343" i="32451"/>
  <c r="A343" i="32451"/>
  <c r="AM632" i="32451"/>
  <c r="A632" i="32451"/>
  <c r="AM497" i="32451"/>
  <c r="A497" i="32451"/>
  <c r="AM353" i="32451"/>
  <c r="A353" i="32451"/>
  <c r="AM209" i="32451"/>
  <c r="A209" i="32451"/>
  <c r="AM599" i="32451"/>
  <c r="A599" i="32451"/>
  <c r="AM700" i="32451"/>
  <c r="A700" i="32451"/>
  <c r="AM556" i="32451"/>
  <c r="A556" i="32451"/>
  <c r="AM412" i="32451"/>
  <c r="A412" i="32451"/>
  <c r="AM268" i="32451"/>
  <c r="A268" i="32451"/>
  <c r="AM124" i="32451"/>
  <c r="A124" i="32451"/>
  <c r="AM68" i="32451"/>
  <c r="A68" i="32451"/>
  <c r="AM211" i="32451"/>
  <c r="A211" i="32451"/>
  <c r="AM614" i="32451"/>
  <c r="A614" i="32451"/>
  <c r="AM471" i="32451"/>
  <c r="A471" i="32451"/>
  <c r="AM327" i="32451"/>
  <c r="A327" i="32451"/>
  <c r="AM183" i="32451"/>
  <c r="A183" i="32451"/>
  <c r="AM379" i="32451"/>
  <c r="A379" i="32451"/>
  <c r="AM646" i="32451"/>
  <c r="A646" i="32451"/>
  <c r="AM506" i="32451"/>
  <c r="A506" i="32451"/>
  <c r="AM362" i="32451"/>
  <c r="A362" i="32451"/>
  <c r="AM218" i="32451"/>
  <c r="A218" i="32451"/>
  <c r="AM74" i="32451"/>
  <c r="A74" i="32451"/>
  <c r="AM537" i="32451"/>
  <c r="A537" i="32451"/>
  <c r="AM524" i="32451"/>
  <c r="A524" i="32451"/>
  <c r="AM680" i="32451"/>
  <c r="A680" i="32451"/>
  <c r="AM395" i="32451"/>
  <c r="A395" i="32451"/>
  <c r="AM312" i="32451"/>
  <c r="A312" i="32451"/>
  <c r="AM465" i="32451"/>
  <c r="A465" i="32451"/>
  <c r="AM225" i="32451"/>
  <c r="A225" i="32451"/>
  <c r="AM595" i="32451"/>
  <c r="A595" i="32451"/>
  <c r="AM169" i="32451"/>
  <c r="A169" i="32451"/>
  <c r="AM262" i="32451"/>
  <c r="A262" i="32451"/>
  <c r="AM685" i="32451"/>
  <c r="A685" i="32451"/>
  <c r="AM250" i="32451"/>
  <c r="A250" i="32451"/>
  <c r="AM602" i="32451"/>
  <c r="A602" i="32451"/>
  <c r="AM442" i="32451"/>
  <c r="A442" i="32451"/>
  <c r="AM285" i="32451"/>
  <c r="A285" i="32451"/>
  <c r="AM263" i="32451"/>
  <c r="A263" i="32451"/>
  <c r="AM687" i="32451"/>
  <c r="A687" i="32451"/>
  <c r="AM49" i="32451"/>
  <c r="A49" i="32451"/>
  <c r="AM419" i="32451"/>
  <c r="A419" i="32451"/>
  <c r="AM72" i="32451"/>
  <c r="A72" i="32451"/>
  <c r="AM444" i="32451"/>
  <c r="A444" i="32451"/>
  <c r="AM97" i="32451"/>
  <c r="A97" i="32451"/>
  <c r="AM469" i="32451"/>
  <c r="A469" i="32451"/>
  <c r="AM129" i="32451"/>
  <c r="A129" i="32451"/>
  <c r="AM308" i="32451"/>
  <c r="A308" i="32451"/>
  <c r="AM487" i="32451"/>
  <c r="A487" i="32451"/>
  <c r="AM591" i="32451"/>
  <c r="A591" i="32451"/>
  <c r="AM438" i="32451"/>
  <c r="A438" i="32451"/>
  <c r="AM294" i="32451"/>
  <c r="A294" i="32451"/>
  <c r="AM150" i="32451"/>
  <c r="A150" i="32451"/>
  <c r="AM356" i="32451"/>
  <c r="A356" i="32451"/>
  <c r="AM307" i="32451"/>
  <c r="A307" i="32451"/>
  <c r="AM623" i="32451"/>
  <c r="A623" i="32451"/>
  <c r="AM485" i="32451"/>
  <c r="A485" i="32451"/>
  <c r="AM341" i="32451"/>
  <c r="A341" i="32451"/>
  <c r="AM197" i="32451"/>
  <c r="A197" i="32451"/>
  <c r="AM547" i="32451"/>
  <c r="A547" i="32451"/>
  <c r="AM691" i="32451"/>
  <c r="A691" i="32451"/>
  <c r="AM544" i="32451"/>
  <c r="A544" i="32451"/>
  <c r="AM400" i="32451"/>
  <c r="A400" i="32451"/>
  <c r="AM256" i="32451"/>
  <c r="A256" i="32451"/>
  <c r="AM112" i="32451"/>
  <c r="A112" i="32451"/>
  <c r="AM702" i="32451"/>
  <c r="A702" i="32451"/>
  <c r="AM163" i="32451"/>
  <c r="A163" i="32451"/>
  <c r="AM606" i="32451"/>
  <c r="A606" i="32451"/>
  <c r="AM459" i="32451"/>
  <c r="A459" i="32451"/>
  <c r="AM315" i="32451"/>
  <c r="A315" i="32451"/>
  <c r="AM171" i="32451"/>
  <c r="A171" i="32451"/>
  <c r="AM319" i="32451"/>
  <c r="A319" i="32451"/>
  <c r="AM639" i="32451"/>
  <c r="A639" i="32451"/>
  <c r="AM494" i="32451"/>
  <c r="A494" i="32451"/>
  <c r="AM350" i="32451"/>
  <c r="A350" i="32451"/>
  <c r="AM206" i="32451"/>
  <c r="A206" i="32451"/>
  <c r="AM346" i="32451"/>
  <c r="A346" i="32451"/>
  <c r="AM336" i="32451"/>
  <c r="A336" i="32451"/>
  <c r="AM635" i="32451"/>
  <c r="A635" i="32451"/>
  <c r="AM679" i="32451"/>
  <c r="A679" i="32451"/>
  <c r="AM276" i="32451"/>
  <c r="A276" i="32451"/>
  <c r="AM429" i="32451"/>
  <c r="A429" i="32451"/>
  <c r="AM310" i="32451"/>
  <c r="A310" i="32451"/>
  <c r="AM668" i="32451"/>
  <c r="A668" i="32451"/>
  <c r="AM575" i="32451"/>
  <c r="A575" i="32451"/>
  <c r="AM133" i="32451"/>
  <c r="A133" i="32451"/>
  <c r="AM144" i="32451"/>
  <c r="A144" i="32451"/>
  <c r="AM643" i="32451"/>
  <c r="A643" i="32451"/>
  <c r="AM204" i="32451"/>
  <c r="A204" i="32451"/>
  <c r="AM409" i="32451"/>
  <c r="A409" i="32451"/>
  <c r="AM252" i="32451"/>
  <c r="A252" i="32451"/>
  <c r="AM239" i="32451"/>
  <c r="A239" i="32451"/>
  <c r="AM73" i="32451"/>
  <c r="A73" i="32451"/>
  <c r="AM95" i="32451"/>
  <c r="A95" i="32451"/>
  <c r="AM705" i="32451"/>
  <c r="A705" i="32451"/>
  <c r="AM393" i="32451"/>
  <c r="A393" i="32451"/>
  <c r="AM418" i="32451"/>
  <c r="A418" i="32451"/>
  <c r="AM71" i="32451"/>
  <c r="A71" i="32451"/>
  <c r="AM443" i="32451"/>
  <c r="A443" i="32451"/>
  <c r="AM96" i="32451"/>
  <c r="A96" i="32451"/>
  <c r="AM272" i="32451"/>
  <c r="A272" i="32451"/>
  <c r="AM573" i="32451"/>
  <c r="A573" i="32451"/>
  <c r="AM426" i="32451"/>
  <c r="A426" i="32451"/>
  <c r="AM282" i="32451"/>
  <c r="A282" i="32451"/>
  <c r="AM138" i="32451"/>
  <c r="A138" i="32451"/>
  <c r="AM296" i="32451"/>
  <c r="A296" i="32451"/>
  <c r="AM259" i="32451"/>
  <c r="A259" i="32451"/>
  <c r="AM616" i="32451"/>
  <c r="A616" i="32451"/>
  <c r="AM473" i="32451"/>
  <c r="A473" i="32451"/>
  <c r="AM329" i="32451"/>
  <c r="A329" i="32451"/>
  <c r="AM185" i="32451"/>
  <c r="A185" i="32451"/>
  <c r="AM499" i="32451"/>
  <c r="A499" i="32451"/>
  <c r="AM674" i="32451"/>
  <c r="A674" i="32451"/>
  <c r="AM532" i="32451"/>
  <c r="A532" i="32451"/>
  <c r="AM388" i="32451"/>
  <c r="A388" i="32451"/>
  <c r="AM244" i="32451"/>
  <c r="A244" i="32451"/>
  <c r="AM100" i="32451"/>
  <c r="A100" i="32451"/>
  <c r="AM658" i="32451"/>
  <c r="A658" i="32451"/>
  <c r="AM115" i="32451"/>
  <c r="A115" i="32451"/>
  <c r="AM588" i="32451"/>
  <c r="A588" i="32451"/>
  <c r="AM447" i="32451"/>
  <c r="A447" i="32451"/>
  <c r="AM303" i="32451"/>
  <c r="A303" i="32451"/>
  <c r="AM159" i="32451"/>
  <c r="A159" i="32451"/>
  <c r="AM452" i="32451"/>
  <c r="A452" i="32451"/>
  <c r="AM271" i="32451"/>
  <c r="A271" i="32451"/>
  <c r="AM621" i="32451"/>
  <c r="A621" i="32451"/>
  <c r="AM482" i="32451"/>
  <c r="A482" i="32451"/>
  <c r="AM338" i="32451"/>
  <c r="A338" i="32451"/>
  <c r="AM194" i="32451"/>
  <c r="A194" i="32451"/>
  <c r="AM51" i="32451"/>
  <c r="A51" i="32451"/>
  <c r="AM117" i="32451"/>
  <c r="A117" i="32451"/>
  <c r="AM179" i="32451"/>
  <c r="A179" i="32451"/>
  <c r="AM594" i="32451"/>
  <c r="A594" i="32451"/>
  <c r="AM659" i="32451"/>
  <c r="A659" i="32451"/>
  <c r="AM237" i="32451"/>
  <c r="A237" i="32451"/>
  <c r="AM383" i="32451"/>
  <c r="A383" i="32451"/>
  <c r="AM192" i="32451"/>
  <c r="A192" i="32451"/>
  <c r="AM517" i="32451"/>
  <c r="A517" i="32451"/>
  <c r="AM549" i="32451"/>
  <c r="A549" i="32451"/>
  <c r="AM94" i="32451"/>
  <c r="A94" i="32451"/>
  <c r="AM578" i="32451"/>
  <c r="A578" i="32451"/>
  <c r="AM618" i="32451"/>
  <c r="A618" i="32451"/>
  <c r="AM168" i="32451"/>
  <c r="A168" i="32451"/>
  <c r="AM226" i="32451"/>
  <c r="A226" i="32451"/>
  <c r="AM141" i="32451"/>
  <c r="A141" i="32451"/>
  <c r="AM203" i="32451"/>
  <c r="A203" i="32451"/>
  <c r="AM579" i="32451"/>
  <c r="A579" i="32451"/>
  <c r="AM431" i="32451"/>
  <c r="A431" i="32451"/>
  <c r="AM360" i="32451"/>
  <c r="A360" i="32451"/>
  <c r="AM689" i="32451"/>
  <c r="A689" i="32451"/>
  <c r="AM47" i="32451"/>
  <c r="A47" i="32451"/>
  <c r="AM417" i="32451"/>
  <c r="A417" i="32451"/>
  <c r="AM70" i="32451"/>
  <c r="A70" i="32451"/>
  <c r="AM224" i="32451"/>
  <c r="A224" i="32451"/>
  <c r="AM565" i="32451"/>
  <c r="A565" i="32451"/>
  <c r="AM414" i="32451"/>
  <c r="A414" i="32451"/>
  <c r="AM270" i="32451"/>
  <c r="A270" i="32451"/>
  <c r="AM126" i="32451"/>
  <c r="A126" i="32451"/>
  <c r="AM248" i="32451"/>
  <c r="A248" i="32451"/>
  <c r="AM199" i="32451"/>
  <c r="A199" i="32451"/>
  <c r="AM607" i="32451"/>
  <c r="A607" i="32451"/>
  <c r="AM461" i="32451"/>
  <c r="A461" i="32451"/>
  <c r="AM317" i="32451"/>
  <c r="A317" i="32451"/>
  <c r="AM173" i="32451"/>
  <c r="A173" i="32451"/>
  <c r="AM439" i="32451"/>
  <c r="A439" i="32451"/>
  <c r="AM666" i="32451"/>
  <c r="A666" i="32451"/>
  <c r="AM520" i="32451"/>
  <c r="A520" i="32451"/>
  <c r="AM376" i="32451"/>
  <c r="A376" i="32451"/>
  <c r="AM232" i="32451"/>
  <c r="A232" i="32451"/>
  <c r="AM88" i="32451"/>
  <c r="A88" i="32451"/>
  <c r="AM592" i="32451"/>
  <c r="A592" i="32451"/>
  <c r="AM67" i="32451"/>
  <c r="A67" i="32451"/>
  <c r="AM581" i="32451"/>
  <c r="A581" i="32451"/>
  <c r="AM435" i="32451"/>
  <c r="A435" i="32451"/>
  <c r="AM291" i="32451"/>
  <c r="A291" i="32451"/>
  <c r="AM147" i="32451"/>
  <c r="A147" i="32451"/>
  <c r="AM392" i="32451"/>
  <c r="A392" i="32451"/>
  <c r="AM223" i="32451"/>
  <c r="A223" i="32451"/>
  <c r="AM613" i="32451"/>
  <c r="A613" i="32451"/>
  <c r="AM470" i="32451"/>
  <c r="A470" i="32451"/>
  <c r="AM326" i="32451"/>
  <c r="A326" i="32451"/>
  <c r="AM182" i="32451"/>
  <c r="A182" i="32451"/>
  <c r="AM629" i="32451"/>
  <c r="A629" i="32451"/>
  <c r="AM600" i="32451"/>
  <c r="A600" i="32451"/>
  <c r="AM541" i="32451"/>
  <c r="A541" i="32451"/>
  <c r="AM610" i="32451"/>
  <c r="A610" i="32451"/>
  <c r="AM201" i="32451"/>
  <c r="A201" i="32451"/>
  <c r="AM347" i="32451"/>
  <c r="A347" i="32451"/>
  <c r="AM652" i="32451"/>
  <c r="A652" i="32451"/>
  <c r="AM335" i="32451"/>
  <c r="A335" i="32451"/>
  <c r="AM515" i="32451"/>
  <c r="A515" i="32451"/>
  <c r="AM408" i="32451"/>
  <c r="A408" i="32451"/>
  <c r="AM574" i="32451"/>
  <c r="A574" i="32451"/>
  <c r="AM132" i="32451"/>
  <c r="A132" i="32451"/>
  <c r="AM645" i="32451"/>
  <c r="A645" i="32451"/>
  <c r="AM661" i="32451"/>
  <c r="A661" i="32451"/>
  <c r="AM167" i="32451"/>
  <c r="A167" i="32451"/>
  <c r="AM337" i="32451"/>
  <c r="A337" i="32451"/>
  <c r="AM349" i="32451"/>
  <c r="A349" i="32451"/>
  <c r="AM655" i="32451"/>
  <c r="A655" i="32451"/>
  <c r="AM334" i="32451"/>
  <c r="A334" i="32451"/>
  <c r="AM670" i="32451"/>
  <c r="A670" i="32451"/>
  <c r="AM359" i="32451"/>
  <c r="A359" i="32451"/>
  <c r="AM704" i="32451"/>
  <c r="A704" i="32451"/>
  <c r="AM384" i="32451"/>
  <c r="A384" i="32451"/>
  <c r="AM200" i="32451"/>
  <c r="A200" i="32451"/>
  <c r="AM692" i="32451"/>
  <c r="A692" i="32451"/>
  <c r="AM546" i="32451"/>
  <c r="A546" i="32451"/>
  <c r="AM402" i="32451"/>
  <c r="A402" i="32451"/>
  <c r="AM258" i="32451"/>
  <c r="A258" i="32451"/>
  <c r="AM114" i="32451"/>
  <c r="A114" i="32451"/>
  <c r="AM188" i="32451"/>
  <c r="A188" i="32451"/>
  <c r="AM151" i="32451"/>
  <c r="A151" i="32451"/>
  <c r="AM590" i="32451"/>
  <c r="A590" i="32451"/>
  <c r="AM449" i="32451"/>
  <c r="A449" i="32451"/>
  <c r="AM305" i="32451"/>
  <c r="A305" i="32451"/>
  <c r="AM161" i="32451"/>
  <c r="A161" i="32451"/>
  <c r="AM476" i="32451"/>
  <c r="A476" i="32451"/>
  <c r="AM391" i="32451"/>
  <c r="A391" i="32451"/>
  <c r="AM648" i="32451"/>
  <c r="A648" i="32451"/>
  <c r="AM508" i="32451"/>
  <c r="A508" i="32451"/>
  <c r="AM364" i="32451"/>
  <c r="A364" i="32451"/>
  <c r="AM220" i="32451"/>
  <c r="A220" i="32451"/>
  <c r="AM76" i="32451"/>
  <c r="A76" i="32451"/>
  <c r="AM558" i="32451"/>
  <c r="A558" i="32451"/>
  <c r="AM706" i="32451"/>
  <c r="A706" i="32451"/>
  <c r="AM562" i="32451"/>
  <c r="A562" i="32451"/>
  <c r="AM423" i="32451"/>
  <c r="A423" i="32451"/>
  <c r="AM279" i="32451"/>
  <c r="A279" i="32451"/>
  <c r="AM135" i="32451"/>
  <c r="A135" i="32451"/>
  <c r="AM332" i="32451"/>
  <c r="A332" i="32451"/>
  <c r="AM175" i="32451"/>
  <c r="A175" i="32451"/>
  <c r="AM596" i="32451"/>
  <c r="A596" i="32451"/>
  <c r="AM458" i="32451"/>
  <c r="A458" i="32451"/>
  <c r="AM314" i="32451"/>
  <c r="A314" i="32451"/>
  <c r="AM170" i="32451"/>
  <c r="A170" i="32451"/>
  <c r="AG65" i="32451"/>
  <c r="AH65" i="32451"/>
  <c r="AG458" i="32451"/>
  <c r="AH458" i="32451"/>
  <c r="AG656" i="32451"/>
  <c r="AH656" i="32451"/>
  <c r="AG363" i="32451"/>
  <c r="AH363" i="32451"/>
  <c r="AG313" i="32451"/>
  <c r="AH313" i="32451"/>
  <c r="AG305" i="32451"/>
  <c r="AH305" i="32451"/>
  <c r="AG151" i="32451"/>
  <c r="AH151" i="32451"/>
  <c r="AG388" i="32451"/>
  <c r="AH388" i="32451"/>
  <c r="AG137" i="32451"/>
  <c r="AH137" i="32451"/>
  <c r="AG652" i="32451"/>
  <c r="AH652" i="32451"/>
  <c r="AG318" i="32451"/>
  <c r="AH318" i="32451"/>
  <c r="AG492" i="32451"/>
  <c r="AH492" i="32451"/>
  <c r="AG538" i="32451"/>
  <c r="AH538" i="32451"/>
  <c r="AG126" i="32451"/>
  <c r="AH126" i="32451"/>
  <c r="AG352" i="32451"/>
  <c r="AH352" i="32451"/>
  <c r="AG246" i="32451"/>
  <c r="AH246" i="32451"/>
  <c r="AG84" i="32451"/>
  <c r="AH84" i="32451"/>
  <c r="AG614" i="32451"/>
  <c r="AH614" i="32451"/>
  <c r="AG359" i="32451"/>
  <c r="AH359" i="32451"/>
  <c r="AG668" i="32451"/>
  <c r="AH668" i="32451"/>
  <c r="AG128" i="32451"/>
  <c r="AH128" i="32451"/>
  <c r="AG171" i="32451"/>
  <c r="AH171" i="32451"/>
  <c r="AG383" i="32451"/>
  <c r="AH383" i="32451"/>
  <c r="AG74" i="32451"/>
  <c r="AH74" i="32451"/>
  <c r="AG135" i="32451"/>
  <c r="AH135" i="32451"/>
  <c r="AG322" i="32451"/>
  <c r="AH322" i="32451"/>
  <c r="AG521" i="32451"/>
  <c r="AH521" i="32451"/>
  <c r="AG79" i="32451"/>
  <c r="AH79" i="32451"/>
  <c r="AG161" i="32451"/>
  <c r="AH161" i="32451"/>
  <c r="AG557" i="32451"/>
  <c r="AH557" i="32451"/>
  <c r="AG251" i="32451"/>
  <c r="AH251" i="32451"/>
  <c r="AG100" i="32451"/>
  <c r="AH100" i="32451"/>
  <c r="AG288" i="32451"/>
  <c r="AH288" i="32451"/>
  <c r="AG418" i="32451"/>
  <c r="AH418" i="32451"/>
  <c r="AG620" i="32451"/>
  <c r="AH620" i="32451"/>
  <c r="AG208" i="32451"/>
  <c r="AH208" i="32451"/>
  <c r="AG344" i="32451"/>
  <c r="AH344" i="32451"/>
  <c r="AG474" i="32451"/>
  <c r="AH474" i="32451"/>
  <c r="AG608" i="32451"/>
  <c r="AH608" i="32451"/>
  <c r="AG205" i="32451"/>
  <c r="AH205" i="32451"/>
  <c r="AG365" i="32451"/>
  <c r="AH365" i="32451"/>
  <c r="AG488" i="32451"/>
  <c r="AH488" i="32451"/>
  <c r="AG594" i="32451"/>
  <c r="AH594" i="32451"/>
  <c r="AG436" i="32451"/>
  <c r="AH436" i="32451"/>
  <c r="AG539" i="32451"/>
  <c r="AH539" i="32451"/>
  <c r="AG350" i="32451"/>
  <c r="AH350" i="32451"/>
  <c r="AG655" i="32451"/>
  <c r="AH655" i="32451"/>
  <c r="AG447" i="32451"/>
  <c r="AH447" i="32451"/>
  <c r="AG516" i="32451"/>
  <c r="AH516" i="32451"/>
  <c r="AG580" i="32451"/>
  <c r="AH580" i="32451"/>
  <c r="AG654" i="32451"/>
  <c r="AH654" i="32451"/>
  <c r="AG426" i="32451"/>
  <c r="AH426" i="32451"/>
  <c r="AG360" i="32451"/>
  <c r="AH360" i="32451"/>
  <c r="AG502" i="32451"/>
  <c r="AH502" i="32451"/>
  <c r="AG402" i="32451"/>
  <c r="AH402" i="32451"/>
  <c r="AG477" i="32451"/>
  <c r="AH477" i="32451"/>
  <c r="AG378" i="32451"/>
  <c r="AH378" i="32451"/>
  <c r="AG519" i="32451"/>
  <c r="AH519" i="32451"/>
  <c r="AG678" i="32451"/>
  <c r="AH678" i="32451"/>
  <c r="AG154" i="32451"/>
  <c r="AH154" i="32451"/>
  <c r="AG550" i="32451"/>
  <c r="AH550" i="32451"/>
  <c r="AG219" i="32451"/>
  <c r="AH219" i="32451"/>
  <c r="AG259" i="32451"/>
  <c r="AH259" i="32451"/>
  <c r="AG627" i="32451"/>
  <c r="AH627" i="32451"/>
  <c r="AG508" i="32451"/>
  <c r="AH508" i="32451"/>
  <c r="AG253" i="32451"/>
  <c r="AH253" i="32451"/>
  <c r="AG275" i="32451"/>
  <c r="AH275" i="32451"/>
  <c r="AG636" i="32451"/>
  <c r="AH636" i="32451"/>
  <c r="AG147" i="32451"/>
  <c r="AH147" i="32451"/>
  <c r="AG156" i="32451"/>
  <c r="AH156" i="32451"/>
  <c r="AG376" i="32451"/>
  <c r="AH376" i="32451"/>
  <c r="AG183" i="32451"/>
  <c r="AH183" i="32451"/>
  <c r="AG399" i="32451"/>
  <c r="AH399" i="32451"/>
  <c r="AG329" i="32451"/>
  <c r="AH329" i="32451"/>
  <c r="AG111" i="32451"/>
  <c r="AH111" i="32451"/>
  <c r="AG534" i="32451"/>
  <c r="AH534" i="32451"/>
  <c r="AG165" i="32451"/>
  <c r="AH165" i="32451"/>
  <c r="AG404" i="32451"/>
  <c r="AH404" i="32451"/>
  <c r="AG272" i="32451"/>
  <c r="AH272" i="32451"/>
  <c r="AG464" i="32451"/>
  <c r="AH464" i="32451"/>
  <c r="AG431" i="32451"/>
  <c r="AH431" i="32451"/>
  <c r="AG221" i="32451"/>
  <c r="AH221" i="32451"/>
  <c r="AG280" i="32451"/>
  <c r="AH280" i="32451"/>
  <c r="AG356" i="32451"/>
  <c r="AH356" i="32451"/>
  <c r="AG481" i="32451"/>
  <c r="AH481" i="32451"/>
  <c r="AG372" i="32451"/>
  <c r="AH372" i="32451"/>
  <c r="AG496" i="32451"/>
  <c r="AH496" i="32451"/>
  <c r="AG196" i="32451"/>
  <c r="AH196" i="32451"/>
  <c r="AG442" i="32451"/>
  <c r="AH442" i="32451"/>
  <c r="AG663" i="32451"/>
  <c r="AH663" i="32451"/>
  <c r="AG358" i="32451"/>
  <c r="AH358" i="32451"/>
  <c r="AG664" i="32451"/>
  <c r="AH664" i="32451"/>
  <c r="AG231" i="32451"/>
  <c r="AH231" i="32451"/>
  <c r="AG374" i="32451"/>
  <c r="AH374" i="32451"/>
  <c r="AG470" i="32451"/>
  <c r="AH470" i="32451"/>
  <c r="AG581" i="32451"/>
  <c r="AH581" i="32451"/>
  <c r="AG585" i="32451"/>
  <c r="AH585" i="32451"/>
  <c r="AG530" i="32451"/>
  <c r="AH530" i="32451"/>
  <c r="AG638" i="32451"/>
  <c r="AH638" i="32451"/>
  <c r="AG411" i="32451"/>
  <c r="AH411" i="32451"/>
  <c r="AG560" i="32451"/>
  <c r="AH560" i="32451"/>
  <c r="AG382" i="32451"/>
  <c r="AH382" i="32451"/>
  <c r="AG455" i="32451"/>
  <c r="AH455" i="32451"/>
  <c r="AG622" i="32451"/>
  <c r="AH622" i="32451"/>
  <c r="AG682" i="32451"/>
  <c r="AH682" i="32451"/>
  <c r="AG590" i="32451"/>
  <c r="AH590" i="32451"/>
  <c r="AG551" i="32451"/>
  <c r="AH551" i="32451"/>
  <c r="AG85" i="32451"/>
  <c r="AH85" i="32451"/>
  <c r="AG263" i="32451"/>
  <c r="AH263" i="32451"/>
  <c r="AG599" i="32451"/>
  <c r="AH599" i="32451"/>
  <c r="AG149" i="32451"/>
  <c r="AH149" i="32451"/>
  <c r="AG249" i="32451"/>
  <c r="AH249" i="32451"/>
  <c r="AG155" i="32451"/>
  <c r="AH155" i="32451"/>
  <c r="AG665" i="32451"/>
  <c r="AH665" i="32451"/>
  <c r="AG163" i="32451"/>
  <c r="AH163" i="32451"/>
  <c r="AG397" i="32451"/>
  <c r="AH397" i="32451"/>
  <c r="AG45" i="32451"/>
  <c r="AH45" i="32451"/>
  <c r="AG142" i="32451"/>
  <c r="AH142" i="32451"/>
  <c r="AG66" i="32451"/>
  <c r="AH66" i="32451"/>
  <c r="AG586" i="32451"/>
  <c r="AH586" i="32451"/>
  <c r="AG82" i="32451"/>
  <c r="AH82" i="32451"/>
  <c r="AG228" i="32451"/>
  <c r="AH228" i="32451"/>
  <c r="AG115" i="32451"/>
  <c r="AH115" i="32451"/>
  <c r="AG169" i="32451"/>
  <c r="AH169" i="32451"/>
  <c r="AG417" i="32451"/>
  <c r="AH417" i="32451"/>
  <c r="AG582" i="32451"/>
  <c r="AH582" i="32451"/>
  <c r="AG153" i="32451"/>
  <c r="AH153" i="32451"/>
  <c r="AG295" i="32451"/>
  <c r="AH295" i="32451"/>
  <c r="AG112" i="32451"/>
  <c r="AH112" i="32451"/>
  <c r="AG182" i="32451"/>
  <c r="AH182" i="32451"/>
  <c r="AG440" i="32451"/>
  <c r="AH440" i="32451"/>
  <c r="AG675" i="32451"/>
  <c r="AH675" i="32451"/>
  <c r="AG226" i="32451"/>
  <c r="AH226" i="32451"/>
  <c r="AG293" i="32451"/>
  <c r="AH293" i="32451"/>
  <c r="AG364" i="32451"/>
  <c r="AH364" i="32451"/>
  <c r="AG623" i="32451"/>
  <c r="AH623" i="32451"/>
  <c r="AG379" i="32451"/>
  <c r="AH379" i="32451"/>
  <c r="AG510" i="32451"/>
  <c r="AH510" i="32451"/>
  <c r="AG637" i="32451"/>
  <c r="AH637" i="32451"/>
  <c r="AG209" i="32451"/>
  <c r="AH209" i="32451"/>
  <c r="AG268" i="32451"/>
  <c r="AH268" i="32451"/>
  <c r="AG670" i="32451"/>
  <c r="AH670" i="32451"/>
  <c r="AG380" i="32451"/>
  <c r="AH380" i="32451"/>
  <c r="AG513" i="32451"/>
  <c r="AH513" i="32451"/>
  <c r="AG671" i="32451"/>
  <c r="AH671" i="32451"/>
  <c r="AG303" i="32451"/>
  <c r="AH303" i="32451"/>
  <c r="AG589" i="32451"/>
  <c r="AH589" i="32451"/>
  <c r="AG390" i="32451"/>
  <c r="AH390" i="32451"/>
  <c r="AG463" i="32451"/>
  <c r="AH463" i="32451"/>
  <c r="AG661" i="32451"/>
  <c r="AH661" i="32451"/>
  <c r="AG373" i="32451"/>
  <c r="AH373" i="32451"/>
  <c r="AG515" i="32451"/>
  <c r="AH515" i="32451"/>
  <c r="AG702" i="32451"/>
  <c r="AH702" i="32451"/>
  <c r="AG490" i="32451"/>
  <c r="AH490" i="32451"/>
  <c r="AG634" i="32451"/>
  <c r="AH634" i="32451"/>
  <c r="AG386" i="32451"/>
  <c r="AH386" i="32451"/>
  <c r="AG630" i="32451"/>
  <c r="AH630" i="32451"/>
  <c r="AG310" i="32451"/>
  <c r="AH310" i="32451"/>
  <c r="AG348" i="32451"/>
  <c r="AH348" i="32451"/>
  <c r="AG262" i="32451"/>
  <c r="AH262" i="32451"/>
  <c r="AG162" i="32451"/>
  <c r="AH162" i="32451"/>
  <c r="AG437" i="32451"/>
  <c r="AH437" i="32451"/>
  <c r="AG158" i="32451"/>
  <c r="AH158" i="32451"/>
  <c r="AG73" i="32451"/>
  <c r="AH73" i="32451"/>
  <c r="AG204" i="32451"/>
  <c r="AH204" i="32451"/>
  <c r="AG460" i="32451"/>
  <c r="AH460" i="32451"/>
  <c r="AG282" i="32451"/>
  <c r="AH282" i="32451"/>
  <c r="AG605" i="32451"/>
  <c r="AH605" i="32451"/>
  <c r="AG213" i="32451"/>
  <c r="AH213" i="32451"/>
  <c r="AG343" i="32451"/>
  <c r="AH343" i="32451"/>
  <c r="AG569" i="32451"/>
  <c r="AH569" i="32451"/>
  <c r="AG279" i="32451"/>
  <c r="AH279" i="32451"/>
  <c r="AG593" i="32451"/>
  <c r="AH593" i="32451"/>
  <c r="AG316" i="32451"/>
  <c r="AH316" i="32451"/>
  <c r="AG47" i="32451"/>
  <c r="AH47" i="32451"/>
  <c r="AG187" i="32451"/>
  <c r="AH187" i="32451"/>
  <c r="AG453" i="32451"/>
  <c r="AH453" i="32451"/>
  <c r="AG239" i="32451"/>
  <c r="AH239" i="32451"/>
  <c r="AG298" i="32451"/>
  <c r="AH298" i="32451"/>
  <c r="AG517" i="32451"/>
  <c r="AH517" i="32451"/>
  <c r="AG214" i="32451"/>
  <c r="AH214" i="32451"/>
  <c r="AG281" i="32451"/>
  <c r="AH281" i="32451"/>
  <c r="AG340" i="32451"/>
  <c r="AH340" i="32451"/>
  <c r="AG574" i="32451"/>
  <c r="AH574" i="32451"/>
  <c r="AG387" i="32451"/>
  <c r="AH387" i="32451"/>
  <c r="AG518" i="32451"/>
  <c r="AH518" i="32451"/>
  <c r="AG680" i="32451"/>
  <c r="AH680" i="32451"/>
  <c r="AG240" i="32451"/>
  <c r="AH240" i="32451"/>
  <c r="AG484" i="32451"/>
  <c r="AH484" i="32451"/>
  <c r="AG596" i="32451"/>
  <c r="AH596" i="32451"/>
  <c r="AG690" i="32451"/>
  <c r="AH690" i="32451"/>
  <c r="AG394" i="32451"/>
  <c r="AH394" i="32451"/>
  <c r="AG528" i="32451"/>
  <c r="AH528" i="32451"/>
  <c r="AG449" i="32451"/>
  <c r="AH449" i="32451"/>
  <c r="AG542" i="32451"/>
  <c r="AH542" i="32451"/>
  <c r="AG603" i="32451"/>
  <c r="AH603" i="32451"/>
  <c r="AG666" i="32451"/>
  <c r="AH666" i="32451"/>
  <c r="AG377" i="32451"/>
  <c r="AH377" i="32451"/>
  <c r="AG446" i="32451"/>
  <c r="AH446" i="32451"/>
  <c r="AG707" i="32451"/>
  <c r="AH707" i="32451"/>
  <c r="AG427" i="32451"/>
  <c r="AH427" i="32451"/>
  <c r="AG494" i="32451"/>
  <c r="AH494" i="32451"/>
  <c r="AG572" i="32451"/>
  <c r="AH572" i="32451"/>
  <c r="AG643" i="32451"/>
  <c r="AH643" i="32451"/>
  <c r="AG466" i="32451"/>
  <c r="AH466" i="32451"/>
  <c r="AG531" i="32451"/>
  <c r="AH531" i="32451"/>
  <c r="AG68" i="32451"/>
  <c r="AH68" i="32451"/>
  <c r="AG122" i="32451"/>
  <c r="AH122" i="32451"/>
  <c r="AG233" i="32451"/>
  <c r="AH233" i="32451"/>
  <c r="AG113" i="32451"/>
  <c r="AH113" i="32451"/>
  <c r="AG300" i="32451"/>
  <c r="AH300" i="32451"/>
  <c r="AG170" i="32451"/>
  <c r="AH170" i="32451"/>
  <c r="AG479" i="32451"/>
  <c r="AH479" i="32451"/>
  <c r="AG168" i="32451"/>
  <c r="AH168" i="32451"/>
  <c r="AG349" i="32451"/>
  <c r="AH349" i="32451"/>
  <c r="AG459" i="32451"/>
  <c r="AH459" i="32451"/>
  <c r="AG217" i="32451"/>
  <c r="AH217" i="32451"/>
  <c r="AG480" i="32451"/>
  <c r="AH480" i="32451"/>
  <c r="AG94" i="32451"/>
  <c r="AH94" i="32451"/>
  <c r="AG403" i="32451"/>
  <c r="AH403" i="32451"/>
  <c r="AG618" i="32451"/>
  <c r="AH618" i="32451"/>
  <c r="AG70" i="32451"/>
  <c r="AH70" i="32451"/>
  <c r="AG123" i="32451"/>
  <c r="AH123" i="32451"/>
  <c r="AG236" i="32451"/>
  <c r="AH236" i="32451"/>
  <c r="AG368" i="32451"/>
  <c r="AH368" i="32451"/>
  <c r="AG186" i="32451"/>
  <c r="AH186" i="32451"/>
  <c r="AG83" i="32451"/>
  <c r="AH83" i="32451"/>
  <c r="AG174" i="32451"/>
  <c r="AH174" i="32451"/>
  <c r="AG330" i="32451"/>
  <c r="AH330" i="32451"/>
  <c r="AG522" i="32451"/>
  <c r="AH522" i="32451"/>
  <c r="AG124" i="32451"/>
  <c r="AH124" i="32451"/>
  <c r="AG194" i="32451"/>
  <c r="AH194" i="32451"/>
  <c r="AG487" i="32451"/>
  <c r="AH487" i="32451"/>
  <c r="AG704" i="32451"/>
  <c r="AH704" i="32451"/>
  <c r="AG311" i="32451"/>
  <c r="AH311" i="32451"/>
  <c r="AG385" i="32451"/>
  <c r="AH385" i="32451"/>
  <c r="AG645" i="32451"/>
  <c r="AH645" i="32451"/>
  <c r="AG400" i="32451"/>
  <c r="AH400" i="32451"/>
  <c r="AG227" i="32451"/>
  <c r="AH227" i="32451"/>
  <c r="AG286" i="32451"/>
  <c r="AH286" i="32451"/>
  <c r="AG345" i="32451"/>
  <c r="AH345" i="32451"/>
  <c r="AG468" i="32451"/>
  <c r="AH468" i="32451"/>
  <c r="AG689" i="32451"/>
  <c r="AH689" i="32451"/>
  <c r="AG290" i="32451"/>
  <c r="AH290" i="32451"/>
  <c r="AG526" i="32451"/>
  <c r="AH526" i="32451"/>
  <c r="AG312" i="32451"/>
  <c r="AH312" i="32451"/>
  <c r="AG409" i="32451"/>
  <c r="AH409" i="32451"/>
  <c r="AG497" i="32451"/>
  <c r="AH497" i="32451"/>
  <c r="AG407" i="32451"/>
  <c r="AH407" i="32451"/>
  <c r="AG532" i="32451"/>
  <c r="AH532" i="32451"/>
  <c r="AG673" i="32451"/>
  <c r="AH673" i="32451"/>
  <c r="AG461" i="32451"/>
  <c r="AH461" i="32451"/>
  <c r="AG612" i="32451"/>
  <c r="AH612" i="32451"/>
  <c r="AG381" i="32451"/>
  <c r="AH381" i="32451"/>
  <c r="AG450" i="32451"/>
  <c r="AH450" i="32451"/>
  <c r="AG527" i="32451"/>
  <c r="AH527" i="32451"/>
  <c r="AG591" i="32451"/>
  <c r="AH591" i="32451"/>
  <c r="AG351" i="32451"/>
  <c r="AH351" i="32451"/>
  <c r="AG667" i="32451"/>
  <c r="AH667" i="32451"/>
  <c r="AG393" i="32451"/>
  <c r="AH393" i="32451"/>
  <c r="AG473" i="32451"/>
  <c r="AH473" i="32451"/>
  <c r="AG543" i="32451"/>
  <c r="AH543" i="32451"/>
  <c r="AG575" i="32451"/>
  <c r="AH575" i="32451"/>
  <c r="AG89" i="32451"/>
  <c r="AH89" i="32451"/>
  <c r="AG109" i="32451"/>
  <c r="AH109" i="32451"/>
  <c r="AG191" i="32451"/>
  <c r="AH191" i="32451"/>
  <c r="AG138" i="32451"/>
  <c r="AH138" i="32451"/>
  <c r="AG375" i="32451"/>
  <c r="AH375" i="32451"/>
  <c r="AG72" i="32451"/>
  <c r="AH72" i="32451"/>
  <c r="AG500" i="32451"/>
  <c r="AH500" i="32451"/>
  <c r="AG108" i="32451"/>
  <c r="AH108" i="32451"/>
  <c r="AG254" i="32451"/>
  <c r="AH254" i="32451"/>
  <c r="AG160" i="32451"/>
  <c r="AH160" i="32451"/>
  <c r="AG413" i="32451"/>
  <c r="AH413" i="32451"/>
  <c r="AG250" i="32451"/>
  <c r="AH250" i="32451"/>
  <c r="AG51" i="32451"/>
  <c r="AH51" i="32451"/>
  <c r="AG127" i="32451"/>
  <c r="AH127" i="32451"/>
  <c r="AG452" i="32451"/>
  <c r="AH452" i="32451"/>
  <c r="AG619" i="32451"/>
  <c r="AH619" i="32451"/>
  <c r="AG338" i="32451"/>
  <c r="AH338" i="32451"/>
  <c r="AG200" i="32451"/>
  <c r="AH200" i="32451"/>
  <c r="AG325" i="32451"/>
  <c r="AH325" i="32451"/>
  <c r="AG524" i="32451"/>
  <c r="AH524" i="32451"/>
  <c r="AG180" i="32451"/>
  <c r="AH180" i="32451"/>
  <c r="AG391" i="32451"/>
  <c r="AH391" i="32451"/>
  <c r="AG525" i="32451"/>
  <c r="AH525" i="32451"/>
  <c r="AG302" i="32451"/>
  <c r="AH302" i="32451"/>
  <c r="AG688" i="32451"/>
  <c r="AH688" i="32451"/>
  <c r="AG299" i="32451"/>
  <c r="AH299" i="32451"/>
  <c r="AG483" i="32451"/>
  <c r="AH483" i="32451"/>
  <c r="AG696" i="32451"/>
  <c r="AH696" i="32451"/>
  <c r="AG218" i="32451"/>
  <c r="AH218" i="32451"/>
  <c r="AG294" i="32451"/>
  <c r="AH294" i="32451"/>
  <c r="AG540" i="32451"/>
  <c r="AH540" i="32451"/>
  <c r="AG505" i="32451"/>
  <c r="AH505" i="32451"/>
  <c r="AG611" i="32451"/>
  <c r="AH611" i="32451"/>
  <c r="AG412" i="32451"/>
  <c r="AH412" i="32451"/>
  <c r="AG537" i="32451"/>
  <c r="AH537" i="32451"/>
  <c r="AG392" i="32451"/>
  <c r="AH392" i="32451"/>
  <c r="AG554" i="32451"/>
  <c r="AH554" i="32451"/>
  <c r="AG676" i="32451"/>
  <c r="AH676" i="32451"/>
  <c r="AG600" i="32451"/>
  <c r="AH600" i="32451"/>
  <c r="AG657" i="32451"/>
  <c r="AH657" i="32451"/>
  <c r="AG355" i="32451"/>
  <c r="AH355" i="32451"/>
  <c r="AG584" i="32451"/>
  <c r="AH584" i="32451"/>
  <c r="AG555" i="32451"/>
  <c r="AH555" i="32451"/>
  <c r="AG703" i="32451"/>
  <c r="AH703" i="32451"/>
  <c r="AG125" i="32451"/>
  <c r="AH125" i="32451"/>
  <c r="AG188" i="32451"/>
  <c r="AH188" i="32451"/>
  <c r="AG321" i="32451"/>
  <c r="AH321" i="32451"/>
  <c r="AG129" i="32451"/>
  <c r="AH129" i="32451"/>
  <c r="AG514" i="32451"/>
  <c r="AH514" i="32451"/>
  <c r="AG371" i="32451"/>
  <c r="AH371" i="32451"/>
  <c r="AG92" i="32451"/>
  <c r="AH92" i="32451"/>
  <c r="AG190" i="32451"/>
  <c r="AH190" i="32451"/>
  <c r="AG520" i="32451"/>
  <c r="AH520" i="32451"/>
  <c r="AG267" i="32451"/>
  <c r="AH267" i="32451"/>
  <c r="AG564" i="32451"/>
  <c r="AH564" i="32451"/>
  <c r="AG116" i="32451"/>
  <c r="AH116" i="32451"/>
  <c r="AG331" i="32451"/>
  <c r="AH331" i="32451"/>
  <c r="AG106" i="32451"/>
  <c r="AH106" i="32451"/>
  <c r="AG164" i="32451"/>
  <c r="AH164" i="32451"/>
  <c r="AG257" i="32451"/>
  <c r="AH257" i="32451"/>
  <c r="AG606" i="32451"/>
  <c r="AH606" i="32451"/>
  <c r="AG131" i="32451"/>
  <c r="AH131" i="32451"/>
  <c r="AG199" i="32451"/>
  <c r="AH199" i="32451"/>
  <c r="AG301" i="32451"/>
  <c r="AH301" i="32451"/>
  <c r="AG486" i="32451"/>
  <c r="AH486" i="32451"/>
  <c r="AG95" i="32451"/>
  <c r="AH95" i="32451"/>
  <c r="AG223" i="32451"/>
  <c r="AH223" i="32451"/>
  <c r="AG552" i="32451"/>
  <c r="AH552" i="32451"/>
  <c r="AG230" i="32451"/>
  <c r="AH230" i="32451"/>
  <c r="AG306" i="32451"/>
  <c r="AH306" i="32451"/>
  <c r="AG421" i="32451"/>
  <c r="AH421" i="32451"/>
  <c r="AG545" i="32451"/>
  <c r="AH545" i="32451"/>
  <c r="AG695" i="32451"/>
  <c r="AH695" i="32451"/>
  <c r="AG489" i="32451"/>
  <c r="AH489" i="32451"/>
  <c r="AG602" i="32451"/>
  <c r="AH602" i="32451"/>
  <c r="AG222" i="32451"/>
  <c r="AH222" i="32451"/>
  <c r="AG307" i="32451"/>
  <c r="AH307" i="32451"/>
  <c r="AG416" i="32451"/>
  <c r="AH416" i="32451"/>
  <c r="AG546" i="32451"/>
  <c r="AH546" i="32451"/>
  <c r="AG533" i="32451"/>
  <c r="AH533" i="32451"/>
  <c r="AG617" i="32451"/>
  <c r="AH617" i="32451"/>
  <c r="AG544" i="32451"/>
  <c r="AH544" i="32451"/>
  <c r="AG683" i="32451"/>
  <c r="AH683" i="32451"/>
  <c r="AG472" i="32451"/>
  <c r="AH472" i="32451"/>
  <c r="AG389" i="32451"/>
  <c r="AH389" i="32451"/>
  <c r="AG469" i="32451"/>
  <c r="AH469" i="32451"/>
  <c r="AG604" i="32451"/>
  <c r="AH604" i="32451"/>
  <c r="AG662" i="32451"/>
  <c r="AH662" i="32451"/>
  <c r="AG366" i="32451"/>
  <c r="AH366" i="32451"/>
  <c r="AG438" i="32451"/>
  <c r="AH438" i="32451"/>
  <c r="AG511" i="32451"/>
  <c r="AH511" i="32451"/>
  <c r="AG687" i="32451"/>
  <c r="AH687" i="32451"/>
  <c r="AG415" i="32451"/>
  <c r="AH415" i="32451"/>
  <c r="AG482" i="32451"/>
  <c r="AH482" i="32451"/>
  <c r="AG567" i="32451"/>
  <c r="AH567" i="32451"/>
  <c r="AG648" i="32451"/>
  <c r="AH648" i="32451"/>
  <c r="AG81" i="32451"/>
  <c r="AH81" i="32451"/>
  <c r="AG97" i="32451"/>
  <c r="AH97" i="32451"/>
  <c r="AG621" i="32451"/>
  <c r="AH621" i="32451"/>
  <c r="AG384" i="32451"/>
  <c r="AH384" i="32451"/>
  <c r="AG117" i="32451"/>
  <c r="AH117" i="32451"/>
  <c r="AG577" i="32451"/>
  <c r="AH577" i="32451"/>
  <c r="AG541" i="32451"/>
  <c r="AH541" i="32451"/>
  <c r="AG80" i="32451"/>
  <c r="AH80" i="32451"/>
  <c r="AG241" i="32451"/>
  <c r="AH241" i="32451"/>
  <c r="AG304" i="32451"/>
  <c r="AH304" i="32451"/>
  <c r="AG362" i="32451"/>
  <c r="AH362" i="32451"/>
  <c r="AG173" i="32451"/>
  <c r="AH173" i="32451"/>
  <c r="AG669" i="32451"/>
  <c r="AH669" i="32451"/>
  <c r="AG87" i="32451"/>
  <c r="AH87" i="32451"/>
  <c r="AG152" i="32451"/>
  <c r="AH152" i="32451"/>
  <c r="AG271" i="32451"/>
  <c r="AH271" i="32451"/>
  <c r="AG220" i="32451"/>
  <c r="AH220" i="32451"/>
  <c r="AG309" i="32451"/>
  <c r="AH309" i="32451"/>
  <c r="AG499" i="32451"/>
  <c r="AH499" i="32451"/>
  <c r="AG644" i="32451"/>
  <c r="AH644" i="32451"/>
  <c r="AG207" i="32451"/>
  <c r="AH207" i="32451"/>
  <c r="AG570" i="32451"/>
  <c r="AH570" i="32451"/>
  <c r="AG71" i="32451"/>
  <c r="AH71" i="32451"/>
  <c r="AG136" i="32451"/>
  <c r="AH136" i="32451"/>
  <c r="AG244" i="32451"/>
  <c r="AH244" i="32451"/>
  <c r="AG562" i="32451"/>
  <c r="AH562" i="32451"/>
  <c r="AG255" i="32451"/>
  <c r="AH255" i="32451"/>
  <c r="AG558" i="32451"/>
  <c r="AH558" i="32451"/>
  <c r="AG679" i="32451"/>
  <c r="AH679" i="32451"/>
  <c r="AG234" i="32451"/>
  <c r="AH234" i="32451"/>
  <c r="AG319" i="32451"/>
  <c r="AH319" i="32451"/>
  <c r="AG441" i="32451"/>
  <c r="AH441" i="32451"/>
  <c r="AG705" i="32451"/>
  <c r="AH705" i="32451"/>
  <c r="AG504" i="32451"/>
  <c r="AH504" i="32451"/>
  <c r="AG610" i="32451"/>
  <c r="AH610" i="32451"/>
  <c r="AG235" i="32451"/>
  <c r="AH235" i="32451"/>
  <c r="AG320" i="32451"/>
  <c r="AH320" i="32451"/>
  <c r="AG429" i="32451"/>
  <c r="AH429" i="32451"/>
  <c r="AG553" i="32451"/>
  <c r="AH553" i="32451"/>
  <c r="AG197" i="32451"/>
  <c r="AH197" i="32451"/>
  <c r="AG256" i="32451"/>
  <c r="AH256" i="32451"/>
  <c r="AG624" i="32451"/>
  <c r="AH624" i="32451"/>
  <c r="AG420" i="32451"/>
  <c r="AH420" i="32451"/>
  <c r="AG549" i="32451"/>
  <c r="AH549" i="32451"/>
  <c r="AG401" i="32451"/>
  <c r="AH401" i="32451"/>
  <c r="AG476" i="32451"/>
  <c r="AH476" i="32451"/>
  <c r="AG566" i="32451"/>
  <c r="AH566" i="32451"/>
  <c r="AG691" i="32451"/>
  <c r="AH691" i="32451"/>
  <c r="AG609" i="32451"/>
  <c r="AH609" i="32451"/>
  <c r="AG692" i="32451"/>
  <c r="AH692" i="32451"/>
  <c r="AG419" i="32451"/>
  <c r="AH419" i="32451"/>
  <c r="AG498" i="32451"/>
  <c r="AH498" i="32451"/>
  <c r="AG579" i="32451"/>
  <c r="AH579" i="32451"/>
  <c r="AG653" i="32451"/>
  <c r="AH653" i="32451"/>
  <c r="AG177" i="32451"/>
  <c r="AH177" i="32451"/>
  <c r="AG98" i="32451"/>
  <c r="AH98" i="32451"/>
  <c r="AG210" i="32451"/>
  <c r="AH210" i="32451"/>
  <c r="AG166" i="32451"/>
  <c r="AH166" i="32451"/>
  <c r="AG195" i="32451"/>
  <c r="AH195" i="32451"/>
  <c r="AG284" i="32451"/>
  <c r="AH284" i="32451"/>
  <c r="AG69" i="32451"/>
  <c r="AH69" i="32451"/>
  <c r="AG93" i="32451"/>
  <c r="AH93" i="32451"/>
  <c r="AG185" i="32451"/>
  <c r="AH185" i="32451"/>
  <c r="AG651" i="32451"/>
  <c r="AH651" i="32451"/>
  <c r="AG283" i="32451"/>
  <c r="AH283" i="32451"/>
  <c r="AG90" i="32451"/>
  <c r="AH90" i="32451"/>
  <c r="AG245" i="32451"/>
  <c r="AH245" i="32451"/>
  <c r="AG425" i="32451"/>
  <c r="AH425" i="32451"/>
  <c r="AG335" i="32451"/>
  <c r="AH335" i="32451"/>
  <c r="AG179" i="32451"/>
  <c r="AH179" i="32451"/>
  <c r="AG78" i="32451"/>
  <c r="AH78" i="32451"/>
  <c r="AG276" i="32451"/>
  <c r="AH276" i="32451"/>
  <c r="AG105" i="32451"/>
  <c r="AH105" i="32451"/>
  <c r="AG433" i="32451"/>
  <c r="AH433" i="32451"/>
  <c r="AG86" i="32451"/>
  <c r="AH86" i="32451"/>
  <c r="AG278" i="32451"/>
  <c r="AH278" i="32451"/>
  <c r="AG563" i="32451"/>
  <c r="AH563" i="32451"/>
  <c r="AG118" i="32451"/>
  <c r="AH118" i="32451"/>
  <c r="AG451" i="32451"/>
  <c r="AH451" i="32451"/>
  <c r="AG684" i="32451"/>
  <c r="AH684" i="32451"/>
  <c r="AG91" i="32451"/>
  <c r="AH91" i="32451"/>
  <c r="AG157" i="32451"/>
  <c r="AH157" i="32451"/>
  <c r="AG292" i="32451"/>
  <c r="AH292" i="32451"/>
  <c r="AG628" i="32451"/>
  <c r="AH628" i="32451"/>
  <c r="AG139" i="32451"/>
  <c r="AH139" i="32451"/>
  <c r="AG323" i="32451"/>
  <c r="AH323" i="32451"/>
  <c r="AG509" i="32451"/>
  <c r="AH509" i="32451"/>
  <c r="AG659" i="32451"/>
  <c r="AH659" i="32451"/>
  <c r="AG107" i="32451"/>
  <c r="AH107" i="32451"/>
  <c r="AG369" i="32451"/>
  <c r="AH369" i="32451"/>
  <c r="AG583" i="32451"/>
  <c r="AH583" i="32451"/>
  <c r="AG140" i="32451"/>
  <c r="AH140" i="32451"/>
  <c r="AG258" i="32451"/>
  <c r="AH258" i="32451"/>
  <c r="AG347" i="32451"/>
  <c r="AH347" i="32451"/>
  <c r="AG571" i="32451"/>
  <c r="AH571" i="32451"/>
  <c r="AG192" i="32451"/>
  <c r="AH192" i="32451"/>
  <c r="AG327" i="32451"/>
  <c r="AH327" i="32451"/>
  <c r="AG428" i="32451"/>
  <c r="AH428" i="32451"/>
  <c r="AG565" i="32451"/>
  <c r="AH565" i="32451"/>
  <c r="AG686" i="32451"/>
  <c r="AH686" i="32451"/>
  <c r="AG247" i="32451"/>
  <c r="AH247" i="32451"/>
  <c r="AG332" i="32451"/>
  <c r="AH332" i="32451"/>
  <c r="AG456" i="32451"/>
  <c r="AH456" i="32451"/>
  <c r="AG559" i="32451"/>
  <c r="AH559" i="32451"/>
  <c r="AG243" i="32451"/>
  <c r="AH243" i="32451"/>
  <c r="AG512" i="32451"/>
  <c r="AH512" i="32451"/>
  <c r="AG615" i="32451"/>
  <c r="AH615" i="32451"/>
  <c r="AG176" i="32451"/>
  <c r="AH176" i="32451"/>
  <c r="AG248" i="32451"/>
  <c r="AH248" i="32451"/>
  <c r="AG333" i="32451"/>
  <c r="AH333" i="32451"/>
  <c r="AG595" i="32451"/>
  <c r="AH595" i="32451"/>
  <c r="AG202" i="32451"/>
  <c r="AH202" i="32451"/>
  <c r="AG269" i="32451"/>
  <c r="AH269" i="32451"/>
  <c r="AG328" i="32451"/>
  <c r="AH328" i="32451"/>
  <c r="AG547" i="32451"/>
  <c r="AH547" i="32451"/>
  <c r="AG632" i="32451"/>
  <c r="AH632" i="32451"/>
  <c r="AG424" i="32451"/>
  <c r="AH424" i="32451"/>
  <c r="AG491" i="32451"/>
  <c r="AH491" i="32451"/>
  <c r="AG556" i="32451"/>
  <c r="AH556" i="32451"/>
  <c r="AG693" i="32451"/>
  <c r="AH693" i="32451"/>
  <c r="AG405" i="32451"/>
  <c r="AH405" i="32451"/>
  <c r="AG633" i="32451"/>
  <c r="AH633" i="32451"/>
  <c r="AG523" i="32451"/>
  <c r="AH523" i="32451"/>
  <c r="AG697" i="32451"/>
  <c r="AH697" i="32451"/>
  <c r="AG423" i="32451"/>
  <c r="AH423" i="32451"/>
  <c r="AG503" i="32451"/>
  <c r="AH503" i="32451"/>
  <c r="AG588" i="32451"/>
  <c r="AH588" i="32451"/>
  <c r="AG76" i="32451"/>
  <c r="AH76" i="32451"/>
  <c r="AG96" i="32451"/>
  <c r="AH96" i="32451"/>
  <c r="AG635" i="32451"/>
  <c r="AH635" i="32451"/>
  <c r="AG660" i="32451"/>
  <c r="AH660" i="32451"/>
  <c r="AG396" i="32451"/>
  <c r="AH396" i="32451"/>
  <c r="AG445" i="32451"/>
  <c r="AH445" i="32451"/>
  <c r="AG110" i="32451"/>
  <c r="AH110" i="32451"/>
  <c r="AG296" i="32451"/>
  <c r="AH296" i="32451"/>
  <c r="AG681" i="32451"/>
  <c r="AH681" i="32451"/>
  <c r="AG289" i="32451"/>
  <c r="AH289" i="32451"/>
  <c r="AG641" i="32451"/>
  <c r="AH641" i="32451"/>
  <c r="AG49" i="32451"/>
  <c r="AH49" i="32451"/>
  <c r="AG178" i="32451"/>
  <c r="AH178" i="32451"/>
  <c r="AG225" i="32451"/>
  <c r="AH225" i="32451"/>
  <c r="AG454" i="32451"/>
  <c r="AH454" i="32451"/>
  <c r="AG101" i="32451"/>
  <c r="AH101" i="32451"/>
  <c r="AG291" i="32451"/>
  <c r="AH291" i="32451"/>
  <c r="AG626" i="32451"/>
  <c r="AH626" i="32451"/>
  <c r="AG150" i="32451"/>
  <c r="AH150" i="32451"/>
  <c r="AG143" i="32451"/>
  <c r="AH143" i="32451"/>
  <c r="AG700" i="32451"/>
  <c r="AH700" i="32451"/>
  <c r="AG658" i="32451"/>
  <c r="AH658" i="32451"/>
  <c r="AG67" i="32451"/>
  <c r="AH67" i="32451"/>
  <c r="AG144" i="32451"/>
  <c r="AH144" i="32451"/>
  <c r="AG674" i="32451"/>
  <c r="AH674" i="32451"/>
  <c r="AG607" i="32451"/>
  <c r="AH607" i="32451"/>
  <c r="AG145" i="32451"/>
  <c r="AH145" i="32451"/>
  <c r="AG266" i="32451"/>
  <c r="AH266" i="32451"/>
  <c r="AG354" i="32451"/>
  <c r="AH354" i="32451"/>
  <c r="AG264" i="32451"/>
  <c r="AH264" i="32451"/>
  <c r="AG434" i="32451"/>
  <c r="AH434" i="32451"/>
  <c r="AG260" i="32451"/>
  <c r="AH260" i="32451"/>
  <c r="AG315" i="32451"/>
  <c r="AH315" i="32451"/>
  <c r="AG408" i="32451"/>
  <c r="AH408" i="32451"/>
  <c r="AG181" i="32451"/>
  <c r="AH181" i="32451"/>
  <c r="AG261" i="32451"/>
  <c r="AH261" i="32451"/>
  <c r="AG337" i="32451"/>
  <c r="AH337" i="32451"/>
  <c r="AG475" i="32451"/>
  <c r="AH475" i="32451"/>
  <c r="AG215" i="32451"/>
  <c r="AH215" i="32451"/>
  <c r="AG274" i="32451"/>
  <c r="AH274" i="32451"/>
  <c r="AG346" i="32451"/>
  <c r="AH346" i="32451"/>
  <c r="AG444" i="32451"/>
  <c r="AH444" i="32451"/>
  <c r="AG640" i="32451"/>
  <c r="AH640" i="32451"/>
  <c r="AG367" i="32451"/>
  <c r="AH367" i="32451"/>
  <c r="AG561" i="32451"/>
  <c r="AH561" i="32451"/>
  <c r="AG698" i="32451"/>
  <c r="AH698" i="32451"/>
  <c r="AG410" i="32451"/>
  <c r="AH410" i="32451"/>
  <c r="AG578" i="32451"/>
  <c r="AH578" i="32451"/>
  <c r="AG701" i="32451"/>
  <c r="AH701" i="32451"/>
  <c r="AG616" i="32451"/>
  <c r="AH616" i="32451"/>
  <c r="AG677" i="32451"/>
  <c r="AH677" i="32451"/>
  <c r="AG536" i="32451"/>
  <c r="AH536" i="32451"/>
  <c r="AG613" i="32451"/>
  <c r="AH613" i="32451"/>
  <c r="AG435" i="32451"/>
  <c r="AH435" i="32451"/>
  <c r="AG507" i="32451"/>
  <c r="AH507" i="32451"/>
  <c r="AG592" i="32451"/>
  <c r="AH592" i="32451"/>
  <c r="AG102" i="32451"/>
  <c r="AH102" i="32451"/>
  <c r="AG175" i="32451"/>
  <c r="AH175" i="32451"/>
  <c r="AG141" i="32451"/>
  <c r="AH141" i="32451"/>
  <c r="AG270" i="32451"/>
  <c r="AH270" i="32451"/>
  <c r="AG334" i="32451"/>
  <c r="AH334" i="32451"/>
  <c r="AG467" i="32451"/>
  <c r="AH467" i="32451"/>
  <c r="AG132" i="32451"/>
  <c r="AH132" i="32451"/>
  <c r="AG342" i="32451"/>
  <c r="AH342" i="32451"/>
  <c r="AG297" i="32451"/>
  <c r="AH297" i="32451"/>
  <c r="AG432" i="32451"/>
  <c r="AH432" i="32451"/>
  <c r="AG203" i="32451"/>
  <c r="AH203" i="32451"/>
  <c r="AG478" i="32451"/>
  <c r="AH478" i="32451"/>
  <c r="AG326" i="32451"/>
  <c r="AH326" i="32451"/>
  <c r="AG64" i="32451"/>
  <c r="AH64" i="32451"/>
  <c r="AG576" i="32451"/>
  <c r="AH576" i="32451"/>
  <c r="AG238" i="32451"/>
  <c r="AH238" i="32451"/>
  <c r="AG471" i="32451"/>
  <c r="AH471" i="32451"/>
  <c r="AG114" i="32451"/>
  <c r="AH114" i="32451"/>
  <c r="AG317" i="32451"/>
  <c r="AH317" i="32451"/>
  <c r="AG650" i="32451"/>
  <c r="AH650" i="32451"/>
  <c r="AG198" i="32451"/>
  <c r="AH198" i="32451"/>
  <c r="AG285" i="32451"/>
  <c r="AH285" i="32451"/>
  <c r="AG495" i="32451"/>
  <c r="AH495" i="32451"/>
  <c r="AG99" i="32451"/>
  <c r="AH99" i="32451"/>
  <c r="AG485" i="32451"/>
  <c r="AH485" i="32451"/>
  <c r="AG148" i="32451"/>
  <c r="AH148" i="32451"/>
  <c r="AG242" i="32451"/>
  <c r="AH242" i="32451"/>
  <c r="AG353" i="32451"/>
  <c r="AH353" i="32451"/>
  <c r="AG535" i="32451"/>
  <c r="AH535" i="32451"/>
  <c r="AG685" i="32451"/>
  <c r="AH685" i="32451"/>
  <c r="AG119" i="32451"/>
  <c r="AH119" i="32451"/>
  <c r="AG229" i="32451"/>
  <c r="AH229" i="32451"/>
  <c r="AG88" i="32451"/>
  <c r="AH88" i="32451"/>
  <c r="AG370" i="32451"/>
  <c r="AH370" i="32451"/>
  <c r="AG598" i="32451"/>
  <c r="AH598" i="32451"/>
  <c r="AG336" i="32451"/>
  <c r="AH336" i="32451"/>
  <c r="AG273" i="32451"/>
  <c r="AH273" i="32451"/>
  <c r="AG184" i="32451"/>
  <c r="AH184" i="32451"/>
  <c r="AG252" i="32451"/>
  <c r="AH252" i="32451"/>
  <c r="AG631" i="32451"/>
  <c r="AH631" i="32451"/>
  <c r="AG189" i="32451"/>
  <c r="AH189" i="32451"/>
  <c r="AG265" i="32451"/>
  <c r="AH265" i="32451"/>
  <c r="AG639" i="32451"/>
  <c r="AH639" i="32451"/>
  <c r="AG287" i="32451"/>
  <c r="AH287" i="32451"/>
  <c r="AG647" i="32451"/>
  <c r="AH647" i="32451"/>
  <c r="AG439" i="32451"/>
  <c r="AH439" i="32451"/>
  <c r="AG568" i="32451"/>
  <c r="AH568" i="32451"/>
  <c r="AG414" i="32451"/>
  <c r="AH414" i="32451"/>
  <c r="AG493" i="32451"/>
  <c r="AH493" i="32451"/>
  <c r="AG642" i="32451"/>
  <c r="AH642" i="32451"/>
  <c r="AG706" i="32451"/>
  <c r="AH706" i="32451"/>
  <c r="AG406" i="32451"/>
  <c r="AH406" i="32451"/>
  <c r="AG625" i="32451"/>
  <c r="AH625" i="32451"/>
  <c r="AG462" i="32451"/>
  <c r="AH462" i="32451"/>
  <c r="AG597" i="32451"/>
  <c r="AH597" i="32451"/>
  <c r="AG146" i="32451"/>
  <c r="AH146" i="32451"/>
  <c r="AG104" i="32451"/>
  <c r="AH104" i="32451"/>
  <c r="AG216" i="32451"/>
  <c r="AH216" i="32451"/>
  <c r="AG232" i="32451"/>
  <c r="AH232" i="32451"/>
  <c r="AG167" i="32451"/>
  <c r="AH167" i="32451"/>
  <c r="AG529" i="32451"/>
  <c r="AH529" i="32451"/>
  <c r="AG506" i="32451"/>
  <c r="AH506" i="32451"/>
  <c r="AG159" i="32451"/>
  <c r="AH159" i="32451"/>
  <c r="AG212" i="32451"/>
  <c r="AH212" i="32451"/>
  <c r="AG120" i="32451"/>
  <c r="AH120" i="32451"/>
  <c r="AG339" i="32451"/>
  <c r="AH339" i="32451"/>
  <c r="AG224" i="32451"/>
  <c r="AH224" i="32451"/>
  <c r="AG77" i="32451"/>
  <c r="AH77" i="32451"/>
  <c r="AG211" i="32451"/>
  <c r="AH211" i="32451"/>
  <c r="AG133" i="32451"/>
  <c r="AH133" i="32451"/>
  <c r="AG134" i="32451"/>
  <c r="AH134" i="32451"/>
  <c r="AG121" i="32451"/>
  <c r="AH121" i="32451"/>
  <c r="AG341" i="32451"/>
  <c r="AH341" i="32451"/>
  <c r="AG694" i="32451"/>
  <c r="AH694" i="32451"/>
  <c r="AG361" i="32451"/>
  <c r="AH361" i="32451"/>
  <c r="AG699" i="32451"/>
  <c r="AH699" i="32451"/>
  <c r="AG172" i="32451"/>
  <c r="AH172" i="32451"/>
  <c r="AG465" i="32451"/>
  <c r="AH465" i="32451"/>
  <c r="AG130" i="32451"/>
  <c r="AH130" i="32451"/>
  <c r="AG206" i="32451"/>
  <c r="AH206" i="32451"/>
  <c r="AG308" i="32451"/>
  <c r="AH308" i="32451"/>
  <c r="AG103" i="32451"/>
  <c r="AH103" i="32451"/>
  <c r="AG314" i="32451"/>
  <c r="AH314" i="32451"/>
  <c r="AG75" i="32451"/>
  <c r="AH75" i="32451"/>
  <c r="AG237" i="32451"/>
  <c r="AH237" i="32451"/>
  <c r="AG430" i="32451"/>
  <c r="AH430" i="32451"/>
  <c r="AG395" i="32451"/>
  <c r="AH395" i="32451"/>
  <c r="AG448" i="32451"/>
  <c r="AH448" i="32451"/>
  <c r="AG601" i="32451"/>
  <c r="AH601" i="32451"/>
  <c r="AG201" i="32451"/>
  <c r="AH201" i="32451"/>
  <c r="AG277" i="32451"/>
  <c r="AH277" i="32451"/>
  <c r="AG357" i="32451"/>
  <c r="AH357" i="32451"/>
  <c r="AG324" i="32451"/>
  <c r="AH324" i="32451"/>
  <c r="AG193" i="32451"/>
  <c r="AH193" i="32451"/>
  <c r="AG646" i="32451"/>
  <c r="AH646" i="32451"/>
  <c r="AG457" i="32451"/>
  <c r="AH457" i="32451"/>
  <c r="AG573" i="32451"/>
  <c r="AH573" i="32451"/>
  <c r="AG649" i="32451"/>
  <c r="AH649" i="32451"/>
  <c r="AG422" i="32451"/>
  <c r="AH422" i="32451"/>
  <c r="AG501" i="32451"/>
  <c r="AH501" i="32451"/>
  <c r="AG587" i="32451"/>
  <c r="AH587" i="32451"/>
  <c r="AG629" i="32451"/>
  <c r="AH629" i="32451"/>
  <c r="AG398" i="32451"/>
  <c r="AH398" i="32451"/>
  <c r="AG548" i="32451"/>
  <c r="AH548" i="32451"/>
  <c r="AG443" i="32451"/>
  <c r="AH443" i="32451"/>
  <c r="AG672" i="32451"/>
  <c r="AH672" i="32451"/>
  <c r="AM493" i="32451"/>
  <c r="AM671" i="32451"/>
  <c r="AM385" i="32451"/>
  <c r="L117" i="32451"/>
  <c r="J117" i="32451"/>
  <c r="H117" i="32451"/>
  <c r="L232" i="32451"/>
  <c r="H232" i="32451"/>
  <c r="J232" i="32451"/>
  <c r="H201" i="32498" s="1"/>
  <c r="H305" i="32451"/>
  <c r="L305" i="32451"/>
  <c r="J305" i="32451"/>
  <c r="H274" i="32498" s="1"/>
  <c r="L69" i="32451"/>
  <c r="H69" i="32451"/>
  <c r="J69" i="32451"/>
  <c r="L167" i="32451"/>
  <c r="H167" i="32451"/>
  <c r="J167" i="32451"/>
  <c r="L151" i="32451"/>
  <c r="J151" i="32451"/>
  <c r="H151" i="32451"/>
  <c r="H396" i="32451"/>
  <c r="L396" i="32451"/>
  <c r="J396" i="32451"/>
  <c r="H365" i="32498" s="1"/>
  <c r="L65" i="32451"/>
  <c r="J65" i="32451"/>
  <c r="H65" i="32451"/>
  <c r="H577" i="32451"/>
  <c r="L577" i="32451"/>
  <c r="J577" i="32451"/>
  <c r="H546" i="32498" s="1"/>
  <c r="L93" i="32451"/>
  <c r="H93" i="32451"/>
  <c r="J93" i="32451"/>
  <c r="L541" i="32451"/>
  <c r="H541" i="32451"/>
  <c r="J541" i="32451"/>
  <c r="H510" i="32498" s="1"/>
  <c r="L80" i="32451"/>
  <c r="H80" i="32451"/>
  <c r="J80" i="32451"/>
  <c r="L241" i="32451"/>
  <c r="J241" i="32451"/>
  <c r="H210" i="32498" s="1"/>
  <c r="H241" i="32451"/>
  <c r="L304" i="32451"/>
  <c r="H304" i="32451"/>
  <c r="J304" i="32451"/>
  <c r="H273" i="32498" s="1"/>
  <c r="L362" i="32451"/>
  <c r="H362" i="32451"/>
  <c r="J362" i="32451"/>
  <c r="H331" i="32498" s="1"/>
  <c r="H173" i="32451"/>
  <c r="L173" i="32451"/>
  <c r="J173" i="32451"/>
  <c r="H669" i="32451"/>
  <c r="L669" i="32451"/>
  <c r="J669" i="32451"/>
  <c r="H638" i="32498" s="1"/>
  <c r="L87" i="32451"/>
  <c r="J87" i="32451"/>
  <c r="H87" i="32451"/>
  <c r="L152" i="32451"/>
  <c r="J152" i="32451"/>
  <c r="H152" i="32451"/>
  <c r="H271" i="32451"/>
  <c r="L271" i="32451"/>
  <c r="J271" i="32451"/>
  <c r="H240" i="32498" s="1"/>
  <c r="H220" i="32451"/>
  <c r="L220" i="32451"/>
  <c r="J220" i="32451"/>
  <c r="J309" i="32451"/>
  <c r="H278" i="32498" s="1"/>
  <c r="L309" i="32451"/>
  <c r="H309" i="32451"/>
  <c r="H499" i="32451"/>
  <c r="L499" i="32451"/>
  <c r="J499" i="32451"/>
  <c r="H468" i="32498" s="1"/>
  <c r="L644" i="32451"/>
  <c r="H644" i="32451"/>
  <c r="J644" i="32451"/>
  <c r="H613" i="32498" s="1"/>
  <c r="L207" i="32451"/>
  <c r="H207" i="32451"/>
  <c r="J207" i="32451"/>
  <c r="L570" i="32451"/>
  <c r="L539" i="32498" s="1"/>
  <c r="H570" i="32451"/>
  <c r="J570" i="32451"/>
  <c r="H539" i="32498" s="1"/>
  <c r="L71" i="32451"/>
  <c r="H71" i="32451"/>
  <c r="J71" i="32451"/>
  <c r="L136" i="32451"/>
  <c r="H136" i="32451"/>
  <c r="J136" i="32451"/>
  <c r="H244" i="32451"/>
  <c r="L244" i="32451"/>
  <c r="J244" i="32451"/>
  <c r="H213" i="32498" s="1"/>
  <c r="L562" i="32451"/>
  <c r="L531" i="32498" s="1"/>
  <c r="H562" i="32451"/>
  <c r="J562" i="32451"/>
  <c r="H255" i="32451"/>
  <c r="L255" i="32451"/>
  <c r="J255" i="32451"/>
  <c r="H224" i="32498" s="1"/>
  <c r="L558" i="32451"/>
  <c r="H558" i="32451"/>
  <c r="J558" i="32451"/>
  <c r="H527" i="32498" s="1"/>
  <c r="L679" i="32451"/>
  <c r="H679" i="32451"/>
  <c r="J679" i="32451"/>
  <c r="H648" i="32498" s="1"/>
  <c r="L234" i="32451"/>
  <c r="H234" i="32451"/>
  <c r="J234" i="32451"/>
  <c r="H203" i="32498" s="1"/>
  <c r="L319" i="32451"/>
  <c r="H319" i="32451"/>
  <c r="J319" i="32451"/>
  <c r="H288" i="32498" s="1"/>
  <c r="H441" i="32451"/>
  <c r="L441" i="32451"/>
  <c r="J441" i="32451"/>
  <c r="H410" i="32498" s="1"/>
  <c r="H705" i="32451"/>
  <c r="L705" i="32451"/>
  <c r="L674" i="32498" s="1"/>
  <c r="J705" i="32451"/>
  <c r="H504" i="32451"/>
  <c r="L504" i="32451"/>
  <c r="L473" i="32498" s="1"/>
  <c r="J504" i="32451"/>
  <c r="L610" i="32451"/>
  <c r="J610" i="32451"/>
  <c r="H579" i="32498" s="1"/>
  <c r="H610" i="32451"/>
  <c r="L235" i="32451"/>
  <c r="H235" i="32451"/>
  <c r="J235" i="32451"/>
  <c r="H204" i="32498" s="1"/>
  <c r="H320" i="32451"/>
  <c r="J320" i="32451"/>
  <c r="H289" i="32498" s="1"/>
  <c r="L320" i="32451"/>
  <c r="L429" i="32451"/>
  <c r="J429" i="32451"/>
  <c r="H398" i="32498" s="1"/>
  <c r="H429" i="32451"/>
  <c r="L553" i="32451"/>
  <c r="H553" i="32451"/>
  <c r="J553" i="32451"/>
  <c r="H522" i="32498" s="1"/>
  <c r="H197" i="32451"/>
  <c r="L197" i="32451"/>
  <c r="J197" i="32451"/>
  <c r="L256" i="32451"/>
  <c r="H256" i="32451"/>
  <c r="J256" i="32451"/>
  <c r="H225" i="32498" s="1"/>
  <c r="L624" i="32451"/>
  <c r="J624" i="32451"/>
  <c r="H593" i="32498" s="1"/>
  <c r="H624" i="32451"/>
  <c r="L420" i="32451"/>
  <c r="H420" i="32451"/>
  <c r="J420" i="32451"/>
  <c r="H389" i="32498" s="1"/>
  <c r="H549" i="32451"/>
  <c r="L549" i="32451"/>
  <c r="L518" i="32498" s="1"/>
  <c r="J549" i="32451"/>
  <c r="H518" i="32498" s="1"/>
  <c r="H401" i="32451"/>
  <c r="J401" i="32451"/>
  <c r="H370" i="32498" s="1"/>
  <c r="L401" i="32451"/>
  <c r="L476" i="32451"/>
  <c r="L445" i="32498" s="1"/>
  <c r="H476" i="32451"/>
  <c r="J476" i="32451"/>
  <c r="L566" i="32451"/>
  <c r="J566" i="32451"/>
  <c r="H535" i="32498" s="1"/>
  <c r="H566" i="32451"/>
  <c r="H691" i="32451"/>
  <c r="J691" i="32451"/>
  <c r="H660" i="32498" s="1"/>
  <c r="L691" i="32451"/>
  <c r="H609" i="32451"/>
  <c r="J609" i="32451"/>
  <c r="H578" i="32498" s="1"/>
  <c r="L609" i="32451"/>
  <c r="L692" i="32451"/>
  <c r="H692" i="32451"/>
  <c r="J692" i="32451"/>
  <c r="H661" i="32498" s="1"/>
  <c r="L419" i="32451"/>
  <c r="L388" i="32498" s="1"/>
  <c r="H419" i="32451"/>
  <c r="J419" i="32451"/>
  <c r="L498" i="32451"/>
  <c r="H498" i="32451"/>
  <c r="J498" i="32451"/>
  <c r="H467" i="32498" s="1"/>
  <c r="L579" i="32451"/>
  <c r="L548" i="32498" s="1"/>
  <c r="H579" i="32451"/>
  <c r="J579" i="32451"/>
  <c r="H653" i="32451"/>
  <c r="L653" i="32451"/>
  <c r="J653" i="32451"/>
  <c r="H622" i="32498" s="1"/>
  <c r="H185" i="32451"/>
  <c r="L185" i="32451"/>
  <c r="J185" i="32451"/>
  <c r="H651" i="32451"/>
  <c r="L651" i="32451"/>
  <c r="J651" i="32451"/>
  <c r="H620" i="32498" s="1"/>
  <c r="L283" i="32451"/>
  <c r="H283" i="32451"/>
  <c r="J283" i="32451"/>
  <c r="H252" i="32498" s="1"/>
  <c r="L90" i="32451"/>
  <c r="H90" i="32451"/>
  <c r="J90" i="32451"/>
  <c r="L245" i="32451"/>
  <c r="H245" i="32451"/>
  <c r="J245" i="32451"/>
  <c r="H214" i="32498" s="1"/>
  <c r="H425" i="32451"/>
  <c r="L425" i="32451"/>
  <c r="J425" i="32451"/>
  <c r="H394" i="32498" s="1"/>
  <c r="H335" i="32451"/>
  <c r="L335" i="32451"/>
  <c r="J335" i="32451"/>
  <c r="H304" i="32498" s="1"/>
  <c r="L44" i="32451"/>
  <c r="L13" i="32498" s="1"/>
  <c r="H44" i="32451"/>
  <c r="J44" i="32451"/>
  <c r="H179" i="32451"/>
  <c r="J179" i="32451"/>
  <c r="L179" i="32451"/>
  <c r="L78" i="32451"/>
  <c r="J78" i="32451"/>
  <c r="H78" i="32451"/>
  <c r="H276" i="32451"/>
  <c r="L276" i="32451"/>
  <c r="J276" i="32451"/>
  <c r="H245" i="32498" s="1"/>
  <c r="J42" i="32451"/>
  <c r="H42" i="32451"/>
  <c r="L42" i="32451"/>
  <c r="L11" i="32498" s="1"/>
  <c r="H105" i="32451"/>
  <c r="L105" i="32451"/>
  <c r="J105" i="32451"/>
  <c r="L433" i="32451"/>
  <c r="H433" i="32451"/>
  <c r="J433" i="32451"/>
  <c r="H402" i="32498" s="1"/>
  <c r="H86" i="32451"/>
  <c r="L86" i="32451"/>
  <c r="J86" i="32451"/>
  <c r="H278" i="32451"/>
  <c r="J278" i="32451"/>
  <c r="H247" i="32498" s="1"/>
  <c r="L278" i="32451"/>
  <c r="L563" i="32451"/>
  <c r="H563" i="32451"/>
  <c r="J563" i="32451"/>
  <c r="H532" i="32498" s="1"/>
  <c r="L50" i="32451"/>
  <c r="L19" i="32498" s="1"/>
  <c r="J50" i="32451"/>
  <c r="H50" i="32451"/>
  <c r="L118" i="32451"/>
  <c r="H118" i="32451"/>
  <c r="J118" i="32451"/>
  <c r="H451" i="32451"/>
  <c r="L451" i="32451"/>
  <c r="J451" i="32451"/>
  <c r="H420" i="32498" s="1"/>
  <c r="H684" i="32451"/>
  <c r="L684" i="32451"/>
  <c r="J684" i="32451"/>
  <c r="H653" i="32498" s="1"/>
  <c r="L91" i="32451"/>
  <c r="H91" i="32451"/>
  <c r="J91" i="32451"/>
  <c r="L157" i="32451"/>
  <c r="H157" i="32451"/>
  <c r="J157" i="32451"/>
  <c r="L292" i="32451"/>
  <c r="H292" i="32451"/>
  <c r="J292" i="32451"/>
  <c r="H261" i="32498" s="1"/>
  <c r="L628" i="32451"/>
  <c r="J628" i="32451"/>
  <c r="H597" i="32498" s="1"/>
  <c r="H628" i="32451"/>
  <c r="L63" i="32451"/>
  <c r="L32" i="32498" s="1"/>
  <c r="H63" i="32451"/>
  <c r="J63" i="32451"/>
  <c r="J139" i="32451"/>
  <c r="H139" i="32451"/>
  <c r="L139" i="32451"/>
  <c r="H323" i="32451"/>
  <c r="L323" i="32451"/>
  <c r="J323" i="32451"/>
  <c r="H292" i="32498" s="1"/>
  <c r="L509" i="32451"/>
  <c r="H509" i="32451"/>
  <c r="J509" i="32451"/>
  <c r="H659" i="32451"/>
  <c r="J659" i="32451"/>
  <c r="H628" i="32498" s="1"/>
  <c r="L659" i="32451"/>
  <c r="L107" i="32451"/>
  <c r="H107" i="32451"/>
  <c r="J107" i="32451"/>
  <c r="L369" i="32451"/>
  <c r="H369" i="32451"/>
  <c r="J369" i="32451"/>
  <c r="H338" i="32498" s="1"/>
  <c r="H583" i="32451"/>
  <c r="L583" i="32451"/>
  <c r="J583" i="32451"/>
  <c r="H552" i="32498" s="1"/>
  <c r="L140" i="32451"/>
  <c r="H140" i="32451"/>
  <c r="J140" i="32451"/>
  <c r="H258" i="32451"/>
  <c r="L258" i="32451"/>
  <c r="J258" i="32451"/>
  <c r="H227" i="32498" s="1"/>
  <c r="L347" i="32451"/>
  <c r="H347" i="32451"/>
  <c r="J347" i="32451"/>
  <c r="H316" i="32498" s="1"/>
  <c r="H571" i="32451"/>
  <c r="L571" i="32451"/>
  <c r="L540" i="32498" s="1"/>
  <c r="J571" i="32451"/>
  <c r="L192" i="32451"/>
  <c r="H192" i="32451"/>
  <c r="J192" i="32451"/>
  <c r="H327" i="32451"/>
  <c r="L327" i="32451"/>
  <c r="J327" i="32451"/>
  <c r="H296" i="32498" s="1"/>
  <c r="L428" i="32451"/>
  <c r="H428" i="32451"/>
  <c r="J428" i="32451"/>
  <c r="H397" i="32498" s="1"/>
  <c r="L565" i="32451"/>
  <c r="L534" i="32498" s="1"/>
  <c r="H565" i="32451"/>
  <c r="J565" i="32451"/>
  <c r="H534" i="32498" s="1"/>
  <c r="H686" i="32451"/>
  <c r="L686" i="32451"/>
  <c r="J686" i="32451"/>
  <c r="H655" i="32498" s="1"/>
  <c r="L247" i="32451"/>
  <c r="H247" i="32451"/>
  <c r="J247" i="32451"/>
  <c r="H216" i="32498" s="1"/>
  <c r="L332" i="32451"/>
  <c r="J332" i="32451"/>
  <c r="H301" i="32498" s="1"/>
  <c r="H332" i="32451"/>
  <c r="L456" i="32451"/>
  <c r="H456" i="32451"/>
  <c r="J456" i="32451"/>
  <c r="H425" i="32498" s="1"/>
  <c r="L559" i="32451"/>
  <c r="H559" i="32451"/>
  <c r="J559" i="32451"/>
  <c r="H528" i="32498" s="1"/>
  <c r="L243" i="32451"/>
  <c r="H243" i="32451"/>
  <c r="J243" i="32451"/>
  <c r="H212" i="32498" s="1"/>
  <c r="L512" i="32451"/>
  <c r="J512" i="32451"/>
  <c r="H481" i="32498" s="1"/>
  <c r="H512" i="32451"/>
  <c r="H615" i="32451"/>
  <c r="L615" i="32451"/>
  <c r="J615" i="32451"/>
  <c r="H584" i="32498" s="1"/>
  <c r="L176" i="32451"/>
  <c r="J176" i="32451"/>
  <c r="H176" i="32451"/>
  <c r="J248" i="32451"/>
  <c r="H217" i="32498" s="1"/>
  <c r="L248" i="32451"/>
  <c r="H248" i="32451"/>
  <c r="L333" i="32451"/>
  <c r="H333" i="32451"/>
  <c r="J333" i="32451"/>
  <c r="H302" i="32498" s="1"/>
  <c r="H595" i="32451"/>
  <c r="L595" i="32451"/>
  <c r="J595" i="32451"/>
  <c r="H564" i="32498" s="1"/>
  <c r="L202" i="32451"/>
  <c r="H202" i="32451"/>
  <c r="J202" i="32451"/>
  <c r="L269" i="32451"/>
  <c r="H269" i="32451"/>
  <c r="J269" i="32451"/>
  <c r="H238" i="32498" s="1"/>
  <c r="L328" i="32451"/>
  <c r="H328" i="32451"/>
  <c r="J328" i="32451"/>
  <c r="H297" i="32498" s="1"/>
  <c r="H547" i="32451"/>
  <c r="J547" i="32451"/>
  <c r="H516" i="32498" s="1"/>
  <c r="L547" i="32451"/>
  <c r="L632" i="32451"/>
  <c r="H632" i="32451"/>
  <c r="J632" i="32451"/>
  <c r="H601" i="32498" s="1"/>
  <c r="L424" i="32451"/>
  <c r="H424" i="32451"/>
  <c r="J424" i="32451"/>
  <c r="H393" i="32498" s="1"/>
  <c r="H491" i="32451"/>
  <c r="L491" i="32451"/>
  <c r="J491" i="32451"/>
  <c r="H460" i="32498" s="1"/>
  <c r="L556" i="32451"/>
  <c r="H556" i="32451"/>
  <c r="J556" i="32451"/>
  <c r="H525" i="32498" s="1"/>
  <c r="H693" i="32451"/>
  <c r="L693" i="32451"/>
  <c r="J693" i="32451"/>
  <c r="H662" i="32498" s="1"/>
  <c r="L405" i="32451"/>
  <c r="L374" i="32498" s="1"/>
  <c r="H405" i="32451"/>
  <c r="J405" i="32451"/>
  <c r="L633" i="32451"/>
  <c r="J633" i="32451"/>
  <c r="H602" i="32498" s="1"/>
  <c r="H633" i="32451"/>
  <c r="L523" i="32451"/>
  <c r="H523" i="32451"/>
  <c r="J523" i="32451"/>
  <c r="H492" i="32498" s="1"/>
  <c r="H697" i="32451"/>
  <c r="J697" i="32451"/>
  <c r="H666" i="32498" s="1"/>
  <c r="L697" i="32451"/>
  <c r="L423" i="32451"/>
  <c r="H423" i="32451"/>
  <c r="J423" i="32451"/>
  <c r="H392" i="32498" s="1"/>
  <c r="H503" i="32451"/>
  <c r="J503" i="32451"/>
  <c r="H472" i="32498" s="1"/>
  <c r="L503" i="32451"/>
  <c r="L588" i="32451"/>
  <c r="H588" i="32451"/>
  <c r="J588" i="32451"/>
  <c r="H557" i="32498" s="1"/>
  <c r="H270" i="32451"/>
  <c r="L270" i="32451"/>
  <c r="J270" i="32451"/>
  <c r="H239" i="32498" s="1"/>
  <c r="H334" i="32451"/>
  <c r="L334" i="32451"/>
  <c r="J334" i="32451"/>
  <c r="H303" i="32498" s="1"/>
  <c r="H445" i="32451"/>
  <c r="L445" i="32451"/>
  <c r="J445" i="32451"/>
  <c r="L110" i="32451"/>
  <c r="J110" i="32451"/>
  <c r="H110" i="32451"/>
  <c r="L296" i="32451"/>
  <c r="H296" i="32451"/>
  <c r="J296" i="32451"/>
  <c r="H265" i="32498" s="1"/>
  <c r="L681" i="32451"/>
  <c r="H681" i="32451"/>
  <c r="J681" i="32451"/>
  <c r="H650" i="32498" s="1"/>
  <c r="L289" i="32451"/>
  <c r="H289" i="32451"/>
  <c r="J289" i="32451"/>
  <c r="H258" i="32498" s="1"/>
  <c r="H641" i="32451"/>
  <c r="L641" i="32451"/>
  <c r="J641" i="32451"/>
  <c r="H610" i="32498" s="1"/>
  <c r="L49" i="32451"/>
  <c r="J49" i="32451"/>
  <c r="H49" i="32451"/>
  <c r="H178" i="32451"/>
  <c r="L178" i="32451"/>
  <c r="J178" i="32451"/>
  <c r="H225" i="32451"/>
  <c r="L225" i="32451"/>
  <c r="J225" i="32451"/>
  <c r="H194" i="32498" s="1"/>
  <c r="L454" i="32451"/>
  <c r="H454" i="32451"/>
  <c r="J454" i="32451"/>
  <c r="H423" i="32498" s="1"/>
  <c r="L101" i="32451"/>
  <c r="H101" i="32451"/>
  <c r="J101" i="32451"/>
  <c r="L291" i="32451"/>
  <c r="H291" i="32451"/>
  <c r="J291" i="32451"/>
  <c r="H260" i="32498" s="1"/>
  <c r="H626" i="32451"/>
  <c r="J626" i="32451"/>
  <c r="H595" i="32498" s="1"/>
  <c r="L626" i="32451"/>
  <c r="L150" i="32451"/>
  <c r="H150" i="32451"/>
  <c r="J150" i="32451"/>
  <c r="H143" i="32451"/>
  <c r="J143" i="32451"/>
  <c r="L143" i="32451"/>
  <c r="H700" i="32451"/>
  <c r="L700" i="32451"/>
  <c r="L669" i="32498" s="1"/>
  <c r="J700" i="32451"/>
  <c r="H658" i="32451"/>
  <c r="L658" i="32451"/>
  <c r="J658" i="32451"/>
  <c r="H627" i="32498" s="1"/>
  <c r="L67" i="32451"/>
  <c r="H67" i="32451"/>
  <c r="J67" i="32451"/>
  <c r="J144" i="32451"/>
  <c r="H144" i="32451"/>
  <c r="L144" i="32451"/>
  <c r="H674" i="32451"/>
  <c r="L674" i="32451"/>
  <c r="J674" i="32451"/>
  <c r="H643" i="32498" s="1"/>
  <c r="H607" i="32451"/>
  <c r="J607" i="32451"/>
  <c r="H576" i="32498" s="1"/>
  <c r="L607" i="32451"/>
  <c r="H145" i="32451"/>
  <c r="L145" i="32451"/>
  <c r="J145" i="32451"/>
  <c r="L266" i="32451"/>
  <c r="H266" i="32451"/>
  <c r="J266" i="32451"/>
  <c r="H235" i="32498" s="1"/>
  <c r="H354" i="32451"/>
  <c r="L354" i="32451"/>
  <c r="J354" i="32451"/>
  <c r="H323" i="32498" s="1"/>
  <c r="H264" i="32451"/>
  <c r="L264" i="32451"/>
  <c r="J264" i="32451"/>
  <c r="H233" i="32498" s="1"/>
  <c r="L434" i="32451"/>
  <c r="H434" i="32451"/>
  <c r="J434" i="32451"/>
  <c r="H403" i="32498" s="1"/>
  <c r="L260" i="32451"/>
  <c r="H260" i="32451"/>
  <c r="J260" i="32451"/>
  <c r="H229" i="32498" s="1"/>
  <c r="H315" i="32451"/>
  <c r="L315" i="32451"/>
  <c r="J315" i="32451"/>
  <c r="H284" i="32498" s="1"/>
  <c r="H408" i="32451"/>
  <c r="L408" i="32451"/>
  <c r="L377" i="32498" s="1"/>
  <c r="J408" i="32451"/>
  <c r="L181" i="32451"/>
  <c r="H181" i="32451"/>
  <c r="J181" i="32451"/>
  <c r="L261" i="32451"/>
  <c r="J261" i="32451"/>
  <c r="H230" i="32498" s="1"/>
  <c r="H261" i="32451"/>
  <c r="H337" i="32451"/>
  <c r="L337" i="32451"/>
  <c r="J337" i="32451"/>
  <c r="H306" i="32498" s="1"/>
  <c r="H475" i="32451"/>
  <c r="L475" i="32451"/>
  <c r="L444" i="32498" s="1"/>
  <c r="J475" i="32451"/>
  <c r="H215" i="32451"/>
  <c r="L215" i="32451"/>
  <c r="J215" i="32451"/>
  <c r="H274" i="32451"/>
  <c r="L274" i="32451"/>
  <c r="J274" i="32451"/>
  <c r="H243" i="32498" s="1"/>
  <c r="L346" i="32451"/>
  <c r="H346" i="32451"/>
  <c r="J346" i="32451"/>
  <c r="H315" i="32498" s="1"/>
  <c r="L444" i="32451"/>
  <c r="H444" i="32451"/>
  <c r="J444" i="32451"/>
  <c r="H413" i="32498" s="1"/>
  <c r="L640" i="32451"/>
  <c r="J640" i="32451"/>
  <c r="H609" i="32498" s="1"/>
  <c r="H640" i="32451"/>
  <c r="H367" i="32451"/>
  <c r="L367" i="32451"/>
  <c r="J367" i="32451"/>
  <c r="H336" i="32498" s="1"/>
  <c r="H561" i="32451"/>
  <c r="J561" i="32451"/>
  <c r="H530" i="32498" s="1"/>
  <c r="L561" i="32451"/>
  <c r="H698" i="32451"/>
  <c r="L698" i="32451"/>
  <c r="L667" i="32498" s="1"/>
  <c r="J698" i="32451"/>
  <c r="L410" i="32451"/>
  <c r="L379" i="32498" s="1"/>
  <c r="J410" i="32451"/>
  <c r="H379" i="32498" s="1"/>
  <c r="H410" i="32451"/>
  <c r="L578" i="32451"/>
  <c r="J578" i="32451"/>
  <c r="H547" i="32498" s="1"/>
  <c r="H578" i="32451"/>
  <c r="H701" i="32451"/>
  <c r="J701" i="32451"/>
  <c r="L701" i="32451"/>
  <c r="L670" i="32498" s="1"/>
  <c r="L616" i="32451"/>
  <c r="H616" i="32451"/>
  <c r="J616" i="32451"/>
  <c r="H585" i="32498" s="1"/>
  <c r="H677" i="32451"/>
  <c r="L677" i="32451"/>
  <c r="J677" i="32451"/>
  <c r="H646" i="32498" s="1"/>
  <c r="L536" i="32451"/>
  <c r="J536" i="32451"/>
  <c r="H505" i="32498" s="1"/>
  <c r="H536" i="32451"/>
  <c r="H613" i="32451"/>
  <c r="L613" i="32451"/>
  <c r="J613" i="32451"/>
  <c r="H582" i="32498" s="1"/>
  <c r="H435" i="32451"/>
  <c r="L435" i="32451"/>
  <c r="J435" i="32451"/>
  <c r="H404" i="32498" s="1"/>
  <c r="L507" i="32451"/>
  <c r="J507" i="32451"/>
  <c r="H476" i="32498" s="1"/>
  <c r="H507" i="32451"/>
  <c r="L592" i="32451"/>
  <c r="L561" i="32498" s="1"/>
  <c r="J592" i="32451"/>
  <c r="H592" i="32451"/>
  <c r="L388" i="32451"/>
  <c r="H388" i="32451"/>
  <c r="J388" i="32451"/>
  <c r="H357" i="32498" s="1"/>
  <c r="H529" i="32451"/>
  <c r="L529" i="32451"/>
  <c r="J529" i="32451"/>
  <c r="H498" i="32498" s="1"/>
  <c r="H467" i="32451"/>
  <c r="L467" i="32451"/>
  <c r="J467" i="32451"/>
  <c r="H436" i="32498" s="1"/>
  <c r="L132" i="32451"/>
  <c r="H132" i="32451"/>
  <c r="J132" i="32451"/>
  <c r="H342" i="32451"/>
  <c r="L342" i="32451"/>
  <c r="L311" i="32498" s="1"/>
  <c r="J342" i="32451"/>
  <c r="H311" i="32498" s="1"/>
  <c r="H297" i="32451"/>
  <c r="L297" i="32451"/>
  <c r="J297" i="32451"/>
  <c r="H266" i="32498" s="1"/>
  <c r="H432" i="32451"/>
  <c r="L432" i="32451"/>
  <c r="J432" i="32451"/>
  <c r="H401" i="32498" s="1"/>
  <c r="L57" i="32451"/>
  <c r="L26" i="32498" s="1"/>
  <c r="H57" i="32451"/>
  <c r="J57" i="32451"/>
  <c r="L203" i="32451"/>
  <c r="H203" i="32451"/>
  <c r="J203" i="32451"/>
  <c r="L478" i="32451"/>
  <c r="H478" i="32451"/>
  <c r="J478" i="32451"/>
  <c r="H447" i="32498" s="1"/>
  <c r="H326" i="32451"/>
  <c r="L326" i="32451"/>
  <c r="J326" i="32451"/>
  <c r="H295" i="32498" s="1"/>
  <c r="L64" i="32451"/>
  <c r="L33" i="32498" s="1"/>
  <c r="H64" i="32451"/>
  <c r="J64" i="32451"/>
  <c r="L576" i="32451"/>
  <c r="J576" i="32451"/>
  <c r="H545" i="32498" s="1"/>
  <c r="H576" i="32451"/>
  <c r="L238" i="32451"/>
  <c r="H238" i="32451"/>
  <c r="J238" i="32451"/>
  <c r="H207" i="32498" s="1"/>
  <c r="H471" i="32451"/>
  <c r="L471" i="32451"/>
  <c r="J471" i="32451"/>
  <c r="H440" i="32498" s="1"/>
  <c r="L114" i="32451"/>
  <c r="H114" i="32451"/>
  <c r="J114" i="32451"/>
  <c r="H317" i="32451"/>
  <c r="L317" i="32451"/>
  <c r="J317" i="32451"/>
  <c r="H286" i="32498" s="1"/>
  <c r="H650" i="32451"/>
  <c r="L650" i="32451"/>
  <c r="J650" i="32451"/>
  <c r="H619" i="32498" s="1"/>
  <c r="L62" i="32451"/>
  <c r="L31" i="32498" s="1"/>
  <c r="J62" i="32451"/>
  <c r="H62" i="32451"/>
  <c r="H198" i="32451"/>
  <c r="L198" i="32451"/>
  <c r="J198" i="32451"/>
  <c r="L285" i="32451"/>
  <c r="H285" i="32451"/>
  <c r="J285" i="32451"/>
  <c r="H254" i="32498" s="1"/>
  <c r="L495" i="32451"/>
  <c r="J495" i="32451"/>
  <c r="H464" i="32498" s="1"/>
  <c r="H495" i="32451"/>
  <c r="J34" i="32451"/>
  <c r="L34" i="32451"/>
  <c r="L3" i="32498" s="1"/>
  <c r="H34" i="32451"/>
  <c r="H99" i="32451"/>
  <c r="L99" i="32451"/>
  <c r="J99" i="32451"/>
  <c r="H485" i="32451"/>
  <c r="L485" i="32451"/>
  <c r="J485" i="32451"/>
  <c r="H454" i="32498" s="1"/>
  <c r="H148" i="32451"/>
  <c r="L148" i="32451"/>
  <c r="J148" i="32451"/>
  <c r="L242" i="32451"/>
  <c r="H242" i="32451"/>
  <c r="J242" i="32451"/>
  <c r="H211" i="32498" s="1"/>
  <c r="H353" i="32451"/>
  <c r="L353" i="32451"/>
  <c r="J353" i="32451"/>
  <c r="H322" i="32498" s="1"/>
  <c r="L535" i="32451"/>
  <c r="L504" i="32498" s="1"/>
  <c r="H535" i="32451"/>
  <c r="J535" i="32451"/>
  <c r="H685" i="32451"/>
  <c r="J685" i="32451"/>
  <c r="H654" i="32498" s="1"/>
  <c r="L685" i="32451"/>
  <c r="H119" i="32451"/>
  <c r="L119" i="32451"/>
  <c r="J119" i="32451"/>
  <c r="H229" i="32451"/>
  <c r="L229" i="32451"/>
  <c r="J229" i="32451"/>
  <c r="H198" i="32498" s="1"/>
  <c r="H88" i="32451"/>
  <c r="L88" i="32451"/>
  <c r="J88" i="32451"/>
  <c r="L370" i="32451"/>
  <c r="H370" i="32451"/>
  <c r="J370" i="32451"/>
  <c r="H339" i="32498" s="1"/>
  <c r="L598" i="32451"/>
  <c r="J598" i="32451"/>
  <c r="H567" i="32498" s="1"/>
  <c r="H598" i="32451"/>
  <c r="H336" i="32451"/>
  <c r="L336" i="32451"/>
  <c r="J336" i="32451"/>
  <c r="H305" i="32498" s="1"/>
  <c r="H273" i="32451"/>
  <c r="J273" i="32451"/>
  <c r="H242" i="32498" s="1"/>
  <c r="L273" i="32451"/>
  <c r="H184" i="32451"/>
  <c r="L184" i="32451"/>
  <c r="J184" i="32451"/>
  <c r="H252" i="32451"/>
  <c r="L252" i="32451"/>
  <c r="J252" i="32451"/>
  <c r="H221" i="32498" s="1"/>
  <c r="L631" i="32451"/>
  <c r="H631" i="32451"/>
  <c r="J631" i="32451"/>
  <c r="H600" i="32498" s="1"/>
  <c r="L189" i="32451"/>
  <c r="H189" i="32451"/>
  <c r="J189" i="32451"/>
  <c r="L265" i="32451"/>
  <c r="J265" i="32451"/>
  <c r="H234" i="32498" s="1"/>
  <c r="H265" i="32451"/>
  <c r="L639" i="32451"/>
  <c r="H639" i="32451"/>
  <c r="J639" i="32451"/>
  <c r="H608" i="32498" s="1"/>
  <c r="L287" i="32451"/>
  <c r="H287" i="32451"/>
  <c r="J287" i="32451"/>
  <c r="H256" i="32498" s="1"/>
  <c r="H647" i="32451"/>
  <c r="J647" i="32451"/>
  <c r="H616" i="32498" s="1"/>
  <c r="L647" i="32451"/>
  <c r="L439" i="32451"/>
  <c r="H439" i="32451"/>
  <c r="J439" i="32451"/>
  <c r="H408" i="32498" s="1"/>
  <c r="L568" i="32451"/>
  <c r="L537" i="32498" s="1"/>
  <c r="H568" i="32451"/>
  <c r="J568" i="32451"/>
  <c r="L414" i="32451"/>
  <c r="L383" i="32498" s="1"/>
  <c r="H414" i="32451"/>
  <c r="J414" i="32451"/>
  <c r="H493" i="32451"/>
  <c r="L493" i="32451"/>
  <c r="J493" i="32451"/>
  <c r="H462" i="32498" s="1"/>
  <c r="L642" i="32451"/>
  <c r="H642" i="32451"/>
  <c r="J642" i="32451"/>
  <c r="H611" i="32498" s="1"/>
  <c r="H706" i="32451"/>
  <c r="J706" i="32451"/>
  <c r="L706" i="32451"/>
  <c r="L675" i="32498" s="1"/>
  <c r="H406" i="32451"/>
  <c r="L406" i="32451"/>
  <c r="J406" i="32451"/>
  <c r="H625" i="32451"/>
  <c r="L625" i="32451"/>
  <c r="J625" i="32451"/>
  <c r="H594" i="32498" s="1"/>
  <c r="L462" i="32451"/>
  <c r="H462" i="32451"/>
  <c r="J462" i="32451"/>
  <c r="H431" i="32498" s="1"/>
  <c r="L597" i="32451"/>
  <c r="L566" i="32498" s="1"/>
  <c r="H597" i="32451"/>
  <c r="J597" i="32451"/>
  <c r="L48" i="32451"/>
  <c r="L17" i="32498" s="1"/>
  <c r="H48" i="32451"/>
  <c r="J48" i="32451"/>
  <c r="L506" i="32451"/>
  <c r="J506" i="32451"/>
  <c r="H475" i="32498" s="1"/>
  <c r="H506" i="32451"/>
  <c r="H159" i="32451"/>
  <c r="L159" i="32451"/>
  <c r="J159" i="32451"/>
  <c r="H212" i="32451"/>
  <c r="L212" i="32451"/>
  <c r="J212" i="32451"/>
  <c r="H120" i="32451"/>
  <c r="J120" i="32451"/>
  <c r="L120" i="32451"/>
  <c r="H339" i="32451"/>
  <c r="L339" i="32451"/>
  <c r="J339" i="32451"/>
  <c r="H308" i="32498" s="1"/>
  <c r="H224" i="32451"/>
  <c r="J224" i="32451"/>
  <c r="H193" i="32498" s="1"/>
  <c r="L224" i="32451"/>
  <c r="L77" i="32451"/>
  <c r="J77" i="32451"/>
  <c r="H77" i="32451"/>
  <c r="H211" i="32451"/>
  <c r="L211" i="32451"/>
  <c r="J211" i="32451"/>
  <c r="L133" i="32451"/>
  <c r="H133" i="32451"/>
  <c r="J133" i="32451"/>
  <c r="L134" i="32451"/>
  <c r="H134" i="32451"/>
  <c r="J134" i="32451"/>
  <c r="L121" i="32451"/>
  <c r="J121" i="32451"/>
  <c r="H121" i="32451"/>
  <c r="H341" i="32451"/>
  <c r="L341" i="32451"/>
  <c r="J341" i="32451"/>
  <c r="H310" i="32498" s="1"/>
  <c r="H694" i="32451"/>
  <c r="J694" i="32451"/>
  <c r="H663" i="32498" s="1"/>
  <c r="L694" i="32451"/>
  <c r="L361" i="32451"/>
  <c r="H361" i="32451"/>
  <c r="J361" i="32451"/>
  <c r="H330" i="32498" s="1"/>
  <c r="H699" i="32451"/>
  <c r="J699" i="32451"/>
  <c r="L699" i="32451"/>
  <c r="L668" i="32498" s="1"/>
  <c r="L172" i="32451"/>
  <c r="H172" i="32451"/>
  <c r="J172" i="32451"/>
  <c r="H465" i="32451"/>
  <c r="J465" i="32451"/>
  <c r="H434" i="32498" s="1"/>
  <c r="L465" i="32451"/>
  <c r="L130" i="32451"/>
  <c r="H130" i="32451"/>
  <c r="J130" i="32451"/>
  <c r="L206" i="32451"/>
  <c r="H206" i="32451"/>
  <c r="J206" i="32451"/>
  <c r="L308" i="32451"/>
  <c r="H308" i="32451"/>
  <c r="J308" i="32451"/>
  <c r="H277" i="32498" s="1"/>
  <c r="L103" i="32451"/>
  <c r="J103" i="32451"/>
  <c r="H103" i="32451"/>
  <c r="L314" i="32451"/>
  <c r="H314" i="32451"/>
  <c r="J314" i="32451"/>
  <c r="H283" i="32498" s="1"/>
  <c r="L75" i="32451"/>
  <c r="H75" i="32451"/>
  <c r="J75" i="32451"/>
  <c r="L237" i="32451"/>
  <c r="H237" i="32451"/>
  <c r="J237" i="32451"/>
  <c r="H206" i="32498" s="1"/>
  <c r="H430" i="32451"/>
  <c r="L430" i="32451"/>
  <c r="J430" i="32451"/>
  <c r="H399" i="32498" s="1"/>
  <c r="L395" i="32451"/>
  <c r="H395" i="32451"/>
  <c r="J395" i="32451"/>
  <c r="H364" i="32498" s="1"/>
  <c r="H448" i="32451"/>
  <c r="L448" i="32451"/>
  <c r="J448" i="32451"/>
  <c r="H417" i="32498" s="1"/>
  <c r="L601" i="32451"/>
  <c r="H601" i="32451"/>
  <c r="J601" i="32451"/>
  <c r="H570" i="32498" s="1"/>
  <c r="L201" i="32451"/>
  <c r="H201" i="32451"/>
  <c r="J201" i="32451"/>
  <c r="H277" i="32451"/>
  <c r="L277" i="32451"/>
  <c r="J277" i="32451"/>
  <c r="H246" i="32498" s="1"/>
  <c r="L357" i="32451"/>
  <c r="H357" i="32451"/>
  <c r="J357" i="32451"/>
  <c r="H326" i="32498" s="1"/>
  <c r="H324" i="32451"/>
  <c r="L324" i="32451"/>
  <c r="J324" i="32451"/>
  <c r="H293" i="32498" s="1"/>
  <c r="L193" i="32451"/>
  <c r="H193" i="32451"/>
  <c r="J193" i="32451"/>
  <c r="L646" i="32451"/>
  <c r="H646" i="32451"/>
  <c r="J646" i="32451"/>
  <c r="H615" i="32498" s="1"/>
  <c r="L457" i="32451"/>
  <c r="H457" i="32451"/>
  <c r="J457" i="32451"/>
  <c r="H426" i="32498" s="1"/>
  <c r="H573" i="32451"/>
  <c r="J573" i="32451"/>
  <c r="H542" i="32498" s="1"/>
  <c r="L573" i="32451"/>
  <c r="H649" i="32451"/>
  <c r="L649" i="32451"/>
  <c r="J649" i="32451"/>
  <c r="H618" i="32498" s="1"/>
  <c r="L422" i="32451"/>
  <c r="J422" i="32451"/>
  <c r="H391" i="32498" s="1"/>
  <c r="H422" i="32451"/>
  <c r="H501" i="32451"/>
  <c r="L501" i="32451"/>
  <c r="L470" i="32498" s="1"/>
  <c r="J501" i="32451"/>
  <c r="L587" i="32451"/>
  <c r="H587" i="32451"/>
  <c r="J587" i="32451"/>
  <c r="H556" i="32498" s="1"/>
  <c r="L629" i="32451"/>
  <c r="H629" i="32451"/>
  <c r="J629" i="32451"/>
  <c r="H598" i="32498" s="1"/>
  <c r="L398" i="32451"/>
  <c r="H398" i="32451"/>
  <c r="J398" i="32451"/>
  <c r="L548" i="32451"/>
  <c r="J548" i="32451"/>
  <c r="H517" i="32498" s="1"/>
  <c r="H548" i="32451"/>
  <c r="L443" i="32451"/>
  <c r="H443" i="32451"/>
  <c r="J443" i="32451"/>
  <c r="H412" i="32498" s="1"/>
  <c r="L672" i="32451"/>
  <c r="J672" i="32451"/>
  <c r="H641" i="32498" s="1"/>
  <c r="H672" i="32451"/>
  <c r="H137" i="32451"/>
  <c r="L137" i="32451"/>
  <c r="J137" i="32451"/>
  <c r="H652" i="32451"/>
  <c r="L652" i="32451"/>
  <c r="J652" i="32451"/>
  <c r="H621" i="32498" s="1"/>
  <c r="H318" i="32451"/>
  <c r="L318" i="32451"/>
  <c r="J318" i="32451"/>
  <c r="H287" i="32498" s="1"/>
  <c r="H492" i="32451"/>
  <c r="L492" i="32451"/>
  <c r="J492" i="32451"/>
  <c r="H461" i="32498" s="1"/>
  <c r="H538" i="32451"/>
  <c r="L538" i="32451"/>
  <c r="J538" i="32451"/>
  <c r="H507" i="32498" s="1"/>
  <c r="H126" i="32451"/>
  <c r="L126" i="32451"/>
  <c r="J126" i="32451"/>
  <c r="H352" i="32451"/>
  <c r="J352" i="32451"/>
  <c r="H321" i="32498" s="1"/>
  <c r="L352" i="32451"/>
  <c r="H246" i="32451"/>
  <c r="L246" i="32451"/>
  <c r="J246" i="32451"/>
  <c r="H215" i="32498" s="1"/>
  <c r="H84" i="32451"/>
  <c r="L84" i="32451"/>
  <c r="J84" i="32451"/>
  <c r="H614" i="32451"/>
  <c r="J614" i="32451"/>
  <c r="H583" i="32498" s="1"/>
  <c r="L614" i="32451"/>
  <c r="L359" i="32451"/>
  <c r="H359" i="32451"/>
  <c r="J359" i="32451"/>
  <c r="H328" i="32498" s="1"/>
  <c r="L668" i="32451"/>
  <c r="H668" i="32451"/>
  <c r="J668" i="32451"/>
  <c r="H637" i="32498" s="1"/>
  <c r="H128" i="32451"/>
  <c r="J128" i="32451"/>
  <c r="L128" i="32451"/>
  <c r="L40" i="32451"/>
  <c r="L9" i="32498" s="1"/>
  <c r="J40" i="32451"/>
  <c r="H40" i="32451"/>
  <c r="H171" i="32451"/>
  <c r="L171" i="32451"/>
  <c r="J171" i="32451"/>
  <c r="L383" i="32451"/>
  <c r="L352" i="32498" s="1"/>
  <c r="H383" i="32451"/>
  <c r="J383" i="32451"/>
  <c r="H352" i="32498" s="1"/>
  <c r="L74" i="32451"/>
  <c r="H74" i="32451"/>
  <c r="J74" i="32451"/>
  <c r="L135" i="32451"/>
  <c r="H135" i="32451"/>
  <c r="J135" i="32451"/>
  <c r="H322" i="32451"/>
  <c r="L322" i="32451"/>
  <c r="J322" i="32451"/>
  <c r="H291" i="32498" s="1"/>
  <c r="H46" i="32451"/>
  <c r="J46" i="32451"/>
  <c r="L46" i="32451"/>
  <c r="L15" i="32498" s="1"/>
  <c r="L521" i="32451"/>
  <c r="H521" i="32451"/>
  <c r="J521" i="32451"/>
  <c r="H490" i="32498" s="1"/>
  <c r="L79" i="32451"/>
  <c r="H79" i="32451"/>
  <c r="J79" i="32451"/>
  <c r="H161" i="32451"/>
  <c r="L161" i="32451"/>
  <c r="J161" i="32451"/>
  <c r="H557" i="32451"/>
  <c r="L557" i="32451"/>
  <c r="J557" i="32451"/>
  <c r="H526" i="32498" s="1"/>
  <c r="L251" i="32451"/>
  <c r="H251" i="32451"/>
  <c r="J251" i="32451"/>
  <c r="H220" i="32498" s="1"/>
  <c r="L100" i="32451"/>
  <c r="H100" i="32451"/>
  <c r="J100" i="32451"/>
  <c r="L288" i="32451"/>
  <c r="H288" i="32451"/>
  <c r="J288" i="32451"/>
  <c r="H257" i="32498" s="1"/>
  <c r="L418" i="32451"/>
  <c r="H418" i="32451"/>
  <c r="J418" i="32451"/>
  <c r="H387" i="32498" s="1"/>
  <c r="L620" i="32451"/>
  <c r="H620" i="32451"/>
  <c r="J620" i="32451"/>
  <c r="H589" i="32498" s="1"/>
  <c r="L208" i="32451"/>
  <c r="H208" i="32451"/>
  <c r="J208" i="32451"/>
  <c r="H344" i="32451"/>
  <c r="L344" i="32451"/>
  <c r="J344" i="32451"/>
  <c r="H313" i="32498" s="1"/>
  <c r="H474" i="32451"/>
  <c r="J474" i="32451"/>
  <c r="H443" i="32498" s="1"/>
  <c r="L474" i="32451"/>
  <c r="H608" i="32451"/>
  <c r="L608" i="32451"/>
  <c r="J608" i="32451"/>
  <c r="H577" i="32498" s="1"/>
  <c r="L205" i="32451"/>
  <c r="H205" i="32451"/>
  <c r="J205" i="32451"/>
  <c r="L365" i="32451"/>
  <c r="H365" i="32451"/>
  <c r="J365" i="32451"/>
  <c r="H334" i="32498" s="1"/>
  <c r="L488" i="32451"/>
  <c r="H488" i="32451"/>
  <c r="J488" i="32451"/>
  <c r="H457" i="32498" s="1"/>
  <c r="L594" i="32451"/>
  <c r="L563" i="32498" s="1"/>
  <c r="H594" i="32451"/>
  <c r="J594" i="32451"/>
  <c r="L436" i="32451"/>
  <c r="L405" i="32498" s="1"/>
  <c r="H436" i="32451"/>
  <c r="J436" i="32451"/>
  <c r="L539" i="32451"/>
  <c r="L508" i="32498" s="1"/>
  <c r="J539" i="32451"/>
  <c r="H539" i="32451"/>
  <c r="L350" i="32451"/>
  <c r="H350" i="32451"/>
  <c r="J350" i="32451"/>
  <c r="H319" i="32498" s="1"/>
  <c r="H655" i="32451"/>
  <c r="L655" i="32451"/>
  <c r="J655" i="32451"/>
  <c r="H624" i="32498" s="1"/>
  <c r="H447" i="32451"/>
  <c r="L447" i="32451"/>
  <c r="J447" i="32451"/>
  <c r="H416" i="32498" s="1"/>
  <c r="H516" i="32451"/>
  <c r="L516" i="32451"/>
  <c r="L485" i="32498" s="1"/>
  <c r="J516" i="32451"/>
  <c r="L580" i="32451"/>
  <c r="H580" i="32451"/>
  <c r="J580" i="32451"/>
  <c r="H549" i="32498" s="1"/>
  <c r="L654" i="32451"/>
  <c r="H654" i="32451"/>
  <c r="J654" i="32451"/>
  <c r="H623" i="32498" s="1"/>
  <c r="H426" i="32451"/>
  <c r="L426" i="32451"/>
  <c r="J426" i="32451"/>
  <c r="H395" i="32498" s="1"/>
  <c r="L360" i="32451"/>
  <c r="H360" i="32451"/>
  <c r="J360" i="32451"/>
  <c r="H329" i="32498" s="1"/>
  <c r="H502" i="32451"/>
  <c r="L502" i="32451"/>
  <c r="J502" i="32451"/>
  <c r="H471" i="32498" s="1"/>
  <c r="H402" i="32451"/>
  <c r="J402" i="32451"/>
  <c r="H371" i="32498" s="1"/>
  <c r="L402" i="32451"/>
  <c r="H477" i="32451"/>
  <c r="L477" i="32451"/>
  <c r="J477" i="32451"/>
  <c r="H446" i="32498" s="1"/>
  <c r="H378" i="32451"/>
  <c r="L378" i="32451"/>
  <c r="J378" i="32451"/>
  <c r="H347" i="32498" s="1"/>
  <c r="H519" i="32451"/>
  <c r="L519" i="32451"/>
  <c r="J519" i="32451"/>
  <c r="H488" i="32498" s="1"/>
  <c r="L678" i="32451"/>
  <c r="H678" i="32451"/>
  <c r="J678" i="32451"/>
  <c r="H647" i="32498" s="1"/>
  <c r="L550" i="32451"/>
  <c r="L519" i="32498" s="1"/>
  <c r="H550" i="32451"/>
  <c r="J550" i="32451"/>
  <c r="H56" i="32451"/>
  <c r="J56" i="32451"/>
  <c r="L56" i="32451"/>
  <c r="L25" i="32498" s="1"/>
  <c r="L219" i="32451"/>
  <c r="H219" i="32451"/>
  <c r="J219" i="32451"/>
  <c r="L259" i="32451"/>
  <c r="H259" i="32451"/>
  <c r="J259" i="32451"/>
  <c r="H228" i="32498" s="1"/>
  <c r="H627" i="32451"/>
  <c r="L627" i="32451"/>
  <c r="J627" i="32451"/>
  <c r="H596" i="32498" s="1"/>
  <c r="L508" i="32451"/>
  <c r="L477" i="32498" s="1"/>
  <c r="H508" i="32451"/>
  <c r="J508" i="32451"/>
  <c r="L253" i="32451"/>
  <c r="H253" i="32451"/>
  <c r="J253" i="32451"/>
  <c r="H222" i="32498" s="1"/>
  <c r="L275" i="32451"/>
  <c r="H275" i="32451"/>
  <c r="J275" i="32451"/>
  <c r="H244" i="32498" s="1"/>
  <c r="L636" i="32451"/>
  <c r="H636" i="32451"/>
  <c r="J636" i="32451"/>
  <c r="H605" i="32498" s="1"/>
  <c r="H147" i="32451"/>
  <c r="L147" i="32451"/>
  <c r="J147" i="32451"/>
  <c r="L156" i="32451"/>
  <c r="H156" i="32451"/>
  <c r="J156" i="32451"/>
  <c r="H376" i="32451"/>
  <c r="L376" i="32451"/>
  <c r="J376" i="32451"/>
  <c r="H345" i="32498" s="1"/>
  <c r="H53" i="32451"/>
  <c r="J53" i="32451"/>
  <c r="L53" i="32451"/>
  <c r="L22" i="32498" s="1"/>
  <c r="H183" i="32451"/>
  <c r="L183" i="32451"/>
  <c r="J183" i="32451"/>
  <c r="H399" i="32451"/>
  <c r="J399" i="32451"/>
  <c r="H368" i="32498" s="1"/>
  <c r="L399" i="32451"/>
  <c r="L60" i="32451"/>
  <c r="L29" i="32498" s="1"/>
  <c r="J60" i="32451"/>
  <c r="H60" i="32451"/>
  <c r="L329" i="32451"/>
  <c r="H329" i="32451"/>
  <c r="J329" i="32451"/>
  <c r="H298" i="32498" s="1"/>
  <c r="L111" i="32451"/>
  <c r="H111" i="32451"/>
  <c r="J111" i="32451"/>
  <c r="L534" i="32451"/>
  <c r="L503" i="32498" s="1"/>
  <c r="H534" i="32451"/>
  <c r="J534" i="32451"/>
  <c r="L165" i="32451"/>
  <c r="J165" i="32451"/>
  <c r="H165" i="32451"/>
  <c r="L404" i="32451"/>
  <c r="J404" i="32451"/>
  <c r="H373" i="32498" s="1"/>
  <c r="H404" i="32451"/>
  <c r="L272" i="32451"/>
  <c r="H272" i="32451"/>
  <c r="J272" i="32451"/>
  <c r="H241" i="32498" s="1"/>
  <c r="L464" i="32451"/>
  <c r="L433" i="32498" s="1"/>
  <c r="J464" i="32451"/>
  <c r="H464" i="32451"/>
  <c r="J35" i="32451"/>
  <c r="L35" i="32451"/>
  <c r="L4" i="32498" s="1"/>
  <c r="H35" i="32451"/>
  <c r="H431" i="32451"/>
  <c r="L431" i="32451"/>
  <c r="J431" i="32451"/>
  <c r="H400" i="32498" s="1"/>
  <c r="L221" i="32451"/>
  <c r="H221" i="32451"/>
  <c r="J221" i="32451"/>
  <c r="L280" i="32451"/>
  <c r="H280" i="32451"/>
  <c r="J280" i="32451"/>
  <c r="H249" i="32498" s="1"/>
  <c r="L356" i="32451"/>
  <c r="J356" i="32451"/>
  <c r="H325" i="32498" s="1"/>
  <c r="H356" i="32451"/>
  <c r="L481" i="32451"/>
  <c r="J481" i="32451"/>
  <c r="H450" i="32498" s="1"/>
  <c r="H481" i="32451"/>
  <c r="L372" i="32451"/>
  <c r="H372" i="32451"/>
  <c r="J372" i="32451"/>
  <c r="H341" i="32498" s="1"/>
  <c r="L496" i="32451"/>
  <c r="H496" i="32451"/>
  <c r="J496" i="32451"/>
  <c r="H465" i="32498" s="1"/>
  <c r="H196" i="32451"/>
  <c r="L196" i="32451"/>
  <c r="J196" i="32451"/>
  <c r="L442" i="32451"/>
  <c r="H442" i="32451"/>
  <c r="J442" i="32451"/>
  <c r="H411" i="32498" s="1"/>
  <c r="H663" i="32451"/>
  <c r="L663" i="32451"/>
  <c r="J663" i="32451"/>
  <c r="H632" i="32498" s="1"/>
  <c r="L358" i="32451"/>
  <c r="H358" i="32451"/>
  <c r="J358" i="32451"/>
  <c r="H327" i="32498" s="1"/>
  <c r="H664" i="32451"/>
  <c r="L664" i="32451"/>
  <c r="J664" i="32451"/>
  <c r="H633" i="32498" s="1"/>
  <c r="H231" i="32451"/>
  <c r="L231" i="32451"/>
  <c r="J231" i="32451"/>
  <c r="H200" i="32498" s="1"/>
  <c r="L374" i="32451"/>
  <c r="L343" i="32498" s="1"/>
  <c r="H374" i="32451"/>
  <c r="J374" i="32451"/>
  <c r="L470" i="32451"/>
  <c r="L439" i="32498" s="1"/>
  <c r="H470" i="32451"/>
  <c r="J470" i="32451"/>
  <c r="L581" i="32451"/>
  <c r="L550" i="32498" s="1"/>
  <c r="J581" i="32451"/>
  <c r="H581" i="32451"/>
  <c r="H585" i="32451"/>
  <c r="L585" i="32451"/>
  <c r="J585" i="32451"/>
  <c r="H554" i="32498" s="1"/>
  <c r="L530" i="32451"/>
  <c r="H530" i="32451"/>
  <c r="J530" i="32451"/>
  <c r="H499" i="32498" s="1"/>
  <c r="H638" i="32451"/>
  <c r="J638" i="32451"/>
  <c r="H607" i="32498" s="1"/>
  <c r="L638" i="32451"/>
  <c r="L411" i="32451"/>
  <c r="H411" i="32451"/>
  <c r="J411" i="32451"/>
  <c r="H380" i="32498" s="1"/>
  <c r="L560" i="32451"/>
  <c r="L529" i="32498" s="1"/>
  <c r="H560" i="32451"/>
  <c r="J560" i="32451"/>
  <c r="H382" i="32451"/>
  <c r="L382" i="32451"/>
  <c r="J382" i="32451"/>
  <c r="H351" i="32498" s="1"/>
  <c r="L455" i="32451"/>
  <c r="H455" i="32451"/>
  <c r="J455" i="32451"/>
  <c r="H424" i="32498" s="1"/>
  <c r="L622" i="32451"/>
  <c r="H622" i="32451"/>
  <c r="J622" i="32451"/>
  <c r="H591" i="32498" s="1"/>
  <c r="H682" i="32451"/>
  <c r="J682" i="32451"/>
  <c r="H651" i="32498" s="1"/>
  <c r="L682" i="32451"/>
  <c r="H81" i="32451"/>
  <c r="L81" i="32451"/>
  <c r="J81" i="32451"/>
  <c r="L310" i="32451"/>
  <c r="H310" i="32451"/>
  <c r="J310" i="32451"/>
  <c r="H279" i="32498" s="1"/>
  <c r="H590" i="32451"/>
  <c r="L590" i="32451"/>
  <c r="J590" i="32451"/>
  <c r="H559" i="32498" s="1"/>
  <c r="L551" i="32451"/>
  <c r="J551" i="32451"/>
  <c r="H520" i="32498" s="1"/>
  <c r="H551" i="32451"/>
  <c r="L85" i="32451"/>
  <c r="H85" i="32451"/>
  <c r="J85" i="32451"/>
  <c r="L263" i="32451"/>
  <c r="H263" i="32451"/>
  <c r="J263" i="32451"/>
  <c r="H232" i="32498" s="1"/>
  <c r="L599" i="32451"/>
  <c r="H599" i="32451"/>
  <c r="J599" i="32451"/>
  <c r="H568" i="32498" s="1"/>
  <c r="L149" i="32451"/>
  <c r="H149" i="32451"/>
  <c r="J149" i="32451"/>
  <c r="H249" i="32451"/>
  <c r="J249" i="32451"/>
  <c r="H218" i="32498" s="1"/>
  <c r="L249" i="32451"/>
  <c r="J36" i="32451"/>
  <c r="H36" i="32451"/>
  <c r="L36" i="32451"/>
  <c r="L5" i="32498" s="1"/>
  <c r="H155" i="32451"/>
  <c r="L155" i="32451"/>
  <c r="J155" i="32451"/>
  <c r="H665" i="32451"/>
  <c r="L665" i="32451"/>
  <c r="J665" i="32451"/>
  <c r="H634" i="32498" s="1"/>
  <c r="H163" i="32451"/>
  <c r="L163" i="32451"/>
  <c r="J163" i="32451"/>
  <c r="H397" i="32451"/>
  <c r="J397" i="32451"/>
  <c r="H366" i="32498" s="1"/>
  <c r="L397" i="32451"/>
  <c r="H45" i="32451"/>
  <c r="L45" i="32451"/>
  <c r="J45" i="32451"/>
  <c r="L142" i="32451"/>
  <c r="H142" i="32451"/>
  <c r="J142" i="32451"/>
  <c r="J66" i="32451"/>
  <c r="L66" i="32451"/>
  <c r="H66" i="32451"/>
  <c r="L586" i="32451"/>
  <c r="H586" i="32451"/>
  <c r="J586" i="32451"/>
  <c r="H555" i="32498" s="1"/>
  <c r="H82" i="32451"/>
  <c r="L82" i="32451"/>
  <c r="J82" i="32451"/>
  <c r="H228" i="32451"/>
  <c r="L228" i="32451"/>
  <c r="J228" i="32451"/>
  <c r="H197" i="32498" s="1"/>
  <c r="J58" i="32451"/>
  <c r="H58" i="32451"/>
  <c r="L58" i="32451"/>
  <c r="L27" i="32498" s="1"/>
  <c r="H115" i="32451"/>
  <c r="L115" i="32451"/>
  <c r="J115" i="32451"/>
  <c r="L39" i="32451"/>
  <c r="L8" i="32498" s="1"/>
  <c r="H39" i="32451"/>
  <c r="J39" i="32451"/>
  <c r="L169" i="32451"/>
  <c r="H169" i="32451"/>
  <c r="J169" i="32451"/>
  <c r="H417" i="32451"/>
  <c r="L417" i="32451"/>
  <c r="J417" i="32451"/>
  <c r="H386" i="32498" s="1"/>
  <c r="L582" i="32451"/>
  <c r="H582" i="32451"/>
  <c r="J582" i="32451"/>
  <c r="H551" i="32498" s="1"/>
  <c r="H153" i="32451"/>
  <c r="L153" i="32451"/>
  <c r="J153" i="32451"/>
  <c r="L295" i="32451"/>
  <c r="J295" i="32451"/>
  <c r="H264" i="32498" s="1"/>
  <c r="H295" i="32451"/>
  <c r="L112" i="32451"/>
  <c r="H112" i="32451"/>
  <c r="J112" i="32451"/>
  <c r="L182" i="32451"/>
  <c r="J182" i="32451"/>
  <c r="H182" i="32451"/>
  <c r="L440" i="32451"/>
  <c r="H440" i="32451"/>
  <c r="J440" i="32451"/>
  <c r="H409" i="32498" s="1"/>
  <c r="H675" i="32451"/>
  <c r="L675" i="32451"/>
  <c r="J675" i="32451"/>
  <c r="H644" i="32498" s="1"/>
  <c r="L226" i="32451"/>
  <c r="H226" i="32451"/>
  <c r="J226" i="32451"/>
  <c r="H195" i="32498" s="1"/>
  <c r="L293" i="32451"/>
  <c r="H293" i="32451"/>
  <c r="J293" i="32451"/>
  <c r="H262" i="32498" s="1"/>
  <c r="H364" i="32451"/>
  <c r="L364" i="32451"/>
  <c r="J364" i="32451"/>
  <c r="H333" i="32498" s="1"/>
  <c r="L623" i="32451"/>
  <c r="J623" i="32451"/>
  <c r="H592" i="32498" s="1"/>
  <c r="H623" i="32451"/>
  <c r="H379" i="32451"/>
  <c r="J379" i="32451"/>
  <c r="L379" i="32451"/>
  <c r="L348" i="32498" s="1"/>
  <c r="L510" i="32451"/>
  <c r="L479" i="32498" s="1"/>
  <c r="H510" i="32451"/>
  <c r="J510" i="32451"/>
  <c r="H637" i="32451"/>
  <c r="L637" i="32451"/>
  <c r="J637" i="32451"/>
  <c r="H606" i="32498" s="1"/>
  <c r="H209" i="32451"/>
  <c r="L209" i="32451"/>
  <c r="J209" i="32451"/>
  <c r="L268" i="32451"/>
  <c r="H268" i="32451"/>
  <c r="J268" i="32451"/>
  <c r="H237" i="32498" s="1"/>
  <c r="H670" i="32451"/>
  <c r="L670" i="32451"/>
  <c r="J670" i="32451"/>
  <c r="H639" i="32498" s="1"/>
  <c r="L380" i="32451"/>
  <c r="J380" i="32451"/>
  <c r="H349" i="32498" s="1"/>
  <c r="H380" i="32451"/>
  <c r="H513" i="32451"/>
  <c r="L513" i="32451"/>
  <c r="J513" i="32451"/>
  <c r="H482" i="32498" s="1"/>
  <c r="H671" i="32451"/>
  <c r="J671" i="32451"/>
  <c r="H640" i="32498" s="1"/>
  <c r="L671" i="32451"/>
  <c r="H303" i="32451"/>
  <c r="L303" i="32451"/>
  <c r="J303" i="32451"/>
  <c r="H272" i="32498" s="1"/>
  <c r="H589" i="32451"/>
  <c r="L589" i="32451"/>
  <c r="J589" i="32451"/>
  <c r="H558" i="32498" s="1"/>
  <c r="H390" i="32451"/>
  <c r="L390" i="32451"/>
  <c r="L359" i="32498" s="1"/>
  <c r="J390" i="32451"/>
  <c r="H463" i="32451"/>
  <c r="J463" i="32451"/>
  <c r="H432" i="32498" s="1"/>
  <c r="L463" i="32451"/>
  <c r="H661" i="32451"/>
  <c r="L661" i="32451"/>
  <c r="J661" i="32451"/>
  <c r="H630" i="32498" s="1"/>
  <c r="L373" i="32451"/>
  <c r="L342" i="32498" s="1"/>
  <c r="H373" i="32451"/>
  <c r="J373" i="32451"/>
  <c r="L515" i="32451"/>
  <c r="H515" i="32451"/>
  <c r="J515" i="32451"/>
  <c r="H484" i="32498" s="1"/>
  <c r="H702" i="32451"/>
  <c r="L702" i="32451"/>
  <c r="L671" i="32498" s="1"/>
  <c r="J702" i="32451"/>
  <c r="L490" i="32451"/>
  <c r="H490" i="32451"/>
  <c r="J490" i="32451"/>
  <c r="H459" i="32498" s="1"/>
  <c r="L634" i="32451"/>
  <c r="J634" i="32451"/>
  <c r="H603" i="32498" s="1"/>
  <c r="H634" i="32451"/>
  <c r="J386" i="32451"/>
  <c r="H386" i="32451"/>
  <c r="L386" i="32451"/>
  <c r="L355" i="32498" s="1"/>
  <c r="L630" i="32451"/>
  <c r="J630" i="32451"/>
  <c r="H599" i="32498" s="1"/>
  <c r="H630" i="32451"/>
  <c r="L76" i="32451"/>
  <c r="H76" i="32451"/>
  <c r="J76" i="32451"/>
  <c r="H97" i="32451"/>
  <c r="L97" i="32451"/>
  <c r="J97" i="32451"/>
  <c r="L54" i="32451"/>
  <c r="L23" i="32498" s="1"/>
  <c r="H54" i="32451"/>
  <c r="J54" i="32451"/>
  <c r="H102" i="32451"/>
  <c r="L102" i="32451"/>
  <c r="J102" i="32451"/>
  <c r="H177" i="32451"/>
  <c r="J177" i="32451"/>
  <c r="L177" i="32451"/>
  <c r="L125" i="32451"/>
  <c r="H125" i="32451"/>
  <c r="J125" i="32451"/>
  <c r="L68" i="32451"/>
  <c r="H68" i="32451"/>
  <c r="J68" i="32451"/>
  <c r="L575" i="32451"/>
  <c r="H575" i="32451"/>
  <c r="J575" i="32451"/>
  <c r="H544" i="32498" s="1"/>
  <c r="H98" i="32451"/>
  <c r="L98" i="32451"/>
  <c r="J98" i="32451"/>
  <c r="H621" i="32451"/>
  <c r="J621" i="32451"/>
  <c r="H590" i="32498" s="1"/>
  <c r="L621" i="32451"/>
  <c r="L458" i="32451"/>
  <c r="J458" i="32451"/>
  <c r="H427" i="32498" s="1"/>
  <c r="H458" i="32451"/>
  <c r="L348" i="32451"/>
  <c r="L317" i="32498" s="1"/>
  <c r="H348" i="32451"/>
  <c r="J348" i="32451"/>
  <c r="L262" i="32451"/>
  <c r="H262" i="32451"/>
  <c r="J262" i="32451"/>
  <c r="H231" i="32498" s="1"/>
  <c r="L162" i="32451"/>
  <c r="H162" i="32451"/>
  <c r="J162" i="32451"/>
  <c r="L437" i="32451"/>
  <c r="H437" i="32451"/>
  <c r="J437" i="32451"/>
  <c r="H406" i="32498" s="1"/>
  <c r="H158" i="32451"/>
  <c r="J158" i="32451"/>
  <c r="L158" i="32451"/>
  <c r="L73" i="32451"/>
  <c r="H73" i="32451"/>
  <c r="J73" i="32451"/>
  <c r="L204" i="32451"/>
  <c r="H204" i="32451"/>
  <c r="J204" i="32451"/>
  <c r="H460" i="32451"/>
  <c r="L460" i="32451"/>
  <c r="J460" i="32451"/>
  <c r="H429" i="32498" s="1"/>
  <c r="L282" i="32451"/>
  <c r="L251" i="32498" s="1"/>
  <c r="H282" i="32451"/>
  <c r="J282" i="32451"/>
  <c r="L605" i="32451"/>
  <c r="H605" i="32451"/>
  <c r="J605" i="32451"/>
  <c r="H574" i="32498" s="1"/>
  <c r="H213" i="32451"/>
  <c r="L213" i="32451"/>
  <c r="J213" i="32451"/>
  <c r="L343" i="32451"/>
  <c r="H343" i="32451"/>
  <c r="J343" i="32451"/>
  <c r="L569" i="32451"/>
  <c r="J569" i="32451"/>
  <c r="H538" i="32498" s="1"/>
  <c r="H569" i="32451"/>
  <c r="L43" i="32451"/>
  <c r="L12" i="32498" s="1"/>
  <c r="J43" i="32451"/>
  <c r="H43" i="32451"/>
  <c r="L279" i="32451"/>
  <c r="H279" i="32451"/>
  <c r="J279" i="32451"/>
  <c r="H248" i="32498" s="1"/>
  <c r="H593" i="32451"/>
  <c r="L593" i="32451"/>
  <c r="J593" i="32451"/>
  <c r="H562" i="32498" s="1"/>
  <c r="H316" i="32451"/>
  <c r="L316" i="32451"/>
  <c r="J316" i="32451"/>
  <c r="H285" i="32498" s="1"/>
  <c r="H47" i="32451"/>
  <c r="J47" i="32451"/>
  <c r="L47" i="32451"/>
  <c r="H187" i="32451"/>
  <c r="L187" i="32451"/>
  <c r="J187" i="32451"/>
  <c r="L453" i="32451"/>
  <c r="L422" i="32498" s="1"/>
  <c r="J453" i="32451"/>
  <c r="H453" i="32451"/>
  <c r="H239" i="32451"/>
  <c r="J239" i="32451"/>
  <c r="H208" i="32498" s="1"/>
  <c r="L239" i="32451"/>
  <c r="H298" i="32451"/>
  <c r="L298" i="32451"/>
  <c r="J298" i="32451"/>
  <c r="H267" i="32498" s="1"/>
  <c r="H517" i="32451"/>
  <c r="L517" i="32451"/>
  <c r="L486" i="32498" s="1"/>
  <c r="J517" i="32451"/>
  <c r="H214" i="32451"/>
  <c r="L214" i="32451"/>
  <c r="J214" i="32451"/>
  <c r="H281" i="32451"/>
  <c r="L281" i="32451"/>
  <c r="J281" i="32451"/>
  <c r="H250" i="32498" s="1"/>
  <c r="H340" i="32451"/>
  <c r="L340" i="32451"/>
  <c r="J340" i="32451"/>
  <c r="H309" i="32498" s="1"/>
  <c r="L574" i="32451"/>
  <c r="H574" i="32451"/>
  <c r="J574" i="32451"/>
  <c r="H543" i="32498" s="1"/>
  <c r="H387" i="32451"/>
  <c r="J387" i="32451"/>
  <c r="H356" i="32498" s="1"/>
  <c r="L387" i="32451"/>
  <c r="L518" i="32451"/>
  <c r="L487" i="32498" s="1"/>
  <c r="H518" i="32451"/>
  <c r="J518" i="32451"/>
  <c r="L680" i="32451"/>
  <c r="H680" i="32451"/>
  <c r="J680" i="32451"/>
  <c r="H649" i="32498" s="1"/>
  <c r="L240" i="32451"/>
  <c r="H240" i="32451"/>
  <c r="J240" i="32451"/>
  <c r="H209" i="32498" s="1"/>
  <c r="L484" i="32451"/>
  <c r="H484" i="32451"/>
  <c r="J484" i="32451"/>
  <c r="H453" i="32498" s="1"/>
  <c r="H596" i="32451"/>
  <c r="L596" i="32451"/>
  <c r="J596" i="32451"/>
  <c r="H690" i="32451"/>
  <c r="L690" i="32451"/>
  <c r="J690" i="32451"/>
  <c r="H659" i="32498" s="1"/>
  <c r="L394" i="32451"/>
  <c r="H394" i="32451"/>
  <c r="J394" i="32451"/>
  <c r="H363" i="32498" s="1"/>
  <c r="H528" i="32451"/>
  <c r="L528" i="32451"/>
  <c r="J528" i="32451"/>
  <c r="H449" i="32451"/>
  <c r="L449" i="32451"/>
  <c r="J449" i="32451"/>
  <c r="H418" i="32498" s="1"/>
  <c r="L542" i="32451"/>
  <c r="H542" i="32451"/>
  <c r="J542" i="32451"/>
  <c r="H511" i="32498" s="1"/>
  <c r="H603" i="32451"/>
  <c r="L603" i="32451"/>
  <c r="J603" i="32451"/>
  <c r="H572" i="32498" s="1"/>
  <c r="H666" i="32451"/>
  <c r="J666" i="32451"/>
  <c r="H635" i="32498" s="1"/>
  <c r="L666" i="32451"/>
  <c r="H377" i="32451"/>
  <c r="L377" i="32451"/>
  <c r="J377" i="32451"/>
  <c r="H346" i="32498" s="1"/>
  <c r="L446" i="32451"/>
  <c r="J446" i="32451"/>
  <c r="H415" i="32498" s="1"/>
  <c r="H446" i="32451"/>
  <c r="H707" i="32451"/>
  <c r="L707" i="32451"/>
  <c r="L676" i="32498" s="1"/>
  <c r="J707" i="32451"/>
  <c r="H427" i="32451"/>
  <c r="L427" i="32451"/>
  <c r="J427" i="32451"/>
  <c r="H396" i="32498" s="1"/>
  <c r="J494" i="32451"/>
  <c r="H463" i="32498" s="1"/>
  <c r="H494" i="32451"/>
  <c r="L494" i="32451"/>
  <c r="L463" i="32498" s="1"/>
  <c r="L572" i="32451"/>
  <c r="H572" i="32451"/>
  <c r="J572" i="32451"/>
  <c r="H541" i="32498" s="1"/>
  <c r="H643" i="32451"/>
  <c r="L643" i="32451"/>
  <c r="J643" i="32451"/>
  <c r="H612" i="32498" s="1"/>
  <c r="L466" i="32451"/>
  <c r="J466" i="32451"/>
  <c r="H466" i="32451"/>
  <c r="L531" i="32451"/>
  <c r="H531" i="32451"/>
  <c r="J531" i="32451"/>
  <c r="H500" i="32498" s="1"/>
  <c r="L188" i="32451"/>
  <c r="H188" i="32451"/>
  <c r="J188" i="32451"/>
  <c r="H96" i="32451"/>
  <c r="J96" i="32451"/>
  <c r="L96" i="32451"/>
  <c r="L122" i="32451"/>
  <c r="H122" i="32451"/>
  <c r="J122" i="32451"/>
  <c r="H210" i="32451"/>
  <c r="L210" i="32451"/>
  <c r="J210" i="32451"/>
  <c r="H384" i="32451"/>
  <c r="L384" i="32451"/>
  <c r="J384" i="32451"/>
  <c r="H353" i="32498" s="1"/>
  <c r="L656" i="32451"/>
  <c r="H656" i="32451"/>
  <c r="J656" i="32451"/>
  <c r="H625" i="32498" s="1"/>
  <c r="L146" i="32451"/>
  <c r="J146" i="32451"/>
  <c r="H146" i="32451"/>
  <c r="H89" i="32451"/>
  <c r="L89" i="32451"/>
  <c r="J89" i="32451"/>
  <c r="H233" i="32451"/>
  <c r="L233" i="32451"/>
  <c r="J233" i="32451"/>
  <c r="H202" i="32498" s="1"/>
  <c r="H113" i="32451"/>
  <c r="L113" i="32451"/>
  <c r="J113" i="32451"/>
  <c r="L300" i="32451"/>
  <c r="H300" i="32451"/>
  <c r="J300" i="32451"/>
  <c r="H269" i="32498" s="1"/>
  <c r="L170" i="32451"/>
  <c r="H170" i="32451"/>
  <c r="J170" i="32451"/>
  <c r="L479" i="32451"/>
  <c r="L448" i="32498" s="1"/>
  <c r="H479" i="32451"/>
  <c r="J479" i="32451"/>
  <c r="H168" i="32451"/>
  <c r="L168" i="32451"/>
  <c r="J168" i="32451"/>
  <c r="H349" i="32451"/>
  <c r="J349" i="32451"/>
  <c r="H318" i="32498" s="1"/>
  <c r="L349" i="32451"/>
  <c r="L459" i="32451"/>
  <c r="H459" i="32451"/>
  <c r="J459" i="32451"/>
  <c r="H428" i="32498" s="1"/>
  <c r="L217" i="32451"/>
  <c r="J217" i="32451"/>
  <c r="H217" i="32451"/>
  <c r="H480" i="32451"/>
  <c r="L480" i="32451"/>
  <c r="L449" i="32498" s="1"/>
  <c r="J480" i="32451"/>
  <c r="L94" i="32451"/>
  <c r="H94" i="32451"/>
  <c r="J94" i="32451"/>
  <c r="H403" i="32451"/>
  <c r="J403" i="32451"/>
  <c r="H372" i="32498" s="1"/>
  <c r="L403" i="32451"/>
  <c r="L618" i="32451"/>
  <c r="H618" i="32451"/>
  <c r="J618" i="32451"/>
  <c r="H587" i="32498" s="1"/>
  <c r="L70" i="32451"/>
  <c r="H70" i="32451"/>
  <c r="J70" i="32451"/>
  <c r="J123" i="32451"/>
  <c r="H123" i="32451"/>
  <c r="L123" i="32451"/>
  <c r="L236" i="32451"/>
  <c r="H236" i="32451"/>
  <c r="J236" i="32451"/>
  <c r="H205" i="32498" s="1"/>
  <c r="L368" i="32451"/>
  <c r="J368" i="32451"/>
  <c r="H337" i="32498" s="1"/>
  <c r="H368" i="32451"/>
  <c r="L186" i="32451"/>
  <c r="H186" i="32451"/>
  <c r="J186" i="32451"/>
  <c r="L83" i="32451"/>
  <c r="J83" i="32451"/>
  <c r="H83" i="32451"/>
  <c r="H174" i="32451"/>
  <c r="L174" i="32451"/>
  <c r="J174" i="32451"/>
  <c r="L330" i="32451"/>
  <c r="H330" i="32451"/>
  <c r="J330" i="32451"/>
  <c r="H299" i="32498" s="1"/>
  <c r="L522" i="32451"/>
  <c r="J522" i="32451"/>
  <c r="H491" i="32498" s="1"/>
  <c r="H522" i="32451"/>
  <c r="L124" i="32451"/>
  <c r="H124" i="32451"/>
  <c r="J124" i="32451"/>
  <c r="L194" i="32451"/>
  <c r="J194" i="32451"/>
  <c r="H194" i="32451"/>
  <c r="L487" i="32451"/>
  <c r="J487" i="32451"/>
  <c r="H456" i="32498" s="1"/>
  <c r="H487" i="32451"/>
  <c r="L704" i="32451"/>
  <c r="L673" i="32498" s="1"/>
  <c r="J704" i="32451"/>
  <c r="H704" i="32451"/>
  <c r="H311" i="32451"/>
  <c r="L311" i="32451"/>
  <c r="J311" i="32451"/>
  <c r="H280" i="32498" s="1"/>
  <c r="L385" i="32451"/>
  <c r="J385" i="32451"/>
  <c r="H354" i="32498" s="1"/>
  <c r="H385" i="32451"/>
  <c r="H645" i="32451"/>
  <c r="L645" i="32451"/>
  <c r="J645" i="32451"/>
  <c r="H614" i="32498" s="1"/>
  <c r="L400" i="32451"/>
  <c r="H400" i="32451"/>
  <c r="J400" i="32451"/>
  <c r="H369" i="32498" s="1"/>
  <c r="L227" i="32451"/>
  <c r="H227" i="32451"/>
  <c r="J227" i="32451"/>
  <c r="H196" i="32498" s="1"/>
  <c r="L286" i="32451"/>
  <c r="H286" i="32451"/>
  <c r="J286" i="32451"/>
  <c r="H255" i="32498" s="1"/>
  <c r="H345" i="32451"/>
  <c r="L345" i="32451"/>
  <c r="J345" i="32451"/>
  <c r="H314" i="32498" s="1"/>
  <c r="L468" i="32451"/>
  <c r="H468" i="32451"/>
  <c r="J468" i="32451"/>
  <c r="H437" i="32498" s="1"/>
  <c r="H689" i="32451"/>
  <c r="L689" i="32451"/>
  <c r="J689" i="32451"/>
  <c r="H658" i="32498" s="1"/>
  <c r="L290" i="32451"/>
  <c r="H290" i="32451"/>
  <c r="J290" i="32451"/>
  <c r="H259" i="32498" s="1"/>
  <c r="L526" i="32451"/>
  <c r="H526" i="32451"/>
  <c r="J526" i="32451"/>
  <c r="H495" i="32498" s="1"/>
  <c r="H312" i="32451"/>
  <c r="L312" i="32451"/>
  <c r="J312" i="32451"/>
  <c r="H281" i="32498" s="1"/>
  <c r="L409" i="32451"/>
  <c r="L378" i="32498" s="1"/>
  <c r="J409" i="32451"/>
  <c r="H409" i="32451"/>
  <c r="L497" i="32451"/>
  <c r="H497" i="32451"/>
  <c r="J497" i="32451"/>
  <c r="H466" i="32498" s="1"/>
  <c r="H407" i="32451"/>
  <c r="L407" i="32451"/>
  <c r="J407" i="32451"/>
  <c r="H376" i="32498" s="1"/>
  <c r="H532" i="32451"/>
  <c r="L532" i="32451"/>
  <c r="J532" i="32451"/>
  <c r="H501" i="32498" s="1"/>
  <c r="H673" i="32451"/>
  <c r="J673" i="32451"/>
  <c r="H642" i="32498" s="1"/>
  <c r="L673" i="32451"/>
  <c r="H461" i="32451"/>
  <c r="J461" i="32451"/>
  <c r="H430" i="32498" s="1"/>
  <c r="L461" i="32451"/>
  <c r="L612" i="32451"/>
  <c r="J612" i="32451"/>
  <c r="H581" i="32498" s="1"/>
  <c r="H612" i="32451"/>
  <c r="L381" i="32451"/>
  <c r="H381" i="32451"/>
  <c r="J381" i="32451"/>
  <c r="L450" i="32451"/>
  <c r="H450" i="32451"/>
  <c r="J450" i="32451"/>
  <c r="H419" i="32498" s="1"/>
  <c r="H527" i="32451"/>
  <c r="J527" i="32451"/>
  <c r="H496" i="32498" s="1"/>
  <c r="L527" i="32451"/>
  <c r="H591" i="32451"/>
  <c r="L591" i="32451"/>
  <c r="J591" i="32451"/>
  <c r="H560" i="32498" s="1"/>
  <c r="H351" i="32451"/>
  <c r="L351" i="32451"/>
  <c r="J351" i="32451"/>
  <c r="H320" i="32498" s="1"/>
  <c r="L667" i="32451"/>
  <c r="H667" i="32451"/>
  <c r="J667" i="32451"/>
  <c r="H636" i="32498" s="1"/>
  <c r="H393" i="32451"/>
  <c r="L393" i="32451"/>
  <c r="J393" i="32451"/>
  <c r="H362" i="32498" s="1"/>
  <c r="H473" i="32451"/>
  <c r="L473" i="32451"/>
  <c r="J473" i="32451"/>
  <c r="H442" i="32498" s="1"/>
  <c r="L543" i="32451"/>
  <c r="H543" i="32451"/>
  <c r="J543" i="32451"/>
  <c r="H321" i="32451"/>
  <c r="L321" i="32451"/>
  <c r="J321" i="32451"/>
  <c r="H290" i="32498" s="1"/>
  <c r="H635" i="32451"/>
  <c r="J635" i="32451"/>
  <c r="H604" i="32498" s="1"/>
  <c r="L635" i="32451"/>
  <c r="L166" i="32451"/>
  <c r="H166" i="32451"/>
  <c r="J166" i="32451"/>
  <c r="H154" i="32451"/>
  <c r="L154" i="32451"/>
  <c r="J154" i="32451"/>
  <c r="H363" i="32451"/>
  <c r="L363" i="32451"/>
  <c r="J363" i="32451"/>
  <c r="H332" i="32498" s="1"/>
  <c r="J41" i="32451"/>
  <c r="H41" i="32451"/>
  <c r="L41" i="32451"/>
  <c r="L10" i="32498" s="1"/>
  <c r="L104" i="32451"/>
  <c r="J104" i="32451"/>
  <c r="H104" i="32451"/>
  <c r="H109" i="32451"/>
  <c r="L109" i="32451"/>
  <c r="J109" i="32451"/>
  <c r="H660" i="32451"/>
  <c r="L660" i="32451"/>
  <c r="J660" i="32451"/>
  <c r="H629" i="32498" s="1"/>
  <c r="L313" i="32451"/>
  <c r="H313" i="32451"/>
  <c r="J313" i="32451"/>
  <c r="H282" i="32498" s="1"/>
  <c r="J37" i="32451"/>
  <c r="H37" i="32451"/>
  <c r="L37" i="32451"/>
  <c r="L6" i="32498" s="1"/>
  <c r="H191" i="32451"/>
  <c r="L191" i="32451"/>
  <c r="J191" i="32451"/>
  <c r="L138" i="32451"/>
  <c r="H138" i="32451"/>
  <c r="J138" i="32451"/>
  <c r="H375" i="32451"/>
  <c r="L375" i="32451"/>
  <c r="J375" i="32451"/>
  <c r="H344" i="32498" s="1"/>
  <c r="L72" i="32451"/>
  <c r="H72" i="32451"/>
  <c r="J72" i="32451"/>
  <c r="L500" i="32451"/>
  <c r="H500" i="32451"/>
  <c r="J500" i="32451"/>
  <c r="L108" i="32451"/>
  <c r="H108" i="32451"/>
  <c r="J108" i="32451"/>
  <c r="H254" i="32451"/>
  <c r="L254" i="32451"/>
  <c r="J254" i="32451"/>
  <c r="H223" i="32498" s="1"/>
  <c r="L160" i="32451"/>
  <c r="H160" i="32451"/>
  <c r="J160" i="32451"/>
  <c r="L413" i="32451"/>
  <c r="H413" i="32451"/>
  <c r="J413" i="32451"/>
  <c r="H382" i="32498" s="1"/>
  <c r="L250" i="32451"/>
  <c r="H250" i="32451"/>
  <c r="J250" i="32451"/>
  <c r="H219" i="32498" s="1"/>
  <c r="H51" i="32451"/>
  <c r="L51" i="32451"/>
  <c r="J51" i="32451"/>
  <c r="L127" i="32451"/>
  <c r="H127" i="32451"/>
  <c r="J127" i="32451"/>
  <c r="L452" i="32451"/>
  <c r="J452" i="32451"/>
  <c r="H421" i="32498" s="1"/>
  <c r="H452" i="32451"/>
  <c r="H619" i="32451"/>
  <c r="L619" i="32451"/>
  <c r="J619" i="32451"/>
  <c r="H588" i="32498" s="1"/>
  <c r="L338" i="32451"/>
  <c r="J338" i="32451"/>
  <c r="H338" i="32451"/>
  <c r="H59" i="32451"/>
  <c r="J59" i="32451"/>
  <c r="L59" i="32451"/>
  <c r="L28" i="32498" s="1"/>
  <c r="L200" i="32451"/>
  <c r="H200" i="32451"/>
  <c r="J200" i="32451"/>
  <c r="H325" i="32451"/>
  <c r="L325" i="32451"/>
  <c r="J325" i="32451"/>
  <c r="H294" i="32498" s="1"/>
  <c r="L524" i="32451"/>
  <c r="H524" i="32451"/>
  <c r="J524" i="32451"/>
  <c r="H493" i="32498" s="1"/>
  <c r="L180" i="32451"/>
  <c r="H180" i="32451"/>
  <c r="J180" i="32451"/>
  <c r="L391" i="32451"/>
  <c r="L360" i="32498" s="1"/>
  <c r="H391" i="32451"/>
  <c r="J391" i="32451"/>
  <c r="H525" i="32451"/>
  <c r="L525" i="32451"/>
  <c r="J525" i="32451"/>
  <c r="H494" i="32498" s="1"/>
  <c r="L302" i="32451"/>
  <c r="H302" i="32451"/>
  <c r="J302" i="32451"/>
  <c r="H271" i="32498" s="1"/>
  <c r="H688" i="32451"/>
  <c r="L688" i="32451"/>
  <c r="J688" i="32451"/>
  <c r="H657" i="32498" s="1"/>
  <c r="H299" i="32451"/>
  <c r="L299" i="32451"/>
  <c r="J299" i="32451"/>
  <c r="H268" i="32498" s="1"/>
  <c r="L483" i="32451"/>
  <c r="L452" i="32498" s="1"/>
  <c r="H483" i="32451"/>
  <c r="J483" i="32451"/>
  <c r="L696" i="32451"/>
  <c r="H696" i="32451"/>
  <c r="J696" i="32451"/>
  <c r="H665" i="32498" s="1"/>
  <c r="L218" i="32451"/>
  <c r="H218" i="32451"/>
  <c r="J218" i="32451"/>
  <c r="H294" i="32451"/>
  <c r="L294" i="32451"/>
  <c r="J294" i="32451"/>
  <c r="H263" i="32498" s="1"/>
  <c r="H540" i="32451"/>
  <c r="L540" i="32451"/>
  <c r="J540" i="32451"/>
  <c r="H509" i="32498" s="1"/>
  <c r="L505" i="32451"/>
  <c r="H505" i="32451"/>
  <c r="J505" i="32451"/>
  <c r="H474" i="32498" s="1"/>
  <c r="L611" i="32451"/>
  <c r="J611" i="32451"/>
  <c r="H580" i="32498" s="1"/>
  <c r="H611" i="32451"/>
  <c r="L412" i="32451"/>
  <c r="L381" i="32498" s="1"/>
  <c r="H412" i="32451"/>
  <c r="J412" i="32451"/>
  <c r="H537" i="32451"/>
  <c r="L537" i="32451"/>
  <c r="J537" i="32451"/>
  <c r="L392" i="32451"/>
  <c r="J392" i="32451"/>
  <c r="H361" i="32498" s="1"/>
  <c r="H392" i="32451"/>
  <c r="L554" i="32451"/>
  <c r="J554" i="32451"/>
  <c r="H523" i="32498" s="1"/>
  <c r="H554" i="32451"/>
  <c r="H676" i="32451"/>
  <c r="J676" i="32451"/>
  <c r="H645" i="32498" s="1"/>
  <c r="L676" i="32451"/>
  <c r="L600" i="32451"/>
  <c r="H600" i="32451"/>
  <c r="J600" i="32451"/>
  <c r="H569" i="32498" s="1"/>
  <c r="H657" i="32451"/>
  <c r="J657" i="32451"/>
  <c r="H626" i="32498" s="1"/>
  <c r="L657" i="32451"/>
  <c r="H355" i="32451"/>
  <c r="L355" i="32451"/>
  <c r="J355" i="32451"/>
  <c r="H324" i="32498" s="1"/>
  <c r="H584" i="32451"/>
  <c r="L584" i="32451"/>
  <c r="J584" i="32451"/>
  <c r="H553" i="32498" s="1"/>
  <c r="L555" i="32451"/>
  <c r="H555" i="32451"/>
  <c r="J555" i="32451"/>
  <c r="H524" i="32498" s="1"/>
  <c r="H703" i="32451"/>
  <c r="J703" i="32451"/>
  <c r="L703" i="32451"/>
  <c r="L672" i="32498" s="1"/>
  <c r="H195" i="32451"/>
  <c r="L195" i="32451"/>
  <c r="J195" i="32451"/>
  <c r="H175" i="32451"/>
  <c r="L175" i="32451"/>
  <c r="J175" i="32451"/>
  <c r="L61" i="32451"/>
  <c r="L30" i="32498" s="1"/>
  <c r="H61" i="32451"/>
  <c r="J61" i="32451"/>
  <c r="H129" i="32451"/>
  <c r="J129" i="32451"/>
  <c r="L129" i="32451"/>
  <c r="L284" i="32451"/>
  <c r="H284" i="32451"/>
  <c r="J284" i="32451"/>
  <c r="H253" i="32498" s="1"/>
  <c r="H141" i="32451"/>
  <c r="J141" i="32451"/>
  <c r="L141" i="32451"/>
  <c r="J52" i="32451"/>
  <c r="L52" i="32451"/>
  <c r="L21" i="32498" s="1"/>
  <c r="H52" i="32451"/>
  <c r="L216" i="32451"/>
  <c r="H216" i="32451"/>
  <c r="J216" i="32451"/>
  <c r="L514" i="32451"/>
  <c r="H514" i="32451"/>
  <c r="J514" i="32451"/>
  <c r="H483" i="32498" s="1"/>
  <c r="H371" i="32451"/>
  <c r="L371" i="32451"/>
  <c r="J371" i="32451"/>
  <c r="H340" i="32498" s="1"/>
  <c r="H92" i="32451"/>
  <c r="L92" i="32451"/>
  <c r="J92" i="32451"/>
  <c r="H190" i="32451"/>
  <c r="L190" i="32451"/>
  <c r="J190" i="32451"/>
  <c r="L520" i="32451"/>
  <c r="H520" i="32451"/>
  <c r="J520" i="32451"/>
  <c r="H489" i="32498" s="1"/>
  <c r="L267" i="32451"/>
  <c r="H267" i="32451"/>
  <c r="J267" i="32451"/>
  <c r="H236" i="32498" s="1"/>
  <c r="L564" i="32451"/>
  <c r="J564" i="32451"/>
  <c r="H533" i="32498" s="1"/>
  <c r="H564" i="32451"/>
  <c r="H116" i="32451"/>
  <c r="L116" i="32451"/>
  <c r="J116" i="32451"/>
  <c r="L331" i="32451"/>
  <c r="H331" i="32451"/>
  <c r="J331" i="32451"/>
  <c r="H300" i="32498" s="1"/>
  <c r="L38" i="32451"/>
  <c r="L7" i="32498" s="1"/>
  <c r="J38" i="32451"/>
  <c r="H38" i="32451"/>
  <c r="L106" i="32451"/>
  <c r="H106" i="32451"/>
  <c r="J106" i="32451"/>
  <c r="H164" i="32451"/>
  <c r="J164" i="32451"/>
  <c r="L164" i="32451"/>
  <c r="H257" i="32451"/>
  <c r="L257" i="32451"/>
  <c r="J257" i="32451"/>
  <c r="H226" i="32498" s="1"/>
  <c r="L606" i="32451"/>
  <c r="H606" i="32451"/>
  <c r="J606" i="32451"/>
  <c r="H575" i="32498" s="1"/>
  <c r="L55" i="32451"/>
  <c r="L24" i="32498" s="1"/>
  <c r="H55" i="32451"/>
  <c r="J55" i="32451"/>
  <c r="L131" i="32451"/>
  <c r="H131" i="32451"/>
  <c r="J131" i="32451"/>
  <c r="L199" i="32451"/>
  <c r="H199" i="32451"/>
  <c r="J199" i="32451"/>
  <c r="L301" i="32451"/>
  <c r="H301" i="32451"/>
  <c r="J301" i="32451"/>
  <c r="H270" i="32498" s="1"/>
  <c r="H486" i="32451"/>
  <c r="L486" i="32451"/>
  <c r="J486" i="32451"/>
  <c r="L95" i="32451"/>
  <c r="H95" i="32451"/>
  <c r="J95" i="32451"/>
  <c r="L223" i="32451"/>
  <c r="J223" i="32451"/>
  <c r="H192" i="32498" s="1"/>
  <c r="H223" i="32451"/>
  <c r="L552" i="32451"/>
  <c r="J552" i="32451"/>
  <c r="H521" i="32498" s="1"/>
  <c r="H552" i="32451"/>
  <c r="H230" i="32451"/>
  <c r="L230" i="32451"/>
  <c r="J230" i="32451"/>
  <c r="H199" i="32498" s="1"/>
  <c r="L306" i="32451"/>
  <c r="H306" i="32451"/>
  <c r="J306" i="32451"/>
  <c r="H275" i="32498" s="1"/>
  <c r="H421" i="32451"/>
  <c r="L421" i="32451"/>
  <c r="L390" i="32498" s="1"/>
  <c r="J421" i="32451"/>
  <c r="H545" i="32451"/>
  <c r="L545" i="32451"/>
  <c r="J545" i="32451"/>
  <c r="H514" i="32498" s="1"/>
  <c r="H695" i="32451"/>
  <c r="J695" i="32451"/>
  <c r="H664" i="32498" s="1"/>
  <c r="L695" i="32451"/>
  <c r="L489" i="32451"/>
  <c r="H489" i="32451"/>
  <c r="J489" i="32451"/>
  <c r="H458" i="32498" s="1"/>
  <c r="H602" i="32451"/>
  <c r="L602" i="32451"/>
  <c r="J602" i="32451"/>
  <c r="H571" i="32498" s="1"/>
  <c r="L222" i="32451"/>
  <c r="H222" i="32451"/>
  <c r="J222" i="32451"/>
  <c r="H307" i="32451"/>
  <c r="L307" i="32451"/>
  <c r="J307" i="32451"/>
  <c r="H276" i="32498" s="1"/>
  <c r="H416" i="32451"/>
  <c r="L416" i="32451"/>
  <c r="L385" i="32498" s="1"/>
  <c r="J416" i="32451"/>
  <c r="L546" i="32451"/>
  <c r="H546" i="32451"/>
  <c r="J546" i="32451"/>
  <c r="H515" i="32498" s="1"/>
  <c r="H533" i="32451"/>
  <c r="J533" i="32451"/>
  <c r="H502" i="32498" s="1"/>
  <c r="L533" i="32451"/>
  <c r="J617" i="32451"/>
  <c r="H586" i="32498" s="1"/>
  <c r="H617" i="32451"/>
  <c r="L617" i="32451"/>
  <c r="L544" i="32451"/>
  <c r="H544" i="32451"/>
  <c r="J544" i="32451"/>
  <c r="H513" i="32498" s="1"/>
  <c r="H683" i="32451"/>
  <c r="L683" i="32451"/>
  <c r="J683" i="32451"/>
  <c r="H652" i="32498" s="1"/>
  <c r="H472" i="32451"/>
  <c r="L472" i="32451"/>
  <c r="J472" i="32451"/>
  <c r="L389" i="32451"/>
  <c r="L358" i="32498" s="1"/>
  <c r="H389" i="32451"/>
  <c r="J389" i="32451"/>
  <c r="L469" i="32451"/>
  <c r="H469" i="32451"/>
  <c r="J469" i="32451"/>
  <c r="H438" i="32498" s="1"/>
  <c r="L604" i="32451"/>
  <c r="J604" i="32451"/>
  <c r="H573" i="32498" s="1"/>
  <c r="H604" i="32451"/>
  <c r="H662" i="32451"/>
  <c r="L662" i="32451"/>
  <c r="J662" i="32451"/>
  <c r="H631" i="32498" s="1"/>
  <c r="H366" i="32451"/>
  <c r="L366" i="32451"/>
  <c r="J366" i="32451"/>
  <c r="H335" i="32498" s="1"/>
  <c r="L438" i="32451"/>
  <c r="H438" i="32451"/>
  <c r="J438" i="32451"/>
  <c r="H407" i="32498" s="1"/>
  <c r="L511" i="32451"/>
  <c r="L480" i="32498" s="1"/>
  <c r="H511" i="32451"/>
  <c r="J511" i="32451"/>
  <c r="H480" i="32498" s="1"/>
  <c r="H687" i="32451"/>
  <c r="J687" i="32451"/>
  <c r="H656" i="32498" s="1"/>
  <c r="L687" i="32451"/>
  <c r="H415" i="32451"/>
  <c r="L415" i="32451"/>
  <c r="J415" i="32451"/>
  <c r="L482" i="32451"/>
  <c r="J482" i="32451"/>
  <c r="H451" i="32498" s="1"/>
  <c r="H482" i="32451"/>
  <c r="L567" i="32451"/>
  <c r="H567" i="32451"/>
  <c r="J567" i="32451"/>
  <c r="H536" i="32498" s="1"/>
  <c r="L648" i="32451"/>
  <c r="H648" i="32451"/>
  <c r="J648" i="32451"/>
  <c r="H617" i="32498" s="1"/>
  <c r="L33" i="32451"/>
  <c r="J33" i="32451"/>
  <c r="H33" i="32451"/>
  <c r="AO596" i="32451"/>
  <c r="D565" i="32498" s="1"/>
  <c r="AO355" i="32451"/>
  <c r="D324" i="32498" s="1"/>
  <c r="AO483" i="32451"/>
  <c r="D452" i="32498" s="1"/>
  <c r="AO468" i="32451"/>
  <c r="AO350" i="32451"/>
  <c r="AO308" i="32451"/>
  <c r="D277" i="32498" s="1"/>
  <c r="AO492" i="32451"/>
  <c r="D461" i="32498" s="1"/>
  <c r="AO294" i="32451"/>
  <c r="AO604" i="32451"/>
  <c r="AO293" i="32451"/>
  <c r="D262" i="32498" s="1"/>
  <c r="AO347" i="32451"/>
  <c r="D316" i="32498" s="1"/>
  <c r="AO287" i="32451"/>
  <c r="D256" i="32498" s="1"/>
  <c r="AO286" i="32451"/>
  <c r="D255" i="32498" s="1"/>
  <c r="AO380" i="32451"/>
  <c r="AO535" i="32451"/>
  <c r="AO327" i="32451"/>
  <c r="D296" i="32498" s="1"/>
  <c r="AO340" i="32451"/>
  <c r="AO567" i="32451"/>
  <c r="AO521" i="32451"/>
  <c r="AO263" i="32451"/>
  <c r="AO270" i="32451"/>
  <c r="AO311" i="32451"/>
  <c r="AO352" i="32451"/>
  <c r="AO439" i="32451"/>
  <c r="AO299" i="32451"/>
  <c r="AO283" i="32451"/>
  <c r="D252" i="32498" s="1"/>
  <c r="AO400" i="32451"/>
  <c r="D369" i="32498" s="1"/>
  <c r="AO451" i="32451"/>
  <c r="D420" i="32498" s="1"/>
  <c r="AO472" i="32451"/>
  <c r="AO279" i="32451"/>
  <c r="D248" i="32498" s="1"/>
  <c r="AO360" i="32451"/>
  <c r="AO385" i="32451"/>
  <c r="AO290" i="32451"/>
  <c r="AO507" i="32451"/>
  <c r="AO265" i="32451"/>
  <c r="D234" i="32498" s="1"/>
  <c r="AO532" i="32451"/>
  <c r="D501" i="32498" s="1"/>
  <c r="AO345" i="32451"/>
  <c r="AO314" i="32451"/>
  <c r="AO594" i="32451"/>
  <c r="D563" i="32498" s="1"/>
  <c r="AO599" i="32451"/>
  <c r="D568" i="32498" s="1"/>
  <c r="AO326" i="32451"/>
  <c r="AO415" i="32451"/>
  <c r="AO382" i="32451"/>
  <c r="AO278" i="32451"/>
  <c r="D247" i="32498" s="1"/>
  <c r="AO428" i="32451"/>
  <c r="AO304" i="32451"/>
  <c r="AO446" i="32451"/>
  <c r="AO470" i="32451"/>
  <c r="AO284" i="32451"/>
  <c r="AO266" i="32451"/>
  <c r="AO490" i="32451"/>
  <c r="D459" i="32498" s="1"/>
  <c r="AO330" i="32451"/>
  <c r="AO357" i="32451"/>
  <c r="D326" i="32498" s="1"/>
  <c r="AO306" i="32451"/>
  <c r="AO277" i="32451"/>
  <c r="AO377" i="32451"/>
  <c r="AO409" i="32451"/>
  <c r="AO423" i="32451"/>
  <c r="AO555" i="32451"/>
  <c r="AO386" i="32451"/>
  <c r="AO540" i="32451"/>
  <c r="AO476" i="32451"/>
  <c r="AO372" i="32451"/>
  <c r="D341" i="32498" s="1"/>
  <c r="AO267" i="32451"/>
  <c r="AO453" i="32451"/>
  <c r="AO297" i="32451"/>
  <c r="AO638" i="32451"/>
  <c r="AO601" i="32451"/>
  <c r="AO528" i="32451"/>
  <c r="AO342" i="32451"/>
  <c r="AO438" i="32451"/>
  <c r="D407" i="32498" s="1"/>
  <c r="AO552" i="32451"/>
  <c r="AO444" i="32451"/>
  <c r="AO460" i="32451"/>
  <c r="D429" i="32498" s="1"/>
  <c r="AO534" i="32451"/>
  <c r="AO466" i="32451"/>
  <c r="AO370" i="32451"/>
  <c r="AO484" i="32451"/>
  <c r="AO526" i="32451"/>
  <c r="AO381" i="32451"/>
  <c r="AO542" i="32451"/>
  <c r="AO592" i="32451"/>
  <c r="AO506" i="32451"/>
  <c r="D475" i="32498" s="1"/>
  <c r="AO378" i="32451"/>
  <c r="AO285" i="32451"/>
  <c r="AO349" i="32451"/>
  <c r="D318" i="32498" s="1"/>
  <c r="AO379" i="32451"/>
  <c r="AO334" i="32451"/>
  <c r="AO288" i="32451"/>
  <c r="AO348" i="32451"/>
  <c r="AO436" i="32451"/>
  <c r="AO300" i="32451"/>
  <c r="AO276" i="32451"/>
  <c r="AO292" i="32451"/>
  <c r="AO410" i="32451"/>
  <c r="AO477" i="32451"/>
  <c r="D446" i="32498" s="1"/>
  <c r="AO520" i="32451"/>
  <c r="D489" i="32498" s="1"/>
  <c r="AO548" i="32451"/>
  <c r="D517" i="32498" s="1"/>
  <c r="AO514" i="32451"/>
  <c r="D483" i="32498" s="1"/>
  <c r="AO393" i="32451"/>
  <c r="AO389" i="32451"/>
  <c r="AO522" i="32451"/>
  <c r="AO335" i="32451"/>
  <c r="AO512" i="32451"/>
  <c r="D481" i="32498" s="1"/>
  <c r="AO481" i="32451"/>
  <c r="D450" i="32498" s="1"/>
  <c r="AO504" i="32451"/>
  <c r="AO578" i="32451"/>
  <c r="AO280" i="32451"/>
  <c r="AO426" i="32451"/>
  <c r="AO407" i="32451"/>
  <c r="AO343" i="32451"/>
  <c r="AO603" i="32451"/>
  <c r="D572" i="32498" s="1"/>
  <c r="AO312" i="32451"/>
  <c r="AO402" i="32451"/>
  <c r="D371" i="32498" s="1"/>
  <c r="AO268" i="32451"/>
  <c r="AO478" i="32451"/>
  <c r="D447" i="32498" s="1"/>
  <c r="AO430" i="32451"/>
  <c r="D399" i="32498" s="1"/>
  <c r="AO454" i="32451"/>
  <c r="AO396" i="32451"/>
  <c r="D365" i="32498" s="1"/>
  <c r="AO485" i="32451"/>
  <c r="D454" i="32498" s="1"/>
  <c r="AO364" i="32451"/>
  <c r="AO530" i="32451"/>
  <c r="D499" i="32498" s="1"/>
  <c r="AO474" i="32451"/>
  <c r="D443" i="32498" s="1"/>
  <c r="AO462" i="32451"/>
  <c r="D431" i="32498" s="1"/>
  <c r="AO323" i="32451"/>
  <c r="AO315" i="32451"/>
  <c r="AO336" i="32451"/>
  <c r="AO508" i="32451"/>
  <c r="AO404" i="32451"/>
  <c r="AO325" i="32451"/>
  <c r="AO613" i="32451"/>
  <c r="AO302" i="32451"/>
  <c r="AO375" i="32451"/>
  <c r="D344" i="32498" s="1"/>
  <c r="AO442" i="32451"/>
  <c r="AO640" i="32451"/>
  <c r="D609" i="32498" s="1"/>
  <c r="AO282" i="32451"/>
  <c r="D251" i="32498" s="1"/>
  <c r="AO502" i="32451"/>
  <c r="D471" i="32498" s="1"/>
  <c r="AO569" i="32451"/>
  <c r="AO510" i="32451"/>
  <c r="AO324" i="32451"/>
  <c r="D293" i="32498" s="1"/>
  <c r="AO636" i="32451"/>
  <c r="AO539" i="32451"/>
  <c r="AO319" i="32451"/>
  <c r="AO479" i="32451"/>
  <c r="D448" i="32498" s="1"/>
  <c r="AO511" i="32451"/>
  <c r="D480" i="32498" s="1"/>
  <c r="AO351" i="32451"/>
  <c r="D320" i="32498" s="1"/>
  <c r="AO383" i="32451"/>
  <c r="AO413" i="32451"/>
  <c r="D382" i="32498" s="1"/>
  <c r="AO366" i="32451"/>
  <c r="AO588" i="32451"/>
  <c r="AO544" i="32451"/>
  <c r="AO440" i="32451"/>
  <c r="AO272" i="32451"/>
  <c r="D241" i="32498" s="1"/>
  <c r="AO566" i="32451"/>
  <c r="AO416" i="32451"/>
  <c r="D385" i="32498" s="1"/>
  <c r="AO458" i="32451"/>
  <c r="AO554" i="32451"/>
  <c r="AO358" i="32451"/>
  <c r="D327" i="32498" s="1"/>
  <c r="AO582" i="32451"/>
  <c r="AO518" i="32451"/>
  <c r="AO580" i="32451"/>
  <c r="AO322" i="32451"/>
  <c r="AO320" i="32451"/>
  <c r="D289" i="32498" s="1"/>
  <c r="AO448" i="32451"/>
  <c r="AO576" i="32451"/>
  <c r="AO394" i="32451"/>
  <c r="AO361" i="32451"/>
  <c r="AO615" i="32451"/>
  <c r="D584" i="32498" s="1"/>
  <c r="AO295" i="32451"/>
  <c r="D264" i="32498" s="1"/>
  <c r="AO550" i="32451"/>
  <c r="D519" i="32498" s="1"/>
  <c r="AO262" i="32451"/>
  <c r="D231" i="32498" s="1"/>
  <c r="AO291" i="32451"/>
  <c r="AO387" i="32451"/>
  <c r="AO418" i="32451"/>
  <c r="AO307" i="32451"/>
  <c r="AO435" i="32451"/>
  <c r="AO500" i="32451"/>
  <c r="AO611" i="32451"/>
  <c r="D580" i="32498" s="1"/>
  <c r="AO359" i="32451"/>
  <c r="AO368" i="32451"/>
  <c r="D337" i="32498" s="1"/>
  <c r="AO384" i="32451"/>
  <c r="D353" i="32498" s="1"/>
  <c r="AO487" i="32451"/>
  <c r="D456" i="32498" s="1"/>
  <c r="AO546" i="32451"/>
  <c r="D515" i="32498" s="1"/>
  <c r="AO354" i="32451"/>
  <c r="AO406" i="32451"/>
  <c r="AO537" i="32451"/>
  <c r="AO356" i="32451"/>
  <c r="AO434" i="32451"/>
  <c r="D403" i="32498" s="1"/>
  <c r="AO346" i="32451"/>
  <c r="AO450" i="32451"/>
  <c r="AO473" i="32451"/>
  <c r="AO411" i="32451"/>
  <c r="AO573" i="32451"/>
  <c r="AO496" i="32451"/>
  <c r="D465" i="32498" s="1"/>
  <c r="AO281" i="32451"/>
  <c r="AO464" i="32451"/>
  <c r="D433" i="32498" s="1"/>
  <c r="AO452" i="32451"/>
  <c r="AO541" i="32451"/>
  <c r="AO338" i="32451"/>
  <c r="AO313" i="32451"/>
  <c r="AO374" i="32451"/>
  <c r="AO571" i="32451"/>
  <c r="AO398" i="32451"/>
  <c r="AO456" i="32451"/>
  <c r="AO432" i="32451"/>
  <c r="AO318" i="32451"/>
  <c r="AO390" i="32451"/>
  <c r="D359" i="32498" s="1"/>
  <c r="AO516" i="32451"/>
  <c r="D485" i="32498" s="1"/>
  <c r="AO310" i="32451"/>
  <c r="AO634" i="32451"/>
  <c r="AO469" i="32451"/>
  <c r="AO417" i="32451"/>
  <c r="AO632" i="32451"/>
  <c r="AO373" i="32451"/>
  <c r="AO433" i="32451"/>
  <c r="AO341" i="32451"/>
  <c r="AO565" i="32451"/>
  <c r="AO568" i="32451"/>
  <c r="AO344" i="32451"/>
  <c r="D313" i="32498" s="1"/>
  <c r="AO376" i="32451"/>
  <c r="AO501" i="32451"/>
  <c r="AO437" i="32451"/>
  <c r="AO309" i="32451"/>
  <c r="AO420" i="32451"/>
  <c r="D389" i="32498" s="1"/>
  <c r="AO414" i="32451"/>
  <c r="AO419" i="32451"/>
  <c r="D388" i="32498" s="1"/>
  <c r="AO564" i="32451"/>
  <c r="D533" i="32498" s="1"/>
  <c r="AO321" i="32451"/>
  <c r="D290" i="32498" s="1"/>
  <c r="AO509" i="32451"/>
  <c r="AO480" i="32451"/>
  <c r="AO391" i="32451"/>
  <c r="AO570" i="32451"/>
  <c r="AO628" i="32451"/>
  <c r="AO572" i="32451"/>
  <c r="D541" i="32498" s="1"/>
  <c r="AO630" i="32451"/>
  <c r="AO475" i="32451"/>
  <c r="D444" i="32498" s="1"/>
  <c r="AO401" i="32451"/>
  <c r="D370" i="32498" s="1"/>
  <c r="AO574" i="32451"/>
  <c r="D543" i="32498" s="1"/>
  <c r="AO443" i="32451"/>
  <c r="AO275" i="32451"/>
  <c r="D244" i="32498" s="1"/>
  <c r="AO563" i="32451"/>
  <c r="D532" i="32498" s="1"/>
  <c r="AO395" i="32451"/>
  <c r="D364" i="32498" s="1"/>
  <c r="AO465" i="32451"/>
  <c r="AO363" i="32451"/>
  <c r="AO305" i="32451"/>
  <c r="AO524" i="32451"/>
  <c r="AO332" i="32451"/>
  <c r="D301" i="32498" s="1"/>
  <c r="AO551" i="32451"/>
  <c r="AO622" i="32451"/>
  <c r="AO543" i="32451"/>
  <c r="AO505" i="32451"/>
  <c r="AO455" i="32451"/>
  <c r="D424" i="32498" s="1"/>
  <c r="AO412" i="32451"/>
  <c r="AO486" i="32451"/>
  <c r="AO579" i="32451"/>
  <c r="AO497" i="32451"/>
  <c r="AO619" i="32451"/>
  <c r="AO523" i="32451"/>
  <c r="AO331" i="32451"/>
  <c r="AO491" i="32451"/>
  <c r="D460" i="32498" s="1"/>
  <c r="AO427" i="32451"/>
  <c r="AO362" i="32451"/>
  <c r="AO298" i="32451"/>
  <c r="AO559" i="32451"/>
  <c r="AO273" i="32451"/>
  <c r="AO499" i="32451"/>
  <c r="AO365" i="32451"/>
  <c r="AO586" i="32451"/>
  <c r="AO623" i="32451"/>
  <c r="AO585" i="32451"/>
  <c r="D554" i="32498" s="1"/>
  <c r="AO264" i="32451"/>
  <c r="AO625" i="32451"/>
  <c r="D594" i="32498" s="1"/>
  <c r="AO371" i="32451"/>
  <c r="AO392" i="32451"/>
  <c r="AO328" i="32451"/>
  <c r="D297" i="32498" s="1"/>
  <c r="AO584" i="32451"/>
  <c r="D553" i="32498" s="1"/>
  <c r="AO493" i="32451"/>
  <c r="AO627" i="32451"/>
  <c r="AO488" i="32451"/>
  <c r="D457" i="32498" s="1"/>
  <c r="AO617" i="32451"/>
  <c r="AO329" i="32451"/>
  <c r="D298" i="32498" s="1"/>
  <c r="AO553" i="32451"/>
  <c r="AO489" i="32451"/>
  <c r="AO431" i="32451"/>
  <c r="D400" i="32498" s="1"/>
  <c r="AO557" i="32451"/>
  <c r="D526" i="32498" s="1"/>
  <c r="AO424" i="32451"/>
  <c r="AO296" i="32451"/>
  <c r="D265" i="32498" s="1"/>
  <c r="AO441" i="32451"/>
  <c r="D410" i="32498" s="1"/>
  <c r="AO575" i="32451"/>
  <c r="AO583" i="32451"/>
  <c r="AO562" i="32451"/>
  <c r="AO303" i="32451"/>
  <c r="D272" i="32498" s="1"/>
  <c r="AO461" i="32451"/>
  <c r="AO333" i="32451"/>
  <c r="AO269" i="32451"/>
  <c r="D238" i="32498" s="1"/>
  <c r="AO403" i="32451"/>
  <c r="D372" i="32498" s="1"/>
  <c r="AO388" i="32451"/>
  <c r="AO531" i="32451"/>
  <c r="AO271" i="32451"/>
  <c r="D240" i="32498" s="1"/>
  <c r="AO301" i="32451"/>
  <c r="AO558" i="32451"/>
  <c r="AO447" i="32451"/>
  <c r="D416" i="32498" s="1"/>
  <c r="AO429" i="32451"/>
  <c r="D398" i="32498" s="1"/>
  <c r="AO367" i="32451"/>
  <c r="AO369" i="32451"/>
  <c r="AO527" i="32451"/>
  <c r="D496" i="32498" s="1"/>
  <c r="AO449" i="32451"/>
  <c r="AO609" i="32451"/>
  <c r="D578" i="32498" s="1"/>
  <c r="AO463" i="32451"/>
  <c r="AO337" i="32451"/>
  <c r="AO621" i="32451"/>
  <c r="AO495" i="32451"/>
  <c r="AO689" i="32451"/>
  <c r="AO692" i="32451"/>
  <c r="D661" i="32498" s="1"/>
  <c r="AO536" i="32451"/>
  <c r="AO561" i="32451"/>
  <c r="AO556" i="32451"/>
  <c r="D525" i="32498" s="1"/>
  <c r="AO467" i="32451"/>
  <c r="D436" i="32498" s="1"/>
  <c r="AO690" i="32451"/>
  <c r="D659" i="32498" s="1"/>
  <c r="AO633" i="32451"/>
  <c r="AO687" i="32451"/>
  <c r="AO658" i="32451"/>
  <c r="AO316" i="32451"/>
  <c r="D285" i="32498" s="1"/>
  <c r="AO674" i="32451"/>
  <c r="D643" i="32498" s="1"/>
  <c r="AO459" i="32451"/>
  <c r="AO590" i="32451"/>
  <c r="AO274" i="32451"/>
  <c r="AO457" i="32451"/>
  <c r="AO593" i="32451"/>
  <c r="D562" i="32498" s="1"/>
  <c r="AO525" i="32451"/>
  <c r="AO538" i="32451"/>
  <c r="D507" i="32498" s="1"/>
  <c r="AO686" i="32451"/>
  <c r="D655" i="32498" s="1"/>
  <c r="AO660" i="32451"/>
  <c r="AO445" i="32451"/>
  <c r="AO317" i="32451"/>
  <c r="D286" i="32498" s="1"/>
  <c r="AO667" i="32451"/>
  <c r="AO605" i="32451"/>
  <c r="AO641" i="32451"/>
  <c r="AO666" i="32451"/>
  <c r="AO649" i="32451"/>
  <c r="D618" i="32498" s="1"/>
  <c r="AO503" i="32451"/>
  <c r="AO677" i="32451"/>
  <c r="D646" i="32498" s="1"/>
  <c r="AO639" i="32451"/>
  <c r="D608" i="32498" s="1"/>
  <c r="AO399" i="32451"/>
  <c r="D368" i="32498" s="1"/>
  <c r="AO353" i="32451"/>
  <c r="AO339" i="32451"/>
  <c r="AO672" i="32451"/>
  <c r="D641" i="32498" s="1"/>
  <c r="AO654" i="32451"/>
  <c r="D623" i="32498" s="1"/>
  <c r="AO663" i="32451"/>
  <c r="AO425" i="32451"/>
  <c r="AO519" i="32451"/>
  <c r="AO408" i="32451"/>
  <c r="AO405" i="32451"/>
  <c r="AO598" i="32451"/>
  <c r="AO471" i="32451"/>
  <c r="AO397" i="32451"/>
  <c r="D366" i="32498" s="1"/>
  <c r="AO606" i="32451"/>
  <c r="D575" i="32498" s="1"/>
  <c r="AO422" i="32451"/>
  <c r="AO700" i="32451"/>
  <c r="AO529" i="32451"/>
  <c r="AO560" i="32451"/>
  <c r="AO494" i="32451"/>
  <c r="AO421" i="32451"/>
  <c r="AO629" i="32451"/>
  <c r="AO547" i="32451"/>
  <c r="AO631" i="32451"/>
  <c r="AO610" i="32451"/>
  <c r="AO642" i="32451"/>
  <c r="D611" i="32498" s="1"/>
  <c r="AO646" i="32451"/>
  <c r="AO595" i="32451"/>
  <c r="AO701" i="32451"/>
  <c r="AO651" i="32451"/>
  <c r="AO498" i="32451"/>
  <c r="AO643" i="32451"/>
  <c r="AO653" i="32451"/>
  <c r="AO671" i="32451"/>
  <c r="AO577" i="32451"/>
  <c r="AO673" i="32451"/>
  <c r="D642" i="32498" s="1"/>
  <c r="AO662" i="32451"/>
  <c r="AO661" i="32451"/>
  <c r="AO644" i="32451"/>
  <c r="AO657" i="32451"/>
  <c r="AO650" i="32451"/>
  <c r="D619" i="32498" s="1"/>
  <c r="AO513" i="32451"/>
  <c r="AO698" i="32451"/>
  <c r="AO665" i="32451"/>
  <c r="AO645" i="32451"/>
  <c r="AO616" i="32451"/>
  <c r="D585" i="32498" s="1"/>
  <c r="AO699" i="32451"/>
  <c r="AO533" i="32451"/>
  <c r="AO597" i="32451"/>
  <c r="D566" i="32498" s="1"/>
  <c r="AO515" i="32451"/>
  <c r="D484" i="32498" s="1"/>
  <c r="AO545" i="32451"/>
  <c r="AO289" i="32451"/>
  <c r="AO679" i="32451"/>
  <c r="D648" i="32498" s="1"/>
  <c r="AO647" i="32451"/>
  <c r="AO581" i="32451"/>
  <c r="AO587" i="32451"/>
  <c r="AO683" i="32451"/>
  <c r="AO600" i="32451"/>
  <c r="D569" i="32498" s="1"/>
  <c r="AO676" i="32451"/>
  <c r="AO602" i="32451"/>
  <c r="AO626" i="32451"/>
  <c r="AO612" i="32451"/>
  <c r="AO702" i="32451"/>
  <c r="AO618" i="32451"/>
  <c r="D587" i="32498" s="1"/>
  <c r="AO655" i="32451"/>
  <c r="AO635" i="32451"/>
  <c r="AO682" i="32451"/>
  <c r="AO614" i="32451"/>
  <c r="D583" i="32498" s="1"/>
  <c r="AO693" i="32451"/>
  <c r="AO549" i="32451"/>
  <c r="D518" i="32498" s="1"/>
  <c r="AO691" i="32451"/>
  <c r="AO684" i="32451"/>
  <c r="AO704" i="32451"/>
  <c r="AO695" i="32451"/>
  <c r="D664" i="32498" s="1"/>
  <c r="AO589" i="32451"/>
  <c r="AO668" i="32451"/>
  <c r="D637" i="32498" s="1"/>
  <c r="AO517" i="32451"/>
  <c r="AO681" i="32451"/>
  <c r="AO685" i="32451"/>
  <c r="AO620" i="32451"/>
  <c r="AO648" i="32451"/>
  <c r="AO675" i="32451"/>
  <c r="AO607" i="32451"/>
  <c r="D576" i="32498" s="1"/>
  <c r="AO696" i="32451"/>
  <c r="D665" i="32498" s="1"/>
  <c r="AO591" i="32451"/>
  <c r="D560" i="32498" s="1"/>
  <c r="AO652" i="32451"/>
  <c r="AO669" i="32451"/>
  <c r="AO656" i="32451"/>
  <c r="AO678" i="32451"/>
  <c r="AO482" i="32451"/>
  <c r="AO659" i="32451"/>
  <c r="D628" i="32498" s="1"/>
  <c r="AO680" i="32451"/>
  <c r="AO624" i="32451"/>
  <c r="AO694" i="32451"/>
  <c r="D663" i="32498" s="1"/>
  <c r="AO608" i="32451"/>
  <c r="AO688" i="32451"/>
  <c r="AO637" i="32451"/>
  <c r="AO703" i="32451"/>
  <c r="AO670" i="32451"/>
  <c r="D639" i="32498" s="1"/>
  <c r="AO664" i="32451"/>
  <c r="AO46" i="32451"/>
  <c r="AO58" i="32451"/>
  <c r="AO48" i="32451"/>
  <c r="AO38" i="32451"/>
  <c r="AO52" i="32451"/>
  <c r="AO34" i="32451"/>
  <c r="AO50" i="32451"/>
  <c r="AO40" i="32451"/>
  <c r="AO62" i="32451"/>
  <c r="AO44" i="32451"/>
  <c r="AO35" i="32451"/>
  <c r="AO42" i="32451"/>
  <c r="AO55" i="32451"/>
  <c r="AO60" i="32451"/>
  <c r="AO36" i="32451"/>
  <c r="AO53" i="32451"/>
  <c r="AO57" i="32451"/>
  <c r="AO59" i="32451"/>
  <c r="AO697" i="32451"/>
  <c r="D666" i="32498" s="1"/>
  <c r="AO61" i="32451"/>
  <c r="AO37" i="32451"/>
  <c r="AO41" i="32451"/>
  <c r="AO63" i="32451"/>
  <c r="AO54" i="32451"/>
  <c r="AO43" i="32451"/>
  <c r="AO65" i="32451"/>
  <c r="AO64" i="32451"/>
  <c r="AO56" i="32451"/>
  <c r="AO39" i="32451"/>
  <c r="AO160" i="32451"/>
  <c r="AO244" i="32451"/>
  <c r="AO253" i="32451"/>
  <c r="I74" i="32451"/>
  <c r="AO74" i="32451"/>
  <c r="D43" i="32498" s="1"/>
  <c r="AO218" i="32451"/>
  <c r="AO249" i="32451"/>
  <c r="D218" i="32498" s="1"/>
  <c r="AO238" i="32451"/>
  <c r="I112" i="32451"/>
  <c r="AO112" i="32451"/>
  <c r="D81" i="32498" s="1"/>
  <c r="I144" i="32451"/>
  <c r="AO144" i="32451"/>
  <c r="AO208" i="32451"/>
  <c r="D177" i="32498" s="1"/>
  <c r="AO154" i="32451"/>
  <c r="I127" i="32451"/>
  <c r="AO127" i="32451"/>
  <c r="AO111" i="32451"/>
  <c r="D80" i="32498" s="1"/>
  <c r="AO226" i="32451"/>
  <c r="AO121" i="32451"/>
  <c r="AO257" i="32451"/>
  <c r="AO167" i="32451"/>
  <c r="AO191" i="32451"/>
  <c r="AO71" i="32451"/>
  <c r="AO212" i="32451"/>
  <c r="AO98" i="32451"/>
  <c r="AO242" i="32451"/>
  <c r="AO145" i="32451"/>
  <c r="AO190" i="32451"/>
  <c r="I126" i="32451"/>
  <c r="AO126" i="32451"/>
  <c r="D95" i="32498" s="1"/>
  <c r="AO229" i="32451"/>
  <c r="D198" i="32498" s="1"/>
  <c r="AO165" i="32451"/>
  <c r="I101" i="32451"/>
  <c r="AO101" i="32451"/>
  <c r="AO148" i="32451"/>
  <c r="I84" i="32451"/>
  <c r="AO84" i="32451"/>
  <c r="AO251" i="32451"/>
  <c r="D220" i="32498" s="1"/>
  <c r="AO187" i="32451"/>
  <c r="I123" i="32451"/>
  <c r="AO123" i="32451"/>
  <c r="AO220" i="32451"/>
  <c r="AO224" i="32451"/>
  <c r="I86" i="32451"/>
  <c r="AO86" i="32451"/>
  <c r="AO83" i="32451"/>
  <c r="D52" i="32498" s="1"/>
  <c r="AO184" i="32451"/>
  <c r="D153" i="32498" s="1"/>
  <c r="AO106" i="32451"/>
  <c r="AO172" i="32451"/>
  <c r="AO216" i="32451"/>
  <c r="D185" i="32498" s="1"/>
  <c r="AO247" i="32451"/>
  <c r="D216" i="32498" s="1"/>
  <c r="AO177" i="32451"/>
  <c r="AO201" i="32451"/>
  <c r="I82" i="32451"/>
  <c r="AO82" i="32451"/>
  <c r="AO232" i="32451"/>
  <c r="AO129" i="32451"/>
  <c r="AO182" i="32451"/>
  <c r="D151" i="32498" s="1"/>
  <c r="AO118" i="32451"/>
  <c r="D87" i="32498" s="1"/>
  <c r="AO221" i="32451"/>
  <c r="AO157" i="32451"/>
  <c r="D126" i="32498" s="1"/>
  <c r="I93" i="32451"/>
  <c r="AO93" i="32451"/>
  <c r="I140" i="32451"/>
  <c r="AO140" i="32451"/>
  <c r="AO76" i="32451"/>
  <c r="AO243" i="32451"/>
  <c r="AO179" i="32451"/>
  <c r="D148" i="32498" s="1"/>
  <c r="AO115" i="32451"/>
  <c r="AO51" i="32451"/>
  <c r="AO707" i="32451"/>
  <c r="AO705" i="32451"/>
  <c r="AO96" i="32451"/>
  <c r="AO204" i="32451"/>
  <c r="AO186" i="32451"/>
  <c r="I90" i="32451"/>
  <c r="AO90" i="32451"/>
  <c r="AO47" i="32451"/>
  <c r="AO240" i="32451"/>
  <c r="AO80" i="32451"/>
  <c r="D49" i="32498" s="1"/>
  <c r="I105" i="32451"/>
  <c r="AO105" i="32451"/>
  <c r="I152" i="32451"/>
  <c r="AO152" i="32451"/>
  <c r="AO209" i="32451"/>
  <c r="D178" i="32498" s="1"/>
  <c r="AO138" i="32451"/>
  <c r="AO231" i="32451"/>
  <c r="D200" i="32498" s="1"/>
  <c r="AO250" i="32451"/>
  <c r="AO252" i="32451"/>
  <c r="D221" i="32498" s="1"/>
  <c r="AO206" i="32451"/>
  <c r="D175" i="32498" s="1"/>
  <c r="I89" i="32451"/>
  <c r="AO89" i="32451"/>
  <c r="AO236" i="32451"/>
  <c r="I136" i="32451"/>
  <c r="AO136" i="32451"/>
  <c r="AO256" i="32451"/>
  <c r="AO164" i="32451"/>
  <c r="D133" i="32498" s="1"/>
  <c r="AO188" i="32451"/>
  <c r="D157" i="32498" s="1"/>
  <c r="AO66" i="32451"/>
  <c r="AO222" i="32451"/>
  <c r="AO113" i="32451"/>
  <c r="AO174" i="32451"/>
  <c r="I110" i="32451"/>
  <c r="AO110" i="32451"/>
  <c r="D79" i="32498" s="1"/>
  <c r="AO213" i="32451"/>
  <c r="AO149" i="32451"/>
  <c r="I85" i="32451"/>
  <c r="AO85" i="32451"/>
  <c r="I132" i="32451"/>
  <c r="AO132" i="32451"/>
  <c r="D101" i="32498" s="1"/>
  <c r="I68" i="32451"/>
  <c r="AO68" i="32451"/>
  <c r="D37" i="32498" s="1"/>
  <c r="AO235" i="32451"/>
  <c r="AO171" i="32451"/>
  <c r="I107" i="32451"/>
  <c r="AO107" i="32451"/>
  <c r="AO230" i="32451"/>
  <c r="I88" i="32451"/>
  <c r="AO88" i="32451"/>
  <c r="I150" i="32451"/>
  <c r="AO150" i="32451"/>
  <c r="D119" i="32498" s="1"/>
  <c r="AO211" i="32451"/>
  <c r="D180" i="32498" s="1"/>
  <c r="AO194" i="32451"/>
  <c r="AO169" i="32451"/>
  <c r="AO183" i="32451"/>
  <c r="AO185" i="32451"/>
  <c r="AO95" i="32451"/>
  <c r="AO207" i="32451"/>
  <c r="D176" i="32498" s="1"/>
  <c r="AO228" i="32451"/>
  <c r="D197" i="32498" s="1"/>
  <c r="AO193" i="32451"/>
  <c r="AO73" i="32451"/>
  <c r="AO225" i="32451"/>
  <c r="D194" i="32498" s="1"/>
  <c r="I120" i="32451"/>
  <c r="AO120" i="32451"/>
  <c r="D89" i="32498" s="1"/>
  <c r="AO246" i="32451"/>
  <c r="AO151" i="32451"/>
  <c r="AO176" i="32451"/>
  <c r="AO210" i="32451"/>
  <c r="I97" i="32451"/>
  <c r="AO97" i="32451"/>
  <c r="AO166" i="32451"/>
  <c r="D135" i="32498" s="1"/>
  <c r="AO102" i="32451"/>
  <c r="D71" i="32498" s="1"/>
  <c r="AO205" i="32451"/>
  <c r="AO141" i="32451"/>
  <c r="AO77" i="32451"/>
  <c r="D46" i="32498" s="1"/>
  <c r="I124" i="32451"/>
  <c r="AO124" i="32451"/>
  <c r="D93" i="32498" s="1"/>
  <c r="AO227" i="32451"/>
  <c r="AO163" i="32451"/>
  <c r="AO99" i="32451"/>
  <c r="AO143" i="32451"/>
  <c r="AO170" i="32451"/>
  <c r="AO260" i="32451"/>
  <c r="D229" i="32498" s="1"/>
  <c r="AO196" i="32451"/>
  <c r="AO180" i="32451"/>
  <c r="D149" i="32498" s="1"/>
  <c r="AO215" i="32451"/>
  <c r="D184" i="32498" s="1"/>
  <c r="I104" i="32451"/>
  <c r="AO104" i="32451"/>
  <c r="AO234" i="32451"/>
  <c r="AO135" i="32451"/>
  <c r="D104" i="32498" s="1"/>
  <c r="AO255" i="32451"/>
  <c r="D224" i="32498" s="1"/>
  <c r="AO162" i="32451"/>
  <c r="AO200" i="32451"/>
  <c r="AO81" i="32451"/>
  <c r="AO158" i="32451"/>
  <c r="AO94" i="32451"/>
  <c r="AO261" i="32451"/>
  <c r="AO197" i="32451"/>
  <c r="I133" i="32451"/>
  <c r="AO133" i="32451"/>
  <c r="AO69" i="32451"/>
  <c r="AO116" i="32451"/>
  <c r="AO219" i="32451"/>
  <c r="D188" i="32498" s="1"/>
  <c r="I155" i="32451"/>
  <c r="AO155" i="32451"/>
  <c r="I91" i="32451"/>
  <c r="AO91" i="32451"/>
  <c r="AO241" i="32451"/>
  <c r="AO168" i="32451"/>
  <c r="I108" i="32451"/>
  <c r="AO108" i="32451"/>
  <c r="AO706" i="32451"/>
  <c r="AO128" i="32451"/>
  <c r="I146" i="32451"/>
  <c r="AO146" i="32451"/>
  <c r="D115" i="32498" s="1"/>
  <c r="AO189" i="32451"/>
  <c r="AO199" i="32451"/>
  <c r="AO159" i="32451"/>
  <c r="AO122" i="32451"/>
  <c r="D91" i="32498" s="1"/>
  <c r="AO248" i="32451"/>
  <c r="AO153" i="32451"/>
  <c r="AO192" i="32451"/>
  <c r="I72" i="32451"/>
  <c r="AO72" i="32451"/>
  <c r="AO214" i="32451"/>
  <c r="I103" i="32451"/>
  <c r="AO103" i="32451"/>
  <c r="AO233" i="32451"/>
  <c r="D202" i="32498" s="1"/>
  <c r="I130" i="32451"/>
  <c r="AO130" i="32451"/>
  <c r="AO175" i="32451"/>
  <c r="AO49" i="32451"/>
  <c r="I142" i="32451"/>
  <c r="AO142" i="32451"/>
  <c r="AO78" i="32451"/>
  <c r="D47" i="32498" s="1"/>
  <c r="AO245" i="32451"/>
  <c r="AO181" i="32451"/>
  <c r="AO117" i="32451"/>
  <c r="AO100" i="32451"/>
  <c r="AO203" i="32451"/>
  <c r="AO139" i="32451"/>
  <c r="AO75" i="32451"/>
  <c r="AO258" i="32451"/>
  <c r="I119" i="32451"/>
  <c r="AO119" i="32451"/>
  <c r="AO125" i="32451"/>
  <c r="D94" i="32498" s="1"/>
  <c r="AO147" i="32451"/>
  <c r="AO217" i="32451"/>
  <c r="AO239" i="32451"/>
  <c r="D208" i="32498" s="1"/>
  <c r="AO79" i="32451"/>
  <c r="AO137" i="32451"/>
  <c r="D106" i="32498" s="1"/>
  <c r="AO178" i="32451"/>
  <c r="AO202" i="32451"/>
  <c r="D171" i="32498" s="1"/>
  <c r="I87" i="32451"/>
  <c r="AO87" i="32451"/>
  <c r="D56" i="32498" s="1"/>
  <c r="AO223" i="32451"/>
  <c r="D192" i="32498" s="1"/>
  <c r="I114" i="32451"/>
  <c r="AO114" i="32451"/>
  <c r="D83" i="32498" s="1"/>
  <c r="AO254" i="32451"/>
  <c r="D223" i="32498" s="1"/>
  <c r="AO161" i="32451"/>
  <c r="AO198" i="32451"/>
  <c r="I134" i="32451"/>
  <c r="AO134" i="32451"/>
  <c r="AO70" i="32451"/>
  <c r="AO237" i="32451"/>
  <c r="AO173" i="32451"/>
  <c r="AO109" i="32451"/>
  <c r="AO45" i="32451"/>
  <c r="AO156" i="32451"/>
  <c r="AO92" i="32451"/>
  <c r="AO259" i="32451"/>
  <c r="D228" i="32498" s="1"/>
  <c r="AO195" i="32451"/>
  <c r="D164" i="32498" s="1"/>
  <c r="AO131" i="32451"/>
  <c r="AO67" i="32451"/>
  <c r="I510" i="32451"/>
  <c r="I694" i="32451"/>
  <c r="I572" i="32451"/>
  <c r="I401" i="32451"/>
  <c r="I594" i="32451"/>
  <c r="I458" i="32451"/>
  <c r="I695" i="32451"/>
  <c r="I539" i="32451"/>
  <c r="I387" i="32451"/>
  <c r="I443" i="32451"/>
  <c r="I549" i="32451"/>
  <c r="I485" i="32451"/>
  <c r="I421" i="32451"/>
  <c r="I570" i="32451"/>
  <c r="I506" i="32451"/>
  <c r="I692" i="32451"/>
  <c r="I383" i="32451"/>
  <c r="I366" i="32451"/>
  <c r="I541" i="32451"/>
  <c r="I395" i="32451"/>
  <c r="I469" i="32451"/>
  <c r="I531" i="32451"/>
  <c r="I519" i="32451"/>
  <c r="I418" i="32451"/>
  <c r="I33" i="32451"/>
  <c r="I627" i="32451"/>
  <c r="I620" i="32451"/>
  <c r="I35" i="32451"/>
  <c r="I58" i="32451"/>
  <c r="I62" i="32451"/>
  <c r="I42" i="32451"/>
  <c r="I54" i="32451"/>
  <c r="I46" i="32451"/>
  <c r="I61" i="32451"/>
  <c r="I60" i="32451"/>
  <c r="I57" i="32451"/>
  <c r="I38" i="32451"/>
  <c r="I53" i="32451"/>
  <c r="I52" i="32451"/>
  <c r="I41" i="32451"/>
  <c r="I55" i="32451"/>
  <c r="I50" i="32451"/>
  <c r="I44" i="32451"/>
  <c r="I59" i="32451"/>
  <c r="I63" i="32451"/>
  <c r="I40" i="32451"/>
  <c r="I34" i="32451"/>
  <c r="I37" i="32451"/>
  <c r="I36" i="32451"/>
  <c r="I48" i="32451"/>
  <c r="I43" i="32451"/>
  <c r="N19" i="32451" l="1"/>
  <c r="P19" i="32451"/>
  <c r="H191" i="32498"/>
  <c r="H64" i="32498"/>
  <c r="H168" i="32498"/>
  <c r="H100" i="32498"/>
  <c r="H133" i="32498"/>
  <c r="H75" i="32498"/>
  <c r="H85" i="32498"/>
  <c r="H159" i="32498"/>
  <c r="H61" i="32498"/>
  <c r="H185" i="32498"/>
  <c r="H110" i="32498"/>
  <c r="H98" i="32498"/>
  <c r="H144" i="32498"/>
  <c r="H164" i="32498"/>
  <c r="H187" i="32498"/>
  <c r="H149" i="32498"/>
  <c r="H169" i="32498"/>
  <c r="H96" i="32498"/>
  <c r="H129" i="32498"/>
  <c r="H77" i="32498"/>
  <c r="H107" i="32498"/>
  <c r="R191" i="32451"/>
  <c r="I160" i="32498" s="1"/>
  <c r="R109" i="32451"/>
  <c r="I78" i="32498" s="1"/>
  <c r="H73" i="32498"/>
  <c r="H123" i="32498"/>
  <c r="H135" i="32498"/>
  <c r="H163" i="32498"/>
  <c r="H93" i="32498"/>
  <c r="H143" i="32498"/>
  <c r="H52" i="32498"/>
  <c r="H155" i="32498"/>
  <c r="H92" i="32498"/>
  <c r="H63" i="32498"/>
  <c r="H186" i="32498"/>
  <c r="H137" i="32498"/>
  <c r="H139" i="32498"/>
  <c r="H82" i="32498"/>
  <c r="H58" i="32498"/>
  <c r="R146" i="32451"/>
  <c r="I115" i="32498" s="1"/>
  <c r="H179" i="32498"/>
  <c r="H91" i="32498"/>
  <c r="H65" i="32498"/>
  <c r="H157" i="32498"/>
  <c r="H183" i="32498"/>
  <c r="R187" i="32451"/>
  <c r="I156" i="32498" s="1"/>
  <c r="H182" i="32498"/>
  <c r="H173" i="32498"/>
  <c r="H127" i="32498"/>
  <c r="H131" i="32498"/>
  <c r="H67" i="32498"/>
  <c r="H94" i="32498"/>
  <c r="H146" i="32498"/>
  <c r="H71" i="32498"/>
  <c r="H66" i="32498"/>
  <c r="H178" i="32498"/>
  <c r="H151" i="32498"/>
  <c r="H81" i="32498"/>
  <c r="H122" i="32498"/>
  <c r="H138" i="32498"/>
  <c r="H84" i="32498"/>
  <c r="H51" i="32498"/>
  <c r="H111" i="32498"/>
  <c r="H132" i="32498"/>
  <c r="H124" i="32498"/>
  <c r="R149" i="32451"/>
  <c r="I118" i="32498" s="1"/>
  <c r="H54" i="32498"/>
  <c r="H50" i="32498"/>
  <c r="H165" i="32498"/>
  <c r="H190" i="32498"/>
  <c r="H134" i="32498"/>
  <c r="H80" i="32498"/>
  <c r="H152" i="32498"/>
  <c r="H125" i="32498"/>
  <c r="H116" i="32498"/>
  <c r="H188" i="32498"/>
  <c r="H174" i="32498"/>
  <c r="H177" i="32498"/>
  <c r="H69" i="32498"/>
  <c r="H130" i="32498"/>
  <c r="H104" i="32498"/>
  <c r="H140" i="32498"/>
  <c r="H97" i="32498"/>
  <c r="H53" i="32498"/>
  <c r="H95" i="32498"/>
  <c r="H106" i="32498"/>
  <c r="H162" i="32498"/>
  <c r="H170" i="32498"/>
  <c r="H72" i="32498"/>
  <c r="H175" i="32498"/>
  <c r="R130" i="32451"/>
  <c r="I99" i="32498" s="1"/>
  <c r="H141" i="32498"/>
  <c r="H90" i="32498"/>
  <c r="H103" i="32498"/>
  <c r="H102" i="32498"/>
  <c r="H180" i="32498"/>
  <c r="H89" i="32498"/>
  <c r="H181" i="32498"/>
  <c r="H128" i="32498"/>
  <c r="H158" i="32498"/>
  <c r="R184" i="32451"/>
  <c r="I153" i="32498" s="1"/>
  <c r="H57" i="32498"/>
  <c r="H88" i="32498"/>
  <c r="H117" i="32498"/>
  <c r="H68" i="32498"/>
  <c r="H167" i="32498"/>
  <c r="H83" i="32498"/>
  <c r="H172" i="32498"/>
  <c r="H101" i="32498"/>
  <c r="H184" i="32498"/>
  <c r="H150" i="32498"/>
  <c r="H114" i="32498"/>
  <c r="H113" i="32498"/>
  <c r="H112" i="32498"/>
  <c r="H119" i="32498"/>
  <c r="H70" i="32498"/>
  <c r="H147" i="32498"/>
  <c r="R110" i="32451"/>
  <c r="I79" i="32498" s="1"/>
  <c r="H171" i="32498"/>
  <c r="H145" i="32498"/>
  <c r="H161" i="32498"/>
  <c r="H109" i="32498"/>
  <c r="H76" i="32498"/>
  <c r="H108" i="32498"/>
  <c r="H126" i="32498"/>
  <c r="H60" i="32498"/>
  <c r="H87" i="32498"/>
  <c r="H55" i="32498"/>
  <c r="H74" i="32498"/>
  <c r="H148" i="32498"/>
  <c r="H59" i="32498"/>
  <c r="H154" i="32498"/>
  <c r="H166" i="32498"/>
  <c r="H105" i="32498"/>
  <c r="H176" i="32498"/>
  <c r="H189" i="32498"/>
  <c r="H121" i="32498"/>
  <c r="H56" i="32498"/>
  <c r="H142" i="32498"/>
  <c r="H62" i="32498"/>
  <c r="H120" i="32498"/>
  <c r="H136" i="32498"/>
  <c r="H86" i="32498"/>
  <c r="K550" i="32498"/>
  <c r="H550" i="32498"/>
  <c r="K448" i="32498"/>
  <c r="H448" i="32498"/>
  <c r="K503" i="32498"/>
  <c r="H503" i="32498"/>
  <c r="K504" i="32498"/>
  <c r="H504" i="32498"/>
  <c r="K669" i="32498"/>
  <c r="H669" i="32498"/>
  <c r="K384" i="32498"/>
  <c r="H384" i="32498"/>
  <c r="K358" i="32498"/>
  <c r="H358" i="32498"/>
  <c r="K506" i="32498"/>
  <c r="H506" i="32498"/>
  <c r="K497" i="32498"/>
  <c r="H497" i="32498"/>
  <c r="K312" i="32498"/>
  <c r="H312" i="32498"/>
  <c r="K359" i="32498"/>
  <c r="H359" i="32498"/>
  <c r="K537" i="32498"/>
  <c r="H537" i="32498"/>
  <c r="K540" i="32498"/>
  <c r="H540" i="32498"/>
  <c r="K478" i="32498"/>
  <c r="H478" i="32498"/>
  <c r="K378" i="32498"/>
  <c r="H378" i="32498"/>
  <c r="K422" i="32498"/>
  <c r="H422" i="32498"/>
  <c r="K441" i="32498"/>
  <c r="H441" i="32498"/>
  <c r="K381" i="32498"/>
  <c r="H381" i="32498"/>
  <c r="K360" i="32498"/>
  <c r="H360" i="32498"/>
  <c r="K469" i="32498"/>
  <c r="H469" i="32498"/>
  <c r="K512" i="32498"/>
  <c r="H512" i="32498"/>
  <c r="K350" i="32498"/>
  <c r="H350" i="32498"/>
  <c r="K449" i="32498"/>
  <c r="H449" i="32498"/>
  <c r="K676" i="32498"/>
  <c r="H676" i="32498"/>
  <c r="K486" i="32498"/>
  <c r="H486" i="32498"/>
  <c r="K342" i="32498"/>
  <c r="H342" i="32498"/>
  <c r="K563" i="32498"/>
  <c r="H563" i="32498"/>
  <c r="K367" i="32498"/>
  <c r="H367" i="32498"/>
  <c r="K667" i="32498"/>
  <c r="H667" i="32498"/>
  <c r="K444" i="32498"/>
  <c r="H444" i="32498"/>
  <c r="K377" i="32498"/>
  <c r="H377" i="32498"/>
  <c r="K414" i="32498"/>
  <c r="H414" i="32498"/>
  <c r="K445" i="32498"/>
  <c r="H445" i="32498"/>
  <c r="K473" i="32498"/>
  <c r="H473" i="32498"/>
  <c r="K531" i="32498"/>
  <c r="H531" i="32498"/>
  <c r="K673" i="32498"/>
  <c r="H673" i="32498"/>
  <c r="K390" i="32498"/>
  <c r="H390" i="32498"/>
  <c r="K479" i="32498"/>
  <c r="H479" i="32498"/>
  <c r="K439" i="32498"/>
  <c r="H439" i="32498"/>
  <c r="K374" i="32498"/>
  <c r="H374" i="32498"/>
  <c r="K548" i="32498"/>
  <c r="H548" i="32498"/>
  <c r="K674" i="32498"/>
  <c r="H674" i="32498"/>
  <c r="K433" i="32498"/>
  <c r="H433" i="32498"/>
  <c r="K670" i="32498"/>
  <c r="H670" i="32498"/>
  <c r="K455" i="32498"/>
  <c r="H455" i="32498"/>
  <c r="K452" i="32498"/>
  <c r="H452" i="32498"/>
  <c r="K529" i="32498"/>
  <c r="H529" i="32498"/>
  <c r="K519" i="32498"/>
  <c r="H519" i="32498"/>
  <c r="K405" i="32498"/>
  <c r="H405" i="32498"/>
  <c r="K470" i="32498"/>
  <c r="H470" i="32498"/>
  <c r="K566" i="32498"/>
  <c r="H566" i="32498"/>
  <c r="K388" i="32498"/>
  <c r="H388" i="32498"/>
  <c r="K435" i="32498"/>
  <c r="H435" i="32498"/>
  <c r="K668" i="32498"/>
  <c r="H668" i="32498"/>
  <c r="K675" i="32498"/>
  <c r="H675" i="32498"/>
  <c r="K355" i="32498"/>
  <c r="H355" i="32498"/>
  <c r="K385" i="32498"/>
  <c r="H385" i="32498"/>
  <c r="K565" i="32498"/>
  <c r="H565" i="32498"/>
  <c r="K487" i="32498"/>
  <c r="H487" i="32498"/>
  <c r="K251" i="32498"/>
  <c r="H251" i="32498"/>
  <c r="K317" i="32498"/>
  <c r="H317" i="32498"/>
  <c r="K671" i="32498"/>
  <c r="H671" i="32498"/>
  <c r="K343" i="32498"/>
  <c r="H343" i="32498"/>
  <c r="K477" i="32498"/>
  <c r="H477" i="32498"/>
  <c r="K485" i="32498"/>
  <c r="H485" i="32498"/>
  <c r="K375" i="32498"/>
  <c r="H375" i="32498"/>
  <c r="K383" i="32498"/>
  <c r="H383" i="32498"/>
  <c r="K672" i="32498"/>
  <c r="H672" i="32498"/>
  <c r="K307" i="32498"/>
  <c r="H307" i="32498"/>
  <c r="K348" i="32498"/>
  <c r="H348" i="32498"/>
  <c r="K508" i="32498"/>
  <c r="H508" i="32498"/>
  <c r="K561" i="32498"/>
  <c r="H561" i="32498"/>
  <c r="G34" i="32498"/>
  <c r="G115" i="32498"/>
  <c r="G427" i="32498"/>
  <c r="R458" i="32451"/>
  <c r="G476" i="32498"/>
  <c r="R507" i="32451"/>
  <c r="G597" i="32498"/>
  <c r="R628" i="32451"/>
  <c r="G586" i="32498"/>
  <c r="R617" i="32451"/>
  <c r="G569" i="32498"/>
  <c r="R600" i="32451"/>
  <c r="G77" i="32498"/>
  <c r="R108" i="32451"/>
  <c r="I77" i="32498" s="1"/>
  <c r="J312" i="32498"/>
  <c r="G425" i="32498"/>
  <c r="R456" i="32451"/>
  <c r="G532" i="32498"/>
  <c r="R563" i="32451"/>
  <c r="G510" i="32498"/>
  <c r="R541" i="32451"/>
  <c r="G509" i="32498"/>
  <c r="R540" i="32451"/>
  <c r="G642" i="32498"/>
  <c r="R673" i="32451"/>
  <c r="G318" i="32498"/>
  <c r="R349" i="32451"/>
  <c r="G482" i="32498"/>
  <c r="R513" i="32451"/>
  <c r="G395" i="32498"/>
  <c r="R426" i="32451"/>
  <c r="G181" i="32498"/>
  <c r="R212" i="32451"/>
  <c r="I181" i="32498" s="1"/>
  <c r="G401" i="32498"/>
  <c r="R432" i="32451"/>
  <c r="G184" i="32498"/>
  <c r="R215" i="32451"/>
  <c r="I184" i="32498" s="1"/>
  <c r="G552" i="32498"/>
  <c r="R583" i="32451"/>
  <c r="G148" i="32498"/>
  <c r="G491" i="32498"/>
  <c r="R522" i="32451"/>
  <c r="G134" i="32498"/>
  <c r="R165" i="32451"/>
  <c r="I134" i="32498" s="1"/>
  <c r="G278" i="32498"/>
  <c r="R309" i="32451"/>
  <c r="G617" i="32498"/>
  <c r="R648" i="32451"/>
  <c r="J350" i="32498"/>
  <c r="G248" i="32498"/>
  <c r="R279" i="32451"/>
  <c r="I248" i="32498" s="1"/>
  <c r="G244" i="32498"/>
  <c r="R275" i="32451"/>
  <c r="I244" i="32498" s="1"/>
  <c r="G589" i="32498"/>
  <c r="R620" i="32451"/>
  <c r="G99" i="32498"/>
  <c r="G431" i="32498"/>
  <c r="R462" i="32451"/>
  <c r="G207" i="32498"/>
  <c r="R238" i="32451"/>
  <c r="I207" i="32498" s="1"/>
  <c r="G413" i="32498"/>
  <c r="R444" i="32451"/>
  <c r="G297" i="32498"/>
  <c r="R328" i="32451"/>
  <c r="G273" i="32498"/>
  <c r="R304" i="32451"/>
  <c r="G631" i="32498"/>
  <c r="R662" i="32451"/>
  <c r="G502" i="32498"/>
  <c r="R533" i="32451"/>
  <c r="G514" i="32498"/>
  <c r="R545" i="32451"/>
  <c r="G340" i="32498"/>
  <c r="R371" i="32451"/>
  <c r="G144" i="32498"/>
  <c r="G553" i="32498"/>
  <c r="R584" i="32451"/>
  <c r="G645" i="32498"/>
  <c r="R676" i="32451"/>
  <c r="G263" i="32498"/>
  <c r="R294" i="32451"/>
  <c r="G268" i="32498"/>
  <c r="R299" i="32451"/>
  <c r="G160" i="32498"/>
  <c r="G78" i="32498"/>
  <c r="G123" i="32498"/>
  <c r="R154" i="32451"/>
  <c r="I123" i="32498" s="1"/>
  <c r="G320" i="32498"/>
  <c r="R351" i="32451"/>
  <c r="G501" i="32498"/>
  <c r="R532" i="32451"/>
  <c r="G281" i="32498"/>
  <c r="R312" i="32451"/>
  <c r="J449" i="32498"/>
  <c r="G137" i="32498"/>
  <c r="R168" i="32451"/>
  <c r="I137" i="32498" s="1"/>
  <c r="G82" i="32498"/>
  <c r="R113" i="32451"/>
  <c r="I82" i="32498" s="1"/>
  <c r="G65" i="32498"/>
  <c r="G612" i="32498"/>
  <c r="R643" i="32451"/>
  <c r="J676" i="32498"/>
  <c r="G572" i="32498"/>
  <c r="R603" i="32451"/>
  <c r="G486" i="32498"/>
  <c r="R517" i="32451"/>
  <c r="G156" i="32498"/>
  <c r="G182" i="32498"/>
  <c r="R213" i="32451"/>
  <c r="I182" i="32498" s="1"/>
  <c r="G590" i="32498"/>
  <c r="R621" i="32451"/>
  <c r="G66" i="32498"/>
  <c r="R97" i="32451"/>
  <c r="I66" i="32498" s="1"/>
  <c r="G558" i="32498"/>
  <c r="R589" i="32451"/>
  <c r="G606" i="32498"/>
  <c r="R637" i="32451"/>
  <c r="G333" i="32498"/>
  <c r="R364" i="32451"/>
  <c r="G122" i="32498"/>
  <c r="R153" i="32451"/>
  <c r="I122" i="32498" s="1"/>
  <c r="G51" i="32498"/>
  <c r="R82" i="32451"/>
  <c r="I51" i="32498" s="1"/>
  <c r="G14" i="32498"/>
  <c r="G124" i="32498"/>
  <c r="R155" i="32451"/>
  <c r="I124" i="32498" s="1"/>
  <c r="G559" i="32498"/>
  <c r="R590" i="32451"/>
  <c r="G633" i="32498"/>
  <c r="R664" i="32451"/>
  <c r="G165" i="32498"/>
  <c r="R196" i="32451"/>
  <c r="I165" i="32498" s="1"/>
  <c r="G345" i="32498"/>
  <c r="R376" i="32451"/>
  <c r="G371" i="32498"/>
  <c r="R402" i="32451"/>
  <c r="G624" i="32498"/>
  <c r="R655" i="32451"/>
  <c r="G577" i="32498"/>
  <c r="R608" i="32451"/>
  <c r="G97" i="32498"/>
  <c r="G53" i="32498"/>
  <c r="R84" i="32451"/>
  <c r="I53" i="32498" s="1"/>
  <c r="G507" i="32498"/>
  <c r="R538" i="32451"/>
  <c r="G106" i="32498"/>
  <c r="R137" i="32451"/>
  <c r="I106" i="32498" s="1"/>
  <c r="G246" i="32498"/>
  <c r="R277" i="32451"/>
  <c r="I246" i="32498" s="1"/>
  <c r="G193" i="32498"/>
  <c r="R224" i="32451"/>
  <c r="I193" i="32498" s="1"/>
  <c r="G128" i="32498"/>
  <c r="R159" i="32451"/>
  <c r="I128" i="32498" s="1"/>
  <c r="G153" i="32498"/>
  <c r="G654" i="32498"/>
  <c r="R685" i="32451"/>
  <c r="G117" i="32498"/>
  <c r="R148" i="32451"/>
  <c r="I117" i="32498" s="1"/>
  <c r="G619" i="32498"/>
  <c r="R650" i="32451"/>
  <c r="G266" i="32498"/>
  <c r="R297" i="32451"/>
  <c r="G498" i="32498"/>
  <c r="R529" i="32451"/>
  <c r="G404" i="32498"/>
  <c r="R435" i="32451"/>
  <c r="J667" i="32498"/>
  <c r="J444" i="32498"/>
  <c r="J377" i="32498"/>
  <c r="G233" i="32498"/>
  <c r="R264" i="32451"/>
  <c r="I233" i="32498" s="1"/>
  <c r="G576" i="32498"/>
  <c r="R607" i="32451"/>
  <c r="G627" i="32498"/>
  <c r="R658" i="32451"/>
  <c r="G595" i="32498"/>
  <c r="R626" i="32451"/>
  <c r="G194" i="32498"/>
  <c r="R225" i="32451"/>
  <c r="I194" i="32498" s="1"/>
  <c r="J414" i="32498"/>
  <c r="G472" i="32498"/>
  <c r="R503" i="32451"/>
  <c r="G460" i="32498"/>
  <c r="R491" i="32451"/>
  <c r="G292" i="32498"/>
  <c r="R323" i="32451"/>
  <c r="G420" i="32498"/>
  <c r="R451" i="32451"/>
  <c r="G247" i="32498"/>
  <c r="R278" i="32451"/>
  <c r="I247" i="32498" s="1"/>
  <c r="G622" i="32498"/>
  <c r="R653" i="32451"/>
  <c r="J473" i="32498"/>
  <c r="G378" i="32498"/>
  <c r="R409" i="32451"/>
  <c r="G592" i="32498"/>
  <c r="R623" i="32451"/>
  <c r="G79" i="32498"/>
  <c r="J358" i="32498"/>
  <c r="G524" i="32498"/>
  <c r="R555" i="32451"/>
  <c r="G219" i="32498"/>
  <c r="R250" i="32451"/>
  <c r="I219" i="32498" s="1"/>
  <c r="G636" i="32498"/>
  <c r="R667" i="32451"/>
  <c r="G118" i="32498"/>
  <c r="J566" i="32498"/>
  <c r="G557" i="32498"/>
  <c r="R588" i="32451"/>
  <c r="G335" i="32498"/>
  <c r="R366" i="32451"/>
  <c r="G455" i="32498"/>
  <c r="R486" i="32451"/>
  <c r="G506" i="32498"/>
  <c r="R537" i="32451"/>
  <c r="J497" i="32498"/>
  <c r="G429" i="32498"/>
  <c r="R460" i="32451"/>
  <c r="G644" i="32498"/>
  <c r="R675" i="32451"/>
  <c r="G400" i="32498"/>
  <c r="R431" i="32451"/>
  <c r="G95" i="32498"/>
  <c r="R126" i="32451"/>
  <c r="I95" i="32498" s="1"/>
  <c r="G417" i="32498"/>
  <c r="R448" i="32451"/>
  <c r="G221" i="32498"/>
  <c r="R252" i="32451"/>
  <c r="I221" i="32498" s="1"/>
  <c r="G274" i="32498"/>
  <c r="R305" i="32451"/>
  <c r="G603" i="32498"/>
  <c r="R634" i="32451"/>
  <c r="G391" i="32498"/>
  <c r="R422" i="32451"/>
  <c r="J360" i="32498"/>
  <c r="G209" i="32498"/>
  <c r="R240" i="32451"/>
  <c r="I209" i="32498" s="1"/>
  <c r="G131" i="32498"/>
  <c r="R162" i="32451"/>
  <c r="I131" i="32498" s="1"/>
  <c r="G380" i="32498"/>
  <c r="R411" i="32451"/>
  <c r="J490" i="32498"/>
  <c r="G397" i="32498"/>
  <c r="R428" i="32451"/>
  <c r="G656" i="32498"/>
  <c r="R687" i="32451"/>
  <c r="G441" i="32498"/>
  <c r="R472" i="32451"/>
  <c r="G110" i="32498"/>
  <c r="R141" i="32451"/>
  <c r="I110" i="32498" s="1"/>
  <c r="G573" i="32498"/>
  <c r="R604" i="32451"/>
  <c r="G192" i="32498"/>
  <c r="R223" i="32451"/>
  <c r="I192" i="32498" s="1"/>
  <c r="G523" i="32498"/>
  <c r="R554" i="32451"/>
  <c r="G580" i="32498"/>
  <c r="R611" i="32451"/>
  <c r="G73" i="32498"/>
  <c r="R104" i="32451"/>
  <c r="I73" i="32498" s="1"/>
  <c r="G581" i="32498"/>
  <c r="R612" i="32451"/>
  <c r="G456" i="32498"/>
  <c r="R487" i="32451"/>
  <c r="G337" i="32498"/>
  <c r="R368" i="32451"/>
  <c r="G186" i="32498"/>
  <c r="R217" i="32451"/>
  <c r="I186" i="32498" s="1"/>
  <c r="G415" i="32498"/>
  <c r="R446" i="32451"/>
  <c r="G151" i="32498"/>
  <c r="R182" i="32451"/>
  <c r="I151" i="32498" s="1"/>
  <c r="J433" i="32498"/>
  <c r="G641" i="32498"/>
  <c r="R672" i="32451"/>
  <c r="G72" i="32498"/>
  <c r="R103" i="32451"/>
  <c r="I72" i="32498" s="1"/>
  <c r="G475" i="32498"/>
  <c r="R506" i="32451"/>
  <c r="G545" i="32498"/>
  <c r="R576" i="32451"/>
  <c r="G217" i="32498"/>
  <c r="R248" i="32451"/>
  <c r="I217" i="32498" s="1"/>
  <c r="G210" i="32498"/>
  <c r="R241" i="32451"/>
  <c r="I210" i="32498" s="1"/>
  <c r="G86" i="32498"/>
  <c r="G517" i="32498"/>
  <c r="R548" i="32451"/>
  <c r="G535" i="32498"/>
  <c r="R566" i="32451"/>
  <c r="G121" i="32498"/>
  <c r="G93" i="32498"/>
  <c r="R124" i="32451"/>
  <c r="I93" i="32498" s="1"/>
  <c r="G453" i="32498"/>
  <c r="R484" i="32451"/>
  <c r="J406" i="32498"/>
  <c r="G298" i="32498"/>
  <c r="R329" i="32451"/>
  <c r="G177" i="32498"/>
  <c r="R208" i="32451"/>
  <c r="I177" i="32498" s="1"/>
  <c r="J537" i="32498"/>
  <c r="G423" i="32498"/>
  <c r="R454" i="32451"/>
  <c r="J522" i="32498"/>
  <c r="G588" i="32498"/>
  <c r="R619" i="32451"/>
  <c r="G635" i="32498"/>
  <c r="R666" i="32451"/>
  <c r="G554" i="32498"/>
  <c r="R585" i="32451"/>
  <c r="G583" i="32498"/>
  <c r="R614" i="32451"/>
  <c r="G295" i="32498"/>
  <c r="R326" i="32451"/>
  <c r="G610" i="32498"/>
  <c r="R641" i="32451"/>
  <c r="G349" i="32498"/>
  <c r="R380" i="32451"/>
  <c r="G325" i="32498"/>
  <c r="R356" i="32451"/>
  <c r="G602" i="32498"/>
  <c r="R633" i="32451"/>
  <c r="G481" i="32498"/>
  <c r="R512" i="32451"/>
  <c r="G593" i="32498"/>
  <c r="R624" i="32451"/>
  <c r="G120" i="32498"/>
  <c r="R151" i="32451"/>
  <c r="I120" i="32498" s="1"/>
  <c r="G191" i="32498"/>
  <c r="R222" i="32451"/>
  <c r="I191" i="32498" s="1"/>
  <c r="G382" i="32498"/>
  <c r="R413" i="32451"/>
  <c r="G155" i="32498"/>
  <c r="R186" i="32451"/>
  <c r="I155" i="32498" s="1"/>
  <c r="G625" i="32498"/>
  <c r="R656" i="32451"/>
  <c r="G94" i="32498"/>
  <c r="R125" i="32451"/>
  <c r="I94" i="32498" s="1"/>
  <c r="G228" i="32498"/>
  <c r="R259" i="32451"/>
  <c r="I228" i="32498" s="1"/>
  <c r="J563" i="32498"/>
  <c r="G364" i="32498"/>
  <c r="R395" i="32451"/>
  <c r="G611" i="32498"/>
  <c r="R642" i="32451"/>
  <c r="G445" i="32498"/>
  <c r="R476" i="32451"/>
  <c r="J539" i="32498"/>
  <c r="G536" i="32498"/>
  <c r="R567" i="32451"/>
  <c r="J480" i="32498"/>
  <c r="G515" i="32498"/>
  <c r="R546" i="32451"/>
  <c r="G168" i="32498"/>
  <c r="R199" i="32451"/>
  <c r="I168" i="32498" s="1"/>
  <c r="G300" i="32498"/>
  <c r="R331" i="32451"/>
  <c r="G489" i="32498"/>
  <c r="R520" i="32451"/>
  <c r="G483" i="32498"/>
  <c r="R514" i="32451"/>
  <c r="G253" i="32498"/>
  <c r="R284" i="32451"/>
  <c r="G187" i="32498"/>
  <c r="R218" i="32451"/>
  <c r="I187" i="32498" s="1"/>
  <c r="G149" i="32498"/>
  <c r="R180" i="32451"/>
  <c r="I149" i="32498" s="1"/>
  <c r="G96" i="32498"/>
  <c r="R127" i="32451"/>
  <c r="I96" i="32498" s="1"/>
  <c r="G129" i="32498"/>
  <c r="G41" i="32498"/>
  <c r="G135" i="32498"/>
  <c r="R166" i="32451"/>
  <c r="I135" i="32498" s="1"/>
  <c r="G495" i="32498"/>
  <c r="R526" i="32451"/>
  <c r="G299" i="32498"/>
  <c r="R330" i="32451"/>
  <c r="G587" i="32498"/>
  <c r="R618" i="32451"/>
  <c r="G448" i="32498"/>
  <c r="R479" i="32451"/>
  <c r="G157" i="32498"/>
  <c r="R188" i="32451"/>
  <c r="I157" i="32498" s="1"/>
  <c r="G541" i="32498"/>
  <c r="R572" i="32451"/>
  <c r="G511" i="32498"/>
  <c r="R542" i="32451"/>
  <c r="G649" i="32498"/>
  <c r="R680" i="32451"/>
  <c r="G574" i="32498"/>
  <c r="R605" i="32451"/>
  <c r="G42" i="32498"/>
  <c r="G231" i="32498"/>
  <c r="R262" i="32451"/>
  <c r="I231" i="32498" s="1"/>
  <c r="G45" i="32498"/>
  <c r="G459" i="32498"/>
  <c r="R490" i="32451"/>
  <c r="J479" i="32498"/>
  <c r="G262" i="32498"/>
  <c r="R293" i="32451"/>
  <c r="G551" i="32498"/>
  <c r="R582" i="32451"/>
  <c r="G555" i="32498"/>
  <c r="R586" i="32451"/>
  <c r="I555" i="32498" s="1"/>
  <c r="G232" i="32498"/>
  <c r="R263" i="32451"/>
  <c r="I232" i="32498" s="1"/>
  <c r="G279" i="32498"/>
  <c r="R310" i="32451"/>
  <c r="G424" i="32498"/>
  <c r="R455" i="32451"/>
  <c r="G439" i="32498"/>
  <c r="R470" i="32451"/>
  <c r="G327" i="32498"/>
  <c r="R358" i="32451"/>
  <c r="G465" i="32498"/>
  <c r="R496" i="32451"/>
  <c r="G249" i="32498"/>
  <c r="R280" i="32451"/>
  <c r="I249" i="32498" s="1"/>
  <c r="J503" i="32498"/>
  <c r="G125" i="32498"/>
  <c r="R156" i="32451"/>
  <c r="I125" i="32498" s="1"/>
  <c r="G222" i="32498"/>
  <c r="R253" i="32451"/>
  <c r="I222" i="32498" s="1"/>
  <c r="G188" i="32498"/>
  <c r="R219" i="32451"/>
  <c r="I188" i="32498" s="1"/>
  <c r="G549" i="32498"/>
  <c r="R580" i="32451"/>
  <c r="G319" i="32498"/>
  <c r="R350" i="32451"/>
  <c r="G457" i="32498"/>
  <c r="R488" i="32451"/>
  <c r="G387" i="32498"/>
  <c r="R418" i="32451"/>
  <c r="J352" i="32498"/>
  <c r="G637" i="32498"/>
  <c r="R668" i="32451"/>
  <c r="G598" i="32498"/>
  <c r="R629" i="32451"/>
  <c r="G162" i="32498"/>
  <c r="R193" i="32451"/>
  <c r="I162" i="32498" s="1"/>
  <c r="G170" i="32498"/>
  <c r="R201" i="32451"/>
  <c r="I170" i="32498" s="1"/>
  <c r="G102" i="32498"/>
  <c r="R133" i="32451"/>
  <c r="I102" i="32498" s="1"/>
  <c r="G158" i="32498"/>
  <c r="R189" i="32451"/>
  <c r="I158" i="32498" s="1"/>
  <c r="J504" i="32498"/>
  <c r="G254" i="32498"/>
  <c r="R285" i="32451"/>
  <c r="G172" i="32498"/>
  <c r="R203" i="32451"/>
  <c r="I172" i="32498" s="1"/>
  <c r="G357" i="32498"/>
  <c r="R388" i="32451"/>
  <c r="G315" i="32498"/>
  <c r="R346" i="32451"/>
  <c r="G260" i="32498"/>
  <c r="R291" i="32451"/>
  <c r="G650" i="32498"/>
  <c r="R681" i="32451"/>
  <c r="G392" i="32498"/>
  <c r="R423" i="32451"/>
  <c r="J374" i="32498"/>
  <c r="J393" i="32498"/>
  <c r="G238" i="32498"/>
  <c r="R269" i="32451"/>
  <c r="I238" i="32498" s="1"/>
  <c r="G212" i="32498"/>
  <c r="R243" i="32451"/>
  <c r="I212" i="32498" s="1"/>
  <c r="G216" i="32498"/>
  <c r="R247" i="32451"/>
  <c r="I216" i="32498" s="1"/>
  <c r="G76" i="32498"/>
  <c r="R107" i="32451"/>
  <c r="I76" i="32498" s="1"/>
  <c r="G108" i="32498"/>
  <c r="R139" i="32451"/>
  <c r="I108" i="32498" s="1"/>
  <c r="G126" i="32498"/>
  <c r="R157" i="32451"/>
  <c r="I126" i="32498" s="1"/>
  <c r="G87" i="32498"/>
  <c r="R118" i="32451"/>
  <c r="I87" i="32498" s="1"/>
  <c r="G252" i="32498"/>
  <c r="R283" i="32451"/>
  <c r="J548" i="32498"/>
  <c r="G225" i="32498"/>
  <c r="R256" i="32451"/>
  <c r="I225" i="32498" s="1"/>
  <c r="G648" i="32498"/>
  <c r="R679" i="32451"/>
  <c r="G176" i="32498"/>
  <c r="G136" i="32498"/>
  <c r="R167" i="32451"/>
  <c r="I136" i="32498" s="1"/>
  <c r="G92" i="32498"/>
  <c r="R123" i="32451"/>
  <c r="I92" i="32498" s="1"/>
  <c r="J355" i="32498"/>
  <c r="G138" i="32498"/>
  <c r="R169" i="32451"/>
  <c r="I138" i="32498" s="1"/>
  <c r="J405" i="32498"/>
  <c r="G44" i="32498"/>
  <c r="G119" i="32498"/>
  <c r="R150" i="32451"/>
  <c r="I119" i="32498" s="1"/>
  <c r="G288" i="32498"/>
  <c r="R319" i="32451"/>
  <c r="J384" i="32498"/>
  <c r="G332" i="32498"/>
  <c r="R363" i="32451"/>
  <c r="G280" i="32498"/>
  <c r="R311" i="32451"/>
  <c r="G562" i="32498"/>
  <c r="R593" i="32451"/>
  <c r="G178" i="32498"/>
  <c r="R209" i="32451"/>
  <c r="I178" i="32498" s="1"/>
  <c r="G22" i="32498"/>
  <c r="G234" i="32498"/>
  <c r="R265" i="32451"/>
  <c r="I234" i="32498" s="1"/>
  <c r="G301" i="32498"/>
  <c r="R332" i="32451"/>
  <c r="G398" i="32498"/>
  <c r="R429" i="32451"/>
  <c r="G56" i="32498"/>
  <c r="R87" i="32451"/>
  <c r="I56" i="32498" s="1"/>
  <c r="G575" i="32498"/>
  <c r="R606" i="32451"/>
  <c r="G381" i="32498"/>
  <c r="R412" i="32451"/>
  <c r="G469" i="32498"/>
  <c r="R500" i="32451"/>
  <c r="G512" i="32498"/>
  <c r="R543" i="32451"/>
  <c r="G437" i="32498"/>
  <c r="R468" i="32451"/>
  <c r="G39" i="32498"/>
  <c r="G543" i="32498"/>
  <c r="R574" i="32451"/>
  <c r="G173" i="32498"/>
  <c r="R204" i="32451"/>
  <c r="I173" i="32498" s="1"/>
  <c r="G568" i="32498"/>
  <c r="R599" i="32451"/>
  <c r="G647" i="32498"/>
  <c r="R678" i="32451"/>
  <c r="G615" i="32498"/>
  <c r="R646" i="32451"/>
  <c r="G103" i="32498"/>
  <c r="R134" i="32451"/>
  <c r="I103" i="32498" s="1"/>
  <c r="G261" i="32498"/>
  <c r="R292" i="32451"/>
  <c r="G203" i="32498"/>
  <c r="R234" i="32451"/>
  <c r="I203" i="32498" s="1"/>
  <c r="G62" i="32498"/>
  <c r="R93" i="32451"/>
  <c r="I62" i="32498" s="1"/>
  <c r="G652" i="32498"/>
  <c r="R683" i="32451"/>
  <c r="G571" i="32498"/>
  <c r="R602" i="32451"/>
  <c r="G390" i="32498"/>
  <c r="R421" i="32451"/>
  <c r="G226" i="32498"/>
  <c r="R257" i="32451"/>
  <c r="I226" i="32498" s="1"/>
  <c r="G164" i="32498"/>
  <c r="R195" i="32451"/>
  <c r="I164" i="32498" s="1"/>
  <c r="G324" i="32498"/>
  <c r="R355" i="32451"/>
  <c r="G657" i="32498"/>
  <c r="R688" i="32451"/>
  <c r="G442" i="32498"/>
  <c r="R473" i="32451"/>
  <c r="G560" i="32498"/>
  <c r="R591" i="32451"/>
  <c r="G376" i="32498"/>
  <c r="R407" i="32451"/>
  <c r="G314" i="32498"/>
  <c r="R345" i="32451"/>
  <c r="G614" i="32498"/>
  <c r="R645" i="32451"/>
  <c r="G202" i="32498"/>
  <c r="R233" i="32451"/>
  <c r="I202" i="32498" s="1"/>
  <c r="J353" i="32498"/>
  <c r="G659" i="32498"/>
  <c r="R690" i="32451"/>
  <c r="J309" i="32498"/>
  <c r="G267" i="32498"/>
  <c r="R298" i="32451"/>
  <c r="G16" i="32498"/>
  <c r="G67" i="32498"/>
  <c r="R98" i="32451"/>
  <c r="I67" i="32498" s="1"/>
  <c r="G146" i="32498"/>
  <c r="G630" i="32498"/>
  <c r="R661" i="32451"/>
  <c r="G272" i="32498"/>
  <c r="R303" i="32451"/>
  <c r="G639" i="32498"/>
  <c r="R670" i="32451"/>
  <c r="G84" i="32498"/>
  <c r="R115" i="32451"/>
  <c r="I84" i="32498" s="1"/>
  <c r="G366" i="32498"/>
  <c r="R397" i="32451"/>
  <c r="G607" i="32498"/>
  <c r="R638" i="32451"/>
  <c r="G368" i="32498"/>
  <c r="R399" i="32451"/>
  <c r="G488" i="32498"/>
  <c r="R519" i="32451"/>
  <c r="G471" i="32498"/>
  <c r="R502" i="32451"/>
  <c r="J443" i="32498"/>
  <c r="G526" i="32498"/>
  <c r="R557" i="32451"/>
  <c r="G215" i="32498"/>
  <c r="R246" i="32451"/>
  <c r="I215" i="32498" s="1"/>
  <c r="G461" i="32498"/>
  <c r="R492" i="32451"/>
  <c r="G618" i="32498"/>
  <c r="R649" i="32451"/>
  <c r="G399" i="32498"/>
  <c r="R430" i="32451"/>
  <c r="G434" i="32498"/>
  <c r="R465" i="32451"/>
  <c r="G663" i="32498"/>
  <c r="R694" i="32451"/>
  <c r="G308" i="32498"/>
  <c r="R339" i="32451"/>
  <c r="G594" i="32498"/>
  <c r="R625" i="32451"/>
  <c r="G462" i="32498"/>
  <c r="R493" i="32451"/>
  <c r="G616" i="32498"/>
  <c r="R647" i="32451"/>
  <c r="G242" i="32498"/>
  <c r="R273" i="32451"/>
  <c r="I242" i="32498" s="1"/>
  <c r="G57" i="32498"/>
  <c r="R88" i="32451"/>
  <c r="I57" i="32498" s="1"/>
  <c r="G454" i="32498"/>
  <c r="R485" i="32451"/>
  <c r="G286" i="32498"/>
  <c r="R317" i="32451"/>
  <c r="J311" i="32498"/>
  <c r="G582" i="32498"/>
  <c r="R613" i="32451"/>
  <c r="J670" i="32498"/>
  <c r="G530" i="32498"/>
  <c r="R561" i="32451"/>
  <c r="G306" i="32498"/>
  <c r="R337" i="32451"/>
  <c r="G284" i="32498"/>
  <c r="R315" i="32451"/>
  <c r="G323" i="32498"/>
  <c r="R354" i="32451"/>
  <c r="G643" i="32498"/>
  <c r="R674" i="32451"/>
  <c r="J669" i="32498"/>
  <c r="G147" i="32498"/>
  <c r="R178" i="32451"/>
  <c r="I147" i="32498" s="1"/>
  <c r="G303" i="32498"/>
  <c r="R334" i="32451"/>
  <c r="G296" i="32498"/>
  <c r="R327" i="32451"/>
  <c r="G227" i="32498"/>
  <c r="R258" i="32451"/>
  <c r="I227" i="32498" s="1"/>
  <c r="G55" i="32498"/>
  <c r="R86" i="32451"/>
  <c r="I55" i="32498" s="1"/>
  <c r="G245" i="32498"/>
  <c r="R276" i="32451"/>
  <c r="I245" i="32498" s="1"/>
  <c r="G304" i="32498"/>
  <c r="R335" i="32451"/>
  <c r="G578" i="32498"/>
  <c r="R609" i="32451"/>
  <c r="G370" i="32498"/>
  <c r="R401" i="32451"/>
  <c r="G289" i="32498"/>
  <c r="R320" i="32451"/>
  <c r="J674" i="32498"/>
  <c r="G213" i="32498"/>
  <c r="R244" i="32451"/>
  <c r="I213" i="32498" s="1"/>
  <c r="G189" i="32498"/>
  <c r="R220" i="32451"/>
  <c r="I189" i="32498" s="1"/>
  <c r="G638" i="32498"/>
  <c r="R669" i="32451"/>
  <c r="G546" i="32498"/>
  <c r="R577" i="32451"/>
  <c r="G422" i="32498"/>
  <c r="R453" i="32451"/>
  <c r="G90" i="32498"/>
  <c r="R121" i="32451"/>
  <c r="I90" i="32498" s="1"/>
  <c r="G567" i="32498"/>
  <c r="R598" i="32451"/>
  <c r="G609" i="32498"/>
  <c r="R640" i="32451"/>
  <c r="J452" i="32498"/>
  <c r="G91" i="32498"/>
  <c r="R122" i="32451"/>
  <c r="I91" i="32498" s="1"/>
  <c r="G484" i="32498"/>
  <c r="R515" i="32451"/>
  <c r="G411" i="32498"/>
  <c r="R442" i="32451"/>
  <c r="J519" i="32498"/>
  <c r="G104" i="32498"/>
  <c r="R135" i="32451"/>
  <c r="I104" i="32498" s="1"/>
  <c r="G426" i="32498"/>
  <c r="R457" i="32451"/>
  <c r="G150" i="32498"/>
  <c r="R181" i="32451"/>
  <c r="I150" i="32498" s="1"/>
  <c r="G40" i="32498"/>
  <c r="G664" i="32498"/>
  <c r="R695" i="32451"/>
  <c r="G183" i="32498"/>
  <c r="R214" i="32451"/>
  <c r="I183" i="32498" s="1"/>
  <c r="G634" i="32498"/>
  <c r="R665" i="32451"/>
  <c r="G200" i="32498"/>
  <c r="R231" i="32451"/>
  <c r="I200" i="32498" s="1"/>
  <c r="G621" i="32498"/>
  <c r="R652" i="32451"/>
  <c r="G440" i="32498"/>
  <c r="R471" i="32451"/>
  <c r="G646" i="32498"/>
  <c r="R677" i="32451"/>
  <c r="G564" i="32498"/>
  <c r="R595" i="32451"/>
  <c r="G653" i="32498"/>
  <c r="R684" i="32451"/>
  <c r="G154" i="32498"/>
  <c r="R185" i="32451"/>
  <c r="I154" i="32498" s="1"/>
  <c r="G224" i="32498"/>
  <c r="R255" i="32451"/>
  <c r="I224" i="32498" s="1"/>
  <c r="G365" i="32498"/>
  <c r="R396" i="32451"/>
  <c r="G464" i="32498"/>
  <c r="R495" i="32451"/>
  <c r="G270" i="32498"/>
  <c r="R301" i="32451"/>
  <c r="G169" i="32498"/>
  <c r="R200" i="32451"/>
  <c r="I169" i="32498" s="1"/>
  <c r="G369" i="32498"/>
  <c r="R400" i="32451"/>
  <c r="J409" i="32498"/>
  <c r="G623" i="32498"/>
  <c r="R654" i="32451"/>
  <c r="G43" i="32498"/>
  <c r="G330" i="32498"/>
  <c r="R361" i="32451"/>
  <c r="G408" i="32498"/>
  <c r="R439" i="32451"/>
  <c r="J447" i="32498"/>
  <c r="G585" i="32498"/>
  <c r="R616" i="32451"/>
  <c r="G316" i="32498"/>
  <c r="R347" i="32451"/>
  <c r="G59" i="32498"/>
  <c r="R90" i="32451"/>
  <c r="I59" i="32498" s="1"/>
  <c r="J307" i="32498"/>
  <c r="G354" i="32498"/>
  <c r="R385" i="32451"/>
  <c r="G599" i="32498"/>
  <c r="R630" i="32451"/>
  <c r="G35" i="32498"/>
  <c r="J508" i="32498"/>
  <c r="J561" i="32498"/>
  <c r="G505" i="32498"/>
  <c r="R536" i="32451"/>
  <c r="G547" i="32498"/>
  <c r="R578" i="32451"/>
  <c r="G230" i="32498"/>
  <c r="R261" i="32451"/>
  <c r="I230" i="32498" s="1"/>
  <c r="G18" i="32498"/>
  <c r="G145" i="32498"/>
  <c r="R176" i="32451"/>
  <c r="I145" i="32498" s="1"/>
  <c r="G47" i="32498"/>
  <c r="G52" i="32498"/>
  <c r="R83" i="32451"/>
  <c r="I52" i="32498" s="1"/>
  <c r="G264" i="32498"/>
  <c r="R295" i="32451"/>
  <c r="G520" i="32498"/>
  <c r="R551" i="32451"/>
  <c r="G450" i="32498"/>
  <c r="R481" i="32451"/>
  <c r="G46" i="32498"/>
  <c r="J379" i="32498"/>
  <c r="G75" i="32498"/>
  <c r="R106" i="32451"/>
  <c r="I75" i="32498" s="1"/>
  <c r="G419" i="32498"/>
  <c r="R450" i="32451"/>
  <c r="G269" i="32498"/>
  <c r="R300" i="32451"/>
  <c r="J529" i="32498"/>
  <c r="G605" i="32498"/>
  <c r="R636" i="32451"/>
  <c r="G174" i="32498"/>
  <c r="G211" i="32498"/>
  <c r="R242" i="32451"/>
  <c r="I211" i="32498" s="1"/>
  <c r="G36" i="32498"/>
  <c r="G478" i="32498"/>
  <c r="R509" i="32451"/>
  <c r="G389" i="32498"/>
  <c r="R420" i="32451"/>
  <c r="G331" i="32498"/>
  <c r="R362" i="32451"/>
  <c r="G199" i="32498"/>
  <c r="R230" i="32451"/>
  <c r="I199" i="32498" s="1"/>
  <c r="G294" i="32498"/>
  <c r="R325" i="32451"/>
  <c r="G290" i="32498"/>
  <c r="R321" i="32451"/>
  <c r="G446" i="32498"/>
  <c r="R477" i="32451"/>
  <c r="G88" i="32498"/>
  <c r="R119" i="32451"/>
  <c r="I88" i="32498" s="1"/>
  <c r="G114" i="32498"/>
  <c r="G584" i="32498"/>
  <c r="R615" i="32451"/>
  <c r="G521" i="32498"/>
  <c r="R552" i="32451"/>
  <c r="J673" i="32498"/>
  <c r="J550" i="32498"/>
  <c r="G236" i="32498"/>
  <c r="R267" i="32451"/>
  <c r="I236" i="32498" s="1"/>
  <c r="G363" i="32498"/>
  <c r="R394" i="32451"/>
  <c r="G342" i="32498"/>
  <c r="R373" i="32451"/>
  <c r="G591" i="32498"/>
  <c r="R622" i="32451"/>
  <c r="G220" i="32498"/>
  <c r="R251" i="32451"/>
  <c r="I220" i="32498" s="1"/>
  <c r="G367" i="32498"/>
  <c r="R398" i="32451"/>
  <c r="G283" i="32498"/>
  <c r="R314" i="32451"/>
  <c r="G339" i="32498"/>
  <c r="R370" i="32451"/>
  <c r="G258" i="32498"/>
  <c r="R289" i="32451"/>
  <c r="G302" i="32498"/>
  <c r="R333" i="32451"/>
  <c r="G338" i="32498"/>
  <c r="R369" i="32451"/>
  <c r="G661" i="32498"/>
  <c r="R692" i="32451"/>
  <c r="J531" i="32498"/>
  <c r="G201" i="32498"/>
  <c r="R232" i="32451"/>
  <c r="I201" i="32498" s="1"/>
  <c r="G451" i="32498"/>
  <c r="R482" i="32451"/>
  <c r="G361" i="32498"/>
  <c r="R392" i="32451"/>
  <c r="G163" i="32498"/>
  <c r="R194" i="32451"/>
  <c r="I163" i="32498" s="1"/>
  <c r="G538" i="32498"/>
  <c r="R569" i="32451"/>
  <c r="J407" i="32498"/>
  <c r="G438" i="32498"/>
  <c r="R469" i="32451"/>
  <c r="G513" i="32498"/>
  <c r="R544" i="32451"/>
  <c r="G458" i="32498"/>
  <c r="R489" i="32451"/>
  <c r="G275" i="32498"/>
  <c r="R306" i="32451"/>
  <c r="G64" i="32498"/>
  <c r="R95" i="32451"/>
  <c r="I64" i="32498" s="1"/>
  <c r="G100" i="32498"/>
  <c r="R131" i="32451"/>
  <c r="I100" i="32498" s="1"/>
  <c r="G185" i="32498"/>
  <c r="R216" i="32451"/>
  <c r="I185" i="32498" s="1"/>
  <c r="G474" i="32498"/>
  <c r="R505" i="32451"/>
  <c r="G665" i="32498"/>
  <c r="R696" i="32451"/>
  <c r="G271" i="32498"/>
  <c r="R302" i="32451"/>
  <c r="G493" i="32498"/>
  <c r="R524" i="32451"/>
  <c r="G282" i="32498"/>
  <c r="R313" i="32451"/>
  <c r="G466" i="32498"/>
  <c r="R497" i="32451"/>
  <c r="G259" i="32498"/>
  <c r="R290" i="32451"/>
  <c r="G255" i="32498"/>
  <c r="R286" i="32451"/>
  <c r="G205" i="32498"/>
  <c r="R236" i="32451"/>
  <c r="I205" i="32498" s="1"/>
  <c r="G428" i="32498"/>
  <c r="R459" i="32451"/>
  <c r="G139" i="32498"/>
  <c r="R170" i="32451"/>
  <c r="I139" i="32498" s="1"/>
  <c r="G500" i="32498"/>
  <c r="R531" i="32451"/>
  <c r="G463" i="32498"/>
  <c r="R494" i="32451"/>
  <c r="J487" i="32498"/>
  <c r="J251" i="32498"/>
  <c r="J317" i="32498"/>
  <c r="G544" i="32498"/>
  <c r="R575" i="32451"/>
  <c r="G237" i="32498"/>
  <c r="R268" i="32451"/>
  <c r="I237" i="32498" s="1"/>
  <c r="G195" i="32498"/>
  <c r="R226" i="32451"/>
  <c r="I195" i="32498" s="1"/>
  <c r="G81" i="32498"/>
  <c r="R112" i="32451"/>
  <c r="I81" i="32498" s="1"/>
  <c r="G54" i="32498"/>
  <c r="G499" i="32498"/>
  <c r="R530" i="32451"/>
  <c r="J343" i="32498"/>
  <c r="G341" i="32498"/>
  <c r="R372" i="32451"/>
  <c r="G190" i="32498"/>
  <c r="R221" i="32451"/>
  <c r="I190" i="32498" s="1"/>
  <c r="G241" i="32498"/>
  <c r="R272" i="32451"/>
  <c r="I241" i="32498" s="1"/>
  <c r="G80" i="32498"/>
  <c r="G477" i="32498"/>
  <c r="R508" i="32451"/>
  <c r="G329" i="32498"/>
  <c r="R360" i="32451"/>
  <c r="G334" i="32498"/>
  <c r="R365" i="32451"/>
  <c r="G257" i="32498"/>
  <c r="R288" i="32451"/>
  <c r="G328" i="32498"/>
  <c r="R359" i="32451"/>
  <c r="G412" i="32498"/>
  <c r="R443" i="32451"/>
  <c r="G556" i="32498"/>
  <c r="R587" i="32451"/>
  <c r="I556" i="32498" s="1"/>
  <c r="G570" i="32498"/>
  <c r="R601" i="32451"/>
  <c r="G206" i="32498"/>
  <c r="R237" i="32451"/>
  <c r="I206" i="32498" s="1"/>
  <c r="G277" i="32498"/>
  <c r="R308" i="32451"/>
  <c r="G141" i="32498"/>
  <c r="R172" i="32451"/>
  <c r="I141" i="32498" s="1"/>
  <c r="J383" i="32498"/>
  <c r="G256" i="32498"/>
  <c r="R287" i="32451"/>
  <c r="G600" i="32498"/>
  <c r="R631" i="32451"/>
  <c r="G83" i="32498"/>
  <c r="R114" i="32451"/>
  <c r="I83" i="32498" s="1"/>
  <c r="G33" i="32498"/>
  <c r="G101" i="32498"/>
  <c r="R132" i="32451"/>
  <c r="I101" i="32498" s="1"/>
  <c r="G229" i="32498"/>
  <c r="R260" i="32451"/>
  <c r="I229" i="32498" s="1"/>
  <c r="G235" i="32498"/>
  <c r="R266" i="32451"/>
  <c r="I235" i="32498" s="1"/>
  <c r="G113" i="32498"/>
  <c r="R144" i="32451"/>
  <c r="I113" i="32498" s="1"/>
  <c r="G70" i="32498"/>
  <c r="R101" i="32451"/>
  <c r="I70" i="32498" s="1"/>
  <c r="G265" i="32498"/>
  <c r="R296" i="32451"/>
  <c r="G601" i="32498"/>
  <c r="R632" i="32451"/>
  <c r="G171" i="32498"/>
  <c r="R202" i="32451"/>
  <c r="I171" i="32498" s="1"/>
  <c r="G528" i="32498"/>
  <c r="R559" i="32451"/>
  <c r="G161" i="32498"/>
  <c r="G109" i="32498"/>
  <c r="R140" i="32451"/>
  <c r="I109" i="32498" s="1"/>
  <c r="G60" i="32498"/>
  <c r="R91" i="32451"/>
  <c r="I60" i="32498" s="1"/>
  <c r="G402" i="32498"/>
  <c r="R433" i="32451"/>
  <c r="G467" i="32498"/>
  <c r="R498" i="32451"/>
  <c r="G204" i="32498"/>
  <c r="R235" i="32451"/>
  <c r="I204" i="32498" s="1"/>
  <c r="G527" i="32498"/>
  <c r="R558" i="32451"/>
  <c r="G105" i="32498"/>
  <c r="R136" i="32451"/>
  <c r="I105" i="32498" s="1"/>
  <c r="G613" i="32498"/>
  <c r="R644" i="32451"/>
  <c r="G49" i="32498"/>
  <c r="G38" i="32498"/>
  <c r="G435" i="32498"/>
  <c r="R466" i="32451"/>
  <c r="G579" i="32498"/>
  <c r="R610" i="32451"/>
  <c r="G107" i="32498"/>
  <c r="R138" i="32451"/>
  <c r="I107" i="32498" s="1"/>
  <c r="G63" i="32498"/>
  <c r="R94" i="32451"/>
  <c r="I63" i="32498" s="1"/>
  <c r="G111" i="32498"/>
  <c r="R142" i="32451"/>
  <c r="I111" i="32498" s="1"/>
  <c r="G48" i="32498"/>
  <c r="G326" i="32498"/>
  <c r="R357" i="32451"/>
  <c r="G525" i="32498"/>
  <c r="R556" i="32451"/>
  <c r="G214" i="32498"/>
  <c r="R245" i="32451"/>
  <c r="I214" i="32498" s="1"/>
  <c r="G276" i="32498"/>
  <c r="R307" i="32451"/>
  <c r="G61" i="32498"/>
  <c r="R92" i="32451"/>
  <c r="I61" i="32498" s="1"/>
  <c r="G494" i="32498"/>
  <c r="R525" i="32451"/>
  <c r="G629" i="32498"/>
  <c r="R660" i="32451"/>
  <c r="G658" i="32498"/>
  <c r="R689" i="32451"/>
  <c r="G396" i="32498"/>
  <c r="R427" i="32451"/>
  <c r="G356" i="32498"/>
  <c r="R387" i="32451"/>
  <c r="J359" i="32498"/>
  <c r="G197" i="32498"/>
  <c r="R228" i="32451"/>
  <c r="I197" i="32498" s="1"/>
  <c r="G651" i="32498"/>
  <c r="R682" i="32451"/>
  <c r="G596" i="32498"/>
  <c r="R627" i="32451"/>
  <c r="G416" i="32498"/>
  <c r="R447" i="32451"/>
  <c r="G470" i="32498"/>
  <c r="R501" i="32451"/>
  <c r="J668" i="32498"/>
  <c r="J675" i="32498"/>
  <c r="G436" i="32498"/>
  <c r="R467" i="32451"/>
  <c r="G516" i="32498"/>
  <c r="R547" i="32451"/>
  <c r="J540" i="32498"/>
  <c r="G74" i="32498"/>
  <c r="R105" i="32451"/>
  <c r="I74" i="32498" s="1"/>
  <c r="G468" i="32498"/>
  <c r="R499" i="32451"/>
  <c r="G421" i="32498"/>
  <c r="R452" i="32451"/>
  <c r="J385" i="32498"/>
  <c r="G133" i="32498"/>
  <c r="R164" i="32451"/>
  <c r="I133" i="32498" s="1"/>
  <c r="G85" i="32498"/>
  <c r="R116" i="32451"/>
  <c r="I85" i="32498" s="1"/>
  <c r="G159" i="32498"/>
  <c r="R190" i="32451"/>
  <c r="I159" i="32498" s="1"/>
  <c r="G98" i="32498"/>
  <c r="R129" i="32451"/>
  <c r="I98" i="32498" s="1"/>
  <c r="J672" i="32498"/>
  <c r="G626" i="32498"/>
  <c r="R657" i="32451"/>
  <c r="G20" i="32498"/>
  <c r="G223" i="32498"/>
  <c r="R254" i="32451"/>
  <c r="I223" i="32498" s="1"/>
  <c r="G344" i="32498"/>
  <c r="R375" i="32451"/>
  <c r="G604" i="32498"/>
  <c r="R635" i="32451"/>
  <c r="G362" i="32498"/>
  <c r="R393" i="32451"/>
  <c r="G496" i="32498"/>
  <c r="R527" i="32451"/>
  <c r="G430" i="32498"/>
  <c r="R461" i="32451"/>
  <c r="G143" i="32498"/>
  <c r="R174" i="32451"/>
  <c r="I143" i="32498" s="1"/>
  <c r="G372" i="32498"/>
  <c r="R403" i="32451"/>
  <c r="G58" i="32498"/>
  <c r="R89" i="32451"/>
  <c r="I58" i="32498" s="1"/>
  <c r="G179" i="32498"/>
  <c r="R210" i="32451"/>
  <c r="I179" i="32498" s="1"/>
  <c r="G346" i="32498"/>
  <c r="R377" i="32451"/>
  <c r="G418" i="32498"/>
  <c r="R449" i="32451"/>
  <c r="G565" i="32498"/>
  <c r="R596" i="32451"/>
  <c r="G250" i="32498"/>
  <c r="R281" i="32451"/>
  <c r="I250" i="32498" s="1"/>
  <c r="G208" i="32498"/>
  <c r="R239" i="32451"/>
  <c r="I208" i="32498" s="1"/>
  <c r="G285" i="32498"/>
  <c r="R316" i="32451"/>
  <c r="G127" i="32498"/>
  <c r="R158" i="32451"/>
  <c r="I127" i="32498" s="1"/>
  <c r="G71" i="32498"/>
  <c r="R102" i="32451"/>
  <c r="I71" i="32498" s="1"/>
  <c r="J671" i="32498"/>
  <c r="G432" i="32498"/>
  <c r="R463" i="32451"/>
  <c r="G640" i="32498"/>
  <c r="R671" i="32451"/>
  <c r="J348" i="32498"/>
  <c r="G386" i="32498"/>
  <c r="R417" i="32451"/>
  <c r="G132" i="32498"/>
  <c r="R163" i="32451"/>
  <c r="I132" i="32498" s="1"/>
  <c r="G218" i="32498"/>
  <c r="R249" i="32451"/>
  <c r="I218" i="32498" s="1"/>
  <c r="G50" i="32498"/>
  <c r="R81" i="32451"/>
  <c r="I50" i="32498" s="1"/>
  <c r="G351" i="32498"/>
  <c r="R382" i="32451"/>
  <c r="G632" i="32498"/>
  <c r="R663" i="32451"/>
  <c r="G152" i="32498"/>
  <c r="R183" i="32451"/>
  <c r="I152" i="32498" s="1"/>
  <c r="G116" i="32498"/>
  <c r="R147" i="32451"/>
  <c r="I116" i="32498" s="1"/>
  <c r="G25" i="32498"/>
  <c r="G347" i="32498"/>
  <c r="R378" i="32451"/>
  <c r="J485" i="32498"/>
  <c r="J313" i="32498"/>
  <c r="G130" i="32498"/>
  <c r="R161" i="32451"/>
  <c r="I130" i="32498" s="1"/>
  <c r="G291" i="32498"/>
  <c r="R322" i="32451"/>
  <c r="G140" i="32498"/>
  <c r="R171" i="32451"/>
  <c r="I140" i="32498" s="1"/>
  <c r="G321" i="32498"/>
  <c r="R352" i="32451"/>
  <c r="G287" i="32498"/>
  <c r="R318" i="32451"/>
  <c r="G542" i="32498"/>
  <c r="R573" i="32451"/>
  <c r="G293" i="32498"/>
  <c r="R324" i="32451"/>
  <c r="G310" i="32498"/>
  <c r="R341" i="32451"/>
  <c r="G180" i="32498"/>
  <c r="R211" i="32451"/>
  <c r="I180" i="32498" s="1"/>
  <c r="G89" i="32498"/>
  <c r="R120" i="32451"/>
  <c r="I89" i="32498" s="1"/>
  <c r="G375" i="32498"/>
  <c r="R406" i="32451"/>
  <c r="G305" i="32498"/>
  <c r="R336" i="32451"/>
  <c r="G198" i="32498"/>
  <c r="R229" i="32451"/>
  <c r="I198" i="32498" s="1"/>
  <c r="G322" i="32498"/>
  <c r="R353" i="32451"/>
  <c r="G68" i="32498"/>
  <c r="R99" i="32451"/>
  <c r="I68" i="32498" s="1"/>
  <c r="G167" i="32498"/>
  <c r="R198" i="32451"/>
  <c r="I167" i="32498" s="1"/>
  <c r="G336" i="32498"/>
  <c r="R367" i="32451"/>
  <c r="G243" i="32498"/>
  <c r="R274" i="32451"/>
  <c r="I243" i="32498" s="1"/>
  <c r="G112" i="32498"/>
  <c r="G239" i="32498"/>
  <c r="R270" i="32451"/>
  <c r="I239" i="32498" s="1"/>
  <c r="G666" i="32498"/>
  <c r="R697" i="32451"/>
  <c r="G662" i="32498"/>
  <c r="R693" i="32451"/>
  <c r="G655" i="32498"/>
  <c r="R686" i="32451"/>
  <c r="G628" i="32498"/>
  <c r="R659" i="32451"/>
  <c r="G394" i="32498"/>
  <c r="R425" i="32451"/>
  <c r="G620" i="32498"/>
  <c r="R651" i="32451"/>
  <c r="G660" i="32498"/>
  <c r="R691" i="32451"/>
  <c r="G518" i="32498"/>
  <c r="R549" i="32451"/>
  <c r="G166" i="32498"/>
  <c r="R197" i="32451"/>
  <c r="I166" i="32498" s="1"/>
  <c r="G410" i="32498"/>
  <c r="R441" i="32451"/>
  <c r="G240" i="32498"/>
  <c r="R271" i="32451"/>
  <c r="I240" i="32498" s="1"/>
  <c r="G142" i="32498"/>
  <c r="R173" i="32451"/>
  <c r="I142" i="32498" s="1"/>
  <c r="G533" i="32498"/>
  <c r="R564" i="32451"/>
  <c r="G373" i="32498"/>
  <c r="R404" i="32451"/>
  <c r="G196" i="32498"/>
  <c r="R227" i="32451"/>
  <c r="I196" i="32498" s="1"/>
  <c r="G37" i="32498"/>
  <c r="G69" i="32498"/>
  <c r="R100" i="32451"/>
  <c r="I69" i="32498" s="1"/>
  <c r="G175" i="32498"/>
  <c r="R206" i="32451"/>
  <c r="I175" i="32498" s="1"/>
  <c r="G608" i="32498"/>
  <c r="R639" i="32451"/>
  <c r="G403" i="32498"/>
  <c r="R434" i="32451"/>
  <c r="G492" i="32498"/>
  <c r="R523" i="32451"/>
  <c r="J534" i="32498"/>
  <c r="J388" i="32498"/>
  <c r="D166" i="32498"/>
  <c r="C166" i="32498" s="1"/>
  <c r="D190" i="32498"/>
  <c r="C190" i="32498" s="1"/>
  <c r="D348" i="32498"/>
  <c r="C348" i="32498" s="1"/>
  <c r="D503" i="32498"/>
  <c r="C503" i="32498" s="1"/>
  <c r="D445" i="32498"/>
  <c r="C445" i="32498" s="1"/>
  <c r="D283" i="32498"/>
  <c r="C283" i="32498" s="1"/>
  <c r="D349" i="32498"/>
  <c r="C349" i="32498" s="1"/>
  <c r="D63" i="32498"/>
  <c r="C63" i="32498" s="1"/>
  <c r="D74" i="32498"/>
  <c r="C74" i="32498" s="1"/>
  <c r="D160" i="32498"/>
  <c r="C160" i="32498" s="1"/>
  <c r="D590" i="32498"/>
  <c r="C590" i="32498" s="1"/>
  <c r="D361" i="32498"/>
  <c r="C361" i="32498" s="1"/>
  <c r="D615" i="32498"/>
  <c r="C615" i="32498" s="1"/>
  <c r="D432" i="32498"/>
  <c r="C432" i="32498" s="1"/>
  <c r="D391" i="32498"/>
  <c r="C391" i="32498" s="1"/>
  <c r="D512" i="32498"/>
  <c r="C512" i="32498" s="1"/>
  <c r="D392" i="32498"/>
  <c r="C392" i="32498" s="1"/>
  <c r="D128" i="32498"/>
  <c r="C128" i="32498" s="1"/>
  <c r="D76" i="32498"/>
  <c r="C76" i="32498" s="1"/>
  <c r="D267" i="32498"/>
  <c r="C267" i="32498" s="1"/>
  <c r="D412" i="32498"/>
  <c r="C412" i="32498" s="1"/>
  <c r="D328" i="32498"/>
  <c r="C328" i="32498" s="1"/>
  <c r="D330" i="32498"/>
  <c r="C330" i="32498" s="1"/>
  <c r="D633" i="32498"/>
  <c r="C633" i="32498" s="1"/>
  <c r="D626" i="32498"/>
  <c r="C626" i="32498" s="1"/>
  <c r="D306" i="32498"/>
  <c r="C306" i="32498" s="1"/>
  <c r="D540" i="32498"/>
  <c r="C540" i="32498" s="1"/>
  <c r="D261" i="32498"/>
  <c r="C261" i="32498" s="1"/>
  <c r="D561" i="32498"/>
  <c r="C561" i="32498" s="1"/>
  <c r="D131" i="32498"/>
  <c r="C131" i="32498" s="1"/>
  <c r="D558" i="32498"/>
  <c r="C558" i="32498" s="1"/>
  <c r="D613" i="32498"/>
  <c r="C613" i="32498" s="1"/>
  <c r="D383" i="32498"/>
  <c r="C383" i="32498" s="1"/>
  <c r="D605" i="32498"/>
  <c r="C605" i="32498" s="1"/>
  <c r="D259" i="32498"/>
  <c r="C259" i="32498" s="1"/>
  <c r="D143" i="32498"/>
  <c r="C143" i="32498" s="1"/>
  <c r="D656" i="32498"/>
  <c r="C656" i="32498" s="1"/>
  <c r="D314" i="32498"/>
  <c r="C314" i="32498" s="1"/>
  <c r="D214" i="32498"/>
  <c r="C214" i="32498" s="1"/>
  <c r="D217" i="32498"/>
  <c r="C217" i="32498" s="1"/>
  <c r="D124" i="32498"/>
  <c r="C124" i="32498" s="1"/>
  <c r="D520" i="32498"/>
  <c r="C520" i="32498" s="1"/>
  <c r="D380" i="32498"/>
  <c r="C380" i="32498" s="1"/>
  <c r="D347" i="32498"/>
  <c r="C347" i="32498" s="1"/>
  <c r="D72" i="32498"/>
  <c r="C72" i="32498" s="1"/>
  <c r="D187" i="32498"/>
  <c r="C187" i="32498" s="1"/>
  <c r="D522" i="32498"/>
  <c r="C522" i="32498" s="1"/>
  <c r="D363" i="32498"/>
  <c r="C363" i="32498" s="1"/>
  <c r="D107" i="32498"/>
  <c r="C107" i="32498" s="1"/>
  <c r="D472" i="32498"/>
  <c r="C472" i="32498" s="1"/>
  <c r="D588" i="32498"/>
  <c r="C588" i="32498" s="1"/>
  <c r="D219" i="32498"/>
  <c r="C219" i="32498" s="1"/>
  <c r="D340" i="32498"/>
  <c r="C340" i="32498" s="1"/>
  <c r="D97" i="32498"/>
  <c r="C97" i="32498" s="1"/>
  <c r="D165" i="32498"/>
  <c r="C165" i="32498" s="1"/>
  <c r="D425" i="32498"/>
  <c r="C425" i="32498" s="1"/>
  <c r="D154" i="32498"/>
  <c r="C154" i="32498" s="1"/>
  <c r="D182" i="32498"/>
  <c r="C182" i="32498" s="1"/>
  <c r="D650" i="32498"/>
  <c r="C650" i="32498" s="1"/>
  <c r="D467" i="32498"/>
  <c r="C467" i="32498" s="1"/>
  <c r="D527" i="32498"/>
  <c r="C527" i="32498" s="1"/>
  <c r="D279" i="32498"/>
  <c r="C279" i="32498" s="1"/>
  <c r="D281" i="32498"/>
  <c r="C281" i="32498" s="1"/>
  <c r="D358" i="32498"/>
  <c r="C358" i="32498" s="1"/>
  <c r="D257" i="32498"/>
  <c r="C257" i="32498" s="1"/>
  <c r="D14" i="32498"/>
  <c r="C14" i="32498" s="1"/>
  <c r="D118" i="32498"/>
  <c r="C118" i="32498" s="1"/>
  <c r="D635" i="32498"/>
  <c r="C635" i="32498" s="1"/>
  <c r="D237" i="32498"/>
  <c r="C237" i="32498" s="1"/>
  <c r="D84" i="32498"/>
  <c r="C84" i="32498" s="1"/>
  <c r="D544" i="32498"/>
  <c r="C544" i="32498" s="1"/>
  <c r="D381" i="32498"/>
  <c r="C381" i="32498" s="1"/>
  <c r="D356" i="32498"/>
  <c r="C356" i="32498" s="1"/>
  <c r="D147" i="32498"/>
  <c r="C147" i="32498" s="1"/>
  <c r="D73" i="32498"/>
  <c r="C73" i="32498" s="1"/>
  <c r="D654" i="32498"/>
  <c r="C654" i="32498" s="1"/>
  <c r="D463" i="32498"/>
  <c r="C463" i="32498" s="1"/>
  <c r="D455" i="32498"/>
  <c r="C455" i="32498" s="1"/>
  <c r="D536" i="32498"/>
  <c r="C536" i="32498" s="1"/>
  <c r="D68" i="32498"/>
  <c r="C68" i="32498" s="1"/>
  <c r="D120" i="32498"/>
  <c r="C120" i="32498" s="1"/>
  <c r="D421" i="32498"/>
  <c r="C421" i="32498" s="1"/>
  <c r="D335" i="32498"/>
  <c r="C335" i="32498" s="1"/>
  <c r="D110" i="32498"/>
  <c r="C110" i="32498" s="1"/>
  <c r="D652" i="32498"/>
  <c r="C652" i="32498" s="1"/>
  <c r="D390" i="32498"/>
  <c r="C390" i="32498" s="1"/>
  <c r="D531" i="32498"/>
  <c r="C531" i="32498" s="1"/>
  <c r="D276" i="32498"/>
  <c r="C276" i="32498" s="1"/>
  <c r="D305" i="32498"/>
  <c r="C305" i="32498" s="1"/>
  <c r="D173" i="32498"/>
  <c r="C173" i="32498" s="1"/>
  <c r="D625" i="32498"/>
  <c r="C625" i="32498" s="1"/>
  <c r="D474" i="32498"/>
  <c r="C474" i="32498" s="1"/>
  <c r="D352" i="32498"/>
  <c r="C352" i="32498" s="1"/>
  <c r="D227" i="32498"/>
  <c r="C227" i="32498" s="1"/>
  <c r="D122" i="32498"/>
  <c r="C122" i="32498" s="1"/>
  <c r="D60" i="32498"/>
  <c r="C60" i="32498" s="1"/>
  <c r="D564" i="32498"/>
  <c r="C564" i="32498" s="1"/>
  <c r="D393" i="32498"/>
  <c r="C393" i="32498" s="1"/>
  <c r="D287" i="32498"/>
  <c r="C287" i="32498" s="1"/>
  <c r="D376" i="32498"/>
  <c r="C376" i="32498" s="1"/>
  <c r="D65" i="32498"/>
  <c r="C65" i="32498" s="1"/>
  <c r="D621" i="32498"/>
  <c r="C621" i="32498" s="1"/>
  <c r="D629" i="32498"/>
  <c r="C629" i="32498" s="1"/>
  <c r="D396" i="32498"/>
  <c r="C396" i="32498" s="1"/>
  <c r="D534" i="32498"/>
  <c r="C534" i="32498" s="1"/>
  <c r="D542" i="32498"/>
  <c r="C542" i="32498" s="1"/>
  <c r="D413" i="32498"/>
  <c r="C413" i="32498" s="1"/>
  <c r="D253" i="32498"/>
  <c r="C253" i="32498" s="1"/>
  <c r="D268" i="32498"/>
  <c r="C268" i="32498" s="1"/>
  <c r="D39" i="32498"/>
  <c r="C39" i="32498" s="1"/>
  <c r="D45" i="32498"/>
  <c r="C45" i="32498" s="1"/>
  <c r="D159" i="32498"/>
  <c r="C159" i="32498" s="1"/>
  <c r="D427" i="32498"/>
  <c r="C427" i="32498" s="1"/>
  <c r="D271" i="32498"/>
  <c r="C271" i="32498" s="1"/>
  <c r="D249" i="32498"/>
  <c r="C249" i="32498" s="1"/>
  <c r="D521" i="32498"/>
  <c r="C521" i="32498" s="1"/>
  <c r="D439" i="32498"/>
  <c r="C439" i="32498" s="1"/>
  <c r="D66" i="32498"/>
  <c r="C66" i="32498" s="1"/>
  <c r="D57" i="32498"/>
  <c r="C57" i="32498" s="1"/>
  <c r="D82" i="32498"/>
  <c r="C82" i="32498" s="1"/>
  <c r="D440" i="32498"/>
  <c r="C440" i="32498" s="1"/>
  <c r="D233" i="32498"/>
  <c r="C233" i="32498" s="1"/>
  <c r="D367" i="32498"/>
  <c r="C367" i="32498" s="1"/>
  <c r="D288" i="32498"/>
  <c r="C288" i="32498" s="1"/>
  <c r="D582" i="32498"/>
  <c r="C582" i="32498" s="1"/>
  <c r="D547" i="32498"/>
  <c r="C547" i="32498" s="1"/>
  <c r="D103" i="32498"/>
  <c r="C103" i="32498" s="1"/>
  <c r="D108" i="32498"/>
  <c r="C108" i="32498" s="1"/>
  <c r="D193" i="32498"/>
  <c r="C193" i="32498" s="1"/>
  <c r="D114" i="32498"/>
  <c r="C114" i="32498" s="1"/>
  <c r="D577" i="32498"/>
  <c r="C577" i="32498" s="1"/>
  <c r="D492" i="32498"/>
  <c r="C492" i="32498" s="1"/>
  <c r="D342" i="32498"/>
  <c r="C342" i="32498" s="1"/>
  <c r="D419" i="32498"/>
  <c r="C419" i="32498" s="1"/>
  <c r="D508" i="32498"/>
  <c r="C508" i="32498" s="1"/>
  <c r="D423" i="32498"/>
  <c r="C423" i="32498" s="1"/>
  <c r="D311" i="32498"/>
  <c r="C311" i="32498" s="1"/>
  <c r="D476" i="32498"/>
  <c r="C476" i="32498" s="1"/>
  <c r="D16" i="32498"/>
  <c r="C16" i="32498" s="1"/>
  <c r="D374" i="32498"/>
  <c r="C374" i="32498" s="1"/>
  <c r="D338" i="32498"/>
  <c r="C338" i="32498" s="1"/>
  <c r="D343" i="32498"/>
  <c r="C343" i="32498" s="1"/>
  <c r="D245" i="32498"/>
  <c r="C245" i="32498" s="1"/>
  <c r="D497" i="32498"/>
  <c r="C497" i="32498" s="1"/>
  <c r="D111" i="32498"/>
  <c r="C111" i="32498" s="1"/>
  <c r="D226" i="32498"/>
  <c r="C226" i="32498" s="1"/>
  <c r="D33" i="32498"/>
  <c r="C33" i="32498" s="1"/>
  <c r="D617" i="32498"/>
  <c r="C617" i="32498" s="1"/>
  <c r="D662" i="32498"/>
  <c r="C662" i="32498" s="1"/>
  <c r="D530" i="32498"/>
  <c r="C530" i="32498" s="1"/>
  <c r="D336" i="32498"/>
  <c r="C336" i="32498" s="1"/>
  <c r="D539" i="32498"/>
  <c r="C539" i="32498" s="1"/>
  <c r="D386" i="32498"/>
  <c r="C386" i="32498" s="1"/>
  <c r="D417" i="32498"/>
  <c r="C417" i="32498" s="1"/>
  <c r="D409" i="32498"/>
  <c r="C409" i="32498" s="1"/>
  <c r="D570" i="32498"/>
  <c r="C570" i="32498" s="1"/>
  <c r="D346" i="32498"/>
  <c r="C346" i="32498" s="1"/>
  <c r="D263" i="32498"/>
  <c r="C263" i="32498" s="1"/>
  <c r="D132" i="32498"/>
  <c r="C132" i="32498" s="1"/>
  <c r="D204" i="32498"/>
  <c r="C204" i="32498" s="1"/>
  <c r="D504" i="32498"/>
  <c r="C504" i="32498" s="1"/>
  <c r="D206" i="32498"/>
  <c r="C206" i="32498" s="1"/>
  <c r="D99" i="32498"/>
  <c r="C99" i="32498" s="1"/>
  <c r="D212" i="32498"/>
  <c r="C212" i="32498" s="1"/>
  <c r="D638" i="32498"/>
  <c r="C638" i="32498" s="1"/>
  <c r="D414" i="32498"/>
  <c r="C414" i="32498" s="1"/>
  <c r="D537" i="32498"/>
  <c r="C537" i="32498" s="1"/>
  <c r="D225" i="32498"/>
  <c r="C225" i="32498" s="1"/>
  <c r="D322" i="32498"/>
  <c r="C322" i="32498" s="1"/>
  <c r="D357" i="32498"/>
  <c r="C357" i="32498" s="1"/>
  <c r="D401" i="32498"/>
  <c r="C401" i="32498" s="1"/>
  <c r="D523" i="32498"/>
  <c r="C523" i="32498" s="1"/>
  <c r="D395" i="32498"/>
  <c r="C395" i="32498" s="1"/>
  <c r="D254" i="32498"/>
  <c r="C254" i="32498" s="1"/>
  <c r="D509" i="32498"/>
  <c r="C509" i="32498" s="1"/>
  <c r="D44" i="32498"/>
  <c r="C44" i="32498" s="1"/>
  <c r="D230" i="32498"/>
  <c r="C230" i="32498" s="1"/>
  <c r="D55" i="32498"/>
  <c r="C55" i="32498" s="1"/>
  <c r="D53" i="32498"/>
  <c r="C53" i="32498" s="1"/>
  <c r="D96" i="32498"/>
  <c r="C96" i="32498" s="1"/>
  <c r="D606" i="32498"/>
  <c r="C606" i="32498" s="1"/>
  <c r="D581" i="32498"/>
  <c r="C581" i="32498" s="1"/>
  <c r="D630" i="32498"/>
  <c r="C630" i="32498" s="1"/>
  <c r="D602" i="32498"/>
  <c r="C602" i="32498" s="1"/>
  <c r="D310" i="32498"/>
  <c r="C310" i="32498" s="1"/>
  <c r="D355" i="32498"/>
  <c r="C355" i="32498" s="1"/>
  <c r="D595" i="32498"/>
  <c r="C595" i="32498" s="1"/>
  <c r="D631" i="32498"/>
  <c r="C631" i="32498" s="1"/>
  <c r="D458" i="32498"/>
  <c r="C458" i="32498" s="1"/>
  <c r="D599" i="32498"/>
  <c r="C599" i="32498" s="1"/>
  <c r="D442" i="32498"/>
  <c r="C442" i="32498" s="1"/>
  <c r="D415" i="32498"/>
  <c r="C415" i="32498" s="1"/>
  <c r="D321" i="32498"/>
  <c r="C321" i="32498" s="1"/>
  <c r="D125" i="32498"/>
  <c r="C125" i="32498" s="1"/>
  <c r="D117" i="32498"/>
  <c r="C117" i="32498" s="1"/>
  <c r="D136" i="32498"/>
  <c r="C136" i="32498" s="1"/>
  <c r="D660" i="32498"/>
  <c r="C660" i="32498" s="1"/>
  <c r="D567" i="32498"/>
  <c r="C567" i="32498" s="1"/>
  <c r="D494" i="32498"/>
  <c r="C494" i="32498" s="1"/>
  <c r="D493" i="32498"/>
  <c r="C493" i="32498" s="1"/>
  <c r="D473" i="32498"/>
  <c r="C473" i="32498" s="1"/>
  <c r="D273" i="32498"/>
  <c r="C273" i="32498" s="1"/>
  <c r="D139" i="32498"/>
  <c r="C139" i="32498" s="1"/>
  <c r="D516" i="32498"/>
  <c r="C516" i="32498" s="1"/>
  <c r="D430" i="32498"/>
  <c r="C430" i="32498" s="1"/>
  <c r="D592" i="32498"/>
  <c r="C592" i="32498" s="1"/>
  <c r="D597" i="32498"/>
  <c r="C597" i="32498" s="1"/>
  <c r="D511" i="32498"/>
  <c r="C511" i="32498" s="1"/>
  <c r="D116" i="32498"/>
  <c r="C116" i="32498" s="1"/>
  <c r="D183" i="32498"/>
  <c r="C183" i="32498" s="1"/>
  <c r="D127" i="32498"/>
  <c r="C127" i="32498" s="1"/>
  <c r="D201" i="32498"/>
  <c r="C201" i="32498" s="1"/>
  <c r="D141" i="32498"/>
  <c r="C141" i="32498" s="1"/>
  <c r="D35" i="32498"/>
  <c r="C35" i="32498" s="1"/>
  <c r="D649" i="32498"/>
  <c r="C649" i="32498" s="1"/>
  <c r="D505" i="32498"/>
  <c r="C505" i="32498" s="1"/>
  <c r="D307" i="32498"/>
  <c r="C307" i="32498" s="1"/>
  <c r="D490" i="32498"/>
  <c r="C490" i="32498" s="1"/>
  <c r="D34" i="32498"/>
  <c r="C34" i="32498" s="1"/>
  <c r="D556" i="32498"/>
  <c r="C556" i="32498" s="1"/>
  <c r="D612" i="32498"/>
  <c r="C612" i="32498" s="1"/>
  <c r="D552" i="32498"/>
  <c r="C552" i="32498" s="1"/>
  <c r="D596" i="32498"/>
  <c r="C596" i="32498" s="1"/>
  <c r="D603" i="32498"/>
  <c r="C603" i="32498" s="1"/>
  <c r="D557" i="32498"/>
  <c r="C557" i="32498" s="1"/>
  <c r="D284" i="32498"/>
  <c r="C284" i="32498" s="1"/>
  <c r="D408" i="32498"/>
  <c r="C408" i="32498" s="1"/>
  <c r="D105" i="32498"/>
  <c r="C105" i="32498" s="1"/>
  <c r="D300" i="32498"/>
  <c r="C300" i="32498" s="1"/>
  <c r="D379" i="32498"/>
  <c r="C379" i="32498" s="1"/>
  <c r="D524" i="32498"/>
  <c r="C524" i="32498" s="1"/>
  <c r="D579" i="32498"/>
  <c r="C579" i="32498" s="1"/>
  <c r="D402" i="32498"/>
  <c r="C402" i="32498" s="1"/>
  <c r="D215" i="32498"/>
  <c r="C215" i="32498" s="1"/>
  <c r="D250" i="32498"/>
  <c r="C250" i="32498" s="1"/>
  <c r="D551" i="32498"/>
  <c r="C551" i="32498" s="1"/>
  <c r="D312" i="32498"/>
  <c r="C312" i="32498" s="1"/>
  <c r="D48" i="32498"/>
  <c r="C48" i="32498" s="1"/>
  <c r="D150" i="32498"/>
  <c r="C150" i="32498" s="1"/>
  <c r="D146" i="32498"/>
  <c r="C146" i="32498" s="1"/>
  <c r="D40" i="32498"/>
  <c r="C40" i="32498" s="1"/>
  <c r="D207" i="32498"/>
  <c r="C207" i="32498" s="1"/>
  <c r="D258" i="32498"/>
  <c r="C258" i="32498" s="1"/>
  <c r="D308" i="32498"/>
  <c r="C308" i="32498" s="1"/>
  <c r="D627" i="32498"/>
  <c r="C627" i="32498" s="1"/>
  <c r="D331" i="32498"/>
  <c r="C331" i="32498" s="1"/>
  <c r="D411" i="32498"/>
  <c r="C411" i="32498" s="1"/>
  <c r="D235" i="32498"/>
  <c r="C235" i="32498" s="1"/>
  <c r="D209" i="32498"/>
  <c r="C209" i="32498" s="1"/>
  <c r="D657" i="32498"/>
  <c r="C657" i="32498" s="1"/>
  <c r="D653" i="32498"/>
  <c r="C653" i="32498" s="1"/>
  <c r="D418" i="32498"/>
  <c r="C418" i="32498" s="1"/>
  <c r="D186" i="32498"/>
  <c r="C186" i="32498" s="1"/>
  <c r="D109" i="32498"/>
  <c r="C109" i="32498" s="1"/>
  <c r="D98" i="32498"/>
  <c r="C98" i="32498" s="1"/>
  <c r="D123" i="32498"/>
  <c r="C123" i="32498" s="1"/>
  <c r="D571" i="32498"/>
  <c r="C571" i="32498" s="1"/>
  <c r="D502" i="32498"/>
  <c r="C502" i="32498" s="1"/>
  <c r="D600" i="32498"/>
  <c r="C600" i="32498" s="1"/>
  <c r="D302" i="32498"/>
  <c r="C302" i="32498" s="1"/>
  <c r="D535" i="32498"/>
  <c r="C535" i="32498" s="1"/>
  <c r="D294" i="32498"/>
  <c r="C294" i="32498" s="1"/>
  <c r="D280" i="32498"/>
  <c r="C280" i="32498" s="1"/>
  <c r="D61" i="32498"/>
  <c r="C61" i="32498" s="1"/>
  <c r="D179" i="32498"/>
  <c r="C179" i="32498" s="1"/>
  <c r="D42" i="32498"/>
  <c r="C42" i="32498" s="1"/>
  <c r="D152" i="32498"/>
  <c r="C152" i="32498" s="1"/>
  <c r="D199" i="32498"/>
  <c r="C199" i="32498" s="1"/>
  <c r="D54" i="32498"/>
  <c r="C54" i="32498" s="1"/>
  <c r="D191" i="32498"/>
  <c r="C191" i="32498" s="1"/>
  <c r="D205" i="32498"/>
  <c r="C205" i="32498" s="1"/>
  <c r="D644" i="32498"/>
  <c r="C644" i="32498" s="1"/>
  <c r="D645" i="32498"/>
  <c r="C645" i="32498" s="1"/>
  <c r="D546" i="32498"/>
  <c r="C546" i="32498" s="1"/>
  <c r="D274" i="32498"/>
  <c r="C274" i="32498" s="1"/>
  <c r="D601" i="32498"/>
  <c r="C601" i="32498" s="1"/>
  <c r="D315" i="32498"/>
  <c r="C315" i="32498" s="1"/>
  <c r="D469" i="32498"/>
  <c r="C469" i="32498" s="1"/>
  <c r="D545" i="32498"/>
  <c r="C545" i="32498" s="1"/>
  <c r="D373" i="32498"/>
  <c r="C373" i="32498" s="1"/>
  <c r="D378" i="32498"/>
  <c r="C378" i="32498" s="1"/>
  <c r="D239" i="32498"/>
  <c r="C239" i="32498" s="1"/>
  <c r="D36" i="32498"/>
  <c r="C36" i="32498" s="1"/>
  <c r="D167" i="32498"/>
  <c r="C167" i="32498" s="1"/>
  <c r="D172" i="32498"/>
  <c r="C172" i="32498" s="1"/>
  <c r="D77" i="32498"/>
  <c r="C77" i="32498" s="1"/>
  <c r="D203" i="32498"/>
  <c r="C203" i="32498" s="1"/>
  <c r="D62" i="32498"/>
  <c r="C62" i="32498" s="1"/>
  <c r="D211" i="32498"/>
  <c r="C211" i="32498" s="1"/>
  <c r="D640" i="32498"/>
  <c r="C640" i="32498" s="1"/>
  <c r="D377" i="32498"/>
  <c r="C377" i="32498" s="1"/>
  <c r="D586" i="32498"/>
  <c r="C586" i="32498" s="1"/>
  <c r="D466" i="32498"/>
  <c r="C466" i="32498" s="1"/>
  <c r="D332" i="32498"/>
  <c r="C332" i="32498" s="1"/>
  <c r="D282" i="32498"/>
  <c r="C282" i="32498" s="1"/>
  <c r="D404" i="32498"/>
  <c r="C404" i="32498" s="1"/>
  <c r="D477" i="32498"/>
  <c r="C477" i="32498" s="1"/>
  <c r="D350" i="32498"/>
  <c r="C350" i="32498" s="1"/>
  <c r="D354" i="32498"/>
  <c r="C354" i="32498" s="1"/>
  <c r="D162" i="32498"/>
  <c r="C162" i="32498" s="1"/>
  <c r="D59" i="32498"/>
  <c r="C59" i="32498" s="1"/>
  <c r="D589" i="32498"/>
  <c r="C589" i="32498" s="1"/>
  <c r="D622" i="32498"/>
  <c r="C622" i="32498" s="1"/>
  <c r="D488" i="32498"/>
  <c r="C488" i="32498" s="1"/>
  <c r="D243" i="32498"/>
  <c r="C243" i="32498" s="1"/>
  <c r="D548" i="32498"/>
  <c r="C548" i="32498" s="1"/>
  <c r="D438" i="32498"/>
  <c r="C438" i="32498" s="1"/>
  <c r="D325" i="32498"/>
  <c r="C325" i="32498" s="1"/>
  <c r="D513" i="32498"/>
  <c r="C513" i="32498" s="1"/>
  <c r="D405" i="32498"/>
  <c r="C405" i="32498" s="1"/>
  <c r="D607" i="32498"/>
  <c r="C607" i="32498" s="1"/>
  <c r="D351" i="32498"/>
  <c r="C351" i="32498" s="1"/>
  <c r="D100" i="32498"/>
  <c r="C100" i="32498" s="1"/>
  <c r="D78" i="32498"/>
  <c r="C78" i="32498" s="1"/>
  <c r="D130" i="32498"/>
  <c r="C130" i="32498" s="1"/>
  <c r="D69" i="32498"/>
  <c r="C69" i="32498" s="1"/>
  <c r="D18" i="32498"/>
  <c r="C18" i="32498" s="1"/>
  <c r="D41" i="32498"/>
  <c r="C41" i="32498" s="1"/>
  <c r="D168" i="32498"/>
  <c r="C168" i="32498" s="1"/>
  <c r="D137" i="32498"/>
  <c r="C137" i="32498" s="1"/>
  <c r="D38" i="32498"/>
  <c r="C38" i="32498" s="1"/>
  <c r="D50" i="32498"/>
  <c r="C50" i="32498" s="1"/>
  <c r="D51" i="32498"/>
  <c r="C51" i="32498" s="1"/>
  <c r="D75" i="32498"/>
  <c r="C75" i="32498" s="1"/>
  <c r="D92" i="32498"/>
  <c r="C92" i="32498" s="1"/>
  <c r="D134" i="32498"/>
  <c r="C134" i="32498" s="1"/>
  <c r="D67" i="32498"/>
  <c r="C67" i="32498" s="1"/>
  <c r="D90" i="32498"/>
  <c r="C90" i="32498" s="1"/>
  <c r="D113" i="32498"/>
  <c r="C113" i="32498" s="1"/>
  <c r="D222" i="32498"/>
  <c r="C222" i="32498" s="1"/>
  <c r="D651" i="32498"/>
  <c r="C651" i="32498" s="1"/>
  <c r="D634" i="32498"/>
  <c r="C634" i="32498" s="1"/>
  <c r="D394" i="32498"/>
  <c r="C394" i="32498" s="1"/>
  <c r="D610" i="32498"/>
  <c r="C610" i="32498" s="1"/>
  <c r="D559" i="32498"/>
  <c r="C559" i="32498" s="1"/>
  <c r="D468" i="32498"/>
  <c r="C468" i="32498" s="1"/>
  <c r="D449" i="32498"/>
  <c r="C449" i="32498" s="1"/>
  <c r="D406" i="32498"/>
  <c r="C406" i="32498" s="1"/>
  <c r="D510" i="32498"/>
  <c r="C510" i="32498" s="1"/>
  <c r="D506" i="32498"/>
  <c r="C506" i="32498" s="1"/>
  <c r="D387" i="32498"/>
  <c r="C387" i="32498" s="1"/>
  <c r="D291" i="32498"/>
  <c r="C291" i="32498" s="1"/>
  <c r="D538" i="32498"/>
  <c r="C538" i="32498" s="1"/>
  <c r="D491" i="32498"/>
  <c r="C491" i="32498" s="1"/>
  <c r="D317" i="32498"/>
  <c r="C317" i="32498" s="1"/>
  <c r="D453" i="32498"/>
  <c r="C453" i="32498" s="1"/>
  <c r="D266" i="32498"/>
  <c r="C266" i="32498" s="1"/>
  <c r="D275" i="32498"/>
  <c r="C275" i="32498" s="1"/>
  <c r="D384" i="32498"/>
  <c r="C384" i="32498" s="1"/>
  <c r="D397" i="32498"/>
  <c r="C397" i="32498" s="1"/>
  <c r="D573" i="32498"/>
  <c r="C573" i="32498" s="1"/>
  <c r="D85" i="32498"/>
  <c r="C85" i="32498" s="1"/>
  <c r="D20" i="32498"/>
  <c r="C20" i="32498" s="1"/>
  <c r="D189" i="32498"/>
  <c r="C189" i="32498" s="1"/>
  <c r="D70" i="32498"/>
  <c r="C70" i="32498" s="1"/>
  <c r="D593" i="32498"/>
  <c r="C593" i="32498" s="1"/>
  <c r="D598" i="32498"/>
  <c r="C598" i="32498" s="1"/>
  <c r="D426" i="32498"/>
  <c r="C426" i="32498" s="1"/>
  <c r="D555" i="32498"/>
  <c r="C555" i="32498" s="1"/>
  <c r="D269" i="32498"/>
  <c r="C269" i="32498" s="1"/>
  <c r="D232" i="32498"/>
  <c r="C232" i="32498" s="1"/>
  <c r="D145" i="32498"/>
  <c r="C145" i="32498" s="1"/>
  <c r="D138" i="32498"/>
  <c r="C138" i="32498" s="1"/>
  <c r="D58" i="32498"/>
  <c r="C58" i="32498" s="1"/>
  <c r="D614" i="32498"/>
  <c r="C614" i="32498" s="1"/>
  <c r="D334" i="32498"/>
  <c r="C334" i="32498" s="1"/>
  <c r="D434" i="32498"/>
  <c r="C434" i="32498" s="1"/>
  <c r="D278" i="32498"/>
  <c r="C278" i="32498" s="1"/>
  <c r="D479" i="32498"/>
  <c r="C479" i="32498" s="1"/>
  <c r="D304" i="32498"/>
  <c r="C304" i="32498" s="1"/>
  <c r="D246" i="32498"/>
  <c r="C246" i="32498" s="1"/>
  <c r="D329" i="32498"/>
  <c r="C329" i="32498" s="1"/>
  <c r="D174" i="32498"/>
  <c r="C174" i="32498" s="1"/>
  <c r="D163" i="32498"/>
  <c r="C163" i="32498" s="1"/>
  <c r="D140" i="32498"/>
  <c r="C140" i="32498" s="1"/>
  <c r="D121" i="32498"/>
  <c r="C121" i="32498" s="1"/>
  <c r="D155" i="32498"/>
  <c r="C155" i="32498" s="1"/>
  <c r="D451" i="32498"/>
  <c r="C451" i="32498" s="1"/>
  <c r="D604" i="32498"/>
  <c r="C604" i="32498" s="1"/>
  <c r="D550" i="32498"/>
  <c r="C550" i="32498" s="1"/>
  <c r="D529" i="32498"/>
  <c r="C529" i="32498" s="1"/>
  <c r="D632" i="32498"/>
  <c r="C632" i="32498" s="1"/>
  <c r="D574" i="32498"/>
  <c r="C574" i="32498" s="1"/>
  <c r="D428" i="32498"/>
  <c r="C428" i="32498" s="1"/>
  <c r="D658" i="32498"/>
  <c r="C658" i="32498" s="1"/>
  <c r="D462" i="32498"/>
  <c r="C462" i="32498" s="1"/>
  <c r="D242" i="32498"/>
  <c r="C242" i="32498" s="1"/>
  <c r="D478" i="32498"/>
  <c r="C478" i="32498" s="1"/>
  <c r="D470" i="32498"/>
  <c r="C470" i="32498" s="1"/>
  <c r="D375" i="32498"/>
  <c r="C375" i="32498" s="1"/>
  <c r="D549" i="32498"/>
  <c r="C549" i="32498" s="1"/>
  <c r="D292" i="32498"/>
  <c r="C292" i="32498" s="1"/>
  <c r="D339" i="32498"/>
  <c r="C339" i="32498" s="1"/>
  <c r="D422" i="32498"/>
  <c r="C422" i="32498" s="1"/>
  <c r="D295" i="32498"/>
  <c r="C295" i="32498" s="1"/>
  <c r="D441" i="32498"/>
  <c r="C441" i="32498" s="1"/>
  <c r="D309" i="32498"/>
  <c r="C309" i="32498" s="1"/>
  <c r="D319" i="32498"/>
  <c r="C319" i="32498" s="1"/>
  <c r="D142" i="32498"/>
  <c r="C142" i="32498" s="1"/>
  <c r="D88" i="32498"/>
  <c r="C88" i="32498" s="1"/>
  <c r="D86" i="32498"/>
  <c r="C86" i="32498" s="1"/>
  <c r="D144" i="32498"/>
  <c r="C144" i="32498" s="1"/>
  <c r="D161" i="32498"/>
  <c r="C161" i="32498" s="1"/>
  <c r="D158" i="32498"/>
  <c r="C158" i="32498" s="1"/>
  <c r="D210" i="32498"/>
  <c r="C210" i="32498" s="1"/>
  <c r="D102" i="32498"/>
  <c r="C102" i="32498" s="1"/>
  <c r="D169" i="32498"/>
  <c r="C169" i="32498" s="1"/>
  <c r="D170" i="32498"/>
  <c r="C170" i="32498" s="1"/>
  <c r="D156" i="32498"/>
  <c r="C156" i="32498" s="1"/>
  <c r="D181" i="32498"/>
  <c r="C181" i="32498" s="1"/>
  <c r="D195" i="32498"/>
  <c r="C195" i="32498" s="1"/>
  <c r="D213" i="32498"/>
  <c r="C213" i="32498" s="1"/>
  <c r="D647" i="32498"/>
  <c r="C647" i="32498" s="1"/>
  <c r="D486" i="32498"/>
  <c r="C486" i="32498" s="1"/>
  <c r="D624" i="32498"/>
  <c r="C624" i="32498" s="1"/>
  <c r="D616" i="32498"/>
  <c r="C616" i="32498" s="1"/>
  <c r="D482" i="32498"/>
  <c r="C482" i="32498" s="1"/>
  <c r="D620" i="32498"/>
  <c r="C620" i="32498" s="1"/>
  <c r="D498" i="32498"/>
  <c r="C498" i="32498" s="1"/>
  <c r="D636" i="32498"/>
  <c r="C636" i="32498" s="1"/>
  <c r="D464" i="32498"/>
  <c r="C464" i="32498" s="1"/>
  <c r="D270" i="32498"/>
  <c r="C270" i="32498" s="1"/>
  <c r="D528" i="32498"/>
  <c r="C528" i="32498" s="1"/>
  <c r="D345" i="32498"/>
  <c r="C345" i="32498" s="1"/>
  <c r="D323" i="32498"/>
  <c r="C323" i="32498" s="1"/>
  <c r="D260" i="32498"/>
  <c r="C260" i="32498" s="1"/>
  <c r="D487" i="32498"/>
  <c r="C487" i="32498" s="1"/>
  <c r="D362" i="32498"/>
  <c r="C362" i="32498" s="1"/>
  <c r="D303" i="32498"/>
  <c r="C303" i="32498" s="1"/>
  <c r="D435" i="32498"/>
  <c r="C435" i="32498" s="1"/>
  <c r="D236" i="32498"/>
  <c r="C236" i="32498" s="1"/>
  <c r="D299" i="32498"/>
  <c r="C299" i="32498" s="1"/>
  <c r="D437" i="32498"/>
  <c r="C437" i="32498" s="1"/>
  <c r="D500" i="32498"/>
  <c r="C500" i="32498" s="1"/>
  <c r="D112" i="32498"/>
  <c r="C112" i="32498" s="1"/>
  <c r="D360" i="32498"/>
  <c r="C360" i="32498" s="1"/>
  <c r="D495" i="32498"/>
  <c r="C495" i="32498" s="1"/>
  <c r="D129" i="32498"/>
  <c r="C129" i="32498" s="1"/>
  <c r="D196" i="32498"/>
  <c r="C196" i="32498" s="1"/>
  <c r="D64" i="32498"/>
  <c r="C64" i="32498" s="1"/>
  <c r="D514" i="32498"/>
  <c r="C514" i="32498" s="1"/>
  <c r="D591" i="32498"/>
  <c r="C591" i="32498" s="1"/>
  <c r="D333" i="32498"/>
  <c r="C333" i="32498" s="1"/>
  <c r="D25" i="32458"/>
  <c r="H25" i="32458" s="1"/>
  <c r="M25" i="32458" s="1"/>
  <c r="D672" i="32498"/>
  <c r="B672" i="32498"/>
  <c r="B676" i="32498"/>
  <c r="D676" i="32498"/>
  <c r="D675" i="32498"/>
  <c r="B675" i="32498"/>
  <c r="D667" i="32498"/>
  <c r="B667" i="32498"/>
  <c r="B668" i="32498"/>
  <c r="D668" i="32498"/>
  <c r="B669" i="32498"/>
  <c r="D669" i="32498"/>
  <c r="D674" i="32498"/>
  <c r="B674" i="32498"/>
  <c r="C670" i="32498"/>
  <c r="D671" i="32498"/>
  <c r="B671" i="32498"/>
  <c r="D673" i="32498"/>
  <c r="B673" i="32498"/>
  <c r="C587" i="32498"/>
  <c r="C526" i="32498"/>
  <c r="C568" i="32498"/>
  <c r="C618" i="32498"/>
  <c r="C252" i="32498"/>
  <c r="D12" i="32498"/>
  <c r="B12" i="32498"/>
  <c r="C623" i="32498"/>
  <c r="C431" i="32498"/>
  <c r="C611" i="32498"/>
  <c r="C184" i="32498"/>
  <c r="C569" i="32498"/>
  <c r="C93" i="32498"/>
  <c r="C572" i="32498"/>
  <c r="B27" i="32498"/>
  <c r="D27" i="32498"/>
  <c r="D22" i="32498"/>
  <c r="B22" i="32498"/>
  <c r="C637" i="32498"/>
  <c r="C286" i="32498"/>
  <c r="D17" i="32498"/>
  <c r="B17" i="32498"/>
  <c r="C480" i="32498"/>
  <c r="E663" i="32498"/>
  <c r="L168" i="32498"/>
  <c r="L327" i="32498"/>
  <c r="E13" i="32498"/>
  <c r="K458" i="32498"/>
  <c r="L98" i="32498"/>
  <c r="L604" i="32498"/>
  <c r="L372" i="32498"/>
  <c r="L432" i="32498"/>
  <c r="K81" i="32498"/>
  <c r="K54" i="32498"/>
  <c r="K80" i="32498"/>
  <c r="K140" i="32498"/>
  <c r="K556" i="32498"/>
  <c r="K310" i="32498"/>
  <c r="K600" i="32498"/>
  <c r="K229" i="32498"/>
  <c r="K265" i="32498"/>
  <c r="K528" i="32498"/>
  <c r="J47" i="32498"/>
  <c r="E19" i="32498"/>
  <c r="K451" i="32498"/>
  <c r="J275" i="32498"/>
  <c r="L85" i="32498"/>
  <c r="J474" i="32498"/>
  <c r="L223" i="32498"/>
  <c r="K430" i="32498"/>
  <c r="K354" i="32498"/>
  <c r="J139" i="32498"/>
  <c r="L565" i="32498"/>
  <c r="K127" i="32498"/>
  <c r="L132" i="32498"/>
  <c r="J341" i="32498"/>
  <c r="L130" i="32498"/>
  <c r="K321" i="32498"/>
  <c r="K542" i="32498"/>
  <c r="J141" i="32498"/>
  <c r="K89" i="32498"/>
  <c r="J256" i="32498"/>
  <c r="L322" i="32498"/>
  <c r="J33" i="32498"/>
  <c r="K547" i="32498"/>
  <c r="K112" i="32498"/>
  <c r="J601" i="32498"/>
  <c r="J402" i="32498"/>
  <c r="B2" i="32498"/>
  <c r="C255" i="32498"/>
  <c r="C565" i="32498"/>
  <c r="C371" i="32498"/>
  <c r="C583" i="32498"/>
  <c r="C460" i="32498"/>
  <c r="C400" i="32498"/>
  <c r="C95" i="32498"/>
  <c r="D31" i="32498"/>
  <c r="B31" i="32498"/>
  <c r="C83" i="32498"/>
  <c r="C94" i="32498"/>
  <c r="C594" i="32498"/>
  <c r="C444" i="32498"/>
  <c r="C515" i="32498"/>
  <c r="C575" i="32498"/>
  <c r="C359" i="32498"/>
  <c r="C499" i="32498"/>
  <c r="C241" i="32498"/>
  <c r="C198" i="32498"/>
  <c r="C364" i="32498"/>
  <c r="C518" i="32498"/>
  <c r="C202" i="32498"/>
  <c r="C320" i="32498"/>
  <c r="C52" i="32498"/>
  <c r="C447" i="32498"/>
  <c r="C399" i="32498"/>
  <c r="C56" i="32498"/>
  <c r="D32" i="32498"/>
  <c r="B32" i="32498"/>
  <c r="C71" i="32498"/>
  <c r="E23" i="32498"/>
  <c r="L483" i="32498"/>
  <c r="L279" i="32498"/>
  <c r="E102" i="32498"/>
  <c r="K438" i="32498"/>
  <c r="K85" i="32498"/>
  <c r="K474" i="32498"/>
  <c r="K344" i="32498"/>
  <c r="J354" i="32498"/>
  <c r="K351" i="32498"/>
  <c r="K257" i="32498"/>
  <c r="K412" i="32498"/>
  <c r="K206" i="32498"/>
  <c r="L89" i="32498"/>
  <c r="K198" i="32498"/>
  <c r="K33" i="32498"/>
  <c r="K336" i="32498"/>
  <c r="L112" i="32498"/>
  <c r="L666" i="32498"/>
  <c r="K655" i="32498"/>
  <c r="L628" i="32498"/>
  <c r="K402" i="32498"/>
  <c r="K467" i="32498"/>
  <c r="K204" i="32498"/>
  <c r="K105" i="32498"/>
  <c r="K142" i="32498"/>
  <c r="K38" i="32498"/>
  <c r="J438" i="32498"/>
  <c r="J185" i="32498"/>
  <c r="K496" i="32498"/>
  <c r="J205" i="32498"/>
  <c r="L346" i="32498"/>
  <c r="K432" i="32498"/>
  <c r="L386" i="32498"/>
  <c r="L351" i="32498"/>
  <c r="L152" i="32498"/>
  <c r="J328" i="32498"/>
  <c r="J570" i="32498"/>
  <c r="L375" i="32498"/>
  <c r="L243" i="32498"/>
  <c r="J70" i="32498"/>
  <c r="L239" i="32498"/>
  <c r="J528" i="32498"/>
  <c r="K628" i="32498"/>
  <c r="K47" i="32498"/>
  <c r="J467" i="32498"/>
  <c r="L410" i="32498"/>
  <c r="L240" i="32498"/>
  <c r="J38" i="32498"/>
  <c r="C337" i="32498"/>
  <c r="C188" i="32498"/>
  <c r="C262" i="32498"/>
  <c r="C327" i="32498"/>
  <c r="C457" i="32498"/>
  <c r="C89" i="32498"/>
  <c r="D11" i="32498"/>
  <c r="B11" i="32498"/>
  <c r="E121" i="32498"/>
  <c r="L536" i="32498"/>
  <c r="J652" i="32498"/>
  <c r="J390" i="32498"/>
  <c r="J226" i="32498"/>
  <c r="L253" i="32498"/>
  <c r="L523" i="32498"/>
  <c r="J657" i="32498"/>
  <c r="L96" i="32498"/>
  <c r="K6" i="32498"/>
  <c r="L135" i="32498"/>
  <c r="L581" i="32498"/>
  <c r="J314" i="32498"/>
  <c r="L299" i="32498"/>
  <c r="L186" i="32498"/>
  <c r="L415" i="32498"/>
  <c r="L231" i="32498"/>
  <c r="L45" i="32498"/>
  <c r="J272" i="32498"/>
  <c r="L262" i="32498"/>
  <c r="J84" i="32498"/>
  <c r="J366" i="32498"/>
  <c r="L424" i="32498"/>
  <c r="L465" i="32498"/>
  <c r="L222" i="32498"/>
  <c r="L549" i="32498"/>
  <c r="J461" i="32498"/>
  <c r="L598" i="32498"/>
  <c r="L170" i="32498"/>
  <c r="J663" i="32498"/>
  <c r="L475" i="32498"/>
  <c r="J616" i="32498"/>
  <c r="J57" i="32498"/>
  <c r="L545" i="32498"/>
  <c r="E510" i="32498"/>
  <c r="J451" i="32498"/>
  <c r="K100" i="32498"/>
  <c r="K159" i="32498"/>
  <c r="L626" i="32498"/>
  <c r="K493" i="32498"/>
  <c r="L430" i="32498"/>
  <c r="K255" i="32498"/>
  <c r="K143" i="32498"/>
  <c r="K139" i="32498"/>
  <c r="K179" i="32498"/>
  <c r="K418" i="32498"/>
  <c r="K250" i="32498"/>
  <c r="J538" i="32498"/>
  <c r="K544" i="32498"/>
  <c r="J599" i="32498"/>
  <c r="K237" i="32498"/>
  <c r="K386" i="32498"/>
  <c r="K132" i="32498"/>
  <c r="K190" i="32498"/>
  <c r="K329" i="32498"/>
  <c r="K313" i="32498"/>
  <c r="K328" i="32498"/>
  <c r="K287" i="32498"/>
  <c r="K570" i="32498"/>
  <c r="K141" i="32498"/>
  <c r="K305" i="32498"/>
  <c r="K68" i="32498"/>
  <c r="K83" i="32498"/>
  <c r="J505" i="32498"/>
  <c r="K243" i="32498"/>
  <c r="K235" i="32498"/>
  <c r="K70" i="32498"/>
  <c r="K239" i="32498"/>
  <c r="K601" i="32498"/>
  <c r="K171" i="32498"/>
  <c r="K161" i="32498"/>
  <c r="K32" i="32498"/>
  <c r="K60" i="32498"/>
  <c r="K394" i="32498"/>
  <c r="K620" i="32498"/>
  <c r="K518" i="32498"/>
  <c r="K166" i="32498"/>
  <c r="K410" i="32498"/>
  <c r="K527" i="32498"/>
  <c r="K613" i="32498"/>
  <c r="K240" i="32498"/>
  <c r="K49" i="32498"/>
  <c r="J34" i="32498"/>
  <c r="E74" i="32498"/>
  <c r="J64" i="32498"/>
  <c r="L159" i="32498"/>
  <c r="K626" i="32498"/>
  <c r="J271" i="32498"/>
  <c r="L344" i="32498"/>
  <c r="K604" i="32498"/>
  <c r="J259" i="32498"/>
  <c r="K163" i="32498"/>
  <c r="J428" i="32498"/>
  <c r="L179" i="32498"/>
  <c r="L418" i="32498"/>
  <c r="L250" i="32498"/>
  <c r="K538" i="32498"/>
  <c r="J195" i="32498"/>
  <c r="L35" i="32498"/>
  <c r="L50" i="32498"/>
  <c r="L632" i="32498"/>
  <c r="J80" i="32498"/>
  <c r="K25" i="32498"/>
  <c r="J257" i="32498"/>
  <c r="J229" i="32498"/>
  <c r="E95" i="32498"/>
  <c r="L451" i="32498"/>
  <c r="L438" i="32498"/>
  <c r="L458" i="32498"/>
  <c r="J133" i="32498"/>
  <c r="L185" i="32498"/>
  <c r="J626" i="32498"/>
  <c r="L665" i="32498"/>
  <c r="L307" i="32498"/>
  <c r="J344" i="32498"/>
  <c r="J604" i="32498"/>
  <c r="J430" i="32498"/>
  <c r="L255" i="32498"/>
  <c r="J143" i="32498"/>
  <c r="L428" i="32498"/>
  <c r="J179" i="32498"/>
  <c r="J346" i="32498"/>
  <c r="J285" i="32498"/>
  <c r="L544" i="32498"/>
  <c r="L599" i="32498"/>
  <c r="L81" i="32498"/>
  <c r="K35" i="32498"/>
  <c r="L54" i="32498"/>
  <c r="L190" i="32498"/>
  <c r="J152" i="32498"/>
  <c r="J25" i="32498"/>
  <c r="L334" i="32498"/>
  <c r="J130" i="32498"/>
  <c r="L328" i="32498"/>
  <c r="E37" i="32498"/>
  <c r="L586" i="32498"/>
  <c r="K276" i="32498"/>
  <c r="L664" i="32498"/>
  <c r="K199" i="32498"/>
  <c r="K24" i="32498"/>
  <c r="K75" i="32498"/>
  <c r="J533" i="32498"/>
  <c r="K61" i="32498"/>
  <c r="K524" i="32498"/>
  <c r="K569" i="32498"/>
  <c r="K509" i="32498"/>
  <c r="K494" i="32498"/>
  <c r="K294" i="32498"/>
  <c r="K588" i="32498"/>
  <c r="K219" i="32498"/>
  <c r="K77" i="32498"/>
  <c r="K107" i="32498"/>
  <c r="K629" i="32498"/>
  <c r="K332" i="32498"/>
  <c r="K290" i="32498"/>
  <c r="K636" i="32498"/>
  <c r="K419" i="32498"/>
  <c r="L642" i="32498"/>
  <c r="J378" i="32498"/>
  <c r="K658" i="32498"/>
  <c r="K196" i="32498"/>
  <c r="K280" i="32498"/>
  <c r="K93" i="32498"/>
  <c r="J52" i="32498"/>
  <c r="L92" i="32498"/>
  <c r="K63" i="32498"/>
  <c r="L318" i="32498"/>
  <c r="K269" i="32498"/>
  <c r="J115" i="32498"/>
  <c r="K91" i="32498"/>
  <c r="J435" i="32498"/>
  <c r="K396" i="32498"/>
  <c r="L635" i="32498"/>
  <c r="K453" i="32498"/>
  <c r="L356" i="32498"/>
  <c r="K183" i="32498"/>
  <c r="J422" i="32498"/>
  <c r="K562" i="32498"/>
  <c r="K429" i="32498"/>
  <c r="K406" i="32498"/>
  <c r="J427" i="32498"/>
  <c r="K37" i="32498"/>
  <c r="K23" i="32498"/>
  <c r="K484" i="32498"/>
  <c r="K482" i="32498"/>
  <c r="K178" i="32498"/>
  <c r="J592" i="32498"/>
  <c r="K644" i="32498"/>
  <c r="J264" i="32498"/>
  <c r="K138" i="32498"/>
  <c r="K197" i="32498"/>
  <c r="K111" i="32498"/>
  <c r="K634" i="32498"/>
  <c r="K118" i="32498"/>
  <c r="J520" i="32498"/>
  <c r="L651" i="32498"/>
  <c r="K554" i="32498"/>
  <c r="K200" i="32498"/>
  <c r="K411" i="32498"/>
  <c r="J450" i="32498"/>
  <c r="K400" i="32498"/>
  <c r="J373" i="32498"/>
  <c r="K298" i="32498"/>
  <c r="K605" i="32498"/>
  <c r="K596" i="32498"/>
  <c r="K446" i="32498"/>
  <c r="K395" i="32498"/>
  <c r="K416" i="32498"/>
  <c r="K174" i="32498"/>
  <c r="K177" i="32498"/>
  <c r="K69" i="32498"/>
  <c r="K48" i="32498"/>
  <c r="K104" i="32498"/>
  <c r="J9" i="32498"/>
  <c r="L583" i="32498"/>
  <c r="K95" i="32498"/>
  <c r="K621" i="32498"/>
  <c r="J517" i="32498"/>
  <c r="K426" i="32498"/>
  <c r="K326" i="32498"/>
  <c r="K417" i="32498"/>
  <c r="K44" i="32498"/>
  <c r="K175" i="32498"/>
  <c r="J90" i="32498"/>
  <c r="J46" i="32498"/>
  <c r="K181" i="32498"/>
  <c r="K608" i="32498"/>
  <c r="K221" i="32498"/>
  <c r="J567" i="32498"/>
  <c r="K88" i="32498"/>
  <c r="K211" i="32498"/>
  <c r="J3" i="32498"/>
  <c r="J31" i="32498"/>
  <c r="K440" i="32498"/>
  <c r="K295" i="32498"/>
  <c r="K401" i="32498"/>
  <c r="K436" i="32498"/>
  <c r="J476" i="32498"/>
  <c r="K646" i="32498"/>
  <c r="J609" i="32498"/>
  <c r="K184" i="32498"/>
  <c r="K150" i="32498"/>
  <c r="K403" i="32498"/>
  <c r="K114" i="32498"/>
  <c r="K36" i="32498"/>
  <c r="K119" i="32498"/>
  <c r="K423" i="32498"/>
  <c r="K610" i="32498"/>
  <c r="J79" i="32498"/>
  <c r="K557" i="32498"/>
  <c r="K492" i="32498"/>
  <c r="K525" i="32498"/>
  <c r="L516" i="32498"/>
  <c r="K564" i="32498"/>
  <c r="K584" i="32498"/>
  <c r="K425" i="32498"/>
  <c r="K534" i="32498"/>
  <c r="K552" i="32498"/>
  <c r="J597" i="32498"/>
  <c r="K653" i="32498"/>
  <c r="K532" i="32498"/>
  <c r="K74" i="32498"/>
  <c r="L148" i="32498"/>
  <c r="K214" i="32498"/>
  <c r="K154" i="32498"/>
  <c r="J535" i="32498"/>
  <c r="K389" i="32498"/>
  <c r="K522" i="32498"/>
  <c r="J579" i="32498"/>
  <c r="K288" i="32498"/>
  <c r="K224" i="32498"/>
  <c r="K40" i="32498"/>
  <c r="K468" i="32498"/>
  <c r="J121" i="32498"/>
  <c r="K331" i="32498"/>
  <c r="K510" i="32498"/>
  <c r="K365" i="32498"/>
  <c r="K274" i="32498"/>
  <c r="E21" i="32498"/>
  <c r="E352" i="32498"/>
  <c r="E541" i="32498"/>
  <c r="E55" i="32498"/>
  <c r="E96" i="32498"/>
  <c r="K2" i="32498"/>
  <c r="L335" i="32498"/>
  <c r="J586" i="32498"/>
  <c r="K664" i="32498"/>
  <c r="L455" i="32498"/>
  <c r="J75" i="32498"/>
  <c r="L61" i="32498"/>
  <c r="J30" i="32498"/>
  <c r="J569" i="32498"/>
  <c r="L509" i="32498"/>
  <c r="L494" i="32498"/>
  <c r="L588" i="32498"/>
  <c r="J77" i="32498"/>
  <c r="L629" i="32498"/>
  <c r="L290" i="32498"/>
  <c r="J419" i="32498"/>
  <c r="J196" i="32498"/>
  <c r="J93" i="32498"/>
  <c r="J92" i="32498"/>
  <c r="K318" i="32498"/>
  <c r="K115" i="32498"/>
  <c r="J91" i="32498"/>
  <c r="L396" i="32498"/>
  <c r="L497" i="32498"/>
  <c r="K356" i="32498"/>
  <c r="L183" i="32498"/>
  <c r="L562" i="32498"/>
  <c r="L429" i="32498"/>
  <c r="K427" i="32498"/>
  <c r="L178" i="32498"/>
  <c r="L644" i="32498"/>
  <c r="J138" i="32498"/>
  <c r="J111" i="32498"/>
  <c r="J118" i="32498"/>
  <c r="L200" i="32498"/>
  <c r="K450" i="32498"/>
  <c r="K373" i="32498"/>
  <c r="K22" i="32498"/>
  <c r="L446" i="32498"/>
  <c r="L416" i="32498"/>
  <c r="J174" i="32498"/>
  <c r="J69" i="32498"/>
  <c r="J104" i="32498"/>
  <c r="K583" i="32498"/>
  <c r="L621" i="32498"/>
  <c r="J326" i="32498"/>
  <c r="J44" i="32498"/>
  <c r="J175" i="32498"/>
  <c r="K90" i="32498"/>
  <c r="L181" i="32498"/>
  <c r="J608" i="32498"/>
  <c r="K567" i="32498"/>
  <c r="L440" i="32498"/>
  <c r="L401" i="32498"/>
  <c r="K476" i="32498"/>
  <c r="K379" i="32498"/>
  <c r="L184" i="32498"/>
  <c r="J403" i="32498"/>
  <c r="J36" i="32498"/>
  <c r="J423" i="32498"/>
  <c r="K79" i="32498"/>
  <c r="J492" i="32498"/>
  <c r="K516" i="32498"/>
  <c r="L584" i="32498"/>
  <c r="J478" i="32498"/>
  <c r="L653" i="32498"/>
  <c r="L74" i="32498"/>
  <c r="J214" i="32498"/>
  <c r="L154" i="32498"/>
  <c r="K535" i="32498"/>
  <c r="J389" i="32498"/>
  <c r="K579" i="32498"/>
  <c r="L224" i="32498"/>
  <c r="K121" i="32498"/>
  <c r="J510" i="32498"/>
  <c r="L274" i="32498"/>
  <c r="E17" i="32498"/>
  <c r="E438" i="32498"/>
  <c r="E101" i="32498"/>
  <c r="J276" i="32498"/>
  <c r="J61" i="32498"/>
  <c r="L569" i="32498"/>
  <c r="J494" i="32498"/>
  <c r="L77" i="32498"/>
  <c r="J290" i="32498"/>
  <c r="J642" i="32498"/>
  <c r="J280" i="32498"/>
  <c r="L63" i="32498"/>
  <c r="L91" i="32498"/>
  <c r="J396" i="32498"/>
  <c r="J356" i="32498"/>
  <c r="J562" i="32498"/>
  <c r="L427" i="32498"/>
  <c r="L592" i="32498"/>
  <c r="J634" i="32498"/>
  <c r="J651" i="32498"/>
  <c r="L450" i="32498"/>
  <c r="L605" i="32498"/>
  <c r="L48" i="32498"/>
  <c r="J95" i="32498"/>
  <c r="L426" i="32498"/>
  <c r="L44" i="32498"/>
  <c r="L46" i="32498"/>
  <c r="L567" i="32498"/>
  <c r="J154" i="32498"/>
  <c r="E412" i="32498"/>
  <c r="E109" i="32498"/>
  <c r="K631" i="32498"/>
  <c r="K514" i="32498"/>
  <c r="J7" i="32498"/>
  <c r="K553" i="32498"/>
  <c r="K123" i="32498"/>
  <c r="K320" i="32498"/>
  <c r="K501" i="32498"/>
  <c r="K39" i="32498"/>
  <c r="K82" i="32498"/>
  <c r="L65" i="32498"/>
  <c r="K572" i="32498"/>
  <c r="K182" i="32498"/>
  <c r="L590" i="32498"/>
  <c r="J603" i="32498"/>
  <c r="K558" i="32498"/>
  <c r="K122" i="32498"/>
  <c r="K106" i="32498"/>
  <c r="E26" i="32498"/>
  <c r="C580" i="32498"/>
  <c r="C382" i="32498"/>
  <c r="C223" i="32498"/>
  <c r="C459" i="32498"/>
  <c r="C484" i="32498"/>
  <c r="C272" i="32498"/>
  <c r="C461" i="32498"/>
  <c r="C410" i="32498"/>
  <c r="C489" i="32498"/>
  <c r="E28" i="32498"/>
  <c r="L573" i="32498"/>
  <c r="J571" i="32498"/>
  <c r="L300" i="32498"/>
  <c r="J164" i="32498"/>
  <c r="L580" i="32498"/>
  <c r="L149" i="32498"/>
  <c r="L129" i="32498"/>
  <c r="L73" i="32498"/>
  <c r="J560" i="32498"/>
  <c r="L495" i="32498"/>
  <c r="L456" i="32498"/>
  <c r="L587" i="32498"/>
  <c r="J202" i="32498"/>
  <c r="L541" i="32498"/>
  <c r="J659" i="32498"/>
  <c r="J267" i="32498"/>
  <c r="L574" i="32498"/>
  <c r="J67" i="32498"/>
  <c r="L459" i="32498"/>
  <c r="J639" i="32498"/>
  <c r="L151" i="32498"/>
  <c r="L555" i="32498"/>
  <c r="L232" i="32498"/>
  <c r="J607" i="32498"/>
  <c r="L249" i="32498"/>
  <c r="J368" i="32498"/>
  <c r="L188" i="32498"/>
  <c r="J471" i="32498"/>
  <c r="L457" i="32498"/>
  <c r="J526" i="32498"/>
  <c r="L637" i="32498"/>
  <c r="L641" i="32498"/>
  <c r="L162" i="32498"/>
  <c r="L72" i="32498"/>
  <c r="L102" i="32498"/>
  <c r="J594" i="32498"/>
  <c r="L158" i="32498"/>
  <c r="L254" i="32498"/>
  <c r="L172" i="32498"/>
  <c r="L357" i="32498"/>
  <c r="J530" i="32498"/>
  <c r="J306" i="32498"/>
  <c r="J323" i="32498"/>
  <c r="J147" i="32498"/>
  <c r="J303" i="32498"/>
  <c r="L238" i="32498"/>
  <c r="K217" i="32498"/>
  <c r="L216" i="32498"/>
  <c r="J227" i="32498"/>
  <c r="L76" i="32498"/>
  <c r="L126" i="32498"/>
  <c r="J55" i="32498"/>
  <c r="J304" i="32498"/>
  <c r="L252" i="32498"/>
  <c r="J370" i="32498"/>
  <c r="J213" i="32498"/>
  <c r="J189" i="32498"/>
  <c r="L210" i="32498"/>
  <c r="L136" i="32498"/>
  <c r="E88" i="32498"/>
  <c r="K513" i="32498"/>
  <c r="K64" i="32498"/>
  <c r="K185" i="32498"/>
  <c r="J361" i="32498"/>
  <c r="K271" i="32498"/>
  <c r="K223" i="32498"/>
  <c r="K362" i="32498"/>
  <c r="K259" i="32498"/>
  <c r="K205" i="32498"/>
  <c r="K58" i="32498"/>
  <c r="K346" i="32498"/>
  <c r="L208" i="32498"/>
  <c r="K195" i="32498"/>
  <c r="J35" i="32498"/>
  <c r="K50" i="32498"/>
  <c r="K341" i="32498"/>
  <c r="K152" i="32498"/>
  <c r="K130" i="32498"/>
  <c r="K293" i="32498"/>
  <c r="K101" i="32498"/>
  <c r="L660" i="32498"/>
  <c r="J513" i="32498"/>
  <c r="J100" i="32498"/>
  <c r="K98" i="32498"/>
  <c r="K361" i="32498"/>
  <c r="J493" i="32498"/>
  <c r="J282" i="32498"/>
  <c r="L362" i="32498"/>
  <c r="J255" i="32498"/>
  <c r="K372" i="32498"/>
  <c r="L58" i="32498"/>
  <c r="J463" i="32498"/>
  <c r="K208" i="32498"/>
  <c r="L71" i="32498"/>
  <c r="K640" i="32498"/>
  <c r="J81" i="32498"/>
  <c r="K218" i="32498"/>
  <c r="J499" i="32498"/>
  <c r="J190" i="32498"/>
  <c r="J477" i="32498"/>
  <c r="J329" i="32498"/>
  <c r="L313" i="32498"/>
  <c r="L291" i="32498"/>
  <c r="L287" i="32498"/>
  <c r="J556" i="32498"/>
  <c r="J206" i="32498"/>
  <c r="J277" i="32498"/>
  <c r="L180" i="32498"/>
  <c r="J17" i="32498"/>
  <c r="J600" i="32498"/>
  <c r="L305" i="32498"/>
  <c r="L68" i="32498"/>
  <c r="J83" i="32498"/>
  <c r="J26" i="32498"/>
  <c r="K505" i="32498"/>
  <c r="K230" i="32498"/>
  <c r="J113" i="32498"/>
  <c r="K18" i="32498"/>
  <c r="K666" i="32498"/>
  <c r="J171" i="32498"/>
  <c r="L655" i="32498"/>
  <c r="J109" i="32498"/>
  <c r="J60" i="32498"/>
  <c r="L620" i="32498"/>
  <c r="J204" i="32498"/>
  <c r="J105" i="32498"/>
  <c r="J613" i="32498"/>
  <c r="J49" i="32498"/>
  <c r="K34" i="32498"/>
  <c r="E27" i="32498"/>
  <c r="E563" i="32498"/>
  <c r="E99" i="32498"/>
  <c r="E60" i="32498"/>
  <c r="L64" i="32498"/>
  <c r="J85" i="32498"/>
  <c r="J98" i="32498"/>
  <c r="L361" i="32498"/>
  <c r="L271" i="32498"/>
  <c r="J20" i="32498"/>
  <c r="L282" i="32498"/>
  <c r="J362" i="32498"/>
  <c r="L259" i="32498"/>
  <c r="L163" i="32498"/>
  <c r="J372" i="32498"/>
  <c r="J58" i="32498"/>
  <c r="K463" i="32498"/>
  <c r="J565" i="32498"/>
  <c r="J208" i="32498"/>
  <c r="L538" i="32498"/>
  <c r="J127" i="32498"/>
  <c r="J71" i="32498"/>
  <c r="J432" i="32498"/>
  <c r="L237" i="32498"/>
  <c r="J386" i="32498"/>
  <c r="J132" i="32498"/>
  <c r="J50" i="32498"/>
  <c r="L499" i="32498"/>
  <c r="L341" i="32498"/>
  <c r="L241" i="32498"/>
  <c r="J116" i="32498"/>
  <c r="J347" i="32498"/>
  <c r="L257" i="32498"/>
  <c r="J291" i="32498"/>
  <c r="J140" i="32498"/>
  <c r="J321" i="32498"/>
  <c r="J287" i="32498"/>
  <c r="J542" i="32498"/>
  <c r="J293" i="32498"/>
  <c r="L206" i="32498"/>
  <c r="L141" i="32498"/>
  <c r="J180" i="32498"/>
  <c r="L600" i="32498"/>
  <c r="J198" i="32498"/>
  <c r="J322" i="32498"/>
  <c r="J167" i="32498"/>
  <c r="L101" i="32498"/>
  <c r="L505" i="32498"/>
  <c r="J336" i="32498"/>
  <c r="L230" i="32498"/>
  <c r="L235" i="32498"/>
  <c r="J112" i="32498"/>
  <c r="L18" i="32498"/>
  <c r="J239" i="32498"/>
  <c r="J662" i="32498"/>
  <c r="L171" i="32498"/>
  <c r="L528" i="32498"/>
  <c r="L161" i="32498"/>
  <c r="L47" i="32498"/>
  <c r="J620" i="32498"/>
  <c r="J660" i="32498"/>
  <c r="J166" i="32498"/>
  <c r="J410" i="32498"/>
  <c r="L105" i="32498"/>
  <c r="J240" i="32498"/>
  <c r="E10" i="32498"/>
  <c r="E475" i="32498"/>
  <c r="E89" i="32498"/>
  <c r="J2" i="32498"/>
  <c r="K335" i="32498"/>
  <c r="J21" i="32498"/>
  <c r="E57" i="32498"/>
  <c r="L2" i="32498"/>
  <c r="K586" i="32498"/>
  <c r="J455" i="32498"/>
  <c r="J506" i="32498"/>
  <c r="J294" i="32498"/>
  <c r="L107" i="32498"/>
  <c r="L419" i="32498"/>
  <c r="L196" i="32498"/>
  <c r="K92" i="32498"/>
  <c r="L115" i="32498"/>
  <c r="J635" i="32498"/>
  <c r="L406" i="32498"/>
  <c r="L37" i="32498"/>
  <c r="L484" i="32498"/>
  <c r="J644" i="32498"/>
  <c r="L111" i="32498"/>
  <c r="L411" i="32498"/>
  <c r="L298" i="32498"/>
  <c r="J596" i="32498"/>
  <c r="J446" i="32498"/>
  <c r="L174" i="32498"/>
  <c r="L517" i="32498"/>
  <c r="L326" i="32498"/>
  <c r="L175" i="32498"/>
  <c r="J181" i="32498"/>
  <c r="J88" i="32498"/>
  <c r="K3" i="32498"/>
  <c r="J295" i="32498"/>
  <c r="J646" i="32498"/>
  <c r="L609" i="32498"/>
  <c r="L403" i="32498"/>
  <c r="L119" i="32498"/>
  <c r="L79" i="32498"/>
  <c r="L525" i="32498"/>
  <c r="J584" i="32498"/>
  <c r="L597" i="32498"/>
  <c r="J74" i="32498"/>
  <c r="L522" i="32498"/>
  <c r="J224" i="32498"/>
  <c r="L121" i="32498"/>
  <c r="J365" i="32498"/>
  <c r="E390" i="32498"/>
  <c r="E103" i="32498"/>
  <c r="J521" i="32498"/>
  <c r="K340" i="32498"/>
  <c r="K382" i="32498"/>
  <c r="K14" i="32498"/>
  <c r="E6" i="32498"/>
  <c r="E54" i="32498"/>
  <c r="L631" i="32498"/>
  <c r="L514" i="32498"/>
  <c r="J575" i="32498"/>
  <c r="L340" i="32498"/>
  <c r="L553" i="32498"/>
  <c r="L263" i="32498"/>
  <c r="J169" i="32498"/>
  <c r="J469" i="32498"/>
  <c r="L123" i="32498"/>
  <c r="J437" i="32498"/>
  <c r="K491" i="32498"/>
  <c r="J39" i="32498"/>
  <c r="L82" i="32498"/>
  <c r="L612" i="32498"/>
  <c r="J363" i="32498"/>
  <c r="L182" i="32498"/>
  <c r="K590" i="32498"/>
  <c r="K603" i="32498"/>
  <c r="K349" i="32498"/>
  <c r="L333" i="32498"/>
  <c r="J8" i="32498"/>
  <c r="L14" i="32498"/>
  <c r="L559" i="32498"/>
  <c r="J380" i="32498"/>
  <c r="L165" i="32498"/>
  <c r="K134" i="32498"/>
  <c r="J244" i="32498"/>
  <c r="K371" i="32498"/>
  <c r="J589" i="32498"/>
  <c r="J43" i="32498"/>
  <c r="L507" i="32498"/>
  <c r="K391" i="32498"/>
  <c r="J364" i="32498"/>
  <c r="J330" i="32498"/>
  <c r="L128" i="32498"/>
  <c r="J408" i="32498"/>
  <c r="J339" i="32498"/>
  <c r="K464" i="32498"/>
  <c r="L627" i="32498"/>
  <c r="J258" i="32498"/>
  <c r="K602" i="32498"/>
  <c r="J297" i="32498"/>
  <c r="K301" i="32498"/>
  <c r="J316" i="32498"/>
  <c r="J261" i="32498"/>
  <c r="J11" i="32498"/>
  <c r="L622" i="32498"/>
  <c r="J62" i="32498"/>
  <c r="J201" i="32498"/>
  <c r="E3" i="32498"/>
  <c r="E29" i="32498"/>
  <c r="E589" i="32498"/>
  <c r="E2" i="32498"/>
  <c r="E661" i="32498"/>
  <c r="E518" i="32498"/>
  <c r="E111" i="32498"/>
  <c r="E77" i="32498"/>
  <c r="E62" i="32498"/>
  <c r="E70" i="32498"/>
  <c r="E43" i="32498"/>
  <c r="L617" i="32498"/>
  <c r="J656" i="32498"/>
  <c r="J631" i="32498"/>
  <c r="J441" i="32498"/>
  <c r="J502" i="32498"/>
  <c r="L191" i="32498"/>
  <c r="J514" i="32498"/>
  <c r="L521" i="32498"/>
  <c r="L270" i="32498"/>
  <c r="L575" i="32498"/>
  <c r="L236" i="32498"/>
  <c r="J340" i="32498"/>
  <c r="J110" i="32498"/>
  <c r="J144" i="32498"/>
  <c r="J553" i="32498"/>
  <c r="J645" i="32498"/>
  <c r="J263" i="32498"/>
  <c r="J268" i="32498"/>
  <c r="L169" i="32498"/>
  <c r="L421" i="32498"/>
  <c r="L382" i="32498"/>
  <c r="L469" i="32498"/>
  <c r="J160" i="32498"/>
  <c r="J78" i="32498"/>
  <c r="J123" i="32498"/>
  <c r="L512" i="32498"/>
  <c r="J320" i="32498"/>
  <c r="L350" i="32498"/>
  <c r="J501" i="32498"/>
  <c r="J281" i="32498"/>
  <c r="L437" i="32498"/>
  <c r="L369" i="32498"/>
  <c r="L491" i="32498"/>
  <c r="L155" i="32498"/>
  <c r="L39" i="32498"/>
  <c r="J137" i="32498"/>
  <c r="J82" i="32498"/>
  <c r="L625" i="32498"/>
  <c r="J65" i="32498"/>
  <c r="J612" i="32498"/>
  <c r="J572" i="32498"/>
  <c r="L363" i="32498"/>
  <c r="L209" i="32498"/>
  <c r="L543" i="32498"/>
  <c r="J486" i="32498"/>
  <c r="J156" i="32498"/>
  <c r="L248" i="32498"/>
  <c r="J182" i="32498"/>
  <c r="L173" i="32498"/>
  <c r="L131" i="32498"/>
  <c r="J590" i="32498"/>
  <c r="L94" i="32498"/>
  <c r="J66" i="32498"/>
  <c r="L603" i="32498"/>
  <c r="J558" i="32498"/>
  <c r="L349" i="32498"/>
  <c r="J606" i="32498"/>
  <c r="J333" i="32498"/>
  <c r="L409" i="32498"/>
  <c r="J122" i="32498"/>
  <c r="J51" i="32498"/>
  <c r="J14" i="32498"/>
  <c r="J124" i="32498"/>
  <c r="L568" i="32498"/>
  <c r="J559" i="32498"/>
  <c r="L591" i="32498"/>
  <c r="L380" i="32498"/>
  <c r="J633" i="32498"/>
  <c r="J165" i="32498"/>
  <c r="L325" i="32498"/>
  <c r="K4" i="32498"/>
  <c r="L134" i="32498"/>
  <c r="J345" i="32498"/>
  <c r="L244" i="32498"/>
  <c r="L228" i="32498"/>
  <c r="L647" i="32498"/>
  <c r="J371" i="32498"/>
  <c r="L623" i="32498"/>
  <c r="J624" i="32498"/>
  <c r="J577" i="32498"/>
  <c r="L589" i="32498"/>
  <c r="L220" i="32498"/>
  <c r="L490" i="32498"/>
  <c r="L43" i="32498"/>
  <c r="J97" i="32498"/>
  <c r="J53" i="32498"/>
  <c r="J507" i="32498"/>
  <c r="J106" i="32498"/>
  <c r="L367" i="32498"/>
  <c r="L391" i="32498"/>
  <c r="L615" i="32498"/>
  <c r="J246" i="32498"/>
  <c r="L364" i="32498"/>
  <c r="L283" i="32498"/>
  <c r="L99" i="32498"/>
  <c r="L330" i="32498"/>
  <c r="L103" i="32498"/>
  <c r="J193" i="32498"/>
  <c r="J128" i="32498"/>
  <c r="L431" i="32498"/>
  <c r="L611" i="32498"/>
  <c r="L408" i="32498"/>
  <c r="L234" i="32498"/>
  <c r="J153" i="32498"/>
  <c r="L339" i="32498"/>
  <c r="J654" i="32498"/>
  <c r="J117" i="32498"/>
  <c r="L464" i="32498"/>
  <c r="J619" i="32498"/>
  <c r="L207" i="32498"/>
  <c r="L447" i="32498"/>
  <c r="J266" i="32498"/>
  <c r="J498" i="32498"/>
  <c r="J404" i="32498"/>
  <c r="L585" i="32498"/>
  <c r="L413" i="32498"/>
  <c r="J233" i="32498"/>
  <c r="J576" i="32498"/>
  <c r="J627" i="32498"/>
  <c r="J595" i="32498"/>
  <c r="J194" i="32498"/>
  <c r="L258" i="32498"/>
  <c r="J472" i="32498"/>
  <c r="L602" i="32498"/>
  <c r="J460" i="32498"/>
  <c r="L297" i="32498"/>
  <c r="L302" i="32498"/>
  <c r="L481" i="32498"/>
  <c r="L301" i="32498"/>
  <c r="L397" i="32498"/>
  <c r="L316" i="32498"/>
  <c r="L338" i="32498"/>
  <c r="J292" i="32498"/>
  <c r="L261" i="32498"/>
  <c r="J420" i="32498"/>
  <c r="J247" i="32498"/>
  <c r="K11" i="32498"/>
  <c r="L59" i="32498"/>
  <c r="J622" i="32498"/>
  <c r="L661" i="32498"/>
  <c r="L593" i="32498"/>
  <c r="L398" i="32498"/>
  <c r="L203" i="32498"/>
  <c r="K278" i="32498"/>
  <c r="L56" i="32498"/>
  <c r="L273" i="32498"/>
  <c r="L62" i="32498"/>
  <c r="L120" i="32498"/>
  <c r="L201" i="32498"/>
  <c r="C543" i="32498"/>
  <c r="C507" i="32498"/>
  <c r="E12" i="32498"/>
  <c r="E335" i="32498"/>
  <c r="E539" i="32498"/>
  <c r="E124" i="32498"/>
  <c r="E53" i="32498"/>
  <c r="L384" i="32498"/>
  <c r="L276" i="32498"/>
  <c r="L199" i="32498"/>
  <c r="J24" i="32498"/>
  <c r="K533" i="32498"/>
  <c r="J524" i="32498"/>
  <c r="L506" i="32498"/>
  <c r="L294" i="32498"/>
  <c r="J219" i="32498"/>
  <c r="J107" i="32498"/>
  <c r="L332" i="32498"/>
  <c r="J636" i="32498"/>
  <c r="K642" i="32498"/>
  <c r="L658" i="32498"/>
  <c r="L280" i="32498"/>
  <c r="K52" i="32498"/>
  <c r="J63" i="32498"/>
  <c r="J269" i="32498"/>
  <c r="K635" i="32498"/>
  <c r="J453" i="32498"/>
  <c r="J37" i="32498"/>
  <c r="J23" i="32498"/>
  <c r="J484" i="32498"/>
  <c r="L482" i="32498"/>
  <c r="K592" i="32498"/>
  <c r="K264" i="32498"/>
  <c r="L197" i="32498"/>
  <c r="L634" i="32498"/>
  <c r="K520" i="32498"/>
  <c r="K651" i="32498"/>
  <c r="L554" i="32498"/>
  <c r="J411" i="32498"/>
  <c r="L400" i="32498"/>
  <c r="J298" i="32498"/>
  <c r="J605" i="32498"/>
  <c r="L596" i="32498"/>
  <c r="L395" i="32498"/>
  <c r="J177" i="32498"/>
  <c r="J48" i="32498"/>
  <c r="K9" i="32498"/>
  <c r="L95" i="32498"/>
  <c r="K517" i="32498"/>
  <c r="J426" i="32498"/>
  <c r="L417" i="32498"/>
  <c r="K46" i="32498"/>
  <c r="L221" i="32498"/>
  <c r="L88" i="32498"/>
  <c r="J211" i="32498"/>
  <c r="K31" i="32498"/>
  <c r="L295" i="32498"/>
  <c r="L436" i="32498"/>
  <c r="L646" i="32498"/>
  <c r="K609" i="32498"/>
  <c r="J150" i="32498"/>
  <c r="L114" i="32498"/>
  <c r="J119" i="32498"/>
  <c r="L610" i="32498"/>
  <c r="J557" i="32498"/>
  <c r="J525" i="32498"/>
  <c r="L564" i="32498"/>
  <c r="J425" i="32498"/>
  <c r="L552" i="32498"/>
  <c r="K597" i="32498"/>
  <c r="J532" i="32498"/>
  <c r="K148" i="32498"/>
  <c r="J288" i="32498"/>
  <c r="J40" i="32498"/>
  <c r="L468" i="32498"/>
  <c r="J331" i="32498"/>
  <c r="L365" i="32498"/>
  <c r="E22" i="32498"/>
  <c r="E93" i="32498"/>
  <c r="E66" i="32498"/>
  <c r="J335" i="32498"/>
  <c r="J664" i="32498"/>
  <c r="L75" i="32498"/>
  <c r="K21" i="32498"/>
  <c r="J588" i="32498"/>
  <c r="J629" i="32498"/>
  <c r="L636" i="32498"/>
  <c r="J658" i="32498"/>
  <c r="L52" i="32498"/>
  <c r="J318" i="32498"/>
  <c r="L435" i="32498"/>
  <c r="L453" i="32498"/>
  <c r="L312" i="32498"/>
  <c r="J482" i="32498"/>
  <c r="L264" i="32498"/>
  <c r="J197" i="32498"/>
  <c r="L520" i="32498"/>
  <c r="J200" i="32498"/>
  <c r="L373" i="32498"/>
  <c r="J416" i="32498"/>
  <c r="L69" i="32498"/>
  <c r="J583" i="32498"/>
  <c r="J470" i="32498"/>
  <c r="J221" i="32498"/>
  <c r="J401" i="32498"/>
  <c r="L476" i="32498"/>
  <c r="J184" i="32498"/>
  <c r="J114" i="32498"/>
  <c r="J610" i="32498"/>
  <c r="L492" i="32498"/>
  <c r="J564" i="32498"/>
  <c r="L425" i="32498"/>
  <c r="J552" i="32498"/>
  <c r="J653" i="32498"/>
  <c r="L214" i="32498"/>
  <c r="L389" i="32498"/>
  <c r="L288" i="32498"/>
  <c r="J468" i="32498"/>
  <c r="L510" i="32498"/>
  <c r="E5" i="32498"/>
  <c r="E56" i="32498"/>
  <c r="K617" i="32498"/>
  <c r="L502" i="32498"/>
  <c r="K270" i="32498"/>
  <c r="K236" i="32498"/>
  <c r="K144" i="32498"/>
  <c r="K263" i="32498"/>
  <c r="K169" i="32498"/>
  <c r="K78" i="32498"/>
  <c r="K281" i="32498"/>
  <c r="K369" i="32498"/>
  <c r="K155" i="32498"/>
  <c r="K625" i="32498"/>
  <c r="K612" i="32498"/>
  <c r="K363" i="32498"/>
  <c r="K543" i="32498"/>
  <c r="K156" i="32498"/>
  <c r="K173" i="32498"/>
  <c r="K94" i="32498"/>
  <c r="K606" i="32498"/>
  <c r="K409" i="32498"/>
  <c r="K51" i="32498"/>
  <c r="K124" i="32498"/>
  <c r="K591" i="32498"/>
  <c r="J325" i="32498"/>
  <c r="J134" i="32498"/>
  <c r="K345" i="32498"/>
  <c r="K228" i="32498"/>
  <c r="L371" i="32498"/>
  <c r="K624" i="32498"/>
  <c r="K589" i="32498"/>
  <c r="K490" i="32498"/>
  <c r="L97" i="32498"/>
  <c r="K615" i="32498"/>
  <c r="K364" i="32498"/>
  <c r="K99" i="32498"/>
  <c r="K103" i="32498"/>
  <c r="K128" i="32498"/>
  <c r="K611" i="32498"/>
  <c r="J234" i="32498"/>
  <c r="K339" i="32498"/>
  <c r="K117" i="32498"/>
  <c r="K619" i="32498"/>
  <c r="K447" i="32498"/>
  <c r="K498" i="32498"/>
  <c r="K233" i="32498"/>
  <c r="K627" i="32498"/>
  <c r="K194" i="32498"/>
  <c r="K258" i="32498"/>
  <c r="L472" i="32498"/>
  <c r="K460" i="32498"/>
  <c r="J481" i="32498"/>
  <c r="K397" i="32498"/>
  <c r="K338" i="32498"/>
  <c r="K261" i="32498"/>
  <c r="K59" i="32498"/>
  <c r="K661" i="32498"/>
  <c r="J593" i="32498"/>
  <c r="E454" i="32498"/>
  <c r="K656" i="32498"/>
  <c r="K502" i="32498"/>
  <c r="K521" i="32498"/>
  <c r="K7" i="32498"/>
  <c r="K110" i="32498"/>
  <c r="K645" i="32498"/>
  <c r="L268" i="32498"/>
  <c r="K421" i="32498"/>
  <c r="L160" i="32498"/>
  <c r="J512" i="32498"/>
  <c r="L501" i="32498"/>
  <c r="J369" i="32498"/>
  <c r="J625" i="32498"/>
  <c r="J209" i="32498"/>
  <c r="L156" i="32498"/>
  <c r="J173" i="32498"/>
  <c r="J94" i="32498"/>
  <c r="J342" i="32498"/>
  <c r="L606" i="32498"/>
  <c r="L122" i="32498"/>
  <c r="J568" i="32498"/>
  <c r="L345" i="32498"/>
  <c r="J647" i="32498"/>
  <c r="L624" i="32498"/>
  <c r="L53" i="32498"/>
  <c r="J367" i="32498"/>
  <c r="J283" i="32498"/>
  <c r="J103" i="32498"/>
  <c r="J431" i="32498"/>
  <c r="K234" i="32498"/>
  <c r="K654" i="32498"/>
  <c r="L619" i="32498"/>
  <c r="L266" i="32498"/>
  <c r="L404" i="32498"/>
  <c r="J413" i="32498"/>
  <c r="L233" i="32498"/>
  <c r="K595" i="32498"/>
  <c r="L414" i="32498"/>
  <c r="L460" i="32498"/>
  <c r="K481" i="32498"/>
  <c r="J338" i="32498"/>
  <c r="L420" i="32498"/>
  <c r="J13" i="32498"/>
  <c r="J661" i="32498"/>
  <c r="K398" i="32498"/>
  <c r="K56" i="32498"/>
  <c r="K120" i="32498"/>
  <c r="E9" i="32498"/>
  <c r="E356" i="32498"/>
  <c r="E76" i="32498"/>
  <c r="E58" i="32498"/>
  <c r="E59" i="32498"/>
  <c r="K536" i="32498"/>
  <c r="K480" i="32498"/>
  <c r="J573" i="32498"/>
  <c r="K652" i="32498"/>
  <c r="K515" i="32498"/>
  <c r="K571" i="32498"/>
  <c r="J192" i="32498"/>
  <c r="K168" i="32498"/>
  <c r="K226" i="32498"/>
  <c r="K300" i="32498"/>
  <c r="K489" i="32498"/>
  <c r="K483" i="32498"/>
  <c r="K253" i="32498"/>
  <c r="K164" i="32498"/>
  <c r="K324" i="32498"/>
  <c r="J523" i="32498"/>
  <c r="J580" i="32498"/>
  <c r="K187" i="32498"/>
  <c r="K657" i="32498"/>
  <c r="K149" i="32498"/>
  <c r="K96" i="32498"/>
  <c r="K129" i="32498"/>
  <c r="K41" i="32498"/>
  <c r="J73" i="32498"/>
  <c r="K135" i="32498"/>
  <c r="K442" i="32498"/>
  <c r="K560" i="32498"/>
  <c r="J581" i="32498"/>
  <c r="K376" i="32498"/>
  <c r="K495" i="32498"/>
  <c r="K314" i="32498"/>
  <c r="K614" i="32498"/>
  <c r="J456" i="32498"/>
  <c r="K299" i="32498"/>
  <c r="J337" i="32498"/>
  <c r="K587" i="32498"/>
  <c r="J186" i="32498"/>
  <c r="K202" i="32498"/>
  <c r="K353" i="32498"/>
  <c r="K157" i="32498"/>
  <c r="K541" i="32498"/>
  <c r="J415" i="32498"/>
  <c r="K511" i="32498"/>
  <c r="K659" i="32498"/>
  <c r="K649" i="32498"/>
  <c r="K309" i="32498"/>
  <c r="K267" i="32498"/>
  <c r="L16" i="32498"/>
  <c r="J12" i="32498"/>
  <c r="K574" i="32498"/>
  <c r="K42" i="32498"/>
  <c r="K231" i="32498"/>
  <c r="K67" i="32498"/>
  <c r="L146" i="32498"/>
  <c r="K45" i="32498"/>
  <c r="K459" i="32498"/>
  <c r="K630" i="32498"/>
  <c r="K272" i="32498"/>
  <c r="K639" i="32498"/>
  <c r="K262" i="32498"/>
  <c r="J151" i="32498"/>
  <c r="K551" i="32498"/>
  <c r="K84" i="32498"/>
  <c r="K555" i="32498"/>
  <c r="L366" i="32498"/>
  <c r="K232" i="32498"/>
  <c r="K279" i="32498"/>
  <c r="K424" i="32498"/>
  <c r="L607" i="32498"/>
  <c r="K327" i="32498"/>
  <c r="K465" i="32498"/>
  <c r="K249" i="32498"/>
  <c r="L368" i="32498"/>
  <c r="K125" i="32498"/>
  <c r="K222" i="32498"/>
  <c r="K188" i="32498"/>
  <c r="K488" i="32498"/>
  <c r="K471" i="32498"/>
  <c r="K549" i="32498"/>
  <c r="K319" i="32498"/>
  <c r="K457" i="32498"/>
  <c r="L443" i="32498"/>
  <c r="K387" i="32498"/>
  <c r="K526" i="32498"/>
  <c r="K352" i="32498"/>
  <c r="K637" i="32498"/>
  <c r="K215" i="32498"/>
  <c r="K461" i="32498"/>
  <c r="J641" i="32498"/>
  <c r="K598" i="32498"/>
  <c r="K618" i="32498"/>
  <c r="K162" i="32498"/>
  <c r="K170" i="32498"/>
  <c r="K399" i="32498"/>
  <c r="J72" i="32498"/>
  <c r="L434" i="32498"/>
  <c r="L663" i="32498"/>
  <c r="K102" i="32498"/>
  <c r="K308" i="32498"/>
  <c r="J475" i="32498"/>
  <c r="K594" i="32498"/>
  <c r="K462" i="32498"/>
  <c r="L616" i="32498"/>
  <c r="K158" i="32498"/>
  <c r="L242" i="32498"/>
  <c r="K57" i="32498"/>
  <c r="K454" i="32498"/>
  <c r="K254" i="32498"/>
  <c r="K286" i="32498"/>
  <c r="J545" i="32498"/>
  <c r="K172" i="32498"/>
  <c r="K311" i="32498"/>
  <c r="K357" i="32498"/>
  <c r="K582" i="32498"/>
  <c r="L530" i="32498"/>
  <c r="K315" i="32498"/>
  <c r="K306" i="32498"/>
  <c r="K284" i="32498"/>
  <c r="K323" i="32498"/>
  <c r="K643" i="32498"/>
  <c r="K260" i="32498"/>
  <c r="K147" i="32498"/>
  <c r="K650" i="32498"/>
  <c r="K303" i="32498"/>
  <c r="K392" i="32498"/>
  <c r="K393" i="32498"/>
  <c r="K238" i="32498"/>
  <c r="J217" i="32498"/>
  <c r="K212" i="32498"/>
  <c r="K216" i="32498"/>
  <c r="K296" i="32498"/>
  <c r="K227" i="32498"/>
  <c r="K76" i="32498"/>
  <c r="L108" i="32498"/>
  <c r="K126" i="32498"/>
  <c r="K87" i="32498"/>
  <c r="K55" i="32498"/>
  <c r="K245" i="32498"/>
  <c r="K304" i="32498"/>
  <c r="K252" i="32498"/>
  <c r="L578" i="32498"/>
  <c r="L370" i="32498"/>
  <c r="K225" i="32498"/>
  <c r="L289" i="32498"/>
  <c r="K648" i="32498"/>
  <c r="K213" i="32498"/>
  <c r="K176" i="32498"/>
  <c r="K189" i="32498"/>
  <c r="K638" i="32498"/>
  <c r="J210" i="32498"/>
  <c r="K546" i="32498"/>
  <c r="K136" i="32498"/>
  <c r="J86" i="32498"/>
  <c r="C553" i="32498"/>
  <c r="C318" i="32498"/>
  <c r="C501" i="32498"/>
  <c r="C541" i="32498"/>
  <c r="C659" i="32498"/>
  <c r="C208" i="32498"/>
  <c r="C151" i="32498"/>
  <c r="C264" i="32498"/>
  <c r="C554" i="32498"/>
  <c r="C471" i="32498"/>
  <c r="C313" i="32498"/>
  <c r="C87" i="32498"/>
  <c r="C454" i="32498"/>
  <c r="E488" i="32498"/>
  <c r="L515" i="32498"/>
  <c r="L192" i="32498"/>
  <c r="L489" i="32498"/>
  <c r="J324" i="32498"/>
  <c r="L187" i="32498"/>
  <c r="J28" i="32498"/>
  <c r="L41" i="32498"/>
  <c r="J442" i="32498"/>
  <c r="J376" i="32498"/>
  <c r="J614" i="32498"/>
  <c r="L337" i="32498"/>
  <c r="L157" i="32498"/>
  <c r="L511" i="32498"/>
  <c r="L649" i="32498"/>
  <c r="J16" i="32498"/>
  <c r="L42" i="32498"/>
  <c r="J146" i="32498"/>
  <c r="J630" i="32498"/>
  <c r="L551" i="32498"/>
  <c r="K5" i="32498"/>
  <c r="L125" i="32498"/>
  <c r="J488" i="32498"/>
  <c r="L319" i="32498"/>
  <c r="L387" i="32498"/>
  <c r="J15" i="32498"/>
  <c r="J215" i="32498"/>
  <c r="J618" i="32498"/>
  <c r="J399" i="32498"/>
  <c r="J434" i="32498"/>
  <c r="J308" i="32498"/>
  <c r="J462" i="32498"/>
  <c r="J242" i="32498"/>
  <c r="J454" i="32498"/>
  <c r="J286" i="32498"/>
  <c r="J582" i="32498"/>
  <c r="L315" i="32498"/>
  <c r="J284" i="32498"/>
  <c r="J643" i="32498"/>
  <c r="L260" i="32498"/>
  <c r="L650" i="32498"/>
  <c r="L392" i="32498"/>
  <c r="L393" i="32498"/>
  <c r="L212" i="32498"/>
  <c r="J296" i="32498"/>
  <c r="K108" i="32498"/>
  <c r="L87" i="32498"/>
  <c r="J245" i="32498"/>
  <c r="J578" i="32498"/>
  <c r="L225" i="32498"/>
  <c r="J289" i="32498"/>
  <c r="L648" i="32498"/>
  <c r="L176" i="32498"/>
  <c r="J638" i="32498"/>
  <c r="J546" i="32498"/>
  <c r="L86" i="32498"/>
  <c r="E11" i="32498"/>
  <c r="E81" i="32498"/>
  <c r="K407" i="32498"/>
  <c r="K275" i="32498"/>
  <c r="L133" i="32498"/>
  <c r="K665" i="32498"/>
  <c r="K20" i="32498"/>
  <c r="K282" i="32498"/>
  <c r="L496" i="32498"/>
  <c r="K466" i="32498"/>
  <c r="J163" i="32498"/>
  <c r="K428" i="32498"/>
  <c r="K500" i="32498"/>
  <c r="K285" i="32498"/>
  <c r="L127" i="32498"/>
  <c r="K71" i="32498"/>
  <c r="L640" i="32498"/>
  <c r="L218" i="32498"/>
  <c r="K499" i="32498"/>
  <c r="K632" i="32498"/>
  <c r="K241" i="32498"/>
  <c r="K116" i="32498"/>
  <c r="K347" i="32498"/>
  <c r="K334" i="32498"/>
  <c r="K291" i="32498"/>
  <c r="L321" i="32498"/>
  <c r="L542" i="32498"/>
  <c r="K277" i="32498"/>
  <c r="K180" i="32498"/>
  <c r="K17" i="32498"/>
  <c r="K256" i="32498"/>
  <c r="K322" i="32498"/>
  <c r="K167" i="32498"/>
  <c r="K26" i="32498"/>
  <c r="J547" i="32498"/>
  <c r="J230" i="32498"/>
  <c r="L113" i="32498"/>
  <c r="J18" i="32498"/>
  <c r="K662" i="32498"/>
  <c r="J145" i="32498"/>
  <c r="K109" i="32498"/>
  <c r="J19" i="32498"/>
  <c r="E31" i="32498"/>
  <c r="E79" i="32498"/>
  <c r="J458" i="32498"/>
  <c r="K133" i="32498"/>
  <c r="J665" i="32498"/>
  <c r="L20" i="32498"/>
  <c r="J10" i="32498"/>
  <c r="J466" i="32498"/>
  <c r="L143" i="32498"/>
  <c r="J500" i="32498"/>
  <c r="L285" i="32498"/>
  <c r="J544" i="32498"/>
  <c r="K599" i="32498"/>
  <c r="J237" i="32498"/>
  <c r="J27" i="32498"/>
  <c r="J54" i="32498"/>
  <c r="J241" i="32498"/>
  <c r="L116" i="32498"/>
  <c r="L347" i="32498"/>
  <c r="J334" i="32498"/>
  <c r="L140" i="32498"/>
  <c r="J412" i="32498"/>
  <c r="L293" i="32498"/>
  <c r="L310" i="32498"/>
  <c r="L198" i="32498"/>
  <c r="L167" i="32498"/>
  <c r="J101" i="32498"/>
  <c r="L336" i="32498"/>
  <c r="J235" i="32498"/>
  <c r="J265" i="32498"/>
  <c r="L662" i="32498"/>
  <c r="K145" i="32498"/>
  <c r="J161" i="32498"/>
  <c r="J32" i="32498"/>
  <c r="K19" i="32498"/>
  <c r="L394" i="32498"/>
  <c r="K660" i="32498"/>
  <c r="L166" i="32498"/>
  <c r="J527" i="32498"/>
  <c r="L142" i="32498"/>
  <c r="E24" i="32498"/>
  <c r="E500" i="32498"/>
  <c r="E664" i="32498"/>
  <c r="E370" i="32498"/>
  <c r="E83" i="32498"/>
  <c r="E115" i="32498"/>
  <c r="L407" i="32498"/>
  <c r="L513" i="32498"/>
  <c r="L275" i="32498"/>
  <c r="L100" i="32498"/>
  <c r="J159" i="32498"/>
  <c r="L474" i="32498"/>
  <c r="L493" i="32498"/>
  <c r="J223" i="32498"/>
  <c r="K10" i="32498"/>
  <c r="J496" i="32498"/>
  <c r="L466" i="32498"/>
  <c r="L354" i="32498"/>
  <c r="L205" i="32498"/>
  <c r="L139" i="32498"/>
  <c r="L500" i="32498"/>
  <c r="J418" i="32498"/>
  <c r="J250" i="32498"/>
  <c r="J640" i="32498"/>
  <c r="L195" i="32498"/>
  <c r="K27" i="32498"/>
  <c r="J218" i="32498"/>
  <c r="J351" i="32498"/>
  <c r="J632" i="32498"/>
  <c r="L80" i="32498"/>
  <c r="L329" i="32498"/>
  <c r="L412" i="32498"/>
  <c r="L556" i="32498"/>
  <c r="L570" i="32498"/>
  <c r="L277" i="32498"/>
  <c r="J310" i="32498"/>
  <c r="J89" i="32498"/>
  <c r="J375" i="32498"/>
  <c r="L256" i="32498"/>
  <c r="J305" i="32498"/>
  <c r="J68" i="32498"/>
  <c r="L83" i="32498"/>
  <c r="L547" i="32498"/>
  <c r="J243" i="32498"/>
  <c r="L229" i="32498"/>
  <c r="K113" i="32498"/>
  <c r="L70" i="32498"/>
  <c r="L265" i="32498"/>
  <c r="J666" i="32498"/>
  <c r="L601" i="32498"/>
  <c r="L145" i="32498"/>
  <c r="J655" i="32498"/>
  <c r="L109" i="32498"/>
  <c r="J628" i="32498"/>
  <c r="L60" i="32498"/>
  <c r="L402" i="32498"/>
  <c r="J394" i="32498"/>
  <c r="L467" i="32498"/>
  <c r="J518" i="32498"/>
  <c r="L204" i="32498"/>
  <c r="L527" i="32498"/>
  <c r="L613" i="32498"/>
  <c r="J142" i="32498"/>
  <c r="L49" i="32498"/>
  <c r="L34" i="32498"/>
  <c r="L38" i="32498"/>
  <c r="E4" i="32498"/>
  <c r="E387" i="32498"/>
  <c r="E119" i="32498"/>
  <c r="K30" i="32498"/>
  <c r="E427" i="32498"/>
  <c r="E105" i="32498"/>
  <c r="J199" i="32498"/>
  <c r="L533" i="32498"/>
  <c r="L524" i="32498"/>
  <c r="J509" i="32498"/>
  <c r="L219" i="32498"/>
  <c r="J332" i="32498"/>
  <c r="L93" i="32498"/>
  <c r="L269" i="32498"/>
  <c r="J183" i="32498"/>
  <c r="J429" i="32498"/>
  <c r="J178" i="32498"/>
  <c r="L138" i="32498"/>
  <c r="L118" i="32498"/>
  <c r="J554" i="32498"/>
  <c r="J400" i="32498"/>
  <c r="J22" i="32498"/>
  <c r="J395" i="32498"/>
  <c r="L177" i="32498"/>
  <c r="L104" i="32498"/>
  <c r="J621" i="32498"/>
  <c r="J417" i="32498"/>
  <c r="L90" i="32498"/>
  <c r="L608" i="32498"/>
  <c r="L211" i="32498"/>
  <c r="J440" i="32498"/>
  <c r="J436" i="32498"/>
  <c r="L150" i="32498"/>
  <c r="L36" i="32498"/>
  <c r="L423" i="32498"/>
  <c r="L557" i="32498"/>
  <c r="J516" i="32498"/>
  <c r="L478" i="32498"/>
  <c r="L532" i="32498"/>
  <c r="J148" i="32498"/>
  <c r="L535" i="32498"/>
  <c r="L579" i="32498"/>
  <c r="L40" i="32498"/>
  <c r="L331" i="32498"/>
  <c r="J274" i="32498"/>
  <c r="E7" i="32498"/>
  <c r="E72" i="32498"/>
  <c r="L656" i="32498"/>
  <c r="K191" i="32498"/>
  <c r="K575" i="32498"/>
  <c r="L110" i="32498"/>
  <c r="L645" i="32498"/>
  <c r="K268" i="32498"/>
  <c r="J421" i="32498"/>
  <c r="K160" i="32498"/>
  <c r="K437" i="32498"/>
  <c r="J491" i="32498"/>
  <c r="K137" i="32498"/>
  <c r="K209" i="32498"/>
  <c r="K248" i="32498"/>
  <c r="K131" i="32498"/>
  <c r="K66" i="32498"/>
  <c r="J349" i="32498"/>
  <c r="K333" i="32498"/>
  <c r="K8" i="32498"/>
  <c r="K568" i="32498"/>
  <c r="K559" i="32498"/>
  <c r="K380" i="32498"/>
  <c r="K633" i="32498"/>
  <c r="K165" i="32498"/>
  <c r="J4" i="32498"/>
  <c r="J29" i="32498"/>
  <c r="K244" i="32498"/>
  <c r="K647" i="32498"/>
  <c r="K623" i="32498"/>
  <c r="K577" i="32498"/>
  <c r="K220" i="32498"/>
  <c r="K43" i="32498"/>
  <c r="K53" i="32498"/>
  <c r="K507" i="32498"/>
  <c r="J391" i="32498"/>
  <c r="K246" i="32498"/>
  <c r="K283" i="32498"/>
  <c r="K330" i="32498"/>
  <c r="L193" i="32498"/>
  <c r="K431" i="32498"/>
  <c r="K408" i="32498"/>
  <c r="K153" i="32498"/>
  <c r="L654" i="32498"/>
  <c r="J464" i="32498"/>
  <c r="K207" i="32498"/>
  <c r="K266" i="32498"/>
  <c r="K404" i="32498"/>
  <c r="K585" i="32498"/>
  <c r="K413" i="32498"/>
  <c r="L576" i="32498"/>
  <c r="L595" i="32498"/>
  <c r="J602" i="32498"/>
  <c r="K297" i="32498"/>
  <c r="K302" i="32498"/>
  <c r="J301" i="32498"/>
  <c r="K316" i="32498"/>
  <c r="K292" i="32498"/>
  <c r="K420" i="32498"/>
  <c r="L247" i="32498"/>
  <c r="K13" i="32498"/>
  <c r="K622" i="32498"/>
  <c r="J398" i="32498"/>
  <c r="K203" i="32498"/>
  <c r="K539" i="32498"/>
  <c r="J278" i="32498"/>
  <c r="J56" i="32498"/>
  <c r="K273" i="32498"/>
  <c r="K62" i="32498"/>
  <c r="J120" i="32498"/>
  <c r="K201" i="32498"/>
  <c r="E508" i="32498"/>
  <c r="J617" i="32498"/>
  <c r="L441" i="32498"/>
  <c r="J191" i="32498"/>
  <c r="J270" i="32498"/>
  <c r="J236" i="32498"/>
  <c r="L144" i="32498"/>
  <c r="J381" i="32498"/>
  <c r="J382" i="32498"/>
  <c r="L78" i="32498"/>
  <c r="L320" i="32498"/>
  <c r="L281" i="32498"/>
  <c r="J155" i="32498"/>
  <c r="L137" i="32498"/>
  <c r="K65" i="32498"/>
  <c r="L572" i="32498"/>
  <c r="J543" i="32498"/>
  <c r="J248" i="32498"/>
  <c r="J131" i="32498"/>
  <c r="L66" i="32498"/>
  <c r="L558" i="32498"/>
  <c r="L51" i="32498"/>
  <c r="L124" i="32498"/>
  <c r="J591" i="32498"/>
  <c r="L633" i="32498"/>
  <c r="K325" i="32498"/>
  <c r="K29" i="32498"/>
  <c r="J228" i="32498"/>
  <c r="J623" i="32498"/>
  <c r="L577" i="32498"/>
  <c r="J220" i="32498"/>
  <c r="K97" i="32498"/>
  <c r="L106" i="32498"/>
  <c r="J615" i="32498"/>
  <c r="L246" i="32498"/>
  <c r="J99" i="32498"/>
  <c r="K193" i="32498"/>
  <c r="J611" i="32498"/>
  <c r="L153" i="32498"/>
  <c r="L117" i="32498"/>
  <c r="J207" i="32498"/>
  <c r="L498" i="32498"/>
  <c r="J585" i="32498"/>
  <c r="K576" i="32498"/>
  <c r="L194" i="32498"/>
  <c r="K472" i="32498"/>
  <c r="J302" i="32498"/>
  <c r="J397" i="32498"/>
  <c r="L292" i="32498"/>
  <c r="K247" i="32498"/>
  <c r="J59" i="32498"/>
  <c r="J445" i="32498"/>
  <c r="K593" i="32498"/>
  <c r="J203" i="32498"/>
  <c r="L278" i="32498"/>
  <c r="J273" i="32498"/>
  <c r="E30" i="32498"/>
  <c r="E32" i="32498"/>
  <c r="E15" i="32498"/>
  <c r="E596" i="32498"/>
  <c r="E364" i="32498"/>
  <c r="E479" i="32498"/>
  <c r="E41" i="32498"/>
  <c r="E73" i="32498"/>
  <c r="E51" i="32498"/>
  <c r="E92" i="32498"/>
  <c r="E113" i="32498"/>
  <c r="J536" i="32498"/>
  <c r="K573" i="32498"/>
  <c r="L652" i="32498"/>
  <c r="J515" i="32498"/>
  <c r="L571" i="32498"/>
  <c r="K192" i="32498"/>
  <c r="J168" i="32498"/>
  <c r="L226" i="32498"/>
  <c r="J300" i="32498"/>
  <c r="J489" i="32498"/>
  <c r="J483" i="32498"/>
  <c r="J253" i="32498"/>
  <c r="L164" i="32498"/>
  <c r="L324" i="32498"/>
  <c r="K523" i="32498"/>
  <c r="K580" i="32498"/>
  <c r="J187" i="32498"/>
  <c r="L657" i="32498"/>
  <c r="J149" i="32498"/>
  <c r="K28" i="32498"/>
  <c r="J96" i="32498"/>
  <c r="J129" i="32498"/>
  <c r="J41" i="32498"/>
  <c r="J6" i="32498"/>
  <c r="K73" i="32498"/>
  <c r="J135" i="32498"/>
  <c r="L442" i="32498"/>
  <c r="L560" i="32498"/>
  <c r="K581" i="32498"/>
  <c r="L376" i="32498"/>
  <c r="J495" i="32498"/>
  <c r="L314" i="32498"/>
  <c r="L614" i="32498"/>
  <c r="K456" i="32498"/>
  <c r="J299" i="32498"/>
  <c r="K337" i="32498"/>
  <c r="J587" i="32498"/>
  <c r="K186" i="32498"/>
  <c r="J448" i="32498"/>
  <c r="L202" i="32498"/>
  <c r="L353" i="32498"/>
  <c r="J157" i="32498"/>
  <c r="J541" i="32498"/>
  <c r="K415" i="32498"/>
  <c r="J511" i="32498"/>
  <c r="L659" i="32498"/>
  <c r="J649" i="32498"/>
  <c r="L309" i="32498"/>
  <c r="L267" i="32498"/>
  <c r="K16" i="32498"/>
  <c r="K12" i="32498"/>
  <c r="J574" i="32498"/>
  <c r="J42" i="32498"/>
  <c r="J231" i="32498"/>
  <c r="L67" i="32498"/>
  <c r="K146" i="32498"/>
  <c r="J45" i="32498"/>
  <c r="J459" i="32498"/>
  <c r="L630" i="32498"/>
  <c r="L272" i="32498"/>
  <c r="L639" i="32498"/>
  <c r="J262" i="32498"/>
  <c r="K151" i="32498"/>
  <c r="J551" i="32498"/>
  <c r="L84" i="32498"/>
  <c r="J555" i="32498"/>
  <c r="K366" i="32498"/>
  <c r="J5" i="32498"/>
  <c r="J232" i="32498"/>
  <c r="J279" i="32498"/>
  <c r="J424" i="32498"/>
  <c r="K607" i="32498"/>
  <c r="J439" i="32498"/>
  <c r="J327" i="32498"/>
  <c r="J465" i="32498"/>
  <c r="J249" i="32498"/>
  <c r="K368" i="32498"/>
  <c r="J125" i="32498"/>
  <c r="J222" i="32498"/>
  <c r="J188" i="32498"/>
  <c r="L488" i="32498"/>
  <c r="L471" i="32498"/>
  <c r="J549" i="32498"/>
  <c r="J319" i="32498"/>
  <c r="J457" i="32498"/>
  <c r="K443" i="32498"/>
  <c r="J387" i="32498"/>
  <c r="L526" i="32498"/>
  <c r="K15" i="32498"/>
  <c r="J637" i="32498"/>
  <c r="L215" i="32498"/>
  <c r="L461" i="32498"/>
  <c r="K641" i="32498"/>
  <c r="J598" i="32498"/>
  <c r="L618" i="32498"/>
  <c r="J162" i="32498"/>
  <c r="J170" i="32498"/>
  <c r="L399" i="32498"/>
  <c r="K72" i="32498"/>
  <c r="K434" i="32498"/>
  <c r="K663" i="32498"/>
  <c r="J102" i="32498"/>
  <c r="L308" i="32498"/>
  <c r="K475" i="32498"/>
  <c r="L594" i="32498"/>
  <c r="L462" i="32498"/>
  <c r="K616" i="32498"/>
  <c r="J158" i="32498"/>
  <c r="K242" i="32498"/>
  <c r="L57" i="32498"/>
  <c r="L454" i="32498"/>
  <c r="J254" i="32498"/>
  <c r="L286" i="32498"/>
  <c r="K545" i="32498"/>
  <c r="J172" i="32498"/>
  <c r="J357" i="32498"/>
  <c r="L582" i="32498"/>
  <c r="K530" i="32498"/>
  <c r="J315" i="32498"/>
  <c r="L306" i="32498"/>
  <c r="L284" i="32498"/>
  <c r="L323" i="32498"/>
  <c r="L643" i="32498"/>
  <c r="J260" i="32498"/>
  <c r="L147" i="32498"/>
  <c r="J650" i="32498"/>
  <c r="L303" i="32498"/>
  <c r="J392" i="32498"/>
  <c r="J238" i="32498"/>
  <c r="L217" i="32498"/>
  <c r="J212" i="32498"/>
  <c r="J216" i="32498"/>
  <c r="L296" i="32498"/>
  <c r="L227" i="32498"/>
  <c r="J76" i="32498"/>
  <c r="J108" i="32498"/>
  <c r="J126" i="32498"/>
  <c r="J87" i="32498"/>
  <c r="L55" i="32498"/>
  <c r="L245" i="32498"/>
  <c r="L304" i="32498"/>
  <c r="J252" i="32498"/>
  <c r="K578" i="32498"/>
  <c r="K370" i="32498"/>
  <c r="J225" i="32498"/>
  <c r="K289" i="32498"/>
  <c r="J648" i="32498"/>
  <c r="L213" i="32498"/>
  <c r="J176" i="32498"/>
  <c r="L189" i="32498"/>
  <c r="L638" i="32498"/>
  <c r="K210" i="32498"/>
  <c r="L546" i="32498"/>
  <c r="J136" i="32498"/>
  <c r="K86" i="32498"/>
  <c r="C560" i="32498"/>
  <c r="C496" i="32498"/>
  <c r="C424" i="32498"/>
  <c r="C446" i="32498"/>
  <c r="C326" i="32498"/>
  <c r="D3" i="32498"/>
  <c r="B3" i="32498"/>
  <c r="C661" i="32498"/>
  <c r="C126" i="32498"/>
  <c r="C238" i="32498"/>
  <c r="C216" i="32498"/>
  <c r="C420" i="32498"/>
  <c r="C228" i="32498"/>
  <c r="C370" i="32498"/>
  <c r="C119" i="32498"/>
  <c r="C296" i="32498"/>
  <c r="C578" i="32498"/>
  <c r="C648" i="32498"/>
  <c r="C385" i="32498"/>
  <c r="C533" i="32498"/>
  <c r="C135" i="32498"/>
  <c r="C290" i="32498"/>
  <c r="D29" i="32498"/>
  <c r="B29" i="32498"/>
  <c r="C433" i="32498"/>
  <c r="C298" i="32498"/>
  <c r="C443" i="32498"/>
  <c r="C177" i="32498"/>
  <c r="C43" i="32498"/>
  <c r="C221" i="32498"/>
  <c r="D25" i="32498"/>
  <c r="B25" i="32498"/>
  <c r="C293" i="32498"/>
  <c r="C231" i="32498"/>
  <c r="C619" i="32498"/>
  <c r="C519" i="32498"/>
  <c r="C194" i="32498"/>
  <c r="C49" i="32498"/>
  <c r="C666" i="32498"/>
  <c r="C176" i="32498"/>
  <c r="C185" i="32498"/>
  <c r="C149" i="32498"/>
  <c r="C200" i="32498"/>
  <c r="C450" i="32498"/>
  <c r="C220" i="32498"/>
  <c r="C475" i="32498"/>
  <c r="C247" i="32498"/>
  <c r="C240" i="32498"/>
  <c r="C244" i="32498"/>
  <c r="D5" i="32498"/>
  <c r="B5" i="32498"/>
  <c r="C584" i="32498"/>
  <c r="C388" i="32498"/>
  <c r="C289" i="32498"/>
  <c r="C483" i="32498"/>
  <c r="D8" i="32498"/>
  <c r="B8" i="32498"/>
  <c r="C341" i="32498"/>
  <c r="B4" i="32498"/>
  <c r="D4" i="32498"/>
  <c r="C80" i="32498"/>
  <c r="D9" i="32498"/>
  <c r="B9" i="32498"/>
  <c r="C663" i="32498"/>
  <c r="C429" i="32498"/>
  <c r="C646" i="32498"/>
  <c r="C609" i="32498"/>
  <c r="C643" i="32498"/>
  <c r="C79" i="32498"/>
  <c r="C655" i="32498"/>
  <c r="C197" i="32498"/>
  <c r="C525" i="32498"/>
  <c r="C628" i="32498"/>
  <c r="C133" i="32498"/>
  <c r="C448" i="32498"/>
  <c r="C115" i="32498"/>
  <c r="C91" i="32498"/>
  <c r="C532" i="32498"/>
  <c r="C398" i="32498"/>
  <c r="D24" i="32498"/>
  <c r="B24" i="32498"/>
  <c r="D30" i="32498"/>
  <c r="B30" i="32498"/>
  <c r="C164" i="32498"/>
  <c r="C353" i="32498"/>
  <c r="C485" i="32498"/>
  <c r="C277" i="32498"/>
  <c r="C175" i="32498"/>
  <c r="C585" i="32498"/>
  <c r="C229" i="32498"/>
  <c r="C576" i="32498"/>
  <c r="C148" i="32498"/>
  <c r="C481" i="32498"/>
  <c r="C316" i="32498"/>
  <c r="C224" i="32498"/>
  <c r="C452" i="32498"/>
  <c r="C344" i="32498"/>
  <c r="C366" i="32498"/>
  <c r="C665" i="32498"/>
  <c r="C369" i="32498"/>
  <c r="C456" i="32498"/>
  <c r="C251" i="32498"/>
  <c r="C178" i="32498"/>
  <c r="C81" i="32498"/>
  <c r="C465" i="32498"/>
  <c r="C256" i="32498"/>
  <c r="C234" i="32498"/>
  <c r="C46" i="32498"/>
  <c r="C153" i="32498"/>
  <c r="C436" i="32498"/>
  <c r="C566" i="32498"/>
  <c r="D13" i="32498"/>
  <c r="B13" i="32498"/>
  <c r="C403" i="32498"/>
  <c r="D19" i="32498"/>
  <c r="B19" i="32498"/>
  <c r="C389" i="32498"/>
  <c r="C365" i="32498"/>
  <c r="C407" i="32498"/>
  <c r="C192" i="32498"/>
  <c r="D7" i="32498"/>
  <c r="B7" i="32498"/>
  <c r="D28" i="32498"/>
  <c r="B28" i="32498"/>
  <c r="C285" i="32498"/>
  <c r="C324" i="32498"/>
  <c r="B6" i="32498"/>
  <c r="D6" i="32498"/>
  <c r="D23" i="32498"/>
  <c r="B23" i="32498"/>
  <c r="C416" i="32498"/>
  <c r="B15" i="32498"/>
  <c r="D15" i="32498"/>
  <c r="C104" i="32498"/>
  <c r="C106" i="32498"/>
  <c r="C47" i="32498"/>
  <c r="C37" i="32498"/>
  <c r="C642" i="32498"/>
  <c r="C372" i="32498"/>
  <c r="C157" i="32498"/>
  <c r="C248" i="32498"/>
  <c r="C218" i="32498"/>
  <c r="C639" i="32498"/>
  <c r="C563" i="32498"/>
  <c r="C608" i="32498"/>
  <c r="C368" i="32498"/>
  <c r="C641" i="32498"/>
  <c r="C517" i="32498"/>
  <c r="C180" i="32498"/>
  <c r="D26" i="32498"/>
  <c r="B26" i="32498"/>
  <c r="C101" i="32498"/>
  <c r="C265" i="32498"/>
  <c r="C301" i="32498"/>
  <c r="C297" i="32498"/>
  <c r="C171" i="32498"/>
  <c r="C562" i="32498"/>
  <c r="C664" i="32498"/>
  <c r="D21" i="32498"/>
  <c r="B21" i="32498"/>
  <c r="D10" i="32498"/>
  <c r="B10" i="32498"/>
  <c r="I474" i="32451"/>
  <c r="I581" i="32451"/>
  <c r="I70" i="32451"/>
  <c r="I182" i="32451"/>
  <c r="I148" i="32451"/>
  <c r="I445" i="32451"/>
  <c r="I78" i="32451"/>
  <c r="I479" i="32451"/>
  <c r="I39" i="32451"/>
  <c r="I346" i="32451"/>
  <c r="I135" i="32451"/>
  <c r="I470" i="32451"/>
  <c r="I423" i="32451"/>
  <c r="I118" i="32451"/>
  <c r="I438" i="32451"/>
  <c r="I64" i="32451"/>
  <c r="I453" i="32451"/>
  <c r="I197" i="32451"/>
  <c r="I379" i="32451"/>
  <c r="I212" i="32451"/>
  <c r="I348" i="32451"/>
  <c r="I494" i="32451"/>
  <c r="I406" i="32451"/>
  <c r="I535" i="32451"/>
  <c r="I219" i="32451"/>
  <c r="I168" i="32451"/>
  <c r="I217" i="32451"/>
  <c r="I100" i="32451"/>
  <c r="I483" i="32451"/>
  <c r="I374" i="32451"/>
  <c r="I412" i="32451"/>
  <c r="I201" i="32451"/>
  <c r="I386" i="32451"/>
  <c r="I258" i="32451"/>
  <c r="I56" i="32451"/>
  <c r="I504" i="32451"/>
  <c r="I565" i="32451"/>
  <c r="I174" i="32451"/>
  <c r="I98" i="32451"/>
  <c r="I94" i="32451"/>
  <c r="I167" i="32451"/>
  <c r="I181" i="32451"/>
  <c r="I199" i="32451"/>
  <c r="I156" i="32451"/>
  <c r="I188" i="32451"/>
  <c r="I414" i="32451"/>
  <c r="I218" i="32451"/>
  <c r="I560" i="32451"/>
  <c r="I436" i="32451"/>
  <c r="I408" i="32451"/>
  <c r="I592" i="32451"/>
  <c r="I389" i="32451"/>
  <c r="I96" i="32451"/>
  <c r="I511" i="32451"/>
  <c r="I210" i="32451"/>
  <c r="I231" i="32451"/>
  <c r="I254" i="32451"/>
  <c r="I214" i="32451"/>
  <c r="I419" i="32451"/>
  <c r="I518" i="32451"/>
  <c r="I440" i="32451"/>
  <c r="I215" i="32451"/>
  <c r="I248" i="32451"/>
  <c r="I255" i="32451"/>
  <c r="I245" i="32451"/>
  <c r="I464" i="32451"/>
  <c r="I189" i="32451"/>
  <c r="I158" i="32451"/>
  <c r="I252" i="32451"/>
  <c r="I216" i="32451"/>
  <c r="I232" i="32451"/>
  <c r="I246" i="32451"/>
  <c r="I250" i="32451"/>
  <c r="I170" i="32451"/>
  <c r="I220" i="32451"/>
  <c r="I240" i="32451"/>
  <c r="I163" i="32451"/>
  <c r="I160" i="32451"/>
  <c r="I183" i="32451"/>
  <c r="I480" i="32451"/>
  <c r="I534" i="32451"/>
  <c r="I373" i="32451"/>
  <c r="I282" i="32451"/>
  <c r="I415" i="32451"/>
  <c r="I227" i="32451"/>
  <c r="I169" i="32451"/>
  <c r="I195" i="32451"/>
  <c r="I257" i="32451"/>
  <c r="I475" i="32451"/>
  <c r="I416" i="32451"/>
  <c r="I508" i="32451"/>
  <c r="I517" i="32451"/>
  <c r="I184" i="32451"/>
  <c r="I76" i="32451"/>
  <c r="I226" i="32451"/>
  <c r="I247" i="32451"/>
  <c r="I187" i="32451"/>
  <c r="I102" i="32451"/>
  <c r="I208" i="32451"/>
  <c r="I149" i="32451"/>
  <c r="I122" i="32451"/>
  <c r="I221" i="32451"/>
  <c r="I153" i="32451"/>
  <c r="I66" i="32451"/>
  <c r="I390" i="32451"/>
  <c r="I343" i="32451"/>
  <c r="I568" i="32451"/>
  <c r="I571" i="32451"/>
  <c r="I579" i="32451"/>
  <c r="I410" i="32451"/>
  <c r="I139" i="32451"/>
  <c r="I172" i="32451"/>
  <c r="I190" i="32451"/>
  <c r="I164" i="32451"/>
  <c r="I185" i="32451"/>
  <c r="I242" i="32451"/>
  <c r="I131" i="32451"/>
  <c r="I191" i="32451"/>
  <c r="I176" i="32451"/>
  <c r="I125" i="32451"/>
  <c r="I69" i="32451"/>
  <c r="I249" i="32451"/>
  <c r="I244" i="32451"/>
  <c r="I229" i="32451"/>
  <c r="I162" i="32451"/>
  <c r="I178" i="32451"/>
  <c r="I259" i="32451"/>
  <c r="I180" i="32451"/>
  <c r="I193" i="32451"/>
  <c r="I65" i="32451"/>
  <c r="AK65" i="32451"/>
  <c r="I171" i="32451"/>
  <c r="I204" i="32451"/>
  <c r="I236" i="32451"/>
  <c r="I398" i="32451"/>
  <c r="I235" i="32451"/>
  <c r="I202" i="32451"/>
  <c r="I488" i="32451"/>
  <c r="I584" i="32451"/>
  <c r="I51" i="32451"/>
  <c r="I264" i="32451"/>
  <c r="I363" i="32451"/>
  <c r="I459" i="32451"/>
  <c r="I179" i="32451"/>
  <c r="I553" i="32451"/>
  <c r="I394" i="32451"/>
  <c r="I585" i="32451"/>
  <c r="I425" i="32451"/>
  <c r="I203" i="32451"/>
  <c r="I424" i="32451"/>
  <c r="I111" i="32451"/>
  <c r="I356" i="32451"/>
  <c r="I228" i="32451"/>
  <c r="I47" i="32451"/>
  <c r="I388" i="32451"/>
  <c r="I83" i="32451"/>
  <c r="I115" i="32451"/>
  <c r="I516" i="32451"/>
  <c r="I497" i="32451"/>
  <c r="I260" i="32451"/>
  <c r="I484" i="32451"/>
  <c r="I521" i="32451"/>
  <c r="I509" i="32451"/>
  <c r="I342" i="32451"/>
  <c r="AL521" i="32451"/>
  <c r="I482" i="32451"/>
  <c r="I471" i="32451"/>
  <c r="I446" i="32451"/>
  <c r="I499" i="32451"/>
  <c r="I225" i="32451"/>
  <c r="I113" i="32451"/>
  <c r="I431" i="32451"/>
  <c r="I141" i="32451"/>
  <c r="I465" i="32451"/>
  <c r="I207" i="32451"/>
  <c r="I45" i="32451"/>
  <c r="I237" i="32451"/>
  <c r="I557" i="32451"/>
  <c r="I161" i="32451"/>
  <c r="I275" i="32451"/>
  <c r="I205" i="32451"/>
  <c r="I49" i="32451"/>
  <c r="I209" i="32451"/>
  <c r="I109" i="32451"/>
  <c r="AL431" i="32451"/>
  <c r="I559" i="32451"/>
  <c r="I577" i="32451"/>
  <c r="I175" i="32451"/>
  <c r="I353" i="32451"/>
  <c r="I595" i="32451"/>
  <c r="I561" i="32451"/>
  <c r="I527" i="32451"/>
  <c r="I81" i="32451"/>
  <c r="I211" i="32451"/>
  <c r="I143" i="32451"/>
  <c r="I429" i="32451"/>
  <c r="I239" i="32451"/>
  <c r="I79" i="32451"/>
  <c r="AJ383" i="32451"/>
  <c r="AK398" i="32451"/>
  <c r="AL414" i="32451"/>
  <c r="AL581" i="32451"/>
  <c r="I576" i="32451"/>
  <c r="I277" i="32451"/>
  <c r="I262" i="32451"/>
  <c r="AK509" i="32451"/>
  <c r="AJ474" i="32451"/>
  <c r="AL516" i="32451"/>
  <c r="I377" i="32451"/>
  <c r="I514" i="32451"/>
  <c r="I442" i="32451"/>
  <c r="I513" i="32451"/>
  <c r="AR495" i="32451"/>
  <c r="I117" i="32451"/>
  <c r="I402" i="32451"/>
  <c r="I375" i="32451"/>
  <c r="AL575" i="32451"/>
  <c r="AJ384" i="32451"/>
  <c r="I403" i="32451"/>
  <c r="I487" i="32451"/>
  <c r="AJ487" i="32451"/>
  <c r="I583" i="32451"/>
  <c r="I276" i="32451"/>
  <c r="I92" i="32451"/>
  <c r="AL377" i="32451"/>
  <c r="AK358" i="32451"/>
  <c r="I358" i="32451"/>
  <c r="I502" i="32451"/>
  <c r="I420" i="32451"/>
  <c r="I478" i="32451"/>
  <c r="I435" i="32451"/>
  <c r="AJ514" i="32451"/>
  <c r="I350" i="32451"/>
  <c r="I538" i="32451"/>
  <c r="I206" i="32451"/>
  <c r="I384" i="32451"/>
  <c r="I596" i="32451"/>
  <c r="I573" i="32451"/>
  <c r="AL384" i="32451"/>
  <c r="I490" i="32451"/>
  <c r="I537" i="32451"/>
  <c r="I397" i="32451"/>
  <c r="AJ545" i="32451"/>
  <c r="I281" i="32451"/>
  <c r="AL390" i="32451"/>
  <c r="I530" i="32451"/>
  <c r="I486" i="32451"/>
  <c r="I701" i="32451"/>
  <c r="E670" i="32498" s="1"/>
  <c r="I489" i="32451"/>
  <c r="I462" i="32451"/>
  <c r="I472" i="32451"/>
  <c r="I454" i="32451"/>
  <c r="I339" i="32451"/>
  <c r="I340" i="32451"/>
  <c r="AK343" i="32451"/>
  <c r="I279" i="32451"/>
  <c r="AJ570" i="32451"/>
  <c r="AK486" i="32451"/>
  <c r="I71" i="32451"/>
  <c r="I121" i="32451"/>
  <c r="I253" i="32451"/>
  <c r="AL56" i="32451"/>
  <c r="I106" i="32451"/>
  <c r="I368" i="32451"/>
  <c r="I580" i="32451"/>
  <c r="I116" i="32451"/>
  <c r="I234" i="32451"/>
  <c r="I95" i="32451"/>
  <c r="I138" i="32451"/>
  <c r="I157" i="32451"/>
  <c r="I224" i="32451"/>
  <c r="I400" i="32451"/>
  <c r="I196" i="32451"/>
  <c r="I238" i="32451"/>
  <c r="I376" i="32451"/>
  <c r="I460" i="32451"/>
  <c r="I263" i="32451"/>
  <c r="I147" i="32451"/>
  <c r="I128" i="32451"/>
  <c r="I261" i="32451"/>
  <c r="I194" i="32451"/>
  <c r="I213" i="32451"/>
  <c r="I129" i="32451"/>
  <c r="I251" i="32451"/>
  <c r="I574" i="32451"/>
  <c r="I75" i="32451"/>
  <c r="I73" i="32451"/>
  <c r="I154" i="32451"/>
  <c r="I67" i="32451"/>
  <c r="I198" i="32451"/>
  <c r="I223" i="32451"/>
  <c r="I233" i="32451"/>
  <c r="I151" i="32451"/>
  <c r="I230" i="32451"/>
  <c r="I80" i="32451"/>
  <c r="I243" i="32451"/>
  <c r="I165" i="32451"/>
  <c r="I200" i="32451"/>
  <c r="I99" i="32451"/>
  <c r="I173" i="32451"/>
  <c r="I177" i="32451"/>
  <c r="I364" i="32451"/>
  <c r="I278" i="32451"/>
  <c r="I137" i="32451"/>
  <c r="I192" i="32451"/>
  <c r="I241" i="32451"/>
  <c r="I77" i="32451"/>
  <c r="I166" i="32451"/>
  <c r="I222" i="32451"/>
  <c r="I186" i="32451"/>
  <c r="I145" i="32451"/>
  <c r="I439" i="32451"/>
  <c r="I159" i="32451"/>
  <c r="I256" i="32451"/>
  <c r="AJ438" i="32451"/>
  <c r="AL394" i="32451"/>
  <c r="AJ565" i="32451"/>
  <c r="AL565" i="32451"/>
  <c r="AL409" i="32451"/>
  <c r="AJ409" i="32451"/>
  <c r="I409" i="32451"/>
  <c r="AJ401" i="32451"/>
  <c r="AK500" i="32451"/>
  <c r="I500" i="32451"/>
  <c r="I338" i="32451"/>
  <c r="I345" i="32451"/>
  <c r="I444" i="32451"/>
  <c r="I543" i="32451"/>
  <c r="I515" i="32451"/>
  <c r="I542" i="32451"/>
  <c r="I647" i="32451"/>
  <c r="I562" i="32451"/>
  <c r="I405" i="32451"/>
  <c r="I396" i="32451"/>
  <c r="I477" i="32451"/>
  <c r="AL562" i="32451"/>
  <c r="AK537" i="32451"/>
  <c r="AL405" i="32451"/>
  <c r="AK482" i="32451"/>
  <c r="AJ471" i="32451"/>
  <c r="AJ482" i="32451"/>
  <c r="AJ562" i="32451"/>
  <c r="I698" i="32451"/>
  <c r="I532" i="32451"/>
  <c r="I391" i="32451"/>
  <c r="I503" i="32451"/>
  <c r="I495" i="32451"/>
  <c r="I575" i="32451"/>
  <c r="I523" i="32451"/>
  <c r="I382" i="32451"/>
  <c r="I272" i="32451"/>
  <c r="AJ440" i="32451"/>
  <c r="AJ282" i="32451"/>
  <c r="AJ464" i="32451"/>
  <c r="AJ405" i="32451"/>
  <c r="AJ408" i="32451"/>
  <c r="AJ504" i="32451"/>
  <c r="AJ534" i="32451"/>
  <c r="AL350" i="32451"/>
  <c r="AK382" i="32451"/>
  <c r="AK464" i="32451"/>
  <c r="AK405" i="32451"/>
  <c r="AL504" i="32451"/>
  <c r="AL534" i="32451"/>
  <c r="AJ560" i="32451"/>
  <c r="AL459" i="32451"/>
  <c r="AL560" i="32451"/>
  <c r="AL391" i="32451"/>
  <c r="AL421" i="32451"/>
  <c r="AJ459" i="32451"/>
  <c r="AJ478" i="32451"/>
  <c r="AJ398" i="32451"/>
  <c r="AL518" i="32451"/>
  <c r="AL479" i="32451"/>
  <c r="AL373" i="32451"/>
  <c r="AL282" i="32451"/>
  <c r="AL471" i="32451"/>
  <c r="AK560" i="32451"/>
  <c r="AK596" i="32451"/>
  <c r="AK421" i="32451"/>
  <c r="I693" i="32451"/>
  <c r="AJ518" i="32451"/>
  <c r="AJ425" i="32451"/>
  <c r="AJ388" i="32451"/>
  <c r="AK518" i="32451"/>
  <c r="AK373" i="32451"/>
  <c r="AL440" i="32451"/>
  <c r="AK282" i="32451"/>
  <c r="AL356" i="32451"/>
  <c r="AL398" i="32451"/>
  <c r="I265" i="32451"/>
  <c r="AJ435" i="32451"/>
  <c r="AL389" i="32451"/>
  <c r="AL425" i="32451"/>
  <c r="AL408" i="32451"/>
  <c r="I547" i="32451"/>
  <c r="I540" i="32451"/>
  <c r="I450" i="32451"/>
  <c r="I525" i="32451"/>
  <c r="I533" i="32451"/>
  <c r="I341" i="32451"/>
  <c r="I593" i="32451"/>
  <c r="I582" i="32451"/>
  <c r="AL539" i="32451"/>
  <c r="I552" i="32451"/>
  <c r="I434" i="32451"/>
  <c r="I380" i="32451"/>
  <c r="I447" i="32451"/>
  <c r="I407" i="32451"/>
  <c r="I432" i="32451"/>
  <c r="I548" i="32451"/>
  <c r="I457" i="32451"/>
  <c r="I426" i="32451"/>
  <c r="I455" i="32451"/>
  <c r="I355" i="32451"/>
  <c r="I357" i="32451"/>
  <c r="I365" i="32451"/>
  <c r="I385" i="32451"/>
  <c r="I349" i="32451"/>
  <c r="AJ451" i="32451"/>
  <c r="AJ340" i="32451"/>
  <c r="AJ484" i="32451"/>
  <c r="AJ555" i="32451"/>
  <c r="AK488" i="32451"/>
  <c r="AL386" i="32451"/>
  <c r="I567" i="32451"/>
  <c r="I448" i="32451"/>
  <c r="I347" i="32451"/>
  <c r="I372" i="32451"/>
  <c r="I528" i="32451"/>
  <c r="AJ415" i="32451"/>
  <c r="AJ553" i="32451"/>
  <c r="AL501" i="32451"/>
  <c r="AL570" i="32451"/>
  <c r="I648" i="32451"/>
  <c r="AJ488" i="32451"/>
  <c r="AK553" i="32451"/>
  <c r="I362" i="32451"/>
  <c r="I496" i="32451"/>
  <c r="AJ597" i="32451"/>
  <c r="AL353" i="32451"/>
  <c r="AL484" i="32451"/>
  <c r="I555" i="32451"/>
  <c r="I501" i="32451"/>
  <c r="I524" i="32451"/>
  <c r="I451" i="32451"/>
  <c r="AJ353" i="32451"/>
  <c r="AJ579" i="32451"/>
  <c r="AL557" i="32451"/>
  <c r="AL528" i="32451"/>
  <c r="AK415" i="32451"/>
  <c r="AL488" i="32451"/>
  <c r="AK484" i="32451"/>
  <c r="AK480" i="32451"/>
  <c r="AL374" i="32451"/>
  <c r="I352" i="32451"/>
  <c r="I589" i="32451"/>
  <c r="I427" i="32451"/>
  <c r="I430" i="32451"/>
  <c r="I498" i="32451"/>
  <c r="I378" i="32451"/>
  <c r="I492" i="32451"/>
  <c r="I569" i="32451"/>
  <c r="I456" i="32451"/>
  <c r="I441" i="32451"/>
  <c r="I452" i="32451"/>
  <c r="I359" i="32451"/>
  <c r="I392" i="32451"/>
  <c r="I558" i="32451"/>
  <c r="I413" i="32451"/>
  <c r="I491" i="32451"/>
  <c r="I417" i="32451"/>
  <c r="I428" i="32451"/>
  <c r="I659" i="32451"/>
  <c r="I393" i="32451"/>
  <c r="I361" i="32451"/>
  <c r="I507" i="32451"/>
  <c r="I360" i="32451"/>
  <c r="I588" i="32451"/>
  <c r="I351" i="32451"/>
  <c r="I371" i="32451"/>
  <c r="I404" i="32451"/>
  <c r="I536" i="32451"/>
  <c r="I354" i="32451"/>
  <c r="I370" i="32451"/>
  <c r="I493" i="32451"/>
  <c r="I473" i="32451"/>
  <c r="I551" i="32451"/>
  <c r="I399" i="32451"/>
  <c r="AL564" i="32451"/>
  <c r="I422" i="32451"/>
  <c r="I461" i="32451"/>
  <c r="I411" i="32451"/>
  <c r="AL359" i="32451"/>
  <c r="I270" i="32451"/>
  <c r="AJ394" i="32451"/>
  <c r="AJ348" i="32451"/>
  <c r="AJ516" i="32451"/>
  <c r="AJ521" i="32451"/>
  <c r="AJ419" i="32451"/>
  <c r="AJ342" i="32451"/>
  <c r="AK394" i="32451"/>
  <c r="AK338" i="32451"/>
  <c r="AK516" i="32451"/>
  <c r="AJ535" i="32451"/>
  <c r="I274" i="32451"/>
  <c r="AK565" i="32451"/>
  <c r="AL436" i="32451"/>
  <c r="AK594" i="32451"/>
  <c r="AL419" i="32451"/>
  <c r="I268" i="32451"/>
  <c r="AJ524" i="32451"/>
  <c r="AJ528" i="32451"/>
  <c r="AJ489" i="32451"/>
  <c r="AJ445" i="32451"/>
  <c r="AJ339" i="32451"/>
  <c r="AJ343" i="32451"/>
  <c r="AJ386" i="32451"/>
  <c r="AK528" i="32451"/>
  <c r="AK462" i="32451"/>
  <c r="AL566" i="32451"/>
  <c r="AK386" i="32451"/>
  <c r="AK448" i="32451"/>
  <c r="I597" i="32451"/>
  <c r="I449" i="32451"/>
  <c r="I512" i="32451"/>
  <c r="AJ585" i="32451"/>
  <c r="AJ390" i="32451"/>
  <c r="AJ568" i="32451"/>
  <c r="AJ424" i="32451"/>
  <c r="AL597" i="32451"/>
  <c r="AL449" i="32451"/>
  <c r="AL347" i="32451"/>
  <c r="AL343" i="32451"/>
  <c r="I344" i="32451"/>
  <c r="I545" i="32451"/>
  <c r="I566" i="32451"/>
  <c r="I280" i="32451"/>
  <c r="AJ344" i="32451"/>
  <c r="AL412" i="32451"/>
  <c r="AK508" i="32451"/>
  <c r="AK472" i="32451"/>
  <c r="AK390" i="32451"/>
  <c r="AK568" i="32451"/>
  <c r="AK579" i="32451"/>
  <c r="AK374" i="32451"/>
  <c r="I673" i="32451"/>
  <c r="I546" i="32451"/>
  <c r="I556" i="32451"/>
  <c r="I544" i="32451"/>
  <c r="I433" i="32451"/>
  <c r="I271" i="32451"/>
  <c r="I590" i="32451"/>
  <c r="I554" i="32451"/>
  <c r="I481" i="32451"/>
  <c r="I526" i="32451"/>
  <c r="AL529" i="32451"/>
  <c r="I269" i="32451"/>
  <c r="I463" i="32451"/>
  <c r="I369" i="32451"/>
  <c r="I467" i="32451"/>
  <c r="AJ468" i="32451"/>
  <c r="AK473" i="32451"/>
  <c r="AK551" i="32451"/>
  <c r="I564" i="32451"/>
  <c r="I591" i="32451"/>
  <c r="AL591" i="32451"/>
  <c r="I578" i="32451"/>
  <c r="AK578" i="32451"/>
  <c r="I529" i="32451"/>
  <c r="AL493" i="32451"/>
  <c r="I468" i="32451"/>
  <c r="I563" i="32451"/>
  <c r="AK483" i="32451"/>
  <c r="AL494" i="32451"/>
  <c r="I466" i="32451"/>
  <c r="I437" i="32451"/>
  <c r="I267" i="32451"/>
  <c r="I273" i="32451"/>
  <c r="AL511" i="32451"/>
  <c r="AK476" i="32451"/>
  <c r="I522" i="32451"/>
  <c r="I598" i="32451"/>
  <c r="AJ584" i="32451"/>
  <c r="I476" i="32451"/>
  <c r="I381" i="32451"/>
  <c r="AK406" i="32451"/>
  <c r="AL439" i="32451"/>
  <c r="AL470" i="32451"/>
  <c r="I520" i="32451"/>
  <c r="I505" i="32451"/>
  <c r="I550" i="32451"/>
  <c r="AL526" i="32451"/>
  <c r="AJ546" i="32451"/>
  <c r="AL590" i="32451"/>
  <c r="AJ370" i="32451"/>
  <c r="AK556" i="32451"/>
  <c r="AJ411" i="32451"/>
  <c r="AJ406" i="32451"/>
  <c r="AJ511" i="32451"/>
  <c r="AK470" i="32451"/>
  <c r="I649" i="32451"/>
  <c r="AJ437" i="32451"/>
  <c r="AJ381" i="32451"/>
  <c r="AJ483" i="32451"/>
  <c r="AL400" i="32451"/>
  <c r="I266" i="32451"/>
  <c r="AJ574" i="32451"/>
  <c r="AK466" i="32451"/>
  <c r="AK550" i="32451"/>
  <c r="AQ618" i="32451"/>
  <c r="I602" i="32451"/>
  <c r="AK461" i="32451"/>
  <c r="AK463" i="32451"/>
  <c r="I674" i="32451"/>
  <c r="AJ682" i="32451"/>
  <c r="AQ626" i="32451"/>
  <c r="AK617" i="32451"/>
  <c r="AR316" i="32451"/>
  <c r="I622" i="32451"/>
  <c r="I700" i="32451"/>
  <c r="AR612" i="32451"/>
  <c r="I600" i="32451"/>
  <c r="I617" i="32451"/>
  <c r="I682" i="32451"/>
  <c r="I669" i="32451"/>
  <c r="I609" i="32451"/>
  <c r="I684" i="32451"/>
  <c r="I681" i="32451"/>
  <c r="I616" i="32451"/>
  <c r="I685" i="32451"/>
  <c r="I599" i="32451"/>
  <c r="AS282" i="32451"/>
  <c r="AT282" i="32451"/>
  <c r="AS592" i="32451"/>
  <c r="AT592" i="32451"/>
  <c r="AS590" i="32451"/>
  <c r="AT590" i="32451"/>
  <c r="AS594" i="32451"/>
  <c r="AT594" i="32451"/>
  <c r="AQ282" i="32451"/>
  <c r="AR282" i="32451"/>
  <c r="AT597" i="32451"/>
  <c r="AS597" i="32451"/>
  <c r="AK369" i="32451"/>
  <c r="AK403" i="32451"/>
  <c r="I697" i="32451"/>
  <c r="I699" i="32451"/>
  <c r="I367" i="32451"/>
  <c r="AJ367" i="32451"/>
  <c r="I696" i="32451"/>
  <c r="AS595" i="32451"/>
  <c r="AS591" i="32451"/>
  <c r="AT591" i="32451"/>
  <c r="AS570" i="32451"/>
  <c r="AT570" i="32451"/>
  <c r="AT484" i="32451"/>
  <c r="AS565" i="32451"/>
  <c r="AT565" i="32451"/>
  <c r="AS483" i="32451"/>
  <c r="AT483" i="32451"/>
  <c r="AS408" i="32451"/>
  <c r="AT408" i="32451"/>
  <c r="AS579" i="32451"/>
  <c r="AT579" i="32451"/>
  <c r="AS510" i="32451"/>
  <c r="AT510" i="32451"/>
  <c r="AS421" i="32451"/>
  <c r="AT421" i="32451"/>
  <c r="AS549" i="32451"/>
  <c r="AT549" i="32451"/>
  <c r="AS383" i="32451"/>
  <c r="AT383" i="32451"/>
  <c r="AT553" i="32451"/>
  <c r="AS557" i="32451"/>
  <c r="AT557" i="32451"/>
  <c r="AS518" i="32451"/>
  <c r="AT518" i="32451"/>
  <c r="AS479" i="32451"/>
  <c r="AT479" i="32451"/>
  <c r="AS348" i="32451"/>
  <c r="AT348" i="32451"/>
  <c r="AS474" i="32451"/>
  <c r="AT474" i="32451"/>
  <c r="AS356" i="32451"/>
  <c r="AT356" i="32451"/>
  <c r="AS453" i="32451"/>
  <c r="AT453" i="32451"/>
  <c r="AS581" i="32451"/>
  <c r="AT581" i="32451"/>
  <c r="AS379" i="32451"/>
  <c r="AT379" i="32451"/>
  <c r="AS550" i="32451"/>
  <c r="AT550" i="32451"/>
  <c r="AS425" i="32451"/>
  <c r="AT425" i="32451"/>
  <c r="I671" i="32451"/>
  <c r="AS526" i="32451"/>
  <c r="AT526" i="32451"/>
  <c r="AS528" i="32451"/>
  <c r="AT528" i="32451"/>
  <c r="AS482" i="32451"/>
  <c r="AT482" i="32451"/>
  <c r="AS359" i="32451"/>
  <c r="AT359" i="32451"/>
  <c r="AS470" i="32451"/>
  <c r="AT470" i="32451"/>
  <c r="AS516" i="32451"/>
  <c r="AT516" i="32451"/>
  <c r="AS459" i="32451"/>
  <c r="AT459" i="32451"/>
  <c r="AS508" i="32451"/>
  <c r="AT508" i="32451"/>
  <c r="AS509" i="32451"/>
  <c r="AT509" i="32451"/>
  <c r="AS475" i="32451"/>
  <c r="AT475" i="32451"/>
  <c r="AS350" i="32451"/>
  <c r="AT350" i="32451"/>
  <c r="AT431" i="32451"/>
  <c r="AS377" i="32451"/>
  <c r="AT377" i="32451"/>
  <c r="AS571" i="32451"/>
  <c r="AT571" i="32451"/>
  <c r="AS416" i="32451"/>
  <c r="AT416" i="32451"/>
  <c r="AS471" i="32451"/>
  <c r="AT471" i="32451"/>
  <c r="AS391" i="32451"/>
  <c r="AT391" i="32451"/>
  <c r="AS480" i="32451"/>
  <c r="AT480" i="32451"/>
  <c r="AS446" i="32451"/>
  <c r="AT446" i="32451"/>
  <c r="AS449" i="32451"/>
  <c r="AS560" i="32451"/>
  <c r="AT560" i="32451"/>
  <c r="AS409" i="32451"/>
  <c r="AT409" i="32451"/>
  <c r="AS568" i="32451"/>
  <c r="AT568" i="32451"/>
  <c r="AS494" i="32451"/>
  <c r="AT494" i="32451"/>
  <c r="AS410" i="32451"/>
  <c r="AT410" i="32451"/>
  <c r="AS539" i="32451"/>
  <c r="AT539" i="32451"/>
  <c r="AS389" i="32451"/>
  <c r="AT389" i="32451"/>
  <c r="AS517" i="32451"/>
  <c r="AT517" i="32451"/>
  <c r="AT566" i="32451"/>
  <c r="AS464" i="32451"/>
  <c r="AT464" i="32451"/>
  <c r="AS478" i="32451"/>
  <c r="AT478" i="32451"/>
  <c r="AS511" i="32451"/>
  <c r="AT511" i="32451"/>
  <c r="AT442" i="32451"/>
  <c r="AS419" i="32451"/>
  <c r="AT419" i="32451"/>
  <c r="AS394" i="32451"/>
  <c r="AT394" i="32451"/>
  <c r="AS375" i="32451"/>
  <c r="AT375" i="32451"/>
  <c r="AS400" i="32451"/>
  <c r="AT400" i="32451"/>
  <c r="AS577" i="32451"/>
  <c r="AT577" i="32451"/>
  <c r="AS534" i="32451"/>
  <c r="AT534" i="32451"/>
  <c r="AS521" i="32451"/>
  <c r="AT521" i="32451"/>
  <c r="AS439" i="32451"/>
  <c r="AT439" i="32451"/>
  <c r="AT575" i="32451"/>
  <c r="AS529" i="32451"/>
  <c r="AT529" i="32451"/>
  <c r="AS390" i="32451"/>
  <c r="AT390" i="32451"/>
  <c r="AS414" i="32451"/>
  <c r="AT414" i="32451"/>
  <c r="AS504" i="32451"/>
  <c r="AT504" i="32451"/>
  <c r="AS342" i="32451"/>
  <c r="AT342" i="32451"/>
  <c r="AS373" i="32451"/>
  <c r="AT373" i="32451"/>
  <c r="AS501" i="32451"/>
  <c r="AT501" i="32451"/>
  <c r="AS384" i="32451"/>
  <c r="AT384" i="32451"/>
  <c r="AS398" i="32451"/>
  <c r="AT398" i="32451"/>
  <c r="AT388" i="32451"/>
  <c r="AS493" i="32451"/>
  <c r="AT493" i="32451"/>
  <c r="AS564" i="32451"/>
  <c r="AT564" i="32451"/>
  <c r="AS402" i="32451"/>
  <c r="AT402" i="32451"/>
  <c r="AS488" i="32451"/>
  <c r="AT488" i="32451"/>
  <c r="AS436" i="32451"/>
  <c r="AT436" i="32451"/>
  <c r="AS562" i="32451"/>
  <c r="AT562" i="32451"/>
  <c r="AS405" i="32451"/>
  <c r="AT405" i="32451"/>
  <c r="AS353" i="32451"/>
  <c r="AT353" i="32451"/>
  <c r="AS476" i="32451"/>
  <c r="AT476" i="32451"/>
  <c r="AS386" i="32451"/>
  <c r="AT386" i="32451"/>
  <c r="AS374" i="32451"/>
  <c r="AT374" i="32451"/>
  <c r="AS412" i="32451"/>
  <c r="AT412" i="32451"/>
  <c r="AT524" i="32451"/>
  <c r="AS535" i="32451"/>
  <c r="AT535" i="32451"/>
  <c r="I614" i="32451"/>
  <c r="AQ381" i="32451"/>
  <c r="AR381" i="32451"/>
  <c r="AQ509" i="32451"/>
  <c r="AR509" i="32451"/>
  <c r="AQ537" i="32451"/>
  <c r="AR537" i="32451"/>
  <c r="AQ617" i="32451"/>
  <c r="AR617" i="32451"/>
  <c r="AQ410" i="32451"/>
  <c r="AR410" i="32451"/>
  <c r="AQ539" i="32451"/>
  <c r="AR539" i="32451"/>
  <c r="AQ500" i="32451"/>
  <c r="AR500" i="32451"/>
  <c r="AQ389" i="32451"/>
  <c r="AR389" i="32451"/>
  <c r="AQ517" i="32451"/>
  <c r="AR517" i="32451"/>
  <c r="AQ464" i="32451"/>
  <c r="AR464" i="32451"/>
  <c r="AQ461" i="32451"/>
  <c r="AR461" i="32451"/>
  <c r="AQ521" i="32451"/>
  <c r="AQ472" i="32451"/>
  <c r="AR472" i="32451"/>
  <c r="AQ390" i="32451"/>
  <c r="AR390" i="32451"/>
  <c r="AQ345" i="32451"/>
  <c r="AQ596" i="32451"/>
  <c r="AR596" i="32451"/>
  <c r="AQ414" i="32451"/>
  <c r="AR414" i="32451"/>
  <c r="AQ503" i="32451"/>
  <c r="AR503" i="32451"/>
  <c r="AQ448" i="32451"/>
  <c r="AR448" i="32451"/>
  <c r="AQ504" i="32451"/>
  <c r="AR504" i="32451"/>
  <c r="AQ409" i="32451"/>
  <c r="AR409" i="32451"/>
  <c r="AQ585" i="32451"/>
  <c r="AR585" i="32451"/>
  <c r="AQ373" i="32451"/>
  <c r="AR373" i="32451"/>
  <c r="AQ501" i="32451"/>
  <c r="AR501" i="32451"/>
  <c r="AQ470" i="32451"/>
  <c r="AR470" i="32451"/>
  <c r="AQ516" i="32451"/>
  <c r="AR516" i="32451"/>
  <c r="AQ508" i="32451"/>
  <c r="AR508" i="32451"/>
  <c r="AR384" i="32451"/>
  <c r="AQ398" i="32451"/>
  <c r="AR398" i="32451"/>
  <c r="AQ568" i="32451"/>
  <c r="AR568" i="32451"/>
  <c r="AQ388" i="32451"/>
  <c r="AR388" i="32451"/>
  <c r="AR595" i="32451"/>
  <c r="AQ363" i="32451"/>
  <c r="AQ463" i="32451"/>
  <c r="AR463" i="32451"/>
  <c r="AQ369" i="32451"/>
  <c r="AR369" i="32451"/>
  <c r="AQ594" i="32451"/>
  <c r="AR594" i="32451"/>
  <c r="AQ486" i="32451"/>
  <c r="AR486" i="32451"/>
  <c r="AQ348" i="32451"/>
  <c r="AR348" i="32451"/>
  <c r="AQ462" i="32451"/>
  <c r="AR462" i="32451"/>
  <c r="AQ635" i="32451"/>
  <c r="AR635" i="32451"/>
  <c r="AQ578" i="32451"/>
  <c r="AR578" i="32451"/>
  <c r="AQ439" i="32451"/>
  <c r="AR439" i="32451"/>
  <c r="AQ560" i="32451"/>
  <c r="AR560" i="32451"/>
  <c r="AQ556" i="32451"/>
  <c r="AR556" i="32451"/>
  <c r="AQ488" i="32451"/>
  <c r="AQ436" i="32451"/>
  <c r="AR436" i="32451"/>
  <c r="AQ562" i="32451"/>
  <c r="AR562" i="32451"/>
  <c r="AQ702" i="32451"/>
  <c r="AR702" i="32451"/>
  <c r="AQ405" i="32451"/>
  <c r="AR405" i="32451"/>
  <c r="AQ476" i="32451"/>
  <c r="AR476" i="32451"/>
  <c r="AQ386" i="32451"/>
  <c r="AR386" i="32451"/>
  <c r="AQ374" i="32451"/>
  <c r="AR374" i="32451"/>
  <c r="AQ412" i="32451"/>
  <c r="AR412" i="32451"/>
  <c r="AQ524" i="32451"/>
  <c r="AR524" i="32451"/>
  <c r="AQ356" i="32451"/>
  <c r="AR356" i="32451"/>
  <c r="AQ535" i="32451"/>
  <c r="AR535" i="32451"/>
  <c r="AQ382" i="32451"/>
  <c r="AR382" i="32451"/>
  <c r="AQ475" i="32451"/>
  <c r="AR475" i="32451"/>
  <c r="AQ442" i="32451"/>
  <c r="AQ484" i="32451"/>
  <c r="AR484" i="32451"/>
  <c r="AQ419" i="32451"/>
  <c r="AR419" i="32451"/>
  <c r="AQ342" i="32451"/>
  <c r="AR342" i="32451"/>
  <c r="AQ394" i="32451"/>
  <c r="AR394" i="32451"/>
  <c r="AQ565" i="32451"/>
  <c r="AR565" i="32451"/>
  <c r="AQ445" i="32451"/>
  <c r="AR445" i="32451"/>
  <c r="AQ403" i="32451"/>
  <c r="AR403" i="32451"/>
  <c r="AQ391" i="32451"/>
  <c r="AR391" i="32451"/>
  <c r="AQ480" i="32451"/>
  <c r="AR480" i="32451"/>
  <c r="AQ483" i="32451"/>
  <c r="AR483" i="32451"/>
  <c r="AQ473" i="32451"/>
  <c r="AR473" i="32451"/>
  <c r="AQ579" i="32451"/>
  <c r="AR579" i="32451"/>
  <c r="AQ510" i="32451"/>
  <c r="AR510" i="32451"/>
  <c r="AQ421" i="32451"/>
  <c r="AR421" i="32451"/>
  <c r="AQ553" i="32451"/>
  <c r="AR553" i="32451"/>
  <c r="AQ518" i="32451"/>
  <c r="AR518" i="32451"/>
  <c r="AQ479" i="32451"/>
  <c r="AR479" i="32451"/>
  <c r="AQ338" i="32451"/>
  <c r="AR338" i="32451"/>
  <c r="AQ466" i="32451"/>
  <c r="AR466" i="32451"/>
  <c r="AR474" i="32451"/>
  <c r="AQ592" i="32451"/>
  <c r="AR592" i="32451"/>
  <c r="AR454" i="32451"/>
  <c r="AQ415" i="32451"/>
  <c r="AR415" i="32451"/>
  <c r="AQ453" i="32451"/>
  <c r="AR453" i="32451"/>
  <c r="AQ581" i="32451"/>
  <c r="AR581" i="32451"/>
  <c r="AQ379" i="32451"/>
  <c r="AR379" i="32451"/>
  <c r="AQ550" i="32451"/>
  <c r="AR550" i="32451"/>
  <c r="AQ471" i="32451"/>
  <c r="AR471" i="32451"/>
  <c r="AQ406" i="32451"/>
  <c r="AR406" i="32451"/>
  <c r="AQ408" i="32451"/>
  <c r="AR408" i="32451"/>
  <c r="AQ597" i="32451"/>
  <c r="AR597" i="32451"/>
  <c r="AQ343" i="32451"/>
  <c r="AR343" i="32451"/>
  <c r="AQ571" i="32451"/>
  <c r="AR571" i="32451"/>
  <c r="AQ551" i="32451"/>
  <c r="AR551" i="32451"/>
  <c r="AQ416" i="32451"/>
  <c r="AR416" i="32451"/>
  <c r="AQ543" i="32451"/>
  <c r="AR543" i="32451"/>
  <c r="AQ534" i="32451"/>
  <c r="AR534" i="32451"/>
  <c r="AQ358" i="32451"/>
  <c r="AR358" i="32451"/>
  <c r="AQ528" i="32451"/>
  <c r="AR528" i="32451"/>
  <c r="AR482" i="32451"/>
  <c r="AQ643" i="32451"/>
  <c r="AR643" i="32451"/>
  <c r="I607" i="32451"/>
  <c r="I633" i="32451"/>
  <c r="I676" i="32451"/>
  <c r="I632" i="32451"/>
  <c r="I635" i="32451"/>
  <c r="I610" i="32451"/>
  <c r="AJ673" i="32451"/>
  <c r="I603" i="32451"/>
  <c r="I625" i="32451"/>
  <c r="I687" i="32451"/>
  <c r="I613" i="32451"/>
  <c r="I624" i="32451"/>
  <c r="I604" i="32451"/>
  <c r="I630" i="32451"/>
  <c r="I618" i="32451"/>
  <c r="I690" i="32451"/>
  <c r="I615" i="32451"/>
  <c r="I612" i="32451"/>
  <c r="I634" i="32451"/>
  <c r="I691" i="32451"/>
  <c r="I668" i="32451"/>
  <c r="I605" i="32451"/>
  <c r="I303" i="32451"/>
  <c r="I601" i="32451"/>
  <c r="I628" i="32451"/>
  <c r="I675" i="32451"/>
  <c r="I608" i="32451"/>
  <c r="I689" i="32451"/>
  <c r="I680" i="32451"/>
  <c r="I686" i="32451"/>
  <c r="I636" i="32451"/>
  <c r="I611" i="32451"/>
  <c r="I670" i="32451"/>
  <c r="I672" i="32451"/>
  <c r="I678" i="32451"/>
  <c r="I623" i="32451"/>
  <c r="I621" i="32451"/>
  <c r="I294" i="32451"/>
  <c r="I299" i="32451"/>
  <c r="I311" i="32451"/>
  <c r="I683" i="32451"/>
  <c r="I606" i="32451"/>
  <c r="I302" i="32451"/>
  <c r="I285" i="32451"/>
  <c r="I296" i="32451"/>
  <c r="I292" i="32451"/>
  <c r="I306" i="32451"/>
  <c r="I286" i="32451"/>
  <c r="I313" i="32451"/>
  <c r="I677" i="32451"/>
  <c r="I290" i="32451"/>
  <c r="I291" i="32451"/>
  <c r="I310" i="32451"/>
  <c r="I284" i="32451"/>
  <c r="I300" i="32451"/>
  <c r="I287" i="32451"/>
  <c r="I288" i="32451"/>
  <c r="I619" i="32451"/>
  <c r="I298" i="32451"/>
  <c r="I297" i="32451"/>
  <c r="I679" i="32451"/>
  <c r="I688" i="32451"/>
  <c r="I283" i="32451"/>
  <c r="I295" i="32451"/>
  <c r="I293" i="32451"/>
  <c r="I631" i="32451"/>
  <c r="I308" i="32451"/>
  <c r="I314" i="32451"/>
  <c r="I304" i="32451"/>
  <c r="I289" i="32451"/>
  <c r="I312" i="32451"/>
  <c r="I309" i="32451"/>
  <c r="I629" i="32451"/>
  <c r="I626" i="32451"/>
  <c r="I336" i="32451"/>
  <c r="I321" i="32451"/>
  <c r="I318" i="32451"/>
  <c r="I331" i="32451"/>
  <c r="I316" i="32451"/>
  <c r="I305" i="32451"/>
  <c r="I323" i="32451"/>
  <c r="I317" i="32451"/>
  <c r="I320" i="32451"/>
  <c r="I330" i="32451"/>
  <c r="I319" i="32451"/>
  <c r="I329" i="32451"/>
  <c r="I322" i="32451"/>
  <c r="I315" i="32451"/>
  <c r="I325" i="32451"/>
  <c r="I337" i="32451"/>
  <c r="I307" i="32451"/>
  <c r="I301" i="32451"/>
  <c r="I335" i="32451"/>
  <c r="I333" i="32451"/>
  <c r="I324" i="32451"/>
  <c r="I332" i="32451"/>
  <c r="I327" i="32451"/>
  <c r="I326" i="32451"/>
  <c r="I328" i="32451"/>
  <c r="I334" i="32451"/>
  <c r="AK635" i="32451"/>
  <c r="I662" i="32451"/>
  <c r="I641" i="32451"/>
  <c r="I645" i="32451"/>
  <c r="I663" i="32451"/>
  <c r="I664" i="32451"/>
  <c r="I655" i="32451"/>
  <c r="I656" i="32451"/>
  <c r="I702" i="32451"/>
  <c r="I653" i="32451"/>
  <c r="I651" i="32451"/>
  <c r="I666" i="32451"/>
  <c r="I703" i="32451"/>
  <c r="I650" i="32451"/>
  <c r="I658" i="32451"/>
  <c r="I661" i="32451"/>
  <c r="I639" i="32451"/>
  <c r="I657" i="32451"/>
  <c r="I652" i="32451"/>
  <c r="I654" i="32451"/>
  <c r="I638" i="32451"/>
  <c r="I642" i="32451"/>
  <c r="I643" i="32451"/>
  <c r="I667" i="32451"/>
  <c r="AK643" i="32451"/>
  <c r="I660" i="32451"/>
  <c r="AJ54" i="32451"/>
  <c r="AK58" i="32451"/>
  <c r="AK62" i="32451"/>
  <c r="AJ35" i="32451"/>
  <c r="AL43" i="32451"/>
  <c r="AK36" i="32451"/>
  <c r="AK34" i="32451"/>
  <c r="AL40" i="32451"/>
  <c r="AJ57" i="32451"/>
  <c r="AK59" i="32451"/>
  <c r="AK50" i="32451"/>
  <c r="AK48" i="32451"/>
  <c r="AL53" i="32451"/>
  <c r="AL65" i="32451"/>
  <c r="AJ61" i="32451"/>
  <c r="AL54" i="32451"/>
  <c r="AJ58" i="32451"/>
  <c r="AL35" i="32451"/>
  <c r="AK43" i="32451"/>
  <c r="AJ59" i="32451"/>
  <c r="AJ50" i="32451"/>
  <c r="AJ48" i="32451"/>
  <c r="AK61" i="32451"/>
  <c r="AK54" i="32451"/>
  <c r="AL58" i="32451"/>
  <c r="AJ64" i="32451"/>
  <c r="AK35" i="32451"/>
  <c r="AJ37" i="32451"/>
  <c r="AK39" i="32451"/>
  <c r="AJ63" i="32451"/>
  <c r="AL59" i="32451"/>
  <c r="AL50" i="32451"/>
  <c r="AL48" i="32451"/>
  <c r="AK52" i="32451"/>
  <c r="AK38" i="32451"/>
  <c r="AL61" i="32451"/>
  <c r="AL64" i="32451"/>
  <c r="AK37" i="32451"/>
  <c r="AJ39" i="32451"/>
  <c r="AL63" i="32451"/>
  <c r="AJ52" i="32451"/>
  <c r="AJ38" i="32451"/>
  <c r="AJ42" i="32451"/>
  <c r="AK64" i="32451"/>
  <c r="AL37" i="32451"/>
  <c r="AL39" i="32451"/>
  <c r="AK63" i="32451"/>
  <c r="AJ44" i="32451"/>
  <c r="AL55" i="32451"/>
  <c r="AJ41" i="32451"/>
  <c r="AL52" i="32451"/>
  <c r="AL38" i="32451"/>
  <c r="AK60" i="32451"/>
  <c r="AJ46" i="32451"/>
  <c r="AL42" i="32451"/>
  <c r="AL44" i="32451"/>
  <c r="AJ55" i="32451"/>
  <c r="AK41" i="32451"/>
  <c r="AJ60" i="32451"/>
  <c r="AL46" i="32451"/>
  <c r="AK42" i="32451"/>
  <c r="AJ62" i="32451"/>
  <c r="AL36" i="32451"/>
  <c r="AJ34" i="32451"/>
  <c r="AK40" i="32451"/>
  <c r="AL57" i="32451"/>
  <c r="AK44" i="32451"/>
  <c r="AK55" i="32451"/>
  <c r="AL41" i="32451"/>
  <c r="AJ53" i="32451"/>
  <c r="AJ65" i="32451"/>
  <c r="AL60" i="32451"/>
  <c r="AK46" i="32451"/>
  <c r="AL62" i="32451"/>
  <c r="AJ43" i="32451"/>
  <c r="AJ36" i="32451"/>
  <c r="AL34" i="32451"/>
  <c r="AJ40" i="32451"/>
  <c r="AK57" i="32451"/>
  <c r="AK53" i="32451"/>
  <c r="I640" i="32451"/>
  <c r="I637" i="32451"/>
  <c r="AK702" i="32451"/>
  <c r="AJ702" i="32451"/>
  <c r="I644" i="32451"/>
  <c r="I704" i="32451"/>
  <c r="E673" i="32498" s="1"/>
  <c r="I646" i="32451"/>
  <c r="I665" i="32451"/>
  <c r="AL474" i="32451"/>
  <c r="AL517" i="32451"/>
  <c r="AL379" i="32451"/>
  <c r="AL478" i="32451"/>
  <c r="AL410" i="32451"/>
  <c r="AL453" i="32451"/>
  <c r="AL475" i="32451"/>
  <c r="AL568" i="32451"/>
  <c r="AL348" i="32451"/>
  <c r="AL508" i="32451"/>
  <c r="AL464" i="32451"/>
  <c r="AL416" i="32451"/>
  <c r="AL579" i="32451"/>
  <c r="AL510" i="32451"/>
  <c r="AL342" i="32451"/>
  <c r="AL383" i="32451"/>
  <c r="AL509" i="32451"/>
  <c r="AL535" i="32451"/>
  <c r="AL482" i="32451"/>
  <c r="AL375" i="32451"/>
  <c r="AL550" i="32451"/>
  <c r="AL483" i="32451"/>
  <c r="AL571" i="32451"/>
  <c r="AL577" i="32451"/>
  <c r="AL476" i="32451"/>
  <c r="AL480" i="32451"/>
  <c r="AL549" i="32451"/>
  <c r="AK363" i="32451"/>
  <c r="AK348" i="32451"/>
  <c r="AK445" i="32451"/>
  <c r="AK539" i="32451"/>
  <c r="AK581" i="32451"/>
  <c r="AK436" i="32451"/>
  <c r="AK562" i="32451"/>
  <c r="AK416" i="32451"/>
  <c r="AK442" i="32451"/>
  <c r="AK391" i="32451"/>
  <c r="AK510" i="32451"/>
  <c r="AK543" i="32451"/>
  <c r="AK342" i="32451"/>
  <c r="AK535" i="32451"/>
  <c r="AK389" i="32451"/>
  <c r="AK471" i="32451"/>
  <c r="AK571" i="32451"/>
  <c r="AK414" i="32451"/>
  <c r="AK419" i="32451"/>
  <c r="AK412" i="32451"/>
  <c r="AK479" i="32451"/>
  <c r="AK439" i="32451"/>
  <c r="AK410" i="32451"/>
  <c r="AK356" i="32451"/>
  <c r="AK453" i="32451"/>
  <c r="AK475" i="32451"/>
  <c r="AK408" i="32451"/>
  <c r="AK504" i="32451"/>
  <c r="AK585" i="32451"/>
  <c r="AK501" i="32451"/>
  <c r="AK524" i="32451"/>
  <c r="AK474" i="32451"/>
  <c r="AK381" i="32451"/>
  <c r="AK517" i="32451"/>
  <c r="AK379" i="32451"/>
  <c r="AK388" i="32451"/>
  <c r="AK409" i="32451"/>
  <c r="AK534" i="32451"/>
  <c r="AJ539" i="32451"/>
  <c r="AJ389" i="32451"/>
  <c r="AJ550" i="32451"/>
  <c r="AJ416" i="32451"/>
  <c r="AJ480" i="32451"/>
  <c r="AJ503" i="32451"/>
  <c r="AJ410" i="32451"/>
  <c r="AJ356" i="32451"/>
  <c r="AJ517" i="32451"/>
  <c r="AJ379" i="32451"/>
  <c r="AJ338" i="32451"/>
  <c r="AJ581" i="32451"/>
  <c r="AJ475" i="32451"/>
  <c r="AJ594" i="32451"/>
  <c r="AJ391" i="32451"/>
  <c r="AJ510" i="32451"/>
  <c r="AJ592" i="32451"/>
  <c r="AJ509" i="32451"/>
  <c r="AJ436" i="32451"/>
  <c r="AJ571" i="32451"/>
  <c r="AJ414" i="32451"/>
  <c r="AJ374" i="32451"/>
  <c r="G37" i="32451"/>
  <c r="G57" i="32451"/>
  <c r="G62" i="32451"/>
  <c r="G52" i="32451"/>
  <c r="G387" i="32451"/>
  <c r="G63" i="32451"/>
  <c r="G55" i="32451"/>
  <c r="G421" i="32451"/>
  <c r="G40" i="32451"/>
  <c r="G53" i="32451"/>
  <c r="G418" i="32451"/>
  <c r="G570" i="32451"/>
  <c r="G60" i="32451"/>
  <c r="G469" i="32451"/>
  <c r="G46" i="32451"/>
  <c r="G38" i="32451"/>
  <c r="G43" i="32451"/>
  <c r="G48" i="32451"/>
  <c r="G395" i="32451"/>
  <c r="G506" i="32451"/>
  <c r="G510" i="32451"/>
  <c r="G383" i="32451"/>
  <c r="G627" i="32451"/>
  <c r="G34" i="32451"/>
  <c r="G541" i="32451"/>
  <c r="G458" i="32451"/>
  <c r="G61" i="32451"/>
  <c r="G366" i="32451"/>
  <c r="G539" i="32451"/>
  <c r="G58" i="32451"/>
  <c r="G36" i="32451"/>
  <c r="G59" i="32451"/>
  <c r="G44" i="32451"/>
  <c r="G50" i="32451"/>
  <c r="G54" i="32451"/>
  <c r="G42" i="32451"/>
  <c r="G519" i="32451"/>
  <c r="G41" i="32451"/>
  <c r="G485" i="32451"/>
  <c r="G572" i="32451"/>
  <c r="G443" i="32451"/>
  <c r="G35" i="32451"/>
  <c r="AL592" i="32451"/>
  <c r="AK592" i="32451"/>
  <c r="AK597" i="32451"/>
  <c r="AL594" i="32451"/>
  <c r="R80" i="32451" l="1"/>
  <c r="I49" i="32498" s="1"/>
  <c r="H48" i="32498"/>
  <c r="R73" i="32451"/>
  <c r="I42" i="32498" s="1"/>
  <c r="H38" i="32498"/>
  <c r="H42" i="32498"/>
  <c r="R56" i="32451"/>
  <c r="I25" i="32498" s="1"/>
  <c r="H44" i="32498"/>
  <c r="R74" i="32451"/>
  <c r="I43" i="32498" s="1"/>
  <c r="R71" i="32451"/>
  <c r="I40" i="32498" s="1"/>
  <c r="R75" i="32451"/>
  <c r="I44" i="32498" s="1"/>
  <c r="H49" i="32498"/>
  <c r="H47" i="32498"/>
  <c r="H33" i="32498"/>
  <c r="H46" i="32498"/>
  <c r="H25" i="32498"/>
  <c r="H45" i="32498"/>
  <c r="H39" i="32498"/>
  <c r="R49" i="32451"/>
  <c r="I18" i="32498" s="1"/>
  <c r="H41" i="32498"/>
  <c r="R47" i="32451"/>
  <c r="I16" i="32498" s="1"/>
  <c r="R70" i="32451"/>
  <c r="I39" i="32498" s="1"/>
  <c r="R67" i="32451"/>
  <c r="I36" i="32498" s="1"/>
  <c r="R78" i="32451"/>
  <c r="I47" i="32498" s="1"/>
  <c r="H14" i="32498"/>
  <c r="H36" i="32498"/>
  <c r="R66" i="32451"/>
  <c r="I35" i="32498" s="1"/>
  <c r="R76" i="32451"/>
  <c r="I45" i="32498" s="1"/>
  <c r="H22" i="32498"/>
  <c r="H20" i="32498"/>
  <c r="H37" i="32498"/>
  <c r="R69" i="32451"/>
  <c r="I38" i="32498" s="1"/>
  <c r="R65" i="32451"/>
  <c r="I34" i="32498" s="1"/>
  <c r="H43" i="32498"/>
  <c r="H35" i="32498"/>
  <c r="R68" i="32451"/>
  <c r="I37" i="32498" s="1"/>
  <c r="R72" i="32451"/>
  <c r="I41" i="32498" s="1"/>
  <c r="H40" i="32498"/>
  <c r="H34" i="32498"/>
  <c r="H2" i="32498"/>
  <c r="H10" i="32498"/>
  <c r="H13" i="32498"/>
  <c r="H7" i="32498"/>
  <c r="H4" i="32498"/>
  <c r="H3" i="32498"/>
  <c r="H28" i="32498"/>
  <c r="H23" i="32498"/>
  <c r="H32" i="32498"/>
  <c r="H29" i="32498"/>
  <c r="H26" i="32498"/>
  <c r="H6" i="32498"/>
  <c r="H19" i="32498"/>
  <c r="H9" i="32498"/>
  <c r="H12" i="32498"/>
  <c r="H17" i="32498"/>
  <c r="H15" i="32498"/>
  <c r="H31" i="32498"/>
  <c r="H27" i="32498"/>
  <c r="H11" i="32498"/>
  <c r="H21" i="32498"/>
  <c r="H8" i="32498"/>
  <c r="H5" i="32498"/>
  <c r="H24" i="32498"/>
  <c r="H30" i="32498"/>
  <c r="P17" i="32451"/>
  <c r="N21" i="32451"/>
  <c r="F18" i="32457" s="1"/>
  <c r="G18" i="32457" s="1"/>
  <c r="I18" i="32457" s="1"/>
  <c r="G28" i="32498"/>
  <c r="G4" i="32498"/>
  <c r="G11" i="32498"/>
  <c r="G30" i="32498"/>
  <c r="G19" i="32498"/>
  <c r="G13" i="32498"/>
  <c r="G5" i="32498"/>
  <c r="G32" i="32498"/>
  <c r="G8" i="32498"/>
  <c r="G27" i="32498"/>
  <c r="G24" i="32498"/>
  <c r="G10" i="32498"/>
  <c r="G29" i="32498"/>
  <c r="G12" i="32498"/>
  <c r="G7" i="32498"/>
  <c r="G21" i="32498"/>
  <c r="G31" i="32498"/>
  <c r="G26" i="32498"/>
  <c r="G23" i="32498"/>
  <c r="G17" i="32498"/>
  <c r="G9" i="32498"/>
  <c r="G6" i="32498"/>
  <c r="G3" i="32498"/>
  <c r="G15" i="32498"/>
  <c r="R35" i="32451"/>
  <c r="I4" i="32498" s="1"/>
  <c r="R50" i="32451"/>
  <c r="I19" i="32498" s="1"/>
  <c r="R36" i="32451"/>
  <c r="I5" i="32498" s="1"/>
  <c r="R52" i="32451"/>
  <c r="I21" i="32498" s="1"/>
  <c r="R37" i="32451"/>
  <c r="I6" i="32498" s="1"/>
  <c r="R54" i="32451"/>
  <c r="I23" i="32498" s="1"/>
  <c r="R38" i="32451"/>
  <c r="I7" i="32498" s="1"/>
  <c r="R55" i="32451"/>
  <c r="I24" i="32498" s="1"/>
  <c r="R39" i="32451"/>
  <c r="I8" i="32498" s="1"/>
  <c r="R57" i="32451"/>
  <c r="I26" i="32498" s="1"/>
  <c r="R40" i="32451"/>
  <c r="I9" i="32498" s="1"/>
  <c r="R58" i="32451"/>
  <c r="I27" i="32498" s="1"/>
  <c r="R41" i="32451"/>
  <c r="I10" i="32498" s="1"/>
  <c r="R59" i="32451"/>
  <c r="I28" i="32498" s="1"/>
  <c r="R42" i="32451"/>
  <c r="I11" i="32498" s="1"/>
  <c r="R60" i="32451"/>
  <c r="I29" i="32498" s="1"/>
  <c r="R43" i="32451"/>
  <c r="I12" i="32498" s="1"/>
  <c r="R61" i="32451"/>
  <c r="I30" i="32498" s="1"/>
  <c r="R44" i="32451"/>
  <c r="I13" i="32498" s="1"/>
  <c r="R62" i="32451"/>
  <c r="I31" i="32498" s="1"/>
  <c r="R46" i="32451"/>
  <c r="I15" i="32498" s="1"/>
  <c r="R63" i="32451"/>
  <c r="I32" i="32498" s="1"/>
  <c r="R48" i="32451"/>
  <c r="I17" i="32498" s="1"/>
  <c r="R34" i="32451"/>
  <c r="I3" i="32498" s="1"/>
  <c r="R152" i="32451"/>
  <c r="I121" i="32498" s="1"/>
  <c r="R45" i="32451"/>
  <c r="I14" i="32498" s="1"/>
  <c r="R205" i="32451"/>
  <c r="I174" i="32498" s="1"/>
  <c r="R77" i="32451"/>
  <c r="I46" i="32498" s="1"/>
  <c r="R179" i="32451"/>
  <c r="I148" i="32498" s="1"/>
  <c r="R192" i="32451"/>
  <c r="I161" i="32498" s="1"/>
  <c r="R128" i="32451"/>
  <c r="I97" i="32498" s="1"/>
  <c r="R111" i="32451"/>
  <c r="I80" i="32498" s="1"/>
  <c r="R51" i="32451"/>
  <c r="I20" i="32498" s="1"/>
  <c r="R177" i="32451"/>
  <c r="I146" i="32498" s="1"/>
  <c r="R79" i="32451"/>
  <c r="I48" i="32498" s="1"/>
  <c r="H18" i="32498"/>
  <c r="R145" i="32451"/>
  <c r="I114" i="32498" s="1"/>
  <c r="R85" i="32451"/>
  <c r="I54" i="32498" s="1"/>
  <c r="R96" i="32451"/>
  <c r="I65" i="32498" s="1"/>
  <c r="H153" i="32498"/>
  <c r="R175" i="32451"/>
  <c r="I144" i="32498" s="1"/>
  <c r="R207" i="32451"/>
  <c r="I176" i="32498" s="1"/>
  <c r="R117" i="32451"/>
  <c r="I86" i="32498" s="1"/>
  <c r="H16" i="32498"/>
  <c r="H78" i="32498"/>
  <c r="R143" i="32451"/>
  <c r="I112" i="32498" s="1"/>
  <c r="R64" i="32451"/>
  <c r="I33" i="32498" s="1"/>
  <c r="R53" i="32451"/>
  <c r="I22" i="32498" s="1"/>
  <c r="R160" i="32451"/>
  <c r="I129" i="32498" s="1"/>
  <c r="H79" i="32498"/>
  <c r="H99" i="32498"/>
  <c r="H118" i="32498"/>
  <c r="H156" i="32498"/>
  <c r="H115" i="32498"/>
  <c r="H160" i="32498"/>
  <c r="I492" i="32498"/>
  <c r="AA523" i="32451"/>
  <c r="I655" i="32498"/>
  <c r="AA686" i="32451"/>
  <c r="I336" i="32498"/>
  <c r="AA367" i="32451"/>
  <c r="I375" i="32498"/>
  <c r="AA406" i="32451"/>
  <c r="I287" i="32498"/>
  <c r="AA318" i="32451"/>
  <c r="G485" i="32498"/>
  <c r="R516" i="32451"/>
  <c r="I351" i="32498"/>
  <c r="AA382" i="32451"/>
  <c r="I640" i="32498"/>
  <c r="AA671" i="32451"/>
  <c r="I604" i="32498"/>
  <c r="AA635" i="32451"/>
  <c r="I468" i="32498"/>
  <c r="AA499" i="32451"/>
  <c r="G668" i="32498"/>
  <c r="R699" i="32451"/>
  <c r="G359" i="32498"/>
  <c r="R390" i="32451"/>
  <c r="I402" i="32498"/>
  <c r="AA433" i="32451"/>
  <c r="I601" i="32498"/>
  <c r="AA632" i="32451"/>
  <c r="I328" i="32498"/>
  <c r="AA359" i="32451"/>
  <c r="G487" i="32498"/>
  <c r="R518" i="32451"/>
  <c r="I255" i="32498"/>
  <c r="AA286" i="32451"/>
  <c r="I665" i="32498"/>
  <c r="AA696" i="32451"/>
  <c r="I458" i="32498"/>
  <c r="AA489" i="32451"/>
  <c r="I361" i="32498"/>
  <c r="AA392" i="32451"/>
  <c r="I302" i="32498"/>
  <c r="AA333" i="32451"/>
  <c r="I591" i="32498"/>
  <c r="AA622" i="32451"/>
  <c r="I521" i="32498"/>
  <c r="AA552" i="32451"/>
  <c r="I294" i="32498"/>
  <c r="AA325" i="32451"/>
  <c r="I505" i="32498"/>
  <c r="AA536" i="32451"/>
  <c r="G307" i="32498"/>
  <c r="R338" i="32451"/>
  <c r="I330" i="32498"/>
  <c r="AA361" i="32451"/>
  <c r="I270" i="32498"/>
  <c r="AA301" i="32451"/>
  <c r="I564" i="32498"/>
  <c r="AA595" i="32451"/>
  <c r="G519" i="32498"/>
  <c r="R550" i="32451"/>
  <c r="I567" i="32498"/>
  <c r="AA598" i="32451"/>
  <c r="G669" i="32498"/>
  <c r="R700" i="32451"/>
  <c r="G670" i="32498"/>
  <c r="R701" i="32451"/>
  <c r="I434" i="32498"/>
  <c r="AA465" i="32451"/>
  <c r="G443" i="32498"/>
  <c r="R474" i="32451"/>
  <c r="I614" i="32498"/>
  <c r="AA645" i="32451"/>
  <c r="I324" i="32498"/>
  <c r="AA355" i="32451"/>
  <c r="I568" i="32498"/>
  <c r="AA599" i="32451"/>
  <c r="I469" i="32498"/>
  <c r="AA500" i="32451"/>
  <c r="G384" i="32498"/>
  <c r="R415" i="32451"/>
  <c r="G355" i="32498"/>
  <c r="R386" i="32451"/>
  <c r="G548" i="32498"/>
  <c r="R579" i="32451"/>
  <c r="I650" i="32498"/>
  <c r="AA681" i="32451"/>
  <c r="G504" i="32498"/>
  <c r="R535" i="32451"/>
  <c r="I637" i="32498"/>
  <c r="AA668" i="32451"/>
  <c r="I327" i="32498"/>
  <c r="AA358" i="32451"/>
  <c r="I551" i="32498"/>
  <c r="AA582" i="32451"/>
  <c r="I448" i="32498"/>
  <c r="AA479" i="32451"/>
  <c r="I489" i="32498"/>
  <c r="AA520" i="32451"/>
  <c r="G539" i="32498"/>
  <c r="R570" i="32451"/>
  <c r="I593" i="32498"/>
  <c r="AA624" i="32451"/>
  <c r="I295" i="32498"/>
  <c r="AA326" i="32451"/>
  <c r="I423" i="32498"/>
  <c r="AA454" i="32451"/>
  <c r="I441" i="32498"/>
  <c r="AA472" i="32451"/>
  <c r="I417" i="32498"/>
  <c r="AA448" i="32451"/>
  <c r="I506" i="32498"/>
  <c r="AA537" i="32451"/>
  <c r="I636" i="32498"/>
  <c r="AA667" i="32451"/>
  <c r="I378" i="32498"/>
  <c r="AA409" i="32451"/>
  <c r="I460" i="32498"/>
  <c r="AA491" i="32451"/>
  <c r="I576" i="32498"/>
  <c r="AA607" i="32451"/>
  <c r="I498" i="32498"/>
  <c r="AA529" i="32451"/>
  <c r="I633" i="32498"/>
  <c r="AA664" i="32451"/>
  <c r="I320" i="32498"/>
  <c r="AA351" i="32451"/>
  <c r="I645" i="32498"/>
  <c r="AA676" i="32451"/>
  <c r="I631" i="32498"/>
  <c r="AA662" i="32451"/>
  <c r="I278" i="32498"/>
  <c r="AA309" i="32451"/>
  <c r="I401" i="32498"/>
  <c r="AA432" i="32451"/>
  <c r="I509" i="32498"/>
  <c r="AA540" i="32451"/>
  <c r="I569" i="32498"/>
  <c r="AA600" i="32451"/>
  <c r="I403" i="32498"/>
  <c r="AA434" i="32451"/>
  <c r="I373" i="32498"/>
  <c r="AA404" i="32451"/>
  <c r="I518" i="32498"/>
  <c r="AA549" i="32451"/>
  <c r="I662" i="32498"/>
  <c r="AA693" i="32451"/>
  <c r="I321" i="32498"/>
  <c r="AA352" i="32451"/>
  <c r="I347" i="32498"/>
  <c r="AA378" i="32451"/>
  <c r="I432" i="32498"/>
  <c r="AA463" i="32451"/>
  <c r="I372" i="32498"/>
  <c r="AA403" i="32451"/>
  <c r="I344" i="32498"/>
  <c r="AA375" i="32451"/>
  <c r="I470" i="32498"/>
  <c r="AA501" i="32451"/>
  <c r="I356" i="32498"/>
  <c r="AA387" i="32451"/>
  <c r="I276" i="32498"/>
  <c r="AA307" i="32451"/>
  <c r="I613" i="32498"/>
  <c r="AA644" i="32451"/>
  <c r="I265" i="32498"/>
  <c r="AA296" i="32451"/>
  <c r="I277" i="32498"/>
  <c r="AA308" i="32451"/>
  <c r="I257" i="32498"/>
  <c r="AA288" i="32451"/>
  <c r="I463" i="32498"/>
  <c r="AA494" i="32451"/>
  <c r="I259" i="32498"/>
  <c r="AA290" i="32451"/>
  <c r="I474" i="32498"/>
  <c r="AA505" i="32451"/>
  <c r="I513" i="32498"/>
  <c r="AA544" i="32451"/>
  <c r="I451" i="32498"/>
  <c r="AA482" i="32451"/>
  <c r="I258" i="32498"/>
  <c r="AA289" i="32451"/>
  <c r="I342" i="32498"/>
  <c r="AA373" i="32451"/>
  <c r="I584" i="32498"/>
  <c r="AA615" i="32451"/>
  <c r="G379" i="32498"/>
  <c r="R410" i="32451"/>
  <c r="G561" i="32498"/>
  <c r="R592" i="32451"/>
  <c r="I464" i="32498"/>
  <c r="AA495" i="32451"/>
  <c r="I646" i="32498"/>
  <c r="AA677" i="32451"/>
  <c r="I664" i="32498"/>
  <c r="AA695" i="32451"/>
  <c r="I411" i="32498"/>
  <c r="AA442" i="32451"/>
  <c r="G674" i="32498"/>
  <c r="R705" i="32451"/>
  <c r="I674" i="32498" s="1"/>
  <c r="I643" i="32498"/>
  <c r="AA674" i="32451"/>
  <c r="I582" i="32498"/>
  <c r="AA613" i="32451"/>
  <c r="I616" i="32498"/>
  <c r="AA647" i="32451"/>
  <c r="I399" i="32498"/>
  <c r="AA430" i="32451"/>
  <c r="I471" i="32498"/>
  <c r="AA502" i="32451"/>
  <c r="I639" i="32498"/>
  <c r="AA670" i="32451"/>
  <c r="I267" i="32498"/>
  <c r="AA298" i="32451"/>
  <c r="I314" i="32498"/>
  <c r="AA345" i="32451"/>
  <c r="I381" i="32498"/>
  <c r="AA412" i="32451"/>
  <c r="I288" i="32498"/>
  <c r="AA319" i="32451"/>
  <c r="I252" i="32498"/>
  <c r="AA283" i="32451"/>
  <c r="I260" i="32498"/>
  <c r="AA291" i="32451"/>
  <c r="G352" i="32498"/>
  <c r="R383" i="32451"/>
  <c r="I439" i="32498"/>
  <c r="AA470" i="32451"/>
  <c r="I262" i="32498"/>
  <c r="AA293" i="32451"/>
  <c r="I574" i="32498"/>
  <c r="AA605" i="32451"/>
  <c r="I587" i="32498"/>
  <c r="AA618" i="32451"/>
  <c r="I300" i="32498"/>
  <c r="AA331" i="32451"/>
  <c r="I445" i="32498"/>
  <c r="AA476" i="32451"/>
  <c r="I625" i="32498"/>
  <c r="AA656" i="32451"/>
  <c r="I481" i="32498"/>
  <c r="AA512" i="32451"/>
  <c r="I583" i="32498"/>
  <c r="AA614" i="32451"/>
  <c r="G537" i="32498"/>
  <c r="R568" i="32451"/>
  <c r="I545" i="32498"/>
  <c r="AA576" i="32451"/>
  <c r="I415" i="32498"/>
  <c r="AA446" i="32451"/>
  <c r="I580" i="32498"/>
  <c r="AA611" i="32451"/>
  <c r="I656" i="32498"/>
  <c r="AA687" i="32451"/>
  <c r="G360" i="32498"/>
  <c r="R391" i="32451"/>
  <c r="I455" i="32498"/>
  <c r="AA486" i="32451"/>
  <c r="G473" i="32498"/>
  <c r="R504" i="32451"/>
  <c r="AB504" i="32451" s="1"/>
  <c r="I472" i="32498"/>
  <c r="AA503" i="32451"/>
  <c r="I266" i="32498"/>
  <c r="AA297" i="32451"/>
  <c r="I577" i="32498"/>
  <c r="AA608" i="32451"/>
  <c r="I559" i="32498"/>
  <c r="AA590" i="32451"/>
  <c r="I333" i="32498"/>
  <c r="AA364" i="32451"/>
  <c r="I553" i="32498"/>
  <c r="AA584" i="32451"/>
  <c r="I273" i="32498"/>
  <c r="AA304" i="32451"/>
  <c r="I589" i="32498"/>
  <c r="AA620" i="32451"/>
  <c r="I510" i="32498"/>
  <c r="AA541" i="32451"/>
  <c r="I586" i="32498"/>
  <c r="AA617" i="32451"/>
  <c r="I608" i="32498"/>
  <c r="AA639" i="32451"/>
  <c r="I533" i="32498"/>
  <c r="AA564" i="32451"/>
  <c r="I660" i="32498"/>
  <c r="AA691" i="32451"/>
  <c r="G671" i="32498"/>
  <c r="R702" i="32451"/>
  <c r="I565" i="32498"/>
  <c r="AA596" i="32451"/>
  <c r="G540" i="32498"/>
  <c r="R571" i="32451"/>
  <c r="I416" i="32498"/>
  <c r="AA447" i="32451"/>
  <c r="I396" i="32498"/>
  <c r="AA427" i="32451"/>
  <c r="I334" i="32498"/>
  <c r="AA365" i="32451"/>
  <c r="I341" i="32498"/>
  <c r="AA372" i="32451"/>
  <c r="I500" i="32498"/>
  <c r="AA531" i="32451"/>
  <c r="I466" i="32498"/>
  <c r="AA497" i="32451"/>
  <c r="I438" i="32498"/>
  <c r="AA469" i="32451"/>
  <c r="I339" i="32498"/>
  <c r="AA370" i="32451"/>
  <c r="I363" i="32498"/>
  <c r="AA394" i="32451"/>
  <c r="I331" i="32498"/>
  <c r="AA362" i="32451"/>
  <c r="I605" i="32498"/>
  <c r="AA636" i="32451"/>
  <c r="G508" i="32498"/>
  <c r="R539" i="32451"/>
  <c r="I316" i="32498"/>
  <c r="AA347" i="32451"/>
  <c r="I623" i="32498"/>
  <c r="AA654" i="32451"/>
  <c r="I365" i="32498"/>
  <c r="AA396" i="32451"/>
  <c r="I440" i="32498"/>
  <c r="AA471" i="32451"/>
  <c r="I484" i="32498"/>
  <c r="AA515" i="32451"/>
  <c r="I422" i="32498"/>
  <c r="AA453" i="32451"/>
  <c r="I289" i="32498"/>
  <c r="AA320" i="32451"/>
  <c r="I323" i="32498"/>
  <c r="AA354" i="32451"/>
  <c r="G311" i="32498"/>
  <c r="R342" i="32451"/>
  <c r="I462" i="32498"/>
  <c r="AA493" i="32451"/>
  <c r="I618" i="32498"/>
  <c r="AA649" i="32451"/>
  <c r="I488" i="32498"/>
  <c r="AA519" i="32451"/>
  <c r="I272" i="32498"/>
  <c r="AA303" i="32451"/>
  <c r="G309" i="32498"/>
  <c r="R340" i="32451"/>
  <c r="I376" i="32498"/>
  <c r="AA407" i="32451"/>
  <c r="I261" i="32498"/>
  <c r="AA292" i="32451"/>
  <c r="I543" i="32498"/>
  <c r="AA574" i="32451"/>
  <c r="I575" i="32498"/>
  <c r="AA606" i="32451"/>
  <c r="I315" i="32498"/>
  <c r="AA346" i="32451"/>
  <c r="I387" i="32498"/>
  <c r="AA418" i="32451"/>
  <c r="I424" i="32498"/>
  <c r="AA455" i="32451"/>
  <c r="G479" i="32498"/>
  <c r="R510" i="32451"/>
  <c r="I649" i="32498"/>
  <c r="AA680" i="32451"/>
  <c r="I299" i="32498"/>
  <c r="AA330" i="32451"/>
  <c r="I611" i="32498"/>
  <c r="AA642" i="32451"/>
  <c r="I602" i="32498"/>
  <c r="AA633" i="32451"/>
  <c r="I554" i="32498"/>
  <c r="AA585" i="32451"/>
  <c r="I535" i="32498"/>
  <c r="AA566" i="32451"/>
  <c r="I475" i="32498"/>
  <c r="AA506" i="32451"/>
  <c r="I523" i="32498"/>
  <c r="AA554" i="32451"/>
  <c r="I397" i="32498"/>
  <c r="AA428" i="32451"/>
  <c r="I391" i="32498"/>
  <c r="AA422" i="32451"/>
  <c r="I400" i="32498"/>
  <c r="AA431" i="32451"/>
  <c r="I335" i="32498"/>
  <c r="AA366" i="32451"/>
  <c r="I524" i="32498"/>
  <c r="AA555" i="32451"/>
  <c r="I622" i="32498"/>
  <c r="AA653" i="32451"/>
  <c r="G414" i="32498"/>
  <c r="R445" i="32451"/>
  <c r="G377" i="32498"/>
  <c r="R408" i="32451"/>
  <c r="AB408" i="32451" s="1"/>
  <c r="I619" i="32498"/>
  <c r="AA650" i="32451"/>
  <c r="I624" i="32498"/>
  <c r="AA655" i="32451"/>
  <c r="I606" i="32498"/>
  <c r="AA637" i="32451"/>
  <c r="I486" i="32498"/>
  <c r="AA517" i="32451"/>
  <c r="I297" i="32498"/>
  <c r="AA328" i="32451"/>
  <c r="I491" i="32498"/>
  <c r="AA522" i="32451"/>
  <c r="I395" i="32498"/>
  <c r="AA426" i="32451"/>
  <c r="I532" i="32498"/>
  <c r="AA563" i="32451"/>
  <c r="I597" i="32498"/>
  <c r="AA628" i="32451"/>
  <c r="I666" i="32498"/>
  <c r="AA697" i="32451"/>
  <c r="I620" i="32498"/>
  <c r="AA651" i="32451"/>
  <c r="I322" i="32498"/>
  <c r="AA353" i="32451"/>
  <c r="I310" i="32498"/>
  <c r="AA341" i="32451"/>
  <c r="I291" i="32498"/>
  <c r="AA322" i="32451"/>
  <c r="I418" i="32498"/>
  <c r="AA449" i="32451"/>
  <c r="I430" i="32498"/>
  <c r="AA461" i="32451"/>
  <c r="I516" i="32498"/>
  <c r="AA547" i="32451"/>
  <c r="I596" i="32498"/>
  <c r="AA627" i="32451"/>
  <c r="I658" i="32498"/>
  <c r="AA689" i="32451"/>
  <c r="I525" i="32498"/>
  <c r="AA556" i="32451"/>
  <c r="I579" i="32498"/>
  <c r="AA610" i="32451"/>
  <c r="I527" i="32498"/>
  <c r="AA558" i="32451"/>
  <c r="I600" i="32498"/>
  <c r="AA631" i="32451"/>
  <c r="I570" i="32498"/>
  <c r="AA601" i="32451"/>
  <c r="I329" i="32498"/>
  <c r="AA360" i="32451"/>
  <c r="G343" i="32498"/>
  <c r="R374" i="32451"/>
  <c r="I544" i="32498"/>
  <c r="AA575" i="32451"/>
  <c r="I282" i="32498"/>
  <c r="AA313" i="32451"/>
  <c r="G407" i="32498"/>
  <c r="R438" i="32451"/>
  <c r="G531" i="32498"/>
  <c r="R562" i="32451"/>
  <c r="I283" i="32498"/>
  <c r="AA314" i="32451"/>
  <c r="I389" i="32498"/>
  <c r="AA420" i="32451"/>
  <c r="G529" i="32498"/>
  <c r="R560" i="32451"/>
  <c r="I450" i="32498"/>
  <c r="AA481" i="32451"/>
  <c r="I585" i="32498"/>
  <c r="AA616" i="32451"/>
  <c r="G409" i="32498"/>
  <c r="R440" i="32451"/>
  <c r="I621" i="32498"/>
  <c r="AA652" i="32451"/>
  <c r="I546" i="32498"/>
  <c r="AA577" i="32451"/>
  <c r="I370" i="32498"/>
  <c r="AA401" i="32451"/>
  <c r="I296" i="32498"/>
  <c r="AA327" i="32451"/>
  <c r="I284" i="32498"/>
  <c r="AA315" i="32451"/>
  <c r="I286" i="32498"/>
  <c r="AA317" i="32451"/>
  <c r="I594" i="32498"/>
  <c r="AA625" i="32451"/>
  <c r="I461" i="32498"/>
  <c r="AA492" i="32451"/>
  <c r="I368" i="32498"/>
  <c r="AA399" i="32451"/>
  <c r="I630" i="32498"/>
  <c r="AA661" i="32451"/>
  <c r="I659" i="32498"/>
  <c r="AA690" i="32451"/>
  <c r="I560" i="32498"/>
  <c r="AA591" i="32451"/>
  <c r="I390" i="32498"/>
  <c r="AA421" i="32451"/>
  <c r="I562" i="32498"/>
  <c r="AA593" i="32451"/>
  <c r="G393" i="32498"/>
  <c r="R424" i="32451"/>
  <c r="I357" i="32498"/>
  <c r="AA388" i="32451"/>
  <c r="I457" i="32498"/>
  <c r="AA488" i="32451"/>
  <c r="G503" i="32498"/>
  <c r="R534" i="32451"/>
  <c r="I279" i="32498"/>
  <c r="AA310" i="32451"/>
  <c r="I459" i="32498"/>
  <c r="AA490" i="32451"/>
  <c r="I511" i="32498"/>
  <c r="AA542" i="32451"/>
  <c r="I495" i="32498"/>
  <c r="AA526" i="32451"/>
  <c r="I515" i="32498"/>
  <c r="AA546" i="32451"/>
  <c r="I364" i="32498"/>
  <c r="AA395" i="32451"/>
  <c r="I382" i="32498"/>
  <c r="AA413" i="32451"/>
  <c r="I325" i="32498"/>
  <c r="AA356" i="32451"/>
  <c r="I635" i="32498"/>
  <c r="AA666" i="32451"/>
  <c r="I298" i="32498"/>
  <c r="AA329" i="32451"/>
  <c r="I517" i="32498"/>
  <c r="AA548" i="32451"/>
  <c r="I337" i="32498"/>
  <c r="AA368" i="32451"/>
  <c r="G490" i="32498"/>
  <c r="R521" i="32451"/>
  <c r="I603" i="32498"/>
  <c r="AA634" i="32451"/>
  <c r="I644" i="32498"/>
  <c r="AA675" i="32451"/>
  <c r="I557" i="32498"/>
  <c r="AA588" i="32451"/>
  <c r="G358" i="32498"/>
  <c r="R389" i="32451"/>
  <c r="G444" i="32498"/>
  <c r="R475" i="32451"/>
  <c r="I371" i="32498"/>
  <c r="AA402" i="32451"/>
  <c r="I558" i="32498"/>
  <c r="AA589" i="32451"/>
  <c r="I572" i="32498"/>
  <c r="AA603" i="32451"/>
  <c r="G449" i="32498"/>
  <c r="R480" i="32451"/>
  <c r="I340" i="32498"/>
  <c r="AA371" i="32451"/>
  <c r="I413" i="32498"/>
  <c r="AA444" i="32451"/>
  <c r="I482" i="32498"/>
  <c r="AA513" i="32451"/>
  <c r="I425" i="32498"/>
  <c r="AA456" i="32451"/>
  <c r="I476" i="32498"/>
  <c r="AA507" i="32451"/>
  <c r="G388" i="32498"/>
  <c r="R419" i="32451"/>
  <c r="AB419" i="32451" s="1"/>
  <c r="I394" i="32498"/>
  <c r="AA425" i="32451"/>
  <c r="I293" i="32498"/>
  <c r="AA324" i="32451"/>
  <c r="I386" i="32498"/>
  <c r="AA417" i="32451"/>
  <c r="I346" i="32498"/>
  <c r="AA377" i="32451"/>
  <c r="I496" i="32498"/>
  <c r="AA527" i="32451"/>
  <c r="I626" i="32498"/>
  <c r="AA657" i="32451"/>
  <c r="G385" i="32498"/>
  <c r="R416" i="32451"/>
  <c r="I436" i="32498"/>
  <c r="AA467" i="32451"/>
  <c r="I651" i="32498"/>
  <c r="AA682" i="32451"/>
  <c r="I629" i="32498"/>
  <c r="AA660" i="32451"/>
  <c r="I326" i="32498"/>
  <c r="AA357" i="32451"/>
  <c r="I435" i="32498"/>
  <c r="AA466" i="32451"/>
  <c r="I528" i="32498"/>
  <c r="AA559" i="32451"/>
  <c r="I256" i="32498"/>
  <c r="AA287" i="32451"/>
  <c r="I477" i="32498"/>
  <c r="AA508" i="32451"/>
  <c r="I499" i="32498"/>
  <c r="AA530" i="32451"/>
  <c r="G317" i="32498"/>
  <c r="R348" i="32451"/>
  <c r="AB348" i="32451" s="1"/>
  <c r="I428" i="32498"/>
  <c r="AA459" i="32451"/>
  <c r="I493" i="32498"/>
  <c r="AA524" i="32451"/>
  <c r="I538" i="32498"/>
  <c r="AA569" i="32451"/>
  <c r="I661" i="32498"/>
  <c r="AA692" i="32451"/>
  <c r="I367" i="32498"/>
  <c r="AA398" i="32451"/>
  <c r="G550" i="32498"/>
  <c r="R581" i="32451"/>
  <c r="AB581" i="32451" s="1"/>
  <c r="I446" i="32498"/>
  <c r="AA477" i="32451"/>
  <c r="I478" i="32498"/>
  <c r="AA509" i="32451"/>
  <c r="I269" i="32498"/>
  <c r="AA300" i="32451"/>
  <c r="I520" i="32498"/>
  <c r="AA551" i="32451"/>
  <c r="I599" i="32498"/>
  <c r="AA630" i="32451"/>
  <c r="G447" i="32498"/>
  <c r="R478" i="32451"/>
  <c r="I369" i="32498"/>
  <c r="AA400" i="32451"/>
  <c r="I426" i="32498"/>
  <c r="AA457" i="32451"/>
  <c r="G452" i="32498"/>
  <c r="R483" i="32451"/>
  <c r="I638" i="32498"/>
  <c r="AA669" i="32451"/>
  <c r="I578" i="32498"/>
  <c r="AA609" i="32451"/>
  <c r="I303" i="32498"/>
  <c r="AA334" i="32451"/>
  <c r="I306" i="32498"/>
  <c r="AA337" i="32451"/>
  <c r="I454" i="32498"/>
  <c r="AA485" i="32451"/>
  <c r="I308" i="32498"/>
  <c r="AA339" i="32451"/>
  <c r="I607" i="32498"/>
  <c r="AA638" i="32451"/>
  <c r="G353" i="32498"/>
  <c r="R384" i="32451"/>
  <c r="I442" i="32498"/>
  <c r="AA473" i="32451"/>
  <c r="I571" i="32498"/>
  <c r="AA602" i="32451"/>
  <c r="I615" i="32498"/>
  <c r="AA646" i="32451"/>
  <c r="I437" i="32498"/>
  <c r="AA468" i="32451"/>
  <c r="I398" i="32498"/>
  <c r="AA429" i="32451"/>
  <c r="I280" i="32498"/>
  <c r="AA311" i="32451"/>
  <c r="G405" i="32498"/>
  <c r="R436" i="32451"/>
  <c r="AB436" i="32451" s="1"/>
  <c r="I648" i="32498"/>
  <c r="AA679" i="32451"/>
  <c r="G374" i="32498"/>
  <c r="R405" i="32451"/>
  <c r="I319" i="32498"/>
  <c r="AA350" i="32451"/>
  <c r="I541" i="32498"/>
  <c r="AA572" i="32451"/>
  <c r="I253" i="32498"/>
  <c r="AA284" i="32451"/>
  <c r="G480" i="32498"/>
  <c r="R511" i="32451"/>
  <c r="AB511" i="32451" s="1"/>
  <c r="G563" i="32498"/>
  <c r="R594" i="32451"/>
  <c r="AB594" i="32451" s="1"/>
  <c r="I349" i="32498"/>
  <c r="AA380" i="32451"/>
  <c r="I588" i="32498"/>
  <c r="AA619" i="32451"/>
  <c r="G406" i="32498"/>
  <c r="R437" i="32451"/>
  <c r="I641" i="32498"/>
  <c r="AA672" i="32451"/>
  <c r="I456" i="32498"/>
  <c r="AA487" i="32451"/>
  <c r="I573" i="32498"/>
  <c r="AA604" i="32451"/>
  <c r="I380" i="32498"/>
  <c r="AA411" i="32451"/>
  <c r="I274" i="32498"/>
  <c r="AA305" i="32451"/>
  <c r="I429" i="32498"/>
  <c r="AA460" i="32451"/>
  <c r="G566" i="32498"/>
  <c r="R597" i="32451"/>
  <c r="I420" i="32498"/>
  <c r="AA451" i="32451"/>
  <c r="I595" i="32498"/>
  <c r="AA626" i="32451"/>
  <c r="G667" i="32498"/>
  <c r="R698" i="32451"/>
  <c r="I654" i="32498"/>
  <c r="AA685" i="32451"/>
  <c r="I507" i="32498"/>
  <c r="AA538" i="32451"/>
  <c r="I345" i="32498"/>
  <c r="AA376" i="32451"/>
  <c r="G676" i="32498"/>
  <c r="R707" i="32451"/>
  <c r="I676" i="32498" s="1"/>
  <c r="I281" i="32498"/>
  <c r="AA312" i="32451"/>
  <c r="I268" i="32498"/>
  <c r="AA299" i="32451"/>
  <c r="I514" i="32498"/>
  <c r="AA545" i="32451"/>
  <c r="G350" i="32498"/>
  <c r="R381" i="32451"/>
  <c r="I552" i="32498"/>
  <c r="AA583" i="32451"/>
  <c r="I318" i="32498"/>
  <c r="AA349" i="32451"/>
  <c r="G312" i="32498"/>
  <c r="R343" i="32451"/>
  <c r="I427" i="32498"/>
  <c r="AA458" i="32451"/>
  <c r="G534" i="32498"/>
  <c r="R565" i="32451"/>
  <c r="I410" i="32498"/>
  <c r="AA441" i="32451"/>
  <c r="I628" i="32498"/>
  <c r="AA659" i="32451"/>
  <c r="I305" i="32498"/>
  <c r="AA336" i="32451"/>
  <c r="I542" i="32498"/>
  <c r="AA573" i="32451"/>
  <c r="G313" i="32498"/>
  <c r="R344" i="32451"/>
  <c r="I632" i="32498"/>
  <c r="AA663" i="32451"/>
  <c r="G348" i="32498"/>
  <c r="R379" i="32451"/>
  <c r="I285" i="32498"/>
  <c r="AA316" i="32451"/>
  <c r="I362" i="32498"/>
  <c r="AA393" i="32451"/>
  <c r="G672" i="32498"/>
  <c r="R703" i="32451"/>
  <c r="I421" i="32498"/>
  <c r="AA452" i="32451"/>
  <c r="G675" i="32498"/>
  <c r="R706" i="32451"/>
  <c r="I675" i="32498" s="1"/>
  <c r="I494" i="32498"/>
  <c r="AA525" i="32451"/>
  <c r="I467" i="32498"/>
  <c r="AA498" i="32451"/>
  <c r="G383" i="32498"/>
  <c r="R414" i="32451"/>
  <c r="I412" i="32498"/>
  <c r="AA443" i="32451"/>
  <c r="G251" i="32498"/>
  <c r="R282" i="32451"/>
  <c r="I271" i="32498"/>
  <c r="AA302" i="32451"/>
  <c r="I275" i="32498"/>
  <c r="AA306" i="32451"/>
  <c r="I338" i="32498"/>
  <c r="AA369" i="32451"/>
  <c r="G673" i="32498"/>
  <c r="R704" i="32451"/>
  <c r="I290" i="32498"/>
  <c r="AA321" i="32451"/>
  <c r="I419" i="32498"/>
  <c r="AA450" i="32451"/>
  <c r="I264" i="32498"/>
  <c r="AA295" i="32451"/>
  <c r="I547" i="32498"/>
  <c r="AA578" i="32451"/>
  <c r="I354" i="32498"/>
  <c r="AA385" i="32451"/>
  <c r="I408" i="32498"/>
  <c r="AA439" i="32451"/>
  <c r="I653" i="32498"/>
  <c r="AA684" i="32451"/>
  <c r="I634" i="32498"/>
  <c r="AA665" i="32451"/>
  <c r="I609" i="32498"/>
  <c r="AA640" i="32451"/>
  <c r="I304" i="32498"/>
  <c r="AA335" i="32451"/>
  <c r="I530" i="32498"/>
  <c r="AA561" i="32451"/>
  <c r="I663" i="32498"/>
  <c r="AA694" i="32451"/>
  <c r="I526" i="32498"/>
  <c r="AA557" i="32451"/>
  <c r="I366" i="32498"/>
  <c r="AA397" i="32451"/>
  <c r="I657" i="32498"/>
  <c r="AA688" i="32451"/>
  <c r="I652" i="32498"/>
  <c r="AA683" i="32451"/>
  <c r="I647" i="32498"/>
  <c r="AA678" i="32451"/>
  <c r="I512" i="32498"/>
  <c r="AA543" i="32451"/>
  <c r="I301" i="32498"/>
  <c r="AA332" i="32451"/>
  <c r="I332" i="32498"/>
  <c r="AA363" i="32451"/>
  <c r="I392" i="32498"/>
  <c r="AA423" i="32451"/>
  <c r="I254" i="32498"/>
  <c r="AA285" i="32451"/>
  <c r="I598" i="32498"/>
  <c r="AA629" i="32451"/>
  <c r="I549" i="32498"/>
  <c r="AA580" i="32451"/>
  <c r="I465" i="32498"/>
  <c r="AA496" i="32451"/>
  <c r="I483" i="32498"/>
  <c r="AA514" i="32451"/>
  <c r="I536" i="32498"/>
  <c r="AA567" i="32451"/>
  <c r="I610" i="32498"/>
  <c r="AA641" i="32451"/>
  <c r="G522" i="32498"/>
  <c r="R553" i="32451"/>
  <c r="I453" i="32498"/>
  <c r="AA484" i="32451"/>
  <c r="G433" i="32498"/>
  <c r="R464" i="32451"/>
  <c r="AB464" i="32451" s="1"/>
  <c r="I581" i="32498"/>
  <c r="AA612" i="32451"/>
  <c r="G497" i="32498"/>
  <c r="R528" i="32451"/>
  <c r="I592" i="32498"/>
  <c r="AA623" i="32451"/>
  <c r="I292" i="32498"/>
  <c r="AA323" i="32451"/>
  <c r="I627" i="32498"/>
  <c r="AA658" i="32451"/>
  <c r="I404" i="32498"/>
  <c r="AA435" i="32451"/>
  <c r="I590" i="32498"/>
  <c r="AA621" i="32451"/>
  <c r="I612" i="32498"/>
  <c r="AA643" i="32451"/>
  <c r="I501" i="32498"/>
  <c r="AA532" i="32451"/>
  <c r="I263" i="32498"/>
  <c r="AA294" i="32451"/>
  <c r="I502" i="32498"/>
  <c r="AA533" i="32451"/>
  <c r="I431" i="32498"/>
  <c r="AA462" i="32451"/>
  <c r="I617" i="32498"/>
  <c r="AA648" i="32451"/>
  <c r="I642" i="32498"/>
  <c r="AA673" i="32451"/>
  <c r="C22" i="32498"/>
  <c r="C30" i="32498"/>
  <c r="C7" i="32498"/>
  <c r="C23" i="32498"/>
  <c r="C6" i="32498"/>
  <c r="C27" i="32498"/>
  <c r="C24" i="32498"/>
  <c r="C31" i="32498"/>
  <c r="C12" i="32498"/>
  <c r="C671" i="32498"/>
  <c r="C11" i="32498"/>
  <c r="C32" i="32498"/>
  <c r="C669" i="32498"/>
  <c r="C668" i="32498"/>
  <c r="C667" i="32498"/>
  <c r="C676" i="32498"/>
  <c r="C675" i="32498"/>
  <c r="C674" i="32498"/>
  <c r="C672" i="32498"/>
  <c r="C673" i="32498"/>
  <c r="C21" i="32498"/>
  <c r="C26" i="32498"/>
  <c r="C28" i="32498"/>
  <c r="C9" i="32498"/>
  <c r="C15" i="32498"/>
  <c r="C4" i="32498"/>
  <c r="C5" i="32498"/>
  <c r="C29" i="32498"/>
  <c r="E192" i="32498"/>
  <c r="E67" i="32498"/>
  <c r="E463" i="32498"/>
  <c r="E348" i="32498"/>
  <c r="E422" i="32498"/>
  <c r="E315" i="32498"/>
  <c r="E622" i="32498"/>
  <c r="E233" i="32498"/>
  <c r="E171" i="32498"/>
  <c r="E173" i="32498"/>
  <c r="E218" i="32498"/>
  <c r="E379" i="32498"/>
  <c r="E71" i="32498"/>
  <c r="E138" i="32498"/>
  <c r="E139" i="32498"/>
  <c r="E184" i="32498"/>
  <c r="E143" i="32498"/>
  <c r="E33" i="32498"/>
  <c r="E8" i="32498"/>
  <c r="C19" i="32498"/>
  <c r="E234" i="32498"/>
  <c r="E14" i="32498"/>
  <c r="E110" i="32498"/>
  <c r="E20" i="32498"/>
  <c r="E140" i="32498"/>
  <c r="E38" i="32498"/>
  <c r="E548" i="32498"/>
  <c r="E156" i="32498"/>
  <c r="E196" i="32498"/>
  <c r="E219" i="32498"/>
  <c r="E409" i="32498"/>
  <c r="E65" i="32498"/>
  <c r="E157" i="32498"/>
  <c r="E407" i="32498"/>
  <c r="C10" i="32498"/>
  <c r="E478" i="32498"/>
  <c r="E487" i="32498"/>
  <c r="E358" i="32498"/>
  <c r="E187" i="32498"/>
  <c r="E125" i="32498"/>
  <c r="E448" i="32498"/>
  <c r="E117" i="32498"/>
  <c r="C25" i="32498"/>
  <c r="E360" i="32498"/>
  <c r="E297" i="32498"/>
  <c r="E554" i="32498"/>
  <c r="E145" i="32498"/>
  <c r="E537" i="32498"/>
  <c r="E195" i="32498"/>
  <c r="E251" i="32498"/>
  <c r="E201" i="32498"/>
  <c r="E388" i="32498"/>
  <c r="E561" i="32498"/>
  <c r="E383" i="32498"/>
  <c r="E168" i="32498"/>
  <c r="E317" i="32498"/>
  <c r="E151" i="32498"/>
  <c r="E332" i="32498"/>
  <c r="E562" i="32498"/>
  <c r="E298" i="32498"/>
  <c r="E160" i="32498"/>
  <c r="E312" i="32498"/>
  <c r="E45" i="32498"/>
  <c r="E342" i="32498"/>
  <c r="E185" i="32498"/>
  <c r="E183" i="32498"/>
  <c r="E377" i="32498"/>
  <c r="E534" i="32498"/>
  <c r="E473" i="32498"/>
  <c r="E137" i="32498"/>
  <c r="E39" i="32498"/>
  <c r="C13" i="32498"/>
  <c r="E323" i="32498"/>
  <c r="E373" i="32498"/>
  <c r="E310" i="32498"/>
  <c r="E570" i="32498"/>
  <c r="E658" i="32498"/>
  <c r="E200" i="32498"/>
  <c r="E529" i="32498"/>
  <c r="E25" i="32498"/>
  <c r="E170" i="32498"/>
  <c r="E452" i="32498"/>
  <c r="E504" i="32498"/>
  <c r="E47" i="32498"/>
  <c r="E606" i="32498"/>
  <c r="E623" i="32498"/>
  <c r="E610" i="32498"/>
  <c r="E300" i="32498"/>
  <c r="E650" i="32498"/>
  <c r="E236" i="32498"/>
  <c r="E368" i="32498"/>
  <c r="E461" i="32498"/>
  <c r="E419" i="32498"/>
  <c r="E531" i="32498"/>
  <c r="E146" i="32498"/>
  <c r="E165" i="32498"/>
  <c r="E441" i="32498"/>
  <c r="E78" i="32498"/>
  <c r="E177" i="32498"/>
  <c r="E217" i="32498"/>
  <c r="E136" i="32498"/>
  <c r="E600" i="32498"/>
  <c r="E644" i="32498"/>
  <c r="E235" i="32498"/>
  <c r="E402" i="32498"/>
  <c r="E505" i="32498"/>
  <c r="E467" i="32498"/>
  <c r="E509" i="32498"/>
  <c r="E543" i="32498"/>
  <c r="E466" i="32498"/>
  <c r="E284" i="32498"/>
  <c r="E657" i="32498"/>
  <c r="E566" i="32498"/>
  <c r="E382" i="32498"/>
  <c r="E326" i="32498"/>
  <c r="E225" i="32498"/>
  <c r="E68" i="32498"/>
  <c r="E208" i="32498"/>
  <c r="E291" i="32498"/>
  <c r="E648" i="32498"/>
  <c r="E641" i="32498"/>
  <c r="E653" i="32498"/>
  <c r="E532" i="32498"/>
  <c r="E339" i="32498"/>
  <c r="E497" i="32498"/>
  <c r="E501" i="32498"/>
  <c r="E169" i="32498"/>
  <c r="E319" i="32498"/>
  <c r="E197" i="32498"/>
  <c r="E216" i="32498"/>
  <c r="E608" i="32498"/>
  <c r="E260" i="32498"/>
  <c r="E601" i="32498"/>
  <c r="E617" i="32498"/>
  <c r="E167" i="32498"/>
  <c r="E193" i="32498"/>
  <c r="E175" i="32498"/>
  <c r="E296" i="32498"/>
  <c r="E639" i="32498"/>
  <c r="E603" i="32498"/>
  <c r="E519" i="32498"/>
  <c r="E430" i="32498"/>
  <c r="E399" i="32498"/>
  <c r="E324" i="32498"/>
  <c r="E232" i="32498"/>
  <c r="E178" i="32498"/>
  <c r="E635" i="32498"/>
  <c r="E301" i="32498"/>
  <c r="E268" i="32498"/>
  <c r="E618" i="32498"/>
  <c r="E547" i="32498"/>
  <c r="E418" i="32498"/>
  <c r="E341" i="32498"/>
  <c r="E106" i="32498"/>
  <c r="E36" i="32498"/>
  <c r="E482" i="32498"/>
  <c r="E18" i="32498"/>
  <c r="E80" i="32498"/>
  <c r="E359" i="32498"/>
  <c r="E503" i="32498"/>
  <c r="E405" i="32498"/>
  <c r="E188" i="32498"/>
  <c r="E624" i="32498"/>
  <c r="E289" i="32498"/>
  <c r="E257" i="32498"/>
  <c r="E272" i="32498"/>
  <c r="E437" i="32498"/>
  <c r="E464" i="32498"/>
  <c r="E247" i="32498"/>
  <c r="E126" i="32498"/>
  <c r="E222" i="32498"/>
  <c r="E389" i="32498"/>
  <c r="E231" i="32498"/>
  <c r="E393" i="32498"/>
  <c r="E457" i="32498"/>
  <c r="E149" i="32498"/>
  <c r="E486" i="32498"/>
  <c r="E449" i="32498"/>
  <c r="E633" i="32498"/>
  <c r="E286" i="32498"/>
  <c r="E256" i="32498"/>
  <c r="E282" i="32498"/>
  <c r="E580" i="32498"/>
  <c r="E574" i="32498"/>
  <c r="E584" i="32498"/>
  <c r="E602" i="32498"/>
  <c r="E583" i="32498"/>
  <c r="E585" i="32498"/>
  <c r="E643" i="32498"/>
  <c r="E560" i="32498"/>
  <c r="E525" i="32498"/>
  <c r="E476" i="32498"/>
  <c r="E321" i="32498"/>
  <c r="E403" i="32498"/>
  <c r="E472" i="32498"/>
  <c r="E413" i="32498"/>
  <c r="E123" i="32498"/>
  <c r="E163" i="32498"/>
  <c r="E549" i="32498"/>
  <c r="E423" i="32498"/>
  <c r="E506" i="32498"/>
  <c r="E507" i="32498"/>
  <c r="E344" i="32498"/>
  <c r="E246" i="32498"/>
  <c r="E50" i="32498"/>
  <c r="E244" i="32498"/>
  <c r="E451" i="32498"/>
  <c r="E522" i="32498"/>
  <c r="E205" i="32498"/>
  <c r="E228" i="32498"/>
  <c r="E154" i="32498"/>
  <c r="E122" i="32498"/>
  <c r="E477" i="32498"/>
  <c r="E152" i="32498"/>
  <c r="E158" i="32498"/>
  <c r="E179" i="32498"/>
  <c r="E227" i="32498"/>
  <c r="E381" i="32498"/>
  <c r="E375" i="32498"/>
  <c r="E104" i="32498"/>
  <c r="E414" i="32498"/>
  <c r="E302" i="32498"/>
  <c r="E615" i="32498"/>
  <c r="E304" i="32498"/>
  <c r="E598" i="32498"/>
  <c r="E269" i="32498"/>
  <c r="E255" i="32498"/>
  <c r="E605" i="32498"/>
  <c r="E577" i="32498"/>
  <c r="E637" i="32498"/>
  <c r="E656" i="32498"/>
  <c r="E576" i="32498"/>
  <c r="E578" i="32498"/>
  <c r="E350" i="32498"/>
  <c r="E533" i="32498"/>
  <c r="E559" i="32498"/>
  <c r="E243" i="32498"/>
  <c r="E239" i="32498"/>
  <c r="E442" i="32498"/>
  <c r="E330" i="32498"/>
  <c r="E397" i="32498"/>
  <c r="E347" i="32498"/>
  <c r="E521" i="32498"/>
  <c r="E502" i="32498"/>
  <c r="E446" i="32498"/>
  <c r="E114" i="32498"/>
  <c r="E46" i="32498"/>
  <c r="E212" i="32498"/>
  <c r="E202" i="32498"/>
  <c r="E42" i="32498"/>
  <c r="E345" i="32498"/>
  <c r="E250" i="32498"/>
  <c r="E459" i="32498"/>
  <c r="E542" i="32498"/>
  <c r="E61" i="32498"/>
  <c r="E372" i="32498"/>
  <c r="E411" i="32498"/>
  <c r="E496" i="32498"/>
  <c r="E528" i="32498"/>
  <c r="E130" i="32498"/>
  <c r="E453" i="32498"/>
  <c r="E52" i="32498"/>
  <c r="E172" i="32498"/>
  <c r="E148" i="32498"/>
  <c r="E147" i="32498"/>
  <c r="E133" i="32498"/>
  <c r="E190" i="32498"/>
  <c r="E385" i="32498"/>
  <c r="E129" i="32498"/>
  <c r="E433" i="32498"/>
  <c r="E480" i="32498"/>
  <c r="E63" i="32498"/>
  <c r="E355" i="32498"/>
  <c r="E69" i="32498"/>
  <c r="E87" i="32498"/>
  <c r="E550" i="32498"/>
  <c r="C8" i="32498"/>
  <c r="C17" i="32498"/>
  <c r="E636" i="32498"/>
  <c r="E620" i="32498"/>
  <c r="E277" i="32498"/>
  <c r="E652" i="32498"/>
  <c r="E572" i="32498"/>
  <c r="E567" i="32498"/>
  <c r="E420" i="32498"/>
  <c r="E426" i="32498"/>
  <c r="E662" i="32498"/>
  <c r="E351" i="32498"/>
  <c r="E210" i="32498"/>
  <c r="E203" i="32498"/>
  <c r="E565" i="32498"/>
  <c r="E16" i="32498"/>
  <c r="E108" i="32498"/>
  <c r="E189" i="32498"/>
  <c r="E294" i="32498"/>
  <c r="E266" i="32498"/>
  <c r="E587" i="32498"/>
  <c r="E481" i="32498"/>
  <c r="E380" i="32498"/>
  <c r="E328" i="32498"/>
  <c r="E331" i="32498"/>
  <c r="E551" i="32498"/>
  <c r="E616" i="32498"/>
  <c r="E142" i="32498"/>
  <c r="E552" i="32498"/>
  <c r="E86" i="32498"/>
  <c r="E206" i="32498"/>
  <c r="E609" i="32498"/>
  <c r="E290" i="32498"/>
  <c r="E579" i="32498"/>
  <c r="E489" i="32498"/>
  <c r="E642" i="32498"/>
  <c r="E421" i="32498"/>
  <c r="E417" i="32498"/>
  <c r="E378" i="32498"/>
  <c r="E199" i="32498"/>
  <c r="E447" i="32498"/>
  <c r="E619" i="32498"/>
  <c r="E305" i="32498"/>
  <c r="E281" i="32498"/>
  <c r="E646" i="32498"/>
  <c r="E568" i="32498"/>
  <c r="E436" i="32498"/>
  <c r="E410" i="32498"/>
  <c r="E470" i="32498"/>
  <c r="E349" i="32498"/>
  <c r="E511" i="32498"/>
  <c r="E128" i="32498"/>
  <c r="E97" i="32498"/>
  <c r="E366" i="32498"/>
  <c r="E144" i="32498"/>
  <c r="E485" i="32498"/>
  <c r="E94" i="32498"/>
  <c r="E384" i="32498"/>
  <c r="E649" i="32498"/>
  <c r="E599" i="32498"/>
  <c r="E362" i="32498"/>
  <c r="E484" i="32498"/>
  <c r="E408" i="32498"/>
  <c r="E120" i="32498"/>
  <c r="E75" i="32498"/>
  <c r="E327" i="32498"/>
  <c r="E634" i="32498"/>
  <c r="E280" i="32498"/>
  <c r="E645" i="32498"/>
  <c r="E491" i="32498"/>
  <c r="E320" i="32498"/>
  <c r="E425" i="32498"/>
  <c r="E524" i="32498"/>
  <c r="E134" i="32498"/>
  <c r="E98" i="32498"/>
  <c r="E546" i="32498"/>
  <c r="E415" i="32498"/>
  <c r="E325" i="32498"/>
  <c r="E34" i="32498"/>
  <c r="E625" i="32498"/>
  <c r="E595" i="32498"/>
  <c r="E264" i="32498"/>
  <c r="E593" i="32498"/>
  <c r="E571" i="32498"/>
  <c r="E406" i="32498"/>
  <c r="E513" i="32498"/>
  <c r="E557" i="32498"/>
  <c r="E517" i="32498"/>
  <c r="E182" i="32498"/>
  <c r="E458" i="32498"/>
  <c r="E456" i="32498"/>
  <c r="E112" i="32498"/>
  <c r="E440" i="32498"/>
  <c r="E553" i="32498"/>
  <c r="E162" i="32498"/>
  <c r="E153" i="32498"/>
  <c r="E223" i="32498"/>
  <c r="E181" i="32498"/>
  <c r="E630" i="32498"/>
  <c r="E614" i="32498"/>
  <c r="E252" i="32498"/>
  <c r="E263" i="32498"/>
  <c r="E329" i="32498"/>
  <c r="E424" i="32498"/>
  <c r="E241" i="32498"/>
  <c r="E135" i="32498"/>
  <c r="E429" i="32498"/>
  <c r="E308" i="32498"/>
  <c r="E180" i="32498"/>
  <c r="E174" i="32498"/>
  <c r="E176" i="32498"/>
  <c r="E194" i="32498"/>
  <c r="E363" i="32498"/>
  <c r="E367" i="32498"/>
  <c r="E35" i="32498"/>
  <c r="E127" i="32498"/>
  <c r="E629" i="32498"/>
  <c r="E621" i="32498"/>
  <c r="E292" i="32498"/>
  <c r="E432" i="32498"/>
  <c r="E240" i="32498"/>
  <c r="E386" i="32498"/>
  <c r="E465" i="32498"/>
  <c r="E395" i="32498"/>
  <c r="E494" i="32498"/>
  <c r="E365" i="32498"/>
  <c r="E44" i="32498"/>
  <c r="E107" i="32498"/>
  <c r="E404" i="32498"/>
  <c r="E245" i="32498"/>
  <c r="E545" i="32498"/>
  <c r="E530" i="32498"/>
  <c r="E526" i="32498"/>
  <c r="E468" i="32498"/>
  <c r="E229" i="32498"/>
  <c r="E357" i="32498"/>
  <c r="E394" i="32498"/>
  <c r="E131" i="32498"/>
  <c r="E159" i="32498"/>
  <c r="E91" i="32498"/>
  <c r="E444" i="32498"/>
  <c r="E132" i="32498"/>
  <c r="E214" i="32498"/>
  <c r="E186" i="32498"/>
  <c r="E392" i="32498"/>
  <c r="E443" i="32498"/>
  <c r="E626" i="32498"/>
  <c r="E306" i="32498"/>
  <c r="E647" i="32498"/>
  <c r="E659" i="32498"/>
  <c r="E651" i="32498"/>
  <c r="E474" i="32498"/>
  <c r="E498" i="32498"/>
  <c r="E535" i="32498"/>
  <c r="E361" i="32498"/>
  <c r="E334" i="32498"/>
  <c r="E314" i="32498"/>
  <c r="E230" i="32498"/>
  <c r="E40" i="32498"/>
  <c r="E48" i="32498"/>
  <c r="E213" i="32498"/>
  <c r="E164" i="32498"/>
  <c r="E612" i="32498"/>
  <c r="E287" i="32498"/>
  <c r="E660" i="32498"/>
  <c r="E586" i="32498"/>
  <c r="E514" i="32498"/>
  <c r="E520" i="32498"/>
  <c r="E396" i="32498"/>
  <c r="E401" i="32498"/>
  <c r="E492" i="32498"/>
  <c r="E369" i="32498"/>
  <c r="E353" i="32498"/>
  <c r="E483" i="32498"/>
  <c r="E322" i="32498"/>
  <c r="E303" i="32498"/>
  <c r="E278" i="32498"/>
  <c r="E267" i="32498"/>
  <c r="E253" i="32498"/>
  <c r="E450" i="32498"/>
  <c r="E493" i="32498"/>
  <c r="E307" i="32498"/>
  <c r="E161" i="32498"/>
  <c r="E220" i="32498"/>
  <c r="E499" i="32498"/>
  <c r="E346" i="32498"/>
  <c r="E611" i="32498"/>
  <c r="E631" i="32498"/>
  <c r="E279" i="32498"/>
  <c r="E265" i="32498"/>
  <c r="E604" i="32498"/>
  <c r="E665" i="32498"/>
  <c r="E569" i="32498"/>
  <c r="E313" i="32498"/>
  <c r="E340" i="32498"/>
  <c r="E536" i="32498"/>
  <c r="E516" i="32498"/>
  <c r="E191" i="32498"/>
  <c r="E431" i="32498"/>
  <c r="E400" i="32498"/>
  <c r="E540" i="32498"/>
  <c r="E215" i="32498"/>
  <c r="E613" i="32498"/>
  <c r="E607" i="32498"/>
  <c r="E295" i="32498"/>
  <c r="E258" i="32498"/>
  <c r="E254" i="32498"/>
  <c r="E597" i="32498"/>
  <c r="E654" i="32498"/>
  <c r="E237" i="32498"/>
  <c r="E354" i="32498"/>
  <c r="E544" i="32498"/>
  <c r="E333" i="32498"/>
  <c r="E116" i="32498"/>
  <c r="E248" i="32498"/>
  <c r="E398" i="32498"/>
  <c r="E288" i="32498"/>
  <c r="E262" i="32498"/>
  <c r="E259" i="32498"/>
  <c r="E271" i="32498"/>
  <c r="E573" i="32498"/>
  <c r="E640" i="32498"/>
  <c r="E445" i="32498"/>
  <c r="E238" i="32498"/>
  <c r="E527" i="32498"/>
  <c r="E376" i="32498"/>
  <c r="E512" i="32498"/>
  <c r="E469" i="32498"/>
  <c r="E85" i="32498"/>
  <c r="E82" i="32498"/>
  <c r="E490" i="32498"/>
  <c r="E204" i="32498"/>
  <c r="E299" i="32498"/>
  <c r="E581" i="32498"/>
  <c r="E336" i="32498"/>
  <c r="E338" i="32498"/>
  <c r="E391" i="32498"/>
  <c r="E558" i="32498"/>
  <c r="E416" i="32498"/>
  <c r="E84" i="32498"/>
  <c r="E100" i="32498"/>
  <c r="E221" i="32498"/>
  <c r="E293" i="32498"/>
  <c r="E582" i="32498"/>
  <c r="E435" i="32498"/>
  <c r="E523" i="32498"/>
  <c r="E211" i="32498"/>
  <c r="E627" i="32498"/>
  <c r="E632" i="32498"/>
  <c r="E270" i="32498"/>
  <c r="E274" i="32498"/>
  <c r="E273" i="32498"/>
  <c r="E275" i="32498"/>
  <c r="E590" i="32498"/>
  <c r="E655" i="32498"/>
  <c r="E276" i="32498"/>
  <c r="E285" i="32498"/>
  <c r="E283" i="32498"/>
  <c r="E588" i="32498"/>
  <c r="E261" i="32498"/>
  <c r="E575" i="32498"/>
  <c r="E592" i="32498"/>
  <c r="E594" i="32498"/>
  <c r="E666" i="32498"/>
  <c r="E638" i="32498"/>
  <c r="E591" i="32498"/>
  <c r="E242" i="32498"/>
  <c r="E495" i="32498"/>
  <c r="E515" i="32498"/>
  <c r="E249" i="32498"/>
  <c r="E462" i="32498"/>
  <c r="E628" i="32498"/>
  <c r="E460" i="32498"/>
  <c r="E538" i="32498"/>
  <c r="E316" i="32498"/>
  <c r="E318" i="32498"/>
  <c r="E374" i="32498"/>
  <c r="E155" i="32498"/>
  <c r="E49" i="32498"/>
  <c r="E207" i="32498"/>
  <c r="E64" i="32498"/>
  <c r="E337" i="32498"/>
  <c r="E90" i="32498"/>
  <c r="E309" i="32498"/>
  <c r="E455" i="32498"/>
  <c r="E471" i="32498"/>
  <c r="E371" i="32498"/>
  <c r="E564" i="32498"/>
  <c r="E434" i="32498"/>
  <c r="E311" i="32498"/>
  <c r="E428" i="32498"/>
  <c r="E198" i="32498"/>
  <c r="E141" i="32498"/>
  <c r="E118" i="32498"/>
  <c r="E226" i="32498"/>
  <c r="E209" i="32498"/>
  <c r="E224" i="32498"/>
  <c r="E150" i="32498"/>
  <c r="E343" i="32498"/>
  <c r="E166" i="32498"/>
  <c r="E439" i="32498"/>
  <c r="C3" i="32498"/>
  <c r="G401" i="32451"/>
  <c r="G620" i="32451"/>
  <c r="G531" i="32451"/>
  <c r="G594" i="32451"/>
  <c r="G549" i="32451"/>
  <c r="G571" i="32451"/>
  <c r="G610" i="32451"/>
  <c r="G446" i="32451"/>
  <c r="G521" i="32451"/>
  <c r="G419" i="32451"/>
  <c r="G479" i="32451"/>
  <c r="G471" i="32451"/>
  <c r="G565" i="32451"/>
  <c r="G348" i="32451"/>
  <c r="G515" i="32451"/>
  <c r="G584" i="32451"/>
  <c r="G436" i="32451"/>
  <c r="G537" i="32451"/>
  <c r="G394" i="32451"/>
  <c r="G398" i="32451"/>
  <c r="G318" i="32451"/>
  <c r="G548" i="32451"/>
  <c r="G490" i="32451"/>
  <c r="G403" i="32451"/>
  <c r="G304" i="32451"/>
  <c r="G557" i="32451"/>
  <c r="G388" i="32451"/>
  <c r="G503" i="32451"/>
  <c r="G340" i="32451"/>
  <c r="G502" i="32451"/>
  <c r="G581" i="32451"/>
  <c r="G374" i="32451"/>
  <c r="G474" i="32451"/>
  <c r="G384" i="32451"/>
  <c r="G583" i="32451"/>
  <c r="G514" i="32451"/>
  <c r="G347" i="32451"/>
  <c r="G530" i="32451"/>
  <c r="G478" i="32451"/>
  <c r="G453" i="32451"/>
  <c r="G505" i="32451"/>
  <c r="G462" i="32451"/>
  <c r="G431" i="32451"/>
  <c r="G65" i="32451"/>
  <c r="G282" i="32451"/>
  <c r="G509" i="32451"/>
  <c r="AT449" i="32451"/>
  <c r="AB449" i="32451" s="1"/>
  <c r="AR572" i="32451"/>
  <c r="AT490" i="32451"/>
  <c r="AL524" i="32451"/>
  <c r="AK532" i="32451"/>
  <c r="AS524" i="32451"/>
  <c r="AB524" i="32451" s="1"/>
  <c r="AS363" i="32451"/>
  <c r="G487" i="32451"/>
  <c r="AR363" i="32451"/>
  <c r="Z363" i="32451" s="1"/>
  <c r="AR521" i="32451"/>
  <c r="Z521" i="32451" s="1"/>
  <c r="AT527" i="32451"/>
  <c r="AK521" i="32451"/>
  <c r="AS514" i="32451"/>
  <c r="AL446" i="32451"/>
  <c r="AR513" i="32451"/>
  <c r="AJ523" i="32451"/>
  <c r="AJ577" i="32451"/>
  <c r="AR402" i="32451"/>
  <c r="AT420" i="32451"/>
  <c r="AL514" i="32451"/>
  <c r="AJ575" i="32451"/>
  <c r="AK542" i="32451"/>
  <c r="AJ363" i="32451"/>
  <c r="AS420" i="32451"/>
  <c r="AQ474" i="32451"/>
  <c r="Z474" i="32451" s="1"/>
  <c r="AQ532" i="32451"/>
  <c r="AT514" i="32451"/>
  <c r="AS388" i="32451"/>
  <c r="AB388" i="32451" s="1"/>
  <c r="AT595" i="32451"/>
  <c r="AB595" i="32451" s="1"/>
  <c r="AK512" i="32451"/>
  <c r="AL388" i="32451"/>
  <c r="AQ402" i="32451"/>
  <c r="AS484" i="32451"/>
  <c r="AB484" i="32451" s="1"/>
  <c r="AS596" i="32451"/>
  <c r="AQ377" i="32451"/>
  <c r="AK502" i="32451"/>
  <c r="AK377" i="32451"/>
  <c r="AK595" i="32451"/>
  <c r="AL345" i="32451"/>
  <c r="AR502" i="32451"/>
  <c r="AS431" i="32451"/>
  <c r="AB431" i="32451" s="1"/>
  <c r="AQ482" i="32451"/>
  <c r="Z482" i="32451" s="1"/>
  <c r="AR442" i="32451"/>
  <c r="Z442" i="32451" s="1"/>
  <c r="AQ384" i="32451"/>
  <c r="Z384" i="32451" s="1"/>
  <c r="AQ572" i="32451"/>
  <c r="AS575" i="32451"/>
  <c r="AB575" i="32451" s="1"/>
  <c r="AK497" i="32451"/>
  <c r="AS523" i="32451"/>
  <c r="AJ497" i="32451"/>
  <c r="AT363" i="32451"/>
  <c r="AS527" i="32451"/>
  <c r="AL527" i="32451"/>
  <c r="AL363" i="32451"/>
  <c r="AT499" i="32451"/>
  <c r="AR458" i="32451"/>
  <c r="AQ458" i="32451"/>
  <c r="AL458" i="32451"/>
  <c r="AT458" i="32451"/>
  <c r="AQ595" i="32451"/>
  <c r="Z595" i="32451" s="1"/>
  <c r="AJ429" i="32451"/>
  <c r="AT561" i="32451"/>
  <c r="AL561" i="32451"/>
  <c r="AQ497" i="32451"/>
  <c r="AK465" i="32451"/>
  <c r="AR488" i="32451"/>
  <c r="Z488" i="32451" s="1"/>
  <c r="AJ595" i="32451"/>
  <c r="AT497" i="32451"/>
  <c r="AS497" i="32451"/>
  <c r="AT424" i="32451"/>
  <c r="AL497" i="32451"/>
  <c r="AJ465" i="32451"/>
  <c r="AR520" i="32451"/>
  <c r="AK520" i="32451"/>
  <c r="AS553" i="32451"/>
  <c r="AB553" i="32451" s="1"/>
  <c r="AL553" i="32451"/>
  <c r="AK559" i="32451"/>
  <c r="AR490" i="32451"/>
  <c r="AR497" i="32451"/>
  <c r="AJ458" i="32451"/>
  <c r="AJ559" i="32451"/>
  <c r="AQ520" i="32451"/>
  <c r="AQ424" i="32451"/>
  <c r="AS442" i="32451"/>
  <c r="AB442" i="32451" s="1"/>
  <c r="AR377" i="32451"/>
  <c r="AQ502" i="32451"/>
  <c r="AS345" i="32451"/>
  <c r="AS490" i="32451"/>
  <c r="AJ375" i="32451"/>
  <c r="AL490" i="32451"/>
  <c r="AR465" i="32451"/>
  <c r="AQ465" i="32451"/>
  <c r="AR559" i="32451"/>
  <c r="AQ559" i="32451"/>
  <c r="AJ431" i="32451"/>
  <c r="AT559" i="32451"/>
  <c r="AL559" i="32451"/>
  <c r="AS559" i="32451"/>
  <c r="AS499" i="32451"/>
  <c r="AR431" i="32451"/>
  <c r="AQ431" i="32451"/>
  <c r="AS561" i="32451"/>
  <c r="AJ403" i="32451"/>
  <c r="AL499" i="32451"/>
  <c r="AR561" i="32451"/>
  <c r="AQ561" i="32451"/>
  <c r="AK561" i="32451"/>
  <c r="AK431" i="32451"/>
  <c r="AL701" i="32451"/>
  <c r="AR576" i="32451"/>
  <c r="AL595" i="32451"/>
  <c r="AJ557" i="32451"/>
  <c r="AT583" i="32451"/>
  <c r="AL442" i="32451"/>
  <c r="AS583" i="32451"/>
  <c r="AJ364" i="32451"/>
  <c r="AJ454" i="32451"/>
  <c r="AT537" i="32451"/>
  <c r="AS495" i="32451"/>
  <c r="AT465" i="32451"/>
  <c r="AS465" i="32451"/>
  <c r="AT339" i="32451"/>
  <c r="AJ499" i="32451"/>
  <c r="AT403" i="32451"/>
  <c r="AL495" i="32451"/>
  <c r="AL465" i="32451"/>
  <c r="AJ527" i="32451"/>
  <c r="AR499" i="32451"/>
  <c r="AQ499" i="32451"/>
  <c r="AJ449" i="32451"/>
  <c r="AT495" i="32451"/>
  <c r="AK499" i="32451"/>
  <c r="AQ513" i="32451"/>
  <c r="AK513" i="32451"/>
  <c r="AJ495" i="32451"/>
  <c r="AK458" i="32451"/>
  <c r="AR477" i="32451"/>
  <c r="AR393" i="32451"/>
  <c r="AK402" i="32451"/>
  <c r="AJ663" i="32451"/>
  <c r="AR532" i="32451"/>
  <c r="AR401" i="32451"/>
  <c r="AK572" i="32451"/>
  <c r="AJ377" i="32451"/>
  <c r="AJ580" i="32451"/>
  <c r="AR424" i="32451"/>
  <c r="AT523" i="32451"/>
  <c r="AS566" i="32451"/>
  <c r="AB566" i="32451" s="1"/>
  <c r="AJ537" i="32451"/>
  <c r="AK503" i="32451"/>
  <c r="AL420" i="32451"/>
  <c r="AJ382" i="32451"/>
  <c r="AJ397" i="32451"/>
  <c r="AR345" i="32451"/>
  <c r="Z345" i="32451" s="1"/>
  <c r="AT596" i="32451"/>
  <c r="AL596" i="32451"/>
  <c r="AK424" i="32451"/>
  <c r="AK345" i="32451"/>
  <c r="AK384" i="32451"/>
  <c r="AL574" i="32451"/>
  <c r="AT343" i="32451"/>
  <c r="AL397" i="32451"/>
  <c r="AL523" i="32451"/>
  <c r="AQ454" i="32451"/>
  <c r="Z454" i="32451" s="1"/>
  <c r="AR570" i="32451"/>
  <c r="AK555" i="32451"/>
  <c r="AK577" i="32451"/>
  <c r="AL555" i="32451"/>
  <c r="AS462" i="32451"/>
  <c r="AS343" i="32451"/>
  <c r="AS532" i="32451"/>
  <c r="AJ485" i="32451"/>
  <c r="AK454" i="32451"/>
  <c r="AJ472" i="32451"/>
  <c r="AJ444" i="32451"/>
  <c r="AJ490" i="32451"/>
  <c r="G582" i="32451"/>
  <c r="AS505" i="32451"/>
  <c r="AK455" i="32451"/>
  <c r="AK489" i="32451"/>
  <c r="AS339" i="32451"/>
  <c r="AL580" i="32451"/>
  <c r="AK583" i="32451"/>
  <c r="AJ358" i="32451"/>
  <c r="AQ573" i="32451"/>
  <c r="AS555" i="32451"/>
  <c r="AL462" i="32451"/>
  <c r="AL583" i="32451"/>
  <c r="AR573" i="32451"/>
  <c r="AQ481" i="32451"/>
  <c r="AT555" i="32451"/>
  <c r="AK573" i="32451"/>
  <c r="AJ502" i="32451"/>
  <c r="AK515" i="32451"/>
  <c r="AR523" i="32451"/>
  <c r="G573" i="32451"/>
  <c r="AR515" i="32451"/>
  <c r="AR545" i="32451"/>
  <c r="AQ523" i="32451"/>
  <c r="AK523" i="32451"/>
  <c r="AK545" i="32451"/>
  <c r="AQ515" i="32451"/>
  <c r="AQ545" i="32451"/>
  <c r="AR481" i="32451"/>
  <c r="AT438" i="32451"/>
  <c r="AK481" i="32451"/>
  <c r="AS486" i="32451"/>
  <c r="AS403" i="32451"/>
  <c r="AS537" i="32451"/>
  <c r="AL537" i="32451"/>
  <c r="AT462" i="32451"/>
  <c r="AJ477" i="32451"/>
  <c r="AL532" i="32451"/>
  <c r="AJ354" i="32451"/>
  <c r="AR489" i="32451"/>
  <c r="AQ576" i="32451"/>
  <c r="AT397" i="32451"/>
  <c r="AS338" i="32451"/>
  <c r="AK576" i="32451"/>
  <c r="AJ573" i="32451"/>
  <c r="AQ489" i="32451"/>
  <c r="AS397" i="32451"/>
  <c r="AS422" i="32451"/>
  <c r="AT532" i="32451"/>
  <c r="AR396" i="32451"/>
  <c r="AK538" i="32451"/>
  <c r="AK490" i="32451"/>
  <c r="AK396" i="32451"/>
  <c r="AQ396" i="32451"/>
  <c r="AQ495" i="32451"/>
  <c r="Z495" i="32451" s="1"/>
  <c r="G358" i="32451"/>
  <c r="AR542" i="32451"/>
  <c r="AR397" i="32451"/>
  <c r="AR538" i="32451"/>
  <c r="AT435" i="32451"/>
  <c r="AL513" i="32451"/>
  <c r="AJ513" i="32451"/>
  <c r="AQ542" i="32451"/>
  <c r="AR487" i="32451"/>
  <c r="AQ397" i="32451"/>
  <c r="AQ538" i="32451"/>
  <c r="AS435" i="32451"/>
  <c r="AK495" i="32451"/>
  <c r="AJ442" i="32451"/>
  <c r="AK420" i="32451"/>
  <c r="AR420" i="32451"/>
  <c r="AQ487" i="32451"/>
  <c r="AT574" i="32451"/>
  <c r="AL489" i="32451"/>
  <c r="AJ486" i="32451"/>
  <c r="AL403" i="32451"/>
  <c r="AQ490" i="32451"/>
  <c r="AK397" i="32451"/>
  <c r="AJ583" i="32451"/>
  <c r="AQ420" i="32451"/>
  <c r="AS472" i="32451"/>
  <c r="AL402" i="32451"/>
  <c r="AL435" i="32451"/>
  <c r="AJ532" i="32451"/>
  <c r="AK477" i="32451"/>
  <c r="AL542" i="32451"/>
  <c r="AT382" i="32451"/>
  <c r="AT576" i="32451"/>
  <c r="AT542" i="32451"/>
  <c r="AJ417" i="32451"/>
  <c r="AK393" i="32451"/>
  <c r="AL396" i="32451"/>
  <c r="AR701" i="32451"/>
  <c r="AQ393" i="32451"/>
  <c r="AS382" i="32451"/>
  <c r="AS576" i="32451"/>
  <c r="AT530" i="32451"/>
  <c r="AS358" i="32451"/>
  <c r="AS542" i="32451"/>
  <c r="AL486" i="32451"/>
  <c r="AQ477" i="32451"/>
  <c r="AS458" i="32451"/>
  <c r="AT358" i="32451"/>
  <c r="AQ577" i="32451"/>
  <c r="AQ701" i="32451"/>
  <c r="AS530" i="32451"/>
  <c r="AS522" i="32451"/>
  <c r="AT502" i="32451"/>
  <c r="AJ542" i="32451"/>
  <c r="AJ538" i="32451"/>
  <c r="AK575" i="32451"/>
  <c r="G368" i="32451"/>
  <c r="AL576" i="32451"/>
  <c r="G523" i="32451"/>
  <c r="G647" i="32451"/>
  <c r="AK701" i="32451"/>
  <c r="AR435" i="32451"/>
  <c r="AR575" i="32451"/>
  <c r="AS396" i="32451"/>
  <c r="AL522" i="32451"/>
  <c r="AL358" i="32451"/>
  <c r="AT396" i="32451"/>
  <c r="AL502" i="32451"/>
  <c r="AQ575" i="32451"/>
  <c r="AL530" i="32451"/>
  <c r="AL382" i="32451"/>
  <c r="AS502" i="32451"/>
  <c r="G420" i="32451"/>
  <c r="G460" i="32451"/>
  <c r="G533" i="32451"/>
  <c r="AT486" i="32451"/>
  <c r="AT347" i="32451"/>
  <c r="AK375" i="32451"/>
  <c r="AK56" i="32451"/>
  <c r="AJ596" i="32451"/>
  <c r="AK350" i="32451"/>
  <c r="AL545" i="32451"/>
  <c r="AT503" i="32451"/>
  <c r="AR350" i="32451"/>
  <c r="AS503" i="32451"/>
  <c r="AL503" i="32451"/>
  <c r="AQ350" i="32451"/>
  <c r="AK487" i="32451"/>
  <c r="AJ500" i="32451"/>
  <c r="AT545" i="32451"/>
  <c r="AS545" i="32451"/>
  <c r="AT701" i="32451"/>
  <c r="AL429" i="32451"/>
  <c r="AS701" i="32451"/>
  <c r="AL338" i="32451"/>
  <c r="AR505" i="32451"/>
  <c r="AT512" i="32451"/>
  <c r="AL512" i="32451"/>
  <c r="AS512" i="32451"/>
  <c r="AQ554" i="32451"/>
  <c r="AT520" i="32451"/>
  <c r="AJ56" i="32451"/>
  <c r="AS520" i="32451"/>
  <c r="AJ402" i="32451"/>
  <c r="G338" i="32451"/>
  <c r="AK554" i="32451"/>
  <c r="AR554" i="32451"/>
  <c r="AK435" i="32451"/>
  <c r="AS424" i="32451"/>
  <c r="AT572" i="32451"/>
  <c r="AK438" i="32451"/>
  <c r="AJ505" i="32451"/>
  <c r="AR438" i="32451"/>
  <c r="AR512" i="32451"/>
  <c r="AS572" i="32451"/>
  <c r="AL477" i="32451"/>
  <c r="AL572" i="32451"/>
  <c r="AQ438" i="32451"/>
  <c r="AQ512" i="32451"/>
  <c r="AT368" i="32451"/>
  <c r="AL368" i="32451"/>
  <c r="AJ512" i="32451"/>
  <c r="AS487" i="32451"/>
  <c r="AS368" i="32451"/>
  <c r="AL424" i="32451"/>
  <c r="AT345" i="32451"/>
  <c r="AT522" i="32451"/>
  <c r="AQ401" i="32451"/>
  <c r="AR555" i="32451"/>
  <c r="AL339" i="32451"/>
  <c r="AL401" i="32451"/>
  <c r="AK570" i="32451"/>
  <c r="AQ555" i="32451"/>
  <c r="AL472" i="32451"/>
  <c r="AR566" i="32451"/>
  <c r="AJ400" i="32451"/>
  <c r="AK566" i="32451"/>
  <c r="AJ566" i="32451"/>
  <c r="AR368" i="32451"/>
  <c r="AT489" i="32451"/>
  <c r="AS401" i="32451"/>
  <c r="AS574" i="32451"/>
  <c r="AL422" i="32451"/>
  <c r="AK401" i="32451"/>
  <c r="AQ570" i="32451"/>
  <c r="AQ566" i="32451"/>
  <c r="AT401" i="32451"/>
  <c r="AK368" i="32451"/>
  <c r="AQ368" i="32451"/>
  <c r="AS489" i="32451"/>
  <c r="AT422" i="32451"/>
  <c r="AT505" i="32451"/>
  <c r="AT472" i="32451"/>
  <c r="AL505" i="32451"/>
  <c r="AQ440" i="32451"/>
  <c r="AT487" i="32451"/>
  <c r="AJ455" i="32451"/>
  <c r="AL487" i="32451"/>
  <c r="AT477" i="32451"/>
  <c r="AK444" i="32451"/>
  <c r="AR349" i="32451"/>
  <c r="AS477" i="32451"/>
  <c r="AQ375" i="32451"/>
  <c r="AR647" i="32451"/>
  <c r="AT573" i="32451"/>
  <c r="AJ350" i="32451"/>
  <c r="AL413" i="32451"/>
  <c r="AJ446" i="32451"/>
  <c r="AJ345" i="32451"/>
  <c r="AK349" i="32451"/>
  <c r="AT444" i="32451"/>
  <c r="AS573" i="32451"/>
  <c r="AR440" i="32451"/>
  <c r="AS444" i="32451"/>
  <c r="AK450" i="32451"/>
  <c r="AQ647" i="32451"/>
  <c r="G501" i="32451"/>
  <c r="AK647" i="32451"/>
  <c r="AR455" i="32451"/>
  <c r="AQ451" i="32451"/>
  <c r="AQ455" i="32451"/>
  <c r="AR444" i="32451"/>
  <c r="AS347" i="32451"/>
  <c r="AR375" i="32451"/>
  <c r="AQ444" i="32451"/>
  <c r="AL520" i="32451"/>
  <c r="AT440" i="32451"/>
  <c r="AQ349" i="32451"/>
  <c r="AS440" i="32451"/>
  <c r="AJ543" i="32451"/>
  <c r="G540" i="32451"/>
  <c r="AR407" i="32451"/>
  <c r="AL355" i="32451"/>
  <c r="AK496" i="32451"/>
  <c r="AQ505" i="32451"/>
  <c r="AK505" i="32451"/>
  <c r="AJ396" i="32451"/>
  <c r="AK400" i="32451"/>
  <c r="AR400" i="32451"/>
  <c r="AQ400" i="32451"/>
  <c r="AK364" i="32451"/>
  <c r="AR364" i="32451"/>
  <c r="AT580" i="32451"/>
  <c r="AK598" i="32451"/>
  <c r="AL438" i="32451"/>
  <c r="AQ364" i="32451"/>
  <c r="AS580" i="32451"/>
  <c r="AJ515" i="32451"/>
  <c r="AL500" i="32451"/>
  <c r="AL558" i="32451"/>
  <c r="AR598" i="32451"/>
  <c r="AT500" i="32451"/>
  <c r="AJ421" i="32451"/>
  <c r="AQ598" i="32451"/>
  <c r="AT338" i="32451"/>
  <c r="AS500" i="32451"/>
  <c r="AS438" i="32451"/>
  <c r="AJ520" i="32451"/>
  <c r="G427" i="32451"/>
  <c r="AJ647" i="32451"/>
  <c r="AR451" i="32451"/>
  <c r="AQ407" i="32451"/>
  <c r="AK558" i="32451"/>
  <c r="AL548" i="32451"/>
  <c r="AJ385" i="32451"/>
  <c r="AL647" i="32451"/>
  <c r="AR640" i="32451"/>
  <c r="AR583" i="32451"/>
  <c r="AR457" i="32451"/>
  <c r="AT543" i="32451"/>
  <c r="G345" i="32451"/>
  <c r="AQ583" i="32451"/>
  <c r="AQ457" i="32451"/>
  <c r="AS543" i="32451"/>
  <c r="AT349" i="32451"/>
  <c r="AS349" i="32451"/>
  <c r="AT647" i="32451"/>
  <c r="AJ498" i="32451"/>
  <c r="AS647" i="32451"/>
  <c r="AL444" i="32451"/>
  <c r="AL492" i="32451"/>
  <c r="G547" i="32451"/>
  <c r="AK569" i="32451"/>
  <c r="AL447" i="32451"/>
  <c r="AL496" i="32451"/>
  <c r="AL457" i="32451"/>
  <c r="AQ430" i="32451"/>
  <c r="AK440" i="32451"/>
  <c r="AL573" i="32451"/>
  <c r="AT515" i="32451"/>
  <c r="AT355" i="32451"/>
  <c r="AT429" i="32451"/>
  <c r="AR577" i="32451"/>
  <c r="AR430" i="32451"/>
  <c r="AS355" i="32451"/>
  <c r="AS429" i="32451"/>
  <c r="AJ554" i="32451"/>
  <c r="AJ373" i="32451"/>
  <c r="AJ466" i="32451"/>
  <c r="AK395" i="32451"/>
  <c r="AT365" i="32451"/>
  <c r="AS515" i="32451"/>
  <c r="AS365" i="32451"/>
  <c r="AJ491" i="32451"/>
  <c r="AK434" i="32451"/>
  <c r="AS360" i="32451"/>
  <c r="AL515" i="32451"/>
  <c r="AQ446" i="32451"/>
  <c r="AR434" i="32451"/>
  <c r="AT558" i="32451"/>
  <c r="AQ434" i="32451"/>
  <c r="AS558" i="32451"/>
  <c r="AL365" i="32451"/>
  <c r="AK459" i="32451"/>
  <c r="AQ459" i="32451"/>
  <c r="AQ478" i="32451"/>
  <c r="AK478" i="32451"/>
  <c r="G432" i="32451"/>
  <c r="AK426" i="32451"/>
  <c r="AJ420" i="32451"/>
  <c r="G543" i="32451"/>
  <c r="AK589" i="32451"/>
  <c r="AK385" i="32451"/>
  <c r="AJ569" i="32451"/>
  <c r="AK548" i="32451"/>
  <c r="AL426" i="32451"/>
  <c r="AR459" i="32451"/>
  <c r="AR478" i="32451"/>
  <c r="AK527" i="32451"/>
  <c r="AR527" i="32451"/>
  <c r="AQ527" i="32451"/>
  <c r="AL543" i="32451"/>
  <c r="AL538" i="32451"/>
  <c r="AQ413" i="32451"/>
  <c r="G341" i="32451"/>
  <c r="AR514" i="32451"/>
  <c r="AK383" i="32451"/>
  <c r="AT371" i="32451"/>
  <c r="AR569" i="32451"/>
  <c r="AL547" i="32451"/>
  <c r="AR425" i="32451"/>
  <c r="AK446" i="32451"/>
  <c r="AQ425" i="32451"/>
  <c r="G355" i="32451"/>
  <c r="AK447" i="32451"/>
  <c r="AR354" i="32451"/>
  <c r="AT407" i="32451"/>
  <c r="AK425" i="32451"/>
  <c r="AK640" i="32451"/>
  <c r="AR446" i="32451"/>
  <c r="AQ435" i="32451"/>
  <c r="AQ640" i="32451"/>
  <c r="AS519" i="32451"/>
  <c r="AR383" i="32451"/>
  <c r="AQ514" i="32451"/>
  <c r="AT538" i="32451"/>
  <c r="AK514" i="32451"/>
  <c r="AQ383" i="32451"/>
  <c r="AT357" i="32451"/>
  <c r="AS538" i="32451"/>
  <c r="AS357" i="32451"/>
  <c r="AR413" i="32451"/>
  <c r="AJ479" i="32451"/>
  <c r="AT513" i="32451"/>
  <c r="AS371" i="32451"/>
  <c r="AL357" i="32451"/>
  <c r="AS513" i="32451"/>
  <c r="AT378" i="32451"/>
  <c r="AQ552" i="32451"/>
  <c r="AR582" i="32451"/>
  <c r="AS547" i="32451"/>
  <c r="AJ380" i="32451"/>
  <c r="AK582" i="32451"/>
  <c r="AK451" i="32451"/>
  <c r="AL349" i="32451"/>
  <c r="AJ351" i="32451"/>
  <c r="AR496" i="32451"/>
  <c r="AS473" i="32451"/>
  <c r="AT352" i="32451"/>
  <c r="AS378" i="32451"/>
  <c r="AS407" i="32451"/>
  <c r="AL393" i="32451"/>
  <c r="AJ378" i="32451"/>
  <c r="AJ361" i="32451"/>
  <c r="AT547" i="32451"/>
  <c r="AJ593" i="32451"/>
  <c r="AJ536" i="32451"/>
  <c r="AK530" i="32451"/>
  <c r="AQ354" i="32451"/>
  <c r="AT456" i="32451"/>
  <c r="AL519" i="32451"/>
  <c r="AR552" i="32451"/>
  <c r="AT519" i="32451"/>
  <c r="AS456" i="32451"/>
  <c r="AJ371" i="32451"/>
  <c r="AT588" i="32451"/>
  <c r="AJ407" i="32451"/>
  <c r="AL428" i="32451"/>
  <c r="AQ547" i="32451"/>
  <c r="G498" i="32451"/>
  <c r="AQ450" i="32451"/>
  <c r="AT567" i="32451"/>
  <c r="AT536" i="32451"/>
  <c r="AK491" i="32451"/>
  <c r="AR404" i="32451"/>
  <c r="AT360" i="32451"/>
  <c r="G349" i="32451"/>
  <c r="AQ582" i="32451"/>
  <c r="AL360" i="32451"/>
  <c r="G450" i="32451"/>
  <c r="AT492" i="32451"/>
  <c r="AT380" i="32451"/>
  <c r="AK590" i="32451"/>
  <c r="AK404" i="32451"/>
  <c r="AJ426" i="32451"/>
  <c r="AK593" i="32451"/>
  <c r="AT351" i="32451"/>
  <c r="AT461" i="32451"/>
  <c r="AL455" i="32451"/>
  <c r="AR519" i="32451"/>
  <c r="AT392" i="32451"/>
  <c r="AK432" i="32451"/>
  <c r="AL536" i="32451"/>
  <c r="AQ387" i="32451"/>
  <c r="AQ507" i="32451"/>
  <c r="AQ359" i="32451"/>
  <c r="AT473" i="32451"/>
  <c r="AK387" i="32451"/>
  <c r="AQ496" i="32451"/>
  <c r="AQ569" i="32451"/>
  <c r="AS492" i="32451"/>
  <c r="AJ450" i="32451"/>
  <c r="AR450" i="32451"/>
  <c r="AQ404" i="32451"/>
  <c r="AS370" i="32451"/>
  <c r="AS567" i="32451"/>
  <c r="AK507" i="32451"/>
  <c r="G524" i="32451"/>
  <c r="AL352" i="32451"/>
  <c r="AR558" i="32451"/>
  <c r="AR432" i="32451"/>
  <c r="AR357" i="32451"/>
  <c r="AS352" i="32451"/>
  <c r="AT413" i="32451"/>
  <c r="AK354" i="32451"/>
  <c r="AJ452" i="32451"/>
  <c r="AL567" i="32451"/>
  <c r="AQ558" i="32451"/>
  <c r="AR507" i="32451"/>
  <c r="AQ432" i="32451"/>
  <c r="AR359" i="32451"/>
  <c r="AS413" i="32451"/>
  <c r="AL341" i="32451"/>
  <c r="AJ404" i="32451"/>
  <c r="G411" i="32451"/>
  <c r="AT372" i="32451"/>
  <c r="AJ448" i="32451"/>
  <c r="AJ357" i="32451"/>
  <c r="AK457" i="32451"/>
  <c r="AL407" i="32451"/>
  <c r="AK344" i="32451"/>
  <c r="AJ434" i="32451"/>
  <c r="G536" i="32451"/>
  <c r="AR347" i="32451"/>
  <c r="AS582" i="32451"/>
  <c r="AR548" i="32451"/>
  <c r="AR530" i="32451"/>
  <c r="G528" i="32451"/>
  <c r="AR540" i="32451"/>
  <c r="AS361" i="32451"/>
  <c r="AS393" i="32451"/>
  <c r="AS427" i="32451"/>
  <c r="AT451" i="32451"/>
  <c r="AT432" i="32451"/>
  <c r="AR341" i="32451"/>
  <c r="AS540" i="32451"/>
  <c r="AS447" i="32451"/>
  <c r="AS451" i="32451"/>
  <c r="AL451" i="32451"/>
  <c r="AL361" i="32451"/>
  <c r="AS418" i="32451"/>
  <c r="G551" i="32451"/>
  <c r="AQ372" i="32451"/>
  <c r="AR353" i="32451"/>
  <c r="AT552" i="32451"/>
  <c r="AT455" i="32451"/>
  <c r="AT428" i="32451"/>
  <c r="AS589" i="32451"/>
  <c r="AJ365" i="32451"/>
  <c r="AK359" i="32451"/>
  <c r="AJ393" i="32451"/>
  <c r="AT430" i="32451"/>
  <c r="AL659" i="32451"/>
  <c r="AR547" i="32451"/>
  <c r="AQ353" i="32451"/>
  <c r="AS552" i="32451"/>
  <c r="AS455" i="32451"/>
  <c r="AS428" i="32451"/>
  <c r="AK407" i="32451"/>
  <c r="AK372" i="32451"/>
  <c r="AL588" i="32451"/>
  <c r="AK547" i="32451"/>
  <c r="AK519" i="32451"/>
  <c r="AL392" i="32451"/>
  <c r="AK376" i="32451"/>
  <c r="AL448" i="32451"/>
  <c r="AS351" i="32451"/>
  <c r="AS380" i="32451"/>
  <c r="AS392" i="32451"/>
  <c r="AS588" i="32451"/>
  <c r="AK430" i="32451"/>
  <c r="AJ589" i="32451"/>
  <c r="AJ418" i="32451"/>
  <c r="G393" i="32451"/>
  <c r="G461" i="32451"/>
  <c r="G588" i="32451"/>
  <c r="AL380" i="32451"/>
  <c r="AL430" i="32451"/>
  <c r="AR344" i="32451"/>
  <c r="AQ519" i="32451"/>
  <c r="AS430" i="32451"/>
  <c r="AT434" i="32451"/>
  <c r="AS448" i="32451"/>
  <c r="AS461" i="32451"/>
  <c r="AJ347" i="32451"/>
  <c r="AJ359" i="32451"/>
  <c r="AJ341" i="32451"/>
  <c r="AQ344" i="32451"/>
  <c r="AR593" i="32451"/>
  <c r="AS434" i="32451"/>
  <c r="AT443" i="32451"/>
  <c r="AL552" i="32451"/>
  <c r="AK380" i="32451"/>
  <c r="AL434" i="32451"/>
  <c r="AL443" i="32451"/>
  <c r="AL589" i="32451"/>
  <c r="AJ582" i="32451"/>
  <c r="AK353" i="32451"/>
  <c r="AR372" i="32451"/>
  <c r="AQ593" i="32451"/>
  <c r="AS443" i="32451"/>
  <c r="AT589" i="32451"/>
  <c r="AL461" i="32451"/>
  <c r="AJ548" i="32451"/>
  <c r="AJ428" i="32451"/>
  <c r="AJ552" i="32451"/>
  <c r="AL593" i="32451"/>
  <c r="AK378" i="32451"/>
  <c r="AJ533" i="32451"/>
  <c r="AL351" i="32451"/>
  <c r="AQ367" i="32451"/>
  <c r="AK418" i="32451"/>
  <c r="AK361" i="32451"/>
  <c r="AQ378" i="32451"/>
  <c r="AT498" i="32451"/>
  <c r="AK365" i="32451"/>
  <c r="AK367" i="32451"/>
  <c r="AK351" i="32451"/>
  <c r="AJ430" i="32451"/>
  <c r="AL418" i="32451"/>
  <c r="AK347" i="32451"/>
  <c r="AJ372" i="32451"/>
  <c r="AJ360" i="32451"/>
  <c r="AL491" i="32451"/>
  <c r="AL445" i="32451"/>
  <c r="AQ411" i="32451"/>
  <c r="AS507" i="32451"/>
  <c r="AS496" i="32451"/>
  <c r="AS491" i="32451"/>
  <c r="AT548" i="32451"/>
  <c r="AQ395" i="32451"/>
  <c r="G648" i="32451"/>
  <c r="G593" i="32451"/>
  <c r="AL582" i="32451"/>
  <c r="AT540" i="32451"/>
  <c r="AT393" i="32451"/>
  <c r="AS548" i="32451"/>
  <c r="AT418" i="32451"/>
  <c r="AT427" i="32451"/>
  <c r="AJ470" i="32451"/>
  <c r="AL432" i="32451"/>
  <c r="AT447" i="32451"/>
  <c r="AT582" i="32451"/>
  <c r="AS432" i="32451"/>
  <c r="AS372" i="32451"/>
  <c r="AJ591" i="32451"/>
  <c r="AJ395" i="32451"/>
  <c r="AJ441" i="32451"/>
  <c r="AL372" i="32451"/>
  <c r="AJ540" i="32451"/>
  <c r="AK552" i="32451"/>
  <c r="AK341" i="32451"/>
  <c r="AL540" i="32451"/>
  <c r="AQ341" i="32451"/>
  <c r="AQ347" i="32451"/>
  <c r="AT361" i="32451"/>
  <c r="AK540" i="32451"/>
  <c r="AL427" i="32451"/>
  <c r="AQ548" i="32451"/>
  <c r="AQ540" i="32451"/>
  <c r="AQ530" i="32451"/>
  <c r="AT496" i="32451"/>
  <c r="AT491" i="32451"/>
  <c r="AR447" i="32451"/>
  <c r="AQ447" i="32451"/>
  <c r="AJ422" i="32451"/>
  <c r="AR449" i="32451"/>
  <c r="AS426" i="32451"/>
  <c r="AT445" i="32451"/>
  <c r="AJ399" i="32451"/>
  <c r="AJ588" i="32451"/>
  <c r="AK452" i="32451"/>
  <c r="AR589" i="32451"/>
  <c r="AL378" i="32451"/>
  <c r="AJ352" i="32451"/>
  <c r="AR428" i="32451"/>
  <c r="AQ533" i="32451"/>
  <c r="AS569" i="32451"/>
  <c r="AJ567" i="32451"/>
  <c r="AL569" i="32451"/>
  <c r="AK355" i="32451"/>
  <c r="AJ519" i="32451"/>
  <c r="AR362" i="32451"/>
  <c r="AR417" i="32451"/>
  <c r="AR525" i="32451"/>
  <c r="AK525" i="32451"/>
  <c r="AK340" i="32451"/>
  <c r="AT569" i="32451"/>
  <c r="G555" i="32451"/>
  <c r="AQ362" i="32451"/>
  <c r="AQ417" i="32451"/>
  <c r="AQ525" i="32451"/>
  <c r="AK417" i="32451"/>
  <c r="AL450" i="32451"/>
  <c r="AR491" i="32451"/>
  <c r="AQ340" i="32451"/>
  <c r="AQ492" i="32451"/>
  <c r="AR355" i="32451"/>
  <c r="AS441" i="32451"/>
  <c r="AJ456" i="32451"/>
  <c r="AQ491" i="32451"/>
  <c r="AQ360" i="32451"/>
  <c r="AQ355" i="32451"/>
  <c r="AK362" i="32451"/>
  <c r="AK449" i="32451"/>
  <c r="AR567" i="32451"/>
  <c r="G280" i="32451"/>
  <c r="AQ428" i="32451"/>
  <c r="AR441" i="32451"/>
  <c r="AQ567" i="32451"/>
  <c r="AS531" i="32451"/>
  <c r="AT362" i="32451"/>
  <c r="AS498" i="32451"/>
  <c r="AJ469" i="32451"/>
  <c r="G357" i="32451"/>
  <c r="G558" i="32451"/>
  <c r="AJ427" i="32451"/>
  <c r="AK360" i="32451"/>
  <c r="AL498" i="32451"/>
  <c r="AQ418" i="32451"/>
  <c r="AR365" i="32451"/>
  <c r="AQ449" i="32451"/>
  <c r="AS362" i="32451"/>
  <c r="AS468" i="32451"/>
  <c r="AS593" i="32451"/>
  <c r="AJ362" i="32451"/>
  <c r="AK533" i="32451"/>
  <c r="AL456" i="32451"/>
  <c r="AK441" i="32451"/>
  <c r="AJ493" i="32451"/>
  <c r="AK567" i="32451"/>
  <c r="AR418" i="32451"/>
  <c r="AJ349" i="32451"/>
  <c r="AL371" i="32451"/>
  <c r="AL507" i="32451"/>
  <c r="AR426" i="32451"/>
  <c r="AR361" i="32451"/>
  <c r="AR590" i="32451"/>
  <c r="AQ365" i="32451"/>
  <c r="AS578" i="32451"/>
  <c r="AS452" i="32451"/>
  <c r="AT367" i="32451"/>
  <c r="AQ441" i="32451"/>
  <c r="AJ473" i="32451"/>
  <c r="G380" i="32451"/>
  <c r="AJ412" i="32451"/>
  <c r="AQ426" i="32451"/>
  <c r="AQ361" i="32451"/>
  <c r="AQ590" i="32451"/>
  <c r="AT450" i="32451"/>
  <c r="AT417" i="32451"/>
  <c r="AS367" i="32451"/>
  <c r="AT454" i="32451"/>
  <c r="AJ558" i="32451"/>
  <c r="AK492" i="32451"/>
  <c r="AK413" i="32451"/>
  <c r="AJ525" i="32451"/>
  <c r="AJ507" i="32451"/>
  <c r="AJ462" i="32451"/>
  <c r="AL467" i="32451"/>
  <c r="AL362" i="32451"/>
  <c r="AR360" i="32451"/>
  <c r="AR340" i="32451"/>
  <c r="AR533" i="32451"/>
  <c r="AR492" i="32451"/>
  <c r="AR367" i="32451"/>
  <c r="AT441" i="32451"/>
  <c r="AS450" i="32451"/>
  <c r="AJ355" i="32451"/>
  <c r="AQ588" i="32451"/>
  <c r="AS404" i="32451"/>
  <c r="AJ549" i="32451"/>
  <c r="AK549" i="32451"/>
  <c r="AS385" i="32451"/>
  <c r="G362" i="32451"/>
  <c r="AJ496" i="32451"/>
  <c r="AR549" i="32451"/>
  <c r="AL367" i="32451"/>
  <c r="AQ380" i="32451"/>
  <c r="AQ549" i="32451"/>
  <c r="AT541" i="32451"/>
  <c r="AL541" i="32451"/>
  <c r="AQ536" i="32451"/>
  <c r="AS541" i="32451"/>
  <c r="AL585" i="32451"/>
  <c r="G354" i="32451"/>
  <c r="AL354" i="32451"/>
  <c r="AT448" i="32451"/>
  <c r="AS354" i="32451"/>
  <c r="G507" i="32451"/>
  <c r="AT507" i="32451"/>
  <c r="AT452" i="32451"/>
  <c r="AS445" i="32451"/>
  <c r="AS454" i="32451"/>
  <c r="AJ547" i="32451"/>
  <c r="AL441" i="32451"/>
  <c r="AQ357" i="32451"/>
  <c r="AQ589" i="32451"/>
  <c r="AT426" i="32451"/>
  <c r="AS417" i="32451"/>
  <c r="AL417" i="32451"/>
  <c r="AK357" i="32451"/>
  <c r="AJ492" i="32451"/>
  <c r="AK428" i="32451"/>
  <c r="AJ392" i="32451"/>
  <c r="AL525" i="32451"/>
  <c r="AR536" i="32451"/>
  <c r="AR588" i="32451"/>
  <c r="AT385" i="32451"/>
  <c r="AT404" i="32451"/>
  <c r="AK536" i="32451"/>
  <c r="G452" i="32451"/>
  <c r="AJ457" i="32451"/>
  <c r="AJ432" i="32451"/>
  <c r="AL404" i="32451"/>
  <c r="AR385" i="32451"/>
  <c r="AT525" i="32451"/>
  <c r="AL385" i="32451"/>
  <c r="AQ385" i="32451"/>
  <c r="AS525" i="32451"/>
  <c r="G371" i="32451"/>
  <c r="AR564" i="32451"/>
  <c r="AK588" i="32451"/>
  <c r="AJ413" i="32451"/>
  <c r="AR422" i="32451"/>
  <c r="AK422" i="32451"/>
  <c r="AL387" i="32451"/>
  <c r="AQ422" i="32451"/>
  <c r="AL533" i="32451"/>
  <c r="AL340" i="32451"/>
  <c r="AT387" i="32451"/>
  <c r="G491" i="32451"/>
  <c r="AQ427" i="32451"/>
  <c r="AK427" i="32451"/>
  <c r="AR352" i="32451"/>
  <c r="AT469" i="32451"/>
  <c r="AS469" i="32451"/>
  <c r="AJ624" i="32451"/>
  <c r="AJ620" i="32451"/>
  <c r="AR351" i="32451"/>
  <c r="AT340" i="32451"/>
  <c r="AT533" i="32451"/>
  <c r="AS556" i="32451"/>
  <c r="AS536" i="32451"/>
  <c r="AS387" i="32451"/>
  <c r="AJ578" i="32451"/>
  <c r="AK564" i="32451"/>
  <c r="G512" i="32451"/>
  <c r="AR392" i="32451"/>
  <c r="AQ351" i="32451"/>
  <c r="AS340" i="32451"/>
  <c r="AS533" i="32451"/>
  <c r="AT341" i="32451"/>
  <c r="AJ501" i="32451"/>
  <c r="AK392" i="32451"/>
  <c r="AQ392" i="32451"/>
  <c r="AR427" i="32451"/>
  <c r="AR378" i="32451"/>
  <c r="AS341" i="32451"/>
  <c r="AT370" i="32451"/>
  <c r="AK467" i="32451"/>
  <c r="AL473" i="32451"/>
  <c r="AL469" i="32451"/>
  <c r="AL370" i="32451"/>
  <c r="AJ508" i="32451"/>
  <c r="AQ352" i="32451"/>
  <c r="AQ564" i="32451"/>
  <c r="AR456" i="32451"/>
  <c r="AT593" i="32451"/>
  <c r="AR387" i="32451"/>
  <c r="AQ456" i="32451"/>
  <c r="AK456" i="32451"/>
  <c r="AJ447" i="32451"/>
  <c r="AR498" i="32451"/>
  <c r="AT659" i="32451"/>
  <c r="AJ564" i="32451"/>
  <c r="AJ506" i="32451"/>
  <c r="AK498" i="32451"/>
  <c r="AQ498" i="32451"/>
  <c r="AS659" i="32451"/>
  <c r="AT554" i="32451"/>
  <c r="AL554" i="32451"/>
  <c r="AS554" i="32451"/>
  <c r="AT457" i="32451"/>
  <c r="AT585" i="32451"/>
  <c r="AT551" i="32451"/>
  <c r="AR452" i="32451"/>
  <c r="AS457" i="32451"/>
  <c r="AS585" i="32451"/>
  <c r="AS551" i="32451"/>
  <c r="AL551" i="32451"/>
  <c r="AR380" i="32451"/>
  <c r="AQ452" i="32451"/>
  <c r="AJ606" i="32451"/>
  <c r="AL531" i="32451"/>
  <c r="AL423" i="32451"/>
  <c r="AR443" i="32451"/>
  <c r="AS544" i="32451"/>
  <c r="AK526" i="32451"/>
  <c r="AL578" i="32451"/>
  <c r="AQ443" i="32451"/>
  <c r="G597" i="32451"/>
  <c r="AJ439" i="32451"/>
  <c r="AK629" i="32451"/>
  <c r="AR591" i="32451"/>
  <c r="AJ556" i="32451"/>
  <c r="AL556" i="32451"/>
  <c r="AK352" i="32451"/>
  <c r="AJ590" i="32451"/>
  <c r="AK443" i="32451"/>
  <c r="AL415" i="32451"/>
  <c r="AK618" i="32451"/>
  <c r="AQ591" i="32451"/>
  <c r="AT415" i="32451"/>
  <c r="G467" i="32451"/>
  <c r="G370" i="32451"/>
  <c r="AR411" i="32451"/>
  <c r="AR395" i="32451"/>
  <c r="AT556" i="32451"/>
  <c r="AS399" i="32451"/>
  <c r="AS415" i="32451"/>
  <c r="AJ551" i="32451"/>
  <c r="AK591" i="32451"/>
  <c r="AK485" i="32451"/>
  <c r="AR526" i="32451"/>
  <c r="AQ511" i="32451"/>
  <c r="G437" i="32451"/>
  <c r="AQ526" i="32451"/>
  <c r="AT578" i="32451"/>
  <c r="AJ461" i="32451"/>
  <c r="AL544" i="32451"/>
  <c r="AR346" i="32451"/>
  <c r="AS607" i="32451"/>
  <c r="AQ485" i="32451"/>
  <c r="AR485" i="32451"/>
  <c r="AR511" i="32451"/>
  <c r="AQ346" i="32451"/>
  <c r="AQ683" i="32451"/>
  <c r="AK346" i="32451"/>
  <c r="AQ460" i="32451"/>
  <c r="AK411" i="32451"/>
  <c r="AL454" i="32451"/>
  <c r="AJ530" i="32451"/>
  <c r="AL452" i="32451"/>
  <c r="AJ541" i="32451"/>
  <c r="AT531" i="32451"/>
  <c r="AT546" i="32451"/>
  <c r="AL546" i="32451"/>
  <c r="G545" i="32451"/>
  <c r="AS546" i="32451"/>
  <c r="AT468" i="32451"/>
  <c r="AT399" i="32451"/>
  <c r="AL468" i="32451"/>
  <c r="AR522" i="32451"/>
  <c r="G369" i="32451"/>
  <c r="AK460" i="32451"/>
  <c r="AL684" i="32451"/>
  <c r="AQ522" i="32451"/>
  <c r="AJ481" i="32451"/>
  <c r="G600" i="32451"/>
  <c r="AK683" i="32451"/>
  <c r="AR460" i="32451"/>
  <c r="AR683" i="32451"/>
  <c r="AJ544" i="32451"/>
  <c r="AL463" i="32451"/>
  <c r="AL602" i="32451"/>
  <c r="AK522" i="32451"/>
  <c r="AT354" i="32451"/>
  <c r="AS364" i="32451"/>
  <c r="AS485" i="32451"/>
  <c r="AJ615" i="32451"/>
  <c r="G344" i="32451"/>
  <c r="AR544" i="32451"/>
  <c r="AQ506" i="32451"/>
  <c r="AQ544" i="32451"/>
  <c r="G590" i="32451"/>
  <c r="AT344" i="32451"/>
  <c r="AL635" i="32451"/>
  <c r="AS344" i="32451"/>
  <c r="AK433" i="32451"/>
  <c r="AT635" i="32451"/>
  <c r="AL344" i="32451"/>
  <c r="AS635" i="32451"/>
  <c r="AS423" i="32451"/>
  <c r="AL584" i="32451"/>
  <c r="AL364" i="32451"/>
  <c r="AJ369" i="32451"/>
  <c r="AJ332" i="32451"/>
  <c r="AT544" i="32451"/>
  <c r="AJ531" i="32451"/>
  <c r="G433" i="32451"/>
  <c r="AJ598" i="32451"/>
  <c r="AQ370" i="32451"/>
  <c r="AJ476" i="32451"/>
  <c r="AJ657" i="32451"/>
  <c r="G671" i="32451"/>
  <c r="AJ376" i="32451"/>
  <c r="AL485" i="32451"/>
  <c r="AJ649" i="32451"/>
  <c r="AK626" i="32451"/>
  <c r="AJ288" i="32451"/>
  <c r="G520" i="32451"/>
  <c r="AS481" i="32451"/>
  <c r="AJ463" i="32451"/>
  <c r="AK511" i="32451"/>
  <c r="AL399" i="32451"/>
  <c r="AT584" i="32451"/>
  <c r="AJ366" i="32451"/>
  <c r="AR370" i="32451"/>
  <c r="AT481" i="32451"/>
  <c r="AT423" i="32451"/>
  <c r="AL481" i="32451"/>
  <c r="AJ453" i="32451"/>
  <c r="AJ387" i="32451"/>
  <c r="AJ460" i="32451"/>
  <c r="AJ494" i="32451"/>
  <c r="AJ627" i="32451"/>
  <c r="AJ683" i="32451"/>
  <c r="AJ522" i="32451"/>
  <c r="AL437" i="32451"/>
  <c r="AK544" i="32451"/>
  <c r="AL411" i="32451"/>
  <c r="AJ296" i="32451"/>
  <c r="AL466" i="32451"/>
  <c r="AR531" i="32451"/>
  <c r="AQ494" i="32451"/>
  <c r="AQ574" i="32451"/>
  <c r="AR287" i="32451"/>
  <c r="AK574" i="32451"/>
  <c r="AL376" i="32451"/>
  <c r="AL369" i="32451"/>
  <c r="AK584" i="32451"/>
  <c r="AQ531" i="32451"/>
  <c r="AQ546" i="32451"/>
  <c r="AS366" i="32451"/>
  <c r="AT411" i="32451"/>
  <c r="AT376" i="32451"/>
  <c r="G564" i="32451"/>
  <c r="AK531" i="32451"/>
  <c r="AK541" i="32451"/>
  <c r="AL346" i="32451"/>
  <c r="AJ318" i="32451"/>
  <c r="AQ433" i="32451"/>
  <c r="AS411" i="32451"/>
  <c r="AJ346" i="32451"/>
  <c r="AR574" i="32451"/>
  <c r="AR433" i="32451"/>
  <c r="AJ443" i="32451"/>
  <c r="AK494" i="32451"/>
  <c r="AK580" i="32451"/>
  <c r="AK469" i="32451"/>
  <c r="AL563" i="32451"/>
  <c r="AL381" i="32451"/>
  <c r="AR469" i="32451"/>
  <c r="AT369" i="32451"/>
  <c r="AS346" i="32451"/>
  <c r="AL366" i="32451"/>
  <c r="AK506" i="32451"/>
  <c r="AQ469" i="32451"/>
  <c r="AR506" i="32451"/>
  <c r="AR467" i="32451"/>
  <c r="AS369" i="32451"/>
  <c r="AT346" i="32451"/>
  <c r="AK370" i="32451"/>
  <c r="AK468" i="32451"/>
  <c r="AL632" i="32451"/>
  <c r="AL617" i="32451"/>
  <c r="AQ580" i="32451"/>
  <c r="AT463" i="32451"/>
  <c r="AR309" i="32451"/>
  <c r="AS598" i="32451"/>
  <c r="AK529" i="32451"/>
  <c r="AQ376" i="32451"/>
  <c r="AR468" i="32451"/>
  <c r="AR584" i="32451"/>
  <c r="AR541" i="32451"/>
  <c r="AS463" i="32451"/>
  <c r="AS563" i="32451"/>
  <c r="AL506" i="32451"/>
  <c r="AR314" i="32451"/>
  <c r="AQ468" i="32451"/>
  <c r="AQ584" i="32451"/>
  <c r="AQ541" i="32451"/>
  <c r="AT506" i="32451"/>
  <c r="AJ433" i="32451"/>
  <c r="AJ676" i="32451"/>
  <c r="G684" i="32451"/>
  <c r="AL326" i="32451"/>
  <c r="AJ671" i="32451"/>
  <c r="AS506" i="32451"/>
  <c r="AT326" i="32451"/>
  <c r="G649" i="32451"/>
  <c r="AK366" i="32451"/>
  <c r="AJ337" i="32451"/>
  <c r="AK322" i="32451"/>
  <c r="AR494" i="32451"/>
  <c r="AQ322" i="32451"/>
  <c r="AQ467" i="32451"/>
  <c r="AS466" i="32451"/>
  <c r="AJ423" i="32451"/>
  <c r="AK633" i="32451"/>
  <c r="AL608" i="32451"/>
  <c r="AJ320" i="32451"/>
  <c r="AK291" i="32451"/>
  <c r="AR529" i="32451"/>
  <c r="AS376" i="32451"/>
  <c r="G602" i="32451"/>
  <c r="AJ605" i="32451"/>
  <c r="AK314" i="32451"/>
  <c r="AL624" i="32451"/>
  <c r="AR580" i="32451"/>
  <c r="AQ529" i="32451"/>
  <c r="AS381" i="32451"/>
  <c r="AT563" i="32451"/>
  <c r="AT366" i="32451"/>
  <c r="AJ576" i="32451"/>
  <c r="AJ368" i="32451"/>
  <c r="AK429" i="32451"/>
  <c r="AR423" i="32451"/>
  <c r="AQ493" i="32451"/>
  <c r="G556" i="32451"/>
  <c r="AJ563" i="32451"/>
  <c r="AK546" i="32451"/>
  <c r="AR546" i="32451"/>
  <c r="AT467" i="32451"/>
  <c r="AT364" i="32451"/>
  <c r="AT381" i="32451"/>
  <c r="AS326" i="32451"/>
  <c r="AS608" i="32451"/>
  <c r="AT598" i="32451"/>
  <c r="AL598" i="32451"/>
  <c r="AR437" i="32451"/>
  <c r="AS467" i="32451"/>
  <c r="AJ572" i="32451"/>
  <c r="AL395" i="32451"/>
  <c r="AQ314" i="32451"/>
  <c r="AQ423" i="32451"/>
  <c r="AQ437" i="32451"/>
  <c r="AT485" i="32451"/>
  <c r="AJ467" i="32451"/>
  <c r="AK399" i="32451"/>
  <c r="AK437" i="32451"/>
  <c r="AL406" i="32451"/>
  <c r="AK631" i="32451"/>
  <c r="AR376" i="32451"/>
  <c r="AR366" i="32451"/>
  <c r="AQ399" i="32451"/>
  <c r="AT437" i="32451"/>
  <c r="AS584" i="32451"/>
  <c r="AS406" i="32451"/>
  <c r="AS395" i="32451"/>
  <c r="AS460" i="32451"/>
  <c r="AT466" i="32451"/>
  <c r="G468" i="32451"/>
  <c r="AK493" i="32451"/>
  <c r="AL460" i="32451"/>
  <c r="AR399" i="32451"/>
  <c r="AT406" i="32451"/>
  <c r="AT395" i="32451"/>
  <c r="AT460" i="32451"/>
  <c r="AJ526" i="32451"/>
  <c r="AK423" i="32451"/>
  <c r="AJ632" i="32451"/>
  <c r="AK309" i="32451"/>
  <c r="AJ600" i="32451"/>
  <c r="AQ366" i="32451"/>
  <c r="AR493" i="32451"/>
  <c r="AR322" i="32451"/>
  <c r="AS437" i="32451"/>
  <c r="AQ309" i="32451"/>
  <c r="AK673" i="32451"/>
  <c r="AK371" i="32451"/>
  <c r="AK563" i="32451"/>
  <c r="AJ613" i="32451"/>
  <c r="AJ529" i="32451"/>
  <c r="Z643" i="32451"/>
  <c r="AJ684" i="32451"/>
  <c r="AQ429" i="32451"/>
  <c r="AL302" i="32451"/>
  <c r="AK287" i="32451"/>
  <c r="AK682" i="32451"/>
  <c r="AR609" i="32451"/>
  <c r="AR429" i="32451"/>
  <c r="AJ614" i="32451"/>
  <c r="AK620" i="32451"/>
  <c r="AL609" i="32451"/>
  <c r="AT301" i="32451"/>
  <c r="AQ287" i="32451"/>
  <c r="AS301" i="32451"/>
  <c r="AT336" i="32451"/>
  <c r="AS336" i="32451"/>
  <c r="AL301" i="32451"/>
  <c r="AL336" i="32451"/>
  <c r="AK687" i="32451"/>
  <c r="AR620" i="32451"/>
  <c r="AQ297" i="32451"/>
  <c r="AJ609" i="32451"/>
  <c r="AJ616" i="32451"/>
  <c r="AR633" i="32451"/>
  <c r="AQ620" i="32451"/>
  <c r="AT302" i="32451"/>
  <c r="AQ633" i="32451"/>
  <c r="AS302" i="32451"/>
  <c r="G681" i="32451"/>
  <c r="AK603" i="32451"/>
  <c r="G682" i="32451"/>
  <c r="AJ327" i="32451"/>
  <c r="AT676" i="32451"/>
  <c r="AQ316" i="32451"/>
  <c r="Z316" i="32451" s="1"/>
  <c r="AQ317" i="32451"/>
  <c r="AR626" i="32451"/>
  <c r="Z626" i="32451" s="1"/>
  <c r="AJ599" i="32451"/>
  <c r="AQ629" i="32451"/>
  <c r="G674" i="32451"/>
  <c r="AQ632" i="32451"/>
  <c r="AR632" i="32451"/>
  <c r="AQ335" i="32451"/>
  <c r="AR335" i="32451"/>
  <c r="AQ675" i="32451"/>
  <c r="AR675" i="32451"/>
  <c r="AR618" i="32451"/>
  <c r="Z618" i="32451" s="1"/>
  <c r="AR603" i="32451"/>
  <c r="AL332" i="32451"/>
  <c r="AL295" i="32451"/>
  <c r="AJ299" i="32451"/>
  <c r="AL682" i="32451"/>
  <c r="AJ603" i="32451"/>
  <c r="AJ617" i="32451"/>
  <c r="AK297" i="32451"/>
  <c r="AR297" i="32451"/>
  <c r="AK675" i="32451"/>
  <c r="AL601" i="32451"/>
  <c r="AL607" i="32451"/>
  <c r="AK316" i="32451"/>
  <c r="AL613" i="32451"/>
  <c r="AL669" i="32451"/>
  <c r="AK335" i="32451"/>
  <c r="AL325" i="32451"/>
  <c r="AJ670" i="32451"/>
  <c r="AK601" i="32451"/>
  <c r="AK317" i="32451"/>
  <c r="AK632" i="32451"/>
  <c r="AL689" i="32451"/>
  <c r="AL676" i="32451"/>
  <c r="AJ315" i="32451"/>
  <c r="AS325" i="32451"/>
  <c r="AS601" i="32451"/>
  <c r="AR629" i="32451"/>
  <c r="AQ631" i="32451"/>
  <c r="AT607" i="32451"/>
  <c r="AR317" i="32451"/>
  <c r="AJ701" i="32451"/>
  <c r="AT325" i="32451"/>
  <c r="AT601" i="32451"/>
  <c r="AR615" i="32451"/>
  <c r="AT608" i="32451"/>
  <c r="AQ615" i="32451"/>
  <c r="AK615" i="32451"/>
  <c r="AR673" i="32451"/>
  <c r="AT683" i="32451"/>
  <c r="AS676" i="32451"/>
  <c r="AQ673" i="32451"/>
  <c r="AK325" i="32451"/>
  <c r="AS620" i="32451"/>
  <c r="AQ684" i="32451"/>
  <c r="G669" i="32451"/>
  <c r="AQ682" i="32451"/>
  <c r="G677" i="32451"/>
  <c r="AR328" i="32451"/>
  <c r="AJ284" i="32451"/>
  <c r="AT672" i="32451"/>
  <c r="AR305" i="32451"/>
  <c r="G289" i="32451"/>
  <c r="AR319" i="32451"/>
  <c r="AT703" i="32451"/>
  <c r="G606" i="32451"/>
  <c r="AT327" i="32451"/>
  <c r="AR686" i="32451"/>
  <c r="AJ300" i="32451"/>
  <c r="AJ681" i="32451"/>
  <c r="AR690" i="32451"/>
  <c r="AT691" i="32451"/>
  <c r="AR325" i="32451"/>
  <c r="AQ557" i="32451"/>
  <c r="AR628" i="32451"/>
  <c r="AL683" i="32451"/>
  <c r="AR623" i="32451"/>
  <c r="AT675" i="32451"/>
  <c r="AR563" i="32451"/>
  <c r="AJ561" i="32451"/>
  <c r="AS609" i="32451"/>
  <c r="AS636" i="32451"/>
  <c r="AS669" i="32451"/>
  <c r="AJ308" i="32451"/>
  <c r="G309" i="32451"/>
  <c r="G619" i="32451"/>
  <c r="AR688" i="32451"/>
  <c r="AR333" i="32451"/>
  <c r="AK293" i="32451"/>
  <c r="AR634" i="32451"/>
  <c r="AT690" i="32451"/>
  <c r="AT681" i="32451"/>
  <c r="G603" i="32451"/>
  <c r="AR321" i="32451"/>
  <c r="AR619" i="32451"/>
  <c r="AT631" i="32451"/>
  <c r="G631" i="32451"/>
  <c r="AT619" i="32451"/>
  <c r="AR307" i="32451"/>
  <c r="AR616" i="32451"/>
  <c r="AJ329" i="32451"/>
  <c r="AR337" i="32451"/>
  <c r="AT678" i="32451"/>
  <c r="AT328" i="32451"/>
  <c r="AJ680" i="32451"/>
  <c r="AR318" i="32451"/>
  <c r="AJ690" i="32451"/>
  <c r="G634" i="32451"/>
  <c r="AT337" i="32451"/>
  <c r="G630" i="32451"/>
  <c r="AR681" i="32451"/>
  <c r="AR682" i="32451"/>
  <c r="AQ671" i="32451"/>
  <c r="AQ599" i="32451"/>
  <c r="AJ685" i="32451"/>
  <c r="AT632" i="32451"/>
  <c r="AS602" i="32451"/>
  <c r="AS683" i="32451"/>
  <c r="AQ339" i="32451"/>
  <c r="AS599" i="32451"/>
  <c r="AS684" i="32451"/>
  <c r="G688" i="32451"/>
  <c r="AJ304" i="32451"/>
  <c r="AK286" i="32451"/>
  <c r="G679" i="32451"/>
  <c r="AT307" i="32451"/>
  <c r="G683" i="32451"/>
  <c r="AR315" i="32451"/>
  <c r="AR678" i="32451"/>
  <c r="AT320" i="32451"/>
  <c r="AJ295" i="32451"/>
  <c r="AR691" i="32451"/>
  <c r="G601" i="32451"/>
  <c r="G604" i="32451"/>
  <c r="AJ630" i="32451"/>
  <c r="AL327" i="32451"/>
  <c r="G629" i="32451"/>
  <c r="G312" i="32451"/>
  <c r="AJ679" i="32451"/>
  <c r="AR334" i="32451"/>
  <c r="AR614" i="32451"/>
  <c r="AK310" i="32451"/>
  <c r="AJ290" i="32451"/>
  <c r="G680" i="32451"/>
  <c r="AJ689" i="32451"/>
  <c r="AR668" i="32451"/>
  <c r="AR303" i="32451"/>
  <c r="AT630" i="32451"/>
  <c r="G624" i="32451"/>
  <c r="G687" i="32451"/>
  <c r="AR631" i="32451"/>
  <c r="AS689" i="32451"/>
  <c r="AQ603" i="32451"/>
  <c r="AS682" i="32451"/>
  <c r="G628" i="32451"/>
  <c r="AK324" i="32451"/>
  <c r="AS433" i="32451"/>
  <c r="AT685" i="32451"/>
  <c r="AT606" i="32451"/>
  <c r="AS624" i="32451"/>
  <c r="AQ669" i="32451"/>
  <c r="AS617" i="32451"/>
  <c r="AS673" i="32451"/>
  <c r="AT621" i="32451"/>
  <c r="AR301" i="32451"/>
  <c r="AT623" i="32451"/>
  <c r="AR610" i="32451"/>
  <c r="G608" i="32451"/>
  <c r="AT668" i="32451"/>
  <c r="AT634" i="32451"/>
  <c r="G633" i="32451"/>
  <c r="AQ371" i="32451"/>
  <c r="AQ685" i="32451"/>
  <c r="AQ687" i="32451"/>
  <c r="AQ609" i="32451"/>
  <c r="AJ669" i="32451"/>
  <c r="G685" i="32451"/>
  <c r="AK669" i="32451"/>
  <c r="AL306" i="32451"/>
  <c r="AL673" i="32451"/>
  <c r="AR669" i="32451"/>
  <c r="AT673" i="32451"/>
  <c r="G632" i="32451"/>
  <c r="AK557" i="32451"/>
  <c r="AL298" i="32451"/>
  <c r="AT617" i="32451"/>
  <c r="G609" i="32451"/>
  <c r="AT602" i="32451"/>
  <c r="AL604" i="32451"/>
  <c r="AJ608" i="32451"/>
  <c r="G367" i="32451"/>
  <c r="AL685" i="32451"/>
  <c r="AQ563" i="32451"/>
  <c r="AK602" i="32451"/>
  <c r="AJ604" i="32451"/>
  <c r="AR601" i="32451"/>
  <c r="AQ601" i="32451"/>
  <c r="AJ285" i="32451"/>
  <c r="AL671" i="32451"/>
  <c r="AL633" i="32451"/>
  <c r="AT682" i="32451"/>
  <c r="AJ602" i="32451"/>
  <c r="AL636" i="32451"/>
  <c r="AT669" i="32451"/>
  <c r="AJ659" i="32451"/>
  <c r="AK296" i="32451"/>
  <c r="AQ612" i="32451"/>
  <c r="Z612" i="32451" s="1"/>
  <c r="G599" i="32451"/>
  <c r="AL620" i="32451"/>
  <c r="AK612" i="32451"/>
  <c r="AT609" i="32451"/>
  <c r="AK684" i="32451"/>
  <c r="AT636" i="32451"/>
  <c r="AJ634" i="32451"/>
  <c r="AL322" i="32451"/>
  <c r="AL285" i="32451"/>
  <c r="AJ672" i="32451"/>
  <c r="AL605" i="32451"/>
  <c r="AS632" i="32451"/>
  <c r="AL674" i="32451"/>
  <c r="AL286" i="32451"/>
  <c r="AL599" i="32451"/>
  <c r="AT684" i="32451"/>
  <c r="AL283" i="32451"/>
  <c r="AK685" i="32451"/>
  <c r="AT620" i="32451"/>
  <c r="AJ635" i="32451"/>
  <c r="AR684" i="32451"/>
  <c r="AT622" i="32451"/>
  <c r="AT599" i="32451"/>
  <c r="AL433" i="32451"/>
  <c r="AJ297" i="32451"/>
  <c r="AR371" i="32451"/>
  <c r="AS622" i="32451"/>
  <c r="G616" i="32451"/>
  <c r="AK609" i="32451"/>
  <c r="AK704" i="32451"/>
  <c r="AR685" i="32451"/>
  <c r="AR687" i="32451"/>
  <c r="AL687" i="32451"/>
  <c r="AL622" i="32451"/>
  <c r="AJ668" i="32451"/>
  <c r="G675" i="32451"/>
  <c r="AJ283" i="32451"/>
  <c r="AK294" i="32451"/>
  <c r="Z534" i="32451"/>
  <c r="AK605" i="32451"/>
  <c r="AL690" i="32451"/>
  <c r="AJ289" i="32451"/>
  <c r="AK634" i="32451"/>
  <c r="AL287" i="32451"/>
  <c r="AJ312" i="32451"/>
  <c r="AT433" i="32451"/>
  <c r="AR557" i="32451"/>
  <c r="AK284" i="32451"/>
  <c r="AT624" i="32451"/>
  <c r="AL315" i="32451"/>
  <c r="AK332" i="32451"/>
  <c r="AL324" i="32451"/>
  <c r="AK619" i="32451"/>
  <c r="AL626" i="32451"/>
  <c r="AS685" i="32451"/>
  <c r="AJ291" i="32451"/>
  <c r="AJ326" i="32451"/>
  <c r="AL606" i="32451"/>
  <c r="AL290" i="32451"/>
  <c r="AL691" i="32451"/>
  <c r="AK608" i="32451"/>
  <c r="AJ306" i="32451"/>
  <c r="AB482" i="32451"/>
  <c r="AB528" i="32451"/>
  <c r="AB425" i="32451"/>
  <c r="AB379" i="32451"/>
  <c r="AB412" i="32451"/>
  <c r="AB386" i="32451"/>
  <c r="AB353" i="32451"/>
  <c r="AB488" i="32451"/>
  <c r="AB373" i="32451"/>
  <c r="AB521" i="32451"/>
  <c r="AB375" i="32451"/>
  <c r="AB539" i="32451"/>
  <c r="AB410" i="32451"/>
  <c r="AB560" i="32451"/>
  <c r="AB446" i="32451"/>
  <c r="AB571" i="32451"/>
  <c r="AB509" i="32451"/>
  <c r="AB516" i="32451"/>
  <c r="AS606" i="32451"/>
  <c r="G614" i="32451"/>
  <c r="Z551" i="32451"/>
  <c r="Z406" i="32451"/>
  <c r="Z471" i="32451"/>
  <c r="Z379" i="32451"/>
  <c r="Z415" i="32451"/>
  <c r="Z518" i="32451"/>
  <c r="Z421" i="32451"/>
  <c r="Z483" i="32451"/>
  <c r="Z342" i="32451"/>
  <c r="Z484" i="32451"/>
  <c r="Z382" i="32451"/>
  <c r="Z356" i="32451"/>
  <c r="Z476" i="32451"/>
  <c r="Z556" i="32451"/>
  <c r="Z578" i="32451"/>
  <c r="Z462" i="32451"/>
  <c r="Z348" i="32451"/>
  <c r="AR599" i="32451"/>
  <c r="AB359" i="32451"/>
  <c r="AB518" i="32451"/>
  <c r="AB510" i="32451"/>
  <c r="AB483" i="32451"/>
  <c r="G615" i="32451"/>
  <c r="AK676" i="32451"/>
  <c r="AK339" i="32451"/>
  <c r="AL312" i="32451"/>
  <c r="AK599" i="32451"/>
  <c r="AR339" i="32451"/>
  <c r="G605" i="32451"/>
  <c r="G611" i="32451"/>
  <c r="AK671" i="32451"/>
  <c r="AJ675" i="32451"/>
  <c r="AL603" i="32451"/>
  <c r="AK604" i="32451"/>
  <c r="AK677" i="32451"/>
  <c r="Z550" i="32451"/>
  <c r="Z479" i="32451"/>
  <c r="Z553" i="32451"/>
  <c r="Z473" i="32451"/>
  <c r="Z480" i="32451"/>
  <c r="Z403" i="32451"/>
  <c r="Z565" i="32451"/>
  <c r="Z394" i="32451"/>
  <c r="Z535" i="32451"/>
  <c r="Z374" i="32451"/>
  <c r="Z386" i="32451"/>
  <c r="Z562" i="32451"/>
  <c r="Z463" i="32451"/>
  <c r="Z568" i="32451"/>
  <c r="Z508" i="32451"/>
  <c r="Z504" i="32451"/>
  <c r="AT689" i="32451"/>
  <c r="AL293" i="32451"/>
  <c r="AJ328" i="32451"/>
  <c r="AB479" i="32451"/>
  <c r="AB421" i="32451"/>
  <c r="AB570" i="32451"/>
  <c r="AK298" i="32451"/>
  <c r="AL318" i="32451"/>
  <c r="AL299" i="32451"/>
  <c r="Z581" i="32451"/>
  <c r="Z466" i="32451"/>
  <c r="Z510" i="32451"/>
  <c r="Z391" i="32451"/>
  <c r="Z475" i="32451"/>
  <c r="Z405" i="32451"/>
  <c r="Z436" i="32451"/>
  <c r="Z560" i="32451"/>
  <c r="Z516" i="32451"/>
  <c r="Z373" i="32451"/>
  <c r="Z503" i="32451"/>
  <c r="AB405" i="32451"/>
  <c r="AB501" i="32451"/>
  <c r="AB342" i="32451"/>
  <c r="AB414" i="32451"/>
  <c r="AB534" i="32451"/>
  <c r="AB400" i="32451"/>
  <c r="AB494" i="32451"/>
  <c r="AB409" i="32451"/>
  <c r="AB391" i="32451"/>
  <c r="AJ633" i="32451"/>
  <c r="AJ294" i="32451"/>
  <c r="AJ325" i="32451"/>
  <c r="AK327" i="32451"/>
  <c r="Z528" i="32451"/>
  <c r="Z571" i="32451"/>
  <c r="Z343" i="32451"/>
  <c r="AQ313" i="32451"/>
  <c r="AR313" i="32451"/>
  <c r="AR286" i="32451"/>
  <c r="AQ286" i="32451"/>
  <c r="AT306" i="32451"/>
  <c r="AS306" i="32451"/>
  <c r="AS285" i="32451"/>
  <c r="AT285" i="32451"/>
  <c r="AJ302" i="32451"/>
  <c r="AT604" i="32451"/>
  <c r="AS604" i="32451"/>
  <c r="AQ291" i="32451"/>
  <c r="AR291" i="32451"/>
  <c r="AQ300" i="32451"/>
  <c r="AR300" i="32451"/>
  <c r="AT296" i="32451"/>
  <c r="AS296" i="32451"/>
  <c r="AS600" i="32451"/>
  <c r="AT600" i="32451"/>
  <c r="AS283" i="32451"/>
  <c r="AT283" i="32451"/>
  <c r="AS610" i="32451"/>
  <c r="AT610" i="32451"/>
  <c r="AQ311" i="32451"/>
  <c r="AR311" i="32451"/>
  <c r="AR308" i="32451"/>
  <c r="AQ308" i="32451"/>
  <c r="AK288" i="32451"/>
  <c r="AR288" i="32451"/>
  <c r="AQ288" i="32451"/>
  <c r="AQ292" i="32451"/>
  <c r="AR292" i="32451"/>
  <c r="AK630" i="32451"/>
  <c r="AR289" i="32451"/>
  <c r="AQ289" i="32451"/>
  <c r="AQ293" i="32451"/>
  <c r="AR293" i="32451"/>
  <c r="Z398" i="32451"/>
  <c r="AS298" i="32451"/>
  <c r="AT298" i="32451"/>
  <c r="AT612" i="32451"/>
  <c r="AS612" i="32451"/>
  <c r="AS603" i="32451"/>
  <c r="AT603" i="32451"/>
  <c r="AB282" i="32451"/>
  <c r="AT308" i="32451"/>
  <c r="AS308" i="32451"/>
  <c r="AT286" i="32451"/>
  <c r="AS286" i="32451"/>
  <c r="AS311" i="32451"/>
  <c r="AT311" i="32451"/>
  <c r="AR294" i="32451"/>
  <c r="AQ294" i="32451"/>
  <c r="AQ310" i="32451"/>
  <c r="AR310" i="32451"/>
  <c r="AS290" i="32451"/>
  <c r="AT290" i="32451"/>
  <c r="AS611" i="32451"/>
  <c r="AT611" i="32451"/>
  <c r="AT605" i="32451"/>
  <c r="AS605" i="32451"/>
  <c r="AR295" i="32451"/>
  <c r="AQ295" i="32451"/>
  <c r="AT288" i="32451"/>
  <c r="AS288" i="32451"/>
  <c r="AS616" i="32451"/>
  <c r="AT616" i="32451"/>
  <c r="AT614" i="32451"/>
  <c r="AS614" i="32451"/>
  <c r="AB459" i="32451"/>
  <c r="AR304" i="32451"/>
  <c r="AQ304" i="32451"/>
  <c r="AQ299" i="32451"/>
  <c r="AR299" i="32451"/>
  <c r="AS310" i="32451"/>
  <c r="AT310" i="32451"/>
  <c r="AQ283" i="32451"/>
  <c r="AR283" i="32451"/>
  <c r="AS299" i="32451"/>
  <c r="AT299" i="32451"/>
  <c r="AJ313" i="32451"/>
  <c r="AQ290" i="32451"/>
  <c r="AR290" i="32451"/>
  <c r="AQ285" i="32451"/>
  <c r="AR285" i="32451"/>
  <c r="AS291" i="32451"/>
  <c r="AT291" i="32451"/>
  <c r="AS284" i="32451"/>
  <c r="AT284" i="32451"/>
  <c r="AT287" i="32451"/>
  <c r="AS287" i="32451"/>
  <c r="AS293" i="32451"/>
  <c r="AT293" i="32451"/>
  <c r="AQ298" i="32451"/>
  <c r="AR298" i="32451"/>
  <c r="AQ312" i="32451"/>
  <c r="AR312" i="32451"/>
  <c r="AS312" i="32451"/>
  <c r="AT312" i="32451"/>
  <c r="Z282" i="32451"/>
  <c r="AT294" i="32451"/>
  <c r="AS294" i="32451"/>
  <c r="AK306" i="32451"/>
  <c r="AR306" i="32451"/>
  <c r="AQ306" i="32451"/>
  <c r="AR296" i="32451"/>
  <c r="AQ296" i="32451"/>
  <c r="AQ284" i="32451"/>
  <c r="AR284" i="32451"/>
  <c r="AT289" i="32451"/>
  <c r="AS289" i="32451"/>
  <c r="AS300" i="32451"/>
  <c r="AT300" i="32451"/>
  <c r="AT295" i="32451"/>
  <c r="AS295" i="32451"/>
  <c r="AT297" i="32451"/>
  <c r="AS297" i="32451"/>
  <c r="AS615" i="32451"/>
  <c r="AT615" i="32451"/>
  <c r="AJ674" i="32451"/>
  <c r="AT304" i="32451"/>
  <c r="AS304" i="32451"/>
  <c r="AS313" i="32451"/>
  <c r="AT313" i="32451"/>
  <c r="AS292" i="32451"/>
  <c r="AT292" i="32451"/>
  <c r="AQ302" i="32451"/>
  <c r="AR302" i="32451"/>
  <c r="AJ293" i="32451"/>
  <c r="AT309" i="32451"/>
  <c r="AS309" i="32451"/>
  <c r="AT613" i="32451"/>
  <c r="AS613" i="32451"/>
  <c r="AS688" i="32451"/>
  <c r="AT688" i="32451"/>
  <c r="AS625" i="32451"/>
  <c r="AT625" i="32451"/>
  <c r="AS671" i="32451"/>
  <c r="AT671" i="32451"/>
  <c r="AJ686" i="32451"/>
  <c r="AS702" i="32451"/>
  <c r="AT702" i="32451"/>
  <c r="AS696" i="32451"/>
  <c r="AT696" i="32451"/>
  <c r="AS650" i="32451"/>
  <c r="AT650" i="32451"/>
  <c r="AS626" i="32451"/>
  <c r="AT626" i="32451"/>
  <c r="AS704" i="32451"/>
  <c r="AT704" i="32451"/>
  <c r="AS656" i="32451"/>
  <c r="AT656" i="32451"/>
  <c r="AS695" i="32451"/>
  <c r="AT695" i="32451"/>
  <c r="AS662" i="32451"/>
  <c r="AT662" i="32451"/>
  <c r="AS693" i="32451"/>
  <c r="AT693" i="32451"/>
  <c r="AS637" i="32451"/>
  <c r="AT637" i="32451"/>
  <c r="AS697" i="32451"/>
  <c r="AT697" i="32451"/>
  <c r="AS644" i="32451"/>
  <c r="AT644" i="32451"/>
  <c r="AS700" i="32451"/>
  <c r="AT700" i="32451"/>
  <c r="AS640" i="32451"/>
  <c r="AT640" i="32451"/>
  <c r="AS646" i="32451"/>
  <c r="AT646" i="32451"/>
  <c r="AS660" i="32451"/>
  <c r="AT660" i="32451"/>
  <c r="AS642" i="32451"/>
  <c r="AT642" i="32451"/>
  <c r="AS652" i="32451"/>
  <c r="AT652" i="32451"/>
  <c r="AS665" i="32451"/>
  <c r="AT665" i="32451"/>
  <c r="AS699" i="32451"/>
  <c r="AT699" i="32451"/>
  <c r="AS638" i="32451"/>
  <c r="AT638" i="32451"/>
  <c r="AS661" i="32451"/>
  <c r="AT661" i="32451"/>
  <c r="AS654" i="32451"/>
  <c r="AT654" i="32451"/>
  <c r="AS658" i="32451"/>
  <c r="AT658" i="32451"/>
  <c r="AS651" i="32451"/>
  <c r="AT651" i="32451"/>
  <c r="AS628" i="32451"/>
  <c r="AT628" i="32451"/>
  <c r="AS655" i="32451"/>
  <c r="AT655" i="32451"/>
  <c r="AS666" i="32451"/>
  <c r="AT666" i="32451"/>
  <c r="AS694" i="32451"/>
  <c r="AT694" i="32451"/>
  <c r="AS657" i="32451"/>
  <c r="AT657" i="32451"/>
  <c r="AS648" i="32451"/>
  <c r="AT648" i="32451"/>
  <c r="AS629" i="32451"/>
  <c r="AT629" i="32451"/>
  <c r="AS679" i="32451"/>
  <c r="AT679" i="32451"/>
  <c r="AS686" i="32451"/>
  <c r="AT686" i="32451"/>
  <c r="AS674" i="32451"/>
  <c r="AT674" i="32451"/>
  <c r="AS687" i="32451"/>
  <c r="AT687" i="32451"/>
  <c r="AS641" i="32451"/>
  <c r="AT641" i="32451"/>
  <c r="AS639" i="32451"/>
  <c r="AT639" i="32451"/>
  <c r="AS664" i="32451"/>
  <c r="AT664" i="32451"/>
  <c r="AS698" i="32451"/>
  <c r="AT698" i="32451"/>
  <c r="AS667" i="32451"/>
  <c r="AT667" i="32451"/>
  <c r="AS643" i="32451"/>
  <c r="AT643" i="32451"/>
  <c r="AS653" i="32451"/>
  <c r="AT653" i="32451"/>
  <c r="AS663" i="32451"/>
  <c r="AT663" i="32451"/>
  <c r="AS649" i="32451"/>
  <c r="AT649" i="32451"/>
  <c r="AS645" i="32451"/>
  <c r="AT645" i="32451"/>
  <c r="AS692" i="32451"/>
  <c r="AT692" i="32451"/>
  <c r="AS677" i="32451"/>
  <c r="AT677" i="32451"/>
  <c r="AS670" i="32451"/>
  <c r="AT670" i="32451"/>
  <c r="AS618" i="32451"/>
  <c r="AT618" i="32451"/>
  <c r="AS680" i="32451"/>
  <c r="AT680" i="32451"/>
  <c r="AS633" i="32451"/>
  <c r="AT633" i="32451"/>
  <c r="AS627" i="32451"/>
  <c r="AT627" i="32451"/>
  <c r="AS623" i="32451"/>
  <c r="AS668" i="32451"/>
  <c r="AS634" i="32451"/>
  <c r="G670" i="32451"/>
  <c r="AS691" i="32451"/>
  <c r="AS621" i="32451"/>
  <c r="AS675" i="32451"/>
  <c r="AK622" i="32451"/>
  <c r="AS678" i="32451"/>
  <c r="AR671" i="32451"/>
  <c r="AS690" i="32451"/>
  <c r="AS681" i="32451"/>
  <c r="AS631" i="32451"/>
  <c r="AS630" i="32451"/>
  <c r="AL703" i="32451"/>
  <c r="AS703" i="32451"/>
  <c r="AS619" i="32451"/>
  <c r="AS672" i="32451"/>
  <c r="AS332" i="32451"/>
  <c r="AT332" i="32451"/>
  <c r="AK627" i="32451"/>
  <c r="AL615" i="32451"/>
  <c r="AJ610" i="32451"/>
  <c r="AS329" i="32451"/>
  <c r="AT329" i="32451"/>
  <c r="AS330" i="32451"/>
  <c r="AT330" i="32451"/>
  <c r="AS324" i="32451"/>
  <c r="AT324" i="32451"/>
  <c r="AS315" i="32451"/>
  <c r="AT315" i="32451"/>
  <c r="AS303" i="32451"/>
  <c r="AT303" i="32451"/>
  <c r="AB394" i="32451"/>
  <c r="AB526" i="32451"/>
  <c r="AB453" i="32451"/>
  <c r="AB356" i="32451"/>
  <c r="AB383" i="32451"/>
  <c r="AB579" i="32451"/>
  <c r="AB565" i="32451"/>
  <c r="AS316" i="32451"/>
  <c r="AT316" i="32451"/>
  <c r="AL668" i="32451"/>
  <c r="AS331" i="32451"/>
  <c r="AT331" i="32451"/>
  <c r="AS319" i="32451"/>
  <c r="AT319" i="32451"/>
  <c r="AS322" i="32451"/>
  <c r="AT322" i="32451"/>
  <c r="AS334" i="32451"/>
  <c r="AT334" i="32451"/>
  <c r="AS318" i="32451"/>
  <c r="AT318" i="32451"/>
  <c r="AB550" i="32451"/>
  <c r="AB474" i="32451"/>
  <c r="AB557" i="32451"/>
  <c r="AB549" i="32451"/>
  <c r="G676" i="32451"/>
  <c r="AK672" i="32451"/>
  <c r="Z389" i="32451"/>
  <c r="Z537" i="32451"/>
  <c r="Z509" i="32451"/>
  <c r="AB374" i="32451"/>
  <c r="AB476" i="32451"/>
  <c r="AB562" i="32451"/>
  <c r="AB402" i="32451"/>
  <c r="AB493" i="32451"/>
  <c r="AB398" i="32451"/>
  <c r="AB390" i="32451"/>
  <c r="AB439" i="32451"/>
  <c r="AB577" i="32451"/>
  <c r="AB478" i="32451"/>
  <c r="AB517" i="32451"/>
  <c r="AB568" i="32451"/>
  <c r="AB475" i="32451"/>
  <c r="AB470" i="32451"/>
  <c r="AS333" i="32451"/>
  <c r="AT333" i="32451"/>
  <c r="AS314" i="32451"/>
  <c r="AT314" i="32451"/>
  <c r="AL625" i="32451"/>
  <c r="AL634" i="32451"/>
  <c r="AS323" i="32451"/>
  <c r="AT323" i="32451"/>
  <c r="AS335" i="32451"/>
  <c r="AT335" i="32451"/>
  <c r="Z501" i="32451"/>
  <c r="Z448" i="32451"/>
  <c r="Z414" i="32451"/>
  <c r="Z390" i="32451"/>
  <c r="Z461" i="32451"/>
  <c r="Z464" i="32451"/>
  <c r="Z500" i="32451"/>
  <c r="Z381" i="32451"/>
  <c r="AB535" i="32451"/>
  <c r="AB564" i="32451"/>
  <c r="AB384" i="32451"/>
  <c r="AB529" i="32451"/>
  <c r="AB389" i="32451"/>
  <c r="AB480" i="32451"/>
  <c r="AB471" i="32451"/>
  <c r="AB416" i="32451"/>
  <c r="AB377" i="32451"/>
  <c r="AB350" i="32451"/>
  <c r="AB508" i="32451"/>
  <c r="AS321" i="32451"/>
  <c r="AT321" i="32451"/>
  <c r="AS305" i="32451"/>
  <c r="AT305" i="32451"/>
  <c r="AL614" i="32451"/>
  <c r="AL677" i="32451"/>
  <c r="AS317" i="32451"/>
  <c r="AT317" i="32451"/>
  <c r="AS327" i="32451"/>
  <c r="AJ322" i="32451"/>
  <c r="AS328" i="32451"/>
  <c r="AS337" i="32451"/>
  <c r="AJ626" i="32451"/>
  <c r="AS307" i="32451"/>
  <c r="AS320" i="32451"/>
  <c r="AK611" i="32451"/>
  <c r="AQ703" i="32451"/>
  <c r="AR703" i="32451"/>
  <c r="AQ654" i="32451"/>
  <c r="AR654" i="32451"/>
  <c r="AQ662" i="32451"/>
  <c r="AR662" i="32451"/>
  <c r="AL328" i="32451"/>
  <c r="AQ323" i="32451"/>
  <c r="AR323" i="32451"/>
  <c r="AQ330" i="32451"/>
  <c r="AR330" i="32451"/>
  <c r="AQ327" i="32451"/>
  <c r="AR327" i="32451"/>
  <c r="AQ608" i="32451"/>
  <c r="AR608" i="32451"/>
  <c r="AQ607" i="32451"/>
  <c r="AR607" i="32451"/>
  <c r="AQ636" i="32451"/>
  <c r="AR636" i="32451"/>
  <c r="AQ336" i="32451"/>
  <c r="AR336" i="32451"/>
  <c r="AQ639" i="32451"/>
  <c r="AR639" i="32451"/>
  <c r="AQ667" i="32451"/>
  <c r="AR667" i="32451"/>
  <c r="AJ324" i="32451"/>
  <c r="AQ696" i="32451"/>
  <c r="AR696" i="32451"/>
  <c r="AQ646" i="32451"/>
  <c r="AR646" i="32451"/>
  <c r="AQ655" i="32451"/>
  <c r="AR655" i="32451"/>
  <c r="AQ661" i="32451"/>
  <c r="AR661" i="32451"/>
  <c r="AQ653" i="32451"/>
  <c r="AR653" i="32451"/>
  <c r="AQ666" i="32451"/>
  <c r="AR666" i="32451"/>
  <c r="AQ692" i="32451"/>
  <c r="AR692" i="32451"/>
  <c r="AQ649" i="32451"/>
  <c r="AR649" i="32451"/>
  <c r="AQ645" i="32451"/>
  <c r="AR645" i="32451"/>
  <c r="AQ693" i="32451"/>
  <c r="AR693" i="32451"/>
  <c r="AQ659" i="32451"/>
  <c r="AR659" i="32451"/>
  <c r="AL323" i="32451"/>
  <c r="AQ326" i="32451"/>
  <c r="AR326" i="32451"/>
  <c r="AQ679" i="32451"/>
  <c r="AR679" i="32451"/>
  <c r="AQ604" i="32451"/>
  <c r="AR604" i="32451"/>
  <c r="Z358" i="32451"/>
  <c r="Z543" i="32451"/>
  <c r="Z416" i="32451"/>
  <c r="Z408" i="32451"/>
  <c r="Z453" i="32451"/>
  <c r="Z338" i="32451"/>
  <c r="Z579" i="32451"/>
  <c r="Z445" i="32451"/>
  <c r="Z419" i="32451"/>
  <c r="Z524" i="32451"/>
  <c r="Z412" i="32451"/>
  <c r="Z439" i="32451"/>
  <c r="Z486" i="32451"/>
  <c r="Z369" i="32451"/>
  <c r="Z388" i="32451"/>
  <c r="Z470" i="32451"/>
  <c r="Z585" i="32451"/>
  <c r="Z409" i="32451"/>
  <c r="Z517" i="32451"/>
  <c r="Z410" i="32451"/>
  <c r="AQ704" i="32451"/>
  <c r="AR704" i="32451"/>
  <c r="AQ651" i="32451"/>
  <c r="AR651" i="32451"/>
  <c r="AQ648" i="32451"/>
  <c r="AR648" i="32451"/>
  <c r="AQ621" i="32451"/>
  <c r="AR621" i="32451"/>
  <c r="AQ605" i="32451"/>
  <c r="AR605" i="32451"/>
  <c r="AQ613" i="32451"/>
  <c r="AR613" i="32451"/>
  <c r="AQ602" i="32451"/>
  <c r="AR602" i="32451"/>
  <c r="AQ694" i="32451"/>
  <c r="AR694" i="32451"/>
  <c r="AQ663" i="32451"/>
  <c r="AR663" i="32451"/>
  <c r="AQ657" i="32451"/>
  <c r="AR657" i="32451"/>
  <c r="AQ658" i="32451"/>
  <c r="AR658" i="32451"/>
  <c r="AQ638" i="32451"/>
  <c r="AR638" i="32451"/>
  <c r="AL330" i="32451"/>
  <c r="AL610" i="32451"/>
  <c r="AK636" i="32451"/>
  <c r="AQ630" i="32451"/>
  <c r="AR630" i="32451"/>
  <c r="AQ674" i="32451"/>
  <c r="AR674" i="32451"/>
  <c r="G635" i="32451"/>
  <c r="AQ700" i="32451"/>
  <c r="AR700" i="32451"/>
  <c r="AQ637" i="32451"/>
  <c r="AR637" i="32451"/>
  <c r="AQ698" i="32451"/>
  <c r="AR698" i="32451"/>
  <c r="AQ650" i="32451"/>
  <c r="AR650" i="32451"/>
  <c r="AQ641" i="32451"/>
  <c r="AR641" i="32451"/>
  <c r="AJ607" i="32451"/>
  <c r="AQ677" i="32451"/>
  <c r="AR677" i="32451"/>
  <c r="AQ320" i="32451"/>
  <c r="AR320" i="32451"/>
  <c r="AQ672" i="32451"/>
  <c r="AR672" i="32451"/>
  <c r="AQ622" i="32451"/>
  <c r="AR622" i="32451"/>
  <c r="AQ624" i="32451"/>
  <c r="AR624" i="32451"/>
  <c r="AQ697" i="32451"/>
  <c r="AR697" i="32451"/>
  <c r="AQ660" i="32451"/>
  <c r="AR660" i="32451"/>
  <c r="AQ656" i="32451"/>
  <c r="AR656" i="32451"/>
  <c r="AQ699" i="32451"/>
  <c r="AR699" i="32451"/>
  <c r="AQ642" i="32451"/>
  <c r="AR642" i="32451"/>
  <c r="AQ664" i="32451"/>
  <c r="AR664" i="32451"/>
  <c r="AQ329" i="32451"/>
  <c r="AR329" i="32451"/>
  <c r="AK320" i="32451"/>
  <c r="AQ600" i="32451"/>
  <c r="AR600" i="32451"/>
  <c r="AQ625" i="32451"/>
  <c r="AR625" i="32451"/>
  <c r="AQ680" i="32451"/>
  <c r="AR680" i="32451"/>
  <c r="AQ324" i="32451"/>
  <c r="AR324" i="32451"/>
  <c r="AQ676" i="32451"/>
  <c r="AR676" i="32451"/>
  <c r="AQ644" i="32451"/>
  <c r="AR644" i="32451"/>
  <c r="AQ665" i="32451"/>
  <c r="AR665" i="32451"/>
  <c r="AQ695" i="32451"/>
  <c r="AR695" i="32451"/>
  <c r="AQ652" i="32451"/>
  <c r="AR652" i="32451"/>
  <c r="AQ331" i="32451"/>
  <c r="AR331" i="32451"/>
  <c r="AQ606" i="32451"/>
  <c r="AR606" i="32451"/>
  <c r="AQ670" i="32451"/>
  <c r="AR670" i="32451"/>
  <c r="AQ332" i="32451"/>
  <c r="AR332" i="32451"/>
  <c r="AQ689" i="32451"/>
  <c r="AR689" i="32451"/>
  <c r="AQ611" i="32451"/>
  <c r="AR611" i="32451"/>
  <c r="AQ627" i="32451"/>
  <c r="AR627" i="32451"/>
  <c r="Z472" i="32451"/>
  <c r="Z539" i="32451"/>
  <c r="AK688" i="32451"/>
  <c r="AQ688" i="32451"/>
  <c r="AQ301" i="32451"/>
  <c r="AK610" i="32451"/>
  <c r="AQ610" i="32451"/>
  <c r="AJ601" i="32451"/>
  <c r="G613" i="32451"/>
  <c r="AK321" i="32451"/>
  <c r="AQ321" i="32451"/>
  <c r="AQ619" i="32451"/>
  <c r="AK319" i="32451"/>
  <c r="AQ319" i="32451"/>
  <c r="AK334" i="32451"/>
  <c r="AQ334" i="32451"/>
  <c r="AQ614" i="32451"/>
  <c r="AQ686" i="32451"/>
  <c r="AQ690" i="32451"/>
  <c r="AQ325" i="32451"/>
  <c r="AQ307" i="32451"/>
  <c r="AJ319" i="32451"/>
  <c r="AK328" i="32451"/>
  <c r="AQ328" i="32451"/>
  <c r="AQ623" i="32451"/>
  <c r="AQ337" i="32451"/>
  <c r="AQ318" i="32451"/>
  <c r="AQ681" i="32451"/>
  <c r="AK600" i="32451"/>
  <c r="AK305" i="32451"/>
  <c r="AQ305" i="32451"/>
  <c r="AQ333" i="32451"/>
  <c r="AQ634" i="32451"/>
  <c r="AK680" i="32451"/>
  <c r="AQ315" i="32451"/>
  <c r="AQ678" i="32451"/>
  <c r="AQ691" i="32451"/>
  <c r="AL317" i="32451"/>
  <c r="AK628" i="32451"/>
  <c r="AQ628" i="32451"/>
  <c r="AL627" i="32451"/>
  <c r="AQ616" i="32451"/>
  <c r="AQ668" i="32451"/>
  <c r="AQ303" i="32451"/>
  <c r="AJ636" i="32451"/>
  <c r="AK621" i="32451"/>
  <c r="AK624" i="32451"/>
  <c r="AK674" i="32451"/>
  <c r="AL628" i="32451"/>
  <c r="AK681" i="32451"/>
  <c r="G686" i="32451"/>
  <c r="AJ303" i="32451"/>
  <c r="AK670" i="32451"/>
  <c r="AL672" i="32451"/>
  <c r="AJ298" i="32451"/>
  <c r="AL296" i="32451"/>
  <c r="AL600" i="32451"/>
  <c r="G690" i="32451"/>
  <c r="AL309" i="32451"/>
  <c r="AL297" i="32451"/>
  <c r="AL630" i="32451"/>
  <c r="AK689" i="32451"/>
  <c r="AK613" i="32451"/>
  <c r="AL681" i="32451"/>
  <c r="AL679" i="32451"/>
  <c r="AJ330" i="32451"/>
  <c r="AJ622" i="32451"/>
  <c r="AJ687" i="32451"/>
  <c r="AL670" i="32451"/>
  <c r="AK606" i="32451"/>
  <c r="AJ287" i="32451"/>
  <c r="AJ316" i="32451"/>
  <c r="AL308" i="32451"/>
  <c r="AJ688" i="32451"/>
  <c r="AL631" i="32451"/>
  <c r="AK686" i="32451"/>
  <c r="AL337" i="32451"/>
  <c r="AK333" i="32451"/>
  <c r="G618" i="32451"/>
  <c r="AL612" i="32451"/>
  <c r="AJ612" i="32451"/>
  <c r="AL616" i="32451"/>
  <c r="AL680" i="32451"/>
  <c r="AK303" i="32451"/>
  <c r="AL335" i="32451"/>
  <c r="G612" i="32451"/>
  <c r="AL618" i="32451"/>
  <c r="AL623" i="32451"/>
  <c r="AK690" i="32451"/>
  <c r="AL292" i="32451"/>
  <c r="AJ336" i="32451"/>
  <c r="AK304" i="32451"/>
  <c r="AK292" i="32451"/>
  <c r="AL619" i="32451"/>
  <c r="AL675" i="32451"/>
  <c r="AK290" i="32451"/>
  <c r="AJ310" i="32451"/>
  <c r="AJ317" i="32451"/>
  <c r="AK295" i="32451"/>
  <c r="AK336" i="32451"/>
  <c r="AK318" i="32451"/>
  <c r="AL319" i="32451"/>
  <c r="AL291" i="32451"/>
  <c r="G678" i="32451"/>
  <c r="AJ678" i="32451"/>
  <c r="AJ333" i="32451"/>
  <c r="AK614" i="32451"/>
  <c r="AJ625" i="32451"/>
  <c r="AJ623" i="32451"/>
  <c r="AK691" i="32451"/>
  <c r="AJ618" i="32451"/>
  <c r="AL621" i="32451"/>
  <c r="AL305" i="32451"/>
  <c r="AJ301" i="32451"/>
  <c r="AJ335" i="32451"/>
  <c r="G691" i="32451"/>
  <c r="G623" i="32451"/>
  <c r="AJ691" i="32451"/>
  <c r="AK315" i="32451"/>
  <c r="AL300" i="32451"/>
  <c r="AL314" i="32451"/>
  <c r="AK679" i="32451"/>
  <c r="AL313" i="32451"/>
  <c r="AK313" i="32451"/>
  <c r="AK337" i="32451"/>
  <c r="AJ309" i="32451"/>
  <c r="AL288" i="32451"/>
  <c r="AK308" i="32451"/>
  <c r="AK323" i="32451"/>
  <c r="AJ286" i="32451"/>
  <c r="AJ311" i="32451"/>
  <c r="AK302" i="32451"/>
  <c r="AK300" i="32451"/>
  <c r="AJ334" i="32451"/>
  <c r="AL303" i="32451"/>
  <c r="AK283" i="32451"/>
  <c r="AJ631" i="32451"/>
  <c r="AJ619" i="32451"/>
  <c r="AJ677" i="32451"/>
  <c r="AL316" i="32451"/>
  <c r="AL289" i="32451"/>
  <c r="AK607" i="32451"/>
  <c r="G672" i="32451"/>
  <c r="AK312" i="32451"/>
  <c r="G636" i="32451"/>
  <c r="G668" i="32451"/>
  <c r="AL329" i="32451"/>
  <c r="AK331" i="32451"/>
  <c r="AK668" i="32451"/>
  <c r="G689" i="32451"/>
  <c r="AL611" i="32451"/>
  <c r="AK623" i="32451"/>
  <c r="AL310" i="32451"/>
  <c r="AK625" i="32451"/>
  <c r="AJ628" i="32451"/>
  <c r="AL321" i="32451"/>
  <c r="AK329" i="32451"/>
  <c r="AL331" i="32451"/>
  <c r="AL311" i="32451"/>
  <c r="AL284" i="32451"/>
  <c r="AJ323" i="32451"/>
  <c r="AK330" i="32451"/>
  <c r="AK311" i="32451"/>
  <c r="AK299" i="32451"/>
  <c r="AL688" i="32451"/>
  <c r="AL294" i="32451"/>
  <c r="AL334" i="32451"/>
  <c r="AJ321" i="32451"/>
  <c r="AJ611" i="32451"/>
  <c r="AK285" i="32451"/>
  <c r="AL320" i="32451"/>
  <c r="AK289" i="32451"/>
  <c r="AJ641" i="32451"/>
  <c r="AJ292" i="32451"/>
  <c r="AL686" i="32451"/>
  <c r="AK678" i="32451"/>
  <c r="AJ314" i="32451"/>
  <c r="AJ307" i="32451"/>
  <c r="AL678" i="32451"/>
  <c r="AK307" i="32451"/>
  <c r="AK616" i="32451"/>
  <c r="AK301" i="32451"/>
  <c r="AJ629" i="32451"/>
  <c r="AJ305" i="32451"/>
  <c r="AJ621" i="32451"/>
  <c r="G621" i="32451"/>
  <c r="AL307" i="32451"/>
  <c r="G293" i="32451"/>
  <c r="G295" i="32451"/>
  <c r="G626" i="32451"/>
  <c r="G696" i="32451"/>
  <c r="G283" i="32451"/>
  <c r="G291" i="32451"/>
  <c r="G306" i="32451"/>
  <c r="G302" i="32451"/>
  <c r="G288" i="32451"/>
  <c r="G284" i="32451"/>
  <c r="G313" i="32451"/>
  <c r="G292" i="32451"/>
  <c r="G294" i="32451"/>
  <c r="G310" i="32451"/>
  <c r="G286" i="32451"/>
  <c r="G285" i="32451"/>
  <c r="G311" i="32451"/>
  <c r="G298" i="32451"/>
  <c r="G693" i="32451"/>
  <c r="AL629" i="32451"/>
  <c r="AL304" i="32451"/>
  <c r="AL649" i="32451"/>
  <c r="AL333" i="32451"/>
  <c r="G695" i="32451"/>
  <c r="AL648" i="32451"/>
  <c r="AJ660" i="32451"/>
  <c r="AK648" i="32451"/>
  <c r="AJ331" i="32451"/>
  <c r="AJ642" i="32451"/>
  <c r="G692" i="32451"/>
  <c r="AK326" i="32451"/>
  <c r="G694" i="32451"/>
  <c r="G323" i="32451"/>
  <c r="G327" i="32451"/>
  <c r="G301" i="32451"/>
  <c r="G332" i="32451"/>
  <c r="G336" i="32451"/>
  <c r="G328" i="32451"/>
  <c r="G329" i="32451"/>
  <c r="AL638" i="32451"/>
  <c r="AJ662" i="32451"/>
  <c r="AK659" i="32451"/>
  <c r="AL645" i="32451"/>
  <c r="AK664" i="32451"/>
  <c r="AJ648" i="32451"/>
  <c r="AJ693" i="32451"/>
  <c r="AK667" i="32451"/>
  <c r="AK693" i="32451"/>
  <c r="AL664" i="32451"/>
  <c r="AL665" i="32451"/>
  <c r="AK642" i="32451"/>
  <c r="AK638" i="32451"/>
  <c r="AL692" i="32451"/>
  <c r="AL693" i="32451"/>
  <c r="AJ667" i="32451"/>
  <c r="AL653" i="32451"/>
  <c r="AL663" i="32451"/>
  <c r="AK699" i="32451"/>
  <c r="AL662" i="32451"/>
  <c r="AK641" i="32451"/>
  <c r="AJ645" i="32451"/>
  <c r="AK645" i="32451"/>
  <c r="AL699" i="32451"/>
  <c r="AJ699" i="32451"/>
  <c r="AL650" i="32451"/>
  <c r="AJ692" i="32451"/>
  <c r="AK661" i="32451"/>
  <c r="AK662" i="32451"/>
  <c r="AK649" i="32451"/>
  <c r="AJ650" i="32451"/>
  <c r="AK656" i="32451"/>
  <c r="AL666" i="32451"/>
  <c r="AL651" i="32451"/>
  <c r="AJ653" i="32451"/>
  <c r="AK658" i="32451"/>
  <c r="AL657" i="32451"/>
  <c r="AK652" i="32451"/>
  <c r="AK694" i="32451"/>
  <c r="AL695" i="32451"/>
  <c r="AL694" i="32451"/>
  <c r="AJ639" i="32451"/>
  <c r="AK692" i="32451"/>
  <c r="AJ666" i="32451"/>
  <c r="AK666" i="32451"/>
  <c r="AJ651" i="32451"/>
  <c r="AL654" i="32451"/>
  <c r="AJ665" i="32451"/>
  <c r="AK637" i="32451"/>
  <c r="AK651" i="32451"/>
  <c r="AJ664" i="32451"/>
  <c r="AJ696" i="32451"/>
  <c r="AJ655" i="32451"/>
  <c r="AL643" i="32451"/>
  <c r="AL639" i="32451"/>
  <c r="AK663" i="32451"/>
  <c r="AJ654" i="32451"/>
  <c r="AJ652" i="32451"/>
  <c r="AK700" i="32451"/>
  <c r="AK639" i="32451"/>
  <c r="AK655" i="32451"/>
  <c r="AL658" i="32451"/>
  <c r="AJ643" i="32451"/>
  <c r="AJ700" i="32451"/>
  <c r="AJ695" i="32451"/>
  <c r="AL642" i="32451"/>
  <c r="AK650" i="32451"/>
  <c r="AL656" i="32451"/>
  <c r="AJ638" i="32451"/>
  <c r="AL696" i="32451"/>
  <c r="AK653" i="32451"/>
  <c r="AK695" i="32451"/>
  <c r="AL655" i="32451"/>
  <c r="AJ697" i="32451"/>
  <c r="AK654" i="32451"/>
  <c r="AK646" i="32451"/>
  <c r="AJ637" i="32451"/>
  <c r="AL640" i="32451"/>
  <c r="AL641" i="32451"/>
  <c r="AL698" i="32451"/>
  <c r="AL646" i="32451"/>
  <c r="AL660" i="32451"/>
  <c r="AK660" i="32451"/>
  <c r="AK657" i="32451"/>
  <c r="AL667" i="32451"/>
  <c r="AL700" i="32451"/>
  <c r="AJ704" i="32451"/>
  <c r="AJ644" i="32451"/>
  <c r="AL652" i="32451"/>
  <c r="AJ656" i="32451"/>
  <c r="AL661" i="32451"/>
  <c r="AJ661" i="32451"/>
  <c r="AL644" i="32451"/>
  <c r="AJ646" i="32451"/>
  <c r="AK697" i="32451"/>
  <c r="AL702" i="32451"/>
  <c r="AL697" i="32451"/>
  <c r="AK698" i="32451"/>
  <c r="AJ694" i="32451"/>
  <c r="AK665" i="32451"/>
  <c r="AL637" i="32451"/>
  <c r="AJ658" i="32451"/>
  <c r="AK644" i="32451"/>
  <c r="AL704" i="32451"/>
  <c r="AJ640" i="32451"/>
  <c r="AK696" i="32451"/>
  <c r="AJ698" i="32451"/>
  <c r="AK703" i="32451"/>
  <c r="AJ703" i="32451"/>
  <c r="AB592" i="32451"/>
  <c r="Z594" i="32451"/>
  <c r="AB590" i="32451"/>
  <c r="AB597" i="32451"/>
  <c r="AB591" i="32451"/>
  <c r="Z597" i="32451"/>
  <c r="Z592" i="32451"/>
  <c r="Z702" i="32451"/>
  <c r="Z617" i="32451"/>
  <c r="Z596" i="32451"/>
  <c r="Z635" i="32451"/>
  <c r="N17" i="32451" l="1"/>
  <c r="G2" i="32498"/>
  <c r="P21" i="32451"/>
  <c r="F21" i="32457" s="1"/>
  <c r="G21" i="32457" s="1"/>
  <c r="I21" i="32457" s="1"/>
  <c r="I343" i="32498"/>
  <c r="AA374" i="32451"/>
  <c r="I479" i="32498"/>
  <c r="AA510" i="32451"/>
  <c r="I671" i="32498"/>
  <c r="AA702" i="32451"/>
  <c r="I548" i="32498"/>
  <c r="AA579" i="32451"/>
  <c r="I519" i="32498"/>
  <c r="AA550" i="32451"/>
  <c r="I359" i="32498"/>
  <c r="AA390" i="32451"/>
  <c r="I485" i="32498"/>
  <c r="AA516" i="32451"/>
  <c r="I348" i="32498"/>
  <c r="AA379" i="32451"/>
  <c r="I350" i="32498"/>
  <c r="AA381" i="32451"/>
  <c r="I406" i="32498"/>
  <c r="AA437" i="32451"/>
  <c r="I490" i="32498"/>
  <c r="AA521" i="32451"/>
  <c r="I311" i="32498"/>
  <c r="AA342" i="32451"/>
  <c r="I352" i="32498"/>
  <c r="AA383" i="32451"/>
  <c r="I561" i="32498"/>
  <c r="AA592" i="32451"/>
  <c r="I355" i="32498"/>
  <c r="AA386" i="32451"/>
  <c r="I443" i="32498"/>
  <c r="AA474" i="32451"/>
  <c r="I668" i="32498"/>
  <c r="AA699" i="32451"/>
  <c r="I497" i="32498"/>
  <c r="AA528" i="32451"/>
  <c r="I534" i="32498"/>
  <c r="AA565" i="32451"/>
  <c r="I452" i="32498"/>
  <c r="AA483" i="32451"/>
  <c r="I444" i="32498"/>
  <c r="AA475" i="32451"/>
  <c r="I503" i="32498"/>
  <c r="AA534" i="32451"/>
  <c r="I409" i="32498"/>
  <c r="AA440" i="32451"/>
  <c r="I531" i="32498"/>
  <c r="AA562" i="32451"/>
  <c r="I377" i="32498"/>
  <c r="AA408" i="32451"/>
  <c r="I309" i="32498"/>
  <c r="AA340" i="32451"/>
  <c r="I473" i="32498"/>
  <c r="AA504" i="32451"/>
  <c r="I379" i="32498"/>
  <c r="AA410" i="32451"/>
  <c r="I384" i="32498"/>
  <c r="AA415" i="32451"/>
  <c r="I487" i="32498"/>
  <c r="AA518" i="32451"/>
  <c r="I251" i="32498"/>
  <c r="AA282" i="32451"/>
  <c r="I313" i="32498"/>
  <c r="AA344" i="32451"/>
  <c r="I667" i="32498"/>
  <c r="AA698" i="32451"/>
  <c r="I374" i="32498"/>
  <c r="AA405" i="32451"/>
  <c r="I385" i="32498"/>
  <c r="AA416" i="32451"/>
  <c r="I358" i="32498"/>
  <c r="AA389" i="32451"/>
  <c r="I407" i="32498"/>
  <c r="AA438" i="32451"/>
  <c r="I414" i="32498"/>
  <c r="AA445" i="32451"/>
  <c r="I537" i="32498"/>
  <c r="AA568" i="32451"/>
  <c r="I670" i="32498"/>
  <c r="AA701" i="32451"/>
  <c r="I433" i="32498"/>
  <c r="AA464" i="32451"/>
  <c r="I672" i="32498"/>
  <c r="AA703" i="32451"/>
  <c r="I312" i="32498"/>
  <c r="AA343" i="32451"/>
  <c r="I563" i="32498"/>
  <c r="AA594" i="32451"/>
  <c r="I388" i="32498"/>
  <c r="AA419" i="32451"/>
  <c r="I449" i="32498"/>
  <c r="AA480" i="32451"/>
  <c r="I508" i="32498"/>
  <c r="AA539" i="32451"/>
  <c r="I540" i="32498"/>
  <c r="AA571" i="32451"/>
  <c r="I360" i="32498"/>
  <c r="AA391" i="32451"/>
  <c r="I539" i="32498"/>
  <c r="AA570" i="32451"/>
  <c r="I504" i="32498"/>
  <c r="AA535" i="32451"/>
  <c r="I669" i="32498"/>
  <c r="AA700" i="32451"/>
  <c r="I307" i="32498"/>
  <c r="AA338" i="32451"/>
  <c r="I673" i="32498"/>
  <c r="AA704" i="32451"/>
  <c r="I383" i="32498"/>
  <c r="AA414" i="32451"/>
  <c r="I480" i="32498"/>
  <c r="AA511" i="32451"/>
  <c r="I405" i="32498"/>
  <c r="AA436" i="32451"/>
  <c r="I447" i="32498"/>
  <c r="AA478" i="32451"/>
  <c r="I550" i="32498"/>
  <c r="AA581" i="32451"/>
  <c r="I317" i="32498"/>
  <c r="AA348" i="32451"/>
  <c r="I393" i="32498"/>
  <c r="AA424" i="32451"/>
  <c r="I529" i="32498"/>
  <c r="AA560" i="32451"/>
  <c r="I522" i="32498"/>
  <c r="AA553" i="32451"/>
  <c r="I566" i="32498"/>
  <c r="AA597" i="32451"/>
  <c r="I353" i="32498"/>
  <c r="AA384" i="32451"/>
  <c r="G56" i="32451"/>
  <c r="G39" i="32451"/>
  <c r="G316" i="32451"/>
  <c r="G392" i="32451"/>
  <c r="G299" i="32451"/>
  <c r="G359" i="32451"/>
  <c r="G701" i="32451"/>
  <c r="G381" i="32451"/>
  <c r="G391" i="32451"/>
  <c r="G400" i="32451"/>
  <c r="G322" i="32451"/>
  <c r="G699" i="32451"/>
  <c r="G560" i="32451"/>
  <c r="G456" i="32451"/>
  <c r="G700" i="32451"/>
  <c r="G697" i="32451"/>
  <c r="G308" i="32451"/>
  <c r="G526" i="32451"/>
  <c r="G422" i="32451"/>
  <c r="G554" i="32451"/>
  <c r="G441" i="32451"/>
  <c r="G303" i="32451"/>
  <c r="G333" i="32451"/>
  <c r="G673" i="32451"/>
  <c r="G307" i="32451"/>
  <c r="G409" i="32451"/>
  <c r="G339" i="32451"/>
  <c r="G375" i="32451"/>
  <c r="G334" i="32451"/>
  <c r="G361" i="32451"/>
  <c r="G544" i="32451"/>
  <c r="G492" i="32451"/>
  <c r="G413" i="32451"/>
  <c r="G508" i="32451"/>
  <c r="G442" i="32451"/>
  <c r="G535" i="32451"/>
  <c r="G317" i="32451"/>
  <c r="G567" i="32451"/>
  <c r="G351" i="32451"/>
  <c r="G337" i="32451"/>
  <c r="G659" i="32451"/>
  <c r="G385" i="32451"/>
  <c r="G569" i="32451"/>
  <c r="G580" i="32451"/>
  <c r="G363" i="32451"/>
  <c r="G477" i="32451"/>
  <c r="G439" i="32451"/>
  <c r="G494" i="32451"/>
  <c r="G622" i="32451"/>
  <c r="G378" i="32451"/>
  <c r="G532" i="32451"/>
  <c r="G326" i="32451"/>
  <c r="G481" i="32451"/>
  <c r="G496" i="32451"/>
  <c r="G300" i="32451"/>
  <c r="G466" i="32451"/>
  <c r="G457" i="32451"/>
  <c r="G575" i="32451"/>
  <c r="G482" i="32451"/>
  <c r="G408" i="32451"/>
  <c r="G372" i="32451"/>
  <c r="G386" i="32451"/>
  <c r="G476" i="32451"/>
  <c r="G563" i="32451"/>
  <c r="G404" i="32451"/>
  <c r="G542" i="32451"/>
  <c r="G297" i="32451"/>
  <c r="G698" i="32451"/>
  <c r="G598" i="32451"/>
  <c r="G578" i="32451"/>
  <c r="G473" i="32451"/>
  <c r="G407" i="32451"/>
  <c r="G287" i="32451"/>
  <c r="G296" i="32451"/>
  <c r="G426" i="32451"/>
  <c r="G352" i="32451"/>
  <c r="G428" i="32451"/>
  <c r="G331" i="32451"/>
  <c r="G330" i="32451"/>
  <c r="G617" i="32451"/>
  <c r="G550" i="32451"/>
  <c r="G566" i="32451"/>
  <c r="G434" i="32451"/>
  <c r="G562" i="32451"/>
  <c r="G472" i="32451"/>
  <c r="G489" i="32451"/>
  <c r="G577" i="32451"/>
  <c r="G356" i="32451"/>
  <c r="G546" i="32451"/>
  <c r="G447" i="32451"/>
  <c r="G305" i="32451"/>
  <c r="G396" i="32451"/>
  <c r="G315" i="32451"/>
  <c r="G290" i="32451"/>
  <c r="G522" i="32451"/>
  <c r="G424" i="32451"/>
  <c r="G641" i="32451"/>
  <c r="G320" i="32451"/>
  <c r="G591" i="32451"/>
  <c r="G495" i="32451"/>
  <c r="G559" i="32451"/>
  <c r="G365" i="32451"/>
  <c r="G399" i="32451"/>
  <c r="G525" i="32451"/>
  <c r="G529" i="32451"/>
  <c r="G417" i="32451"/>
  <c r="G335" i="32451"/>
  <c r="G493" i="32451"/>
  <c r="G321" i="32451"/>
  <c r="G625" i="32451"/>
  <c r="G527" i="32451"/>
  <c r="G448" i="32451"/>
  <c r="G589" i="32451"/>
  <c r="G480" i="32451"/>
  <c r="G568" i="32451"/>
  <c r="G373" i="32451"/>
  <c r="G342" i="32451"/>
  <c r="G412" i="32451"/>
  <c r="G444" i="32451"/>
  <c r="G465" i="32451"/>
  <c r="G377" i="32451"/>
  <c r="G488" i="32451"/>
  <c r="G574" i="32451"/>
  <c r="G405" i="32451"/>
  <c r="G364" i="32451"/>
  <c r="G500" i="32451"/>
  <c r="G402" i="32451"/>
  <c r="G416" i="32451"/>
  <c r="G397" i="32451"/>
  <c r="G484" i="32451"/>
  <c r="G607" i="32451"/>
  <c r="G595" i="32451"/>
  <c r="G483" i="32451"/>
  <c r="G497" i="32451"/>
  <c r="G435" i="32451"/>
  <c r="G459" i="32451"/>
  <c r="G579" i="32451"/>
  <c r="G350" i="32451"/>
  <c r="G463" i="32451"/>
  <c r="G552" i="32451"/>
  <c r="G423" i="32451"/>
  <c r="G449" i="32451"/>
  <c r="G455" i="32451"/>
  <c r="G534" i="32451"/>
  <c r="G360" i="32451"/>
  <c r="G382" i="32451"/>
  <c r="G281" i="32451"/>
  <c r="G517" i="32451"/>
  <c r="G319" i="32451"/>
  <c r="G325" i="32451"/>
  <c r="G314" i="32451"/>
  <c r="G440" i="32451"/>
  <c r="G511" i="32451"/>
  <c r="G410" i="32451"/>
  <c r="G406" i="32451"/>
  <c r="G538" i="32451"/>
  <c r="G516" i="32451"/>
  <c r="G470" i="32451"/>
  <c r="G415" i="32451"/>
  <c r="G475" i="32451"/>
  <c r="G438" i="32451"/>
  <c r="G429" i="32451"/>
  <c r="G553" i="32451"/>
  <c r="G324" i="32451"/>
  <c r="G454" i="32451"/>
  <c r="G376" i="32451"/>
  <c r="G596" i="32451"/>
  <c r="G451" i="32451"/>
  <c r="G425" i="32451"/>
  <c r="G576" i="32451"/>
  <c r="G430" i="32451"/>
  <c r="G64" i="32451"/>
  <c r="G346" i="32451"/>
  <c r="G390" i="32451"/>
  <c r="G464" i="32451"/>
  <c r="G513" i="32451"/>
  <c r="G561" i="32451"/>
  <c r="G343" i="32451"/>
  <c r="G585" i="32451"/>
  <c r="G353" i="32451"/>
  <c r="G445" i="32451"/>
  <c r="G486" i="32451"/>
  <c r="G592" i="32451"/>
  <c r="G379" i="32451"/>
  <c r="G499" i="32451"/>
  <c r="G389" i="32451"/>
  <c r="G504" i="32451"/>
  <c r="G414" i="32451"/>
  <c r="G518" i="32451"/>
  <c r="Z682" i="32451"/>
  <c r="AB343" i="32451"/>
  <c r="Z487" i="32451"/>
  <c r="Z477" i="32451"/>
  <c r="Z572" i="32451"/>
  <c r="Z566" i="32451"/>
  <c r="AB403" i="32451"/>
  <c r="Z520" i="32451"/>
  <c r="AB490" i="32451"/>
  <c r="AB596" i="32451"/>
  <c r="AB523" i="32451"/>
  <c r="AB514" i="32451"/>
  <c r="Z481" i="32451"/>
  <c r="AB396" i="32451"/>
  <c r="Z458" i="32451"/>
  <c r="Z575" i="32451"/>
  <c r="Z513" i="32451"/>
  <c r="AB486" i="32451"/>
  <c r="AB532" i="32451"/>
  <c r="Z502" i="32451"/>
  <c r="AB424" i="32451"/>
  <c r="AB438" i="32451"/>
  <c r="Z576" i="32451"/>
  <c r="Z532" i="32451"/>
  <c r="Z377" i="32451"/>
  <c r="AB576" i="32451"/>
  <c r="Z396" i="32451"/>
  <c r="AB527" i="32451"/>
  <c r="AB458" i="32451"/>
  <c r="AB537" i="32451"/>
  <c r="Z402" i="32451"/>
  <c r="AB363" i="32451"/>
  <c r="AB420" i="32451"/>
  <c r="Z490" i="32451"/>
  <c r="AB574" i="32451"/>
  <c r="AB542" i="32451"/>
  <c r="Z542" i="32451"/>
  <c r="AB338" i="32451"/>
  <c r="AB462" i="32451"/>
  <c r="AB701" i="32451"/>
  <c r="Z515" i="32451"/>
  <c r="Z573" i="32451"/>
  <c r="AB583" i="32451"/>
  <c r="AB505" i="32451"/>
  <c r="AB345" i="32451"/>
  <c r="Z523" i="32451"/>
  <c r="AB499" i="32451"/>
  <c r="AB559" i="32451"/>
  <c r="AB522" i="32451"/>
  <c r="AB561" i="32451"/>
  <c r="AB495" i="32451"/>
  <c r="Z431" i="32451"/>
  <c r="Z497" i="32451"/>
  <c r="AB497" i="32451"/>
  <c r="Z424" i="32451"/>
  <c r="AB339" i="32451"/>
  <c r="AB520" i="32451"/>
  <c r="Z397" i="32451"/>
  <c r="AB465" i="32451"/>
  <c r="Z465" i="32451"/>
  <c r="Z435" i="32451"/>
  <c r="AB555" i="32451"/>
  <c r="Z559" i="32451"/>
  <c r="Z393" i="32451"/>
  <c r="Z561" i="32451"/>
  <c r="Z420" i="32451"/>
  <c r="Z499" i="32451"/>
  <c r="AB347" i="32451"/>
  <c r="Z701" i="32451"/>
  <c r="Z505" i="32451"/>
  <c r="Z401" i="32451"/>
  <c r="AB382" i="32451"/>
  <c r="AB371" i="32451"/>
  <c r="Z350" i="32451"/>
  <c r="AB435" i="32451"/>
  <c r="AB472" i="32451"/>
  <c r="Z570" i="32451"/>
  <c r="AB422" i="32451"/>
  <c r="Z545" i="32451"/>
  <c r="AB397" i="32451"/>
  <c r="Z538" i="32451"/>
  <c r="Z489" i="32451"/>
  <c r="Z555" i="32451"/>
  <c r="AB401" i="32451"/>
  <c r="Z647" i="32451"/>
  <c r="AB358" i="32451"/>
  <c r="AB530" i="32451"/>
  <c r="Z512" i="32451"/>
  <c r="AB502" i="32451"/>
  <c r="AB572" i="32451"/>
  <c r="Z368" i="32451"/>
  <c r="Z451" i="32451"/>
  <c r="Z577" i="32451"/>
  <c r="Z598" i="32451"/>
  <c r="AB487" i="32451"/>
  <c r="Z640" i="32451"/>
  <c r="Z430" i="32451"/>
  <c r="Z583" i="32451"/>
  <c r="AB444" i="32451"/>
  <c r="AB368" i="32451"/>
  <c r="AB545" i="32451"/>
  <c r="AB440" i="32451"/>
  <c r="AB512" i="32451"/>
  <c r="AB503" i="32451"/>
  <c r="Z554" i="32451"/>
  <c r="Z400" i="32451"/>
  <c r="Z349" i="32451"/>
  <c r="Z455" i="32451"/>
  <c r="Z440" i="32451"/>
  <c r="Z438" i="32451"/>
  <c r="AB647" i="32451"/>
  <c r="Z444" i="32451"/>
  <c r="Z375" i="32451"/>
  <c r="AB573" i="32451"/>
  <c r="AB489" i="32451"/>
  <c r="AB365" i="32451"/>
  <c r="AB429" i="32451"/>
  <c r="Z407" i="32451"/>
  <c r="AB543" i="32451"/>
  <c r="AB477" i="32451"/>
  <c r="Z457" i="32451"/>
  <c r="AB515" i="32451"/>
  <c r="AB588" i="32451"/>
  <c r="AB500" i="32451"/>
  <c r="Z364" i="32451"/>
  <c r="AB580" i="32451"/>
  <c r="Z527" i="32451"/>
  <c r="AB349" i="32451"/>
  <c r="Z536" i="32451"/>
  <c r="AB469" i="32451"/>
  <c r="Z494" i="32451"/>
  <c r="Z514" i="32451"/>
  <c r="AB355" i="32451"/>
  <c r="AB498" i="32451"/>
  <c r="Z446" i="32451"/>
  <c r="AB366" i="32451"/>
  <c r="Z380" i="32451"/>
  <c r="AB360" i="32451"/>
  <c r="Z428" i="32451"/>
  <c r="Z449" i="32451"/>
  <c r="AB558" i="32451"/>
  <c r="AB376" i="32451"/>
  <c r="Z459" i="32451"/>
  <c r="AB676" i="32451"/>
  <c r="AB340" i="32451"/>
  <c r="AB451" i="32451"/>
  <c r="Z351" i="32451"/>
  <c r="AB541" i="32451"/>
  <c r="AB589" i="32451"/>
  <c r="AB392" i="32451"/>
  <c r="Z496" i="32451"/>
  <c r="AB513" i="32451"/>
  <c r="Z434" i="32451"/>
  <c r="AB467" i="32451"/>
  <c r="Z478" i="32451"/>
  <c r="Z395" i="32451"/>
  <c r="Z411" i="32451"/>
  <c r="AB525" i="32451"/>
  <c r="Z413" i="32451"/>
  <c r="Z385" i="32451"/>
  <c r="AB463" i="32451"/>
  <c r="AB372" i="32451"/>
  <c r="AB427" i="32451"/>
  <c r="AB441" i="32451"/>
  <c r="Z344" i="32451"/>
  <c r="Z432" i="32451"/>
  <c r="AB426" i="32451"/>
  <c r="AB352" i="32451"/>
  <c r="Z552" i="32451"/>
  <c r="Z359" i="32451"/>
  <c r="Z569" i="32451"/>
  <c r="Z526" i="32451"/>
  <c r="AB519" i="32451"/>
  <c r="AB341" i="32451"/>
  <c r="Z567" i="32451"/>
  <c r="AB491" i="32451"/>
  <c r="AB538" i="32451"/>
  <c r="Z383" i="32451"/>
  <c r="Z558" i="32451"/>
  <c r="AB357" i="32451"/>
  <c r="AB361" i="32451"/>
  <c r="Z425" i="32451"/>
  <c r="AB556" i="32451"/>
  <c r="AB407" i="32451"/>
  <c r="AB602" i="32451"/>
  <c r="Z582" i="32451"/>
  <c r="Z360" i="32451"/>
  <c r="AB461" i="32451"/>
  <c r="Z354" i="32451"/>
  <c r="AB547" i="32451"/>
  <c r="AB378" i="32451"/>
  <c r="AB370" i="32451"/>
  <c r="AB593" i="32451"/>
  <c r="AB455" i="32451"/>
  <c r="AB531" i="32451"/>
  <c r="Z549" i="32451"/>
  <c r="AB432" i="32451"/>
  <c r="Z547" i="32451"/>
  <c r="Z392" i="32451"/>
  <c r="AB447" i="32451"/>
  <c r="AB443" i="32451"/>
  <c r="Z450" i="32451"/>
  <c r="AB552" i="32451"/>
  <c r="AB413" i="32451"/>
  <c r="AB380" i="32451"/>
  <c r="Z404" i="32451"/>
  <c r="Z588" i="32451"/>
  <c r="AB456" i="32451"/>
  <c r="AB554" i="32451"/>
  <c r="AB367" i="32451"/>
  <c r="AB393" i="32451"/>
  <c r="Z372" i="32451"/>
  <c r="Z341" i="32451"/>
  <c r="AB536" i="32451"/>
  <c r="Z511" i="32451"/>
  <c r="AB473" i="32451"/>
  <c r="Z485" i="32451"/>
  <c r="Z353" i="32451"/>
  <c r="AB492" i="32451"/>
  <c r="Z590" i="32451"/>
  <c r="Z362" i="32451"/>
  <c r="AB445" i="32451"/>
  <c r="Z447" i="32451"/>
  <c r="Z530" i="32451"/>
  <c r="Z507" i="32451"/>
  <c r="Z357" i="32451"/>
  <c r="AB351" i="32451"/>
  <c r="AB584" i="32451"/>
  <c r="AB468" i="32451"/>
  <c r="AB582" i="32451"/>
  <c r="Z418" i="32451"/>
  <c r="AB544" i="32451"/>
  <c r="AB354" i="32451"/>
  <c r="Z533" i="32451"/>
  <c r="Z387" i="32451"/>
  <c r="Z519" i="32451"/>
  <c r="Z427" i="32451"/>
  <c r="Z361" i="32451"/>
  <c r="AB452" i="32451"/>
  <c r="Z491" i="32451"/>
  <c r="AB434" i="32451"/>
  <c r="AB567" i="32451"/>
  <c r="Z548" i="32451"/>
  <c r="AB448" i="32451"/>
  <c r="Z347" i="32451"/>
  <c r="Z593" i="32451"/>
  <c r="Z352" i="32451"/>
  <c r="AB417" i="32451"/>
  <c r="AB496" i="32451"/>
  <c r="Z492" i="32451"/>
  <c r="Z417" i="32451"/>
  <c r="AB548" i="32451"/>
  <c r="AB428" i="32451"/>
  <c r="AB430" i="32451"/>
  <c r="AB457" i="32451"/>
  <c r="Z456" i="32451"/>
  <c r="Z564" i="32451"/>
  <c r="AB385" i="32451"/>
  <c r="AB454" i="32451"/>
  <c r="AB551" i="32451"/>
  <c r="Z426" i="32451"/>
  <c r="Z589" i="32451"/>
  <c r="AB507" i="32451"/>
  <c r="Z367" i="32451"/>
  <c r="AB418" i="32451"/>
  <c r="AB540" i="32451"/>
  <c r="Z540" i="32451"/>
  <c r="AB362" i="32451"/>
  <c r="Z355" i="32451"/>
  <c r="Z525" i="32451"/>
  <c r="AB569" i="32451"/>
  <c r="AB344" i="32451"/>
  <c r="Z498" i="32451"/>
  <c r="Z422" i="32451"/>
  <c r="AB533" i="32451"/>
  <c r="AB578" i="32451"/>
  <c r="Z378" i="32451"/>
  <c r="Z287" i="32451"/>
  <c r="Z683" i="32451"/>
  <c r="Z346" i="32451"/>
  <c r="Z340" i="32451"/>
  <c r="AB387" i="32451"/>
  <c r="Z443" i="32451"/>
  <c r="AB404" i="32451"/>
  <c r="AB450" i="32451"/>
  <c r="Z365" i="32451"/>
  <c r="Z441" i="32451"/>
  <c r="Z591" i="32451"/>
  <c r="AB681" i="32451"/>
  <c r="AB619" i="32451"/>
  <c r="AB601" i="32451"/>
  <c r="AB659" i="32451"/>
  <c r="Z574" i="32451"/>
  <c r="AB635" i="32451"/>
  <c r="AB546" i="32451"/>
  <c r="AB598" i="32451"/>
  <c r="Z544" i="32451"/>
  <c r="Z460" i="32451"/>
  <c r="Z522" i="32451"/>
  <c r="Z452" i="32451"/>
  <c r="AB585" i="32451"/>
  <c r="Z370" i="32451"/>
  <c r="AB399" i="32451"/>
  <c r="Z493" i="32451"/>
  <c r="AB346" i="32451"/>
  <c r="Z433" i="32451"/>
  <c r="Z506" i="32451"/>
  <c r="AB415" i="32451"/>
  <c r="Z632" i="32451"/>
  <c r="AB634" i="32451"/>
  <c r="AB675" i="32451"/>
  <c r="AB326" i="32451"/>
  <c r="Z541" i="32451"/>
  <c r="AB631" i="32451"/>
  <c r="AB381" i="32451"/>
  <c r="Z318" i="32451"/>
  <c r="AB607" i="32451"/>
  <c r="Z609" i="32451"/>
  <c r="AB691" i="32451"/>
  <c r="Z339" i="32451"/>
  <c r="Z333" i="32451"/>
  <c r="AB684" i="32451"/>
  <c r="Z675" i="32451"/>
  <c r="Z610" i="32451"/>
  <c r="AB320" i="32451"/>
  <c r="Z366" i="32451"/>
  <c r="Z376" i="32451"/>
  <c r="AB423" i="32451"/>
  <c r="Z531" i="32451"/>
  <c r="AB466" i="32451"/>
  <c r="AB364" i="32451"/>
  <c r="Z437" i="32451"/>
  <c r="AB411" i="32451"/>
  <c r="Z669" i="32451"/>
  <c r="Z529" i="32451"/>
  <c r="Z599" i="32451"/>
  <c r="Z423" i="32451"/>
  <c r="Z546" i="32451"/>
  <c r="AB485" i="32451"/>
  <c r="AB632" i="32451"/>
  <c r="Z673" i="32451"/>
  <c r="Z633" i="32451"/>
  <c r="AB406" i="32451"/>
  <c r="Z467" i="32451"/>
  <c r="Z620" i="32451"/>
  <c r="AB395" i="32451"/>
  <c r="Z668" i="32451"/>
  <c r="Z601" i="32451"/>
  <c r="Z335" i="32451"/>
  <c r="AB506" i="32451"/>
  <c r="Z469" i="32451"/>
  <c r="Z584" i="32451"/>
  <c r="Z671" i="32451"/>
  <c r="AB437" i="32451"/>
  <c r="AB369" i="32451"/>
  <c r="Z303" i="32451"/>
  <c r="Z322" i="32451"/>
  <c r="AB612" i="32451"/>
  <c r="AB604" i="32451"/>
  <c r="AB460" i="32451"/>
  <c r="Z399" i="32451"/>
  <c r="AB481" i="32451"/>
  <c r="AB608" i="32451"/>
  <c r="AB690" i="32451"/>
  <c r="Z563" i="32451"/>
  <c r="AB622" i="32451"/>
  <c r="Z615" i="32451"/>
  <c r="Z684" i="32451"/>
  <c r="Z580" i="32451"/>
  <c r="Z468" i="32451"/>
  <c r="AB325" i="32451"/>
  <c r="Z309" i="32451"/>
  <c r="Z307" i="32451"/>
  <c r="AB620" i="32451"/>
  <c r="Z317" i="32451"/>
  <c r="Z603" i="32451"/>
  <c r="Z429" i="32451"/>
  <c r="Z305" i="32451"/>
  <c r="AB609" i="32451"/>
  <c r="AB302" i="32451"/>
  <c r="AB337" i="32451"/>
  <c r="Z314" i="32451"/>
  <c r="AB563" i="32451"/>
  <c r="Z690" i="32451"/>
  <c r="Z619" i="32451"/>
  <c r="AB672" i="32451"/>
  <c r="Z686" i="32451"/>
  <c r="AB683" i="32451"/>
  <c r="Z337" i="32451"/>
  <c r="AB685" i="32451"/>
  <c r="AB336" i="32451"/>
  <c r="Z325" i="32451"/>
  <c r="Z301" i="32451"/>
  <c r="AB636" i="32451"/>
  <c r="Z321" i="32451"/>
  <c r="AB668" i="32451"/>
  <c r="AB669" i="32451"/>
  <c r="AB674" i="32451"/>
  <c r="AB671" i="32451"/>
  <c r="AB613" i="32451"/>
  <c r="AB615" i="32451"/>
  <c r="Z691" i="32451"/>
  <c r="Z629" i="32451"/>
  <c r="AB301" i="32451"/>
  <c r="AB433" i="32451"/>
  <c r="AB630" i="32451"/>
  <c r="AB682" i="32451"/>
  <c r="Z634" i="32451"/>
  <c r="Z631" i="32451"/>
  <c r="Z297" i="32451"/>
  <c r="AB327" i="32451"/>
  <c r="Z557" i="32451"/>
  <c r="Z315" i="32451"/>
  <c r="Z319" i="32451"/>
  <c r="Z681" i="32451"/>
  <c r="Z328" i="32451"/>
  <c r="Z334" i="32451"/>
  <c r="AB328" i="32451"/>
  <c r="Z371" i="32451"/>
  <c r="AB680" i="32451"/>
  <c r="AB624" i="32451"/>
  <c r="Z687" i="32451"/>
  <c r="Z685" i="32451"/>
  <c r="AB673" i="32451"/>
  <c r="G703" i="32451"/>
  <c r="G704" i="32451"/>
  <c r="AB606" i="32451"/>
  <c r="AB599" i="32451"/>
  <c r="AB617" i="32451"/>
  <c r="AB307" i="32451"/>
  <c r="AB689" i="32451"/>
  <c r="AB662" i="32451"/>
  <c r="AB600" i="32451"/>
  <c r="Z630" i="32451"/>
  <c r="AB626" i="32451"/>
  <c r="Z602" i="32451"/>
  <c r="AB654" i="32451"/>
  <c r="AB665" i="32451"/>
  <c r="Z679" i="32451"/>
  <c r="AB686" i="32451"/>
  <c r="AB657" i="32451"/>
  <c r="AB625" i="32451"/>
  <c r="AB614" i="32451"/>
  <c r="AB605" i="32451"/>
  <c r="AB610" i="32451"/>
  <c r="Z306" i="32451"/>
  <c r="Z304" i="32451"/>
  <c r="Z627" i="32451"/>
  <c r="Z670" i="32451"/>
  <c r="Z613" i="32451"/>
  <c r="Z654" i="32451"/>
  <c r="AB334" i="32451"/>
  <c r="AB324" i="32451"/>
  <c r="AB670" i="32451"/>
  <c r="AB628" i="32451"/>
  <c r="AB640" i="32451"/>
  <c r="AB286" i="32451"/>
  <c r="Z285" i="32451"/>
  <c r="Z310" i="32451"/>
  <c r="AB298" i="32451"/>
  <c r="Z676" i="32451"/>
  <c r="Z600" i="32451"/>
  <c r="Z667" i="32451"/>
  <c r="AB627" i="32451"/>
  <c r="AB288" i="32451"/>
  <c r="AB603" i="32451"/>
  <c r="Z308" i="32451"/>
  <c r="AB618" i="32451"/>
  <c r="Z636" i="32451"/>
  <c r="Z641" i="32451"/>
  <c r="Z672" i="32451"/>
  <c r="Z651" i="32451"/>
  <c r="AB679" i="32451"/>
  <c r="AB688" i="32451"/>
  <c r="AB616" i="32451"/>
  <c r="Z302" i="32451"/>
  <c r="AB300" i="32451"/>
  <c r="AB291" i="32451"/>
  <c r="Z295" i="32451"/>
  <c r="AB309" i="32451"/>
  <c r="AB297" i="32451"/>
  <c r="AB287" i="32451"/>
  <c r="AB308" i="32451"/>
  <c r="Z663" i="32451"/>
  <c r="AB700" i="32451"/>
  <c r="AB633" i="32451"/>
  <c r="AB642" i="32451"/>
  <c r="Z293" i="32451"/>
  <c r="Z605" i="32451"/>
  <c r="AB677" i="32451"/>
  <c r="AB294" i="32451"/>
  <c r="Z289" i="32451"/>
  <c r="Z323" i="32451"/>
  <c r="AB321" i="32451"/>
  <c r="Z286" i="32451"/>
  <c r="Z311" i="32451"/>
  <c r="AB318" i="32451"/>
  <c r="AB315" i="32451"/>
  <c r="Z312" i="32451"/>
  <c r="AB285" i="32451"/>
  <c r="AB304" i="32451"/>
  <c r="AB295" i="32451"/>
  <c r="Z294" i="32451"/>
  <c r="AB306" i="32451"/>
  <c r="Z606" i="32451"/>
  <c r="Z288" i="32451"/>
  <c r="AB313" i="32451"/>
  <c r="Z283" i="32451"/>
  <c r="Z300" i="32451"/>
  <c r="AB322" i="32451"/>
  <c r="AB316" i="32451"/>
  <c r="Z284" i="32451"/>
  <c r="AB284" i="32451"/>
  <c r="Z290" i="32451"/>
  <c r="AB310" i="32451"/>
  <c r="AB283" i="32451"/>
  <c r="AB687" i="32451"/>
  <c r="Z296" i="32451"/>
  <c r="Z298" i="32451"/>
  <c r="Z291" i="32451"/>
  <c r="Z299" i="32451"/>
  <c r="AB290" i="32451"/>
  <c r="AB311" i="32451"/>
  <c r="Z324" i="32451"/>
  <c r="Z604" i="32451"/>
  <c r="Z666" i="32451"/>
  <c r="Z608" i="32451"/>
  <c r="AB317" i="32451"/>
  <c r="AB293" i="32451"/>
  <c r="AB296" i="32451"/>
  <c r="AB292" i="32451"/>
  <c r="AB289" i="32451"/>
  <c r="AB312" i="32451"/>
  <c r="AB299" i="32451"/>
  <c r="Z292" i="32451"/>
  <c r="Z313" i="32451"/>
  <c r="AB303" i="32451"/>
  <c r="Z624" i="32451"/>
  <c r="Z677" i="32451"/>
  <c r="Z662" i="32451"/>
  <c r="AB305" i="32451"/>
  <c r="Z704" i="32451"/>
  <c r="AB335" i="32451"/>
  <c r="Z674" i="32451"/>
  <c r="Z638" i="32451"/>
  <c r="Z689" i="32451"/>
  <c r="Z665" i="32451"/>
  <c r="Z680" i="32451"/>
  <c r="Z622" i="32451"/>
  <c r="AB314" i="32451"/>
  <c r="AB331" i="32451"/>
  <c r="AB329" i="32451"/>
  <c r="AB611" i="32451"/>
  <c r="AB333" i="32451"/>
  <c r="AB323" i="32451"/>
  <c r="AB330" i="32451"/>
  <c r="AB319" i="32451"/>
  <c r="AB332" i="32451"/>
  <c r="Z611" i="32451"/>
  <c r="Z621" i="32451"/>
  <c r="Z331" i="32451"/>
  <c r="Z336" i="32451"/>
  <c r="AB623" i="32451"/>
  <c r="Z329" i="32451"/>
  <c r="Z327" i="32451"/>
  <c r="Z332" i="32451"/>
  <c r="Z320" i="32451"/>
  <c r="Z326" i="32451"/>
  <c r="Z330" i="32451"/>
  <c r="AB696" i="32451"/>
  <c r="AB678" i="32451"/>
  <c r="AB645" i="32451"/>
  <c r="Z642" i="32451"/>
  <c r="Z688" i="32451"/>
  <c r="AB641" i="32451"/>
  <c r="Z649" i="32451"/>
  <c r="Z607" i="32451"/>
  <c r="Z646" i="32451"/>
  <c r="AB661" i="32451"/>
  <c r="AB699" i="32451"/>
  <c r="Z623" i="32451"/>
  <c r="Z614" i="32451"/>
  <c r="AB621" i="32451"/>
  <c r="Z650" i="32451"/>
  <c r="Z661" i="32451"/>
  <c r="AB644" i="32451"/>
  <c r="AB649" i="32451"/>
  <c r="AB698" i="32451"/>
  <c r="AB655" i="32451"/>
  <c r="Z678" i="32451"/>
  <c r="Z657" i="32451"/>
  <c r="Z625" i="32451"/>
  <c r="AB702" i="32451"/>
  <c r="Z648" i="32451"/>
  <c r="AB646" i="32451"/>
  <c r="Z664" i="32451"/>
  <c r="Z656" i="32451"/>
  <c r="AB663" i="32451"/>
  <c r="AB694" i="32451"/>
  <c r="AB660" i="32451"/>
  <c r="Z637" i="32451"/>
  <c r="Z616" i="32451"/>
  <c r="AB658" i="32451"/>
  <c r="Z644" i="32451"/>
  <c r="Z628" i="32451"/>
  <c r="Z698" i="32451"/>
  <c r="AB656" i="32451"/>
  <c r="AB638" i="32451"/>
  <c r="Z697" i="32451"/>
  <c r="Z645" i="32451"/>
  <c r="Z639" i="32451"/>
  <c r="Z660" i="32451"/>
  <c r="AB637" i="32451"/>
  <c r="Z658" i="32451"/>
  <c r="Z659" i="32451"/>
  <c r="Z696" i="32451"/>
  <c r="AB643" i="32451"/>
  <c r="AB666" i="32451"/>
  <c r="Z692" i="32451"/>
  <c r="AB639" i="32451"/>
  <c r="Z694" i="32451"/>
  <c r="AB652" i="32451"/>
  <c r="AB667" i="32451"/>
  <c r="Z700" i="32451"/>
  <c r="AB651" i="32451"/>
  <c r="AB693" i="32451"/>
  <c r="AB653" i="32451"/>
  <c r="Z652" i="32451"/>
  <c r="Z695" i="32451"/>
  <c r="AB650" i="32451"/>
  <c r="AB697" i="32451"/>
  <c r="Z693" i="32451"/>
  <c r="AB648" i="32451"/>
  <c r="AB629" i="32451"/>
  <c r="Z655" i="32451"/>
  <c r="AB695" i="32451"/>
  <c r="G642" i="32451"/>
  <c r="G645" i="32451"/>
  <c r="G638" i="32451"/>
  <c r="G667" i="32451"/>
  <c r="G658" i="32451"/>
  <c r="G663" i="32451"/>
  <c r="G637" i="32451"/>
  <c r="G651" i="32451"/>
  <c r="G662" i="32451"/>
  <c r="Z653" i="32451"/>
  <c r="G639" i="32451"/>
  <c r="G640" i="32451"/>
  <c r="Z699" i="32451"/>
  <c r="AB664" i="32451"/>
  <c r="G654" i="32451"/>
  <c r="G665" i="32451"/>
  <c r="G643" i="32451"/>
  <c r="AB692" i="32451"/>
  <c r="G661" i="32451"/>
  <c r="G702" i="32451"/>
  <c r="G644" i="32451"/>
  <c r="G664" i="32451"/>
  <c r="G652" i="32451"/>
  <c r="G655" i="32451"/>
  <c r="G646" i="32451"/>
  <c r="G657" i="32451"/>
  <c r="G653" i="32451"/>
  <c r="G660" i="32451"/>
  <c r="G656" i="32451"/>
  <c r="G666" i="32451"/>
  <c r="G650" i="32451"/>
  <c r="AB704" i="32451"/>
  <c r="AB703" i="32451"/>
  <c r="Z703" i="32451"/>
  <c r="I80" i="32488" l="1"/>
  <c r="I81" i="32488"/>
  <c r="J81" i="32488" s="1"/>
  <c r="I82" i="32488"/>
  <c r="J82" i="32488" s="1"/>
  <c r="I83" i="32488"/>
  <c r="J83" i="32488" s="1"/>
  <c r="I86" i="32488"/>
  <c r="J86" i="32488"/>
  <c r="I87" i="32488" l="1"/>
  <c r="I30" i="32488" l="1"/>
  <c r="I32" i="32488"/>
  <c r="H112" i="32488"/>
  <c r="F34" i="32458" s="1"/>
  <c r="H34" i="32458" s="1"/>
  <c r="M34" i="32458" s="1"/>
  <c r="B98" i="32488"/>
  <c r="B100" i="32488"/>
  <c r="H114" i="32488"/>
  <c r="F37" i="32458" s="1"/>
  <c r="H37" i="32458" s="1"/>
  <c r="M37" i="32458" s="1"/>
  <c r="F87" i="32488" l="1"/>
  <c r="H108" i="32488"/>
  <c r="F28" i="32458" s="1"/>
  <c r="H28" i="32458" s="1"/>
  <c r="M28" i="32458" s="1"/>
  <c r="F88" i="32488"/>
  <c r="E88" i="32488"/>
  <c r="H110" i="32488"/>
  <c r="F31" i="32458" s="1"/>
  <c r="H31" i="32458" s="1"/>
  <c r="M31" i="32458" s="1"/>
  <c r="C38" i="32488"/>
  <c r="AF2" i="32497" l="1"/>
  <c r="AK278" i="32451"/>
  <c r="AK281" i="32451"/>
  <c r="AK279" i="32451"/>
  <c r="AK271" i="32451"/>
  <c r="AK277" i="32451"/>
  <c r="AK269" i="32451"/>
  <c r="AK275" i="32451"/>
  <c r="AK280" i="32451"/>
  <c r="AK273" i="32451"/>
  <c r="AK206" i="32451"/>
  <c r="AK220" i="32451"/>
  <c r="AK235" i="32451"/>
  <c r="AK241" i="32451"/>
  <c r="AK262" i="32451"/>
  <c r="AK261" i="32451"/>
  <c r="AK133" i="32451"/>
  <c r="AK148" i="32451"/>
  <c r="AK250" i="32451"/>
  <c r="AK122" i="32451"/>
  <c r="AK73" i="32451"/>
  <c r="AK106" i="32451"/>
  <c r="AK168" i="32451"/>
  <c r="AK239" i="32451"/>
  <c r="AK175" i="32451"/>
  <c r="AK111" i="32451"/>
  <c r="AK254" i="32451"/>
  <c r="AK190" i="32451"/>
  <c r="AK126" i="32451"/>
  <c r="AK120" i="32451"/>
  <c r="AK253" i="32451"/>
  <c r="AK189" i="32451"/>
  <c r="AK125" i="32451"/>
  <c r="AK268" i="32451"/>
  <c r="AK204" i="32451"/>
  <c r="AK140" i="32451"/>
  <c r="AK77" i="32451"/>
  <c r="AK219" i="32451"/>
  <c r="AK155" i="32451"/>
  <c r="AK84" i="32451"/>
  <c r="AK152" i="32451"/>
  <c r="AK242" i="32451"/>
  <c r="AK178" i="32451"/>
  <c r="AK114" i="32451"/>
  <c r="AK47" i="32451"/>
  <c r="AK66" i="32451"/>
  <c r="AK225" i="32451"/>
  <c r="AK161" i="32451"/>
  <c r="AK98" i="32451"/>
  <c r="AK264" i="32451"/>
  <c r="AK130" i="32451"/>
  <c r="AK177" i="32451"/>
  <c r="AK119" i="32451"/>
  <c r="AK71" i="32451"/>
  <c r="AK197" i="32451"/>
  <c r="AK70" i="32451"/>
  <c r="AK227" i="32451"/>
  <c r="AK216" i="32451"/>
  <c r="AK233" i="32451"/>
  <c r="AK231" i="32451"/>
  <c r="AK167" i="32451"/>
  <c r="AK104" i="32451"/>
  <c r="AK45" i="32451"/>
  <c r="AK246" i="32451"/>
  <c r="AK182" i="32451"/>
  <c r="AK118" i="32451"/>
  <c r="AK97" i="32451"/>
  <c r="AK245" i="32451"/>
  <c r="AK181" i="32451"/>
  <c r="AK117" i="32451"/>
  <c r="AK260" i="32451"/>
  <c r="AK196" i="32451"/>
  <c r="AK132" i="32451"/>
  <c r="AK69" i="32451"/>
  <c r="AK211" i="32451"/>
  <c r="AK147" i="32451"/>
  <c r="AK76" i="32451"/>
  <c r="AK105" i="32451"/>
  <c r="AK234" i="32451"/>
  <c r="AK170" i="32451"/>
  <c r="AK107" i="32451"/>
  <c r="AK217" i="32451"/>
  <c r="AK153" i="32451"/>
  <c r="AK90" i="32451"/>
  <c r="AK191" i="32451"/>
  <c r="AK79" i="32451"/>
  <c r="AK78" i="32451"/>
  <c r="AK160" i="32451"/>
  <c r="AK171" i="32451"/>
  <c r="AK194" i="32451"/>
  <c r="AK113" i="32451"/>
  <c r="AK183" i="32451"/>
  <c r="AK134" i="32451"/>
  <c r="AK276" i="32451"/>
  <c r="AK85" i="32451"/>
  <c r="AK92" i="32451"/>
  <c r="AK186" i="32451"/>
  <c r="AK169" i="32451"/>
  <c r="AK223" i="32451"/>
  <c r="AK159" i="32451"/>
  <c r="AK96" i="32451"/>
  <c r="AK240" i="32451"/>
  <c r="AK238" i="32451"/>
  <c r="AK174" i="32451"/>
  <c r="AK110" i="32451"/>
  <c r="AK51" i="32451"/>
  <c r="AK81" i="32451"/>
  <c r="AK237" i="32451"/>
  <c r="AK173" i="32451"/>
  <c r="AK109" i="32451"/>
  <c r="AK272" i="32451"/>
  <c r="AK252" i="32451"/>
  <c r="AK188" i="32451"/>
  <c r="AK124" i="32451"/>
  <c r="AK267" i="32451"/>
  <c r="AK203" i="32451"/>
  <c r="AK139" i="32451"/>
  <c r="AK68" i="32451"/>
  <c r="AK226" i="32451"/>
  <c r="AK162" i="32451"/>
  <c r="AK99" i="32451"/>
  <c r="AK224" i="32451"/>
  <c r="AK209" i="32451"/>
  <c r="AK145" i="32451"/>
  <c r="AK82" i="32451"/>
  <c r="AK127" i="32451"/>
  <c r="AK208" i="32451"/>
  <c r="AK156" i="32451"/>
  <c r="AK258" i="32451"/>
  <c r="AK247" i="32451"/>
  <c r="AK198" i="32451"/>
  <c r="AK176" i="32451"/>
  <c r="AK212" i="32451"/>
  <c r="AK163" i="32451"/>
  <c r="AK215" i="32451"/>
  <c r="AK151" i="32451"/>
  <c r="AK88" i="32451"/>
  <c r="AK192" i="32451"/>
  <c r="AK230" i="32451"/>
  <c r="AK166" i="32451"/>
  <c r="AK103" i="32451"/>
  <c r="AK229" i="32451"/>
  <c r="AK165" i="32451"/>
  <c r="AK102" i="32451"/>
  <c r="AK200" i="32451"/>
  <c r="AK244" i="32451"/>
  <c r="AK180" i="32451"/>
  <c r="AK116" i="32451"/>
  <c r="AK259" i="32451"/>
  <c r="AK195" i="32451"/>
  <c r="AK131" i="32451"/>
  <c r="AK218" i="32451"/>
  <c r="AK154" i="32451"/>
  <c r="AK91" i="32451"/>
  <c r="AK184" i="32451"/>
  <c r="AK265" i="32451"/>
  <c r="AK201" i="32451"/>
  <c r="AK137" i="32451"/>
  <c r="AK74" i="32451"/>
  <c r="AK255" i="32451"/>
  <c r="AK142" i="32451"/>
  <c r="AK141" i="32451"/>
  <c r="AK93" i="32451"/>
  <c r="AK100" i="32451"/>
  <c r="AK89" i="32451"/>
  <c r="AK232" i="32451"/>
  <c r="AK207" i="32451"/>
  <c r="AK143" i="32451"/>
  <c r="AK80" i="32451"/>
  <c r="AK128" i="32451"/>
  <c r="AK222" i="32451"/>
  <c r="AK158" i="32451"/>
  <c r="AK95" i="32451"/>
  <c r="AK221" i="32451"/>
  <c r="AK157" i="32451"/>
  <c r="AK94" i="32451"/>
  <c r="AK136" i="32451"/>
  <c r="AK236" i="32451"/>
  <c r="AK172" i="32451"/>
  <c r="AK108" i="32451"/>
  <c r="AK49" i="32451"/>
  <c r="AK251" i="32451"/>
  <c r="AK187" i="32451"/>
  <c r="AK123" i="32451"/>
  <c r="AK274" i="32451"/>
  <c r="AK210" i="32451"/>
  <c r="AK146" i="32451"/>
  <c r="AK83" i="32451"/>
  <c r="AK144" i="32451"/>
  <c r="AK257" i="32451"/>
  <c r="AK193" i="32451"/>
  <c r="AK129" i="32451"/>
  <c r="AK67" i="32451"/>
  <c r="AK270" i="32451"/>
  <c r="AK205" i="32451"/>
  <c r="AK263" i="32451"/>
  <c r="AK199" i="32451"/>
  <c r="AK135" i="32451"/>
  <c r="AK72" i="32451"/>
  <c r="AK214" i="32451"/>
  <c r="AK150" i="32451"/>
  <c r="AK87" i="32451"/>
  <c r="AK248" i="32451"/>
  <c r="AK213" i="32451"/>
  <c r="AK149" i="32451"/>
  <c r="AK86" i="32451"/>
  <c r="AK228" i="32451"/>
  <c r="AK164" i="32451"/>
  <c r="AK101" i="32451"/>
  <c r="AK256" i="32451"/>
  <c r="AK243" i="32451"/>
  <c r="AK179" i="32451"/>
  <c r="AK115" i="32451"/>
  <c r="AK266" i="32451"/>
  <c r="AK202" i="32451"/>
  <c r="AK138" i="32451"/>
  <c r="AK75" i="32451"/>
  <c r="AK112" i="32451"/>
  <c r="AK249" i="32451"/>
  <c r="AK185" i="32451"/>
  <c r="AK121" i="32451"/>
  <c r="AR279" i="32451"/>
  <c r="AR275" i="32451"/>
  <c r="AR271" i="32451"/>
  <c r="AR280" i="32451"/>
  <c r="AR281" i="32451"/>
  <c r="AR278" i="32451"/>
  <c r="AR277" i="32451"/>
  <c r="AR273" i="32451"/>
  <c r="AR269" i="32451"/>
  <c r="AR250" i="32451"/>
  <c r="AQ250" i="32451"/>
  <c r="AR252" i="32451"/>
  <c r="AQ252" i="32451"/>
  <c r="AR248" i="32451"/>
  <c r="AQ248" i="32451"/>
  <c r="AR246" i="32451"/>
  <c r="AQ246" i="32451"/>
  <c r="AR245" i="32451"/>
  <c r="AQ245" i="32451"/>
  <c r="AR255" i="32451"/>
  <c r="AQ255" i="32451"/>
  <c r="AQ256" i="32451"/>
  <c r="AR256" i="32451"/>
  <c r="AR251" i="32451"/>
  <c r="AQ251" i="32451"/>
  <c r="AR247" i="32451"/>
  <c r="AQ247" i="32451"/>
  <c r="AR254" i="32451"/>
  <c r="AQ254" i="32451"/>
  <c r="AR253" i="32451"/>
  <c r="AQ253" i="32451"/>
  <c r="AR249" i="32451"/>
  <c r="AQ249" i="32451"/>
  <c r="AQ257" i="32451"/>
  <c r="AR257" i="32451"/>
  <c r="AR272" i="32451"/>
  <c r="AQ272" i="32451"/>
  <c r="AR260" i="32451"/>
  <c r="AQ260" i="32451"/>
  <c r="AR258" i="32451"/>
  <c r="AQ258" i="32451"/>
  <c r="AR262" i="32451"/>
  <c r="AQ262" i="32451"/>
  <c r="AR268" i="32451"/>
  <c r="AQ268" i="32451"/>
  <c r="AR267" i="32451"/>
  <c r="AQ267" i="32451"/>
  <c r="AR259" i="32451"/>
  <c r="AQ259" i="32451"/>
  <c r="AR270" i="32451"/>
  <c r="AQ270" i="32451"/>
  <c r="AR265" i="32451"/>
  <c r="AQ265" i="32451"/>
  <c r="AR274" i="32451"/>
  <c r="AQ274" i="32451"/>
  <c r="AR263" i="32451"/>
  <c r="AQ263" i="32451"/>
  <c r="AR261" i="32451"/>
  <c r="AQ261" i="32451"/>
  <c r="AR276" i="32451"/>
  <c r="AQ276" i="32451"/>
  <c r="AR264" i="32451"/>
  <c r="AQ264" i="32451"/>
  <c r="AR266" i="32451"/>
  <c r="AQ266" i="32451"/>
  <c r="AQ271" i="32451"/>
  <c r="AQ278" i="32451"/>
  <c r="AQ277" i="32451"/>
  <c r="AQ275" i="32451"/>
  <c r="AQ279" i="32451"/>
  <c r="AQ280" i="32451"/>
  <c r="AQ281" i="32451"/>
  <c r="AQ273" i="32451"/>
  <c r="AQ269" i="32451"/>
  <c r="G257" i="32451"/>
  <c r="G266" i="32451"/>
  <c r="G249" i="32451"/>
  <c r="G258" i="32451"/>
  <c r="G263" i="32451"/>
  <c r="G278" i="32451"/>
  <c r="G248" i="32451"/>
  <c r="G277" i="32451"/>
  <c r="G259" i="32451"/>
  <c r="G255" i="32451"/>
  <c r="G270" i="32451"/>
  <c r="G269" i="32451"/>
  <c r="G256" i="32451"/>
  <c r="G251" i="32451"/>
  <c r="G261" i="32451"/>
  <c r="G254" i="32451"/>
  <c r="G272" i="32451"/>
  <c r="G279" i="32451"/>
  <c r="G252" i="32451"/>
  <c r="G275" i="32451"/>
  <c r="G253" i="32451"/>
  <c r="G276" i="32451"/>
  <c r="G267" i="32451"/>
  <c r="G273" i="32451"/>
  <c r="G265" i="32451"/>
  <c r="G274" i="32451"/>
  <c r="G264" i="32451"/>
  <c r="G250" i="32451"/>
  <c r="G247" i="32451"/>
  <c r="G262" i="32451"/>
  <c r="G246" i="32451"/>
  <c r="G268" i="32451"/>
  <c r="G260" i="32451"/>
  <c r="G271" i="32451"/>
  <c r="B49" i="32488"/>
  <c r="B63" i="32488"/>
  <c r="D88" i="32488"/>
  <c r="B72" i="32488"/>
  <c r="D22" i="32458" l="1"/>
  <c r="H22" i="32458" s="1"/>
  <c r="M22" i="32458" s="1"/>
  <c r="F40" i="32458"/>
  <c r="D40" i="32458"/>
  <c r="AT586" i="32451"/>
  <c r="AS586" i="32451"/>
  <c r="AS587" i="32451"/>
  <c r="AT587" i="32451"/>
  <c r="AS706" i="32451"/>
  <c r="AT706" i="32451"/>
  <c r="AS707" i="32451"/>
  <c r="AT707" i="32451"/>
  <c r="AS705" i="32451"/>
  <c r="AT705" i="32451"/>
  <c r="AL154" i="32451"/>
  <c r="AL147" i="32451"/>
  <c r="AL231" i="32451"/>
  <c r="AL194" i="32451"/>
  <c r="AL83" i="32451"/>
  <c r="AL218" i="32451"/>
  <c r="AL78" i="32451"/>
  <c r="AL270" i="32451"/>
  <c r="AL224" i="32451"/>
  <c r="AL280" i="32451"/>
  <c r="AL66" i="32451"/>
  <c r="AL211" i="32451"/>
  <c r="AL229" i="32451"/>
  <c r="AL279" i="32451"/>
  <c r="AL237" i="32451"/>
  <c r="AL159" i="32451"/>
  <c r="AL97" i="32451"/>
  <c r="AL70" i="32451"/>
  <c r="AL262" i="32451"/>
  <c r="AL73" i="32451"/>
  <c r="AL195" i="32451"/>
  <c r="AL263" i="32451"/>
  <c r="AL80" i="32451"/>
  <c r="AL258" i="32451"/>
  <c r="AL249" i="32451"/>
  <c r="AL171" i="32451"/>
  <c r="AL253" i="32451"/>
  <c r="AL168" i="32451"/>
  <c r="AL49" i="32451"/>
  <c r="AL199" i="32451"/>
  <c r="AL143" i="32451"/>
  <c r="AL146" i="32451"/>
  <c r="AL206" i="32451"/>
  <c r="AL215" i="32451"/>
  <c r="AL219" i="32451"/>
  <c r="AL100" i="32451"/>
  <c r="AL74" i="32451"/>
  <c r="AL123" i="32451"/>
  <c r="AL141" i="32451"/>
  <c r="AL127" i="32451"/>
  <c r="AL99" i="32451"/>
  <c r="AL107" i="32451"/>
  <c r="AL47" i="32451"/>
  <c r="AL275" i="32451"/>
  <c r="AL103" i="32451"/>
  <c r="AL69" i="32451"/>
  <c r="AL81" i="32451"/>
  <c r="AL223" i="32451"/>
  <c r="AL118" i="32451"/>
  <c r="AL133" i="32451"/>
  <c r="AL119" i="32451"/>
  <c r="AL122" i="32451"/>
  <c r="AL108" i="32451"/>
  <c r="AL203" i="32451"/>
  <c r="AL207" i="32451"/>
  <c r="AL216" i="32451"/>
  <c r="AL112" i="32451"/>
  <c r="AL235" i="32451"/>
  <c r="AL120" i="32451"/>
  <c r="AL243" i="32451"/>
  <c r="AL172" i="32451"/>
  <c r="AL139" i="32451"/>
  <c r="AL271" i="32451"/>
  <c r="AL210" i="32451"/>
  <c r="AL245" i="32451"/>
  <c r="AL259" i="32451"/>
  <c r="AL137" i="32451"/>
  <c r="AL187" i="32451"/>
  <c r="AL205" i="32451"/>
  <c r="AL191" i="32451"/>
  <c r="AL162" i="32451"/>
  <c r="AL170" i="32451"/>
  <c r="AL114" i="32451"/>
  <c r="AL124" i="32451"/>
  <c r="AL166" i="32451"/>
  <c r="AL132" i="32451"/>
  <c r="AL51" i="32451"/>
  <c r="AL140" i="32451"/>
  <c r="AL182" i="32451"/>
  <c r="AL197" i="32451"/>
  <c r="AL183" i="32451"/>
  <c r="AL186" i="32451"/>
  <c r="AL236" i="32451"/>
  <c r="AL267" i="32451"/>
  <c r="AL113" i="32451"/>
  <c r="AL92" i="32451"/>
  <c r="AL75" i="32451"/>
  <c r="AL85" i="32451"/>
  <c r="AL126" i="32451"/>
  <c r="AL160" i="32451"/>
  <c r="AL86" i="32451"/>
  <c r="AL116" i="32451"/>
  <c r="AL67" i="32451"/>
  <c r="AL274" i="32451"/>
  <c r="AL281" i="32451"/>
  <c r="AL96" i="32451"/>
  <c r="AL222" i="32451"/>
  <c r="AL135" i="32451"/>
  <c r="AL201" i="32451"/>
  <c r="AL251" i="32451"/>
  <c r="AL269" i="32451"/>
  <c r="AL255" i="32451"/>
  <c r="AL226" i="32451"/>
  <c r="AL234" i="32451"/>
  <c r="AL178" i="32451"/>
  <c r="AL188" i="32451"/>
  <c r="AL230" i="32451"/>
  <c r="AL196" i="32451"/>
  <c r="AL110" i="32451"/>
  <c r="AL204" i="32451"/>
  <c r="AL246" i="32451"/>
  <c r="AL261" i="32451"/>
  <c r="AL247" i="32451"/>
  <c r="AL250" i="32451"/>
  <c r="AL149" i="32451"/>
  <c r="AL180" i="32451"/>
  <c r="AL177" i="32451"/>
  <c r="AL163" i="32451"/>
  <c r="AL138" i="32451"/>
  <c r="AL148" i="32451"/>
  <c r="AL190" i="32451"/>
  <c r="AL93" i="32451"/>
  <c r="AL213" i="32451"/>
  <c r="AL244" i="32451"/>
  <c r="AL129" i="32451"/>
  <c r="AL115" i="32451"/>
  <c r="AL273" i="32451"/>
  <c r="AL233" i="32451"/>
  <c r="AL185" i="32451"/>
  <c r="AL128" i="32451"/>
  <c r="AL265" i="32451"/>
  <c r="AL256" i="32451"/>
  <c r="AL208" i="32451"/>
  <c r="AL82" i="32451"/>
  <c r="AL90" i="32451"/>
  <c r="AL68" i="32451"/>
  <c r="AL242" i="32451"/>
  <c r="AL252" i="32451"/>
  <c r="AL192" i="32451"/>
  <c r="AL260" i="32451"/>
  <c r="AL174" i="32451"/>
  <c r="AL268" i="32451"/>
  <c r="AL45" i="32451"/>
  <c r="AL176" i="32451"/>
  <c r="AL232" i="32451"/>
  <c r="AL152" i="32451"/>
  <c r="AL277" i="32451"/>
  <c r="AL136" i="32451"/>
  <c r="AL241" i="32451"/>
  <c r="AL227" i="32451"/>
  <c r="AL202" i="32451"/>
  <c r="AL212" i="32451"/>
  <c r="AL254" i="32451"/>
  <c r="AL156" i="32451"/>
  <c r="AL248" i="32451"/>
  <c r="AL94" i="32451"/>
  <c r="AL193" i="32451"/>
  <c r="AL179" i="32451"/>
  <c r="AL225" i="32451"/>
  <c r="AL173" i="32451"/>
  <c r="AL72" i="32451"/>
  <c r="AL189" i="32451"/>
  <c r="AL184" i="32451"/>
  <c r="AL101" i="32451"/>
  <c r="AL79" i="32451"/>
  <c r="AL145" i="32451"/>
  <c r="AL153" i="32451"/>
  <c r="AL98" i="32451"/>
  <c r="AL105" i="32451"/>
  <c r="AL200" i="32451"/>
  <c r="AL88" i="32451"/>
  <c r="AL272" i="32451"/>
  <c r="AL238" i="32451"/>
  <c r="AL117" i="32451"/>
  <c r="AL104" i="32451"/>
  <c r="AL71" i="32451"/>
  <c r="AL106" i="32451"/>
  <c r="AL84" i="32451"/>
  <c r="AL87" i="32451"/>
  <c r="AL157" i="32451"/>
  <c r="AL89" i="32451"/>
  <c r="AL77" i="32451"/>
  <c r="AL266" i="32451"/>
  <c r="AL276" i="32451"/>
  <c r="AL111" i="32451"/>
  <c r="AL220" i="32451"/>
  <c r="AL150" i="32451"/>
  <c r="AL221" i="32451"/>
  <c r="AL257" i="32451"/>
  <c r="AL228" i="32451"/>
  <c r="AL165" i="32451"/>
  <c r="AL198" i="32451"/>
  <c r="AL239" i="32451"/>
  <c r="AL91" i="32451"/>
  <c r="AL164" i="32451"/>
  <c r="AL142" i="32451"/>
  <c r="AL209" i="32451"/>
  <c r="AL217" i="32451"/>
  <c r="AL161" i="32451"/>
  <c r="AL76" i="32451"/>
  <c r="AL102" i="32451"/>
  <c r="AL151" i="32451"/>
  <c r="AL109" i="32451"/>
  <c r="AL240" i="32451"/>
  <c r="AL181" i="32451"/>
  <c r="AL167" i="32451"/>
  <c r="AL134" i="32451"/>
  <c r="AL169" i="32451"/>
  <c r="AL155" i="32451"/>
  <c r="AL214" i="32451"/>
  <c r="AL95" i="32451"/>
  <c r="AL130" i="32451"/>
  <c r="AL121" i="32451"/>
  <c r="AL264" i="32451"/>
  <c r="AL125" i="32451"/>
  <c r="AL175" i="32451"/>
  <c r="AL131" i="32451"/>
  <c r="AL278" i="32451"/>
  <c r="AL158" i="32451"/>
  <c r="AL144" i="32451"/>
  <c r="AJ250" i="32451"/>
  <c r="AJ220" i="32451"/>
  <c r="AJ214" i="32451"/>
  <c r="AJ201" i="32451"/>
  <c r="AJ145" i="32451"/>
  <c r="AJ234" i="32451"/>
  <c r="AJ116" i="32451"/>
  <c r="AJ157" i="32451"/>
  <c r="AJ181" i="32451"/>
  <c r="AJ85" i="32451"/>
  <c r="AJ114" i="32451"/>
  <c r="AJ147" i="32451"/>
  <c r="AJ88" i="32451"/>
  <c r="AJ106" i="32451"/>
  <c r="AJ186" i="32451"/>
  <c r="AJ69" i="32451"/>
  <c r="AJ109" i="32451"/>
  <c r="AJ110" i="32451"/>
  <c r="AJ159" i="32451"/>
  <c r="AJ117" i="32451"/>
  <c r="AJ261" i="32451"/>
  <c r="AJ78" i="32451"/>
  <c r="AJ127" i="32451"/>
  <c r="AJ108" i="32451"/>
  <c r="AJ213" i="32451"/>
  <c r="AJ199" i="32451"/>
  <c r="AJ216" i="32451"/>
  <c r="AJ121" i="32451"/>
  <c r="AJ138" i="32451"/>
  <c r="AJ193" i="32451"/>
  <c r="AJ274" i="32451"/>
  <c r="AJ93" i="32451"/>
  <c r="AJ153" i="32451"/>
  <c r="AJ252" i="32451"/>
  <c r="AJ174" i="32451"/>
  <c r="AJ256" i="32451"/>
  <c r="AJ79" i="32451"/>
  <c r="AJ191" i="32451"/>
  <c r="AJ171" i="32451"/>
  <c r="AJ265" i="32451"/>
  <c r="AJ209" i="32451"/>
  <c r="AJ226" i="32451"/>
  <c r="AJ217" i="32451"/>
  <c r="AJ68" i="32451"/>
  <c r="AJ180" i="32451"/>
  <c r="AJ97" i="32451"/>
  <c r="AJ276" i="32451"/>
  <c r="AJ225" i="32451"/>
  <c r="AJ211" i="32451"/>
  <c r="AJ151" i="32451"/>
  <c r="AJ132" i="32451"/>
  <c r="AJ173" i="32451"/>
  <c r="AJ245" i="32451"/>
  <c r="AJ148" i="32451"/>
  <c r="AJ70" i="32451"/>
  <c r="AJ141" i="32451"/>
  <c r="AJ142" i="32451"/>
  <c r="AJ172" i="32451"/>
  <c r="AJ277" i="32451"/>
  <c r="AJ263" i="32451"/>
  <c r="AJ130" i="32451"/>
  <c r="AJ202" i="32451"/>
  <c r="AJ257" i="32451"/>
  <c r="AJ115" i="32451"/>
  <c r="AJ218" i="32451"/>
  <c r="AJ80" i="32451"/>
  <c r="AJ103" i="32451"/>
  <c r="AJ176" i="32451"/>
  <c r="AJ92" i="32451"/>
  <c r="AJ123" i="32451"/>
  <c r="AJ131" i="32451"/>
  <c r="AJ281" i="32451"/>
  <c r="AJ139" i="32451"/>
  <c r="AJ244" i="32451"/>
  <c r="AJ95" i="32451"/>
  <c r="AJ143" i="32451"/>
  <c r="AJ182" i="32451"/>
  <c r="AJ125" i="32451"/>
  <c r="AJ175" i="32451"/>
  <c r="AJ242" i="32451"/>
  <c r="AJ200" i="32451"/>
  <c r="AJ166" i="32451"/>
  <c r="AJ215" i="32451"/>
  <c r="AJ233" i="32451"/>
  <c r="AJ152" i="32451"/>
  <c r="AJ196" i="32451"/>
  <c r="AJ237" i="32451"/>
  <c r="AJ238" i="32451"/>
  <c r="AJ140" i="32451"/>
  <c r="AJ212" i="32451"/>
  <c r="AJ111" i="32451"/>
  <c r="AJ71" i="32451"/>
  <c r="AJ183" i="32451"/>
  <c r="AJ101" i="32451"/>
  <c r="AJ205" i="32451"/>
  <c r="AJ255" i="32451"/>
  <c r="AJ278" i="32451"/>
  <c r="AJ113" i="32451"/>
  <c r="AJ163" i="32451"/>
  <c r="AJ249" i="32451"/>
  <c r="AJ235" i="32451"/>
  <c r="AJ144" i="32451"/>
  <c r="AJ161" i="32451"/>
  <c r="AJ169" i="32451"/>
  <c r="AJ184" i="32451"/>
  <c r="AJ273" i="32451"/>
  <c r="AJ280" i="32451"/>
  <c r="AJ203" i="32451"/>
  <c r="AJ136" i="32451"/>
  <c r="AJ104" i="32451"/>
  <c r="AJ66" i="32451"/>
  <c r="AJ275" i="32451"/>
  <c r="AJ102" i="32451"/>
  <c r="AJ230" i="32451"/>
  <c r="AJ260" i="32451"/>
  <c r="AJ118" i="32451"/>
  <c r="AJ133" i="32451"/>
  <c r="AJ247" i="32451"/>
  <c r="AJ164" i="32451"/>
  <c r="AJ206" i="32451"/>
  <c r="AJ236" i="32451"/>
  <c r="AJ248" i="32451"/>
  <c r="AJ72" i="32451"/>
  <c r="AJ194" i="32451"/>
  <c r="AJ266" i="32451"/>
  <c r="AJ67" i="32451"/>
  <c r="AJ179" i="32451"/>
  <c r="AJ221" i="32451"/>
  <c r="AJ178" i="32451"/>
  <c r="AJ167" i="32451"/>
  <c r="AJ89" i="32451"/>
  <c r="AJ74" i="32451"/>
  <c r="AJ187" i="32451"/>
  <c r="AJ224" i="32451"/>
  <c r="AJ195" i="32451"/>
  <c r="AJ107" i="32451"/>
  <c r="AJ158" i="32451"/>
  <c r="AJ207" i="32451"/>
  <c r="AJ253" i="32451"/>
  <c r="AJ168" i="32451"/>
  <c r="AJ105" i="32451"/>
  <c r="AJ165" i="32451"/>
  <c r="AJ279" i="32451"/>
  <c r="AJ73" i="32451"/>
  <c r="AJ84" i="32451"/>
  <c r="AJ81" i="32451"/>
  <c r="AJ240" i="32451"/>
  <c r="AJ204" i="32451"/>
  <c r="AJ246" i="32451"/>
  <c r="AJ189" i="32451"/>
  <c r="AJ239" i="32451"/>
  <c r="AJ134" i="32451"/>
  <c r="AJ232" i="32451"/>
  <c r="AJ269" i="32451"/>
  <c r="AJ259" i="32451"/>
  <c r="AJ87" i="32451"/>
  <c r="AJ177" i="32451"/>
  <c r="AJ227" i="32451"/>
  <c r="AJ112" i="32451"/>
  <c r="AJ264" i="32451"/>
  <c r="AJ83" i="32451"/>
  <c r="AJ254" i="32451"/>
  <c r="AJ185" i="32451"/>
  <c r="AJ91" i="32451"/>
  <c r="AJ82" i="32451"/>
  <c r="AJ170" i="32451"/>
  <c r="AJ267" i="32451"/>
  <c r="AJ94" i="32451"/>
  <c r="AJ222" i="32451"/>
  <c r="AJ271" i="32451"/>
  <c r="AJ231" i="32451"/>
  <c r="AJ47" i="32451"/>
  <c r="AJ76" i="32451"/>
  <c r="AJ124" i="32451"/>
  <c r="AJ192" i="32451"/>
  <c r="AJ155" i="32451"/>
  <c r="AJ272" i="32451"/>
  <c r="AJ268" i="32451"/>
  <c r="AJ197" i="32451"/>
  <c r="AJ198" i="32451"/>
  <c r="AJ228" i="32451"/>
  <c r="AJ270" i="32451"/>
  <c r="AJ86" i="32451"/>
  <c r="AJ135" i="32451"/>
  <c r="AJ258" i="32451"/>
  <c r="AJ75" i="32451"/>
  <c r="AJ129" i="32451"/>
  <c r="AJ146" i="32451"/>
  <c r="AJ243" i="32451"/>
  <c r="AJ162" i="32451"/>
  <c r="AJ190" i="32451"/>
  <c r="AJ223" i="32451"/>
  <c r="AJ119" i="32451"/>
  <c r="AJ137" i="32451"/>
  <c r="AJ154" i="32451"/>
  <c r="AJ99" i="32451"/>
  <c r="AJ90" i="32451"/>
  <c r="AJ128" i="32451"/>
  <c r="AJ120" i="32451"/>
  <c r="AJ98" i="32451"/>
  <c r="AJ188" i="32451"/>
  <c r="AJ229" i="32451"/>
  <c r="AJ219" i="32451"/>
  <c r="AJ122" i="32451"/>
  <c r="AJ51" i="32451"/>
  <c r="AJ96" i="32451"/>
  <c r="AJ45" i="32451"/>
  <c r="AJ126" i="32451"/>
  <c r="AJ156" i="32451"/>
  <c r="AJ262" i="32451"/>
  <c r="AJ251" i="32451"/>
  <c r="AJ208" i="32451"/>
  <c r="AJ49" i="32451"/>
  <c r="AJ149" i="32451"/>
  <c r="AJ150" i="32451"/>
  <c r="AJ241" i="32451"/>
  <c r="AJ77" i="32451"/>
  <c r="AJ100" i="32451"/>
  <c r="AJ210" i="32451"/>
  <c r="AJ160" i="32451"/>
  <c r="G182" i="32451"/>
  <c r="G137" i="32451"/>
  <c r="G120" i="32451"/>
  <c r="G229" i="32451"/>
  <c r="G126" i="32451"/>
  <c r="G49" i="32451"/>
  <c r="G241" i="32451"/>
  <c r="G77" i="32451"/>
  <c r="G100" i="32451"/>
  <c r="G138" i="32451"/>
  <c r="G193" i="32451"/>
  <c r="G93" i="32451"/>
  <c r="G222" i="32451"/>
  <c r="G210" i="32451"/>
  <c r="G99" i="32451"/>
  <c r="G219" i="32451"/>
  <c r="G164" i="32451"/>
  <c r="G148" i="32451"/>
  <c r="G116" i="32451"/>
  <c r="G181" i="32451"/>
  <c r="G117" i="32451"/>
  <c r="G199" i="32451"/>
  <c r="G104" i="32451"/>
  <c r="G212" i="32451"/>
  <c r="G161" i="32451"/>
  <c r="G103" i="32451"/>
  <c r="G167" i="32451"/>
  <c r="G171" i="32451"/>
  <c r="G154" i="32451"/>
  <c r="G139" i="32451"/>
  <c r="G188" i="32451"/>
  <c r="G110" i="32451"/>
  <c r="G70" i="32451"/>
  <c r="G142" i="32451"/>
  <c r="G178" i="32451"/>
  <c r="G130" i="32451"/>
  <c r="G125" i="32451"/>
  <c r="G209" i="32451"/>
  <c r="G68" i="32451"/>
  <c r="G180" i="32451"/>
  <c r="G97" i="32451"/>
  <c r="G211" i="32451"/>
  <c r="G151" i="32451"/>
  <c r="G132" i="32451"/>
  <c r="G173" i="32451"/>
  <c r="G245" i="32451"/>
  <c r="G141" i="32451"/>
  <c r="G172" i="32451"/>
  <c r="G202" i="32451"/>
  <c r="G115" i="32451"/>
  <c r="G232" i="32451"/>
  <c r="G122" i="32451"/>
  <c r="G96" i="32451"/>
  <c r="G150" i="32451"/>
  <c r="G107" i="32451"/>
  <c r="G72" i="32451"/>
  <c r="G145" i="32451"/>
  <c r="G234" i="32451"/>
  <c r="G147" i="32451"/>
  <c r="G88" i="32451"/>
  <c r="G69" i="32451"/>
  <c r="G78" i="32451"/>
  <c r="G237" i="32451"/>
  <c r="G113" i="32451"/>
  <c r="G218" i="32451"/>
  <c r="G153" i="32451"/>
  <c r="G190" i="32451"/>
  <c r="G220" i="32451"/>
  <c r="G79" i="32451"/>
  <c r="G89" i="32451"/>
  <c r="G82" i="32451"/>
  <c r="G203" i="32451"/>
  <c r="G102" i="32451"/>
  <c r="G174" i="32451"/>
  <c r="G176" i="32451"/>
  <c r="G191" i="32451"/>
  <c r="G76" i="32451"/>
  <c r="G92" i="32451"/>
  <c r="G160" i="32451"/>
  <c r="G123" i="32451"/>
  <c r="G95" i="32451"/>
  <c r="G143" i="32451"/>
  <c r="G175" i="32451"/>
  <c r="G242" i="32451"/>
  <c r="G200" i="32451"/>
  <c r="G166" i="32451"/>
  <c r="G233" i="32451"/>
  <c r="G152" i="32451"/>
  <c r="G238" i="32451"/>
  <c r="G140" i="32451"/>
  <c r="G111" i="32451"/>
  <c r="G71" i="32451"/>
  <c r="G183" i="32451"/>
  <c r="G101" i="32451"/>
  <c r="G163" i="32451"/>
  <c r="G235" i="32451"/>
  <c r="G217" i="32451"/>
  <c r="G196" i="32451"/>
  <c r="G87" i="32451"/>
  <c r="G90" i="32451"/>
  <c r="G98" i="32451"/>
  <c r="G51" i="32451"/>
  <c r="G45" i="32451"/>
  <c r="G156" i="32451"/>
  <c r="G208" i="32451"/>
  <c r="G128" i="32451"/>
  <c r="G155" i="32451"/>
  <c r="G157" i="32451"/>
  <c r="G85" i="32451"/>
  <c r="G114" i="32451"/>
  <c r="G109" i="32451"/>
  <c r="G127" i="32451"/>
  <c r="G201" i="32451"/>
  <c r="G225" i="32451"/>
  <c r="G162" i="32451"/>
  <c r="G80" i="32451"/>
  <c r="G119" i="32451"/>
  <c r="G224" i="32451"/>
  <c r="G244" i="32451"/>
  <c r="G165" i="32451"/>
  <c r="G159" i="32451"/>
  <c r="G198" i="32451"/>
  <c r="G108" i="32451"/>
  <c r="G106" i="32451"/>
  <c r="G121" i="32451"/>
  <c r="G67" i="32451"/>
  <c r="G184" i="32451"/>
  <c r="G66" i="32451"/>
  <c r="G118" i="32451"/>
  <c r="G133" i="32451"/>
  <c r="G206" i="32451"/>
  <c r="G236" i="32451"/>
  <c r="G194" i="32451"/>
  <c r="G179" i="32451"/>
  <c r="G214" i="32451"/>
  <c r="G226" i="32451"/>
  <c r="G136" i="32451"/>
  <c r="G230" i="32451"/>
  <c r="G223" i="32451"/>
  <c r="G149" i="32451"/>
  <c r="G169" i="32451"/>
  <c r="G185" i="32451"/>
  <c r="G144" i="32451"/>
  <c r="G74" i="32451"/>
  <c r="G187" i="32451"/>
  <c r="G195" i="32451"/>
  <c r="G158" i="32451"/>
  <c r="G207" i="32451"/>
  <c r="G168" i="32451"/>
  <c r="G105" i="32451"/>
  <c r="G73" i="32451"/>
  <c r="G84" i="32451"/>
  <c r="G81" i="32451"/>
  <c r="G240" i="32451"/>
  <c r="G204" i="32451"/>
  <c r="G189" i="32451"/>
  <c r="G239" i="32451"/>
  <c r="G134" i="32451"/>
  <c r="G177" i="32451"/>
  <c r="G227" i="32451"/>
  <c r="G112" i="32451"/>
  <c r="G83" i="32451"/>
  <c r="G216" i="32451"/>
  <c r="G170" i="32451"/>
  <c r="G205" i="32451"/>
  <c r="G131" i="32451"/>
  <c r="G221" i="32451"/>
  <c r="G215" i="32451"/>
  <c r="G213" i="32451"/>
  <c r="G186" i="32451"/>
  <c r="G75" i="32451"/>
  <c r="G146" i="32451"/>
  <c r="G91" i="32451"/>
  <c r="G94" i="32451"/>
  <c r="G231" i="32451"/>
  <c r="G47" i="32451"/>
  <c r="G124" i="32451"/>
  <c r="G192" i="32451"/>
  <c r="G197" i="32451"/>
  <c r="G228" i="32451"/>
  <c r="G86" i="32451"/>
  <c r="G135" i="32451"/>
  <c r="G129" i="32451"/>
  <c r="G243" i="32451"/>
  <c r="Z249" i="32451"/>
  <c r="Z256" i="32451"/>
  <c r="AT245" i="32451"/>
  <c r="AS245" i="32451"/>
  <c r="AS249" i="32451"/>
  <c r="AT249" i="32451"/>
  <c r="AT253" i="32451"/>
  <c r="AS253" i="32451"/>
  <c r="AT251" i="32451"/>
  <c r="AS251" i="32451"/>
  <c r="AS255" i="32451"/>
  <c r="AT255" i="32451"/>
  <c r="AS246" i="32451"/>
  <c r="AT246" i="32451"/>
  <c r="AS247" i="32451"/>
  <c r="AT247" i="32451"/>
  <c r="AT250" i="32451"/>
  <c r="AS250" i="32451"/>
  <c r="AS256" i="32451"/>
  <c r="AT256" i="32451"/>
  <c r="AT252" i="32451"/>
  <c r="AS252" i="32451"/>
  <c r="AS254" i="32451"/>
  <c r="AT254" i="32451"/>
  <c r="AS248" i="32451"/>
  <c r="AT248" i="32451"/>
  <c r="AT257" i="32451"/>
  <c r="AS257" i="32451"/>
  <c r="AT261" i="32451"/>
  <c r="AS261" i="32451"/>
  <c r="AS265" i="32451"/>
  <c r="AT265" i="32451"/>
  <c r="AT260" i="32451"/>
  <c r="AS260" i="32451"/>
  <c r="AT268" i="32451"/>
  <c r="AS268" i="32451"/>
  <c r="AT272" i="32451"/>
  <c r="AS272" i="32451"/>
  <c r="AS266" i="32451"/>
  <c r="AT266" i="32451"/>
  <c r="AS276" i="32451"/>
  <c r="AT276" i="32451"/>
  <c r="AS264" i="32451"/>
  <c r="AT264" i="32451"/>
  <c r="AS259" i="32451"/>
  <c r="AT259" i="32451"/>
  <c r="AT270" i="32451"/>
  <c r="AS270" i="32451"/>
  <c r="AT262" i="32451"/>
  <c r="AS262" i="32451"/>
  <c r="AT263" i="32451"/>
  <c r="AS263" i="32451"/>
  <c r="AS258" i="32451"/>
  <c r="AT258" i="32451"/>
  <c r="AS267" i="32451"/>
  <c r="AT267" i="32451"/>
  <c r="AT274" i="32451"/>
  <c r="AS274" i="32451"/>
  <c r="AT278" i="32451"/>
  <c r="AS278" i="32451"/>
  <c r="AT273" i="32451"/>
  <c r="AS273" i="32451"/>
  <c r="AT281" i="32451"/>
  <c r="AS281" i="32451"/>
  <c r="AT280" i="32451"/>
  <c r="AS280" i="32451"/>
  <c r="AT279" i="32451"/>
  <c r="AS279" i="32451"/>
  <c r="AT275" i="32451"/>
  <c r="AS275" i="32451"/>
  <c r="AT271" i="32451"/>
  <c r="AS271" i="32451"/>
  <c r="AT269" i="32451"/>
  <c r="AS269" i="32451"/>
  <c r="AT277" i="32451"/>
  <c r="AS277" i="32451"/>
  <c r="Z267" i="32451"/>
  <c r="Z259" i="32451"/>
  <c r="Z250" i="32451"/>
  <c r="I587" i="32451"/>
  <c r="I706" i="32451"/>
  <c r="I586" i="32451"/>
  <c r="I707" i="32451"/>
  <c r="I705" i="32451"/>
  <c r="Z266" i="32451"/>
  <c r="Z262" i="32451"/>
  <c r="Z270" i="32451"/>
  <c r="Z263" i="32451"/>
  <c r="Z265" i="32451"/>
  <c r="Z258" i="32451"/>
  <c r="Z253" i="32451"/>
  <c r="Z251" i="32451"/>
  <c r="Z254" i="32451"/>
  <c r="Z268" i="32451"/>
  <c r="Z261" i="32451"/>
  <c r="Z260" i="32451"/>
  <c r="Z264" i="32451"/>
  <c r="Z252" i="32451"/>
  <c r="L52" i="32488"/>
  <c r="H40" i="32458" l="1"/>
  <c r="M40" i="32458" s="1"/>
  <c r="E555" i="32498"/>
  <c r="E556" i="32498"/>
  <c r="AJ705" i="32451"/>
  <c r="AJ706" i="32451"/>
  <c r="AJ707" i="32451"/>
  <c r="AB255" i="32451"/>
  <c r="AB267" i="32451"/>
  <c r="AB266" i="32451"/>
  <c r="AB265" i="32451"/>
  <c r="AB254" i="32451"/>
  <c r="AB247" i="32451"/>
  <c r="AJ587" i="32451"/>
  <c r="AJ586" i="32451"/>
  <c r="AB256" i="32451"/>
  <c r="AB276" i="32451"/>
  <c r="AB248" i="32451"/>
  <c r="AB264" i="32451"/>
  <c r="AB275" i="32451"/>
  <c r="AB273" i="32451"/>
  <c r="AB272" i="32451"/>
  <c r="AB261" i="32451"/>
  <c r="AB252" i="32451"/>
  <c r="AB269" i="32451"/>
  <c r="AB280" i="32451"/>
  <c r="AB274" i="32451"/>
  <c r="AB262" i="32451"/>
  <c r="AB260" i="32451"/>
  <c r="AB250" i="32451"/>
  <c r="AB251" i="32451"/>
  <c r="AB271" i="32451"/>
  <c r="AB281" i="32451"/>
  <c r="AB270" i="32451"/>
  <c r="AB253" i="32451"/>
  <c r="AB258" i="32451"/>
  <c r="AB259" i="32451"/>
  <c r="AB246" i="32451"/>
  <c r="AB249" i="32451"/>
  <c r="AB277" i="32451"/>
  <c r="AB279" i="32451"/>
  <c r="AB278" i="32451"/>
  <c r="AB263" i="32451"/>
  <c r="AB268" i="32451"/>
  <c r="AB257" i="32451"/>
  <c r="AB245" i="32451"/>
  <c r="F20" i="32457" l="1"/>
  <c r="G20" i="32457" s="1"/>
  <c r="I20" i="32457" s="1"/>
  <c r="G587" i="32451"/>
  <c r="G586" i="32451"/>
  <c r="G707" i="32451"/>
  <c r="G705" i="32451"/>
  <c r="G706" i="32451"/>
  <c r="F34" i="32488" l="1"/>
  <c r="F55" i="32488" l="1"/>
  <c r="I55" i="32488" l="1"/>
  <c r="J55" i="32488"/>
  <c r="L58" i="32488"/>
  <c r="M58" i="32488" s="1"/>
  <c r="H66" i="32488"/>
  <c r="F49" i="32458"/>
  <c r="J87" i="32488"/>
  <c r="J88" i="32488" s="1"/>
  <c r="J80" i="32488"/>
  <c r="D49" i="32458" l="1"/>
  <c r="H49" i="32458" s="1"/>
  <c r="M49" i="32458" s="1"/>
  <c r="F52" i="32458"/>
  <c r="R33" i="32451"/>
  <c r="I2" i="32498" s="1"/>
  <c r="M52" i="32458" l="1"/>
  <c r="H52" i="32458"/>
  <c r="A90" i="32488"/>
  <c r="F90" i="32488"/>
  <c r="B77" i="32488"/>
  <c r="A92" i="32488"/>
  <c r="F92" i="32488"/>
  <c r="AL708" i="32451" l="1"/>
  <c r="AA707" i="32451" l="1"/>
  <c r="AA587" i="32451"/>
  <c r="AA586" i="32451"/>
  <c r="AA706" i="32451"/>
  <c r="AA705" i="32451"/>
  <c r="B22" i="32458" l="1"/>
  <c r="B25" i="32458" s="1"/>
  <c r="B28" i="32458" s="1"/>
  <c r="B31" i="32458" s="1"/>
  <c r="B34" i="32458" s="1"/>
  <c r="B43" i="32458" s="1"/>
  <c r="I16" i="32458" l="1"/>
  <c r="M16" i="32458" s="1"/>
  <c r="E708" i="32451" l="1"/>
  <c r="H13" i="32451" s="1"/>
  <c r="I17" i="32458"/>
  <c r="M17" i="32458" s="1"/>
  <c r="I127" i="32488" l="1"/>
  <c r="AL33" i="32451"/>
  <c r="AQ707" i="32451" l="1"/>
  <c r="AR707" i="32451"/>
  <c r="AQ586" i="32451"/>
  <c r="AR586" i="32451"/>
  <c r="AQ705" i="32451"/>
  <c r="AR705" i="32451"/>
  <c r="AQ706" i="32451"/>
  <c r="AR706" i="32451"/>
  <c r="AQ587" i="32451"/>
  <c r="AR587" i="32451"/>
  <c r="AI21" i="32451"/>
  <c r="P24" i="32451"/>
  <c r="F15" i="32457" s="1"/>
  <c r="AG21" i="32451"/>
  <c r="AI24" i="32451"/>
  <c r="G15" i="32457" l="1"/>
  <c r="I15" i="32457" s="1"/>
  <c r="AK21" i="32451"/>
  <c r="AK24" i="32451"/>
  <c r="I19" i="32458" l="1"/>
  <c r="M19" i="32458" s="1"/>
  <c r="X4" i="32451"/>
  <c r="N16" i="32458" l="1"/>
  <c r="L15" i="32457" l="1"/>
  <c r="AA36" i="32451" l="1"/>
  <c r="AA37" i="32451"/>
  <c r="AA38" i="32451"/>
  <c r="AA39" i="32451"/>
  <c r="AA40" i="32451"/>
  <c r="AA41" i="32451"/>
  <c r="AA42" i="32451"/>
  <c r="AA43" i="32451"/>
  <c r="AA44" i="32451"/>
  <c r="AA45" i="32451"/>
  <c r="AA46" i="32451"/>
  <c r="AA47" i="32451"/>
  <c r="AA48" i="32451"/>
  <c r="AA49" i="32451"/>
  <c r="AA50" i="32451"/>
  <c r="AA51" i="32451"/>
  <c r="AA52" i="32451"/>
  <c r="AA53" i="32451"/>
  <c r="AA54" i="32451"/>
  <c r="AA55" i="32451"/>
  <c r="AA56" i="32451"/>
  <c r="AA57" i="32451"/>
  <c r="AA58" i="32451"/>
  <c r="AA59" i="32451"/>
  <c r="AA60" i="32451"/>
  <c r="AA61" i="32451"/>
  <c r="AA62" i="32451"/>
  <c r="AA63" i="32451"/>
  <c r="AA64" i="32451"/>
  <c r="AA65" i="32451"/>
  <c r="AA66" i="32451"/>
  <c r="AA67" i="32451"/>
  <c r="AA68" i="32451"/>
  <c r="AA69" i="32451"/>
  <c r="AA70" i="32451"/>
  <c r="AA71" i="32451"/>
  <c r="AA72" i="32451"/>
  <c r="AA73" i="32451"/>
  <c r="AA74" i="32451"/>
  <c r="AA75" i="32451"/>
  <c r="AA76" i="32451"/>
  <c r="AA77" i="32451"/>
  <c r="AA78" i="32451"/>
  <c r="AA79" i="32451"/>
  <c r="AA80" i="32451"/>
  <c r="AA81" i="32451"/>
  <c r="AA82" i="32451"/>
  <c r="AA83" i="32451"/>
  <c r="AA84" i="32451"/>
  <c r="AA85" i="32451"/>
  <c r="AA86" i="32451"/>
  <c r="AA87" i="32451"/>
  <c r="AA88" i="32451"/>
  <c r="AA89" i="32451"/>
  <c r="AA90" i="32451"/>
  <c r="AA91" i="32451"/>
  <c r="AA92" i="32451"/>
  <c r="AA93" i="32451"/>
  <c r="AA94" i="32451"/>
  <c r="AA95" i="32451"/>
  <c r="AA96" i="32451"/>
  <c r="AA97" i="32451"/>
  <c r="AA98" i="32451"/>
  <c r="AA99" i="32451"/>
  <c r="AA100" i="32451"/>
  <c r="AA101" i="32451"/>
  <c r="AA102" i="32451"/>
  <c r="AA103" i="32451"/>
  <c r="AA104" i="32451"/>
  <c r="AA105" i="32451"/>
  <c r="AA106" i="32451"/>
  <c r="AA107" i="32451"/>
  <c r="AA108" i="32451"/>
  <c r="AA109" i="32451"/>
  <c r="AA110" i="32451"/>
  <c r="AA111" i="32451"/>
  <c r="AA112" i="32451"/>
  <c r="AA113" i="32451"/>
  <c r="AA114" i="32451"/>
  <c r="AA115" i="32451"/>
  <c r="AA116" i="32451"/>
  <c r="AA117" i="32451"/>
  <c r="AA118" i="32451"/>
  <c r="AA119" i="32451"/>
  <c r="AA120" i="32451"/>
  <c r="AA121" i="32451"/>
  <c r="AA122" i="32451"/>
  <c r="AA123" i="32451"/>
  <c r="AA124" i="32451"/>
  <c r="AA125" i="32451"/>
  <c r="AA126" i="32451"/>
  <c r="AA127" i="32451"/>
  <c r="AA128" i="32451"/>
  <c r="AA129" i="32451"/>
  <c r="AA130" i="32451"/>
  <c r="AA131" i="32451"/>
  <c r="AA132" i="32451"/>
  <c r="AA133" i="32451"/>
  <c r="AA134" i="32451"/>
  <c r="AA135" i="32451"/>
  <c r="AA136" i="32451"/>
  <c r="AA137" i="32451"/>
  <c r="AA138" i="32451"/>
  <c r="AA139" i="32451"/>
  <c r="AA140" i="32451"/>
  <c r="AA141" i="32451"/>
  <c r="AA142" i="32451"/>
  <c r="AA143" i="32451"/>
  <c r="AA144" i="32451"/>
  <c r="AA145" i="32451"/>
  <c r="AA146" i="32451"/>
  <c r="AA147" i="32451"/>
  <c r="AA148" i="32451"/>
  <c r="AA149" i="32451"/>
  <c r="AA150" i="32451"/>
  <c r="AA151" i="32451"/>
  <c r="AA152" i="32451"/>
  <c r="AA153" i="32451"/>
  <c r="AA154" i="32451"/>
  <c r="AA155" i="32451"/>
  <c r="AA156" i="32451"/>
  <c r="AA157" i="32451"/>
  <c r="AA158" i="32451"/>
  <c r="AA159" i="32451"/>
  <c r="AA160" i="32451"/>
  <c r="AA161" i="32451"/>
  <c r="AA162" i="32451"/>
  <c r="AA163" i="32451"/>
  <c r="AA164" i="32451"/>
  <c r="AA165" i="32451"/>
  <c r="AA166" i="32451"/>
  <c r="AA167" i="32451"/>
  <c r="AA168" i="32451"/>
  <c r="AA169" i="32451"/>
  <c r="AA170" i="32451"/>
  <c r="AA171" i="32451"/>
  <c r="AA172" i="32451"/>
  <c r="AA173" i="32451"/>
  <c r="AA174" i="32451"/>
  <c r="AA175" i="32451"/>
  <c r="AA176" i="32451"/>
  <c r="AA177" i="32451"/>
  <c r="AA178" i="32451"/>
  <c r="AA179" i="32451"/>
  <c r="AA180" i="32451"/>
  <c r="AA181" i="32451"/>
  <c r="AA182" i="32451"/>
  <c r="AA183" i="32451"/>
  <c r="AA184" i="32451"/>
  <c r="AA185" i="32451"/>
  <c r="AA186" i="32451"/>
  <c r="AA187" i="32451"/>
  <c r="AA188" i="32451"/>
  <c r="AA189" i="32451"/>
  <c r="AA190" i="32451"/>
  <c r="AA191" i="32451"/>
  <c r="AA192" i="32451"/>
  <c r="AA193" i="32451"/>
  <c r="AA194" i="32451"/>
  <c r="AA195" i="32451"/>
  <c r="AA196" i="32451"/>
  <c r="AA197" i="32451"/>
  <c r="AA198" i="32451"/>
  <c r="AA199" i="32451"/>
  <c r="AA200" i="32451"/>
  <c r="AA201" i="32451"/>
  <c r="AA202" i="32451"/>
  <c r="AA203" i="32451"/>
  <c r="AA204" i="32451"/>
  <c r="AA205" i="32451"/>
  <c r="AA206" i="32451"/>
  <c r="AA207" i="32451"/>
  <c r="AA208" i="32451"/>
  <c r="AA209" i="32451"/>
  <c r="AA210" i="32451"/>
  <c r="AA211" i="32451"/>
  <c r="AA212" i="32451"/>
  <c r="AA213" i="32451"/>
  <c r="AA214" i="32451"/>
  <c r="AA215" i="32451"/>
  <c r="AA216" i="32451"/>
  <c r="AA217" i="32451"/>
  <c r="AA218" i="32451"/>
  <c r="AA219" i="32451"/>
  <c r="AA220" i="32451"/>
  <c r="AA221" i="32451"/>
  <c r="AA222" i="32451"/>
  <c r="AA223" i="32451"/>
  <c r="AA224" i="32451"/>
  <c r="AA225" i="32451"/>
  <c r="AA226" i="32451"/>
  <c r="AA227" i="32451"/>
  <c r="AA228" i="32451"/>
  <c r="AA229" i="32451"/>
  <c r="AA230" i="32451"/>
  <c r="AA231" i="32451"/>
  <c r="AA232" i="32451"/>
  <c r="AA233" i="32451"/>
  <c r="AA234" i="32451"/>
  <c r="AA235" i="32451"/>
  <c r="AA236" i="32451"/>
  <c r="AA237" i="32451"/>
  <c r="AA238" i="32451"/>
  <c r="AA239" i="32451"/>
  <c r="AA240" i="32451"/>
  <c r="AA241" i="32451"/>
  <c r="AA242" i="32451"/>
  <c r="AA243" i="32451"/>
  <c r="AA244" i="32451"/>
  <c r="AA245" i="32451"/>
  <c r="AA246" i="32451"/>
  <c r="AA247" i="32451"/>
  <c r="AA248" i="32451"/>
  <c r="AA249" i="32451"/>
  <c r="AA250" i="32451"/>
  <c r="AA251" i="32451"/>
  <c r="AA252" i="32451"/>
  <c r="AA253" i="32451"/>
  <c r="AA254" i="32451"/>
  <c r="AA255" i="32451"/>
  <c r="AA256" i="32451"/>
  <c r="AA257" i="32451"/>
  <c r="AA258" i="32451"/>
  <c r="AA259" i="32451"/>
  <c r="AA260" i="32451"/>
  <c r="AA261" i="32451"/>
  <c r="AA262" i="32451"/>
  <c r="AA263" i="32451"/>
  <c r="AA264" i="32451"/>
  <c r="AA265" i="32451"/>
  <c r="AA266" i="32451"/>
  <c r="AA267" i="32451"/>
  <c r="AA268" i="32451"/>
  <c r="AA269" i="32451"/>
  <c r="AA270" i="32451"/>
  <c r="AA271" i="32451"/>
  <c r="AA272" i="32451"/>
  <c r="AA273" i="32451"/>
  <c r="AA274" i="32451"/>
  <c r="AA275" i="32451"/>
  <c r="AA276" i="32451"/>
  <c r="AA277" i="32451"/>
  <c r="AA278" i="32451"/>
  <c r="AA279" i="32451"/>
  <c r="AA280" i="32451"/>
  <c r="AA281" i="32451"/>
  <c r="N15" i="32451"/>
  <c r="J13" i="32451"/>
  <c r="AL705" i="32451" l="1"/>
  <c r="AK706" i="32451"/>
  <c r="AL706" i="32451"/>
  <c r="AL707" i="32451"/>
  <c r="Z707" i="32451"/>
  <c r="AK707" i="32451"/>
  <c r="AK705" i="32451"/>
  <c r="AA35" i="32451"/>
  <c r="AA34" i="32451"/>
  <c r="AA33" i="32451"/>
  <c r="M21" i="32451"/>
  <c r="AB706" i="32451" l="1"/>
  <c r="AB705" i="32451"/>
  <c r="Z706" i="32451"/>
  <c r="Z705" i="32451"/>
  <c r="AB707" i="32451"/>
  <c r="AA21" i="32451"/>
  <c r="J708" i="32451" l="1"/>
  <c r="AT33" i="32451"/>
  <c r="AS33" i="32451"/>
  <c r="AT36" i="32451"/>
  <c r="AS36" i="32451"/>
  <c r="AS220" i="32451"/>
  <c r="AT220" i="32451"/>
  <c r="AS133" i="32451"/>
  <c r="AT133" i="32451"/>
  <c r="AS103" i="32451"/>
  <c r="AT103" i="32451"/>
  <c r="AS66" i="32451"/>
  <c r="AT66" i="32451"/>
  <c r="AS215" i="32451"/>
  <c r="AT215" i="32451"/>
  <c r="AS85" i="32451"/>
  <c r="AT85" i="32451"/>
  <c r="AS165" i="32451"/>
  <c r="AT165" i="32451"/>
  <c r="AT154" i="32451"/>
  <c r="AS154" i="32451"/>
  <c r="AS221" i="32451"/>
  <c r="AT221" i="32451"/>
  <c r="AS184" i="32451"/>
  <c r="AT184" i="32451"/>
  <c r="AS137" i="32451"/>
  <c r="AT137" i="32451"/>
  <c r="AS238" i="32451"/>
  <c r="AT238" i="32451"/>
  <c r="AS164" i="32451"/>
  <c r="AT164" i="32451"/>
  <c r="AT178" i="32451"/>
  <c r="AS178" i="32451"/>
  <c r="AS200" i="32451"/>
  <c r="AT200" i="32451"/>
  <c r="AT202" i="32451"/>
  <c r="AS202" i="32451"/>
  <c r="AS75" i="32451"/>
  <c r="AT75" i="32451"/>
  <c r="AS108" i="32451"/>
  <c r="AT108" i="32451"/>
  <c r="AS195" i="32451"/>
  <c r="AT195" i="32451"/>
  <c r="AS229" i="32451"/>
  <c r="AT229" i="32451"/>
  <c r="AS192" i="32451"/>
  <c r="AT192" i="32451"/>
  <c r="AS87" i="32451"/>
  <c r="AT87" i="32451"/>
  <c r="AS171" i="32451"/>
  <c r="AT171" i="32451"/>
  <c r="AS180" i="32451"/>
  <c r="AT180" i="32451"/>
  <c r="AS242" i="32451"/>
  <c r="AT242" i="32451"/>
  <c r="AS223" i="32451"/>
  <c r="AT223" i="32451"/>
  <c r="AS227" i="32451"/>
  <c r="AT227" i="32451"/>
  <c r="AT174" i="32451"/>
  <c r="AS174" i="32451"/>
  <c r="AT126" i="32451"/>
  <c r="AS126" i="32451"/>
  <c r="AS152" i="32451"/>
  <c r="AT152" i="32451"/>
  <c r="AT138" i="32451"/>
  <c r="AS138" i="32451"/>
  <c r="AS128" i="32451"/>
  <c r="AT128" i="32451"/>
  <c r="AK33" i="32451"/>
  <c r="AJ33" i="32451"/>
  <c r="AK586" i="32451"/>
  <c r="AL587" i="32451"/>
  <c r="AR36" i="32451"/>
  <c r="AQ36" i="32451"/>
  <c r="AR33" i="32451"/>
  <c r="AQ33" i="32451"/>
  <c r="AQ168" i="32451"/>
  <c r="AR168" i="32451"/>
  <c r="AQ127" i="32451"/>
  <c r="AR127" i="32451"/>
  <c r="AQ99" i="32451"/>
  <c r="AR99" i="32451"/>
  <c r="AQ204" i="32451"/>
  <c r="AR204" i="32451"/>
  <c r="AQ153" i="32451"/>
  <c r="AR153" i="32451"/>
  <c r="AR218" i="32451"/>
  <c r="AQ218" i="32451"/>
  <c r="AR214" i="32451"/>
  <c r="AQ214" i="32451"/>
  <c r="AR235" i="32451"/>
  <c r="AQ235" i="32451"/>
  <c r="AQ191" i="32451"/>
  <c r="AR191" i="32451"/>
  <c r="AQ119" i="32451"/>
  <c r="AR119" i="32451"/>
  <c r="AQ196" i="32451"/>
  <c r="AR196" i="32451"/>
  <c r="AR224" i="32451"/>
  <c r="AQ224" i="32451"/>
  <c r="AQ188" i="32451"/>
  <c r="AR188" i="32451"/>
  <c r="Z272" i="32451"/>
  <c r="AQ71" i="32451"/>
  <c r="AR71" i="32451"/>
  <c r="AQ201" i="32451"/>
  <c r="AR201" i="32451"/>
  <c r="AQ167" i="32451"/>
  <c r="AR167" i="32451"/>
  <c r="AR232" i="32451"/>
  <c r="AQ232" i="32451"/>
  <c r="AQ69" i="32451"/>
  <c r="AR69" i="32451"/>
  <c r="AQ160" i="32451"/>
  <c r="AR160" i="32451"/>
  <c r="AR217" i="32451"/>
  <c r="AQ217" i="32451"/>
  <c r="AR146" i="32451"/>
  <c r="AQ146" i="32451"/>
  <c r="AR233" i="32451"/>
  <c r="AQ233" i="32451"/>
  <c r="AR134" i="32451"/>
  <c r="AQ134" i="32451"/>
  <c r="AQ187" i="32451"/>
  <c r="AR187" i="32451"/>
  <c r="AQ213" i="32451"/>
  <c r="AR213" i="32451"/>
  <c r="AQ163" i="32451"/>
  <c r="AR163" i="32451"/>
  <c r="AQ121" i="32451"/>
  <c r="AR121" i="32451"/>
  <c r="AQ107" i="32451"/>
  <c r="AR107" i="32451"/>
  <c r="AQ135" i="32451"/>
  <c r="AR135" i="32451"/>
  <c r="AQ131" i="32451"/>
  <c r="AR131" i="32451"/>
  <c r="AR190" i="32451"/>
  <c r="AQ190" i="32451"/>
  <c r="AQ181" i="32451"/>
  <c r="AR181" i="32451"/>
  <c r="Z255" i="32451"/>
  <c r="AQ95" i="32451"/>
  <c r="AR95" i="32451"/>
  <c r="AR240" i="32451"/>
  <c r="AQ240" i="32451"/>
  <c r="AQ76" i="32451"/>
  <c r="AR76" i="32451"/>
  <c r="AQ169" i="32451"/>
  <c r="AR169" i="32451"/>
  <c r="AR182" i="32451"/>
  <c r="AQ182" i="32451"/>
  <c r="AQ132" i="32451"/>
  <c r="AR132" i="32451"/>
  <c r="AQ149" i="32451"/>
  <c r="AR149" i="32451"/>
  <c r="AQ148" i="32451"/>
  <c r="AR148" i="32451"/>
  <c r="AQ105" i="32451"/>
  <c r="AR105" i="32451"/>
  <c r="AQ93" i="32451"/>
  <c r="AR93" i="32451"/>
  <c r="AQ140" i="32451"/>
  <c r="AR140" i="32451"/>
  <c r="AQ125" i="32451"/>
  <c r="AR125" i="32451"/>
  <c r="AQ185" i="32451"/>
  <c r="AR185" i="32451"/>
  <c r="AR170" i="32451"/>
  <c r="AQ170" i="32451"/>
  <c r="AQ92" i="32451"/>
  <c r="AR92" i="32451"/>
  <c r="AR206" i="32451"/>
  <c r="AQ206" i="32451"/>
  <c r="AR142" i="32451"/>
  <c r="AQ142" i="32451"/>
  <c r="AQ199" i="32451"/>
  <c r="AR199" i="32451"/>
  <c r="AQ212" i="32451"/>
  <c r="AR212" i="32451"/>
  <c r="AR130" i="32451"/>
  <c r="AQ130" i="32451"/>
  <c r="AR178" i="32451"/>
  <c r="AQ73" i="32451"/>
  <c r="AR73" i="32451"/>
  <c r="AR98" i="32451"/>
  <c r="AQ98" i="32451"/>
  <c r="AQ124" i="32451"/>
  <c r="AR124" i="32451"/>
  <c r="AQ88" i="32451"/>
  <c r="AR88" i="32451"/>
  <c r="AR230" i="32451"/>
  <c r="AQ230" i="32451"/>
  <c r="AR166" i="32451"/>
  <c r="AQ166" i="32451"/>
  <c r="AQ157" i="32451"/>
  <c r="AR157" i="32451"/>
  <c r="AQ151" i="32451"/>
  <c r="AR151" i="32451"/>
  <c r="AQ155" i="32451"/>
  <c r="AR155" i="32451"/>
  <c r="AQ82" i="32451"/>
  <c r="AR82" i="32451"/>
  <c r="AQ176" i="32451"/>
  <c r="AR176" i="32451"/>
  <c r="AR222" i="32451"/>
  <c r="AQ222" i="32451"/>
  <c r="AR158" i="32451"/>
  <c r="AQ158" i="32451"/>
  <c r="AQ183" i="32451"/>
  <c r="AR183" i="32451"/>
  <c r="AQ136" i="32451"/>
  <c r="AR136" i="32451"/>
  <c r="AQ708" i="32451" l="1"/>
  <c r="AR708" i="32451"/>
  <c r="AB87" i="32451"/>
  <c r="AB223" i="32451"/>
  <c r="AB184" i="32451"/>
  <c r="AB152" i="32451"/>
  <c r="AB165" i="32451"/>
  <c r="AB108" i="32451"/>
  <c r="AB103" i="32451"/>
  <c r="AB36" i="32451"/>
  <c r="AB33" i="32451"/>
  <c r="AB126" i="32451"/>
  <c r="AB174" i="32451"/>
  <c r="AB202" i="32451"/>
  <c r="AB154" i="32451"/>
  <c r="AB227" i="32451"/>
  <c r="AB171" i="32451"/>
  <c r="AB195" i="32451"/>
  <c r="AB200" i="32451"/>
  <c r="AB137" i="32451"/>
  <c r="AB587" i="32451"/>
  <c r="AB242" i="32451"/>
  <c r="AB192" i="32451"/>
  <c r="AB75" i="32451"/>
  <c r="AB164" i="32451"/>
  <c r="AB221" i="32451"/>
  <c r="AB85" i="32451"/>
  <c r="AB133" i="32451"/>
  <c r="AB128" i="32451"/>
  <c r="AB180" i="32451"/>
  <c r="AB229" i="32451"/>
  <c r="AB238" i="32451"/>
  <c r="AB215" i="32451"/>
  <c r="AB220" i="32451"/>
  <c r="AB138" i="32451"/>
  <c r="AB66" i="32451"/>
  <c r="AB178" i="32451"/>
  <c r="Z586" i="32451"/>
  <c r="Z33" i="32451"/>
  <c r="Z230" i="32451"/>
  <c r="Z185" i="32451"/>
  <c r="Z95" i="32451"/>
  <c r="Z196" i="32451"/>
  <c r="Z140" i="32451"/>
  <c r="Z166" i="32451"/>
  <c r="Z191" i="32451"/>
  <c r="Z222" i="32451"/>
  <c r="Z232" i="32451"/>
  <c r="Z204" i="32451"/>
  <c r="Z36" i="32451"/>
  <c r="Z188" i="32451"/>
  <c r="Z169" i="32451"/>
  <c r="Z98" i="32451"/>
  <c r="Z190" i="32451"/>
  <c r="Z134" i="32451"/>
  <c r="Z199" i="32451"/>
  <c r="Z93" i="32451"/>
  <c r="Z69" i="32451"/>
  <c r="Z130" i="32451"/>
  <c r="Z107" i="32451"/>
  <c r="Z187" i="32451"/>
  <c r="Z167" i="32451"/>
  <c r="Z224" i="32451"/>
  <c r="Z168" i="32451"/>
  <c r="Z240" i="32451"/>
  <c r="Z121" i="32451"/>
  <c r="Z233" i="32451"/>
  <c r="Z182" i="32451"/>
  <c r="Z214" i="32451"/>
  <c r="Z279" i="32451"/>
  <c r="Z276" i="32451"/>
  <c r="Z212" i="32451"/>
  <c r="Z247" i="32451"/>
  <c r="Z274" i="32451"/>
  <c r="Z248" i="32451"/>
  <c r="Z213" i="32451"/>
  <c r="Z277" i="32451"/>
  <c r="Z149" i="32451"/>
  <c r="Z245" i="32451"/>
  <c r="Z280" i="32451"/>
  <c r="Z278" i="32451"/>
  <c r="Z281" i="32451"/>
  <c r="Z73" i="32451"/>
  <c r="Z88" i="32451"/>
  <c r="Z155" i="32451"/>
  <c r="Z157" i="32451"/>
  <c r="Z158" i="32451"/>
  <c r="Z92" i="32451"/>
  <c r="Z105" i="32451"/>
  <c r="Z132" i="32451"/>
  <c r="Z76" i="32451"/>
  <c r="Z181" i="32451"/>
  <c r="Z131" i="32451"/>
  <c r="Z163" i="32451"/>
  <c r="Z201" i="32451"/>
  <c r="Z119" i="32451"/>
  <c r="Z99" i="32451"/>
  <c r="Z218" i="32451"/>
  <c r="Z148" i="32451"/>
  <c r="Z135" i="32451"/>
  <c r="Z160" i="32451"/>
  <c r="Z71" i="32451"/>
  <c r="Z183" i="32451"/>
  <c r="Z125" i="32451"/>
  <c r="Z124" i="32451"/>
  <c r="Z142" i="32451"/>
  <c r="Z170" i="32451"/>
  <c r="Z146" i="32451"/>
  <c r="Z82" i="32451"/>
  <c r="Z153" i="32451"/>
  <c r="Z127" i="32451"/>
  <c r="Z136" i="32451"/>
  <c r="Z176" i="32451"/>
  <c r="Z151" i="32451"/>
  <c r="Z206" i="32451"/>
  <c r="Z217" i="32451"/>
  <c r="Z235" i="32451"/>
  <c r="AQ180" i="32451"/>
  <c r="AR200" i="32451"/>
  <c r="AR103" i="32451"/>
  <c r="AR91" i="32451"/>
  <c r="AQ210" i="32451"/>
  <c r="AQ229" i="32451"/>
  <c r="AQ234" i="32451"/>
  <c r="AR229" i="32451"/>
  <c r="AQ34" i="32451"/>
  <c r="AR34" i="32451"/>
  <c r="AQ208" i="32451"/>
  <c r="AQ238" i="32451"/>
  <c r="AR234" i="32451"/>
  <c r="AQ172" i="32451"/>
  <c r="AQ137" i="32451"/>
  <c r="AQ197" i="32451"/>
  <c r="AR210" i="32451"/>
  <c r="AR220" i="32451"/>
  <c r="AQ171" i="32451"/>
  <c r="AQ75" i="32451"/>
  <c r="AR208" i="32451"/>
  <c r="AQ220" i="32451"/>
  <c r="AQ178" i="32451"/>
  <c r="AR137" i="32451"/>
  <c r="AR171" i="32451"/>
  <c r="AR172" i="32451"/>
  <c r="AR238" i="32451"/>
  <c r="AT125" i="32451"/>
  <c r="AS125" i="32451"/>
  <c r="AQ133" i="32451"/>
  <c r="AR108" i="32451"/>
  <c r="AQ91" i="32451"/>
  <c r="AQ44" i="32451"/>
  <c r="AQ159" i="32451"/>
  <c r="AR138" i="32451"/>
  <c r="AR133" i="32451"/>
  <c r="AQ231" i="32451"/>
  <c r="AQ244" i="32451"/>
  <c r="AR242" i="32451"/>
  <c r="Z246" i="32451"/>
  <c r="AR180" i="32451"/>
  <c r="AR197" i="32451"/>
  <c r="AQ59" i="32451"/>
  <c r="AQ154" i="32451"/>
  <c r="AR154" i="32451"/>
  <c r="AR156" i="32451"/>
  <c r="AQ103" i="32451"/>
  <c r="AQ156" i="32451"/>
  <c r="AR223" i="32451"/>
  <c r="AQ43" i="32451"/>
  <c r="AR165" i="32451"/>
  <c r="AR231" i="32451"/>
  <c r="AQ138" i="32451"/>
  <c r="AR159" i="32451"/>
  <c r="AQ165" i="32451"/>
  <c r="AQ242" i="32451"/>
  <c r="AR244" i="32451"/>
  <c r="AQ202" i="32451"/>
  <c r="AR59" i="32451"/>
  <c r="AQ87" i="32451"/>
  <c r="AQ236" i="32451"/>
  <c r="AR202" i="32451"/>
  <c r="AR44" i="32451"/>
  <c r="AR42" i="32451"/>
  <c r="AQ60" i="32451"/>
  <c r="AR60" i="32451"/>
  <c r="AQ108" i="32451"/>
  <c r="AQ67" i="32451"/>
  <c r="AT62" i="32451"/>
  <c r="AS62" i="32451"/>
  <c r="AS39" i="32451"/>
  <c r="AT39" i="32451"/>
  <c r="AT42" i="32451"/>
  <c r="AS42" i="32451"/>
  <c r="AS63" i="32451"/>
  <c r="AT63" i="32451"/>
  <c r="AS46" i="32451"/>
  <c r="AT46" i="32451"/>
  <c r="AS54" i="32451"/>
  <c r="AT54" i="32451"/>
  <c r="AT40" i="32451"/>
  <c r="AS40" i="32451"/>
  <c r="AS59" i="32451"/>
  <c r="AT59" i="32451"/>
  <c r="AT34" i="32451"/>
  <c r="AS34" i="32451"/>
  <c r="AT58" i="32451"/>
  <c r="AS58" i="32451"/>
  <c r="AT52" i="32451"/>
  <c r="AS52" i="32451"/>
  <c r="AS37" i="32451"/>
  <c r="AT37" i="32451"/>
  <c r="AT44" i="32451"/>
  <c r="AS44" i="32451"/>
  <c r="AS57" i="32451"/>
  <c r="AT57" i="32451"/>
  <c r="AS50" i="32451"/>
  <c r="AT50" i="32451"/>
  <c r="AT48" i="32451"/>
  <c r="AS48" i="32451"/>
  <c r="AT38" i="32451"/>
  <c r="AS38" i="32451"/>
  <c r="AT55" i="32451"/>
  <c r="AS55" i="32451"/>
  <c r="AS43" i="32451"/>
  <c r="AT43" i="32451"/>
  <c r="AS41" i="32451"/>
  <c r="AT41" i="32451"/>
  <c r="AT60" i="32451"/>
  <c r="AS60" i="32451"/>
  <c r="AS61" i="32451"/>
  <c r="AT61" i="32451"/>
  <c r="AS35" i="32451"/>
  <c r="AT35" i="32451"/>
  <c r="AT64" i="32451"/>
  <c r="AS64" i="32451"/>
  <c r="AQ128" i="32451"/>
  <c r="AQ184" i="32451"/>
  <c r="AQ152" i="32451"/>
  <c r="AT56" i="32451"/>
  <c r="AS56" i="32451"/>
  <c r="AS53" i="32451"/>
  <c r="AT53" i="32451"/>
  <c r="AS65" i="32451"/>
  <c r="AT65" i="32451"/>
  <c r="AS84" i="32451"/>
  <c r="AT84" i="32451"/>
  <c r="AS74" i="32451"/>
  <c r="AT74" i="32451"/>
  <c r="AS72" i="32451"/>
  <c r="AT72" i="32451"/>
  <c r="AS86" i="32451"/>
  <c r="AT86" i="32451"/>
  <c r="AS211" i="32451"/>
  <c r="AT211" i="32451"/>
  <c r="AT206" i="32451"/>
  <c r="AS206" i="32451"/>
  <c r="AS147" i="32451"/>
  <c r="AT147" i="32451"/>
  <c r="AT162" i="32451"/>
  <c r="AS162" i="32451"/>
  <c r="AS51" i="32451"/>
  <c r="AT51" i="32451"/>
  <c r="AS241" i="32451"/>
  <c r="AT241" i="32451"/>
  <c r="AS47" i="32451"/>
  <c r="AT47" i="32451"/>
  <c r="AS243" i="32451"/>
  <c r="AT243" i="32451"/>
  <c r="AT122" i="32451"/>
  <c r="AS122" i="32451"/>
  <c r="AS70" i="32451"/>
  <c r="AT70" i="32451"/>
  <c r="AS117" i="32451"/>
  <c r="AT117" i="32451"/>
  <c r="AS78" i="32451"/>
  <c r="AT78" i="32451"/>
  <c r="AS120" i="32451"/>
  <c r="AT120" i="32451"/>
  <c r="AT118" i="32451"/>
  <c r="AS118" i="32451"/>
  <c r="AS163" i="32451"/>
  <c r="AT163" i="32451"/>
  <c r="AS183" i="32451"/>
  <c r="AT183" i="32451"/>
  <c r="AS176" i="32451"/>
  <c r="AT176" i="32451"/>
  <c r="AT150" i="32451"/>
  <c r="AS150" i="32451"/>
  <c r="AS79" i="32451"/>
  <c r="AT79" i="32451"/>
  <c r="AS144" i="32451"/>
  <c r="AT144" i="32451"/>
  <c r="AS129" i="32451"/>
  <c r="AT129" i="32451"/>
  <c r="AS141" i="32451"/>
  <c r="AT141" i="32451"/>
  <c r="AS81" i="32451"/>
  <c r="AT81" i="32451"/>
  <c r="AS173" i="32451"/>
  <c r="AT173" i="32451"/>
  <c r="AS219" i="32451"/>
  <c r="AT219" i="32451"/>
  <c r="AS189" i="32451"/>
  <c r="AT189" i="32451"/>
  <c r="AT198" i="32451"/>
  <c r="AS198" i="32451"/>
  <c r="AS88" i="32451"/>
  <c r="AT88" i="32451"/>
  <c r="AT130" i="32451"/>
  <c r="AS130" i="32451"/>
  <c r="AS157" i="32451"/>
  <c r="AT157" i="32451"/>
  <c r="AS121" i="32451"/>
  <c r="AT121" i="32451"/>
  <c r="AS212" i="32451"/>
  <c r="AT212" i="32451"/>
  <c r="AS67" i="32451"/>
  <c r="AT67" i="32451"/>
  <c r="AS185" i="32451"/>
  <c r="AT185" i="32451"/>
  <c r="AS155" i="32451"/>
  <c r="AT155" i="32451"/>
  <c r="AS69" i="32451"/>
  <c r="AT69" i="32451"/>
  <c r="AS99" i="32451"/>
  <c r="AT99" i="32451"/>
  <c r="AT170" i="32451"/>
  <c r="AS170" i="32451"/>
  <c r="AS224" i="32451"/>
  <c r="AT224" i="32451"/>
  <c r="AS196" i="32451"/>
  <c r="AT196" i="32451"/>
  <c r="AS168" i="32451"/>
  <c r="AT168" i="32451"/>
  <c r="AS82" i="32451"/>
  <c r="AT82" i="32451"/>
  <c r="AS234" i="32451"/>
  <c r="AT234" i="32451"/>
  <c r="AS204" i="32451"/>
  <c r="AT204" i="32451"/>
  <c r="AS90" i="32451"/>
  <c r="AT90" i="32451"/>
  <c r="AS116" i="32451"/>
  <c r="AT116" i="32451"/>
  <c r="AS94" i="32451"/>
  <c r="AT94" i="32451"/>
  <c r="AS131" i="32451"/>
  <c r="AT131" i="32451"/>
  <c r="AS175" i="32451"/>
  <c r="AT175" i="32451"/>
  <c r="AT210" i="32451"/>
  <c r="AS210" i="32451"/>
  <c r="AT214" i="32451"/>
  <c r="AS214" i="32451"/>
  <c r="AS111" i="32451"/>
  <c r="AT111" i="32451"/>
  <c r="AS113" i="32451"/>
  <c r="AT113" i="32451"/>
  <c r="AS209" i="32451"/>
  <c r="AT209" i="32451"/>
  <c r="AS97" i="32451"/>
  <c r="AT97" i="32451"/>
  <c r="AS115" i="32451"/>
  <c r="AT115" i="32451"/>
  <c r="AS193" i="32451"/>
  <c r="AT193" i="32451"/>
  <c r="AS153" i="32451"/>
  <c r="AT153" i="32451"/>
  <c r="AS169" i="32451"/>
  <c r="AT169" i="32451"/>
  <c r="AS135" i="32451"/>
  <c r="AT135" i="32451"/>
  <c r="AS233" i="32451"/>
  <c r="AT233" i="32451"/>
  <c r="AS92" i="32451"/>
  <c r="AT92" i="32451"/>
  <c r="AS236" i="32451"/>
  <c r="AT236" i="32451"/>
  <c r="AS123" i="32451"/>
  <c r="AT123" i="32451"/>
  <c r="AS91" i="32451"/>
  <c r="AT91" i="32451"/>
  <c r="AS93" i="32451"/>
  <c r="AT93" i="32451"/>
  <c r="AS156" i="32451"/>
  <c r="AT156" i="32451"/>
  <c r="AS167" i="32451"/>
  <c r="AT167" i="32451"/>
  <c r="AS105" i="32451"/>
  <c r="AT105" i="32451"/>
  <c r="AS201" i="32451"/>
  <c r="AT201" i="32451"/>
  <c r="AS199" i="32451"/>
  <c r="AT199" i="32451"/>
  <c r="AS71" i="32451"/>
  <c r="AT71" i="32451"/>
  <c r="AT134" i="32451"/>
  <c r="AS134" i="32451"/>
  <c r="AT190" i="32451"/>
  <c r="AS190" i="32451"/>
  <c r="AS112" i="32451"/>
  <c r="AT112" i="32451"/>
  <c r="AS101" i="32451"/>
  <c r="AT101" i="32451"/>
  <c r="AS68" i="32451"/>
  <c r="AT68" i="32451"/>
  <c r="AS149" i="32451"/>
  <c r="AT149" i="32451"/>
  <c r="AS237" i="32451"/>
  <c r="AT237" i="32451"/>
  <c r="AT194" i="32451"/>
  <c r="AS194" i="32451"/>
  <c r="AT146" i="32451"/>
  <c r="AS146" i="32451"/>
  <c r="AS161" i="32451"/>
  <c r="AT161" i="32451"/>
  <c r="AS143" i="32451"/>
  <c r="AT143" i="32451"/>
  <c r="AS179" i="32451"/>
  <c r="AT179" i="32451"/>
  <c r="AS77" i="32451"/>
  <c r="AT77" i="32451"/>
  <c r="AT106" i="32451"/>
  <c r="AS106" i="32451"/>
  <c r="AS100" i="32451"/>
  <c r="AT100" i="32451"/>
  <c r="AT102" i="32451"/>
  <c r="AS102" i="32451"/>
  <c r="AS104" i="32451"/>
  <c r="AT104" i="32451"/>
  <c r="AS205" i="32451"/>
  <c r="AT205" i="32451"/>
  <c r="AS177" i="32451"/>
  <c r="AT177" i="32451"/>
  <c r="AS216" i="32451"/>
  <c r="AT216" i="32451"/>
  <c r="AT142" i="32451"/>
  <c r="AS142" i="32451"/>
  <c r="AT114" i="32451"/>
  <c r="AS114" i="32451"/>
  <c r="AS240" i="32451"/>
  <c r="AT240" i="32451"/>
  <c r="AS225" i="32451"/>
  <c r="AT225" i="32451"/>
  <c r="AS145" i="32451"/>
  <c r="AT145" i="32451"/>
  <c r="AT186" i="32451"/>
  <c r="AS186" i="32451"/>
  <c r="AS139" i="32451"/>
  <c r="AT139" i="32451"/>
  <c r="AS124" i="32451"/>
  <c r="AT124" i="32451"/>
  <c r="AS235" i="32451"/>
  <c r="AT235" i="32451"/>
  <c r="AS217" i="32451"/>
  <c r="AT217" i="32451"/>
  <c r="AT166" i="32451"/>
  <c r="AS166" i="32451"/>
  <c r="AS136" i="32451"/>
  <c r="AT136" i="32451"/>
  <c r="AS73" i="32451"/>
  <c r="AT73" i="32451"/>
  <c r="AT158" i="32451"/>
  <c r="AS158" i="32451"/>
  <c r="AT218" i="32451"/>
  <c r="AS218" i="32451"/>
  <c r="AS181" i="32451"/>
  <c r="AT181" i="32451"/>
  <c r="AS187" i="32451"/>
  <c r="AT187" i="32451"/>
  <c r="AS213" i="32451"/>
  <c r="AT213" i="32451"/>
  <c r="AS232" i="32451"/>
  <c r="AT232" i="32451"/>
  <c r="AS127" i="32451"/>
  <c r="AT127" i="32451"/>
  <c r="AS159" i="32451"/>
  <c r="AT159" i="32451"/>
  <c r="AS244" i="32451"/>
  <c r="AT244" i="32451"/>
  <c r="AS172" i="32451"/>
  <c r="AT172" i="32451"/>
  <c r="AS80" i="32451"/>
  <c r="AT80" i="32451"/>
  <c r="AS96" i="32451"/>
  <c r="AT96" i="32451"/>
  <c r="AT110" i="32451"/>
  <c r="AS110" i="32451"/>
  <c r="AS45" i="32451"/>
  <c r="AT45" i="32451"/>
  <c r="AS83" i="32451"/>
  <c r="AT83" i="32451"/>
  <c r="AT226" i="32451"/>
  <c r="AS226" i="32451"/>
  <c r="AS98" i="32451"/>
  <c r="AT98" i="32451"/>
  <c r="AS49" i="32451"/>
  <c r="AT49" i="32451"/>
  <c r="AS207" i="32451"/>
  <c r="AT207" i="32451"/>
  <c r="AS239" i="32451"/>
  <c r="AT239" i="32451"/>
  <c r="AS109" i="32451"/>
  <c r="AT109" i="32451"/>
  <c r="AS197" i="32451"/>
  <c r="AT197" i="32451"/>
  <c r="AS228" i="32451"/>
  <c r="AT228" i="32451"/>
  <c r="AS89" i="32451"/>
  <c r="AT89" i="32451"/>
  <c r="AS203" i="32451"/>
  <c r="AT203" i="32451"/>
  <c r="AS140" i="32451"/>
  <c r="AT140" i="32451"/>
  <c r="AS208" i="32451"/>
  <c r="AT208" i="32451"/>
  <c r="AT222" i="32451"/>
  <c r="AS222" i="32451"/>
  <c r="AS132" i="32451"/>
  <c r="AT132" i="32451"/>
  <c r="AS160" i="32451"/>
  <c r="AT160" i="32451"/>
  <c r="AS191" i="32451"/>
  <c r="AT191" i="32451"/>
  <c r="AS95" i="32451"/>
  <c r="AT95" i="32451"/>
  <c r="AT182" i="32451"/>
  <c r="AS182" i="32451"/>
  <c r="AS148" i="32451"/>
  <c r="AT148" i="32451"/>
  <c r="AS188" i="32451"/>
  <c r="AT188" i="32451"/>
  <c r="AS230" i="32451"/>
  <c r="AT230" i="32451"/>
  <c r="AS107" i="32451"/>
  <c r="AT107" i="32451"/>
  <c r="AS231" i="32451"/>
  <c r="AT231" i="32451"/>
  <c r="AS119" i="32451"/>
  <c r="AT119" i="32451"/>
  <c r="AS151" i="32451"/>
  <c r="AT151" i="32451"/>
  <c r="AS76" i="32451"/>
  <c r="AT76" i="32451"/>
  <c r="AR128" i="32451"/>
  <c r="AQ223" i="32451"/>
  <c r="AR195" i="32451"/>
  <c r="AQ195" i="32451"/>
  <c r="AQ162" i="32451"/>
  <c r="AR162" i="32451"/>
  <c r="AR161" i="32451"/>
  <c r="AR43" i="32451"/>
  <c r="AR152" i="32451"/>
  <c r="AQ85" i="32451"/>
  <c r="AR85" i="32451"/>
  <c r="AR184" i="32451"/>
  <c r="AR236" i="32451"/>
  <c r="AK587" i="32451"/>
  <c r="AQ215" i="32451"/>
  <c r="AQ221" i="32451"/>
  <c r="AQ186" i="32451"/>
  <c r="AR61" i="32451"/>
  <c r="AR67" i="32451"/>
  <c r="AR87" i="32451"/>
  <c r="AR75" i="32451"/>
  <c r="AR215" i="32451"/>
  <c r="AR221" i="32451"/>
  <c r="AR186" i="32451"/>
  <c r="AQ200" i="32451"/>
  <c r="AQ61" i="32451"/>
  <c r="AQ37" i="32451"/>
  <c r="AQ35" i="32451"/>
  <c r="AQ42" i="32451"/>
  <c r="AQ161" i="32451"/>
  <c r="AR37" i="32451"/>
  <c r="AR35" i="32451"/>
  <c r="AQ63" i="32451"/>
  <c r="AR55" i="32451"/>
  <c r="AQ53" i="32451"/>
  <c r="AQ39" i="32451"/>
  <c r="AQ41" i="32451"/>
  <c r="AR57" i="32451"/>
  <c r="AR139" i="32451"/>
  <c r="AQ126" i="32451"/>
  <c r="AQ66" i="32451"/>
  <c r="AR192" i="32451"/>
  <c r="AQ189" i="32451"/>
  <c r="AQ89" i="32451"/>
  <c r="AR198" i="32451"/>
  <c r="AQ174" i="32451"/>
  <c r="AQ150" i="32451"/>
  <c r="AR219" i="32451"/>
  <c r="AQ227" i="32451"/>
  <c r="AQ123" i="32451"/>
  <c r="AR144" i="32451"/>
  <c r="AQ226" i="32451"/>
  <c r="AR194" i="32451"/>
  <c r="AQ203" i="32451"/>
  <c r="AQ179" i="32451"/>
  <c r="AQ205" i="32451"/>
  <c r="AQ193" i="32451"/>
  <c r="AR225" i="32451"/>
  <c r="AR113" i="32451"/>
  <c r="AQ207" i="32451"/>
  <c r="AQ83" i="32451"/>
  <c r="AQ115" i="32451"/>
  <c r="AR239" i="32451"/>
  <c r="AQ49" i="32451"/>
  <c r="AQ211" i="32451"/>
  <c r="AQ47" i="32451"/>
  <c r="AR177" i="32451"/>
  <c r="AQ143" i="32451"/>
  <c r="AQ175" i="32451"/>
  <c r="AR237" i="32451"/>
  <c r="AR97" i="32451"/>
  <c r="AR51" i="32451"/>
  <c r="AR141" i="32451"/>
  <c r="G33" i="32451"/>
  <c r="AQ57" i="32451"/>
  <c r="AR41" i="32451"/>
  <c r="AR53" i="32451"/>
  <c r="AR39" i="32451"/>
  <c r="AQ55" i="32451"/>
  <c r="AR63" i="32451"/>
  <c r="AQ198" i="32451"/>
  <c r="AQ114" i="32451"/>
  <c r="AR150" i="32451"/>
  <c r="AR114" i="32451"/>
  <c r="AR123" i="32451"/>
  <c r="AR227" i="32451"/>
  <c r="AR126" i="32451"/>
  <c r="Z257" i="32451"/>
  <c r="AQ219" i="32451"/>
  <c r="AR174" i="32451"/>
  <c r="AR203" i="32451"/>
  <c r="AQ97" i="32451"/>
  <c r="AL586" i="32451"/>
  <c r="AR189" i="32451"/>
  <c r="AQ192" i="32451"/>
  <c r="AQ139" i="32451"/>
  <c r="AQ164" i="32451"/>
  <c r="AQ194" i="32451"/>
  <c r="AR66" i="32451"/>
  <c r="AR226" i="32451"/>
  <c r="AR47" i="32451"/>
  <c r="AR143" i="32451"/>
  <c r="AR211" i="32451"/>
  <c r="AQ228" i="32451"/>
  <c r="AR228" i="32451"/>
  <c r="AQ113" i="32451"/>
  <c r="AR164" i="32451"/>
  <c r="AQ141" i="32451"/>
  <c r="AR65" i="32451"/>
  <c r="AQ51" i="32451"/>
  <c r="AR77" i="32451"/>
  <c r="AR175" i="32451"/>
  <c r="AQ111" i="32451"/>
  <c r="AQ77" i="32451"/>
  <c r="AR241" i="32451"/>
  <c r="AR145" i="32451"/>
  <c r="AR89" i="32451"/>
  <c r="AR179" i="32451"/>
  <c r="AQ241" i="32451"/>
  <c r="AQ177" i="32451"/>
  <c r="AQ216" i="32451"/>
  <c r="AQ145" i="32451"/>
  <c r="AR109" i="32451"/>
  <c r="AR216" i="32451"/>
  <c r="AR49" i="32451"/>
  <c r="AQ144" i="32451"/>
  <c r="AR209" i="32451"/>
  <c r="AQ65" i="32451"/>
  <c r="AQ209" i="32451"/>
  <c r="AQ243" i="32451"/>
  <c r="AR173" i="32451"/>
  <c r="AR207" i="32451"/>
  <c r="AQ225" i="32451"/>
  <c r="AR111" i="32451"/>
  <c r="AQ109" i="32451"/>
  <c r="AR79" i="32451"/>
  <c r="AQ79" i="32451"/>
  <c r="AQ237" i="32451"/>
  <c r="AR147" i="32451"/>
  <c r="AR129" i="32451"/>
  <c r="AR243" i="32451"/>
  <c r="AR81" i="32451"/>
  <c r="AR115" i="32451"/>
  <c r="AQ147" i="32451"/>
  <c r="AR83" i="32451"/>
  <c r="AQ81" i="32451"/>
  <c r="AQ129" i="32451"/>
  <c r="AR205" i="32451"/>
  <c r="AR193" i="32451"/>
  <c r="AQ239" i="32451"/>
  <c r="AQ173" i="32451"/>
  <c r="AR45" i="32451"/>
  <c r="AQ45" i="32451"/>
  <c r="AR40" i="32451"/>
  <c r="AQ40" i="32451"/>
  <c r="AR38" i="32451"/>
  <c r="AQ38" i="32451"/>
  <c r="AQ112" i="32451"/>
  <c r="AR112" i="32451"/>
  <c r="AQ116" i="32451"/>
  <c r="AR116" i="32451"/>
  <c r="AR106" i="32451"/>
  <c r="AQ106" i="32451"/>
  <c r="AQ100" i="32451"/>
  <c r="AR100" i="32451"/>
  <c r="AQ46" i="32451"/>
  <c r="AR46" i="32451"/>
  <c r="AR102" i="32451"/>
  <c r="AQ102" i="32451"/>
  <c r="AR94" i="32451"/>
  <c r="AQ94" i="32451"/>
  <c r="AQ117" i="32451"/>
  <c r="AR117" i="32451"/>
  <c r="AQ86" i="32451"/>
  <c r="AR86" i="32451"/>
  <c r="AQ90" i="32451"/>
  <c r="AR90" i="32451"/>
  <c r="AQ104" i="32451"/>
  <c r="AR104" i="32451"/>
  <c r="AQ68" i="32451"/>
  <c r="AR68" i="32451"/>
  <c r="AQ58" i="32451"/>
  <c r="AR58" i="32451"/>
  <c r="AQ64" i="32451"/>
  <c r="AR64" i="32451"/>
  <c r="AQ74" i="32451"/>
  <c r="AR74" i="32451"/>
  <c r="AQ96" i="32451"/>
  <c r="AR96" i="32451"/>
  <c r="AR122" i="32451"/>
  <c r="AQ122" i="32451"/>
  <c r="AR118" i="32451"/>
  <c r="AQ118" i="32451"/>
  <c r="AQ52" i="32451"/>
  <c r="AR52" i="32451"/>
  <c r="AQ70" i="32451"/>
  <c r="AR70" i="32451"/>
  <c r="AQ48" i="32451"/>
  <c r="AR48" i="32451"/>
  <c r="AQ56" i="32451"/>
  <c r="AR56" i="32451"/>
  <c r="AQ72" i="32451"/>
  <c r="AR72" i="32451"/>
  <c r="AR110" i="32451"/>
  <c r="AQ110" i="32451"/>
  <c r="AQ80" i="32451"/>
  <c r="AR80" i="32451"/>
  <c r="AQ84" i="32451"/>
  <c r="AR84" i="32451"/>
  <c r="AQ78" i="32451"/>
  <c r="AR78" i="32451"/>
  <c r="AQ120" i="32451"/>
  <c r="AR120" i="32451"/>
  <c r="AQ54" i="32451"/>
  <c r="AR54" i="32451"/>
  <c r="AQ50" i="32451"/>
  <c r="AR50" i="32451"/>
  <c r="AQ62" i="32451"/>
  <c r="AR62" i="32451"/>
  <c r="AQ101" i="32451"/>
  <c r="AR101" i="32451"/>
  <c r="AB41" i="32451" l="1"/>
  <c r="AB37" i="32451"/>
  <c r="AB59" i="32451"/>
  <c r="AB63" i="32451"/>
  <c r="AB52" i="32451"/>
  <c r="AB40" i="32451"/>
  <c r="AB61" i="32451"/>
  <c r="AB57" i="32451"/>
  <c r="AB54" i="32451"/>
  <c r="AB39" i="32451"/>
  <c r="AB42" i="32451"/>
  <c r="AB56" i="32451"/>
  <c r="AB46" i="32451"/>
  <c r="AB53" i="32451"/>
  <c r="AB35" i="32451"/>
  <c r="AB43" i="32451"/>
  <c r="AB60" i="32451"/>
  <c r="AB38" i="32451"/>
  <c r="AB44" i="32451"/>
  <c r="AB34" i="32451"/>
  <c r="AB62" i="32451"/>
  <c r="AB65" i="32451"/>
  <c r="AB64" i="32451"/>
  <c r="AB48" i="32451"/>
  <c r="AB50" i="32451"/>
  <c r="AB55" i="32451"/>
  <c r="AB58" i="32451"/>
  <c r="Z241" i="32451"/>
  <c r="Z220" i="32451"/>
  <c r="Z144" i="32451"/>
  <c r="AB231" i="32451"/>
  <c r="AB148" i="32451"/>
  <c r="AB160" i="32451"/>
  <c r="AB140" i="32451"/>
  <c r="AB197" i="32451"/>
  <c r="AB49" i="32451"/>
  <c r="AB45" i="32451"/>
  <c r="AB172" i="32451"/>
  <c r="AB232" i="32451"/>
  <c r="AB139" i="32451"/>
  <c r="AB240" i="32451"/>
  <c r="AB177" i="32451"/>
  <c r="AB100" i="32451"/>
  <c r="AB143" i="32451"/>
  <c r="AB237" i="32451"/>
  <c r="AB112" i="32451"/>
  <c r="AB199" i="32451"/>
  <c r="AB156" i="32451"/>
  <c r="AB236" i="32451"/>
  <c r="AB169" i="32451"/>
  <c r="AB97" i="32451"/>
  <c r="AB94" i="32451"/>
  <c r="AB234" i="32451"/>
  <c r="AB224" i="32451"/>
  <c r="AB155" i="32451"/>
  <c r="AB121" i="32451"/>
  <c r="AB81" i="32451"/>
  <c r="AB79" i="32451"/>
  <c r="AB183" i="32451"/>
  <c r="AB78" i="32451"/>
  <c r="AB243" i="32451"/>
  <c r="AB86" i="32451"/>
  <c r="AB182" i="32451"/>
  <c r="AB110" i="32451"/>
  <c r="AB158" i="32451"/>
  <c r="AB186" i="32451"/>
  <c r="AB114" i="32451"/>
  <c r="AB106" i="32451"/>
  <c r="AB190" i="32451"/>
  <c r="AB210" i="32451"/>
  <c r="AB170" i="32451"/>
  <c r="AB150" i="32451"/>
  <c r="AB125" i="32451"/>
  <c r="AB222" i="32451"/>
  <c r="AB226" i="32451"/>
  <c r="AB142" i="32451"/>
  <c r="AB146" i="32451"/>
  <c r="AB134" i="32451"/>
  <c r="AB130" i="32451"/>
  <c r="AB118" i="32451"/>
  <c r="AB206" i="32451"/>
  <c r="AB119" i="32451"/>
  <c r="AB188" i="32451"/>
  <c r="AB191" i="32451"/>
  <c r="AB208" i="32451"/>
  <c r="AB228" i="32451"/>
  <c r="AB207" i="32451"/>
  <c r="AB83" i="32451"/>
  <c r="AB80" i="32451"/>
  <c r="AB127" i="32451"/>
  <c r="AB181" i="32451"/>
  <c r="AB136" i="32451"/>
  <c r="AB124" i="32451"/>
  <c r="AB225" i="32451"/>
  <c r="AB216" i="32451"/>
  <c r="AB179" i="32451"/>
  <c r="AB101" i="32451"/>
  <c r="AB71" i="32451"/>
  <c r="AB167" i="32451"/>
  <c r="AB123" i="32451"/>
  <c r="AB135" i="32451"/>
  <c r="AB115" i="32451"/>
  <c r="AB111" i="32451"/>
  <c r="AB131" i="32451"/>
  <c r="AB204" i="32451"/>
  <c r="AB196" i="32451"/>
  <c r="AB69" i="32451"/>
  <c r="AB212" i="32451"/>
  <c r="AB88" i="32451"/>
  <c r="AB173" i="32451"/>
  <c r="AB144" i="32451"/>
  <c r="AB586" i="32451"/>
  <c r="AB120" i="32451"/>
  <c r="AB51" i="32451"/>
  <c r="AB76" i="32451"/>
  <c r="AB107" i="32451"/>
  <c r="AB132" i="32451"/>
  <c r="AB203" i="32451"/>
  <c r="AB109" i="32451"/>
  <c r="AB98" i="32451"/>
  <c r="AB244" i="32451"/>
  <c r="AB213" i="32451"/>
  <c r="AB217" i="32451"/>
  <c r="AB205" i="32451"/>
  <c r="AB161" i="32451"/>
  <c r="AB149" i="32451"/>
  <c r="AB201" i="32451"/>
  <c r="AB93" i="32451"/>
  <c r="AB92" i="32451"/>
  <c r="AB153" i="32451"/>
  <c r="AB209" i="32451"/>
  <c r="AB116" i="32451"/>
  <c r="AB82" i="32451"/>
  <c r="AB185" i="32451"/>
  <c r="AB157" i="32451"/>
  <c r="AB189" i="32451"/>
  <c r="AB141" i="32451"/>
  <c r="AB163" i="32451"/>
  <c r="AB117" i="32451"/>
  <c r="AB47" i="32451"/>
  <c r="AB147" i="32451"/>
  <c r="AB72" i="32451"/>
  <c r="AB151" i="32451"/>
  <c r="AB230" i="32451"/>
  <c r="AB95" i="32451"/>
  <c r="AB89" i="32451"/>
  <c r="AB239" i="32451"/>
  <c r="AB96" i="32451"/>
  <c r="AB159" i="32451"/>
  <c r="AB187" i="32451"/>
  <c r="AB73" i="32451"/>
  <c r="AB235" i="32451"/>
  <c r="AB145" i="32451"/>
  <c r="AB104" i="32451"/>
  <c r="AB77" i="32451"/>
  <c r="AB68" i="32451"/>
  <c r="AB105" i="32451"/>
  <c r="AB91" i="32451"/>
  <c r="AB233" i="32451"/>
  <c r="AB193" i="32451"/>
  <c r="AB113" i="32451"/>
  <c r="AB175" i="32451"/>
  <c r="AB90" i="32451"/>
  <c r="AB168" i="32451"/>
  <c r="AB99" i="32451"/>
  <c r="AB67" i="32451"/>
  <c r="AB219" i="32451"/>
  <c r="AB129" i="32451"/>
  <c r="AB176" i="32451"/>
  <c r="AB70" i="32451"/>
  <c r="AB241" i="32451"/>
  <c r="AB74" i="32451"/>
  <c r="AB102" i="32451"/>
  <c r="AB194" i="32451"/>
  <c r="AB122" i="32451"/>
  <c r="AB211" i="32451"/>
  <c r="AB84" i="32451"/>
  <c r="AB218" i="32451"/>
  <c r="AB166" i="32451"/>
  <c r="AB214" i="32451"/>
  <c r="AB198" i="32451"/>
  <c r="AB162" i="32451"/>
  <c r="Z587" i="32451"/>
  <c r="Z198" i="32451"/>
  <c r="Z200" i="32451"/>
  <c r="Z194" i="32451"/>
  <c r="Z70" i="32451"/>
  <c r="Z122" i="32451"/>
  <c r="Z42" i="32451"/>
  <c r="Z228" i="32451"/>
  <c r="Z60" i="32451"/>
  <c r="Z62" i="32451"/>
  <c r="Z192" i="32451"/>
  <c r="Z102" i="32451"/>
  <c r="Z106" i="32451"/>
  <c r="Z108" i="32451"/>
  <c r="Z38" i="32451"/>
  <c r="Z55" i="32451"/>
  <c r="Z61" i="32451"/>
  <c r="Z103" i="32451"/>
  <c r="Z40" i="32451"/>
  <c r="Z139" i="32451"/>
  <c r="Z219" i="32451"/>
  <c r="Z39" i="32451"/>
  <c r="Z43" i="32451"/>
  <c r="Z59" i="32451"/>
  <c r="Z44" i="32451"/>
  <c r="Z64" i="32451"/>
  <c r="Z35" i="32451"/>
  <c r="Z52" i="32451"/>
  <c r="Z57" i="32451"/>
  <c r="Z37" i="32451"/>
  <c r="Z34" i="32451"/>
  <c r="Z48" i="32451"/>
  <c r="Z58" i="32451"/>
  <c r="Z46" i="32451"/>
  <c r="Z41" i="32451"/>
  <c r="Z162" i="32451"/>
  <c r="Z78" i="32451"/>
  <c r="Z94" i="32451"/>
  <c r="Z234" i="32451"/>
  <c r="Z68" i="32451"/>
  <c r="Z161" i="32451"/>
  <c r="Z97" i="32451"/>
  <c r="Z225" i="32451"/>
  <c r="Z65" i="32451"/>
  <c r="Z63" i="32451"/>
  <c r="Z112" i="32451"/>
  <c r="Z50" i="32451"/>
  <c r="Z54" i="32451"/>
  <c r="Z120" i="32451"/>
  <c r="Z56" i="32451"/>
  <c r="Z113" i="32451"/>
  <c r="Z177" i="32451"/>
  <c r="Z109" i="32451"/>
  <c r="Z239" i="32451"/>
  <c r="Z271" i="32451"/>
  <c r="Z145" i="32451"/>
  <c r="Z269" i="32451"/>
  <c r="Z275" i="32451"/>
  <c r="Z273" i="32451"/>
  <c r="Z209" i="32451"/>
  <c r="Z53" i="32451"/>
  <c r="Z173" i="32451"/>
  <c r="Z141" i="32451"/>
  <c r="Z237" i="32451"/>
  <c r="Z101" i="32451"/>
  <c r="Z96" i="32451"/>
  <c r="Z117" i="32451"/>
  <c r="Z114" i="32451"/>
  <c r="Z91" i="32451"/>
  <c r="Z223" i="32451"/>
  <c r="Z90" i="32451"/>
  <c r="Z229" i="32451"/>
  <c r="Z147" i="32451"/>
  <c r="Z85" i="32451"/>
  <c r="Z84" i="32451"/>
  <c r="Z86" i="32451"/>
  <c r="Z51" i="32451"/>
  <c r="Z165" i="32451"/>
  <c r="Z238" i="32451"/>
  <c r="Z210" i="32451"/>
  <c r="Z81" i="32451"/>
  <c r="Z77" i="32451"/>
  <c r="Z195" i="32451"/>
  <c r="Z242" i="32451"/>
  <c r="Z208" i="32451"/>
  <c r="Z175" i="32451"/>
  <c r="Z83" i="32451"/>
  <c r="Z189" i="32451"/>
  <c r="Z215" i="32451"/>
  <c r="Z184" i="32451"/>
  <c r="Z156" i="32451"/>
  <c r="Z154" i="32451"/>
  <c r="Z231" i="32451"/>
  <c r="Z159" i="32451"/>
  <c r="Z80" i="32451"/>
  <c r="Z143" i="32451"/>
  <c r="Z207" i="32451"/>
  <c r="Z179" i="32451"/>
  <c r="Z123" i="32451"/>
  <c r="Z67" i="32451"/>
  <c r="Z87" i="32451"/>
  <c r="Z244" i="32451"/>
  <c r="Z75" i="32451"/>
  <c r="Z216" i="32451"/>
  <c r="Z227" i="32451"/>
  <c r="Z66" i="32451"/>
  <c r="Z171" i="32451"/>
  <c r="Z172" i="32451"/>
  <c r="Z110" i="32451"/>
  <c r="Z104" i="32451"/>
  <c r="Z45" i="32451"/>
  <c r="Z129" i="32451"/>
  <c r="Z79" i="32451"/>
  <c r="Z47" i="32451"/>
  <c r="Z203" i="32451"/>
  <c r="Z126" i="32451"/>
  <c r="Z236" i="32451"/>
  <c r="Z178" i="32451"/>
  <c r="Z211" i="32451"/>
  <c r="Z150" i="32451"/>
  <c r="Z133" i="32451"/>
  <c r="Z180" i="32451"/>
  <c r="Z118" i="32451"/>
  <c r="Z116" i="32451"/>
  <c r="Z111" i="32451"/>
  <c r="Z164" i="32451"/>
  <c r="Z49" i="32451"/>
  <c r="Z193" i="32451"/>
  <c r="Z174" i="32451"/>
  <c r="Z128" i="32451"/>
  <c r="Z205" i="32451"/>
  <c r="Z186" i="32451"/>
  <c r="Z197" i="32451"/>
  <c r="Z72" i="32451"/>
  <c r="Z74" i="32451"/>
  <c r="Z100" i="32451"/>
  <c r="Z243" i="32451"/>
  <c r="Z115" i="32451"/>
  <c r="Z226" i="32451"/>
  <c r="Z89" i="32451"/>
  <c r="Z221" i="32451"/>
  <c r="Z152" i="32451"/>
  <c r="Z202" i="32451"/>
  <c r="Z138" i="32451"/>
  <c r="Z137" i="32451"/>
  <c r="AA19" i="32451"/>
  <c r="H15" i="32451"/>
  <c r="Z708" i="32451" l="1"/>
  <c r="O32" i="32451" s="1"/>
  <c r="I123" i="32488"/>
  <c r="AB708" i="32451"/>
  <c r="F17" i="32457" l="1"/>
  <c r="G17" i="32457" s="1"/>
  <c r="I17" i="32457" s="1"/>
  <c r="P15" i="32451"/>
  <c r="AA17" i="32451"/>
  <c r="J15" i="32451"/>
  <c r="AG19" i="32451" l="1"/>
  <c r="AI19" i="32451"/>
  <c r="I125" i="32488" l="1"/>
  <c r="F19" i="32457"/>
  <c r="G19" i="32457" s="1"/>
  <c r="I19" i="32457" s="1"/>
  <c r="AK19" i="32451"/>
  <c r="M19" i="32451"/>
  <c r="AG17" i="32451"/>
  <c r="AI17" i="32451"/>
  <c r="F16" i="32457" l="1"/>
  <c r="G16" i="32457" s="1"/>
  <c r="I16" i="32457" s="1"/>
  <c r="M17" i="32451"/>
  <c r="AK17" i="32451"/>
  <c r="AO33" i="32451" l="1"/>
  <c r="D2" i="32498" s="1"/>
  <c r="C2" i="32498" s="1"/>
  <c r="Z6" i="32494" l="1"/>
  <c r="AD6" i="32494" l="1"/>
  <c r="AC6" i="32494"/>
  <c r="AG6" i="32494" l="1"/>
  <c r="AH6" i="32494" s="1"/>
  <c r="L55" i="32488" s="1"/>
  <c r="B60" i="32488" l="1"/>
  <c r="L60" i="3248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<sst xmlns="http://schemas.openxmlformats.org/spreadsheetml/2006/main" count="76535" uniqueCount="31516">
  <si>
    <t>ctrtot-ba-cy</t>
  </si>
  <si>
    <t>spexpense-ba-cy</t>
  </si>
  <si>
    <t>locprecept-ba-cy</t>
  </si>
  <si>
    <t>ctrlevy-ba-cy</t>
  </si>
  <si>
    <t>ctrtaxbase-ba-cy</t>
  </si>
  <si>
    <t>collrate-ba-cy</t>
  </si>
  <si>
    <t>ctrclasso-ba-cy</t>
  </si>
  <si>
    <t>ascprecept-ba</t>
  </si>
  <si>
    <t>ctreferprinc-reorg</t>
  </si>
  <si>
    <t>ctrtaxbandadj-pa-a-cy</t>
  </si>
  <si>
    <t>ctrtaxbandadj-pa-b-cy</t>
  </si>
  <si>
    <t>ctrtaxbandadj-pa-c-cy</t>
  </si>
  <si>
    <t>ctrtaxbandadj-pa-d-cy</t>
  </si>
  <si>
    <t>ctrtaxbandadj-pa-e-cy</t>
  </si>
  <si>
    <t>ctrtaxbandadj-pa-f-cy</t>
  </si>
  <si>
    <t>ctrtaxbandadj-pa-g-cy</t>
  </si>
  <si>
    <t>avebanddincpp-pa-a-cy</t>
  </si>
  <si>
    <t>avebanddincpp-pa-b-cy</t>
  </si>
  <si>
    <t>avebanddincpp-pa-c-cy</t>
  </si>
  <si>
    <t>avebanddincpp-pa-d-cy</t>
  </si>
  <si>
    <t>avebanddincpp-pa-e-cy</t>
  </si>
  <si>
    <t>avebanddincpp-pa-f-cy</t>
  </si>
  <si>
    <t>avebanddincpp-pa-g-cy</t>
  </si>
  <si>
    <t>avebanddincpp-reorg-cy</t>
  </si>
  <si>
    <t>avebanddexcpp-pa-a-cy</t>
  </si>
  <si>
    <t>avebanddexcpp-pa-b-cy</t>
  </si>
  <si>
    <t>avebanddexcpp-pa-c-cy</t>
  </si>
  <si>
    <t>avebanddexcpp-pa-d-cy</t>
  </si>
  <si>
    <t>avebanddexcpp-pa-e-cy</t>
  </si>
  <si>
    <t>avebanddexcpp-pa-f-cy</t>
  </si>
  <si>
    <t>avebanddexcpp-pa-g-cy</t>
  </si>
  <si>
    <t>avebanddexcpp-reorg-cy</t>
  </si>
  <si>
    <t>ascprecept-pa-a-cy</t>
  </si>
  <si>
    <t>ascprecept-pa-b-cy</t>
  </si>
  <si>
    <t>ascprecept-pa-c-cy</t>
  </si>
  <si>
    <t>ascprecept-pa-d-cy</t>
  </si>
  <si>
    <t>ascprecept-pa-e-cy</t>
  </si>
  <si>
    <t>ascprecept-pa-f-cy</t>
  </si>
  <si>
    <t>ascprecept-pa-g-cy</t>
  </si>
  <si>
    <t>ascprecept-reorg-cy</t>
  </si>
  <si>
    <t>ctrefer-ba</t>
  </si>
  <si>
    <t>ctreferoth-ba</t>
  </si>
  <si>
    <t>ct-precept-sc</t>
  </si>
  <si>
    <t>ct-precept-pol</t>
  </si>
  <si>
    <t>ct-precept-fra</t>
  </si>
  <si>
    <t>ct-precept-ca</t>
  </si>
  <si>
    <t>allparish-num</t>
  </si>
  <si>
    <t>allparish-ctb</t>
  </si>
  <si>
    <t>ctrustee-num</t>
  </si>
  <si>
    <t>ctrustee-ctb</t>
  </si>
  <si>
    <t>totlocprecept-num</t>
  </si>
  <si>
    <t>totlocprecept-ctb</t>
  </si>
  <si>
    <t>parishcode</t>
  </si>
  <si>
    <t>parishname</t>
  </si>
  <si>
    <t>parishname-amend</t>
  </si>
  <si>
    <t>parishname-new</t>
  </si>
  <si>
    <t>parishtype</t>
  </si>
  <si>
    <t>parishname-delete</t>
  </si>
  <si>
    <t>precept-par-cy</t>
  </si>
  <si>
    <t>taxbase-par-cy</t>
  </si>
  <si>
    <t>avebandd-par-cy</t>
  </si>
  <si>
    <t>precept-par-py</t>
  </si>
  <si>
    <t>taxbase-par-py</t>
  </si>
  <si>
    <t>avebandd-par-py</t>
  </si>
  <si>
    <t>validation-confirm</t>
  </si>
  <si>
    <t>validation-confirm-v</t>
  </si>
  <si>
    <t>COUNCIL TAX REQUIREMENT RETURN (CTR1)</t>
  </si>
  <si>
    <t>2026-27</t>
  </si>
  <si>
    <t>This Excel form has been provided to aid the transition to the DELTA data collection system. Excel forms will not be accepted.</t>
  </si>
  <si>
    <t>Please enter your details after checking that you have selected the correct authority name.</t>
  </si>
  <si>
    <t>This form should be completed on DELTA and submitted and certified.
The form should be received by the Ministry of Housing, Communities and Local Government (MHCLG) as soon as practicable
and in any event not later than the end of a period of seven days beginning with the day on which the authority calculates its
council tax requirement in accordance with section 32 of the Local Government Finance Act 1992.
If the authority has already set its council tax, it should return the form within seven days of receipt.</t>
  </si>
  <si>
    <t>Ver</t>
  </si>
  <si>
    <t>1.1</t>
  </si>
  <si>
    <t xml:space="preserve">These instructions highlight the special features of the form and should be read in conjunction </t>
  </si>
  <si>
    <r>
      <t>with the</t>
    </r>
    <r>
      <rPr>
        <b/>
        <i/>
        <sz val="12"/>
        <rFont val="Arial"/>
        <family val="2"/>
      </rPr>
      <t xml:space="preserve"> CTR1 Guidance Notes, Validation Notes and Data Upload Guidance</t>
    </r>
    <r>
      <rPr>
        <b/>
        <sz val="12"/>
        <rFont val="Arial"/>
        <family val="2"/>
      </rPr>
      <t>.</t>
    </r>
  </si>
  <si>
    <t>Completing the Main Billing form</t>
  </si>
  <si>
    <t>1. The form can be set up for each individual local authority by selecting the appropriate authority name from the list. The example shows the local authority ZZZZ.  Once a local authority name is selected the spreadsheet will automatically fill in data where data are known.</t>
  </si>
  <si>
    <t xml:space="preserve">2.  There are three types of cell: </t>
  </si>
  <si>
    <r>
      <t xml:space="preserve">White, black border - these cells are blank for new data - </t>
    </r>
    <r>
      <rPr>
        <b/>
        <i/>
        <u/>
        <sz val="11"/>
        <rFont val="Arial"/>
        <family val="2"/>
      </rPr>
      <t>Please ensure all the white cells are filled in before submitting the form</t>
    </r>
    <r>
      <rPr>
        <b/>
        <i/>
        <sz val="11"/>
        <rFont val="Arial"/>
        <family val="2"/>
      </rPr>
      <t>.</t>
    </r>
  </si>
  <si>
    <r>
      <t xml:space="preserve">White, green border - These cells are all calculations and have the appropriate formula.  There should be </t>
    </r>
    <r>
      <rPr>
        <b/>
        <i/>
        <u/>
        <sz val="11"/>
        <rFont val="Arial"/>
        <family val="2"/>
      </rPr>
      <t>no need</t>
    </r>
    <r>
      <rPr>
        <b/>
        <i/>
        <sz val="11"/>
        <rFont val="Arial"/>
        <family val="2"/>
      </rPr>
      <t xml:space="preserve"> to overwrite these cells.</t>
    </r>
  </si>
  <si>
    <t>White, blue border - These cells will be completed with data already known to the MHCLG.</t>
  </si>
  <si>
    <t>Checking the Validation Sheet</t>
  </si>
  <si>
    <t>3.   Once the form is complete go to the Validation sheet and check if any of the data requires any further explanation. These validations on year on year changes will be applied in the DELTA form. Some checks compare data within the Excel form to ensure calculations have not been overwritten. Other checks compare the data with the CTR1 25-26 and if the change is higher or lower than we would normally expect, you are required to give an explanation for the change in the box provided.  If the box is grey (not visible in DELTA) then no explanation is required. For further details on the types of checks we do see the CTR Validation Notes.</t>
  </si>
  <si>
    <t xml:space="preserve">    </t>
  </si>
  <si>
    <t>Certifying the Form</t>
  </si>
  <si>
    <r>
      <t xml:space="preserve">4.   </t>
    </r>
    <r>
      <rPr>
        <b/>
        <u/>
        <sz val="11"/>
        <rFont val="Arial"/>
        <family val="2"/>
      </rPr>
      <t xml:space="preserve">Please complete the form on our online data collection system, DELTA </t>
    </r>
    <r>
      <rPr>
        <sz val="11"/>
        <rFont val="Arial"/>
        <family val="2"/>
      </rPr>
      <t xml:space="preserve">as soon as practicable and in any event not later than the end of a period of </t>
    </r>
    <r>
      <rPr>
        <b/>
        <sz val="11"/>
        <rFont val="Arial"/>
        <family val="2"/>
      </rPr>
      <t>seven days</t>
    </r>
    <r>
      <rPr>
        <sz val="11"/>
        <rFont val="Arial"/>
        <family val="2"/>
      </rPr>
      <t xml:space="preserve"> beginning with the day on which the authority calculates its council tax requirement. If the authority has already set its council tax, it should return the form within </t>
    </r>
    <r>
      <rPr>
        <b/>
        <sz val="11"/>
        <rFont val="Arial"/>
        <family val="2"/>
      </rPr>
      <t>seven days of receipt.</t>
    </r>
  </si>
  <si>
    <t>5. The completed form should be submitted for certification before being certified on DELTA by the Chief Financial / Section 151 Officer. This certification will be to confirm the following statement:
"I certify that, to the best of my knowledge and belief, the information provided in lines 1 to 20 is correct and that the information on all other lines is consistent with the estimates and calculations made by my authority for the purposes of Chapter 3 of Part 1 of the Local Government Finance Act 1992".</t>
  </si>
  <si>
    <t>Uploading the Form from Excel to DELTA</t>
  </si>
  <si>
    <t>6. This form is set up so that once the data in the CTR1_Billing and CTR_Local tabs is complete it can be uploaded into the DELTA form. Please follow the steps set out in the 'Data upload guidance’ document. If you are uploading the CTR1 data, please ensure that the Upload_Data_CTR1_Billing tab is the first tab in the workbook. If you are uploading the Local (Parish) data, please ensure that the Upload_Data_CTR1_Local tab is the first tab in the workbook. Please do not delete or amend either of these tabs.</t>
  </si>
  <si>
    <t>Problems</t>
  </si>
  <si>
    <t>7.  If you experience any problems using the form or uploading please email ctr.statistics@communities.gov.uk</t>
  </si>
  <si>
    <t>n/a</t>
  </si>
  <si>
    <t>COUNCIL TAX REQUIREMENT RETURN (CTR1) - FOR GUIDANCE ONLY</t>
  </si>
  <si>
    <t>For completion by billing authorities</t>
  </si>
  <si>
    <t xml:space="preserve">Please submit this data either via manual entry or using the upload template into the DELTA data collection system. </t>
  </si>
  <si>
    <t>Please note: All financial information is required to the nearest £ except council tax which is required to the nearest penny.</t>
  </si>
  <si>
    <t xml:space="preserve"> Select your local authority's name from this list</t>
  </si>
  <si>
    <t>Local Authority:</t>
  </si>
  <si>
    <t>E-code</t>
  </si>
  <si>
    <t>2025-26</t>
  </si>
  <si>
    <t>£</t>
  </si>
  <si>
    <t xml:space="preserve">COUNCIL TAX REQUIREMENT </t>
  </si>
  <si>
    <r>
      <t xml:space="preserve">1. Council Tax Requirement for billing authority </t>
    </r>
    <r>
      <rPr>
        <b/>
        <u/>
        <sz val="13"/>
        <rFont val="Arial"/>
        <family val="2"/>
      </rPr>
      <t>including</t>
    </r>
    <r>
      <rPr>
        <b/>
        <sz val="13"/>
        <rFont val="Arial"/>
        <family val="2"/>
      </rPr>
      <t xml:space="preserve"> special expenses, local precepts and Adult Social Care Precept. </t>
    </r>
  </si>
  <si>
    <r>
      <rPr>
        <b/>
        <i/>
        <sz val="13"/>
        <color rgb="FF000000"/>
        <rFont val="Arial"/>
        <family val="2"/>
      </rPr>
      <t xml:space="preserve">of which
</t>
    </r>
    <r>
      <rPr>
        <b/>
        <sz val="13"/>
        <color rgb="FF000000"/>
        <rFont val="Arial"/>
        <family val="2"/>
      </rPr>
      <t>1a. Aggregate of special expenses (if any) charged by the authority in part of its area</t>
    </r>
  </si>
  <si>
    <t xml:space="preserve">2. Aggregate of local precepts (if any) issued to the billing authority
</t>
  </si>
  <si>
    <t>3. Council Tax Requirement for billing authority (including special expenses and Adult Social Care precept, but excluding local precepts) (line 1 - line 2)</t>
  </si>
  <si>
    <t>3a. The amount of any levies and special levies issued for the year, or anticipated in pursuance of regulations under section 74 or 75 of the 1988 Act included in line 3.</t>
  </si>
  <si>
    <t>TAX BASE (to 2 decimal places)</t>
  </si>
  <si>
    <t>4. Tax base for the billing authority area after council tax reduction scheme</t>
  </si>
  <si>
    <r>
      <t xml:space="preserve">5. Estimated collection rate (%) </t>
    </r>
    <r>
      <rPr>
        <b/>
        <sz val="13"/>
        <color indexed="10"/>
        <rFont val="Arial"/>
        <family val="2"/>
      </rPr>
      <t>(NB: This cannot be more than 100%)</t>
    </r>
  </si>
  <si>
    <t>6. Tax base adjustment (contributions in lieu of Class O exempt dwellings)</t>
  </si>
  <si>
    <t xml:space="preserve">7. Council tax base for billing authority's area for council tax setting purposes (line 4 x line 5 + line 6). </t>
  </si>
  <si>
    <t>+/- Change</t>
  </si>
  <si>
    <t>% Change</t>
  </si>
  <si>
    <t>8. Average (Band D 2 Adult equivalent) council tax (including Adult Social Care precept and local precepts) of billing authority (line 1 / line 7)</t>
  </si>
  <si>
    <t>Yes/No Check</t>
  </si>
  <si>
    <t>Does line 8 equate to approximately line 1 / line 7?  If a figure is displayed in the adjacent box, it is the difference between line 8 and the calculation line 1 / line 7. Please check your figures.</t>
  </si>
  <si>
    <t>Referendum Threshold</t>
  </si>
  <si>
    <t>9. Average (Band D 2 Adult equivalent) council tax (including Adult Social Care precept but excluding local precepts) of billing authority (line 3 / line 7)</t>
  </si>
  <si>
    <t>Does line 9 equate to approximately line 3 / line 7?  If a figure is displayed in the adjacent box, it is the difference between line 9 and the calculation line 3 / line 7. Please check your figures.</t>
  </si>
  <si>
    <t>Change in BandD</t>
  </si>
  <si>
    <t>10. Total Adult Social Care precept</t>
  </si>
  <si>
    <t>%</t>
  </si>
  <si>
    <t>ASC?</t>
  </si>
  <si>
    <t>ASC Threshold</t>
  </si>
  <si>
    <r>
      <t xml:space="preserve">11. Adult Social Care precept as an element of the </t>
    </r>
    <r>
      <rPr>
        <b/>
        <u/>
        <sz val="13"/>
        <rFont val="Arial"/>
        <family val="2"/>
      </rPr>
      <t>increase</t>
    </r>
    <r>
      <rPr>
        <b/>
        <sz val="13"/>
        <rFont val="Arial"/>
        <family val="2"/>
      </rPr>
      <t xml:space="preserve"> in Average (Band D 2 Adult equivalent) council tax (excluding local precepts)</t>
    </r>
  </si>
  <si>
    <t>THIS SECTION IS NOT IN USE IN 2026-27</t>
  </si>
  <si>
    <t>Merge/UA?</t>
  </si>
  <si>
    <t>12. How do you wish to apply the referendum principles?</t>
  </si>
  <si>
    <t/>
  </si>
  <si>
    <t>Ref</t>
  </si>
  <si>
    <t>13. Please complete the following information for each predecessor area and new authority.</t>
  </si>
  <si>
    <t xml:space="preserve">Local Authority </t>
  </si>
  <si>
    <t>Taxbase for setting Council Tax (2 d.p.) (Column 1)</t>
  </si>
  <si>
    <t>Average (Band D 2 Adult equivalent) council tax (including Adult Social Care precept and local precept) of billing authority (2 d.p) (Column 2)</t>
  </si>
  <si>
    <t>Average (Band D 2 Adult equivalent) council tax (including Adult Socal Care precept but excluding local precepts) of billing authority (2 d.p.) (Column 3)</t>
  </si>
  <si>
    <t>Total Adult Social Care precept (Column 4)</t>
  </si>
  <si>
    <t>Adult Social Care precept as an element of the increase in Average (Band D 2 Adult equivalent) council tax (excluding local precepts) (£)      
(2 d.p.) (Column 5)</t>
  </si>
  <si>
    <t>Adult Social Care precept as an element of the increase in Average (Band D 2 Adult equivalent) council tax (excluding local precepts) (%) (Column 6)</t>
  </si>
  <si>
    <t xml:space="preserve">ASC </t>
  </si>
  <si>
    <t>Average Band D</t>
  </si>
  <si>
    <t>REFERENDUMS</t>
  </si>
  <si>
    <t>14. Is the council tax your authority set subject to a referendum?</t>
  </si>
  <si>
    <t>No</t>
  </si>
  <si>
    <t>15. Are one or more precepting authorities in your area holding a referendum?</t>
  </si>
  <si>
    <t>Loc Ref</t>
  </si>
  <si>
    <t xml:space="preserve">LA : </t>
  </si>
  <si>
    <t xml:space="preserve">16. Average council tax of major precepting authorities in the billing authority's area </t>
  </si>
  <si>
    <t>Council Tax</t>
  </si>
  <si>
    <t>Average Council Tax</t>
  </si>
  <si>
    <t>Precept</t>
  </si>
  <si>
    <t>Column 1 / line 7</t>
  </si>
  <si>
    <t>Name of major precepting authority</t>
  </si>
  <si>
    <t>(Column 1)</t>
  </si>
  <si>
    <t>(Column 2)</t>
  </si>
  <si>
    <t>(£, to nearest penny)</t>
  </si>
  <si>
    <t>(a)</t>
  </si>
  <si>
    <t>(County or GLA)</t>
  </si>
  <si>
    <t>(b)</t>
  </si>
  <si>
    <t>(Police)</t>
  </si>
  <si>
    <t>(c)</t>
  </si>
  <si>
    <t>(Fire)</t>
  </si>
  <si>
    <t>(d)</t>
  </si>
  <si>
    <t>(Combined Authority)</t>
  </si>
  <si>
    <t>17. Average (Band D 2 adult equivalent) council tax for area of the billing authority including both local and major precepts.  
(Lines 8 + 16(a) + 16(b) + 16(c) + 16(d))</t>
  </si>
  <si>
    <t>LOCAL PRECEPTING AUTHORITIES</t>
  </si>
  <si>
    <t>Number</t>
  </si>
  <si>
    <t>Council tax base</t>
  </si>
  <si>
    <t>18. All parishes that exist in the authority's area in 2026-27 (whether they set a precept or not)</t>
  </si>
  <si>
    <t>19. Charter Trustees in the authority's area - 2026-27</t>
  </si>
  <si>
    <t>20. Precepting parishes, Charter Trustees and Temples in the authority's area setting a precept in 2026-27</t>
  </si>
  <si>
    <t>Certificate of Chief Financial Officer</t>
  </si>
  <si>
    <r>
      <t xml:space="preserve">The data in this form </t>
    </r>
    <r>
      <rPr>
        <b/>
        <u/>
        <sz val="14"/>
        <rFont val="Arial"/>
        <family val="2"/>
      </rPr>
      <t>must be submitted in DELTA</t>
    </r>
    <r>
      <rPr>
        <b/>
        <sz val="14"/>
        <rFont val="Arial"/>
        <family val="2"/>
      </rPr>
      <t xml:space="preserve"> either by manual entry or by uploading this workbook. It should then be certified in DELTA by the Chief Financial / Section 151 Officer. This certication is to make the following statement:
I certify that, to the best of my knowledge and belief, the information provided in lines 1 to 20 is correct and that the information on all other lines is consistent with the estimates and calculations made by my authority for the purposes of Chapter 3 of Part 1 of the Local Government Finance Act 1992.</t>
    </r>
  </si>
  <si>
    <t>Yes</t>
  </si>
  <si>
    <t>All data should EXCLUDE Council Tax Support Grant</t>
  </si>
  <si>
    <t>TOTALS 2025-26</t>
  </si>
  <si>
    <t>TOTALS 2026-27</t>
  </si>
  <si>
    <t>Billing Form</t>
  </si>
  <si>
    <t>LAST YEAR</t>
  </si>
  <si>
    <t>THIS YEAR</t>
  </si>
  <si>
    <t>CHECK</t>
  </si>
  <si>
    <t>1. Total number of all parishes (excluding Charter Trustees) that exist in the  authority's area (whether they set a precept or not)</t>
  </si>
  <si>
    <t>Please check against line 18 on the main billing form</t>
  </si>
  <si>
    <t>2. Charter Trustees in the authority's area - (whether they set a precept or not)</t>
  </si>
  <si>
    <t>Please check against line 19 on the main billing form</t>
  </si>
  <si>
    <r>
      <t xml:space="preserve">3. </t>
    </r>
    <r>
      <rPr>
        <b/>
        <u/>
        <sz val="14"/>
        <rFont val="Arial"/>
        <family val="2"/>
      </rPr>
      <t>Precepting</t>
    </r>
    <r>
      <rPr>
        <b/>
        <sz val="14"/>
        <rFont val="Arial"/>
        <family val="2"/>
      </rPr>
      <t xml:space="preserve"> parishes, Charter Trustees and Temples in the authority's area setting a precept</t>
    </r>
  </si>
  <si>
    <t>Please check against line 20 on the main billing form</t>
  </si>
  <si>
    <t>(£)</t>
  </si>
  <si>
    <t>4. Aggregate of local precepts</t>
  </si>
  <si>
    <t>Please check against Line 2 on billing form</t>
  </si>
  <si>
    <t>The table below is prefilled with the names of the parishes in your local authority area using data provided by you on the CTR1 Form 2025-26.</t>
  </si>
  <si>
    <r>
      <t xml:space="preserve">If you copy and paste the data for 2026-27 from another source, please do </t>
    </r>
    <r>
      <rPr>
        <b/>
        <sz val="14"/>
        <color rgb="FFFF0000"/>
        <rFont val="Arial"/>
        <family val="2"/>
      </rPr>
      <t>'PASTE VALUES'</t>
    </r>
    <r>
      <rPr>
        <b/>
        <sz val="14"/>
        <color indexed="18"/>
        <rFont val="Arial"/>
        <family val="2"/>
      </rPr>
      <t xml:space="preserve"> only.</t>
    </r>
  </si>
  <si>
    <t>------------------------------------- 2025-26 -------------------------------------</t>
  </si>
  <si>
    <t>------------------------------------- 2026-27 -------------------------------------</t>
  </si>
  <si>
    <t>------------------------------- Validation --------------------------------</t>
  </si>
  <si>
    <r>
      <t xml:space="preserve">5. Name of parishes in the authority's area, please amend as necessary. If a parish no longer exists please select 'Yes' in Column T. If a parish is missing please add into the blank rows below. Please </t>
    </r>
    <r>
      <rPr>
        <b/>
        <sz val="13"/>
        <color indexed="10"/>
        <rFont val="Arial"/>
        <family val="2"/>
      </rPr>
      <t>DO NOT INSERT OR DELETE</t>
    </r>
    <r>
      <rPr>
        <b/>
        <sz val="13"/>
        <rFont val="Arial"/>
        <family val="2"/>
      </rPr>
      <t xml:space="preserve"> lines from the table.</t>
    </r>
  </si>
  <si>
    <r>
      <t xml:space="preserve">Type 
2026-27
</t>
    </r>
    <r>
      <rPr>
        <i/>
        <sz val="13"/>
        <rFont val="Arial"/>
        <family val="2"/>
      </rPr>
      <t>(please amend as necessary)</t>
    </r>
  </si>
  <si>
    <t>Amount precepted on billing authority
(£)</t>
  </si>
  <si>
    <t>Tax base for precept purposes
(to 2 d.p.)</t>
  </si>
  <si>
    <t>Average Band D council tax
(£)</t>
  </si>
  <si>
    <r>
      <t xml:space="preserve">Delete?
</t>
    </r>
    <r>
      <rPr>
        <sz val="12"/>
        <color theme="0" tint="-0.499984740745262"/>
        <rFont val="Arial"/>
        <family val="2"/>
      </rPr>
      <t>Select Yes when you want to remove the parish</t>
    </r>
  </si>
  <si>
    <r>
      <t>Confirm Change is Valid</t>
    </r>
    <r>
      <rPr>
        <sz val="13"/>
        <rFont val="Arial"/>
        <family val="2"/>
      </rPr>
      <t xml:space="preserve"> and doesn't require amending</t>
    </r>
  </si>
  <si>
    <r>
      <t xml:space="preserve">Validation Comment
</t>
    </r>
    <r>
      <rPr>
        <sz val="12"/>
        <color theme="0" tint="-0.499984740745262"/>
        <rFont val="Arial"/>
        <family val="2"/>
      </rPr>
      <t>Please explain any background to do with the variation highlighted</t>
    </r>
  </si>
  <si>
    <t>Taxbase check trigger</t>
  </si>
  <si>
    <t>Band D check trigger</t>
  </si>
  <si>
    <t>Previous year precept</t>
  </si>
  <si>
    <t>Previous year tax base</t>
  </si>
  <si>
    <t>Previous year band d</t>
  </si>
  <si>
    <t>Previous year precept change</t>
  </si>
  <si>
    <t>Previous year tax base change</t>
  </si>
  <si>
    <t>Previous year band d change</t>
  </si>
  <si>
    <t>Name change</t>
  </si>
  <si>
    <t>10% Higher</t>
  </si>
  <si>
    <t>10% Lower</t>
  </si>
  <si>
    <t>£20 Higher</t>
  </si>
  <si>
    <t>£20 Lower</t>
  </si>
  <si>
    <t>For MHCLG purposes only</t>
  </si>
  <si>
    <t>Please double check you have not transposed figures</t>
  </si>
  <si>
    <t>To confirm change is valid please select Yes.</t>
  </si>
  <si>
    <t>If you are using this form to upload data to DELTA, please add comments where necessary to prevent any issues with your upload.</t>
  </si>
  <si>
    <t>Billing Form Validation Sheet</t>
  </si>
  <si>
    <t>This sheet automatically highlights any validation queries</t>
  </si>
  <si>
    <t>Please see the CTR Validation Notes document for further details on the validations we carry out. Tests 1 to 4 will flag in DELTA if over the validation threshold and will required a comment.</t>
  </si>
  <si>
    <t>Maximum
Expected Difference</t>
  </si>
  <si>
    <t>Difference</t>
  </si>
  <si>
    <t>Test</t>
  </si>
  <si>
    <t>CTR1 2025-26</t>
  </si>
  <si>
    <t>CTR1 2026-27</t>
  </si>
  <si>
    <t>Actual</t>
  </si>
  <si>
    <t>Line 2: Aggregate of local precepts</t>
  </si>
  <si>
    <t>Line 3a: Levies and special levies</t>
  </si>
  <si>
    <t>Line 5: Estimated collection rate</t>
  </si>
  <si>
    <t>-</t>
  </si>
  <si>
    <t>Line 7: Tax base for tax setting purposes</t>
  </si>
  <si>
    <t>Line 8</t>
  </si>
  <si>
    <t>Line 1 / Line 7</t>
  </si>
  <si>
    <t>Expected Difference</t>
  </si>
  <si>
    <t>Line 9</t>
  </si>
  <si>
    <t>Line 3 / Line 7</t>
  </si>
  <si>
    <t>If the form flags the warning message that your authority should have a referendum, but this is due to rounding and the authority does not believe it needs to hold a referendum, please provide a comment for validation 6.</t>
  </si>
  <si>
    <t>Line 16a / Line 7</t>
  </si>
  <si>
    <t>Line 16a, column 2</t>
  </si>
  <si>
    <t>Line 16b / Line 7</t>
  </si>
  <si>
    <t>Line 16b, column 2</t>
  </si>
  <si>
    <t>Line 16c / Line 7</t>
  </si>
  <si>
    <t>Line 16c, column 2</t>
  </si>
  <si>
    <t>Line 16d / Line 7</t>
  </si>
  <si>
    <t>Line 16d, column 2</t>
  </si>
  <si>
    <t>Line  17</t>
  </si>
  <si>
    <t>Calculated</t>
  </si>
  <si>
    <t>Check Average Area council tax (Line 17)  has been calculated correctly</t>
  </si>
  <si>
    <t>Line  7</t>
  </si>
  <si>
    <t>Line 18</t>
  </si>
  <si>
    <t>Check tax base for billing authority is greater than local precepting authorities</t>
  </si>
  <si>
    <t>&gt;0</t>
  </si>
  <si>
    <t>Line  11</t>
  </si>
  <si>
    <t>Maximum Expected</t>
  </si>
  <si>
    <t>Line 11</t>
  </si>
  <si>
    <t>&lt;=2%</t>
  </si>
  <si>
    <t>Local Precepting Authorities Validation Sheet</t>
  </si>
  <si>
    <t>This validation sheet checks the council tax base and precepting figures from the local precepting form with that recorded on the main billing form</t>
  </si>
  <si>
    <t>Main Tab</t>
  </si>
  <si>
    <t>Local Tab</t>
  </si>
  <si>
    <t>Expected difference</t>
  </si>
  <si>
    <t>Aggregate of local precepts</t>
  </si>
  <si>
    <t>Number of all parishes (excluding Charter Trustees)</t>
  </si>
  <si>
    <t>Number of Charter Trustees in the authority's area</t>
  </si>
  <si>
    <t>Number of Precepting parishes, Charter Trustees and Temples</t>
  </si>
  <si>
    <t>Tax base of all parishes (excluding Charter Trustees)</t>
  </si>
  <si>
    <t>Tax base of Charter Trustees in the authority's area</t>
  </si>
  <si>
    <t>Tax base of Precepting parishes, Charter Trustees and Temples</t>
  </si>
  <si>
    <t>Previous year
CTR including Special Expenses and Local Precepts</t>
  </si>
  <si>
    <t>Previous year
Aggregate of special expenses (if any) charged by the authority in part of its area</t>
  </si>
  <si>
    <t>Previous year
Aggregate of local precepts</t>
  </si>
  <si>
    <t>Previous year
CTR for billing authority (line1 - line2)</t>
  </si>
  <si>
    <t>Previous year
Amount of any levies or special levies issued for the year</t>
  </si>
  <si>
    <t>Previous year
Tax base for the billing authority area after council tax reduction scheme</t>
  </si>
  <si>
    <t>Previous year
Estimated collection rate</t>
  </si>
  <si>
    <t>Previous year
Tax base adjustment (contributions in lieu of Class O exempt dwellings)</t>
  </si>
  <si>
    <t>County</t>
  </si>
  <si>
    <t>County ONS Code</t>
  </si>
  <si>
    <t>Police</t>
  </si>
  <si>
    <t>Police ONS Code</t>
  </si>
  <si>
    <t>Fire</t>
  </si>
  <si>
    <t>Fire ONS Code</t>
  </si>
  <si>
    <t>Combined Authority</t>
  </si>
  <si>
    <t>Combined Authority ONS Code</t>
  </si>
  <si>
    <t>Previous year
Tax base for CT setting purposes</t>
  </si>
  <si>
    <t>Previous year
Ave Band D including local precepts</t>
  </si>
  <si>
    <t>Previous year
Ave Band D excluding local precepts</t>
  </si>
  <si>
    <t>Exceptions</t>
  </si>
  <si>
    <t>ANA</t>
  </si>
  <si>
    <t>Base</t>
  </si>
  <si>
    <t>EFS %</t>
  </si>
  <si>
    <t>EFS £</t>
  </si>
  <si>
    <t>% threshold</t>
  </si>
  <si>
    <t>£ threshold</t>
  </si>
  <si>
    <t>EFS max</t>
  </si>
  <si>
    <t>Referendum</t>
  </si>
  <si>
    <t>ASC threshold</t>
  </si>
  <si>
    <t xml:space="preserve">ASC % </t>
  </si>
  <si>
    <t>No.</t>
  </si>
  <si>
    <t>Local Authority</t>
  </si>
  <si>
    <t>Ecode</t>
  </si>
  <si>
    <t>ONS Code</t>
  </si>
  <si>
    <t>Class</t>
  </si>
  <si>
    <t>Region</t>
  </si>
  <si>
    <t>Line 1</t>
  </si>
  <si>
    <t>Line 1a</t>
  </si>
  <si>
    <t>Line 2</t>
  </si>
  <si>
    <t>Line 3</t>
  </si>
  <si>
    <t>Line 3a</t>
  </si>
  <si>
    <t>Line 4</t>
  </si>
  <si>
    <t>Line 5</t>
  </si>
  <si>
    <t>Line 6</t>
  </si>
  <si>
    <t>Line 7</t>
  </si>
  <si>
    <t>Referendum Principles</t>
  </si>
  <si>
    <t>% ASC</t>
  </si>
  <si>
    <t>Adur</t>
  </si>
  <si>
    <t>E3831</t>
  </si>
  <si>
    <t>E07000223</t>
  </si>
  <si>
    <t>SD</t>
  </si>
  <si>
    <t>South East</t>
  </si>
  <si>
    <t>West Sussex</t>
  </si>
  <si>
    <t>E10000032</t>
  </si>
  <si>
    <t>Sussex Police and Crime Commissioner and Chief Constable</t>
  </si>
  <si>
    <t>E23000033</t>
  </si>
  <si>
    <t>Amber Valley</t>
  </si>
  <si>
    <t>E1031</t>
  </si>
  <si>
    <t>E07000032</t>
  </si>
  <si>
    <t>East Midlands</t>
  </si>
  <si>
    <t>Derbyshire</t>
  </si>
  <si>
    <t>E10000007</t>
  </si>
  <si>
    <t>Derbyshire Police and Crime Commissioner and Chief Constable</t>
  </si>
  <si>
    <t>E23000018</t>
  </si>
  <si>
    <t>Derbyshire Combined Fire Authority</t>
  </si>
  <si>
    <t>E31000010</t>
  </si>
  <si>
    <t>East Midlands Combined County Authority</t>
  </si>
  <si>
    <t>E47000013</t>
  </si>
  <si>
    <t>UA</t>
  </si>
  <si>
    <t>Arun</t>
  </si>
  <si>
    <t>E3832</t>
  </si>
  <si>
    <t>E07000224</t>
  </si>
  <si>
    <t>LB</t>
  </si>
  <si>
    <t>Ashfield</t>
  </si>
  <si>
    <t>E3031</t>
  </si>
  <si>
    <t>E07000170</t>
  </si>
  <si>
    <t>Nottinghamshire</t>
  </si>
  <si>
    <t>E10000024</t>
  </si>
  <si>
    <t>Nottinghamshire Police and Crime Commissioner and Chief Constable</t>
  </si>
  <si>
    <t>E23000019</t>
  </si>
  <si>
    <t>Nottinghamshire Combined Fire Authority</t>
  </si>
  <si>
    <t>E31000030</t>
  </si>
  <si>
    <t>MD</t>
  </si>
  <si>
    <t>Yes - to be held</t>
  </si>
  <si>
    <t>Ashford</t>
  </si>
  <si>
    <t>E2231</t>
  </si>
  <si>
    <t>E07000105</t>
  </si>
  <si>
    <t>Kent</t>
  </si>
  <si>
    <t>E10000016</t>
  </si>
  <si>
    <t>Kent Police and Crime Commissioner and Chief Constable</t>
  </si>
  <si>
    <t>E23000032</t>
  </si>
  <si>
    <t>Kent Combined Fire Authority</t>
  </si>
  <si>
    <t>E31000022</t>
  </si>
  <si>
    <t>Yes - resulted in no changes</t>
  </si>
  <si>
    <t>Babergh</t>
  </si>
  <si>
    <t>E3531</t>
  </si>
  <si>
    <t>E07000200</t>
  </si>
  <si>
    <t>East of England</t>
  </si>
  <si>
    <t>Suffolk</t>
  </si>
  <si>
    <t>E10000029</t>
  </si>
  <si>
    <t>Suffolk Police and Crime Commissioner and Chief Constable</t>
  </si>
  <si>
    <t>E23000025</t>
  </si>
  <si>
    <r>
      <t xml:space="preserve">EFS - </t>
    </r>
    <r>
      <rPr>
        <b/>
        <i/>
        <sz val="10"/>
        <rFont val="Arial"/>
        <family val="2"/>
      </rPr>
      <t>Add the LA Name, % threshold, £ threshold for any LAs with EFS</t>
    </r>
  </si>
  <si>
    <t>Yes - changes made to Form</t>
  </si>
  <si>
    <t>Barking and Dagenham</t>
  </si>
  <si>
    <t>E5030</t>
  </si>
  <si>
    <t>E09000002</t>
  </si>
  <si>
    <t>London</t>
  </si>
  <si>
    <t>Greater London Authority</t>
  </si>
  <si>
    <t>E12000007</t>
  </si>
  <si>
    <t>LA Name</t>
  </si>
  <si>
    <t>% threshold (incl. ASC)</t>
  </si>
  <si>
    <t>Barnet</t>
  </si>
  <si>
    <t>E5031</t>
  </si>
  <si>
    <t>E09000003</t>
  </si>
  <si>
    <t>Bournemouth, Christchurch and Poole</t>
  </si>
  <si>
    <t>Blank</t>
  </si>
  <si>
    <t>Barnsley</t>
  </si>
  <si>
    <t>E4401</t>
  </si>
  <si>
    <t>E08000038</t>
  </si>
  <si>
    <t>Yorkshire and The Humber</t>
  </si>
  <si>
    <t>South Yorkshire Mayoral Combined Authority - PCC functions</t>
  </si>
  <si>
    <t>E47000002</t>
  </si>
  <si>
    <t>South Yorkshire Fire &amp; CD Authority</t>
  </si>
  <si>
    <t>E31000042</t>
  </si>
  <si>
    <t>South Yorkshire Mayoral Combined Authority - General functions</t>
  </si>
  <si>
    <t>Trafford</t>
  </si>
  <si>
    <t>Basildon</t>
  </si>
  <si>
    <t>E1531</t>
  </si>
  <si>
    <t>E07000066</t>
  </si>
  <si>
    <t>Essex</t>
  </si>
  <si>
    <t>E10000012</t>
  </si>
  <si>
    <t>Essex Police</t>
  </si>
  <si>
    <t>E23000028</t>
  </si>
  <si>
    <t>Essex PCC-Fire</t>
  </si>
  <si>
    <t>E31000015</t>
  </si>
  <si>
    <t>Warrington</t>
  </si>
  <si>
    <t>Basingstoke and Deane</t>
  </si>
  <si>
    <t>E1731</t>
  </si>
  <si>
    <t>E07000084</t>
  </si>
  <si>
    <t>Hampshire</t>
  </si>
  <si>
    <t>E10000014</t>
  </si>
  <si>
    <t>Hampshire Police and Crime Commissioner and Chief Constable</t>
  </si>
  <si>
    <t>E23000030</t>
  </si>
  <si>
    <t>Hampshire and Isle of Wight FRA</t>
  </si>
  <si>
    <t>E31000048</t>
  </si>
  <si>
    <t>Windsor and Maidenhead</t>
  </si>
  <si>
    <t>Bassetlaw</t>
  </si>
  <si>
    <t>E3032</t>
  </si>
  <si>
    <t>E07000171</t>
  </si>
  <si>
    <t>North Somerset</t>
  </si>
  <si>
    <t>Bath and North East Somerset</t>
  </si>
  <si>
    <t>E0101</t>
  </si>
  <si>
    <t>E06000022</t>
  </si>
  <si>
    <t>South West</t>
  </si>
  <si>
    <t>Avon &amp; Somerset Police and Crime Commissioner and Chief Constable</t>
  </si>
  <si>
    <t>E23000036</t>
  </si>
  <si>
    <t>Avon Combined Fire Authority</t>
  </si>
  <si>
    <t>E31000001</t>
  </si>
  <si>
    <t>Shropshire</t>
  </si>
  <si>
    <t>Bedford</t>
  </si>
  <si>
    <t>E0202</t>
  </si>
  <si>
    <t>E06000055</t>
  </si>
  <si>
    <t>Bedfordshire Police and Crime Commissioner and Chief Constable</t>
  </si>
  <si>
    <t>E23000026</t>
  </si>
  <si>
    <t>Bedfordshire Combined Fire Authority</t>
  </si>
  <si>
    <t>E31000002</t>
  </si>
  <si>
    <t>Bexley</t>
  </si>
  <si>
    <t>E5032</t>
  </si>
  <si>
    <t>E09000004</t>
  </si>
  <si>
    <t>Birmingham</t>
  </si>
  <si>
    <t>E4601</t>
  </si>
  <si>
    <t>E08000025</t>
  </si>
  <si>
    <t>West Midlands</t>
  </si>
  <si>
    <t>West Midlands Police and Crime Commissioner and Chief Constable</t>
  </si>
  <si>
    <t>E23000014</t>
  </si>
  <si>
    <t>West Midlands Fire Authority</t>
  </si>
  <si>
    <t>E31000044</t>
  </si>
  <si>
    <t>West Midlands Combined Authority</t>
  </si>
  <si>
    <t>E47000007</t>
  </si>
  <si>
    <t>Blaby</t>
  </si>
  <si>
    <t>E2431</t>
  </si>
  <si>
    <t>E07000129</t>
  </si>
  <si>
    <t>Leicestershire</t>
  </si>
  <si>
    <t>E10000018</t>
  </si>
  <si>
    <t>Leicestershire Police and Crime Commissioner and Chief Constable</t>
  </si>
  <si>
    <t>E23000021</t>
  </si>
  <si>
    <t>Leicestershire Combined Fire Authority</t>
  </si>
  <si>
    <t>E31000024</t>
  </si>
  <si>
    <t>Blackburn with Darwen</t>
  </si>
  <si>
    <t>E2301</t>
  </si>
  <si>
    <t>E06000008</t>
  </si>
  <si>
    <t>North West</t>
  </si>
  <si>
    <t>Lancashire Police and Crime Commissioner and Chief Constable</t>
  </si>
  <si>
    <t>E23000003</t>
  </si>
  <si>
    <t>Lancashire Combined Fire Authority</t>
  </si>
  <si>
    <t>E31000023</t>
  </si>
  <si>
    <t>Blackpool</t>
  </si>
  <si>
    <t>E2302</t>
  </si>
  <si>
    <t>E06000009</t>
  </si>
  <si>
    <t>Bolsover</t>
  </si>
  <si>
    <t>E1032</t>
  </si>
  <si>
    <t>E07000033</t>
  </si>
  <si>
    <t>Bolton</t>
  </si>
  <si>
    <t>E4201</t>
  </si>
  <si>
    <t>E08000001</t>
  </si>
  <si>
    <t>Greater Manchester Combined Authority - PCC functions</t>
  </si>
  <si>
    <t>E47000001</t>
  </si>
  <si>
    <t>Greater Manchester Combined Authority - General functions</t>
  </si>
  <si>
    <t>Boston</t>
  </si>
  <si>
    <t>E2531</t>
  </si>
  <si>
    <t>E07000136</t>
  </si>
  <si>
    <t>Lincolnshire</t>
  </si>
  <si>
    <t>E10000019</t>
  </si>
  <si>
    <t>Lincolnshire Police and Crime Commissioner and Chief Constable</t>
  </si>
  <si>
    <t>E23000020</t>
  </si>
  <si>
    <t>Greater Lincolnshire Combined County Authority</t>
  </si>
  <si>
    <t>E47000017</t>
  </si>
  <si>
    <t>REFERENDUM PRINCIPLES - NEW MERGERS AND UNITARIES ONLY</t>
  </si>
  <si>
    <t>E1204</t>
  </si>
  <si>
    <t>E06000058</t>
  </si>
  <si>
    <t>Dorset Police and Crime Commissioner and Chief Constable</t>
  </si>
  <si>
    <t>E23000039</t>
  </si>
  <si>
    <t>Dorset and Wiltshire Fire and Rescue Authority</t>
  </si>
  <si>
    <t>E31000047</t>
  </si>
  <si>
    <t>How do you wish to apply the referendum principles?</t>
  </si>
  <si>
    <t>Bracknell Forest</t>
  </si>
  <si>
    <t>E0301</t>
  </si>
  <si>
    <t>E06000036</t>
  </si>
  <si>
    <t>Thames Valley Police and Crime Commissioner and Chief Constable</t>
  </si>
  <si>
    <t>E23000029</t>
  </si>
  <si>
    <t>Berkshire Combined Fire Authority</t>
  </si>
  <si>
    <t>E31000003</t>
  </si>
  <si>
    <t>Bradford</t>
  </si>
  <si>
    <t>E4701</t>
  </si>
  <si>
    <t>E08000032</t>
  </si>
  <si>
    <t>West Yorkshire Police and Crime Commissioner and Chief Constable</t>
  </si>
  <si>
    <t>E47000003</t>
  </si>
  <si>
    <t>West Yorkshire Fire &amp; CD Authority</t>
  </si>
  <si>
    <t>E31000045</t>
  </si>
  <si>
    <t>West Yorkshire Combined Authority - General functions</t>
  </si>
  <si>
    <t>Apply to the increase in average Band D amount across the predecessor areas</t>
  </si>
  <si>
    <t>Braintree</t>
  </si>
  <si>
    <t>E1532</t>
  </si>
  <si>
    <t>E07000067</t>
  </si>
  <si>
    <t>Apply to the increase in average Band D in each individual predecessor area</t>
  </si>
  <si>
    <t>Breckland</t>
  </si>
  <si>
    <t>E2631</t>
  </si>
  <si>
    <t>E07000143</t>
  </si>
  <si>
    <t>Norfolk</t>
  </si>
  <si>
    <t>E10000020</t>
  </si>
  <si>
    <t>Norfolk Police and Crime Commissioner and Chief Constable</t>
  </si>
  <si>
    <t>E23000024</t>
  </si>
  <si>
    <t>Brent</t>
  </si>
  <si>
    <t>E5033</t>
  </si>
  <si>
    <t>E09000005</t>
  </si>
  <si>
    <t>Brentwood</t>
  </si>
  <si>
    <t>E1533</t>
  </si>
  <si>
    <t>E07000068</t>
  </si>
  <si>
    <r>
      <t xml:space="preserve">ANA - </t>
    </r>
    <r>
      <rPr>
        <b/>
        <i/>
        <sz val="10"/>
        <rFont val="Arial"/>
        <family val="2"/>
      </rPr>
      <t>Add the LA Name, and ANA for any LAs with ANA</t>
    </r>
  </si>
  <si>
    <t>Brighton and Hove</t>
  </si>
  <si>
    <t>E1401</t>
  </si>
  <si>
    <t>E06000043</t>
  </si>
  <si>
    <t>East Sussex Combined Fire Authority</t>
  </si>
  <si>
    <t>E31000014</t>
  </si>
  <si>
    <t>Bristol</t>
  </si>
  <si>
    <t>E0102</t>
  </si>
  <si>
    <t>E06000023</t>
  </si>
  <si>
    <t>Broadland</t>
  </si>
  <si>
    <t>E2632</t>
  </si>
  <si>
    <t>E07000144</t>
  </si>
  <si>
    <t>Bromley</t>
  </si>
  <si>
    <t>E5034</t>
  </si>
  <si>
    <t>E09000006</t>
  </si>
  <si>
    <t>Bromsgrove</t>
  </si>
  <si>
    <t>E1831</t>
  </si>
  <si>
    <t>E07000234</t>
  </si>
  <si>
    <t>Worcestershire</t>
  </si>
  <si>
    <t>E10000034</t>
  </si>
  <si>
    <t>West Mercia Police and Crime Commissioner and Chief Constable</t>
  </si>
  <si>
    <t>E23000016</t>
  </si>
  <si>
    <t>Hereford &amp; Worcester Combined Fire Authority</t>
  </si>
  <si>
    <t>E31000018</t>
  </si>
  <si>
    <t>Broxbourne</t>
  </si>
  <si>
    <t>E1931</t>
  </si>
  <si>
    <t>E07000095</t>
  </si>
  <si>
    <t>Hertfordshire</t>
  </si>
  <si>
    <t>E10000015</t>
  </si>
  <si>
    <t>Hertfordshire Police and Crime Commissioner and Chief Constable</t>
  </si>
  <si>
    <t>E23000027</t>
  </si>
  <si>
    <t>Broxtowe</t>
  </si>
  <si>
    <t>E3033</t>
  </si>
  <si>
    <t>E07000172</t>
  </si>
  <si>
    <t>Buckinghamshire</t>
  </si>
  <si>
    <t>E0402</t>
  </si>
  <si>
    <t>E06000060</t>
  </si>
  <si>
    <t>Buckinghamshire Combined Fire Authority</t>
  </si>
  <si>
    <t>E31000004</t>
  </si>
  <si>
    <t>Burnley</t>
  </si>
  <si>
    <t>E2333</t>
  </si>
  <si>
    <t>E07000117</t>
  </si>
  <si>
    <t>Lancashire</t>
  </si>
  <si>
    <t>E10000017</t>
  </si>
  <si>
    <t>Bury</t>
  </si>
  <si>
    <t>E4202</t>
  </si>
  <si>
    <t>E08000002</t>
  </si>
  <si>
    <t>Calderdale</t>
  </si>
  <si>
    <t>E4702</t>
  </si>
  <si>
    <t>E08000033</t>
  </si>
  <si>
    <t>Cambridge</t>
  </si>
  <si>
    <t>E0531</t>
  </si>
  <si>
    <t>E07000008</t>
  </si>
  <si>
    <t>Cambridgeshire</t>
  </si>
  <si>
    <t>E10000003</t>
  </si>
  <si>
    <t>Cambridgeshire Police and Crime Commissioner and Chief Constable</t>
  </si>
  <si>
    <t>E23000023</t>
  </si>
  <si>
    <t>Cambridgeshire Combined Fire Authority</t>
  </si>
  <si>
    <t>E31000005</t>
  </si>
  <si>
    <t>Cambridgeshire and Peterborough Combined Authority</t>
  </si>
  <si>
    <t>E47000008</t>
  </si>
  <si>
    <t>Camden</t>
  </si>
  <si>
    <t>E5011</t>
  </si>
  <si>
    <t>E09000007</t>
  </si>
  <si>
    <t>Cannock Chase</t>
  </si>
  <si>
    <t>E3431</t>
  </si>
  <si>
    <t>E07000192</t>
  </si>
  <si>
    <t>Staffordshire</t>
  </si>
  <si>
    <t>E10000028</t>
  </si>
  <si>
    <t>Staffordshire Police and Crime Commissioner and Chief Constable</t>
  </si>
  <si>
    <t>E23000015</t>
  </si>
  <si>
    <t>Staffordshire PCC-FRA</t>
  </si>
  <si>
    <t>E31000033</t>
  </si>
  <si>
    <t>Canterbury</t>
  </si>
  <si>
    <t>E2232</t>
  </si>
  <si>
    <t>E07000106</t>
  </si>
  <si>
    <t>Castle Point</t>
  </si>
  <si>
    <t>E1534</t>
  </si>
  <si>
    <t>E07000069</t>
  </si>
  <si>
    <t>Central Bedfordshire</t>
  </si>
  <si>
    <t>E0203</t>
  </si>
  <si>
    <t>E06000056</t>
  </si>
  <si>
    <t>Charnwood</t>
  </si>
  <si>
    <t>E2432</t>
  </si>
  <si>
    <t>E07000130</t>
  </si>
  <si>
    <t>Chelmsford</t>
  </si>
  <si>
    <t>E1535</t>
  </si>
  <si>
    <t>E07000070</t>
  </si>
  <si>
    <t>Cheltenham</t>
  </si>
  <si>
    <t>E1631</t>
  </si>
  <si>
    <t>E07000078</t>
  </si>
  <si>
    <t>Gloucestershire</t>
  </si>
  <si>
    <t>E10000013</t>
  </si>
  <si>
    <t>Gloucestershire Police and Crime Commissioner and Chief Constable</t>
  </si>
  <si>
    <t>E23000037</t>
  </si>
  <si>
    <t>Cherwell</t>
  </si>
  <si>
    <t>E3131</t>
  </si>
  <si>
    <t>E07000177</t>
  </si>
  <si>
    <t>Oxfordshire</t>
  </si>
  <si>
    <t>E10000025</t>
  </si>
  <si>
    <t>Cheshire East</t>
  </si>
  <si>
    <t>E0603</t>
  </si>
  <si>
    <t>E06000049</t>
  </si>
  <si>
    <t>Cheshire Police and Crime Commissioner and Chief Constable</t>
  </si>
  <si>
    <t>E23000006</t>
  </si>
  <si>
    <t>Cheshire Combined Fire Authority</t>
  </si>
  <si>
    <t>E31000006</t>
  </si>
  <si>
    <t>Cheshire West and Chester</t>
  </si>
  <si>
    <t>E0604</t>
  </si>
  <si>
    <t>E06000050</t>
  </si>
  <si>
    <t>Chesterfield</t>
  </si>
  <si>
    <t>E1033</t>
  </si>
  <si>
    <t>E07000034</t>
  </si>
  <si>
    <t>Chichester</t>
  </si>
  <si>
    <t>E3833</t>
  </si>
  <si>
    <t>E07000225</t>
  </si>
  <si>
    <t>Chorley</t>
  </si>
  <si>
    <t>E2334</t>
  </si>
  <si>
    <t>E07000118</t>
  </si>
  <si>
    <t>City of London</t>
  </si>
  <si>
    <t>E5010</t>
  </si>
  <si>
    <t>E09000001</t>
  </si>
  <si>
    <t>Colchester</t>
  </si>
  <si>
    <t>E1536</t>
  </si>
  <si>
    <t>E07000071</t>
  </si>
  <si>
    <t>Cornwall</t>
  </si>
  <si>
    <t>E0801</t>
  </si>
  <si>
    <t>E06000052</t>
  </si>
  <si>
    <t>Devon &amp; Cornwall Police and Crime Commissioner and Chief Constable</t>
  </si>
  <si>
    <t>E23000035</t>
  </si>
  <si>
    <t>Cotswold</t>
  </si>
  <si>
    <t>E1632</t>
  </si>
  <si>
    <t>E07000079</t>
  </si>
  <si>
    <t>Coventry</t>
  </si>
  <si>
    <t>E4602</t>
  </si>
  <si>
    <t>E08000026</t>
  </si>
  <si>
    <t>Crawley</t>
  </si>
  <si>
    <t>E3834</t>
  </si>
  <si>
    <t>E07000226</t>
  </si>
  <si>
    <t>Croydon</t>
  </si>
  <si>
    <t>E5035</t>
  </si>
  <si>
    <t>E09000008</t>
  </si>
  <si>
    <t>Cumberland</t>
  </si>
  <si>
    <t>E0901</t>
  </si>
  <si>
    <t>E06000063</t>
  </si>
  <si>
    <t>Cumbria Police Fire and Crime Commissioner - Police</t>
  </si>
  <si>
    <t>E23000002</t>
  </si>
  <si>
    <t>Cumbria Police Fire and Crime Commissioner - Fire</t>
  </si>
  <si>
    <t>E31000009</t>
  </si>
  <si>
    <t>Dacorum</t>
  </si>
  <si>
    <t>E1932</t>
  </si>
  <si>
    <t>E07000096</t>
  </si>
  <si>
    <t>Darlington</t>
  </si>
  <si>
    <t>E1301</t>
  </si>
  <si>
    <t>E06000005</t>
  </si>
  <si>
    <t>North East</t>
  </si>
  <si>
    <t>Durham Police and Crime Commissioner and Chief Constable</t>
  </si>
  <si>
    <t>E23000008</t>
  </si>
  <si>
    <t>Durham Combined Fire Authority</t>
  </si>
  <si>
    <t>E31000013</t>
  </si>
  <si>
    <t>Tees Valley Combined Authority</t>
  </si>
  <si>
    <t>E47000006</t>
  </si>
  <si>
    <t>Dartford</t>
  </si>
  <si>
    <t>E2233</t>
  </si>
  <si>
    <t>E07000107</t>
  </si>
  <si>
    <t>Derby</t>
  </si>
  <si>
    <t>E1001</t>
  </si>
  <si>
    <t>E06000015</t>
  </si>
  <si>
    <t>Derbyshire Dales</t>
  </si>
  <si>
    <t>E1035</t>
  </si>
  <si>
    <t>E07000035</t>
  </si>
  <si>
    <t>Doncaster</t>
  </si>
  <si>
    <t>E4402</t>
  </si>
  <si>
    <t>E08000017</t>
  </si>
  <si>
    <t>Dorset</t>
  </si>
  <si>
    <t>E1203</t>
  </si>
  <si>
    <t>E06000059</t>
  </si>
  <si>
    <t>Dover</t>
  </si>
  <si>
    <t>E2234</t>
  </si>
  <si>
    <t>E07000108</t>
  </si>
  <si>
    <t>Dudley</t>
  </si>
  <si>
    <t>E4603</t>
  </si>
  <si>
    <t>E08000027</t>
  </si>
  <si>
    <t>Durham</t>
  </si>
  <si>
    <t>E1302</t>
  </si>
  <si>
    <t>E06000047</t>
  </si>
  <si>
    <t>North East Mayoral Combined Authority</t>
  </si>
  <si>
    <t>E47000014</t>
  </si>
  <si>
    <t>Ealing</t>
  </si>
  <si>
    <t>E5036</t>
  </si>
  <si>
    <t>E09000009</t>
  </si>
  <si>
    <t>East Cambridgeshire</t>
  </si>
  <si>
    <t>E0532</t>
  </si>
  <si>
    <t>E07000009</t>
  </si>
  <si>
    <t>East Devon</t>
  </si>
  <si>
    <t>E1131</t>
  </si>
  <si>
    <t>E07000040</t>
  </si>
  <si>
    <t>Devon</t>
  </si>
  <si>
    <t>E10000008</t>
  </si>
  <si>
    <t>Devon and Somerset Combined Fire Authority</t>
  </si>
  <si>
    <t>E31000011</t>
  </si>
  <si>
    <t>East Hampshire</t>
  </si>
  <si>
    <t>E1732</t>
  </si>
  <si>
    <t>E07000085</t>
  </si>
  <si>
    <t>East Hertfordshire</t>
  </si>
  <si>
    <t>E1933</t>
  </si>
  <si>
    <t>E07000242</t>
  </si>
  <si>
    <t>East Lindsey</t>
  </si>
  <si>
    <t>E2532</t>
  </si>
  <si>
    <t>E07000137</t>
  </si>
  <si>
    <t>East Riding of Yorkshire</t>
  </si>
  <si>
    <t>E2001</t>
  </si>
  <si>
    <t>E06000011</t>
  </si>
  <si>
    <t>Humberside Police and Crime Commissioner and Chief Constable</t>
  </si>
  <si>
    <t>E23000012</t>
  </si>
  <si>
    <t>Humberside Combined Fire Authority</t>
  </si>
  <si>
    <t>E31000020</t>
  </si>
  <si>
    <t>Hull and East Yorkshire Combined Authority</t>
  </si>
  <si>
    <t>E47000016</t>
  </si>
  <si>
    <t>East Staffordshire</t>
  </si>
  <si>
    <t>E3432</t>
  </si>
  <si>
    <t>E07000193</t>
  </si>
  <si>
    <t>East Suffolk</t>
  </si>
  <si>
    <t>E3538</t>
  </si>
  <si>
    <t>E07000244</t>
  </si>
  <si>
    <t>Eastbourne</t>
  </si>
  <si>
    <t>E1432</t>
  </si>
  <si>
    <t>E07000061</t>
  </si>
  <si>
    <t>East Sussex</t>
  </si>
  <si>
    <t>E10000011</t>
  </si>
  <si>
    <t>Eastleigh</t>
  </si>
  <si>
    <t>E1733</t>
  </si>
  <si>
    <t>E07000086</t>
  </si>
  <si>
    <t>Elmbridge</t>
  </si>
  <si>
    <t>E3631</t>
  </si>
  <si>
    <t>E07000207</t>
  </si>
  <si>
    <t>Surrey</t>
  </si>
  <si>
    <t>E10000030</t>
  </si>
  <si>
    <t>Surrey Police and Crime Commissioner and Chief Constable</t>
  </si>
  <si>
    <t>E23000031</t>
  </si>
  <si>
    <t>Enfield</t>
  </si>
  <si>
    <t>E5037</t>
  </si>
  <si>
    <t>E09000010</t>
  </si>
  <si>
    <t>Epping Forest</t>
  </si>
  <si>
    <t>E1537</t>
  </si>
  <si>
    <t>E07000072</t>
  </si>
  <si>
    <t>Epsom and Ewell</t>
  </si>
  <si>
    <t>E3632</t>
  </si>
  <si>
    <t>E07000208</t>
  </si>
  <si>
    <t>Erewash</t>
  </si>
  <si>
    <t>E1036</t>
  </si>
  <si>
    <t>E07000036</t>
  </si>
  <si>
    <t>Exeter</t>
  </si>
  <si>
    <t>E1132</t>
  </si>
  <si>
    <t>E07000041</t>
  </si>
  <si>
    <t>Fareham</t>
  </si>
  <si>
    <t>E1734</t>
  </si>
  <si>
    <t>E07000087</t>
  </si>
  <si>
    <t>Fenland</t>
  </si>
  <si>
    <t>E0533</t>
  </si>
  <si>
    <t>E07000010</t>
  </si>
  <si>
    <t>Folkestone and Hythe</t>
  </si>
  <si>
    <t>E2240</t>
  </si>
  <si>
    <t>E07000112</t>
  </si>
  <si>
    <t>Forest of Dean</t>
  </si>
  <si>
    <t>E1633</t>
  </si>
  <si>
    <t>E07000080</t>
  </si>
  <si>
    <t>Fylde</t>
  </si>
  <si>
    <t>E2335</t>
  </si>
  <si>
    <t>E07000119</t>
  </si>
  <si>
    <t>Gateshead</t>
  </si>
  <si>
    <t>E4501</t>
  </si>
  <si>
    <t>E08000037</t>
  </si>
  <si>
    <t>Northumbria Police and Crime Commissioner and Chief Constable</t>
  </si>
  <si>
    <t>E23000007</t>
  </si>
  <si>
    <t>Tyne and Wear Fire &amp; CD Authority</t>
  </si>
  <si>
    <t>E31000043</t>
  </si>
  <si>
    <t>Gedling</t>
  </si>
  <si>
    <t>E3034</t>
  </si>
  <si>
    <t>E07000173</t>
  </si>
  <si>
    <t>Gloucester</t>
  </si>
  <si>
    <t>E1634</t>
  </si>
  <si>
    <t>E07000081</t>
  </si>
  <si>
    <t>Gosport</t>
  </si>
  <si>
    <t>E1735</t>
  </si>
  <si>
    <t>E07000088</t>
  </si>
  <si>
    <t>Gravesham</t>
  </si>
  <si>
    <t>E2236</t>
  </si>
  <si>
    <t>E07000109</t>
  </si>
  <si>
    <t>Great Yarmouth</t>
  </si>
  <si>
    <t>E2633</t>
  </si>
  <si>
    <t>E07000145</t>
  </si>
  <si>
    <t>Greenwich</t>
  </si>
  <si>
    <t>E5012</t>
  </si>
  <si>
    <t>E09000011</t>
  </si>
  <si>
    <t>Guildford</t>
  </si>
  <si>
    <t>E3633</t>
  </si>
  <si>
    <t>E07000209</t>
  </si>
  <si>
    <t>Hackney</t>
  </si>
  <si>
    <t>E5013</t>
  </si>
  <si>
    <t>E09000012</t>
  </si>
  <si>
    <t>Halton</t>
  </si>
  <si>
    <t>E0601</t>
  </si>
  <si>
    <t>E06000006</t>
  </si>
  <si>
    <t>Liverpool City Region Combined Authority</t>
  </si>
  <si>
    <t>E47000004</t>
  </si>
  <si>
    <t>Hammersmith and Fulham</t>
  </si>
  <si>
    <t>E5014</t>
  </si>
  <si>
    <t>E09000013</t>
  </si>
  <si>
    <t>Harborough</t>
  </si>
  <si>
    <t>E2433</t>
  </si>
  <si>
    <t>E07000131</t>
  </si>
  <si>
    <t>Haringey</t>
  </si>
  <si>
    <t>E5038</t>
  </si>
  <si>
    <t>E09000014</t>
  </si>
  <si>
    <t>Harlow</t>
  </si>
  <si>
    <t>E1538</t>
  </si>
  <si>
    <t>E07000073</t>
  </si>
  <si>
    <t>Harrow</t>
  </si>
  <si>
    <t>E5039</t>
  </si>
  <si>
    <t>E09000015</t>
  </si>
  <si>
    <t>Hart</t>
  </si>
  <si>
    <t>E1736</t>
  </si>
  <si>
    <t>E07000089</t>
  </si>
  <si>
    <t>Hartlepool</t>
  </si>
  <si>
    <t>E0701</t>
  </si>
  <si>
    <t>E06000001</t>
  </si>
  <si>
    <t>Cleveland Police and Crime Commissioner and Chief Constable</t>
  </si>
  <si>
    <t>E23000013</t>
  </si>
  <si>
    <t>Cleveland Combined Fire Authority</t>
  </si>
  <si>
    <t>E31000007</t>
  </si>
  <si>
    <t>Hastings</t>
  </si>
  <si>
    <t>E1433</t>
  </si>
  <si>
    <t>E07000062</t>
  </si>
  <si>
    <t>Havant</t>
  </si>
  <si>
    <t>E1737</t>
  </si>
  <si>
    <t>E07000090</t>
  </si>
  <si>
    <t>Havering</t>
  </si>
  <si>
    <t>E5040</t>
  </si>
  <si>
    <t>E09000016</t>
  </si>
  <si>
    <t>Herefordshire</t>
  </si>
  <si>
    <t>E1801</t>
  </si>
  <si>
    <t>E06000019</t>
  </si>
  <si>
    <t>Hertsmere</t>
  </si>
  <si>
    <t>E1934</t>
  </si>
  <si>
    <t>E07000098</t>
  </si>
  <si>
    <t>High Peak</t>
  </si>
  <si>
    <t>E1037</t>
  </si>
  <si>
    <t>E07000037</t>
  </si>
  <si>
    <t>Hillingdon</t>
  </si>
  <si>
    <t>E5041</t>
  </si>
  <si>
    <t>E09000017</t>
  </si>
  <si>
    <t>Hinckley and Bosworth</t>
  </si>
  <si>
    <t>E2434</t>
  </si>
  <si>
    <t>E07000132</t>
  </si>
  <si>
    <t>Horsham</t>
  </si>
  <si>
    <t>E3835</t>
  </si>
  <si>
    <t>E07000227</t>
  </si>
  <si>
    <t>Hounslow</t>
  </si>
  <si>
    <t>E5042</t>
  </si>
  <si>
    <t>E09000018</t>
  </si>
  <si>
    <t>Huntingdonshire</t>
  </si>
  <si>
    <t>E0551</t>
  </si>
  <si>
    <t>E07000011</t>
  </si>
  <si>
    <t>Hyndburn</t>
  </si>
  <si>
    <t>E2336</t>
  </si>
  <si>
    <t>E07000120</t>
  </si>
  <si>
    <t>Ipswich</t>
  </si>
  <si>
    <t>E3533</t>
  </si>
  <si>
    <t>E07000202</t>
  </si>
  <si>
    <t>Isle of Wight</t>
  </si>
  <si>
    <t>E2101</t>
  </si>
  <si>
    <t>E06000046</t>
  </si>
  <si>
    <t>Isles of Scilly</t>
  </si>
  <si>
    <t>E4001</t>
  </si>
  <si>
    <t>E06000053</t>
  </si>
  <si>
    <t>Islington</t>
  </si>
  <si>
    <t>E5015</t>
  </si>
  <si>
    <t>E09000019</t>
  </si>
  <si>
    <t>Kensington and Chelsea</t>
  </si>
  <si>
    <t>E5016</t>
  </si>
  <si>
    <t>E09000020</t>
  </si>
  <si>
    <t>Kings Lynn and West Norfolk</t>
  </si>
  <si>
    <t>E2634</t>
  </si>
  <si>
    <t>E07000146</t>
  </si>
  <si>
    <t>Kingston upon Hull</t>
  </si>
  <si>
    <t>E2002</t>
  </si>
  <si>
    <t>E06000010</t>
  </si>
  <si>
    <t>Kingston upon Thames</t>
  </si>
  <si>
    <t>E5043</t>
  </si>
  <si>
    <t>E09000021</t>
  </si>
  <si>
    <t>Kirklees</t>
  </si>
  <si>
    <t>E4703</t>
  </si>
  <si>
    <t>E08000034</t>
  </si>
  <si>
    <t>Knowsley</t>
  </si>
  <si>
    <t>E4301</t>
  </si>
  <si>
    <t>E08000011</t>
  </si>
  <si>
    <t>Merseyside Police and Crime Commissioner and Chief Constable</t>
  </si>
  <si>
    <t>E23000004</t>
  </si>
  <si>
    <t>Merseyside Fire &amp; CD Authority</t>
  </si>
  <si>
    <t>E31000041</t>
  </si>
  <si>
    <t>Lambeth</t>
  </si>
  <si>
    <t>E5017</t>
  </si>
  <si>
    <t>E09000022</t>
  </si>
  <si>
    <t>Lancaster</t>
  </si>
  <si>
    <t>E2337</t>
  </si>
  <si>
    <t>E07000121</t>
  </si>
  <si>
    <t>Leeds</t>
  </si>
  <si>
    <t>E4704</t>
  </si>
  <si>
    <t>E08000035</t>
  </si>
  <si>
    <t>Leicester</t>
  </si>
  <si>
    <t>E2401</t>
  </si>
  <si>
    <t>E06000016</t>
  </si>
  <si>
    <t>Lewes</t>
  </si>
  <si>
    <t>E1435</t>
  </si>
  <si>
    <t>E07000063</t>
  </si>
  <si>
    <t>Lewisham</t>
  </si>
  <si>
    <t>E5018</t>
  </si>
  <si>
    <t>E09000023</t>
  </si>
  <si>
    <t>Lichfield</t>
  </si>
  <si>
    <t>E3433</t>
  </si>
  <si>
    <t>E07000194</t>
  </si>
  <si>
    <t>Lincoln</t>
  </si>
  <si>
    <t>E2533</t>
  </si>
  <si>
    <t>E07000138</t>
  </si>
  <si>
    <t>Liverpool</t>
  </si>
  <si>
    <t>E4302</t>
  </si>
  <si>
    <t>E08000012</t>
  </si>
  <si>
    <t>Luton</t>
  </si>
  <si>
    <t>E0201</t>
  </si>
  <si>
    <t>E06000032</t>
  </si>
  <si>
    <t>Maidstone</t>
  </si>
  <si>
    <t>E2237</t>
  </si>
  <si>
    <t>E07000110</t>
  </si>
  <si>
    <t>Maldon</t>
  </si>
  <si>
    <t>E1539</t>
  </si>
  <si>
    <t>E07000074</t>
  </si>
  <si>
    <t>Malvern Hills</t>
  </si>
  <si>
    <t>E1851</t>
  </si>
  <si>
    <t>E07000235</t>
  </si>
  <si>
    <t>Manchester</t>
  </si>
  <si>
    <t>E4203</t>
  </si>
  <si>
    <t>E08000003</t>
  </si>
  <si>
    <t>Mansfield</t>
  </si>
  <si>
    <t>E3035</t>
  </si>
  <si>
    <t>E07000174</t>
  </si>
  <si>
    <t>Medway</t>
  </si>
  <si>
    <t>E2201</t>
  </si>
  <si>
    <t>E06000035</t>
  </si>
  <si>
    <t>Melton</t>
  </si>
  <si>
    <t>E2436</t>
  </si>
  <si>
    <t>E07000133</t>
  </si>
  <si>
    <t>Merton</t>
  </si>
  <si>
    <t>E5044</t>
  </si>
  <si>
    <t>E09000024</t>
  </si>
  <si>
    <t>Mid Devon</t>
  </si>
  <si>
    <t>E1133</t>
  </si>
  <si>
    <t>E07000042</t>
  </si>
  <si>
    <t>Mid Suffolk</t>
  </si>
  <si>
    <t>E3534</t>
  </si>
  <si>
    <t>E07000203</t>
  </si>
  <si>
    <t>Mid Sussex</t>
  </si>
  <si>
    <t>E3836</t>
  </si>
  <si>
    <t>E07000228</t>
  </si>
  <si>
    <t>Middlesbrough</t>
  </si>
  <si>
    <t>E0702</t>
  </si>
  <si>
    <t>E06000002</t>
  </si>
  <si>
    <t>Milton Keynes</t>
  </si>
  <si>
    <t>E0401</t>
  </si>
  <si>
    <t>E06000042</t>
  </si>
  <si>
    <t>Mole Valley</t>
  </si>
  <si>
    <t>E3634</t>
  </si>
  <si>
    <t>E07000210</t>
  </si>
  <si>
    <t>New Forest</t>
  </si>
  <si>
    <t>E1738</t>
  </si>
  <si>
    <t>E07000091</t>
  </si>
  <si>
    <t>Newark and Sherwood</t>
  </si>
  <si>
    <t>E3036</t>
  </si>
  <si>
    <t>E07000175</t>
  </si>
  <si>
    <t>Newcastle upon Tyne</t>
  </si>
  <si>
    <t>E4502</t>
  </si>
  <si>
    <t>E08000021</t>
  </si>
  <si>
    <t>Newcastle-under-Lyme</t>
  </si>
  <si>
    <t>E3434</t>
  </si>
  <si>
    <t>E07000195</t>
  </si>
  <si>
    <t>Newham</t>
  </si>
  <si>
    <t>E5045</t>
  </si>
  <si>
    <t>E09000025</t>
  </si>
  <si>
    <t>North Devon</t>
  </si>
  <si>
    <t>E1134</t>
  </si>
  <si>
    <t>E07000043</t>
  </si>
  <si>
    <t>North East Derbyshire</t>
  </si>
  <si>
    <t>E1038</t>
  </si>
  <si>
    <t>E07000038</t>
  </si>
  <si>
    <t>North East Lincolnshire</t>
  </si>
  <si>
    <t>E2003</t>
  </si>
  <si>
    <t>E06000012</t>
  </si>
  <si>
    <t>North Hertfordshire</t>
  </si>
  <si>
    <t>E1935</t>
  </si>
  <si>
    <t>E07000099</t>
  </si>
  <si>
    <t>North Kesteven</t>
  </si>
  <si>
    <t>E2534</t>
  </si>
  <si>
    <t>E07000139</t>
  </si>
  <si>
    <t>North Lincolnshire</t>
  </si>
  <si>
    <t>E2004</t>
  </si>
  <si>
    <t>E06000013</t>
  </si>
  <si>
    <t>North Norfolk</t>
  </si>
  <si>
    <t>E2635</t>
  </si>
  <si>
    <t>E07000147</t>
  </si>
  <si>
    <t>North Northamptonshire</t>
  </si>
  <si>
    <t>E2801</t>
  </si>
  <si>
    <t>E06000061</t>
  </si>
  <si>
    <t>Northamptonshire Police and Crime Commissioner and Chief Constable</t>
  </si>
  <si>
    <t>E23000022</t>
  </si>
  <si>
    <t>Northamptonshire PCC-FRA</t>
  </si>
  <si>
    <t>E31000028</t>
  </si>
  <si>
    <t>E0104</t>
  </si>
  <si>
    <t>E06000024</t>
  </si>
  <si>
    <t>North Tyneside</t>
  </si>
  <si>
    <t>E4503</t>
  </si>
  <si>
    <t>E08000022</t>
  </si>
  <si>
    <t>North Warwickshire</t>
  </si>
  <si>
    <t>E3731</t>
  </si>
  <si>
    <t>E07000218</t>
  </si>
  <si>
    <t>Warwickshire</t>
  </si>
  <si>
    <t>E10000031</t>
  </si>
  <si>
    <t>Warwickshire Police and Crime Commissioner and Chief Constable</t>
  </si>
  <si>
    <t>E23000017</t>
  </si>
  <si>
    <t>North West Leicestershire</t>
  </si>
  <si>
    <t>E2437</t>
  </si>
  <si>
    <t>E07000134</t>
  </si>
  <si>
    <t>North Yorkshire</t>
  </si>
  <si>
    <t>E2702</t>
  </si>
  <si>
    <t>E06000065</t>
  </si>
  <si>
    <t>York and North Yorkshire Combined Authority - PCC functions</t>
  </si>
  <si>
    <t>E47000012</t>
  </si>
  <si>
    <t>York and North Yorkshire Combined Authority - General functions</t>
  </si>
  <si>
    <t>Northumberland</t>
  </si>
  <si>
    <t>E2901</t>
  </si>
  <si>
    <t>E06000057</t>
  </si>
  <si>
    <t>Norwich</t>
  </si>
  <si>
    <t>E2636</t>
  </si>
  <si>
    <t>E07000148</t>
  </si>
  <si>
    <t>Nottingham</t>
  </si>
  <si>
    <t>E3001</t>
  </si>
  <si>
    <t>E06000018</t>
  </si>
  <si>
    <t>Nuneaton and Bedworth</t>
  </si>
  <si>
    <t>E3732</t>
  </si>
  <si>
    <t>E07000219</t>
  </si>
  <si>
    <t>Oadby and Wigston</t>
  </si>
  <si>
    <t>E2438</t>
  </si>
  <si>
    <t>E07000135</t>
  </si>
  <si>
    <t>Oldham</t>
  </si>
  <si>
    <t>E4204</t>
  </si>
  <si>
    <t>E08000004</t>
  </si>
  <si>
    <t>Oxford</t>
  </si>
  <si>
    <t>E3132</t>
  </si>
  <si>
    <t>E07000178</t>
  </si>
  <si>
    <t>Pendle</t>
  </si>
  <si>
    <t>E2338</t>
  </si>
  <si>
    <t>E07000122</t>
  </si>
  <si>
    <t>Peterborough</t>
  </si>
  <si>
    <t>E0501</t>
  </si>
  <si>
    <t>E06000031</t>
  </si>
  <si>
    <t>Plymouth</t>
  </si>
  <si>
    <t>E1101</t>
  </si>
  <si>
    <t>E06000026</t>
  </si>
  <si>
    <t>Portsmouth</t>
  </si>
  <si>
    <t>E1701</t>
  </si>
  <si>
    <t>E06000044</t>
  </si>
  <si>
    <t>Preston</t>
  </si>
  <si>
    <t>E2339</t>
  </si>
  <si>
    <t>E07000123</t>
  </si>
  <si>
    <t>Reading</t>
  </si>
  <si>
    <t>E0303</t>
  </si>
  <si>
    <t>E06000038</t>
  </si>
  <si>
    <t>Redbridge</t>
  </si>
  <si>
    <t>E5046</t>
  </si>
  <si>
    <t>E09000026</t>
  </si>
  <si>
    <t>Redcar and Cleveland</t>
  </si>
  <si>
    <t>E0703</t>
  </si>
  <si>
    <t>E06000003</t>
  </si>
  <si>
    <t>Redditch</t>
  </si>
  <si>
    <t>E1835</t>
  </si>
  <si>
    <t>E07000236</t>
  </si>
  <si>
    <t>Reigate and Banstead</t>
  </si>
  <si>
    <t>E3635</t>
  </si>
  <si>
    <t>E07000211</t>
  </si>
  <si>
    <t>Ribble Valley</t>
  </si>
  <si>
    <t>E2340</t>
  </si>
  <si>
    <t>E07000124</t>
  </si>
  <si>
    <t>Richmond upon Thames</t>
  </si>
  <si>
    <t>E5047</t>
  </si>
  <si>
    <t>E09000027</t>
  </si>
  <si>
    <t>Rochdale</t>
  </si>
  <si>
    <t>E4205</t>
  </si>
  <si>
    <t>E08000005</t>
  </si>
  <si>
    <t>Rochford</t>
  </si>
  <si>
    <t>E1540</t>
  </si>
  <si>
    <t>E07000075</t>
  </si>
  <si>
    <t>Rossendale</t>
  </si>
  <si>
    <t>E2341</t>
  </si>
  <si>
    <t>E07000125</t>
  </si>
  <si>
    <t>Rother</t>
  </si>
  <si>
    <t>E1436</t>
  </si>
  <si>
    <t>E07000064</t>
  </si>
  <si>
    <t>Rotherham</t>
  </si>
  <si>
    <t>E4403</t>
  </si>
  <si>
    <t>E08000018</t>
  </si>
  <si>
    <t>Rugby</t>
  </si>
  <si>
    <t>E3733</t>
  </si>
  <si>
    <t>E07000220</t>
  </si>
  <si>
    <t>Runnymede</t>
  </si>
  <si>
    <t>E3636</t>
  </si>
  <si>
    <t>E07000212</t>
  </si>
  <si>
    <t>Rushcliffe</t>
  </si>
  <si>
    <t>E3038</t>
  </si>
  <si>
    <t>E07000176</t>
  </si>
  <si>
    <t>Rushmoor</t>
  </si>
  <si>
    <t>E1740</t>
  </si>
  <si>
    <t>E07000092</t>
  </si>
  <si>
    <t>Rutland</t>
  </si>
  <si>
    <t>E2402</t>
  </si>
  <si>
    <t>E06000017</t>
  </si>
  <si>
    <t>Salford</t>
  </si>
  <si>
    <t>E4206</t>
  </si>
  <si>
    <t>E08000006</t>
  </si>
  <si>
    <t>Sandwell</t>
  </si>
  <si>
    <t>E4604</t>
  </si>
  <si>
    <t>E08000028</t>
  </si>
  <si>
    <t>Sefton</t>
  </si>
  <si>
    <t>E4304</t>
  </si>
  <si>
    <t>E08000014</t>
  </si>
  <si>
    <t>Sevenoaks</t>
  </si>
  <si>
    <t>E2239</t>
  </si>
  <si>
    <t>E07000111</t>
  </si>
  <si>
    <t>Sheffield</t>
  </si>
  <si>
    <t>E4404</t>
  </si>
  <si>
    <t>E08000039</t>
  </si>
  <si>
    <t>E3202</t>
  </si>
  <si>
    <t>E06000051</t>
  </si>
  <si>
    <t>Shropshire Combined Fire Authority</t>
  </si>
  <si>
    <t>E31000032</t>
  </si>
  <si>
    <t>Slough</t>
  </si>
  <si>
    <t>E0304</t>
  </si>
  <si>
    <t>E06000039</t>
  </si>
  <si>
    <t>Solihull</t>
  </si>
  <si>
    <t>E4605</t>
  </si>
  <si>
    <t>E08000029</t>
  </si>
  <si>
    <t>Somerset</t>
  </si>
  <si>
    <t>E3301</t>
  </si>
  <si>
    <t>E06000066</t>
  </si>
  <si>
    <t>South Cambridgeshire</t>
  </si>
  <si>
    <t>E0536</t>
  </si>
  <si>
    <t>E07000012</t>
  </si>
  <si>
    <t>South Derbyshire</t>
  </si>
  <si>
    <t>E1039</t>
  </si>
  <si>
    <t>E07000039</t>
  </si>
  <si>
    <t>South Gloucestershire</t>
  </si>
  <si>
    <t>E0103</t>
  </si>
  <si>
    <t>E06000025</t>
  </si>
  <si>
    <t>South Hams</t>
  </si>
  <si>
    <t>E1136</t>
  </si>
  <si>
    <t>E07000044</t>
  </si>
  <si>
    <t>South Holland</t>
  </si>
  <si>
    <t>E2535</t>
  </si>
  <si>
    <t>E07000140</t>
  </si>
  <si>
    <t>South Kesteven</t>
  </si>
  <si>
    <t>E2536</t>
  </si>
  <si>
    <t>E07000141</t>
  </si>
  <si>
    <t>South Norfolk</t>
  </si>
  <si>
    <t>E2637</t>
  </si>
  <si>
    <t>E07000149</t>
  </si>
  <si>
    <t>South Oxfordshire</t>
  </si>
  <si>
    <t>E3133</t>
  </si>
  <si>
    <t>E07000179</t>
  </si>
  <si>
    <t>South Ribble</t>
  </si>
  <si>
    <t>E2342</t>
  </si>
  <si>
    <t>E07000126</t>
  </si>
  <si>
    <t>South Staffordshire</t>
  </si>
  <si>
    <t>E3435</t>
  </si>
  <si>
    <t>E07000196</t>
  </si>
  <si>
    <t>South Tyneside</t>
  </si>
  <si>
    <t>E4504</t>
  </si>
  <si>
    <t>E08000023</t>
  </si>
  <si>
    <t>Southampton</t>
  </si>
  <si>
    <t>E1702</t>
  </si>
  <si>
    <t>E06000045</t>
  </si>
  <si>
    <t>Southend-on-Sea</t>
  </si>
  <si>
    <t>E1501</t>
  </si>
  <si>
    <t>E06000033</t>
  </si>
  <si>
    <t>Southwark</t>
  </si>
  <si>
    <t>E5019</t>
  </si>
  <si>
    <t>E09000028</t>
  </si>
  <si>
    <t>Spelthorne</t>
  </si>
  <si>
    <t>E3637</t>
  </si>
  <si>
    <t>E07000213</t>
  </si>
  <si>
    <t>St Albans</t>
  </si>
  <si>
    <t>E1936</t>
  </si>
  <si>
    <t>E07000240</t>
  </si>
  <si>
    <t>St Helens</t>
  </si>
  <si>
    <t>E4303</t>
  </si>
  <si>
    <t>E08000013</t>
  </si>
  <si>
    <t>Stafford</t>
  </si>
  <si>
    <t>E3436</t>
  </si>
  <si>
    <t>E07000197</t>
  </si>
  <si>
    <t>Staffordshire Moorlands</t>
  </si>
  <si>
    <t>E3437</t>
  </si>
  <si>
    <t>E07000198</t>
  </si>
  <si>
    <t>Stevenage</t>
  </si>
  <si>
    <t>E1937</t>
  </si>
  <si>
    <t>E07000243</t>
  </si>
  <si>
    <t>Stockport</t>
  </si>
  <si>
    <t>E4207</t>
  </si>
  <si>
    <t>E08000007</t>
  </si>
  <si>
    <t>Stockton-on-Tees</t>
  </si>
  <si>
    <t>E0704</t>
  </si>
  <si>
    <t>E06000004</t>
  </si>
  <si>
    <t>Stoke-on-Trent</t>
  </si>
  <si>
    <t>E3401</t>
  </si>
  <si>
    <t>E06000021</t>
  </si>
  <si>
    <t>Stratford-on-Avon</t>
  </si>
  <si>
    <t>E3734</t>
  </si>
  <si>
    <t>E07000221</t>
  </si>
  <si>
    <t>Stroud</t>
  </si>
  <si>
    <t>E1635</t>
  </si>
  <si>
    <t>E07000082</t>
  </si>
  <si>
    <t>Sunderland</t>
  </si>
  <si>
    <t>E4505</t>
  </si>
  <si>
    <t>E08000024</t>
  </si>
  <si>
    <t>Surrey Heath</t>
  </si>
  <si>
    <t>E3638</t>
  </si>
  <si>
    <t>E07000214</t>
  </si>
  <si>
    <t>Sutton</t>
  </si>
  <si>
    <t>E5048</t>
  </si>
  <si>
    <t>E09000029</t>
  </si>
  <si>
    <t>Swale</t>
  </si>
  <si>
    <t>E2241</t>
  </si>
  <si>
    <t>E07000113</t>
  </si>
  <si>
    <t>Swindon</t>
  </si>
  <si>
    <t>E3901</t>
  </si>
  <si>
    <t>E06000030</t>
  </si>
  <si>
    <t>Wiltshire Police and Crime Commissioner and Chief Constable</t>
  </si>
  <si>
    <t>E23000038</t>
  </si>
  <si>
    <t>Tameside</t>
  </si>
  <si>
    <t>E4208</t>
  </si>
  <si>
    <t>E08000008</t>
  </si>
  <si>
    <t>Tamworth</t>
  </si>
  <si>
    <t>E3439</t>
  </si>
  <si>
    <t>E07000199</t>
  </si>
  <si>
    <t>Tandridge</t>
  </si>
  <si>
    <t>E3639</t>
  </si>
  <si>
    <t>E07000215</t>
  </si>
  <si>
    <t>Teignbridge</t>
  </si>
  <si>
    <t>E1137</t>
  </si>
  <si>
    <t>E07000045</t>
  </si>
  <si>
    <t>Telford and Wrekin</t>
  </si>
  <si>
    <t>E3201</t>
  </si>
  <si>
    <t>E06000020</t>
  </si>
  <si>
    <t>Tendring</t>
  </si>
  <si>
    <t>E1542</t>
  </si>
  <si>
    <t>E07000076</t>
  </si>
  <si>
    <t>Test Valley</t>
  </si>
  <si>
    <t>E1742</t>
  </si>
  <si>
    <t>E07000093</t>
  </si>
  <si>
    <t>Tewkesbury</t>
  </si>
  <si>
    <t>E1636</t>
  </si>
  <si>
    <t>E07000083</t>
  </si>
  <si>
    <t>Thanet</t>
  </si>
  <si>
    <t>E2242</t>
  </si>
  <si>
    <t>E07000114</t>
  </si>
  <si>
    <t>Three Rivers</t>
  </si>
  <si>
    <t>E1938</t>
  </si>
  <si>
    <t>E07000102</t>
  </si>
  <si>
    <t>Thurrock</t>
  </si>
  <si>
    <t>E1502</t>
  </si>
  <si>
    <t>E06000034</t>
  </si>
  <si>
    <t>Tonbridge and Malling</t>
  </si>
  <si>
    <t>E2243</t>
  </si>
  <si>
    <t>E07000115</t>
  </si>
  <si>
    <t>Torbay</t>
  </si>
  <si>
    <t>E1102</t>
  </si>
  <si>
    <t>E06000027</t>
  </si>
  <si>
    <t>Torridge</t>
  </si>
  <si>
    <t>E1139</t>
  </si>
  <si>
    <t>E07000046</t>
  </si>
  <si>
    <t>Tower Hamlets</t>
  </si>
  <si>
    <t>E5020</t>
  </si>
  <si>
    <t>E09000030</t>
  </si>
  <si>
    <t>E4209</t>
  </si>
  <si>
    <t>E08000009</t>
  </si>
  <si>
    <t>Tunbridge Wells</t>
  </si>
  <si>
    <t>E2244</t>
  </si>
  <si>
    <t>E07000116</t>
  </si>
  <si>
    <t>Uttlesford</t>
  </si>
  <si>
    <t>E1544</t>
  </si>
  <si>
    <t>E07000077</t>
  </si>
  <si>
    <t>Vale of White Horse</t>
  </si>
  <si>
    <t>E3134</t>
  </si>
  <si>
    <t>E07000180</t>
  </si>
  <si>
    <t>Wakefield</t>
  </si>
  <si>
    <t>E4705</t>
  </si>
  <si>
    <t>E08000036</t>
  </si>
  <si>
    <t>Walsall</t>
  </si>
  <si>
    <t>E4606</t>
  </si>
  <si>
    <t>E08000030</t>
  </si>
  <si>
    <t>Waltham Forest</t>
  </si>
  <si>
    <t>E5049</t>
  </si>
  <si>
    <t>E09000031</t>
  </si>
  <si>
    <t>Wandsworth</t>
  </si>
  <si>
    <t>E5021</t>
  </si>
  <si>
    <t>E09000032</t>
  </si>
  <si>
    <t>E0602</t>
  </si>
  <si>
    <t>E06000007</t>
  </si>
  <si>
    <t>Warwick</t>
  </si>
  <si>
    <t>E3735</t>
  </si>
  <si>
    <t>E07000222</t>
  </si>
  <si>
    <t>Watford</t>
  </si>
  <si>
    <t>E1939</t>
  </si>
  <si>
    <t>E07000103</t>
  </si>
  <si>
    <t>Waverley</t>
  </si>
  <si>
    <t>E3640</t>
  </si>
  <si>
    <t>E07000216</t>
  </si>
  <si>
    <t>Wealden</t>
  </si>
  <si>
    <t>E1437</t>
  </si>
  <si>
    <t>E07000065</t>
  </si>
  <si>
    <t>Welwyn Hatfield</t>
  </si>
  <si>
    <t>E1940</t>
  </si>
  <si>
    <t>E07000241</t>
  </si>
  <si>
    <t>West Berkshire</t>
  </si>
  <si>
    <t>E0302</t>
  </si>
  <si>
    <t>E06000037</t>
  </si>
  <si>
    <t>West Devon</t>
  </si>
  <si>
    <t>E1140</t>
  </si>
  <si>
    <t>E07000047</t>
  </si>
  <si>
    <t>West Lancashire</t>
  </si>
  <si>
    <t>E2343</t>
  </si>
  <si>
    <t>E07000127</t>
  </si>
  <si>
    <t>West Lindsey</t>
  </si>
  <si>
    <t>E2537</t>
  </si>
  <si>
    <t>E07000142</t>
  </si>
  <si>
    <t>West Northamptonshire</t>
  </si>
  <si>
    <t>E2802</t>
  </si>
  <si>
    <t>E06000062</t>
  </si>
  <si>
    <t>West Oxfordshire</t>
  </si>
  <si>
    <t>E3135</t>
  </si>
  <si>
    <t>E07000181</t>
  </si>
  <si>
    <t>West Suffolk</t>
  </si>
  <si>
    <t>E3539</t>
  </si>
  <si>
    <t>E07000245</t>
  </si>
  <si>
    <t>Westminster</t>
  </si>
  <si>
    <t>E5022</t>
  </si>
  <si>
    <t>E09000033</t>
  </si>
  <si>
    <t>Westmorland and Furness</t>
  </si>
  <si>
    <t>E0902</t>
  </si>
  <si>
    <t>E06000064</t>
  </si>
  <si>
    <t>Wigan</t>
  </si>
  <si>
    <t>E4210</t>
  </si>
  <si>
    <t>E08000010</t>
  </si>
  <si>
    <t>Wiltshire</t>
  </si>
  <si>
    <t>E3902</t>
  </si>
  <si>
    <t>E06000054</t>
  </si>
  <si>
    <t>Winchester</t>
  </si>
  <si>
    <t>E1743</t>
  </si>
  <si>
    <t>E07000094</t>
  </si>
  <si>
    <t>E0305</t>
  </si>
  <si>
    <t>E06000040</t>
  </si>
  <si>
    <t>Wirral</t>
  </si>
  <si>
    <t>E4305</t>
  </si>
  <si>
    <t>E08000015</t>
  </si>
  <si>
    <t>Woking</t>
  </si>
  <si>
    <t>E3641</t>
  </si>
  <si>
    <t>E07000217</t>
  </si>
  <si>
    <t>Wokingham</t>
  </si>
  <si>
    <t>E0306</t>
  </si>
  <si>
    <t>E06000041</t>
  </si>
  <si>
    <t>Wolverhampton</t>
  </si>
  <si>
    <t>E4607</t>
  </si>
  <si>
    <t>E08000031</t>
  </si>
  <si>
    <t>Worcester</t>
  </si>
  <si>
    <t>E1837</t>
  </si>
  <si>
    <t>E07000237</t>
  </si>
  <si>
    <t>Worthing</t>
  </si>
  <si>
    <t>E3837</t>
  </si>
  <si>
    <t>E07000229</t>
  </si>
  <si>
    <t>Wychavon</t>
  </si>
  <si>
    <t>E1838</t>
  </si>
  <si>
    <t>E07000238</t>
  </si>
  <si>
    <t>Wyre</t>
  </si>
  <si>
    <t>E2344</t>
  </si>
  <si>
    <t>E07000128</t>
  </si>
  <si>
    <t>Wyre Forest</t>
  </si>
  <si>
    <t>E1839</t>
  </si>
  <si>
    <t>E07000239</t>
  </si>
  <si>
    <t>York</t>
  </si>
  <si>
    <t>E2701</t>
  </si>
  <si>
    <t>E06000014</t>
  </si>
  <si>
    <t>ZZZZ</t>
  </si>
  <si>
    <t>EZZZZ</t>
  </si>
  <si>
    <t>Predecessor areas</t>
  </si>
  <si>
    <t>Ecodes</t>
  </si>
  <si>
    <t>Tax base for CT setting purposes</t>
  </si>
  <si>
    <t>Ave Band D including local precepts</t>
  </si>
  <si>
    <t>Ave Band D excluding local precepts</t>
  </si>
  <si>
    <t>Referendum type</t>
  </si>
  <si>
    <t>Referendum %</t>
  </si>
  <si>
    <t>Referendum £5</t>
  </si>
  <si>
    <t xml:space="preserve">ANA </t>
  </si>
  <si>
    <t>Referendum Threshold - %</t>
  </si>
  <si>
    <t>Referendum Threshold - £5</t>
  </si>
  <si>
    <t>Referendum threshold - actual</t>
  </si>
  <si>
    <t>Allerdale</t>
  </si>
  <si>
    <t>E0931</t>
  </si>
  <si>
    <t>ASC</t>
  </si>
  <si>
    <t>Carlisle</t>
  </si>
  <si>
    <t>E0933</t>
  </si>
  <si>
    <t>Copeland</t>
  </si>
  <si>
    <t>E0934</t>
  </si>
  <si>
    <t>Barrow-in-Furness</t>
  </si>
  <si>
    <t>E0932</t>
  </si>
  <si>
    <t>Eden</t>
  </si>
  <si>
    <t>E0935</t>
  </si>
  <si>
    <t>South Lakeland</t>
  </si>
  <si>
    <t>E0936</t>
  </si>
  <si>
    <t>Craven</t>
  </si>
  <si>
    <t>E2731</t>
  </si>
  <si>
    <t>Hambleton</t>
  </si>
  <si>
    <t>E2732</t>
  </si>
  <si>
    <t>Harrogate</t>
  </si>
  <si>
    <t>E2753</t>
  </si>
  <si>
    <t>Richmondshire</t>
  </si>
  <si>
    <t>E2734</t>
  </si>
  <si>
    <t>Ryedale</t>
  </si>
  <si>
    <t>E2755</t>
  </si>
  <si>
    <t>Scarborough</t>
  </si>
  <si>
    <t>E2736</t>
  </si>
  <si>
    <t>Selby</t>
  </si>
  <si>
    <t>E2757</t>
  </si>
  <si>
    <t>Mendip</t>
  </si>
  <si>
    <t>E3331</t>
  </si>
  <si>
    <t>Sedgemoor</t>
  </si>
  <si>
    <t>E3332</t>
  </si>
  <si>
    <t>Somerset West and Taunton</t>
  </si>
  <si>
    <t>E3336</t>
  </si>
  <si>
    <t>South Somerset</t>
  </si>
  <si>
    <t>E3334</t>
  </si>
  <si>
    <t>LA_ONS_Code</t>
  </si>
  <si>
    <t>ctrtot_ba_cy</t>
  </si>
  <si>
    <t>spexpense_ba_cy</t>
  </si>
  <si>
    <t>locprecept_ba_cy</t>
  </si>
  <si>
    <t>ctrxpp_ba_cy</t>
  </si>
  <si>
    <t>ctrlevy_ba_cy</t>
  </si>
  <si>
    <t>ctrtaxbase_ba_cy</t>
  </si>
  <si>
    <t>collrate_ba_cy/100</t>
  </si>
  <si>
    <t>ctrclasso_ba_cy</t>
  </si>
  <si>
    <t>ctrtaxbaseadj_ba_cy</t>
  </si>
  <si>
    <t>avebanddincpp_ba_cy</t>
  </si>
  <si>
    <t>avebanddexpp_ba_cy</t>
  </si>
  <si>
    <t>Authority</t>
  </si>
  <si>
    <t>Authority + Parish Name</t>
  </si>
  <si>
    <t>Parish_Code</t>
  </si>
  <si>
    <t>Parish_Name</t>
  </si>
  <si>
    <t>Tax base</t>
  </si>
  <si>
    <t>Band D</t>
  </si>
  <si>
    <t>Parish_Type</t>
  </si>
  <si>
    <t>ONS_Code</t>
  </si>
  <si>
    <t>Bath and North East SomersetBathampton</t>
  </si>
  <si>
    <t>E0101P001</t>
  </si>
  <si>
    <t>Bathampton</t>
  </si>
  <si>
    <t>Precepting parish</t>
  </si>
  <si>
    <t>Bath and North East SomersetBatheaston</t>
  </si>
  <si>
    <t>E0101P002</t>
  </si>
  <si>
    <t>Batheaston</t>
  </si>
  <si>
    <t>Bath and North East SomersetBathford</t>
  </si>
  <si>
    <t>E0101P003</t>
  </si>
  <si>
    <t>Bathford</t>
  </si>
  <si>
    <t>Bath and North East SomersetCameley</t>
  </si>
  <si>
    <t>E0101P004</t>
  </si>
  <si>
    <t>Cameley</t>
  </si>
  <si>
    <t>Bath and North East SomersetCamerton</t>
  </si>
  <si>
    <t>E0101P005</t>
  </si>
  <si>
    <t>Camerton</t>
  </si>
  <si>
    <t>Bath and North East SomersetCharlcombe</t>
  </si>
  <si>
    <t>E0101P006</t>
  </si>
  <si>
    <t>Charlcombe</t>
  </si>
  <si>
    <t>Bath and North East SomersetChelwood</t>
  </si>
  <si>
    <t>E0101P007</t>
  </si>
  <si>
    <t>Chelwood</t>
  </si>
  <si>
    <t>Bath and North East SomersetChew Magna</t>
  </si>
  <si>
    <t>E0101P008</t>
  </si>
  <si>
    <t>Chew Magna</t>
  </si>
  <si>
    <t>Bath and North East SomersetChew Stoke</t>
  </si>
  <si>
    <t>E0101P009</t>
  </si>
  <si>
    <t>Chew Stoke</t>
  </si>
  <si>
    <t>Bath and North East SomersetClaverton</t>
  </si>
  <si>
    <t>E0101P010</t>
  </si>
  <si>
    <t>Claverton</t>
  </si>
  <si>
    <t>Bath and North East SomersetClutton</t>
  </si>
  <si>
    <t>E0101P011</t>
  </si>
  <si>
    <t>Clutton</t>
  </si>
  <si>
    <t>Bath and North East SomersetCombe Hay</t>
  </si>
  <si>
    <t>E0101P012</t>
  </si>
  <si>
    <t>Combe Hay</t>
  </si>
  <si>
    <t>Bath and North East SomersetCompton Dando</t>
  </si>
  <si>
    <t>E0101P013</t>
  </si>
  <si>
    <t>Compton Dando</t>
  </si>
  <si>
    <t>Bath and North East SomersetCompton Martin</t>
  </si>
  <si>
    <t>E0101P014</t>
  </si>
  <si>
    <t>Compton Martin</t>
  </si>
  <si>
    <t>Bath and North East SomersetCorston</t>
  </si>
  <si>
    <t>E0101P015</t>
  </si>
  <si>
    <t>Corston</t>
  </si>
  <si>
    <t>Bath and North East SomersetDunkerton &amp; Tunley</t>
  </si>
  <si>
    <t>E0101P016</t>
  </si>
  <si>
    <t>Dunkerton &amp; Tunley</t>
  </si>
  <si>
    <t>Bath and North East SomersetEast Harptree</t>
  </si>
  <si>
    <t>E0101P017</t>
  </si>
  <si>
    <t>East Harptree</t>
  </si>
  <si>
    <t>Bath and North East SomersetEnglishcombe</t>
  </si>
  <si>
    <t>E0101P018</t>
  </si>
  <si>
    <t>Englishcombe</t>
  </si>
  <si>
    <t>Bath and North East SomersetFarmborough</t>
  </si>
  <si>
    <t>E0101P019</t>
  </si>
  <si>
    <t>Farmborough</t>
  </si>
  <si>
    <t>Bath and North East SomersetFarrington Gurney</t>
  </si>
  <si>
    <t>E0101P020</t>
  </si>
  <si>
    <t>Farrington Gurney</t>
  </si>
  <si>
    <t>Bath and North East SomersetFreshford</t>
  </si>
  <si>
    <t>E0101P021</t>
  </si>
  <si>
    <t>Freshford</t>
  </si>
  <si>
    <t>Bath and North East SomersetHigh Littleton</t>
  </si>
  <si>
    <t>E0101P022</t>
  </si>
  <si>
    <t>High Littleton</t>
  </si>
  <si>
    <t>Bath and North East SomersetHinton Blewett</t>
  </si>
  <si>
    <t>E0101P023</t>
  </si>
  <si>
    <t>Hinton Blewett</t>
  </si>
  <si>
    <t>Bath and North East SomersetHinton Charterhouse</t>
  </si>
  <si>
    <t>E0101P024</t>
  </si>
  <si>
    <t>Hinton Charterhouse</t>
  </si>
  <si>
    <t>Bath and North East SomersetKelston</t>
  </si>
  <si>
    <t>E0101P025</t>
  </si>
  <si>
    <t>Kelston</t>
  </si>
  <si>
    <t>Bath and North East SomersetKeynsham</t>
  </si>
  <si>
    <t>E0101P026</t>
  </si>
  <si>
    <t>Keynsham</t>
  </si>
  <si>
    <t>Bath and North East SomersetMarksbury</t>
  </si>
  <si>
    <t>E0101P027</t>
  </si>
  <si>
    <t>Marksbury</t>
  </si>
  <si>
    <t>Bath and North East SomersetMidsomer Norton</t>
  </si>
  <si>
    <t>E0101P028</t>
  </si>
  <si>
    <t>Midsomer Norton</t>
  </si>
  <si>
    <t>Bath and North East SomersetMonkton Combe</t>
  </si>
  <si>
    <t>E0101P029</t>
  </si>
  <si>
    <t>Monkton Combe</t>
  </si>
  <si>
    <t>Bath and North East SomersetNempnett Thrubwell</t>
  </si>
  <si>
    <t>E0101P030</t>
  </si>
  <si>
    <t>Nempnett Thrubwell</t>
  </si>
  <si>
    <t>Bath and North East SomersetNewton St. Loe</t>
  </si>
  <si>
    <t>E0101P031</t>
  </si>
  <si>
    <t>Newton St. Loe</t>
  </si>
  <si>
    <t>Bath and North East SomersetNorth Stoke</t>
  </si>
  <si>
    <t>E0101P032</t>
  </si>
  <si>
    <t>North Stoke</t>
  </si>
  <si>
    <t>Non-precepting parish</t>
  </si>
  <si>
    <t>Bath and North East SomersetNorton Malreward</t>
  </si>
  <si>
    <t>E0101P033</t>
  </si>
  <si>
    <t>Norton Malreward</t>
  </si>
  <si>
    <t>Bath and North East SomersetPaulton</t>
  </si>
  <si>
    <t>E0101P034</t>
  </si>
  <si>
    <t>Paulton</t>
  </si>
  <si>
    <t>Bath and North East SomersetPeasedown St. John</t>
  </si>
  <si>
    <t>E0101P035</t>
  </si>
  <si>
    <t>Peasedown St. John</t>
  </si>
  <si>
    <t>Bath and North East SomersetPriston</t>
  </si>
  <si>
    <t>E0101P036</t>
  </si>
  <si>
    <t>Priston</t>
  </si>
  <si>
    <t>Bath and North East SomersetPublow &amp; Pensford</t>
  </si>
  <si>
    <t>E0101P037</t>
  </si>
  <si>
    <t>Publow &amp; Pensford</t>
  </si>
  <si>
    <t>Bath and North East SomersetRadstock</t>
  </si>
  <si>
    <t>E0101P038</t>
  </si>
  <si>
    <t>Radstock</t>
  </si>
  <si>
    <t>Bath and North East SomersetSaltford</t>
  </si>
  <si>
    <t>E0101P039</t>
  </si>
  <si>
    <t>Saltford</t>
  </si>
  <si>
    <t>Bath and North East SomersetShoscombe</t>
  </si>
  <si>
    <t>E0101P040</t>
  </si>
  <si>
    <t>Shoscombe</t>
  </si>
  <si>
    <t>Bath and North East SomersetSouth Stoke</t>
  </si>
  <si>
    <t>E0101P041</t>
  </si>
  <si>
    <t>South Stoke</t>
  </si>
  <si>
    <t>Bath and North East SomersetSt Catherine</t>
  </si>
  <si>
    <t>E0101P042</t>
  </si>
  <si>
    <t>St Catherine</t>
  </si>
  <si>
    <t>Bath and North East SomersetStanton Drew</t>
  </si>
  <si>
    <t>E0101P043</t>
  </si>
  <si>
    <t>Stanton Drew</t>
  </si>
  <si>
    <t>Bath and North East SomersetStowey Sutton</t>
  </si>
  <si>
    <t>E0101P044</t>
  </si>
  <si>
    <t>Stowey Sutton</t>
  </si>
  <si>
    <t>Bath and North East SomersetSwainswick</t>
  </si>
  <si>
    <t>E0101P045</t>
  </si>
  <si>
    <t>Swainswick</t>
  </si>
  <si>
    <t>Bath and North East SomersetTimsbury</t>
  </si>
  <si>
    <t>E0101P046</t>
  </si>
  <si>
    <t>Timsbury</t>
  </si>
  <si>
    <t>Bath and North East SomersetUbley</t>
  </si>
  <si>
    <t>E0101P047</t>
  </si>
  <si>
    <t>Ubley</t>
  </si>
  <si>
    <t>Bath and North East SomersetWellow</t>
  </si>
  <si>
    <t>E0101P048</t>
  </si>
  <si>
    <t>Wellow</t>
  </si>
  <si>
    <t>Bath and North East SomersetWest Harptree</t>
  </si>
  <si>
    <t>E0101P049</t>
  </si>
  <si>
    <t>West Harptree</t>
  </si>
  <si>
    <t>Bath and North East SomersetWestfield</t>
  </si>
  <si>
    <t>E0101P050</t>
  </si>
  <si>
    <t>Westfield</t>
  </si>
  <si>
    <t>Bath and North East SomersetWhitchurch</t>
  </si>
  <si>
    <t>E0101P051</t>
  </si>
  <si>
    <t>Whitchurch</t>
  </si>
  <si>
    <t>Bath and North East SomersetBath Charter Trustees</t>
  </si>
  <si>
    <t>E0101P052</t>
  </si>
  <si>
    <t>Bath Charter Trustees</t>
  </si>
  <si>
    <t>Charter Trustee</t>
  </si>
  <si>
    <t>South GloucestershireActon Turville</t>
  </si>
  <si>
    <t>E0103P001</t>
  </si>
  <si>
    <t>Acton Turville</t>
  </si>
  <si>
    <t>South GloucestershireAlmondsbury</t>
  </si>
  <si>
    <t>E0103P002</t>
  </si>
  <si>
    <t>Almondsbury</t>
  </si>
  <si>
    <t>South GloucestershireAlveston</t>
  </si>
  <si>
    <t>E0103P003</t>
  </si>
  <si>
    <t>Alveston</t>
  </si>
  <si>
    <t>South GloucestershireAust</t>
  </si>
  <si>
    <t>E0103P004</t>
  </si>
  <si>
    <t>Aust</t>
  </si>
  <si>
    <t>South GloucestershireGreat Badminton</t>
  </si>
  <si>
    <t>E0103P005</t>
  </si>
  <si>
    <t>Great Badminton</t>
  </si>
  <si>
    <t>South GloucestershireBitton</t>
  </si>
  <si>
    <t>E0103P006</t>
  </si>
  <si>
    <t>Bitton</t>
  </si>
  <si>
    <t>South GloucestershireBradley Stoke</t>
  </si>
  <si>
    <t>E0103P007</t>
  </si>
  <si>
    <t>Bradley Stoke</t>
  </si>
  <si>
    <t>South GloucestershireCharfield</t>
  </si>
  <si>
    <t>E0103P008</t>
  </si>
  <si>
    <t>Charfield</t>
  </si>
  <si>
    <t>South GloucestershireCold Ashton</t>
  </si>
  <si>
    <t>E0103P009</t>
  </si>
  <si>
    <t>Cold Ashton</t>
  </si>
  <si>
    <t>South GloucestershireCromhall</t>
  </si>
  <si>
    <t>E0103P010</t>
  </si>
  <si>
    <t>Cromhall</t>
  </si>
  <si>
    <t>South GloucestershireDodington</t>
  </si>
  <si>
    <t>E0103P011</t>
  </si>
  <si>
    <t>Dodington</t>
  </si>
  <si>
    <t>South GloucestershireDownend and Bromley Heath</t>
  </si>
  <si>
    <t>E0103P012</t>
  </si>
  <si>
    <t>Downend and Bromley Heath</t>
  </si>
  <si>
    <t>South GloucestershireDoynton</t>
  </si>
  <si>
    <t>E0103P013</t>
  </si>
  <si>
    <t>Doynton</t>
  </si>
  <si>
    <t>South GloucestershireDyrham and Hinton</t>
  </si>
  <si>
    <t>E0103P014</t>
  </si>
  <si>
    <t>Dyrham and Hinton</t>
  </si>
  <si>
    <t>South GloucestershireFalfield</t>
  </si>
  <si>
    <t>E0103P015</t>
  </si>
  <si>
    <t>Falfield</t>
  </si>
  <si>
    <t>South GloucestershireFilton</t>
  </si>
  <si>
    <t>E0103P016</t>
  </si>
  <si>
    <t>Filton</t>
  </si>
  <si>
    <t>South GloucestershireFrampton Cotterell</t>
  </si>
  <si>
    <t>E0103P017</t>
  </si>
  <si>
    <t>Frampton Cotterell</t>
  </si>
  <si>
    <t>South GloucestershireHanham</t>
  </si>
  <si>
    <t>E0103P018</t>
  </si>
  <si>
    <t>Hanham</t>
  </si>
  <si>
    <t>South GloucestershireHanham Abbots</t>
  </si>
  <si>
    <t>E0103P019</t>
  </si>
  <si>
    <t>Hanham Abbots</t>
  </si>
  <si>
    <t>South GloucestershireHawkesbury</t>
  </si>
  <si>
    <t>E0103P020</t>
  </si>
  <si>
    <t>Hawkesbury</t>
  </si>
  <si>
    <t>South GloucestershireHill</t>
  </si>
  <si>
    <t>E0103P021</t>
  </si>
  <si>
    <t>Hill</t>
  </si>
  <si>
    <t>South GloucestershireHorton</t>
  </si>
  <si>
    <t>E0103P022</t>
  </si>
  <si>
    <t>Horton</t>
  </si>
  <si>
    <t>South GloucestershireIron Acton</t>
  </si>
  <si>
    <t>E0103P023</t>
  </si>
  <si>
    <t>Iron Acton</t>
  </si>
  <si>
    <t>South GloucestershireMarshfield</t>
  </si>
  <si>
    <t>E0103P026</t>
  </si>
  <si>
    <t>Marshfield</t>
  </si>
  <si>
    <t>South GloucestershireOldbury upon Severn</t>
  </si>
  <si>
    <t>E0103P027</t>
  </si>
  <si>
    <t>Oldbury upon Severn</t>
  </si>
  <si>
    <t>South GloucestershireOldland</t>
  </si>
  <si>
    <t>E0103P028</t>
  </si>
  <si>
    <t>Oldland</t>
  </si>
  <si>
    <t>South GloucestershireOlveston</t>
  </si>
  <si>
    <t>E0103P029</t>
  </si>
  <si>
    <t>Olveston</t>
  </si>
  <si>
    <t>South GloucestershirePatchway</t>
  </si>
  <si>
    <t>E0103P030</t>
  </si>
  <si>
    <t>Patchway</t>
  </si>
  <si>
    <t>South GloucestershirePilning and Severn Beach</t>
  </si>
  <si>
    <t>E0103P031</t>
  </si>
  <si>
    <t>Pilning and Severn Beach</t>
  </si>
  <si>
    <t>South GloucestershirePucklechurch</t>
  </si>
  <si>
    <t>E0103P032</t>
  </si>
  <si>
    <t>Pucklechurch</t>
  </si>
  <si>
    <t>South GloucestershireRangeworthy</t>
  </si>
  <si>
    <t>E0103P033</t>
  </si>
  <si>
    <t>Rangeworthy</t>
  </si>
  <si>
    <t>South GloucestershireRockhampton</t>
  </si>
  <si>
    <t>E0103P034</t>
  </si>
  <si>
    <t>Rockhampton</t>
  </si>
  <si>
    <t>South GloucestershireSiston</t>
  </si>
  <si>
    <t>E0103P035</t>
  </si>
  <si>
    <t>Siston</t>
  </si>
  <si>
    <t>South GloucestershireSodbury</t>
  </si>
  <si>
    <t>E0103P036</t>
  </si>
  <si>
    <t>Sodbury</t>
  </si>
  <si>
    <t>South GloucestershireStoke Gifford</t>
  </si>
  <si>
    <t>E0103P037</t>
  </si>
  <si>
    <t>Stoke Gifford</t>
  </si>
  <si>
    <t>South GloucestershireThornbury</t>
  </si>
  <si>
    <t>E0103P038</t>
  </si>
  <si>
    <t>Thornbury</t>
  </si>
  <si>
    <t>South GloucestershireTormarton</t>
  </si>
  <si>
    <t>E0103P039</t>
  </si>
  <si>
    <t>Tormarton</t>
  </si>
  <si>
    <t>South GloucestershireTortworth</t>
  </si>
  <si>
    <t>E0103P040</t>
  </si>
  <si>
    <t>Tortworth</t>
  </si>
  <si>
    <t>South GloucestershireTytherington</t>
  </si>
  <si>
    <t>E0103P041</t>
  </si>
  <si>
    <t>Tytherington</t>
  </si>
  <si>
    <t>South GloucestershireWesterleigh</t>
  </si>
  <si>
    <t>E0103P042</t>
  </si>
  <si>
    <t>Westerleigh</t>
  </si>
  <si>
    <t>South GloucestershireWick and Abson</t>
  </si>
  <si>
    <t>E0103P043</t>
  </si>
  <si>
    <t>Wick and Abson</t>
  </si>
  <si>
    <t>South GloucestershireWickwar</t>
  </si>
  <si>
    <t>E0103P044</t>
  </si>
  <si>
    <t>Wickwar</t>
  </si>
  <si>
    <t>South GloucestershireWinterbourne</t>
  </si>
  <si>
    <t>E0103P045</t>
  </si>
  <si>
    <t>Winterbourne</t>
  </si>
  <si>
    <t>South GloucestershireYate</t>
  </si>
  <si>
    <t>E0103P046</t>
  </si>
  <si>
    <t>Yate</t>
  </si>
  <si>
    <t>South GloucestershireEmersons Green</t>
  </si>
  <si>
    <t>E0103P047</t>
  </si>
  <si>
    <t>Emersons Green</t>
  </si>
  <si>
    <t>South GloucestershireStoke Lodge and The Common</t>
  </si>
  <si>
    <t>E0103P048</t>
  </si>
  <si>
    <t>Stoke Lodge and The Common</t>
  </si>
  <si>
    <t>South GloucestershireCharlton Hayes</t>
  </si>
  <si>
    <t>E0103P049</t>
  </si>
  <si>
    <t>Charlton Hayes</t>
  </si>
  <si>
    <t>South GloucestershireKingswood</t>
  </si>
  <si>
    <t>E0103P050</t>
  </si>
  <si>
    <t>Kingswood</t>
  </si>
  <si>
    <t>South GloucestershireStaple Hill &amp; Mangotsfield</t>
  </si>
  <si>
    <t>E0103P051</t>
  </si>
  <si>
    <t>Staple Hill &amp; Mangotsfield</t>
  </si>
  <si>
    <t>South GloucestershireStoke Park &amp; Cheswick</t>
  </si>
  <si>
    <t>E0103P052</t>
  </si>
  <si>
    <t>Stoke Park &amp; Cheswick</t>
  </si>
  <si>
    <t>North SomersetAbbots Leigh</t>
  </si>
  <si>
    <t>E0104P001</t>
  </si>
  <si>
    <t>Abbots Leigh</t>
  </si>
  <si>
    <t>North SomersetBackwell</t>
  </si>
  <si>
    <t>E0104P002</t>
  </si>
  <si>
    <t>Backwell</t>
  </si>
  <si>
    <t>North SomersetBanwell</t>
  </si>
  <si>
    <t>E0104P003</t>
  </si>
  <si>
    <t>Banwell</t>
  </si>
  <si>
    <t>North SomersetBarrow Gurney</t>
  </si>
  <si>
    <t>E0104P004</t>
  </si>
  <si>
    <t>Barrow Gurney</t>
  </si>
  <si>
    <t>North SomersetBlagdon</t>
  </si>
  <si>
    <t>E0104P005</t>
  </si>
  <si>
    <t>Blagdon</t>
  </si>
  <si>
    <t>North SomersetBleadon</t>
  </si>
  <si>
    <t>E0104P006</t>
  </si>
  <si>
    <t>Bleadon</t>
  </si>
  <si>
    <t>North SomersetBrockley</t>
  </si>
  <si>
    <t>E0104P007</t>
  </si>
  <si>
    <t>Brockley</t>
  </si>
  <si>
    <t>North SomersetBurrington</t>
  </si>
  <si>
    <t>E0104P008</t>
  </si>
  <si>
    <t>Burrington</t>
  </si>
  <si>
    <t>North SomersetButcombe</t>
  </si>
  <si>
    <t>E0104P009</t>
  </si>
  <si>
    <t>Butcombe</t>
  </si>
  <si>
    <t>North SomersetChurchill</t>
  </si>
  <si>
    <t>E0104P010</t>
  </si>
  <si>
    <t>Churchill</t>
  </si>
  <si>
    <t>North SomersetClapton in Gordano</t>
  </si>
  <si>
    <t>E0104P011</t>
  </si>
  <si>
    <t>Clapton in Gordano</t>
  </si>
  <si>
    <t>North SomersetCleeve</t>
  </si>
  <si>
    <t>E0104P012</t>
  </si>
  <si>
    <t>Cleeve</t>
  </si>
  <si>
    <t>North SomersetClevedon</t>
  </si>
  <si>
    <t>E0104P013</t>
  </si>
  <si>
    <t>Clevedon</t>
  </si>
  <si>
    <t>North SomersetCongresbury</t>
  </si>
  <si>
    <t>E0104P014</t>
  </si>
  <si>
    <t>Congresbury</t>
  </si>
  <si>
    <t>North SomersetDundry</t>
  </si>
  <si>
    <t>E0104P015</t>
  </si>
  <si>
    <t>Dundry</t>
  </si>
  <si>
    <t>North SomersetFlax Bourton</t>
  </si>
  <si>
    <t>E0104P016</t>
  </si>
  <si>
    <t>Flax Bourton</t>
  </si>
  <si>
    <t>North SomersetHutton</t>
  </si>
  <si>
    <t>E0104P017</t>
  </si>
  <si>
    <t>Hutton</t>
  </si>
  <si>
    <t>North SomersetKenn</t>
  </si>
  <si>
    <t>E0104P018</t>
  </si>
  <si>
    <t>Kenn</t>
  </si>
  <si>
    <t>North SomersetKewstoke</t>
  </si>
  <si>
    <t>E0104P019</t>
  </si>
  <si>
    <t>Kewstoke</t>
  </si>
  <si>
    <t>North SomersetKingston Seymour</t>
  </si>
  <si>
    <t>E0104P020</t>
  </si>
  <si>
    <t>Kingston Seymour</t>
  </si>
  <si>
    <t>North SomersetLocking</t>
  </si>
  <si>
    <t>E0104P021</t>
  </si>
  <si>
    <t>Locking</t>
  </si>
  <si>
    <t>North SomersetLong Ashton</t>
  </si>
  <si>
    <t>E0104P022</t>
  </si>
  <si>
    <t>Long Ashton</t>
  </si>
  <si>
    <t>North SomersetLoxton</t>
  </si>
  <si>
    <t>E0104P023</t>
  </si>
  <si>
    <t>Loxton</t>
  </si>
  <si>
    <t>North SomersetNailsea</t>
  </si>
  <si>
    <t>E0104P024</t>
  </si>
  <si>
    <t>Nailsea</t>
  </si>
  <si>
    <t>North SomersetPill and Easton in Gordano</t>
  </si>
  <si>
    <t>E0104P025</t>
  </si>
  <si>
    <t>Pill and Easton in Gordano</t>
  </si>
  <si>
    <t>North SomersetPortbury</t>
  </si>
  <si>
    <t>E0104P026</t>
  </si>
  <si>
    <t>Portbury</t>
  </si>
  <si>
    <t>North SomersetPortishead</t>
  </si>
  <si>
    <t>E0104P027</t>
  </si>
  <si>
    <t>Portishead</t>
  </si>
  <si>
    <t>North SomersetPuxton</t>
  </si>
  <si>
    <t>E0104P028</t>
  </si>
  <si>
    <t>Puxton</t>
  </si>
  <si>
    <t>North SomersetSt. Georges</t>
  </si>
  <si>
    <t>E0104P029</t>
  </si>
  <si>
    <t>St. Georges</t>
  </si>
  <si>
    <t>North SomersetTickenham</t>
  </si>
  <si>
    <t>E0104P030</t>
  </si>
  <si>
    <t>Tickenham</t>
  </si>
  <si>
    <t>North SomersetWalton in Gordano</t>
  </si>
  <si>
    <t>E0104P031</t>
  </si>
  <si>
    <t>Walton in Gordano</t>
  </si>
  <si>
    <t>North SomersetWeston in Gordano</t>
  </si>
  <si>
    <t>E0104P032</t>
  </si>
  <si>
    <t>Weston in Gordano</t>
  </si>
  <si>
    <t>North SomersetWeston super Mare</t>
  </si>
  <si>
    <t>E0104P033</t>
  </si>
  <si>
    <t>Weston super Mare</t>
  </si>
  <si>
    <t>North SomersetWick St. Lawrence</t>
  </si>
  <si>
    <t>E0104P034</t>
  </si>
  <si>
    <t>Wick St. Lawrence</t>
  </si>
  <si>
    <t>North SomersetWinford</t>
  </si>
  <si>
    <t>E0104P035</t>
  </si>
  <si>
    <t>Winford</t>
  </si>
  <si>
    <t>North SomersetWinscombe and Sandford</t>
  </si>
  <si>
    <t>E0104P036</t>
  </si>
  <si>
    <t>Winscombe and Sandford</t>
  </si>
  <si>
    <t>North SomersetWraxall and Failand</t>
  </si>
  <si>
    <t>E0104P037</t>
  </si>
  <si>
    <t>Wraxall and Failand</t>
  </si>
  <si>
    <t>North SomersetWrington</t>
  </si>
  <si>
    <t>E0104P038</t>
  </si>
  <si>
    <t>Wrington</t>
  </si>
  <si>
    <t>North SomersetYatton</t>
  </si>
  <si>
    <t>E0104P039</t>
  </si>
  <si>
    <t>Yatton</t>
  </si>
  <si>
    <t>BedfordBiddenham</t>
  </si>
  <si>
    <t>E0202P001</t>
  </si>
  <si>
    <t>Biddenham</t>
  </si>
  <si>
    <t>BedfordBletsoe</t>
  </si>
  <si>
    <t>E0202P002</t>
  </si>
  <si>
    <t>Bletsoe</t>
  </si>
  <si>
    <t>BedfordBolnhurst and Keysoe</t>
  </si>
  <si>
    <t>E0202P003</t>
  </si>
  <si>
    <t>Bolnhurst and Keysoe</t>
  </si>
  <si>
    <t>BedfordBrickhill</t>
  </si>
  <si>
    <t>E0202P004</t>
  </si>
  <si>
    <t>Brickhill</t>
  </si>
  <si>
    <t>BedfordBromham</t>
  </si>
  <si>
    <t>E0202P005</t>
  </si>
  <si>
    <t>Bromham</t>
  </si>
  <si>
    <t>BedfordCardington</t>
  </si>
  <si>
    <t>E0202P006</t>
  </si>
  <si>
    <t>Cardington</t>
  </si>
  <si>
    <t>BedfordCarlton and Chellington</t>
  </si>
  <si>
    <t>E0202P007</t>
  </si>
  <si>
    <t>Carlton and Chellington</t>
  </si>
  <si>
    <t>BedfordClapham</t>
  </si>
  <si>
    <t>E0202P008</t>
  </si>
  <si>
    <t>Clapham</t>
  </si>
  <si>
    <t>BedfordColmworth</t>
  </si>
  <si>
    <t>E0202P009</t>
  </si>
  <si>
    <t>Colmworth</t>
  </si>
  <si>
    <t>BedfordCople</t>
  </si>
  <si>
    <t>E0202P010</t>
  </si>
  <si>
    <t>Cople</t>
  </si>
  <si>
    <t>BedfordCotton End</t>
  </si>
  <si>
    <t>E0202P011</t>
  </si>
  <si>
    <t>Cotton End</t>
  </si>
  <si>
    <t>BedfordDean and Shelton</t>
  </si>
  <si>
    <t>E0202P012</t>
  </si>
  <si>
    <t>Dean and Shelton</t>
  </si>
  <si>
    <t>BedfordElstow</t>
  </si>
  <si>
    <t>E0202P013</t>
  </si>
  <si>
    <t>Elstow</t>
  </si>
  <si>
    <t>BedfordFelmersham and Radwell</t>
  </si>
  <si>
    <t>E0202P014</t>
  </si>
  <si>
    <t>Felmersham and Radwell</t>
  </si>
  <si>
    <t>BedfordGreat Barford</t>
  </si>
  <si>
    <t>E0202P015</t>
  </si>
  <si>
    <t>Great Barford</t>
  </si>
  <si>
    <t>BedfordGreat Denham</t>
  </si>
  <si>
    <t>E0202P016</t>
  </si>
  <si>
    <t>Great Denham</t>
  </si>
  <si>
    <t>BedfordHarrold</t>
  </si>
  <si>
    <t>E0202P017</t>
  </si>
  <si>
    <t>Harrold</t>
  </si>
  <si>
    <t>BedfordKempston</t>
  </si>
  <si>
    <t>E0202P018</t>
  </si>
  <si>
    <t>Kempston</t>
  </si>
  <si>
    <t>BedfordKempston Rural</t>
  </si>
  <si>
    <t>E0202P019</t>
  </si>
  <si>
    <t>Kempston Rural</t>
  </si>
  <si>
    <t>BedfordKnotting and Souldrop</t>
  </si>
  <si>
    <t>E0202P020</t>
  </si>
  <si>
    <t>Knotting and Souldrop</t>
  </si>
  <si>
    <t>BedfordLittle Barford</t>
  </si>
  <si>
    <t>E0202P021</t>
  </si>
  <si>
    <t>Little Barford</t>
  </si>
  <si>
    <t>BedfordLittle Staughton</t>
  </si>
  <si>
    <t>E0202P022</t>
  </si>
  <si>
    <t>Little Staughton</t>
  </si>
  <si>
    <t>BedfordMelchbourne and Yielden</t>
  </si>
  <si>
    <t>E0202P023</t>
  </si>
  <si>
    <t>Melchbourne and Yielden</t>
  </si>
  <si>
    <t>BedfordMilton Ernest</t>
  </si>
  <si>
    <t>E0202P024</t>
  </si>
  <si>
    <t>Milton Ernest</t>
  </si>
  <si>
    <t>BedfordOakley</t>
  </si>
  <si>
    <t>E0202P025</t>
  </si>
  <si>
    <t>Oakley</t>
  </si>
  <si>
    <t>BedfordOdell</t>
  </si>
  <si>
    <t>E0202P026</t>
  </si>
  <si>
    <t>Odell</t>
  </si>
  <si>
    <t>BedfordPavenham</t>
  </si>
  <si>
    <t>E0202P027</t>
  </si>
  <si>
    <t>Pavenham</t>
  </si>
  <si>
    <t>BedfordPertenhall and Swineshead</t>
  </si>
  <si>
    <t>E0202P028</t>
  </si>
  <si>
    <t>Pertenhall and Swineshead</t>
  </si>
  <si>
    <t>BedfordPodington</t>
  </si>
  <si>
    <t>E0202P029</t>
  </si>
  <si>
    <t>Podington</t>
  </si>
  <si>
    <t>BedfordRavensden</t>
  </si>
  <si>
    <t>E0202P030</t>
  </si>
  <si>
    <t>Ravensden</t>
  </si>
  <si>
    <t>BedfordRenhold</t>
  </si>
  <si>
    <t>E0202P031</t>
  </si>
  <si>
    <t>Renhold</t>
  </si>
  <si>
    <t>BedfordRiseley</t>
  </si>
  <si>
    <t>E0202P032</t>
  </si>
  <si>
    <t>Riseley</t>
  </si>
  <si>
    <t>BedfordRoxton</t>
  </si>
  <si>
    <t>E0202P033</t>
  </si>
  <si>
    <t>Roxton</t>
  </si>
  <si>
    <t>BedfordSharnbrook</t>
  </si>
  <si>
    <t>E0202P034</t>
  </si>
  <si>
    <t>Sharnbrook</t>
  </si>
  <si>
    <t>BedfordShortstown</t>
  </si>
  <si>
    <t>E0202P035</t>
  </si>
  <si>
    <t>Shortstown</t>
  </si>
  <si>
    <t>BedfordStagsden</t>
  </si>
  <si>
    <t>E0202P036</t>
  </si>
  <si>
    <t>Stagsden</t>
  </si>
  <si>
    <t>BedfordStaploe and Duloe</t>
  </si>
  <si>
    <t>E0202P037</t>
  </si>
  <si>
    <t>Staploe and Duloe</t>
  </si>
  <si>
    <t>BedfordStevington</t>
  </si>
  <si>
    <t>E0202P038</t>
  </si>
  <si>
    <t>Stevington</t>
  </si>
  <si>
    <t>BedfordStewartby and Kempston Hardwick</t>
  </si>
  <si>
    <t>E0202P039</t>
  </si>
  <si>
    <t>Stewartby and Kempston Hardwick</t>
  </si>
  <si>
    <t>BedfordThurleigh</t>
  </si>
  <si>
    <t>E0202P040</t>
  </si>
  <si>
    <t>Thurleigh</t>
  </si>
  <si>
    <t>BedfordTurvey</t>
  </si>
  <si>
    <t>E0202P041</t>
  </si>
  <si>
    <t>Turvey</t>
  </si>
  <si>
    <t>BedfordWilden</t>
  </si>
  <si>
    <t>E0202P042</t>
  </si>
  <si>
    <t>Wilden</t>
  </si>
  <si>
    <t>BedfordWillington</t>
  </si>
  <si>
    <t>E0202P043</t>
  </si>
  <si>
    <t>Willington</t>
  </si>
  <si>
    <t>BedfordWilshamstead</t>
  </si>
  <si>
    <t>E0202P044</t>
  </si>
  <si>
    <t>Wilshamstead</t>
  </si>
  <si>
    <t>BedfordWixams</t>
  </si>
  <si>
    <t>E0202P045</t>
  </si>
  <si>
    <t>Wixams</t>
  </si>
  <si>
    <t>BedfordWootton</t>
  </si>
  <si>
    <t>E0202P046</t>
  </si>
  <si>
    <t>Wootton</t>
  </si>
  <si>
    <t>BedfordWyboston Chawston and Colesden</t>
  </si>
  <si>
    <t>E0202P047</t>
  </si>
  <si>
    <t>Wyboston Chawston and Colesden</t>
  </si>
  <si>
    <t>BedfordWymington</t>
  </si>
  <si>
    <t>E0202P048</t>
  </si>
  <si>
    <t>Wymington</t>
  </si>
  <si>
    <t>Central BedfordshireAmpthill</t>
  </si>
  <si>
    <t>E0203P001</t>
  </si>
  <si>
    <t>Ampthill</t>
  </si>
  <si>
    <t>Central BedfordshireArlesey</t>
  </si>
  <si>
    <t>E0203P002</t>
  </si>
  <si>
    <t>Arlesey</t>
  </si>
  <si>
    <t>Central BedfordshireAspley Guise</t>
  </si>
  <si>
    <t>E0203P003</t>
  </si>
  <si>
    <t>Aspley Guise</t>
  </si>
  <si>
    <t>Central BedfordshireAspley Heath</t>
  </si>
  <si>
    <t>E0203P004</t>
  </si>
  <si>
    <t>Aspley Heath</t>
  </si>
  <si>
    <t>Central BedfordshireAstwick</t>
  </si>
  <si>
    <t>E0203P005</t>
  </si>
  <si>
    <t>Astwick</t>
  </si>
  <si>
    <t>Central BedfordshireBarton le Clay</t>
  </si>
  <si>
    <t>E0203P006</t>
  </si>
  <si>
    <t>Barton le Clay</t>
  </si>
  <si>
    <t>Central BedfordshireBattlesden</t>
  </si>
  <si>
    <t>E0203P007</t>
  </si>
  <si>
    <t>Battlesden</t>
  </si>
  <si>
    <t>Central BedfordshireBiggleswade</t>
  </si>
  <si>
    <t>E0203P008</t>
  </si>
  <si>
    <t>Biggleswade</t>
  </si>
  <si>
    <t>Central BedfordshireBlunham</t>
  </si>
  <si>
    <t>E0203P009</t>
  </si>
  <si>
    <t>Blunham</t>
  </si>
  <si>
    <t>Central BedfordshireBrogborough</t>
  </si>
  <si>
    <t>E0203P010</t>
  </si>
  <si>
    <t>Brogborough</t>
  </si>
  <si>
    <t>Central BedfordshireCaddington</t>
  </si>
  <si>
    <t>E0203P011</t>
  </si>
  <si>
    <t>Caddington</t>
  </si>
  <si>
    <t>Central BedfordshireCampton and Chicksands</t>
  </si>
  <si>
    <t>E0203P012</t>
  </si>
  <si>
    <t>Campton and Chicksands</t>
  </si>
  <si>
    <t>Central BedfordshireChalgrave</t>
  </si>
  <si>
    <t>E0203P013</t>
  </si>
  <si>
    <t>Chalgrave</t>
  </si>
  <si>
    <t>Central BedfordshireChalton</t>
  </si>
  <si>
    <t>E0203P014</t>
  </si>
  <si>
    <t>Chalton</t>
  </si>
  <si>
    <t>Central BedfordshireClifton</t>
  </si>
  <si>
    <t>E0203P015</t>
  </si>
  <si>
    <t>Clifton</t>
  </si>
  <si>
    <t>Central BedfordshireClophill</t>
  </si>
  <si>
    <t>E0203P016</t>
  </si>
  <si>
    <t>Clophill</t>
  </si>
  <si>
    <t>Central BedfordshireCranfield</t>
  </si>
  <si>
    <t>E0203P017</t>
  </si>
  <si>
    <t>Cranfield</t>
  </si>
  <si>
    <t>Central BedfordshireDunstable</t>
  </si>
  <si>
    <t>E0203P018</t>
  </si>
  <si>
    <t>Dunstable</t>
  </si>
  <si>
    <t>Central BedfordshireDunton</t>
  </si>
  <si>
    <t>E0203P019</t>
  </si>
  <si>
    <t>Dunton</t>
  </si>
  <si>
    <t>Central BedfordshireEaton Bray</t>
  </si>
  <si>
    <t>E0203P020</t>
  </si>
  <si>
    <t>Eaton Bray</t>
  </si>
  <si>
    <t>Central BedfordshireEdworth</t>
  </si>
  <si>
    <t>E0203P021</t>
  </si>
  <si>
    <t>Edworth</t>
  </si>
  <si>
    <t>Central BedfordshireEggington</t>
  </si>
  <si>
    <t>E0203P022</t>
  </si>
  <si>
    <t>Eggington</t>
  </si>
  <si>
    <t>Central BedfordshireEversholt</t>
  </si>
  <si>
    <t>E0203P023</t>
  </si>
  <si>
    <t>Eversholt</t>
  </si>
  <si>
    <t>Central BedfordshireEverton</t>
  </si>
  <si>
    <t>E0203P024</t>
  </si>
  <si>
    <t>Everton</t>
  </si>
  <si>
    <t>Central BedfordshireEyeworth</t>
  </si>
  <si>
    <t>E0203P025</t>
  </si>
  <si>
    <t>Eyeworth</t>
  </si>
  <si>
    <t>Central BedfordshireFlitton and Greenfield</t>
  </si>
  <si>
    <t>E0203P026</t>
  </si>
  <si>
    <t>Flitton and Greenfield</t>
  </si>
  <si>
    <t>Central BedfordshireFlitwick</t>
  </si>
  <si>
    <t>E0203P027</t>
  </si>
  <si>
    <t>Flitwick</t>
  </si>
  <si>
    <t>Central BedfordshireGravenhurst</t>
  </si>
  <si>
    <t>E0203P028</t>
  </si>
  <si>
    <t>Gravenhurst</t>
  </si>
  <si>
    <t>Central BedfordshireBillington</t>
  </si>
  <si>
    <t>E0203P029</t>
  </si>
  <si>
    <t>Billington</t>
  </si>
  <si>
    <t>Central BedfordshireHarlington</t>
  </si>
  <si>
    <t>E0203P030</t>
  </si>
  <si>
    <t>Harlington</t>
  </si>
  <si>
    <t>Central BedfordshireHaynes</t>
  </si>
  <si>
    <t>E0203P031</t>
  </si>
  <si>
    <t>Haynes</t>
  </si>
  <si>
    <t>Central BedfordshireHeath and Reach</t>
  </si>
  <si>
    <t>E0203P032</t>
  </si>
  <si>
    <t>Heath and Reach</t>
  </si>
  <si>
    <t>Central BedfordshireHenlow</t>
  </si>
  <si>
    <t>E0203P033</t>
  </si>
  <si>
    <t>Henlow</t>
  </si>
  <si>
    <t>Central BedfordshireHockcliffe</t>
  </si>
  <si>
    <t>E0203P034</t>
  </si>
  <si>
    <t>Hockcliffe</t>
  </si>
  <si>
    <t>Central BedfordshireHoughton Conquest</t>
  </si>
  <si>
    <t>E0203P035</t>
  </si>
  <si>
    <t>Houghton Conquest</t>
  </si>
  <si>
    <t>Central BedfordshireHoughton Regis</t>
  </si>
  <si>
    <t>E0203P036</t>
  </si>
  <si>
    <t>Houghton Regis</t>
  </si>
  <si>
    <t>Central BedfordshireHulcote and Salford</t>
  </si>
  <si>
    <t>E0203P037</t>
  </si>
  <si>
    <t>Hulcote and Salford</t>
  </si>
  <si>
    <t>Central BedfordshireHusborne Crawley</t>
  </si>
  <si>
    <t>E0203P038</t>
  </si>
  <si>
    <t>Husborne Crawley</t>
  </si>
  <si>
    <t>Central BedfordshireHyde</t>
  </si>
  <si>
    <t>E0203P039</t>
  </si>
  <si>
    <t>Hyde</t>
  </si>
  <si>
    <t>Central BedfordshireKensworth</t>
  </si>
  <si>
    <t>E0203P040</t>
  </si>
  <si>
    <t>Kensworth</t>
  </si>
  <si>
    <t>Central BedfordshireLangford</t>
  </si>
  <si>
    <t>E0203P041</t>
  </si>
  <si>
    <t>Langford</t>
  </si>
  <si>
    <t>Central BedfordshireLeighton Linslade</t>
  </si>
  <si>
    <t>E0203P042</t>
  </si>
  <si>
    <t>Leighton Linslade</t>
  </si>
  <si>
    <t>Central BedfordshireLidlington</t>
  </si>
  <si>
    <t>E0203P043</t>
  </si>
  <si>
    <t>Lidlington</t>
  </si>
  <si>
    <t>Central BedfordshireMarston Moretaine</t>
  </si>
  <si>
    <t>E0203P044</t>
  </si>
  <si>
    <t>Marston Moretaine</t>
  </si>
  <si>
    <t>Central BedfordshireMaulden</t>
  </si>
  <si>
    <t>E0203P045</t>
  </si>
  <si>
    <t>Maulden</t>
  </si>
  <si>
    <t>Central BedfordshireMeppershall</t>
  </si>
  <si>
    <t>E0203P046</t>
  </si>
  <si>
    <t>Meppershall</t>
  </si>
  <si>
    <t>Central BedfordshireMillbrook</t>
  </si>
  <si>
    <t>E0203P047</t>
  </si>
  <si>
    <t>Millbrook</t>
  </si>
  <si>
    <t>Central BedfordshireMilton Bryan</t>
  </si>
  <si>
    <t>E0203P048</t>
  </si>
  <si>
    <t>Milton Bryan</t>
  </si>
  <si>
    <t>Central BedfordshireMoggerhanger</t>
  </si>
  <si>
    <t>E0203P049</t>
  </si>
  <si>
    <t>Moggerhanger</t>
  </si>
  <si>
    <t>Central BedfordshireNorthill</t>
  </si>
  <si>
    <t>E0203P050</t>
  </si>
  <si>
    <t>Northill</t>
  </si>
  <si>
    <t>Central BedfordshireOld Warden</t>
  </si>
  <si>
    <t>E0203P051</t>
  </si>
  <si>
    <t>Old Warden</t>
  </si>
  <si>
    <t>Central BedfordshirePotsgrove</t>
  </si>
  <si>
    <t>E0203P052</t>
  </si>
  <si>
    <t>Potsgrove</t>
  </si>
  <si>
    <t>Central BedfordshirePotton</t>
  </si>
  <si>
    <t>E0203P053</t>
  </si>
  <si>
    <t>Potton</t>
  </si>
  <si>
    <t>Central BedfordshirePulloxhill</t>
  </si>
  <si>
    <t>E0203P054</t>
  </si>
  <si>
    <t>Pulloxhill</t>
  </si>
  <si>
    <t>Central BedfordshireRidgmont</t>
  </si>
  <si>
    <t>E0203P055</t>
  </si>
  <si>
    <t>Ridgmont</t>
  </si>
  <si>
    <t>Central BedfordshireSandy</t>
  </si>
  <si>
    <t>E0203P056</t>
  </si>
  <si>
    <t>Sandy</t>
  </si>
  <si>
    <t>Central BedfordshireShefford</t>
  </si>
  <si>
    <t>E0203P057</t>
  </si>
  <si>
    <t>Shefford</t>
  </si>
  <si>
    <t>Central BedfordshireShillington</t>
  </si>
  <si>
    <t>E0203P058</t>
  </si>
  <si>
    <t>Shillington</t>
  </si>
  <si>
    <t>Central BedfordshireSilsoe</t>
  </si>
  <si>
    <t>E0203P059</t>
  </si>
  <si>
    <t>Silsoe</t>
  </si>
  <si>
    <t>Central BedfordshireSlip End</t>
  </si>
  <si>
    <t>E0203P060</t>
  </si>
  <si>
    <t>Slip End</t>
  </si>
  <si>
    <t>Central BedfordshireSouthill</t>
  </si>
  <si>
    <t>E0203P061</t>
  </si>
  <si>
    <t>Southill</t>
  </si>
  <si>
    <t>Central BedfordshireStanbridge</t>
  </si>
  <si>
    <t>E0203P062</t>
  </si>
  <si>
    <t>Stanbridge</t>
  </si>
  <si>
    <t>Central BedfordshireSteppingley</t>
  </si>
  <si>
    <t>E0203P063</t>
  </si>
  <si>
    <t>Steppingley</t>
  </si>
  <si>
    <t>Central BedfordshireStondon</t>
  </si>
  <si>
    <t>E0203P064</t>
  </si>
  <si>
    <t>Stondon</t>
  </si>
  <si>
    <t>Central BedfordshireStotfold</t>
  </si>
  <si>
    <t>E0203P065</t>
  </si>
  <si>
    <t>Stotfold</t>
  </si>
  <si>
    <t>Central BedfordshireStreatley</t>
  </si>
  <si>
    <t>E0203P066</t>
  </si>
  <si>
    <t>Streatley</t>
  </si>
  <si>
    <t>Central BedfordshireStudham</t>
  </si>
  <si>
    <t>E0203P067</t>
  </si>
  <si>
    <t>Studham</t>
  </si>
  <si>
    <t>Central BedfordshireSundon</t>
  </si>
  <si>
    <t>E0203P068</t>
  </si>
  <si>
    <t>Sundon</t>
  </si>
  <si>
    <t>Central BedfordshireSutton</t>
  </si>
  <si>
    <t>E0203P069</t>
  </si>
  <si>
    <t>Central BedfordshireTempsford</t>
  </si>
  <si>
    <t>E0203P070</t>
  </si>
  <si>
    <t>Tempsford</t>
  </si>
  <si>
    <t>Central BedfordshireTilsworth</t>
  </si>
  <si>
    <t>E0203P071</t>
  </si>
  <si>
    <t>Tilsworth</t>
  </si>
  <si>
    <t>Central BedfordshireTingrith</t>
  </si>
  <si>
    <t>E0203P072</t>
  </si>
  <si>
    <t>Tingrith</t>
  </si>
  <si>
    <t>Central BedfordshireToddington</t>
  </si>
  <si>
    <t>E0203P073</t>
  </si>
  <si>
    <t>Toddington</t>
  </si>
  <si>
    <t>Central BedfordshireTotternhoe</t>
  </si>
  <si>
    <t>E0203P074</t>
  </si>
  <si>
    <t>Totternhoe</t>
  </si>
  <si>
    <t>Central BedfordshireWestoning</t>
  </si>
  <si>
    <t>E0203P075</t>
  </si>
  <si>
    <t>Westoning</t>
  </si>
  <si>
    <t>Central BedfordshireWhipsnade</t>
  </si>
  <si>
    <t>E0203P076</t>
  </si>
  <si>
    <t>Whipsnade</t>
  </si>
  <si>
    <t>Central BedfordshireWoburn</t>
  </si>
  <si>
    <t>E0203P077</t>
  </si>
  <si>
    <t>Woburn</t>
  </si>
  <si>
    <t>Central BedfordshireWrestlingworth and Cockayne Hatley</t>
  </si>
  <si>
    <t>E0203P078</t>
  </si>
  <si>
    <t>Wrestlingworth and Cockayne Hatley</t>
  </si>
  <si>
    <t>Central BedfordshireFairfield</t>
  </si>
  <si>
    <t>E0203P079</t>
  </si>
  <si>
    <t>Fairfield</t>
  </si>
  <si>
    <t>Bracknell ForestBinfield</t>
  </si>
  <si>
    <t>E0301P001</t>
  </si>
  <si>
    <t>Binfield</t>
  </si>
  <si>
    <t>Bracknell ForestBracknell</t>
  </si>
  <si>
    <t>E0301P002</t>
  </si>
  <si>
    <t>Bracknell</t>
  </si>
  <si>
    <t>Bracknell ForestCrowthorne</t>
  </si>
  <si>
    <t>E0301P003</t>
  </si>
  <si>
    <t>Crowthorne</t>
  </si>
  <si>
    <t>Bracknell ForestSandhurst</t>
  </si>
  <si>
    <t>E0301P004</t>
  </si>
  <si>
    <t>Sandhurst</t>
  </si>
  <si>
    <t>Bracknell ForestWarfield</t>
  </si>
  <si>
    <t>E0301P005</t>
  </si>
  <si>
    <t>Warfield</t>
  </si>
  <si>
    <t>Bracknell ForestWinkfield</t>
  </si>
  <si>
    <t>E0301P006</t>
  </si>
  <si>
    <t>Winkfield</t>
  </si>
  <si>
    <t>West BerkshireAldermaston</t>
  </si>
  <si>
    <t>E0302P001</t>
  </si>
  <si>
    <t>Aldermaston</t>
  </si>
  <si>
    <t>West BerkshireAldworth</t>
  </si>
  <si>
    <t>E0302P002</t>
  </si>
  <si>
    <t>Aldworth</t>
  </si>
  <si>
    <t>West BerkshireAshampstead</t>
  </si>
  <si>
    <t>E0302P003</t>
  </si>
  <si>
    <t>Ashampstead</t>
  </si>
  <si>
    <t>West BerkshireBasildon</t>
  </si>
  <si>
    <t>E0302P004</t>
  </si>
  <si>
    <t>West BerkshireBeech Hill</t>
  </si>
  <si>
    <t>E0302P005</t>
  </si>
  <si>
    <t>Beech Hill</t>
  </si>
  <si>
    <t>West BerkshireBeedon</t>
  </si>
  <si>
    <t>E0302P006</t>
  </si>
  <si>
    <t>Beedon</t>
  </si>
  <si>
    <t>West BerkshireBeenham</t>
  </si>
  <si>
    <t>E0302P007</t>
  </si>
  <si>
    <t>Beenham</t>
  </si>
  <si>
    <t>West BerkshireBoxford</t>
  </si>
  <si>
    <t>E0302P008</t>
  </si>
  <si>
    <t>Boxford</t>
  </si>
  <si>
    <t>West BerkshireBradfield</t>
  </si>
  <si>
    <t>E0302P009</t>
  </si>
  <si>
    <t>Bradfield</t>
  </si>
  <si>
    <t>West BerkshireBrightwalton</t>
  </si>
  <si>
    <t>E0302P010</t>
  </si>
  <si>
    <t>Brightwalton</t>
  </si>
  <si>
    <t>West BerkshireBrimpton</t>
  </si>
  <si>
    <t>E0302P011</t>
  </si>
  <si>
    <t>Brimpton</t>
  </si>
  <si>
    <t>West BerkshireBucklebury</t>
  </si>
  <si>
    <t>E0302P012</t>
  </si>
  <si>
    <t>Bucklebury</t>
  </si>
  <si>
    <t>West BerkshireBurghfield</t>
  </si>
  <si>
    <t>E0302P013</t>
  </si>
  <si>
    <t>Burghfield</t>
  </si>
  <si>
    <t>West BerkshireCatmore</t>
  </si>
  <si>
    <t>E0302P014</t>
  </si>
  <si>
    <t>Catmore</t>
  </si>
  <si>
    <t>West BerkshireChaddleworth</t>
  </si>
  <si>
    <t>E0302P015</t>
  </si>
  <si>
    <t>Chaddleworth</t>
  </si>
  <si>
    <t>West BerkshireChieveley</t>
  </si>
  <si>
    <t>E0302P016</t>
  </si>
  <si>
    <t>Chieveley</t>
  </si>
  <si>
    <t>West BerkshireCold Ash</t>
  </si>
  <si>
    <t>E0302P017</t>
  </si>
  <si>
    <t>Cold Ash</t>
  </si>
  <si>
    <t>West BerkshireCombe</t>
  </si>
  <si>
    <t>E0302P018</t>
  </si>
  <si>
    <t>Combe</t>
  </si>
  <si>
    <t>West BerkshireCompton</t>
  </si>
  <si>
    <t>E0302P019</t>
  </si>
  <si>
    <t>Compton</t>
  </si>
  <si>
    <t>West BerkshireEast Garston</t>
  </si>
  <si>
    <t>E0302P020</t>
  </si>
  <si>
    <t>East Garston</t>
  </si>
  <si>
    <t>West BerkshireEast Ilsley</t>
  </si>
  <si>
    <t>E0302P021</t>
  </si>
  <si>
    <t>East Ilsley</t>
  </si>
  <si>
    <t>West BerkshireEnborne</t>
  </si>
  <si>
    <t>E0302P022</t>
  </si>
  <si>
    <t>Enborne</t>
  </si>
  <si>
    <t>West BerkshireEnglefield</t>
  </si>
  <si>
    <t>E0302P023</t>
  </si>
  <si>
    <t>Englefield</t>
  </si>
  <si>
    <t>West BerkshireFarnborough</t>
  </si>
  <si>
    <t>E0302P024</t>
  </si>
  <si>
    <t>Farnborough</t>
  </si>
  <si>
    <t>West BerkshireFawley</t>
  </si>
  <si>
    <t>E0302P025</t>
  </si>
  <si>
    <t>Fawley</t>
  </si>
  <si>
    <t>West BerkshireFrilsham</t>
  </si>
  <si>
    <t>E0302P026</t>
  </si>
  <si>
    <t>Frilsham</t>
  </si>
  <si>
    <t>West BerkshireGreat Shefford</t>
  </si>
  <si>
    <t>E0302P027</t>
  </si>
  <si>
    <t>Great Shefford</t>
  </si>
  <si>
    <t>West BerkshireGreenham</t>
  </si>
  <si>
    <t>E0302P028</t>
  </si>
  <si>
    <t>Greenham</t>
  </si>
  <si>
    <t>West BerkshireHampstead Marshall</t>
  </si>
  <si>
    <t>E0302P029</t>
  </si>
  <si>
    <t>Hampstead Marshall</t>
  </si>
  <si>
    <t>West BerkshireHampstead Norreys</t>
  </si>
  <si>
    <t>E0302P030</t>
  </si>
  <si>
    <t>Hampstead Norreys</t>
  </si>
  <si>
    <t>West BerkshireHermitage</t>
  </si>
  <si>
    <t>E0302P031</t>
  </si>
  <si>
    <t>Hermitage</t>
  </si>
  <si>
    <t>West BerkshireHolybrook</t>
  </si>
  <si>
    <t>E0302P032</t>
  </si>
  <si>
    <t>Holybrook</t>
  </si>
  <si>
    <t>West BerkshireHungerford</t>
  </si>
  <si>
    <t>E0302P033</t>
  </si>
  <si>
    <t>Hungerford</t>
  </si>
  <si>
    <t>West BerkshireInkpen</t>
  </si>
  <si>
    <t>E0302P034</t>
  </si>
  <si>
    <t>Inkpen</t>
  </si>
  <si>
    <t>West BerkshireKintbury</t>
  </si>
  <si>
    <t>E0302P035</t>
  </si>
  <si>
    <t>Kintbury</t>
  </si>
  <si>
    <t>West BerkshireLambourn</t>
  </si>
  <si>
    <t>E0302P036</t>
  </si>
  <si>
    <t>Lambourn</t>
  </si>
  <si>
    <t>West BerkshireLeckhampstead</t>
  </si>
  <si>
    <t>E0302P037</t>
  </si>
  <si>
    <t>Leckhampstead</t>
  </si>
  <si>
    <t>West BerkshireMidgham</t>
  </si>
  <si>
    <t>E0302P038</t>
  </si>
  <si>
    <t>Midgham</t>
  </si>
  <si>
    <t>West BerkshireNewbury</t>
  </si>
  <si>
    <t>E0302P039</t>
  </si>
  <si>
    <t>Newbury</t>
  </si>
  <si>
    <t>West BerkshirePadworth</t>
  </si>
  <si>
    <t>E0302P040</t>
  </si>
  <si>
    <t>Padworth</t>
  </si>
  <si>
    <t>West BerkshirePangbourne</t>
  </si>
  <si>
    <t>E0302P041</t>
  </si>
  <si>
    <t>Pangbourne</t>
  </si>
  <si>
    <t>West BerkshirePeasemore</t>
  </si>
  <si>
    <t>E0302P042</t>
  </si>
  <si>
    <t>Peasemore</t>
  </si>
  <si>
    <t>West BerkshirePurley on Thames</t>
  </si>
  <si>
    <t>E0302P043</t>
  </si>
  <si>
    <t>Purley on Thames</t>
  </si>
  <si>
    <t>West BerkshireShaw cum Donnington</t>
  </si>
  <si>
    <t>E0302P044</t>
  </si>
  <si>
    <t>Shaw cum Donnington</t>
  </si>
  <si>
    <t>West BerkshireSpeen</t>
  </si>
  <si>
    <t>E0302P045</t>
  </si>
  <si>
    <t>Speen</t>
  </si>
  <si>
    <t>West BerkshireStanford Dingley</t>
  </si>
  <si>
    <t>E0302P046</t>
  </si>
  <si>
    <t>Stanford Dingley</t>
  </si>
  <si>
    <t>West BerkshireStratfield Mortimer</t>
  </si>
  <si>
    <t>E0302P047</t>
  </si>
  <si>
    <t>Stratfield Mortimer</t>
  </si>
  <si>
    <t>West BerkshireStreatley</t>
  </si>
  <si>
    <t>E0302P048</t>
  </si>
  <si>
    <t>West BerkshireSulham (grouped with Tidmarsh)</t>
  </si>
  <si>
    <t>E0302P049</t>
  </si>
  <si>
    <t>Sulham (grouped with Tidmarsh)</t>
  </si>
  <si>
    <t>Group</t>
  </si>
  <si>
    <t>West BerkshireSulhamstead</t>
  </si>
  <si>
    <t>E0302P050</t>
  </si>
  <si>
    <t>Sulhamstead</t>
  </si>
  <si>
    <t>West BerkshireThatcham</t>
  </si>
  <si>
    <t>E0302P051</t>
  </si>
  <si>
    <t>Thatcham</t>
  </si>
  <si>
    <t>West BerkshireTheale</t>
  </si>
  <si>
    <t>E0302P052</t>
  </si>
  <si>
    <t>Theale</t>
  </si>
  <si>
    <t>West BerkshireTidmarsh (grouped with Sulham)</t>
  </si>
  <si>
    <t>E0302P053</t>
  </si>
  <si>
    <t>Tidmarsh (grouped with Sulham)</t>
  </si>
  <si>
    <t>West BerkshireTilehurst</t>
  </si>
  <si>
    <t>E0302P054</t>
  </si>
  <si>
    <t>Tilehurst</t>
  </si>
  <si>
    <t>West BerkshireUfton Nervet</t>
  </si>
  <si>
    <t>E0302P055</t>
  </si>
  <si>
    <t>Ufton Nervet</t>
  </si>
  <si>
    <t>West BerkshireWasing</t>
  </si>
  <si>
    <t>E0302P056</t>
  </si>
  <si>
    <t>Wasing</t>
  </si>
  <si>
    <t>West BerkshireWelford</t>
  </si>
  <si>
    <t>E0302P057</t>
  </si>
  <si>
    <t>Welford</t>
  </si>
  <si>
    <t>West BerkshireWest Ilsley</t>
  </si>
  <si>
    <t>E0302P058</t>
  </si>
  <si>
    <t>West Ilsley</t>
  </si>
  <si>
    <t>West BerkshireWest Woodhay</t>
  </si>
  <si>
    <t>E0302P059</t>
  </si>
  <si>
    <t>West Woodhay</t>
  </si>
  <si>
    <t>West BerkshireWinterbourne</t>
  </si>
  <si>
    <t>E0302P060</t>
  </si>
  <si>
    <t>West BerkshireWokefield</t>
  </si>
  <si>
    <t>E0302P061</t>
  </si>
  <si>
    <t>Wokefield</t>
  </si>
  <si>
    <t>West BerkshireWoolhampton</t>
  </si>
  <si>
    <t>E0302P062</t>
  </si>
  <si>
    <t>Woolhampton</t>
  </si>
  <si>
    <t>West BerkshireYattendon</t>
  </si>
  <si>
    <t>E0302P063</t>
  </si>
  <si>
    <t>Yattendon</t>
  </si>
  <si>
    <t>SloughBritwell</t>
  </si>
  <si>
    <t>E0304P001</t>
  </si>
  <si>
    <t>Britwell</t>
  </si>
  <si>
    <t>SloughColnbrook with Poyle</t>
  </si>
  <si>
    <t>E0304P002</t>
  </si>
  <si>
    <t>Colnbrook with Poyle</t>
  </si>
  <si>
    <t>SloughWexham Court</t>
  </si>
  <si>
    <t>E0304P003</t>
  </si>
  <si>
    <t>Wexham Court</t>
  </si>
  <si>
    <t>Windsor and MaidenheadBisham</t>
  </si>
  <si>
    <t>E0305P001</t>
  </si>
  <si>
    <t>Bisham</t>
  </si>
  <si>
    <t>Windsor and MaidenheadBray</t>
  </si>
  <si>
    <t>E0305P002</t>
  </si>
  <si>
    <t>Bray</t>
  </si>
  <si>
    <t>Windsor and MaidenheadCookham</t>
  </si>
  <si>
    <t>E0305P003</t>
  </si>
  <si>
    <t>Cookham</t>
  </si>
  <si>
    <t>Windsor and MaidenheadCox Green</t>
  </si>
  <si>
    <t>E0305P004</t>
  </si>
  <si>
    <t>Cox Green</t>
  </si>
  <si>
    <t>Windsor and MaidenheadDatchet</t>
  </si>
  <si>
    <t>E0305P005</t>
  </si>
  <si>
    <t>Datchet</t>
  </si>
  <si>
    <t>Windsor and MaidenheadEton</t>
  </si>
  <si>
    <t>E0305P006</t>
  </si>
  <si>
    <t>Eton</t>
  </si>
  <si>
    <t>Windsor and MaidenheadHorton</t>
  </si>
  <si>
    <t>E0305P007</t>
  </si>
  <si>
    <t>Windsor and MaidenheadHurley</t>
  </si>
  <si>
    <t>E0305P008</t>
  </si>
  <si>
    <t>Hurley</t>
  </si>
  <si>
    <t>Windsor and MaidenheadOld Windsor</t>
  </si>
  <si>
    <t>E0305P009</t>
  </si>
  <si>
    <t>Old Windsor</t>
  </si>
  <si>
    <t>Windsor and MaidenheadShottesbrooke</t>
  </si>
  <si>
    <t>E0305P010</t>
  </si>
  <si>
    <t>Shottesbrooke</t>
  </si>
  <si>
    <t>Windsor and MaidenheadSunningdale</t>
  </si>
  <si>
    <t>E0305P011</t>
  </si>
  <si>
    <t>Sunningdale</t>
  </si>
  <si>
    <t>Windsor and MaidenheadSunninghill &amp; Ascot</t>
  </si>
  <si>
    <t>E0305P012</t>
  </si>
  <si>
    <t>Sunninghill &amp; Ascot</t>
  </si>
  <si>
    <t>Windsor and MaidenheadWaltham St. Lawrence</t>
  </si>
  <si>
    <t>E0305P013</t>
  </si>
  <si>
    <t>Waltham St. Lawrence</t>
  </si>
  <si>
    <t>Windsor and MaidenheadWhite Waltham</t>
  </si>
  <si>
    <t>E0305P014</t>
  </si>
  <si>
    <t>White Waltham</t>
  </si>
  <si>
    <t>Windsor and MaidenheadWraysbury</t>
  </si>
  <si>
    <t>E0305P015</t>
  </si>
  <si>
    <t>Wraysbury</t>
  </si>
  <si>
    <t>WokinghamArborfield and Newland</t>
  </si>
  <si>
    <t>E0306P001</t>
  </si>
  <si>
    <t>Arborfield and Newland</t>
  </si>
  <si>
    <t>WokinghamBarkham</t>
  </si>
  <si>
    <t>E0306P002</t>
  </si>
  <si>
    <t>Barkham</t>
  </si>
  <si>
    <t>WokinghamCharvil</t>
  </si>
  <si>
    <t>E0306P003</t>
  </si>
  <si>
    <t>Charvil</t>
  </si>
  <si>
    <t>WokinghamEarley</t>
  </si>
  <si>
    <t>E0306P004</t>
  </si>
  <si>
    <t>Earley</t>
  </si>
  <si>
    <t>WokinghamFinchampstead</t>
  </si>
  <si>
    <t>E0306P005</t>
  </si>
  <si>
    <t>Finchampstead</t>
  </si>
  <si>
    <t>WokinghamRemenham</t>
  </si>
  <si>
    <t>E0306P006</t>
  </si>
  <si>
    <t>Remenham</t>
  </si>
  <si>
    <t>WokinghamRuscombe</t>
  </si>
  <si>
    <t>E0306P007</t>
  </si>
  <si>
    <t>Ruscombe</t>
  </si>
  <si>
    <t>WokinghamShinfield</t>
  </si>
  <si>
    <t>E0306P008</t>
  </si>
  <si>
    <t>Shinfield</t>
  </si>
  <si>
    <t>WokinghamSonning</t>
  </si>
  <si>
    <t>E0306P009</t>
  </si>
  <si>
    <t>Sonning</t>
  </si>
  <si>
    <t>WokinghamSt. Nicholas Hurst</t>
  </si>
  <si>
    <t>E0306P010</t>
  </si>
  <si>
    <t>St. Nicholas Hurst</t>
  </si>
  <si>
    <t>WokinghamSwallowfield</t>
  </si>
  <si>
    <t>E0306P011</t>
  </si>
  <si>
    <t>Swallowfield</t>
  </si>
  <si>
    <t>WokinghamTwyford</t>
  </si>
  <si>
    <t>E0306P012</t>
  </si>
  <si>
    <t>Twyford</t>
  </si>
  <si>
    <t>WokinghamWargrave</t>
  </si>
  <si>
    <t>E0306P013</t>
  </si>
  <si>
    <t>Wargrave</t>
  </si>
  <si>
    <t>WokinghamWinnersh</t>
  </si>
  <si>
    <t>E0306P014</t>
  </si>
  <si>
    <t>Winnersh</t>
  </si>
  <si>
    <t>WokinghamWokingham</t>
  </si>
  <si>
    <t>E0306P015</t>
  </si>
  <si>
    <t>WokinghamWokingham Without</t>
  </si>
  <si>
    <t>E0306P016</t>
  </si>
  <si>
    <t>Wokingham Without</t>
  </si>
  <si>
    <t>WokinghamWoodley</t>
  </si>
  <si>
    <t>E0306P017</t>
  </si>
  <si>
    <t>Woodley</t>
  </si>
  <si>
    <t>Milton KeynesAbbey Hill</t>
  </si>
  <si>
    <t>E0401P001</t>
  </si>
  <si>
    <t>Abbey Hill</t>
  </si>
  <si>
    <t>Milton KeynesAstwood</t>
  </si>
  <si>
    <t>E0401P002</t>
  </si>
  <si>
    <t>Astwood</t>
  </si>
  <si>
    <t>Milton KeynesBletchley and Fenny Stratford</t>
  </si>
  <si>
    <t>E0401P003</t>
  </si>
  <si>
    <t>Bletchley and Fenny Stratford</t>
  </si>
  <si>
    <t>Milton KeynesBow Brickhill</t>
  </si>
  <si>
    <t>E0401P004</t>
  </si>
  <si>
    <t>Bow Brickhill</t>
  </si>
  <si>
    <t>Milton KeynesBradwell</t>
  </si>
  <si>
    <t>E0401P005</t>
  </si>
  <si>
    <t>Bradwell</t>
  </si>
  <si>
    <t>Milton KeynesBroughton</t>
  </si>
  <si>
    <t>E0401P006</t>
  </si>
  <si>
    <t>Broughton</t>
  </si>
  <si>
    <t>Milton KeynesCalverton</t>
  </si>
  <si>
    <t>E0401P007</t>
  </si>
  <si>
    <t>Calverton</t>
  </si>
  <si>
    <t>Milton KeynesCampbell Park</t>
  </si>
  <si>
    <t>E0401P008</t>
  </si>
  <si>
    <t>Campbell Park</t>
  </si>
  <si>
    <t>Milton KeynesCastlethorpe</t>
  </si>
  <si>
    <t>E0401P009</t>
  </si>
  <si>
    <t>Castlethorpe</t>
  </si>
  <si>
    <t>Milton KeynesCentral Milton Keynes</t>
  </si>
  <si>
    <t>E0401P010</t>
  </si>
  <si>
    <t>Central Milton Keynes</t>
  </si>
  <si>
    <t>Milton KeynesChicheley</t>
  </si>
  <si>
    <t>E0401P011</t>
  </si>
  <si>
    <t>Chicheley</t>
  </si>
  <si>
    <t>Milton KeynesClifton Reynes</t>
  </si>
  <si>
    <t>E0401P012</t>
  </si>
  <si>
    <t>Clifton Reynes</t>
  </si>
  <si>
    <t>Milton KeynesCold Brayfield</t>
  </si>
  <si>
    <t>E0401P013</t>
  </si>
  <si>
    <t>Cold Brayfield</t>
  </si>
  <si>
    <t>Milton KeynesEmberton</t>
  </si>
  <si>
    <t>E0401P014</t>
  </si>
  <si>
    <t>Emberton</t>
  </si>
  <si>
    <t>Milton KeynesFairfields</t>
  </si>
  <si>
    <t>E0401P015</t>
  </si>
  <si>
    <t>Fairfields</t>
  </si>
  <si>
    <t>Milton KeynesGayhurst</t>
  </si>
  <si>
    <t>E0401P016</t>
  </si>
  <si>
    <t>Gayhurst</t>
  </si>
  <si>
    <t>Milton KeynesGreat Linford</t>
  </si>
  <si>
    <t>E0401P017</t>
  </si>
  <si>
    <t>Great Linford</t>
  </si>
  <si>
    <t>Milton KeynesHanslope</t>
  </si>
  <si>
    <t>E0401P018</t>
  </si>
  <si>
    <t>Hanslope</t>
  </si>
  <si>
    <t>Milton KeynesHaversham cum Little Linford</t>
  </si>
  <si>
    <t>E0401P020</t>
  </si>
  <si>
    <t>Haversham cum Little Linford</t>
  </si>
  <si>
    <t>Milton KeynesKents Hill Monkston and Brinklow</t>
  </si>
  <si>
    <t>E0401P021</t>
  </si>
  <si>
    <t>Kents Hill Monkston and Brinklow</t>
  </si>
  <si>
    <t>Milton KeynesLathbury</t>
  </si>
  <si>
    <t>E0401P022</t>
  </si>
  <si>
    <t>Lathbury</t>
  </si>
  <si>
    <t>Milton KeynesLavendon</t>
  </si>
  <si>
    <t>E0401P023</t>
  </si>
  <si>
    <t>Lavendon</t>
  </si>
  <si>
    <t>Milton KeynesLittle Brickhill</t>
  </si>
  <si>
    <t>E0401P024</t>
  </si>
  <si>
    <t>Little Brickhill</t>
  </si>
  <si>
    <t>Milton KeynesLoughton &amp; Great Holm</t>
  </si>
  <si>
    <t>E0401P025</t>
  </si>
  <si>
    <t>Loughton &amp; Great Holm</t>
  </si>
  <si>
    <t>Milton KeynesMoulsoe</t>
  </si>
  <si>
    <t>E0401P027</t>
  </si>
  <si>
    <t>Moulsoe</t>
  </si>
  <si>
    <t>Milton KeynesNew Bradwell</t>
  </si>
  <si>
    <t>E0401P028</t>
  </si>
  <si>
    <t>New Bradwell</t>
  </si>
  <si>
    <t>Milton KeynesNewport Pagnell</t>
  </si>
  <si>
    <t>E0401P029</t>
  </si>
  <si>
    <t>Newport Pagnell</t>
  </si>
  <si>
    <t>Milton KeynesNorth Crawley</t>
  </si>
  <si>
    <t>E0401P031</t>
  </si>
  <si>
    <t>North Crawley</t>
  </si>
  <si>
    <t>Milton KeynesOlney</t>
  </si>
  <si>
    <t>E0401P032</t>
  </si>
  <si>
    <t>Olney</t>
  </si>
  <si>
    <t>Milton KeynesRavenstone</t>
  </si>
  <si>
    <t>E0401P033</t>
  </si>
  <si>
    <t>Ravenstone</t>
  </si>
  <si>
    <t>Milton KeynesShenley Brook End</t>
  </si>
  <si>
    <t>E0401P034</t>
  </si>
  <si>
    <t>Shenley Brook End</t>
  </si>
  <si>
    <t>Milton KeynesShenley Church End</t>
  </si>
  <si>
    <t>E0401P035</t>
  </si>
  <si>
    <t>Shenley Church End</t>
  </si>
  <si>
    <t>Milton KeynesSherington</t>
  </si>
  <si>
    <t>E0401P036</t>
  </si>
  <si>
    <t>Sherington</t>
  </si>
  <si>
    <t>Milton KeynesSimpson and Ashland</t>
  </si>
  <si>
    <t>E0401P037</t>
  </si>
  <si>
    <t>Simpson and Ashland</t>
  </si>
  <si>
    <t>Milton KeynesStantonbury</t>
  </si>
  <si>
    <t>E0401P038</t>
  </si>
  <si>
    <t>Stantonbury</t>
  </si>
  <si>
    <t>Milton KeynesStoke Goldington</t>
  </si>
  <si>
    <t>E0401P039</t>
  </si>
  <si>
    <t>Stoke Goldington</t>
  </si>
  <si>
    <t>Milton KeynesStony Stratford</t>
  </si>
  <si>
    <t>E0401P040</t>
  </si>
  <si>
    <t>Stony Stratford</t>
  </si>
  <si>
    <t>Milton KeynesTyringham and Filgrave</t>
  </si>
  <si>
    <t>E0401P041</t>
  </si>
  <si>
    <t>Tyringham and Filgrave</t>
  </si>
  <si>
    <t>Milton KeynesWalton</t>
  </si>
  <si>
    <t>E0401P042</t>
  </si>
  <si>
    <t>Walton</t>
  </si>
  <si>
    <t>Milton KeynesWarrington</t>
  </si>
  <si>
    <t>E0401P043</t>
  </si>
  <si>
    <t>Milton KeynesWavendon</t>
  </si>
  <si>
    <t>E0401P044</t>
  </si>
  <si>
    <t>Wavendon</t>
  </si>
  <si>
    <t>Milton KeynesWest Bletchley</t>
  </si>
  <si>
    <t>E0401P045</t>
  </si>
  <si>
    <t>West Bletchley</t>
  </si>
  <si>
    <t>Milton KeynesWeston Underwood</t>
  </si>
  <si>
    <t>E0401P046</t>
  </si>
  <si>
    <t>Weston Underwood</t>
  </si>
  <si>
    <t>Milton KeynesWhitehouse</t>
  </si>
  <si>
    <t>E0401P047</t>
  </si>
  <si>
    <t>Whitehouse</t>
  </si>
  <si>
    <t>Milton KeynesWoburn Sands</t>
  </si>
  <si>
    <t>E0401P048</t>
  </si>
  <si>
    <t>Woburn Sands</t>
  </si>
  <si>
    <t>Milton KeynesWolverton and Greenleys</t>
  </si>
  <si>
    <t>E0401P049</t>
  </si>
  <si>
    <t>Wolverton and Greenleys</t>
  </si>
  <si>
    <t>Milton KeynesWoughton</t>
  </si>
  <si>
    <t>E0401P050</t>
  </si>
  <si>
    <t>Woughton</t>
  </si>
  <si>
    <t>Milton KeynesOld Woughton</t>
  </si>
  <si>
    <t>E0401P051</t>
  </si>
  <si>
    <t>Old Woughton</t>
  </si>
  <si>
    <t>BuckinghamshireAddington</t>
  </si>
  <si>
    <t>E0402P001</t>
  </si>
  <si>
    <t>Addington</t>
  </si>
  <si>
    <t>BuckinghamshireAdstock</t>
  </si>
  <si>
    <t>E0402P002</t>
  </si>
  <si>
    <t>Adstock</t>
  </si>
  <si>
    <t>BuckinghamshireAkeley</t>
  </si>
  <si>
    <t>E0402P003</t>
  </si>
  <si>
    <t>Akeley</t>
  </si>
  <si>
    <t>BuckinghamshireAmersham</t>
  </si>
  <si>
    <t>E0402P004</t>
  </si>
  <si>
    <t>Amersham</t>
  </si>
  <si>
    <t>BuckinghamshireAshendon</t>
  </si>
  <si>
    <t>E0402P005</t>
  </si>
  <si>
    <t>Ashendon</t>
  </si>
  <si>
    <t>BuckinghamshireAshley Green</t>
  </si>
  <si>
    <t>E0402P006</t>
  </si>
  <si>
    <t>Ashley Green</t>
  </si>
  <si>
    <t>BuckinghamshireAston Abbotts</t>
  </si>
  <si>
    <t>E0402P007</t>
  </si>
  <si>
    <t>Aston Abbotts</t>
  </si>
  <si>
    <t>BuckinghamshireAston Clinton</t>
  </si>
  <si>
    <t>E0402P008</t>
  </si>
  <si>
    <t>Aston Clinton</t>
  </si>
  <si>
    <t>BuckinghamshireAston Sandford</t>
  </si>
  <si>
    <t>E0402P009</t>
  </si>
  <si>
    <t>Aston Sandford</t>
  </si>
  <si>
    <t>BuckinghamshireAylesbury</t>
  </si>
  <si>
    <t>E0402P010</t>
  </si>
  <si>
    <t>Aylesbury</t>
  </si>
  <si>
    <t>BuckinghamshireBarton Hartshorn</t>
  </si>
  <si>
    <t>E0402P011</t>
  </si>
  <si>
    <t>Barton Hartshorn</t>
  </si>
  <si>
    <t>BuckinghamshireBeachampton</t>
  </si>
  <si>
    <t>E0402P012</t>
  </si>
  <si>
    <t>Beachampton</t>
  </si>
  <si>
    <t>BuckinghamshireBeaconsfield</t>
  </si>
  <si>
    <t>E0402P013</t>
  </si>
  <si>
    <t>Beaconsfield</t>
  </si>
  <si>
    <t>BuckinghamshireBiddlesden</t>
  </si>
  <si>
    <t>E0402P014</t>
  </si>
  <si>
    <t>Biddlesden</t>
  </si>
  <si>
    <t>BuckinghamshireBledlow cum Saunderton</t>
  </si>
  <si>
    <t>E0402P016</t>
  </si>
  <si>
    <t>Bledlow cum Saunderton</t>
  </si>
  <si>
    <t>BuckinghamshireBoarstall</t>
  </si>
  <si>
    <t>E0402P017</t>
  </si>
  <si>
    <t>Boarstall</t>
  </si>
  <si>
    <t>BuckinghamshireBradenham</t>
  </si>
  <si>
    <t>E0402P018</t>
  </si>
  <si>
    <t>Bradenham</t>
  </si>
  <si>
    <t>BuckinghamshireBrill</t>
  </si>
  <si>
    <t>E0402P019</t>
  </si>
  <si>
    <t>Brill</t>
  </si>
  <si>
    <t>BuckinghamshireBuckingham</t>
  </si>
  <si>
    <t>E0402P020</t>
  </si>
  <si>
    <t>Buckingham</t>
  </si>
  <si>
    <t>BuckinghamshireBuckingham Park</t>
  </si>
  <si>
    <t>E0402P021</t>
  </si>
  <si>
    <t>Buckingham Park</t>
  </si>
  <si>
    <t>BuckinghamshireBuckland</t>
  </si>
  <si>
    <t>E0402P022</t>
  </si>
  <si>
    <t>Buckland</t>
  </si>
  <si>
    <t>BuckinghamshireBurnham</t>
  </si>
  <si>
    <t>E0402P023</t>
  </si>
  <si>
    <t>Burnham</t>
  </si>
  <si>
    <t>BuckinghamshireCalvert Green</t>
  </si>
  <si>
    <t>E0402P024</t>
  </si>
  <si>
    <t>Calvert Green</t>
  </si>
  <si>
    <t>BuckinghamshireChalfont St. Giles</t>
  </si>
  <si>
    <t>E0402P025</t>
  </si>
  <si>
    <t>Chalfont St. Giles</t>
  </si>
  <si>
    <t>BuckinghamshireChalfont St. Peter</t>
  </si>
  <si>
    <t>E0402P026</t>
  </si>
  <si>
    <t>Chalfont St. Peter</t>
  </si>
  <si>
    <t>BuckinghamshireCharndon</t>
  </si>
  <si>
    <t>E0402P027</t>
  </si>
  <si>
    <t>Charndon</t>
  </si>
  <si>
    <t>BuckinghamshireChartridge</t>
  </si>
  <si>
    <t>E0402P028</t>
  </si>
  <si>
    <t>Chartridge</t>
  </si>
  <si>
    <t>BuckinghamshireChearsley</t>
  </si>
  <si>
    <t>E0402P029</t>
  </si>
  <si>
    <t>Chearsley</t>
  </si>
  <si>
    <t>BuckinghamshireCheddington</t>
  </si>
  <si>
    <t>E0402P030</t>
  </si>
  <si>
    <t>Cheddington</t>
  </si>
  <si>
    <t>BuckinghamshireChenies</t>
  </si>
  <si>
    <t>E0402P031</t>
  </si>
  <si>
    <t>Chenies</t>
  </si>
  <si>
    <t>BuckinghamshireChepping Wycombe</t>
  </si>
  <si>
    <t>E0402P032</t>
  </si>
  <si>
    <t>Chepping Wycombe</t>
  </si>
  <si>
    <t>BuckinghamshireChesham</t>
  </si>
  <si>
    <t>E0402P033</t>
  </si>
  <si>
    <t>Chesham</t>
  </si>
  <si>
    <t>BuckinghamshireChesham Bois</t>
  </si>
  <si>
    <t>E0402P034</t>
  </si>
  <si>
    <t>Chesham Bois</t>
  </si>
  <si>
    <t>BuckinghamshireChetwode</t>
  </si>
  <si>
    <t>E0402P035</t>
  </si>
  <si>
    <t>Chetwode</t>
  </si>
  <si>
    <t>BuckinghamshireChilton</t>
  </si>
  <si>
    <t>E0402P036</t>
  </si>
  <si>
    <t>Chilton</t>
  </si>
  <si>
    <t>BuckinghamshireCholesbury cum St. Leonards</t>
  </si>
  <si>
    <t>E0402P037</t>
  </si>
  <si>
    <t>Cholesbury cum St. Leonards</t>
  </si>
  <si>
    <t>BuckinghamshireColdharbour</t>
  </si>
  <si>
    <t>E0402P038</t>
  </si>
  <si>
    <t>Coldharbour</t>
  </si>
  <si>
    <t>BuckinghamshireColeshill</t>
  </si>
  <si>
    <t>E0402P039</t>
  </si>
  <si>
    <t>Coleshill</t>
  </si>
  <si>
    <t>BuckinghamshireCreslow</t>
  </si>
  <si>
    <t>E0402P040</t>
  </si>
  <si>
    <t>Creslow</t>
  </si>
  <si>
    <t>BuckinghamshireCublington</t>
  </si>
  <si>
    <t>E0402P041</t>
  </si>
  <si>
    <t>Cublington</t>
  </si>
  <si>
    <t>BuckinghamshireCuddington</t>
  </si>
  <si>
    <t>E0402P042</t>
  </si>
  <si>
    <t>Cuddington</t>
  </si>
  <si>
    <t>BuckinghamshireDenham</t>
  </si>
  <si>
    <t>E0402P043</t>
  </si>
  <si>
    <t>Denham</t>
  </si>
  <si>
    <t>BuckinghamshireDinton with Ford and Upton</t>
  </si>
  <si>
    <t>E0402P044</t>
  </si>
  <si>
    <t>Dinton with Ford and Upton</t>
  </si>
  <si>
    <t>BuckinghamshireDorney</t>
  </si>
  <si>
    <t>E0402P045</t>
  </si>
  <si>
    <t>Dorney</t>
  </si>
  <si>
    <t>BuckinghamshireDorton</t>
  </si>
  <si>
    <t>E0402P046</t>
  </si>
  <si>
    <t>Dorton</t>
  </si>
  <si>
    <t>BuckinghamshireDownley</t>
  </si>
  <si>
    <t>E0402P047</t>
  </si>
  <si>
    <t>Downley</t>
  </si>
  <si>
    <t>BuckinghamshireDrayton Beauchamp</t>
  </si>
  <si>
    <t>E0402P048</t>
  </si>
  <si>
    <t>Drayton Beauchamp</t>
  </si>
  <si>
    <t>BuckinghamshireDrayton Parslow</t>
  </si>
  <si>
    <t>E0402P049</t>
  </si>
  <si>
    <t>Drayton Parslow</t>
  </si>
  <si>
    <t>BuckinghamshireDunton</t>
  </si>
  <si>
    <t>E0402P050</t>
  </si>
  <si>
    <t>BuckinghamshireEast Claydon</t>
  </si>
  <si>
    <t>E0402P051</t>
  </si>
  <si>
    <t>East Claydon</t>
  </si>
  <si>
    <t>BuckinghamshireEdgcott</t>
  </si>
  <si>
    <t>E0402P052</t>
  </si>
  <si>
    <t>Edgcott</t>
  </si>
  <si>
    <t>BuckinghamshireEdlesborough</t>
  </si>
  <si>
    <t>E0402P053</t>
  </si>
  <si>
    <t>Edlesborough</t>
  </si>
  <si>
    <t>BuckinghamshireEllesborough</t>
  </si>
  <si>
    <t>E0402P054</t>
  </si>
  <si>
    <t>Ellesborough</t>
  </si>
  <si>
    <t>BuckinghamshireFarnham Royal</t>
  </si>
  <si>
    <t>E0402P055</t>
  </si>
  <si>
    <t>Farnham Royal</t>
  </si>
  <si>
    <t>BuckinghamshireFawley</t>
  </si>
  <si>
    <t>E0402P056</t>
  </si>
  <si>
    <t>BuckinghamshireFleet Marston</t>
  </si>
  <si>
    <t>E0402P057</t>
  </si>
  <si>
    <t>Fleet Marston</t>
  </si>
  <si>
    <t>BuckinghamshireFoscott</t>
  </si>
  <si>
    <t>E0402P058</t>
  </si>
  <si>
    <t>Foscott</t>
  </si>
  <si>
    <t>BuckinghamshireFulmer</t>
  </si>
  <si>
    <t>E0402P059</t>
  </si>
  <si>
    <t>Fulmer</t>
  </si>
  <si>
    <t>BuckinghamshireGawcott with Lenborough</t>
  </si>
  <si>
    <t>E0402P060</t>
  </si>
  <si>
    <t>Gawcott with Lenborough</t>
  </si>
  <si>
    <t>BuckinghamshireGerrards Cross</t>
  </si>
  <si>
    <t>E0402P061</t>
  </si>
  <si>
    <t>Gerrards Cross</t>
  </si>
  <si>
    <t>BuckinghamshireGranborough</t>
  </si>
  <si>
    <t>E0402P062</t>
  </si>
  <si>
    <t>Granborough</t>
  </si>
  <si>
    <t>BuckinghamshireGreat and Little Hampden</t>
  </si>
  <si>
    <t>E0402P063</t>
  </si>
  <si>
    <t>Great and Little Hampden</t>
  </si>
  <si>
    <t>BuckinghamshireGreat and Little Kimble cum Marsh</t>
  </si>
  <si>
    <t>E0402P064</t>
  </si>
  <si>
    <t>Great and Little Kimble cum Marsh</t>
  </si>
  <si>
    <t>BuckinghamshireGreat Brickhill</t>
  </si>
  <si>
    <t>E0402P065</t>
  </si>
  <si>
    <t>Great Brickhill</t>
  </si>
  <si>
    <t>BuckinghamshireGreat Horwood</t>
  </si>
  <si>
    <t>E0402P066</t>
  </si>
  <si>
    <t>Great Horwood</t>
  </si>
  <si>
    <t>BuckinghamshireGreat Marlow</t>
  </si>
  <si>
    <t>E0402P067</t>
  </si>
  <si>
    <t>Great Marlow</t>
  </si>
  <si>
    <t>BuckinghamshireGreat Missenden</t>
  </si>
  <si>
    <t>E0402P068</t>
  </si>
  <si>
    <t>Great Missenden</t>
  </si>
  <si>
    <t>BuckinghamshireGrendon Underwood</t>
  </si>
  <si>
    <t>E0402P069</t>
  </si>
  <si>
    <t>Grendon Underwood</t>
  </si>
  <si>
    <t>BuckinghamshireHaddenham</t>
  </si>
  <si>
    <t>E0402P070</t>
  </si>
  <si>
    <t>Haddenham</t>
  </si>
  <si>
    <t>BuckinghamshireHalton</t>
  </si>
  <si>
    <t>E0402P071</t>
  </si>
  <si>
    <t>BuckinghamshireHambleden</t>
  </si>
  <si>
    <t>E0402P072</t>
  </si>
  <si>
    <t>Hambleden</t>
  </si>
  <si>
    <t>BuckinghamshireHardwick</t>
  </si>
  <si>
    <t>E0402P073</t>
  </si>
  <si>
    <t>Hardwick</t>
  </si>
  <si>
    <t>BuckinghamshireHazlemere</t>
  </si>
  <si>
    <t>E0402P074</t>
  </si>
  <si>
    <t>Hazlemere</t>
  </si>
  <si>
    <t>BuckinghamshireHedgerley</t>
  </si>
  <si>
    <t>E0402P075</t>
  </si>
  <si>
    <t>Hedgerley</t>
  </si>
  <si>
    <t>BuckinghamshireHedsor</t>
  </si>
  <si>
    <t>E0402P076</t>
  </si>
  <si>
    <t>Hedsor</t>
  </si>
  <si>
    <t>BuckinghamshireHigh Wycombe Charter Trustees</t>
  </si>
  <si>
    <t>E0402P077</t>
  </si>
  <si>
    <t>High Wycombe Charter Trustees</t>
  </si>
  <si>
    <t>BuckinghamshireHillesden</t>
  </si>
  <si>
    <t>E0402P078</t>
  </si>
  <si>
    <t>Hillesden</t>
  </si>
  <si>
    <t>BuckinghamshireHoggeston</t>
  </si>
  <si>
    <t>E0402P079</t>
  </si>
  <si>
    <t>Hoggeston</t>
  </si>
  <si>
    <t>BuckinghamshireHogshaw</t>
  </si>
  <si>
    <t>E0402P080</t>
  </si>
  <si>
    <t>Hogshaw</t>
  </si>
  <si>
    <t>BuckinghamshireHughenden</t>
  </si>
  <si>
    <t>E0402P081</t>
  </si>
  <si>
    <t>Hughenden</t>
  </si>
  <si>
    <t>BuckinghamshireHulcott</t>
  </si>
  <si>
    <t>E0402P082</t>
  </si>
  <si>
    <t>Hulcott</t>
  </si>
  <si>
    <t>BuckinghamshireIbstone</t>
  </si>
  <si>
    <t>E0402P083</t>
  </si>
  <si>
    <t>Ibstone</t>
  </si>
  <si>
    <t>BuckinghamshireIckford</t>
  </si>
  <si>
    <t>E0402P084</t>
  </si>
  <si>
    <t>Ickford</t>
  </si>
  <si>
    <t>BuckinghamshireIver</t>
  </si>
  <si>
    <t>E0402P085</t>
  </si>
  <si>
    <t>Iver</t>
  </si>
  <si>
    <t>BuckinghamshireIvinghoe</t>
  </si>
  <si>
    <t>E0402P086</t>
  </si>
  <si>
    <t>Ivinghoe</t>
  </si>
  <si>
    <t>BuckinghamshireKingsey</t>
  </si>
  <si>
    <t>E0402P087</t>
  </si>
  <si>
    <t>Kingsey</t>
  </si>
  <si>
    <t>BuckinghamshireKingswood</t>
  </si>
  <si>
    <t>E0402P088</t>
  </si>
  <si>
    <t>BuckinghamshireLacey Green</t>
  </si>
  <si>
    <t>E0402P089</t>
  </si>
  <si>
    <t>Lacey Green</t>
  </si>
  <si>
    <t>BuckinghamshireLane End</t>
  </si>
  <si>
    <t>E0402P090</t>
  </si>
  <si>
    <t>Lane End</t>
  </si>
  <si>
    <t>BuckinghamshireLatimer &amp; Ley Hill</t>
  </si>
  <si>
    <t>E0402P091</t>
  </si>
  <si>
    <t>Latimer &amp; Ley Hill</t>
  </si>
  <si>
    <t>BuckinghamshireLeckhampstead</t>
  </si>
  <si>
    <t>E0402P092</t>
  </si>
  <si>
    <t>BuckinghamshireLillingstone Dayrell with Luffield Abbey</t>
  </si>
  <si>
    <t>E0402P093</t>
  </si>
  <si>
    <t>Lillingstone Dayrell with Luffield Abbey</t>
  </si>
  <si>
    <t>BuckinghamshireLillingstone Lovell</t>
  </si>
  <si>
    <t>E0402P094</t>
  </si>
  <si>
    <t>Lillingstone Lovell</t>
  </si>
  <si>
    <t>BuckinghamshireLittle Chalfont</t>
  </si>
  <si>
    <t>E0402P095</t>
  </si>
  <si>
    <t>Little Chalfont</t>
  </si>
  <si>
    <t>BuckinghamshireLittle Horwood</t>
  </si>
  <si>
    <t>E0402P096</t>
  </si>
  <si>
    <t>Little Horwood</t>
  </si>
  <si>
    <t>BuckinghamshireLittle Marlow</t>
  </si>
  <si>
    <t>E0402P097</t>
  </si>
  <si>
    <t>Little Marlow</t>
  </si>
  <si>
    <t>BuckinghamshireLittle Missenden</t>
  </si>
  <si>
    <t>E0402P098</t>
  </si>
  <si>
    <t>Little Missenden</t>
  </si>
  <si>
    <t>BuckinghamshireLong Crendon</t>
  </si>
  <si>
    <t>E0402P099</t>
  </si>
  <si>
    <t>Long Crendon</t>
  </si>
  <si>
    <t>BuckinghamshireLongwick cum Ilmer</t>
  </si>
  <si>
    <t>E0402P100</t>
  </si>
  <si>
    <t>Longwick cum Ilmer</t>
  </si>
  <si>
    <t>BuckinghamshireLudgershall</t>
  </si>
  <si>
    <t>E0402P101</t>
  </si>
  <si>
    <t>Ludgershall</t>
  </si>
  <si>
    <t>BuckinghamshireMaids Moreton</t>
  </si>
  <si>
    <t>E0402P102</t>
  </si>
  <si>
    <t>Maids Moreton</t>
  </si>
  <si>
    <t>BuckinghamshireMarlow</t>
  </si>
  <si>
    <t>E0402P103</t>
  </si>
  <si>
    <t>Marlow</t>
  </si>
  <si>
    <t>BuckinghamshireMarlow Bottom</t>
  </si>
  <si>
    <t>E0402P104</t>
  </si>
  <si>
    <t>Marlow Bottom</t>
  </si>
  <si>
    <t>BuckinghamshireMarsh Gibbon</t>
  </si>
  <si>
    <t>E0402P105</t>
  </si>
  <si>
    <t>Marsh Gibbon</t>
  </si>
  <si>
    <t>BuckinghamshireMarsworth</t>
  </si>
  <si>
    <t>E0402P106</t>
  </si>
  <si>
    <t>Marsworth</t>
  </si>
  <si>
    <t>BuckinghamshireMedmenham</t>
  </si>
  <si>
    <t>E0402P107</t>
  </si>
  <si>
    <t>Medmenham</t>
  </si>
  <si>
    <t>BuckinghamshireMentmore</t>
  </si>
  <si>
    <t>E0402P108</t>
  </si>
  <si>
    <t>Mentmore</t>
  </si>
  <si>
    <t>BuckinghamshireMiddle Claydon</t>
  </si>
  <si>
    <t>E0402P109</t>
  </si>
  <si>
    <t>Middle Claydon</t>
  </si>
  <si>
    <t>BuckinghamshireMursley</t>
  </si>
  <si>
    <t>E0402P110</t>
  </si>
  <si>
    <t>Mursley</t>
  </si>
  <si>
    <t>BuckinghamshireNash</t>
  </si>
  <si>
    <t>E0402P111</t>
  </si>
  <si>
    <t>Nash</t>
  </si>
  <si>
    <t>BuckinghamshireNether Winchendon</t>
  </si>
  <si>
    <t>E0402P112</t>
  </si>
  <si>
    <t>Nether Winchendon</t>
  </si>
  <si>
    <t>BuckinghamshireNewton Longville</t>
  </si>
  <si>
    <t>E0402P113</t>
  </si>
  <si>
    <t>Newton Longville</t>
  </si>
  <si>
    <t>BuckinghamshireNorth Marston</t>
  </si>
  <si>
    <t>E0402P114</t>
  </si>
  <si>
    <t>North Marston</t>
  </si>
  <si>
    <t>BuckinghamshireOakley</t>
  </si>
  <si>
    <t>E0402P115</t>
  </si>
  <si>
    <t>BuckinghamshireOving</t>
  </si>
  <si>
    <t>E0402P116</t>
  </si>
  <si>
    <t>Oving</t>
  </si>
  <si>
    <t>BuckinghamshirePadbury</t>
  </si>
  <si>
    <t>E0402P117</t>
  </si>
  <si>
    <t>Padbury</t>
  </si>
  <si>
    <t>BuckinghamshirePenn</t>
  </si>
  <si>
    <t>E0402P118</t>
  </si>
  <si>
    <t>Penn</t>
  </si>
  <si>
    <t>BuckinghamshirePiddington and Wheeler End</t>
  </si>
  <si>
    <t>E0402P119</t>
  </si>
  <si>
    <t>Piddington and Wheeler End</t>
  </si>
  <si>
    <t>BuckinghamshirePitchcott</t>
  </si>
  <si>
    <t>E0402P120</t>
  </si>
  <si>
    <t>Pitchcott</t>
  </si>
  <si>
    <t>BuckinghamshirePitstone</t>
  </si>
  <si>
    <t>E0402P121</t>
  </si>
  <si>
    <t>Pitstone</t>
  </si>
  <si>
    <t>BuckinghamshirePoundon</t>
  </si>
  <si>
    <t>E0402P122</t>
  </si>
  <si>
    <t>Poundon</t>
  </si>
  <si>
    <t>BuckinghamshirePreston Bissett</t>
  </si>
  <si>
    <t>E0402P123</t>
  </si>
  <si>
    <t>Preston Bissett</t>
  </si>
  <si>
    <t>BuckinghamshirePrinces Risborough</t>
  </si>
  <si>
    <t>E0402P124</t>
  </si>
  <si>
    <t>Princes Risborough</t>
  </si>
  <si>
    <t>BuckinghamshireQuainton</t>
  </si>
  <si>
    <t>E0402P125</t>
  </si>
  <si>
    <t>Quainton</t>
  </si>
  <si>
    <t>BuckinghamshireRadclive cum Chackmore</t>
  </si>
  <si>
    <t>E0402P127</t>
  </si>
  <si>
    <t>Radclive cum Chackmore</t>
  </si>
  <si>
    <t>BuckinghamshireRadnage</t>
  </si>
  <si>
    <t>E0402P128</t>
  </si>
  <si>
    <t>Radnage</t>
  </si>
  <si>
    <t>BuckinghamshireSeer Green</t>
  </si>
  <si>
    <t>E0402P129</t>
  </si>
  <si>
    <t>Seer Green</t>
  </si>
  <si>
    <t>BuckinghamshireShabbington</t>
  </si>
  <si>
    <t>E0402P130</t>
  </si>
  <si>
    <t>Shabbington</t>
  </si>
  <si>
    <t>BuckinghamshireShalstone</t>
  </si>
  <si>
    <t>E0402P131</t>
  </si>
  <si>
    <t>Shalstone</t>
  </si>
  <si>
    <t>BuckinghamshireSlapton</t>
  </si>
  <si>
    <t>E0402P132</t>
  </si>
  <si>
    <t>Slapton</t>
  </si>
  <si>
    <t>BuckinghamshireSoulbury</t>
  </si>
  <si>
    <t>E0402P133</t>
  </si>
  <si>
    <t>Soulbury</t>
  </si>
  <si>
    <t>BuckinghamshireSteeple Claydon</t>
  </si>
  <si>
    <t>E0402P134</t>
  </si>
  <si>
    <t>Steeple Claydon</t>
  </si>
  <si>
    <t>BuckinghamshireStewkley</t>
  </si>
  <si>
    <t>E0402P135</t>
  </si>
  <si>
    <t>Stewkley</t>
  </si>
  <si>
    <t>BuckinghamshireStoke Hammond</t>
  </si>
  <si>
    <t>E0402P136</t>
  </si>
  <si>
    <t>Stoke Hammond</t>
  </si>
  <si>
    <t>BuckinghamshireStoke Mandeville</t>
  </si>
  <si>
    <t>E0402P137</t>
  </si>
  <si>
    <t>Stoke Mandeville</t>
  </si>
  <si>
    <t>BuckinghamshireStoke Poges</t>
  </si>
  <si>
    <t>E0402P138</t>
  </si>
  <si>
    <t>Stoke Poges</t>
  </si>
  <si>
    <t>BuckinghamshireStokenchurch</t>
  </si>
  <si>
    <t>E0402P139</t>
  </si>
  <si>
    <t>Stokenchurch</t>
  </si>
  <si>
    <t>BuckinghamshireStone with Bishopstone and Hartwell</t>
  </si>
  <si>
    <t>E0402P140</t>
  </si>
  <si>
    <t>Stone with Bishopstone and Hartwell</t>
  </si>
  <si>
    <t>BuckinghamshireStowe</t>
  </si>
  <si>
    <t>E0402P141</t>
  </si>
  <si>
    <t>Stowe</t>
  </si>
  <si>
    <t>BuckinghamshireSwanbourne</t>
  </si>
  <si>
    <t>E0402P142</t>
  </si>
  <si>
    <t>Swanbourne</t>
  </si>
  <si>
    <t>BuckinghamshireTaplow</t>
  </si>
  <si>
    <t>E0402P143</t>
  </si>
  <si>
    <t>Taplow</t>
  </si>
  <si>
    <t>BuckinghamshireThe Lee</t>
  </si>
  <si>
    <t>E0402P144</t>
  </si>
  <si>
    <t>The Lee</t>
  </si>
  <si>
    <t>BuckinghamshireThornborough</t>
  </si>
  <si>
    <t>E0402P145</t>
  </si>
  <si>
    <t>Thornborough</t>
  </si>
  <si>
    <t>BuckinghamshireThornton</t>
  </si>
  <si>
    <t>E0402P146</t>
  </si>
  <si>
    <t>Thornton</t>
  </si>
  <si>
    <t>BuckinghamshireTingewick</t>
  </si>
  <si>
    <t>E0402P147</t>
  </si>
  <si>
    <t>Tingewick</t>
  </si>
  <si>
    <t>BuckinghamshireTurville</t>
  </si>
  <si>
    <t>E0402P148</t>
  </si>
  <si>
    <t>Turville</t>
  </si>
  <si>
    <t>BuckinghamshireTurweston</t>
  </si>
  <si>
    <t>E0402P149</t>
  </si>
  <si>
    <t>Turweston</t>
  </si>
  <si>
    <t>BuckinghamshireTwyford</t>
  </si>
  <si>
    <t>E0402P150</t>
  </si>
  <si>
    <t>BuckinghamshireUpper Winchendon</t>
  </si>
  <si>
    <t>E0402P151</t>
  </si>
  <si>
    <t>Upper Winchendon</t>
  </si>
  <si>
    <t>BuckinghamshireWaddesdon</t>
  </si>
  <si>
    <t>E0402P152</t>
  </si>
  <si>
    <t>Waddesdon</t>
  </si>
  <si>
    <t>BuckinghamshireWater Stratford</t>
  </si>
  <si>
    <t>E0402P153</t>
  </si>
  <si>
    <t>Water Stratford</t>
  </si>
  <si>
    <t>BuckinghamshireWatermead</t>
  </si>
  <si>
    <t>E0402P154</t>
  </si>
  <si>
    <t>Watermead</t>
  </si>
  <si>
    <t>BuckinghamshireWeedon</t>
  </si>
  <si>
    <t>E0402P155</t>
  </si>
  <si>
    <t>Weedon</t>
  </si>
  <si>
    <t>BuckinghamshireWendover</t>
  </si>
  <si>
    <t>E0402P156</t>
  </si>
  <si>
    <t>Wendover</t>
  </si>
  <si>
    <t>BuckinghamshireWest Wycombe</t>
  </si>
  <si>
    <t>E0402P157</t>
  </si>
  <si>
    <t>West Wycombe</t>
  </si>
  <si>
    <t>BuckinghamshireWestbury</t>
  </si>
  <si>
    <t>E0402P158</t>
  </si>
  <si>
    <t>Westbury</t>
  </si>
  <si>
    <t>BuckinghamshireWestcott</t>
  </si>
  <si>
    <t>E0402P159</t>
  </si>
  <si>
    <t>Westcott</t>
  </si>
  <si>
    <t>BuckinghamshireWeston Turville</t>
  </si>
  <si>
    <t>E0402P160</t>
  </si>
  <si>
    <t>Weston Turville</t>
  </si>
  <si>
    <t>BuckinghamshireWexham</t>
  </si>
  <si>
    <t>E0402P161</t>
  </si>
  <si>
    <t>Wexham</t>
  </si>
  <si>
    <t>BuckinghamshireWhaddon</t>
  </si>
  <si>
    <t>E0402P162</t>
  </si>
  <si>
    <t>Whaddon</t>
  </si>
  <si>
    <t>BuckinghamshireWhitchurch</t>
  </si>
  <si>
    <t>E0402P163</t>
  </si>
  <si>
    <t>BuckinghamshireWing</t>
  </si>
  <si>
    <t>E0402P164</t>
  </si>
  <si>
    <t>Wing</t>
  </si>
  <si>
    <t>BuckinghamshireWingrave with Rowsham</t>
  </si>
  <si>
    <t>E0402P165</t>
  </si>
  <si>
    <t>Wingrave with Rowsham</t>
  </si>
  <si>
    <t>BuckinghamshireWinslow</t>
  </si>
  <si>
    <t>E0402P166</t>
  </si>
  <si>
    <t>Winslow</t>
  </si>
  <si>
    <t>BuckinghamshireWooburn</t>
  </si>
  <si>
    <t>E0402P167</t>
  </si>
  <si>
    <t>Wooburn</t>
  </si>
  <si>
    <t>BuckinghamshireWoodham</t>
  </si>
  <si>
    <t>E0402P168</t>
  </si>
  <si>
    <t>Woodham</t>
  </si>
  <si>
    <t>BuckinghamshireWorminghall</t>
  </si>
  <si>
    <t>E0402P169</t>
  </si>
  <si>
    <t>Worminghall</t>
  </si>
  <si>
    <t>BuckinghamshireWotton Underwood</t>
  </si>
  <si>
    <t>E0402P170</t>
  </si>
  <si>
    <t>Wotton Underwood</t>
  </si>
  <si>
    <t>BuckinghamshireBerryfields</t>
  </si>
  <si>
    <t>E0402P171</t>
  </si>
  <si>
    <t>Berryfields</t>
  </si>
  <si>
    <t>BuckinghamshireBierton</t>
  </si>
  <si>
    <t>E0402P172</t>
  </si>
  <si>
    <t>Bierton</t>
  </si>
  <si>
    <t>BuckinghamshireBroughton Hamlet</t>
  </si>
  <si>
    <t>E0402P173</t>
  </si>
  <si>
    <t>Broughton Hamlet</t>
  </si>
  <si>
    <t>BuckinghamshireKingsbrook</t>
  </si>
  <si>
    <t>E0402P174</t>
  </si>
  <si>
    <t>Kingsbrook</t>
  </si>
  <si>
    <t>PeterboroughAilsworth</t>
  </si>
  <si>
    <t>E0501P001</t>
  </si>
  <si>
    <t>Ailsworth</t>
  </si>
  <si>
    <t>PeterboroughBainton</t>
  </si>
  <si>
    <t>E0501P002</t>
  </si>
  <si>
    <t>Bainton</t>
  </si>
  <si>
    <t>PeterboroughBarnack</t>
  </si>
  <si>
    <t>E0501P003</t>
  </si>
  <si>
    <t>Barnack</t>
  </si>
  <si>
    <t>PeterboroughBretton</t>
  </si>
  <si>
    <t>E0501P005</t>
  </si>
  <si>
    <t>Bretton</t>
  </si>
  <si>
    <t>PeterboroughCastor</t>
  </si>
  <si>
    <t>E0501P006</t>
  </si>
  <si>
    <t>Castor</t>
  </si>
  <si>
    <t>PeterboroughDeeping Gate</t>
  </si>
  <si>
    <t>E0501P007</t>
  </si>
  <si>
    <t>Deeping Gate</t>
  </si>
  <si>
    <t>PeterboroughEtton</t>
  </si>
  <si>
    <t>E0501P008</t>
  </si>
  <si>
    <t>Etton</t>
  </si>
  <si>
    <t>PeterboroughEye</t>
  </si>
  <si>
    <t>E0501P009</t>
  </si>
  <si>
    <t>Eye</t>
  </si>
  <si>
    <t>PeterboroughGlinton</t>
  </si>
  <si>
    <t>E0501P010</t>
  </si>
  <si>
    <t>Glinton</t>
  </si>
  <si>
    <t>PeterboroughHampton Hargate and Vale</t>
  </si>
  <si>
    <t>E0501P011</t>
  </si>
  <si>
    <t>Hampton Hargate and Vale</t>
  </si>
  <si>
    <t>PeterboroughHelpston</t>
  </si>
  <si>
    <t>E0501P012</t>
  </si>
  <si>
    <t>Helpston</t>
  </si>
  <si>
    <t>PeterboroughMarholm</t>
  </si>
  <si>
    <t>E0501P013</t>
  </si>
  <si>
    <t>Marholm</t>
  </si>
  <si>
    <t>PeterboroughMaxey</t>
  </si>
  <si>
    <t>E0501P014</t>
  </si>
  <si>
    <t>Maxey</t>
  </si>
  <si>
    <t>PeterboroughNewborough and Borough Fen</t>
  </si>
  <si>
    <t>E0501P015</t>
  </si>
  <si>
    <t>Newborough and Borough Fen</t>
  </si>
  <si>
    <t>PeterboroughNorthborough</t>
  </si>
  <si>
    <t>E0501P016</t>
  </si>
  <si>
    <t>Northborough</t>
  </si>
  <si>
    <t>PeterboroughOrton Longueville</t>
  </si>
  <si>
    <t>E0501P017</t>
  </si>
  <si>
    <t>Orton Longueville</t>
  </si>
  <si>
    <t>PeterboroughOrton Waterville</t>
  </si>
  <si>
    <t>E0501P018</t>
  </si>
  <si>
    <t>Orton Waterville</t>
  </si>
  <si>
    <t>PeterboroughPeakirk</t>
  </si>
  <si>
    <t>E0501P019</t>
  </si>
  <si>
    <t>Peakirk</t>
  </si>
  <si>
    <t>PeterboroughSouthorpe</t>
  </si>
  <si>
    <t>E0501P020</t>
  </si>
  <si>
    <t>Southorpe</t>
  </si>
  <si>
    <t>PeterboroughSt. Martin's Without</t>
  </si>
  <si>
    <t>E0501P021</t>
  </si>
  <si>
    <t>St. Martin's Without</t>
  </si>
  <si>
    <t>PeterboroughSutton</t>
  </si>
  <si>
    <t>E0501P022</t>
  </si>
  <si>
    <t>PeterboroughThorney</t>
  </si>
  <si>
    <t>E0501P023</t>
  </si>
  <si>
    <t>Thorney</t>
  </si>
  <si>
    <t>PeterboroughThornhaugh</t>
  </si>
  <si>
    <t>E0501P024</t>
  </si>
  <si>
    <t>Thornhaugh</t>
  </si>
  <si>
    <t>PeterboroughUfford</t>
  </si>
  <si>
    <t>E0501P025</t>
  </si>
  <si>
    <t>Ufford</t>
  </si>
  <si>
    <t>PeterboroughUpton</t>
  </si>
  <si>
    <t>E0501P026</t>
  </si>
  <si>
    <t>Upton</t>
  </si>
  <si>
    <t>PeterboroughWansford</t>
  </si>
  <si>
    <t>E0501P027</t>
  </si>
  <si>
    <t>Wansford</t>
  </si>
  <si>
    <t>PeterboroughWittering</t>
  </si>
  <si>
    <t>E0501P028</t>
  </si>
  <si>
    <t>Wittering</t>
  </si>
  <si>
    <t>PeterboroughWothorpe</t>
  </si>
  <si>
    <t>E0501P029</t>
  </si>
  <si>
    <t>Wothorpe</t>
  </si>
  <si>
    <t>PeterboroughCity</t>
  </si>
  <si>
    <t>E0501P030</t>
  </si>
  <si>
    <t>City</t>
  </si>
  <si>
    <t>East CambridgeshireAshley</t>
  </si>
  <si>
    <t>E0532P001</t>
  </si>
  <si>
    <t>Ashley</t>
  </si>
  <si>
    <t>East CambridgeshireBottisham</t>
  </si>
  <si>
    <t>E0532P002</t>
  </si>
  <si>
    <t>Bottisham</t>
  </si>
  <si>
    <t>East CambridgeshireBrinkley</t>
  </si>
  <si>
    <t>E0532P003</t>
  </si>
  <si>
    <t>Brinkley</t>
  </si>
  <si>
    <t>East CambridgeshireBurrough Green</t>
  </si>
  <si>
    <t>E0532P004</t>
  </si>
  <si>
    <t>Burrough Green</t>
  </si>
  <si>
    <t>East CambridgeshireBurwell</t>
  </si>
  <si>
    <t>E0532P005</t>
  </si>
  <si>
    <t>Burwell</t>
  </si>
  <si>
    <t>East CambridgeshireCheveley</t>
  </si>
  <si>
    <t>E0532P006</t>
  </si>
  <si>
    <t>Cheveley</t>
  </si>
  <si>
    <t>East CambridgeshireChippenham</t>
  </si>
  <si>
    <t>E0532P007</t>
  </si>
  <si>
    <t>Chippenham</t>
  </si>
  <si>
    <t>East CambridgeshireCoveney</t>
  </si>
  <si>
    <t>E0532P008</t>
  </si>
  <si>
    <t>Coveney</t>
  </si>
  <si>
    <t>East CambridgeshireDownham</t>
  </si>
  <si>
    <t>E0532P009</t>
  </si>
  <si>
    <t>Downham</t>
  </si>
  <si>
    <t>East CambridgeshireDullingham</t>
  </si>
  <si>
    <t>E0532P010</t>
  </si>
  <si>
    <t>Dullingham</t>
  </si>
  <si>
    <t>East CambridgeshireEly</t>
  </si>
  <si>
    <t>E0532P011</t>
  </si>
  <si>
    <t>Ely</t>
  </si>
  <si>
    <t>East CambridgeshireFordham</t>
  </si>
  <si>
    <t>E0532P012</t>
  </si>
  <si>
    <t>Fordham</t>
  </si>
  <si>
    <t>East CambridgeshireHaddenham</t>
  </si>
  <si>
    <t>E0532P013</t>
  </si>
  <si>
    <t>East CambridgeshireIsleham</t>
  </si>
  <si>
    <t>E0532P014</t>
  </si>
  <si>
    <t>Isleham</t>
  </si>
  <si>
    <t>East CambridgeshireKennett</t>
  </si>
  <si>
    <t>E0532P015</t>
  </si>
  <si>
    <t>Kennett</t>
  </si>
  <si>
    <t>East CambridgeshireKirtling</t>
  </si>
  <si>
    <t>E0532P016</t>
  </si>
  <si>
    <t>Kirtling</t>
  </si>
  <si>
    <t>East CambridgeshireLittleport</t>
  </si>
  <si>
    <t>E0532P017</t>
  </si>
  <si>
    <t>Littleport</t>
  </si>
  <si>
    <t>East CambridgeshireLode</t>
  </si>
  <si>
    <t>E0532P018</t>
  </si>
  <si>
    <t>Lode</t>
  </si>
  <si>
    <t>East CambridgeshireMepal</t>
  </si>
  <si>
    <t>E0532P019</t>
  </si>
  <si>
    <t>Mepal</t>
  </si>
  <si>
    <t>East CambridgeshireReach</t>
  </si>
  <si>
    <t>E0532P020</t>
  </si>
  <si>
    <t>Reach</t>
  </si>
  <si>
    <t>East CambridgeshireSnailwell</t>
  </si>
  <si>
    <t>E0532P021</t>
  </si>
  <si>
    <t>Snailwell</t>
  </si>
  <si>
    <t>East CambridgeshireSoham</t>
  </si>
  <si>
    <t>E0532P022</t>
  </si>
  <si>
    <t>Soham</t>
  </si>
  <si>
    <t>East CambridgeshireStetchworth</t>
  </si>
  <si>
    <t>E0532P023</t>
  </si>
  <si>
    <t>Stetchworth</t>
  </si>
  <si>
    <t>East CambridgeshireStretham</t>
  </si>
  <si>
    <t>E0532P024</t>
  </si>
  <si>
    <t>Stretham</t>
  </si>
  <si>
    <t>East CambridgeshireSutton</t>
  </si>
  <si>
    <t>E0532P025</t>
  </si>
  <si>
    <t>East CambridgeshireSwaffham Bulbeck</t>
  </si>
  <si>
    <t>E0532P026</t>
  </si>
  <si>
    <t>Swaffham Bulbeck</t>
  </si>
  <si>
    <t>East CambridgeshireSwaffham Prior</t>
  </si>
  <si>
    <t>E0532P027</t>
  </si>
  <si>
    <t>Swaffham Prior</t>
  </si>
  <si>
    <t>East CambridgeshireThetford</t>
  </si>
  <si>
    <t>E0532P028</t>
  </si>
  <si>
    <t>Thetford</t>
  </si>
  <si>
    <t>East CambridgeshireWentworth</t>
  </si>
  <si>
    <t>E0532P029</t>
  </si>
  <si>
    <t>Wentworth</t>
  </si>
  <si>
    <t>East CambridgeshireWestley Waterless</t>
  </si>
  <si>
    <t>E0532P030</t>
  </si>
  <si>
    <t>Westley Waterless</t>
  </si>
  <si>
    <t>East CambridgeshireWicken</t>
  </si>
  <si>
    <t>E0532P031</t>
  </si>
  <si>
    <t>Wicken</t>
  </si>
  <si>
    <t>East CambridgeshireWilburton</t>
  </si>
  <si>
    <t>E0532P032</t>
  </si>
  <si>
    <t>Wilburton</t>
  </si>
  <si>
    <t>East CambridgeshireWitcham</t>
  </si>
  <si>
    <t>E0532P033</t>
  </si>
  <si>
    <t>Witcham</t>
  </si>
  <si>
    <t>East CambridgeshireWitchford</t>
  </si>
  <si>
    <t>E0532P034</t>
  </si>
  <si>
    <t>Witchford</t>
  </si>
  <si>
    <t>East CambridgeshireWoodditton</t>
  </si>
  <si>
    <t>E0532P035</t>
  </si>
  <si>
    <t>Woodditton</t>
  </si>
  <si>
    <t>FenlandBenwick</t>
  </si>
  <si>
    <t>E0533P001</t>
  </si>
  <si>
    <t>Benwick</t>
  </si>
  <si>
    <t>FenlandChatteris</t>
  </si>
  <si>
    <t>E0533P002</t>
  </si>
  <si>
    <t>Chatteris</t>
  </si>
  <si>
    <t>FenlandChristchurch</t>
  </si>
  <si>
    <t>E0533P003</t>
  </si>
  <si>
    <t>Christchurch</t>
  </si>
  <si>
    <t>FenlandDoddington</t>
  </si>
  <si>
    <t>E0533P004</t>
  </si>
  <si>
    <t>Doddington</t>
  </si>
  <si>
    <t>FenlandElm</t>
  </si>
  <si>
    <t>E0533P005</t>
  </si>
  <si>
    <t>Elm</t>
  </si>
  <si>
    <t>FenlandGorefield</t>
  </si>
  <si>
    <t>E0533P006</t>
  </si>
  <si>
    <t>Gorefield</t>
  </si>
  <si>
    <t>FenlandLeverington</t>
  </si>
  <si>
    <t>E0533P007</t>
  </si>
  <si>
    <t>Leverington</t>
  </si>
  <si>
    <t>FenlandManea</t>
  </si>
  <si>
    <t>E0533P008</t>
  </si>
  <si>
    <t>Manea</t>
  </si>
  <si>
    <t>FenlandMarch</t>
  </si>
  <si>
    <t>E0533P009</t>
  </si>
  <si>
    <t>March</t>
  </si>
  <si>
    <t>FenlandNewton</t>
  </si>
  <si>
    <t>E0533P010</t>
  </si>
  <si>
    <t>Newton</t>
  </si>
  <si>
    <t>FenlandParson Drove</t>
  </si>
  <si>
    <t>E0533P011</t>
  </si>
  <si>
    <t>Parson Drove</t>
  </si>
  <si>
    <t>FenlandTydd St. Giles</t>
  </si>
  <si>
    <t>E0533P012</t>
  </si>
  <si>
    <t>Tydd St. Giles</t>
  </si>
  <si>
    <t>FenlandWhittlesey</t>
  </si>
  <si>
    <t>E0533P013</t>
  </si>
  <si>
    <t>Whittlesey</t>
  </si>
  <si>
    <t>FenlandWimblington</t>
  </si>
  <si>
    <t>E0533P014</t>
  </si>
  <si>
    <t>Wimblington</t>
  </si>
  <si>
    <t>FenlandWisbech</t>
  </si>
  <si>
    <t>E0533P015</t>
  </si>
  <si>
    <t>Wisbech</t>
  </si>
  <si>
    <t>FenlandWisbech St. Mary</t>
  </si>
  <si>
    <t>E0533P016</t>
  </si>
  <si>
    <t>Wisbech St. Mary</t>
  </si>
  <si>
    <t>South CambridgeshireAbington Pigotts</t>
  </si>
  <si>
    <t>E0536P001</t>
  </si>
  <si>
    <t>Abington Pigotts</t>
  </si>
  <si>
    <t>South CambridgeshireArrington</t>
  </si>
  <si>
    <t>E0536P002</t>
  </si>
  <si>
    <t>Arrington</t>
  </si>
  <si>
    <t>South CambridgeshireBabraham</t>
  </si>
  <si>
    <t>E0536P003</t>
  </si>
  <si>
    <t>Babraham</t>
  </si>
  <si>
    <t>South CambridgeshireBalsham</t>
  </si>
  <si>
    <t>E0536P004</t>
  </si>
  <si>
    <t>Balsham</t>
  </si>
  <si>
    <t>South CambridgeshireBar Hill</t>
  </si>
  <si>
    <t>E0536P005</t>
  </si>
  <si>
    <t>Bar Hill</t>
  </si>
  <si>
    <t>South CambridgeshireBarrington</t>
  </si>
  <si>
    <t>E0536P006</t>
  </si>
  <si>
    <t>Barrington</t>
  </si>
  <si>
    <t>South CambridgeshireBartlow</t>
  </si>
  <si>
    <t>E0536P007</t>
  </si>
  <si>
    <t>Bartlow</t>
  </si>
  <si>
    <t>South CambridgeshireBarton</t>
  </si>
  <si>
    <t>E0536P008</t>
  </si>
  <si>
    <t>Barton</t>
  </si>
  <si>
    <t>South CambridgeshireBassingbourn cum Kneesworth</t>
  </si>
  <si>
    <t>E0536P009</t>
  </si>
  <si>
    <t>Bassingbourn cum Kneesworth</t>
  </si>
  <si>
    <t>South CambridgeshireBourn</t>
  </si>
  <si>
    <t>E0536P010</t>
  </si>
  <si>
    <t>Bourn</t>
  </si>
  <si>
    <t>South CambridgeshireBoxworth</t>
  </si>
  <si>
    <t>E0536P011</t>
  </si>
  <si>
    <t>Boxworth</t>
  </si>
  <si>
    <t>South CambridgeshireCaldecote</t>
  </si>
  <si>
    <t>E0536P012</t>
  </si>
  <si>
    <t>Caldecote</t>
  </si>
  <si>
    <t>South CambridgeshireCambourne</t>
  </si>
  <si>
    <t>E0536P013</t>
  </si>
  <si>
    <t>Cambourne</t>
  </si>
  <si>
    <t>South CambridgeshireCarlton</t>
  </si>
  <si>
    <t>E0536P014</t>
  </si>
  <si>
    <t>Carlton</t>
  </si>
  <si>
    <t>South CambridgeshireCastle Camps</t>
  </si>
  <si>
    <t>E0536P015</t>
  </si>
  <si>
    <t>Castle Camps</t>
  </si>
  <si>
    <t>South CambridgeshireCaxton</t>
  </si>
  <si>
    <t>E0536P016</t>
  </si>
  <si>
    <t>Caxton</t>
  </si>
  <si>
    <t>South CambridgeshireChilderley</t>
  </si>
  <si>
    <t>E0536P017</t>
  </si>
  <si>
    <t>Childerley</t>
  </si>
  <si>
    <t>South CambridgeshireComberton</t>
  </si>
  <si>
    <t>E0536P018</t>
  </si>
  <si>
    <t>Comberton</t>
  </si>
  <si>
    <t>South CambridgeshireConington</t>
  </si>
  <si>
    <t>E0536P019</t>
  </si>
  <si>
    <t>Conington</t>
  </si>
  <si>
    <t>South CambridgeshireCoton</t>
  </si>
  <si>
    <t>E0536P020</t>
  </si>
  <si>
    <t>Coton</t>
  </si>
  <si>
    <t>South CambridgeshireCottenham</t>
  </si>
  <si>
    <t>E0536P021</t>
  </si>
  <si>
    <t>Cottenham</t>
  </si>
  <si>
    <t>South CambridgeshireCroxton</t>
  </si>
  <si>
    <t>E0536P022</t>
  </si>
  <si>
    <t>Croxton</t>
  </si>
  <si>
    <t>South CambridgeshireCroydon</t>
  </si>
  <si>
    <t>E0536P023</t>
  </si>
  <si>
    <t>South CambridgeshireDry Drayton</t>
  </si>
  <si>
    <t>E0536P024</t>
  </si>
  <si>
    <t>Dry Drayton</t>
  </si>
  <si>
    <t>South CambridgeshireDuxford</t>
  </si>
  <si>
    <t>E0536P025</t>
  </si>
  <si>
    <t>Duxford</t>
  </si>
  <si>
    <t>South CambridgeshireElsworth</t>
  </si>
  <si>
    <t>E0536P026</t>
  </si>
  <si>
    <t>Elsworth</t>
  </si>
  <si>
    <t>South CambridgeshireEltisley</t>
  </si>
  <si>
    <t>E0536P027</t>
  </si>
  <si>
    <t>Eltisley</t>
  </si>
  <si>
    <t>South CambridgeshireFen Ditton</t>
  </si>
  <si>
    <t>E0536P028</t>
  </si>
  <si>
    <t>Fen Ditton</t>
  </si>
  <si>
    <t>South CambridgeshireFen Drayton</t>
  </si>
  <si>
    <t>E0536P029</t>
  </si>
  <si>
    <t>Fen Drayton</t>
  </si>
  <si>
    <t>South CambridgeshireFowlmere</t>
  </si>
  <si>
    <t>E0536P030</t>
  </si>
  <si>
    <t>Fowlmere</t>
  </si>
  <si>
    <t>South CambridgeshireFoxton</t>
  </si>
  <si>
    <t>E0536P031</t>
  </si>
  <si>
    <t>Foxton</t>
  </si>
  <si>
    <t>South CambridgeshireFulbourn</t>
  </si>
  <si>
    <t>E0536P032</t>
  </si>
  <si>
    <t>Fulbourn</t>
  </si>
  <si>
    <t>South CambridgeshireGamlingay</t>
  </si>
  <si>
    <t>E0536P033</t>
  </si>
  <si>
    <t>Gamlingay</t>
  </si>
  <si>
    <t>South CambridgeshireGirton</t>
  </si>
  <si>
    <t>E0536P034</t>
  </si>
  <si>
    <t>Girton</t>
  </si>
  <si>
    <t>South CambridgeshireGrantchester</t>
  </si>
  <si>
    <t>E0536P035</t>
  </si>
  <si>
    <t>Grantchester</t>
  </si>
  <si>
    <t>South CambridgeshireGraveley</t>
  </si>
  <si>
    <t>E0536P036</t>
  </si>
  <si>
    <t>Graveley</t>
  </si>
  <si>
    <t>South CambridgeshireGreat Abington</t>
  </si>
  <si>
    <t>E0536P037</t>
  </si>
  <si>
    <t>Great Abington</t>
  </si>
  <si>
    <t>South CambridgeshireGreat and Little Chishill</t>
  </si>
  <si>
    <t>E0536P038</t>
  </si>
  <si>
    <t>Great and Little Chishill</t>
  </si>
  <si>
    <t>South CambridgeshireGreat and Little Eversden</t>
  </si>
  <si>
    <t>E0536P039</t>
  </si>
  <si>
    <t>Great and Little Eversden</t>
  </si>
  <si>
    <t>South CambridgeshireGreat Shelford</t>
  </si>
  <si>
    <t>E0536P040</t>
  </si>
  <si>
    <t>Great Shelford</t>
  </si>
  <si>
    <t>South CambridgeshireGreat Wilbraham</t>
  </si>
  <si>
    <t>E0536P041</t>
  </si>
  <si>
    <t>Great Wilbraham</t>
  </si>
  <si>
    <t>South CambridgeshireGuilden Morden</t>
  </si>
  <si>
    <t>E0536P042</t>
  </si>
  <si>
    <t>Guilden Morden</t>
  </si>
  <si>
    <t>South CambridgeshireHardwick</t>
  </si>
  <si>
    <t>E0536P043</t>
  </si>
  <si>
    <t>South CambridgeshireHarlton</t>
  </si>
  <si>
    <t>E0536P044</t>
  </si>
  <si>
    <t>Harlton</t>
  </si>
  <si>
    <t>South CambridgeshireHarston</t>
  </si>
  <si>
    <t>E0536P045</t>
  </si>
  <si>
    <t>Harston</t>
  </si>
  <si>
    <t>South CambridgeshireHaslingfield</t>
  </si>
  <si>
    <t>E0536P046</t>
  </si>
  <si>
    <t>Haslingfield</t>
  </si>
  <si>
    <t>South CambridgeshireHatley</t>
  </si>
  <si>
    <t>E0536P047</t>
  </si>
  <si>
    <t>Hatley</t>
  </si>
  <si>
    <t>South CambridgeshireHauxton</t>
  </si>
  <si>
    <t>E0536P048</t>
  </si>
  <si>
    <t>Hauxton</t>
  </si>
  <si>
    <t>South CambridgeshireHeydon</t>
  </si>
  <si>
    <t>E0536P049</t>
  </si>
  <si>
    <t>Heydon</t>
  </si>
  <si>
    <t>South CambridgeshireHildersham</t>
  </si>
  <si>
    <t>E0536P050</t>
  </si>
  <si>
    <t>Hildersham</t>
  </si>
  <si>
    <t>South CambridgeshireHinxton</t>
  </si>
  <si>
    <t>E0536P051</t>
  </si>
  <si>
    <t>Hinxton</t>
  </si>
  <si>
    <t>South CambridgeshireHiston</t>
  </si>
  <si>
    <t>E0536P052</t>
  </si>
  <si>
    <t>Histon</t>
  </si>
  <si>
    <t>South CambridgeshireHorningsea</t>
  </si>
  <si>
    <t>E0536P053</t>
  </si>
  <si>
    <t>Horningsea</t>
  </si>
  <si>
    <t>South CambridgeshireHorseheath</t>
  </si>
  <si>
    <t>E0536P054</t>
  </si>
  <si>
    <t>Horseheath</t>
  </si>
  <si>
    <t>South CambridgeshireIckleton</t>
  </si>
  <si>
    <t>E0536P055</t>
  </si>
  <si>
    <t>Ickleton</t>
  </si>
  <si>
    <t>South CambridgeshireImpington</t>
  </si>
  <si>
    <t>E0536P056</t>
  </si>
  <si>
    <t>Impington</t>
  </si>
  <si>
    <t>South CambridgeshireKingston</t>
  </si>
  <si>
    <t>E0536P057</t>
  </si>
  <si>
    <t>Kingston</t>
  </si>
  <si>
    <t>South CambridgeshireKnapwell</t>
  </si>
  <si>
    <t>E0536P058</t>
  </si>
  <si>
    <t>Knapwell</t>
  </si>
  <si>
    <t>South CambridgeshireLandbeach</t>
  </si>
  <si>
    <t>E0536P059</t>
  </si>
  <si>
    <t>Landbeach</t>
  </si>
  <si>
    <t>South CambridgeshireLinton</t>
  </si>
  <si>
    <t>E0536P060</t>
  </si>
  <si>
    <t>Linton</t>
  </si>
  <si>
    <t>South CambridgeshireLitlington</t>
  </si>
  <si>
    <t>E0536P061</t>
  </si>
  <si>
    <t>Litlington</t>
  </si>
  <si>
    <t>South CambridgeshireLittle Abington</t>
  </si>
  <si>
    <t>E0536P062</t>
  </si>
  <si>
    <t>Little Abington</t>
  </si>
  <si>
    <t>South CambridgeshireLittle Gransden</t>
  </si>
  <si>
    <t>E0536P064</t>
  </si>
  <si>
    <t>Little Gransden</t>
  </si>
  <si>
    <t>South CambridgeshireLittle Shelford</t>
  </si>
  <si>
    <t>E0536P065</t>
  </si>
  <si>
    <t>Little Shelford</t>
  </si>
  <si>
    <t>South CambridgeshireLittle Wilbraham</t>
  </si>
  <si>
    <t>E0536P066</t>
  </si>
  <si>
    <t>Little Wilbraham</t>
  </si>
  <si>
    <t>South CambridgeshireLolworth</t>
  </si>
  <si>
    <t>E0536P067</t>
  </si>
  <si>
    <t>Lolworth</t>
  </si>
  <si>
    <t>South CambridgeshireLongstanton</t>
  </si>
  <si>
    <t>E0536P068</t>
  </si>
  <si>
    <t>Longstanton</t>
  </si>
  <si>
    <t>South CambridgeshireLongstowe</t>
  </si>
  <si>
    <t>E0536P069</t>
  </si>
  <si>
    <t>Longstowe</t>
  </si>
  <si>
    <t>South CambridgeshireMadingley</t>
  </si>
  <si>
    <t>E0536P070</t>
  </si>
  <si>
    <t>Madingley</t>
  </si>
  <si>
    <t>South CambridgeshireMelbourn</t>
  </si>
  <si>
    <t>E0536P071</t>
  </si>
  <si>
    <t>Melbourn</t>
  </si>
  <si>
    <t>South CambridgeshireMeldreth</t>
  </si>
  <si>
    <t>E0536P072</t>
  </si>
  <si>
    <t>Meldreth</t>
  </si>
  <si>
    <t>South CambridgeshireMilton</t>
  </si>
  <si>
    <t>E0536P073</t>
  </si>
  <si>
    <t>Milton</t>
  </si>
  <si>
    <t>South CambridgeshireNewton</t>
  </si>
  <si>
    <t>E0536P074</t>
  </si>
  <si>
    <t>South CambridgeshireOakington and Westwick</t>
  </si>
  <si>
    <t>E0536P075</t>
  </si>
  <si>
    <t>Oakington and Westwick</t>
  </si>
  <si>
    <t>South CambridgeshireOrchard Park</t>
  </si>
  <si>
    <t>E0536P076</t>
  </si>
  <si>
    <t>Orchard Park</t>
  </si>
  <si>
    <t>South CambridgeshireOrwell</t>
  </si>
  <si>
    <t>E0536P077</t>
  </si>
  <si>
    <t>Orwell</t>
  </si>
  <si>
    <t>South CambridgeshireOver</t>
  </si>
  <si>
    <t>E0536P078</t>
  </si>
  <si>
    <t>Over</t>
  </si>
  <si>
    <t>South CambridgeshirePampisford</t>
  </si>
  <si>
    <t>E0536P079</t>
  </si>
  <si>
    <t>Pampisford</t>
  </si>
  <si>
    <t>South CambridgeshirePapworth Everard</t>
  </si>
  <si>
    <t>E0536P080</t>
  </si>
  <si>
    <t>Papworth Everard</t>
  </si>
  <si>
    <t>South CambridgeshirePapworth St. Agnes</t>
  </si>
  <si>
    <t>E0536P081</t>
  </si>
  <si>
    <t>Papworth St. Agnes</t>
  </si>
  <si>
    <t>South CambridgeshireRampton</t>
  </si>
  <si>
    <t>E0536P082</t>
  </si>
  <si>
    <t>Rampton</t>
  </si>
  <si>
    <t>South CambridgeshireSawston</t>
  </si>
  <si>
    <t>E0536P083</t>
  </si>
  <si>
    <t>Sawston</t>
  </si>
  <si>
    <t>South CambridgeshireShepreth</t>
  </si>
  <si>
    <t>E0536P084</t>
  </si>
  <si>
    <t>Shepreth</t>
  </si>
  <si>
    <t>South CambridgeshireShingay cum Wendy</t>
  </si>
  <si>
    <t>E0536P085</t>
  </si>
  <si>
    <t>Shingay cum Wendy</t>
  </si>
  <si>
    <t>South CambridgeshireShudy Camps</t>
  </si>
  <si>
    <t>E0536P086</t>
  </si>
  <si>
    <t>Shudy Camps</t>
  </si>
  <si>
    <t>South CambridgeshireStapleford</t>
  </si>
  <si>
    <t>E0536P087</t>
  </si>
  <si>
    <t>Stapleford</t>
  </si>
  <si>
    <t>South CambridgeshireSteeple Morden</t>
  </si>
  <si>
    <t>E0536P088</t>
  </si>
  <si>
    <t>Steeple Morden</t>
  </si>
  <si>
    <t>South CambridgeshireStow cum Quy</t>
  </si>
  <si>
    <t>E0536P089</t>
  </si>
  <si>
    <t>Stow cum Quy</t>
  </si>
  <si>
    <t>South CambridgeshireSwavesey</t>
  </si>
  <si>
    <t>E0536P090</t>
  </si>
  <si>
    <t>Swavesey</t>
  </si>
  <si>
    <t>South CambridgeshireTadlow</t>
  </si>
  <si>
    <t>E0536P091</t>
  </si>
  <si>
    <t>Tadlow</t>
  </si>
  <si>
    <t>South CambridgeshireTeversham</t>
  </si>
  <si>
    <t>E0536P092</t>
  </si>
  <si>
    <t>Teversham</t>
  </si>
  <si>
    <t>South CambridgeshireThriplow</t>
  </si>
  <si>
    <t>E0536P093</t>
  </si>
  <si>
    <t>Thriplow</t>
  </si>
  <si>
    <t>South CambridgeshireToft</t>
  </si>
  <si>
    <t>E0536P094</t>
  </si>
  <si>
    <t>Toft</t>
  </si>
  <si>
    <t>South CambridgeshireWaterbeach</t>
  </si>
  <si>
    <t>E0536P095</t>
  </si>
  <si>
    <t>Waterbeach</t>
  </si>
  <si>
    <t>South CambridgeshireWest Wickham</t>
  </si>
  <si>
    <t>E0536P096</t>
  </si>
  <si>
    <t>West Wickham</t>
  </si>
  <si>
    <t>South CambridgeshireWest Wratting</t>
  </si>
  <si>
    <t>E0536P097</t>
  </si>
  <si>
    <t>West Wratting</t>
  </si>
  <si>
    <t>South CambridgeshireWeston Colville</t>
  </si>
  <si>
    <t>E0536P098</t>
  </si>
  <si>
    <t>Weston Colville</t>
  </si>
  <si>
    <t>South CambridgeshireWhaddon</t>
  </si>
  <si>
    <t>E0536P099</t>
  </si>
  <si>
    <t>South CambridgeshireWhittlesford</t>
  </si>
  <si>
    <t>E0536P100</t>
  </si>
  <si>
    <t>Whittlesford</t>
  </si>
  <si>
    <t>South CambridgeshireWillingham</t>
  </si>
  <si>
    <t>E0536P101</t>
  </si>
  <si>
    <t>Willingham</t>
  </si>
  <si>
    <t>South CambridgeshireWimpole</t>
  </si>
  <si>
    <t>E0536P102</t>
  </si>
  <si>
    <t>Wimpole</t>
  </si>
  <si>
    <t>South CambridgeshireSouth Trumpington</t>
  </si>
  <si>
    <t>E0536P103</t>
  </si>
  <si>
    <t>South Trumpington</t>
  </si>
  <si>
    <t>South CambridgeshireNorthstowe</t>
  </si>
  <si>
    <t>E0536P104</t>
  </si>
  <si>
    <t>Northstowe</t>
  </si>
  <si>
    <t>HuntingdonshireAbbots Ripton</t>
  </si>
  <si>
    <t>E0551P001</t>
  </si>
  <si>
    <t>Abbots Ripton</t>
  </si>
  <si>
    <t>HuntingdonshireAbbotsley</t>
  </si>
  <si>
    <t>E0551P002</t>
  </si>
  <si>
    <t>Abbotsley</t>
  </si>
  <si>
    <t>HuntingdonshireAlconbury</t>
  </si>
  <si>
    <t>E0551P003</t>
  </si>
  <si>
    <t>Alconbury</t>
  </si>
  <si>
    <t>HuntingdonshireAlconbury Weston</t>
  </si>
  <si>
    <t>E0551P004</t>
  </si>
  <si>
    <t>Alconbury Weston</t>
  </si>
  <si>
    <t>HuntingdonshireAlwalton</t>
  </si>
  <si>
    <t>E0551P005</t>
  </si>
  <si>
    <t>Alwalton</t>
  </si>
  <si>
    <t>HuntingdonshireBarham and Woolley</t>
  </si>
  <si>
    <t>E0551P006</t>
  </si>
  <si>
    <t>Barham and Woolley</t>
  </si>
  <si>
    <t>HuntingdonshireBluntisham</t>
  </si>
  <si>
    <t>E0551P007</t>
  </si>
  <si>
    <t>Bluntisham</t>
  </si>
  <si>
    <t>HuntingdonshireBrampton</t>
  </si>
  <si>
    <t>E0551P008</t>
  </si>
  <si>
    <t>Brampton</t>
  </si>
  <si>
    <t>HuntingdonshireBrington and Molesworth</t>
  </si>
  <si>
    <t>E0551P009</t>
  </si>
  <si>
    <t>Brington and Molesworth</t>
  </si>
  <si>
    <t>HuntingdonshireBroughton</t>
  </si>
  <si>
    <t>E0551P010</t>
  </si>
  <si>
    <t>HuntingdonshireBuckden</t>
  </si>
  <si>
    <t>E0551P011</t>
  </si>
  <si>
    <t>Buckden</t>
  </si>
  <si>
    <t>HuntingdonshireBuckworth</t>
  </si>
  <si>
    <t>E0551P012</t>
  </si>
  <si>
    <t>Buckworth</t>
  </si>
  <si>
    <t>HuntingdonshireBury</t>
  </si>
  <si>
    <t>E0551P013</t>
  </si>
  <si>
    <t>HuntingdonshireBythorn and Keyston</t>
  </si>
  <si>
    <t>E0551P014</t>
  </si>
  <si>
    <t>Bythorn and Keyston</t>
  </si>
  <si>
    <t>HuntingdonshireCatworth</t>
  </si>
  <si>
    <t>E0551P015</t>
  </si>
  <si>
    <t>Catworth</t>
  </si>
  <si>
    <t>HuntingdonshireChesterton</t>
  </si>
  <si>
    <t>E0551P016</t>
  </si>
  <si>
    <t>Chesterton</t>
  </si>
  <si>
    <t>HuntingdonshireColne</t>
  </si>
  <si>
    <t>E0551P017</t>
  </si>
  <si>
    <t>Colne</t>
  </si>
  <si>
    <t>HuntingdonshireConington</t>
  </si>
  <si>
    <t>E0551P018</t>
  </si>
  <si>
    <t>HuntingdonshireCovington</t>
  </si>
  <si>
    <t>E0551P019</t>
  </si>
  <si>
    <t>Covington</t>
  </si>
  <si>
    <t>HuntingdonshireDenton and Caldecote</t>
  </si>
  <si>
    <t>E0551P020</t>
  </si>
  <si>
    <t>Denton and Caldecote</t>
  </si>
  <si>
    <t>HuntingdonshireEarith</t>
  </si>
  <si>
    <t>E0551P022</t>
  </si>
  <si>
    <t>Earith</t>
  </si>
  <si>
    <t>HuntingdonshireEaston</t>
  </si>
  <si>
    <t>E0551P023</t>
  </si>
  <si>
    <t>Easton</t>
  </si>
  <si>
    <t>HuntingdonshireEllington</t>
  </si>
  <si>
    <t>E0551P024</t>
  </si>
  <si>
    <t>Ellington</t>
  </si>
  <si>
    <t>HuntingdonshireElton</t>
  </si>
  <si>
    <t>E0551P025</t>
  </si>
  <si>
    <t>Elton</t>
  </si>
  <si>
    <t>HuntingdonshireFarcet</t>
  </si>
  <si>
    <t>E0551P026</t>
  </si>
  <si>
    <t>Farcet</t>
  </si>
  <si>
    <t>HuntingdonshireFenstanton</t>
  </si>
  <si>
    <t>E0551P027</t>
  </si>
  <si>
    <t>Fenstanton</t>
  </si>
  <si>
    <t>HuntingdonshireFolksworth and Washingley</t>
  </si>
  <si>
    <t>E0551P028</t>
  </si>
  <si>
    <t>Folksworth and Washingley</t>
  </si>
  <si>
    <t>HuntingdonshireGlatton</t>
  </si>
  <si>
    <t>E0551P029</t>
  </si>
  <si>
    <t>Glatton</t>
  </si>
  <si>
    <t>HuntingdonshireGodmanchester</t>
  </si>
  <si>
    <t>E0551P030</t>
  </si>
  <si>
    <t>Godmanchester</t>
  </si>
  <si>
    <t>HuntingdonshireGrafham</t>
  </si>
  <si>
    <t>E0551P031</t>
  </si>
  <si>
    <t>Grafham</t>
  </si>
  <si>
    <t>HuntingdonshireGreat &amp; Little Gidding</t>
  </si>
  <si>
    <t>E0551P032</t>
  </si>
  <si>
    <t>Great &amp; Little Gidding</t>
  </si>
  <si>
    <t>HuntingdonshireGreat Gransden</t>
  </si>
  <si>
    <t>E0551P033</t>
  </si>
  <si>
    <t>Great Gransden</t>
  </si>
  <si>
    <t>HuntingdonshireGreat Paxton</t>
  </si>
  <si>
    <t>E0551P034</t>
  </si>
  <si>
    <t>Great Paxton</t>
  </si>
  <si>
    <t>HuntingdonshireGreat Staughton</t>
  </si>
  <si>
    <t>E0551P035</t>
  </si>
  <si>
    <t>Great Staughton</t>
  </si>
  <si>
    <t>HuntingdonshireHaddon</t>
  </si>
  <si>
    <t>E0551P036</t>
  </si>
  <si>
    <t>Haddon</t>
  </si>
  <si>
    <t>HuntingdonshireHail Weston</t>
  </si>
  <si>
    <t>E0551P037</t>
  </si>
  <si>
    <t>Hail Weston</t>
  </si>
  <si>
    <t>HuntingdonshireHamerton and Steeple Gidding</t>
  </si>
  <si>
    <t>E0551P038</t>
  </si>
  <si>
    <t>Hamerton and Steeple Gidding</t>
  </si>
  <si>
    <t>HuntingdonshireHemingford Abbots</t>
  </si>
  <si>
    <t>E0551P039</t>
  </si>
  <si>
    <t>Hemingford Abbots</t>
  </si>
  <si>
    <t>HuntingdonshireHemingford Grey</t>
  </si>
  <si>
    <t>E0551P040</t>
  </si>
  <si>
    <t>Hemingford Grey</t>
  </si>
  <si>
    <t>HuntingdonshireHilton</t>
  </si>
  <si>
    <t>E0551P041</t>
  </si>
  <si>
    <t>Hilton</t>
  </si>
  <si>
    <t>HuntingdonshireHolme</t>
  </si>
  <si>
    <t>E0551P042</t>
  </si>
  <si>
    <t>Holme</t>
  </si>
  <si>
    <t>HuntingdonshireHolywell cum Needingworth</t>
  </si>
  <si>
    <t>E0551P043</t>
  </si>
  <si>
    <t>Holywell cum Needingworth</t>
  </si>
  <si>
    <t>HuntingdonshireHoughton and Wyton</t>
  </si>
  <si>
    <t>E0551P044</t>
  </si>
  <si>
    <t>Houghton and Wyton</t>
  </si>
  <si>
    <t>HuntingdonshireHuntingdon</t>
  </si>
  <si>
    <t>E0551P045</t>
  </si>
  <si>
    <t>Huntingdon</t>
  </si>
  <si>
    <t>HuntingdonshireKimbolton &amp; Stonely</t>
  </si>
  <si>
    <t>E0551P046</t>
  </si>
  <si>
    <t>Kimbolton &amp; Stonely</t>
  </si>
  <si>
    <t>HuntingdonshireKings Ripton</t>
  </si>
  <si>
    <t>E0551P047</t>
  </si>
  <si>
    <t>Kings Ripton</t>
  </si>
  <si>
    <t>HuntingdonshireLeighton Bromswold</t>
  </si>
  <si>
    <t>E0551P048</t>
  </si>
  <si>
    <t>Leighton Bromswold</t>
  </si>
  <si>
    <t>HuntingdonshireLittle Paxton</t>
  </si>
  <si>
    <t>E0551P050</t>
  </si>
  <si>
    <t>Little Paxton</t>
  </si>
  <si>
    <t>HuntingdonshireMorborne</t>
  </si>
  <si>
    <t>E0551P051</t>
  </si>
  <si>
    <t>Morborne</t>
  </si>
  <si>
    <t>HuntingdonshireOfford Cluny and Offord D'Arcy</t>
  </si>
  <si>
    <t>E0551P052</t>
  </si>
  <si>
    <t>Offord Cluny and Offord D'Arcy</t>
  </si>
  <si>
    <t>HuntingdonshireOld Hurst</t>
  </si>
  <si>
    <t>E0551P053</t>
  </si>
  <si>
    <t>Old Hurst</t>
  </si>
  <si>
    <t>HuntingdonshireOld Weston</t>
  </si>
  <si>
    <t>E0551P054</t>
  </si>
  <si>
    <t>Old Weston</t>
  </si>
  <si>
    <t>HuntingdonshirePerry</t>
  </si>
  <si>
    <t>E0551P055</t>
  </si>
  <si>
    <t>Perry</t>
  </si>
  <si>
    <t>HuntingdonshirePidley cum Fenton</t>
  </si>
  <si>
    <t>E0551P056</t>
  </si>
  <si>
    <t>Pidley cum Fenton</t>
  </si>
  <si>
    <t>HuntingdonshireRamsey</t>
  </si>
  <si>
    <t>E0551P057</t>
  </si>
  <si>
    <t>Ramsey</t>
  </si>
  <si>
    <t>HuntingdonshireSawtry</t>
  </si>
  <si>
    <t>E0551P058</t>
  </si>
  <si>
    <t>Sawtry</t>
  </si>
  <si>
    <t>HuntingdonshireSibson cum Stibbington</t>
  </si>
  <si>
    <t>E0551P059</t>
  </si>
  <si>
    <t>Sibson cum Stibbington</t>
  </si>
  <si>
    <t>HuntingdonshireSomersham</t>
  </si>
  <si>
    <t>E0551P060</t>
  </si>
  <si>
    <t>Somersham</t>
  </si>
  <si>
    <t>HuntingdonshireSouthoe and Midloe</t>
  </si>
  <si>
    <t>E0551P061</t>
  </si>
  <si>
    <t>Southoe and Midloe</t>
  </si>
  <si>
    <t>HuntingdonshireSpaldwick</t>
  </si>
  <si>
    <t>E0551P062</t>
  </si>
  <si>
    <t>Spaldwick</t>
  </si>
  <si>
    <t>HuntingdonshireSt. Ives</t>
  </si>
  <si>
    <t>E0551P063</t>
  </si>
  <si>
    <t>St. Ives</t>
  </si>
  <si>
    <t>HuntingdonshireSt. Neots</t>
  </si>
  <si>
    <t>E0551P064</t>
  </si>
  <si>
    <t>St. Neots</t>
  </si>
  <si>
    <t>HuntingdonshireStilton</t>
  </si>
  <si>
    <t>E0551P065</t>
  </si>
  <si>
    <t>Stilton</t>
  </si>
  <si>
    <t>HuntingdonshireStow Longa</t>
  </si>
  <si>
    <t>E0551P066</t>
  </si>
  <si>
    <t>Stow Longa</t>
  </si>
  <si>
    <t>HuntingdonshireThe Stukeleys</t>
  </si>
  <si>
    <t>E0551P067</t>
  </si>
  <si>
    <t>The Stukeleys</t>
  </si>
  <si>
    <t>HuntingdonshireTilbrook</t>
  </si>
  <si>
    <t>E0551P068</t>
  </si>
  <si>
    <t>Tilbrook</t>
  </si>
  <si>
    <t>HuntingdonshireToseland</t>
  </si>
  <si>
    <t>E0551P069</t>
  </si>
  <si>
    <t>Toseland</t>
  </si>
  <si>
    <t>HuntingdonshireUpton and Coppingford</t>
  </si>
  <si>
    <t>E0551P070</t>
  </si>
  <si>
    <t>Upton and Coppingford</t>
  </si>
  <si>
    <t>HuntingdonshireUpwood and the Raveleys</t>
  </si>
  <si>
    <t>E0551P071</t>
  </si>
  <si>
    <t>Upwood and the Raveleys</t>
  </si>
  <si>
    <t>HuntingdonshireWarboys</t>
  </si>
  <si>
    <t>E0551P072</t>
  </si>
  <si>
    <t>Warboys</t>
  </si>
  <si>
    <t>HuntingdonshireWaresley cum Tetworth</t>
  </si>
  <si>
    <t>E0551P073</t>
  </si>
  <si>
    <t>Waresley cum Tetworth</t>
  </si>
  <si>
    <t>HuntingdonshireWater Newton</t>
  </si>
  <si>
    <t>E0551P074</t>
  </si>
  <si>
    <t>Water Newton</t>
  </si>
  <si>
    <t>HuntingdonshireWinwick</t>
  </si>
  <si>
    <t>E0551P075</t>
  </si>
  <si>
    <t>Winwick</t>
  </si>
  <si>
    <t>HuntingdonshireWistow</t>
  </si>
  <si>
    <t>E0551P076</t>
  </si>
  <si>
    <t>Wistow</t>
  </si>
  <si>
    <t>HuntingdonshireWoodwalton</t>
  </si>
  <si>
    <t>E0551P077</t>
  </si>
  <si>
    <t>Woodwalton</t>
  </si>
  <si>
    <t>HuntingdonshireWoodhurst</t>
  </si>
  <si>
    <t>E0551P078</t>
  </si>
  <si>
    <t>Woodhurst</t>
  </si>
  <si>
    <t>HuntingdonshireWyton on the Hill</t>
  </si>
  <si>
    <t>E0551P079</t>
  </si>
  <si>
    <t>Wyton on the Hill</t>
  </si>
  <si>
    <t>HuntingdonshireYaxley</t>
  </si>
  <si>
    <t>E0551P080</t>
  </si>
  <si>
    <t>Yaxley</t>
  </si>
  <si>
    <t>HuntingdonshireYelling</t>
  </si>
  <si>
    <t>E0551P081</t>
  </si>
  <si>
    <t>Yelling</t>
  </si>
  <si>
    <t>HaltonDaresbury</t>
  </si>
  <si>
    <t>E0601P001</t>
  </si>
  <si>
    <t>Daresbury</t>
  </si>
  <si>
    <t>HaltonHale</t>
  </si>
  <si>
    <t>E0601P002</t>
  </si>
  <si>
    <t>Hale</t>
  </si>
  <si>
    <t>HaltonHalebank</t>
  </si>
  <si>
    <t>E0601P003</t>
  </si>
  <si>
    <t>Halebank</t>
  </si>
  <si>
    <t>HaltonMoore</t>
  </si>
  <si>
    <t>E0601P004</t>
  </si>
  <si>
    <t>Moore</t>
  </si>
  <si>
    <t>HaltonPreston Brook</t>
  </si>
  <si>
    <t>E0601P005</t>
  </si>
  <si>
    <t>Preston Brook</t>
  </si>
  <si>
    <t>HaltonSandymoor</t>
  </si>
  <si>
    <t>E0601P006</t>
  </si>
  <si>
    <t>Sandymoor</t>
  </si>
  <si>
    <t>WarringtonAppleton</t>
  </si>
  <si>
    <t>E0602P001</t>
  </si>
  <si>
    <t>Appleton</t>
  </si>
  <si>
    <t>WarringtonBirchwood</t>
  </si>
  <si>
    <t>E0602P002</t>
  </si>
  <si>
    <t>Birchwood</t>
  </si>
  <si>
    <t>WarringtonBurtonwood and Westbrook</t>
  </si>
  <si>
    <t>E0602P003</t>
  </si>
  <si>
    <t>Burtonwood and Westbrook</t>
  </si>
  <si>
    <t>WarringtonCroft</t>
  </si>
  <si>
    <t>E0602P004</t>
  </si>
  <si>
    <t>Croft</t>
  </si>
  <si>
    <t>WarringtonCuerdley</t>
  </si>
  <si>
    <t>E0602P005</t>
  </si>
  <si>
    <t>Cuerdley</t>
  </si>
  <si>
    <t>WarringtonCulcheth and Glazebury</t>
  </si>
  <si>
    <t>E0602P006</t>
  </si>
  <si>
    <t>Culcheth and Glazebury</t>
  </si>
  <si>
    <t>WarringtonGrappenhall and Thelwall</t>
  </si>
  <si>
    <t>E0602P007</t>
  </si>
  <si>
    <t>Grappenhall and Thelwall</t>
  </si>
  <si>
    <t>WarringtonGreat Sankey</t>
  </si>
  <si>
    <t>E0602P008</t>
  </si>
  <si>
    <t>Great Sankey</t>
  </si>
  <si>
    <t>WarringtonHatton</t>
  </si>
  <si>
    <t>E0602P009</t>
  </si>
  <si>
    <t>Hatton</t>
  </si>
  <si>
    <t>WarringtonLymm</t>
  </si>
  <si>
    <t>E0602P010</t>
  </si>
  <si>
    <t>Lymm</t>
  </si>
  <si>
    <t>WarringtonPenketh</t>
  </si>
  <si>
    <t>E0602P011</t>
  </si>
  <si>
    <t>Penketh</t>
  </si>
  <si>
    <t>WarringtonPoulton with Fearnhead</t>
  </si>
  <si>
    <t>E0602P012</t>
  </si>
  <si>
    <t>Poulton with Fearnhead</t>
  </si>
  <si>
    <t>WarringtonRixton with Glazebrook</t>
  </si>
  <si>
    <t>E0602P013</t>
  </si>
  <si>
    <t>Rixton with Glazebrook</t>
  </si>
  <si>
    <t>WarringtonStockton Heath</t>
  </si>
  <si>
    <t>E0602P014</t>
  </si>
  <si>
    <t>Stockton Heath</t>
  </si>
  <si>
    <t>WarringtonStretton</t>
  </si>
  <si>
    <t>E0602P015</t>
  </si>
  <si>
    <t>Stretton</t>
  </si>
  <si>
    <t>WarringtonWalton</t>
  </si>
  <si>
    <t>E0602P016</t>
  </si>
  <si>
    <t>WarringtonWinwick</t>
  </si>
  <si>
    <t>E0602P017</t>
  </si>
  <si>
    <t>WarringtonWoolston</t>
  </si>
  <si>
    <t>E0602P018</t>
  </si>
  <si>
    <t>Woolston</t>
  </si>
  <si>
    <t>Cheshire EastAdlington</t>
  </si>
  <si>
    <t>E0603P002</t>
  </si>
  <si>
    <t>Adlington</t>
  </si>
  <si>
    <t>Cheshire EastAlderley Edge</t>
  </si>
  <si>
    <t>E0603P004</t>
  </si>
  <si>
    <t>Alderley Edge</t>
  </si>
  <si>
    <t>Cheshire EastAlsager</t>
  </si>
  <si>
    <t>E0603P006</t>
  </si>
  <si>
    <t>Alsager</t>
  </si>
  <si>
    <t>Cheshire EastArclid</t>
  </si>
  <si>
    <t>E0603P007</t>
  </si>
  <si>
    <t>Arclid</t>
  </si>
  <si>
    <t>Cheshire EastAshley</t>
  </si>
  <si>
    <t>E0603P008</t>
  </si>
  <si>
    <t>Cheshire EastAston by Budworth</t>
  </si>
  <si>
    <t>E0603P009</t>
  </si>
  <si>
    <t>Aston by Budworth</t>
  </si>
  <si>
    <t>Cheshire EastAudlem</t>
  </si>
  <si>
    <t>E0603P011</t>
  </si>
  <si>
    <t>Audlem</t>
  </si>
  <si>
    <t>Cheshire EastBarthomley</t>
  </si>
  <si>
    <t>E0603P015</t>
  </si>
  <si>
    <t>Barthomley</t>
  </si>
  <si>
    <t>Cheshire EastBetchton</t>
  </si>
  <si>
    <t>E0603P018</t>
  </si>
  <si>
    <t>Betchton</t>
  </si>
  <si>
    <t>Cheshire EastBickerton</t>
  </si>
  <si>
    <t>E0603P020</t>
  </si>
  <si>
    <t>Bickerton</t>
  </si>
  <si>
    <t>Cheshire EastBollington</t>
  </si>
  <si>
    <t>E0603P022</t>
  </si>
  <si>
    <t>Bollington</t>
  </si>
  <si>
    <t>Cheshire EastBosley</t>
  </si>
  <si>
    <t>E0603P023</t>
  </si>
  <si>
    <t>Bosley</t>
  </si>
  <si>
    <t>Cheshire EastBradwall</t>
  </si>
  <si>
    <t>E0603P024</t>
  </si>
  <si>
    <t>Bradwall</t>
  </si>
  <si>
    <t>Cheshire EastBrereton</t>
  </si>
  <si>
    <t>E0603P025</t>
  </si>
  <si>
    <t>Brereton</t>
  </si>
  <si>
    <t>Cheshire EastBrindley</t>
  </si>
  <si>
    <t>E0603P027</t>
  </si>
  <si>
    <t>Brindley</t>
  </si>
  <si>
    <t>Cheshire EastBuerton</t>
  </si>
  <si>
    <t>E0603P029</t>
  </si>
  <si>
    <t>Buerton</t>
  </si>
  <si>
    <t>Cheshire EastBunbury</t>
  </si>
  <si>
    <t>E0603P031</t>
  </si>
  <si>
    <t>Bunbury</t>
  </si>
  <si>
    <t>Cheshire EastChelford</t>
  </si>
  <si>
    <t>E0603P035</t>
  </si>
  <si>
    <t>Chelford</t>
  </si>
  <si>
    <t>Cheshire EastCholmondeley</t>
  </si>
  <si>
    <t>E0603P036</t>
  </si>
  <si>
    <t>Cholmondeley</t>
  </si>
  <si>
    <t>Cheshire EastCholmondeston</t>
  </si>
  <si>
    <t>E0603P037</t>
  </si>
  <si>
    <t>Cholmondeston</t>
  </si>
  <si>
    <t>Cheshire EastChorley (Wilmslow West and Chorley)</t>
  </si>
  <si>
    <t>E0603P038</t>
  </si>
  <si>
    <t>Chorley (Wilmslow West and Chorley)</t>
  </si>
  <si>
    <t>Cheshire EastChurch Lawton</t>
  </si>
  <si>
    <t>E0603P041</t>
  </si>
  <si>
    <t>Church Lawton</t>
  </si>
  <si>
    <t>Cheshire EastChurch Minshull</t>
  </si>
  <si>
    <t>E0603P042</t>
  </si>
  <si>
    <t>Church Minshull</t>
  </si>
  <si>
    <t>Cheshire EastCongleton</t>
  </si>
  <si>
    <t>E0603P043</t>
  </si>
  <si>
    <t>Congleton</t>
  </si>
  <si>
    <t>Cheshire EastCranage</t>
  </si>
  <si>
    <t>E0603P045</t>
  </si>
  <si>
    <t>Cranage</t>
  </si>
  <si>
    <t>Cheshire EastDisley</t>
  </si>
  <si>
    <t>E0603P047</t>
  </si>
  <si>
    <t>Disley</t>
  </si>
  <si>
    <t>Cheshire EastDodcott cum Wilkesley</t>
  </si>
  <si>
    <t>E0603P048</t>
  </si>
  <si>
    <t>Dodcott cum Wilkesley</t>
  </si>
  <si>
    <t>Cheshire EastDoddington</t>
  </si>
  <si>
    <t>E0603P049</t>
  </si>
  <si>
    <t>Cheshire EastEaton</t>
  </si>
  <si>
    <t>E0603P050</t>
  </si>
  <si>
    <t>Eaton</t>
  </si>
  <si>
    <t>Cheshire EastGawsworth</t>
  </si>
  <si>
    <t>E0603P054</t>
  </si>
  <si>
    <t>Gawsworth</t>
  </si>
  <si>
    <t>Cheshire EastGoostrey</t>
  </si>
  <si>
    <t>E0603P055</t>
  </si>
  <si>
    <t>Goostrey</t>
  </si>
  <si>
    <t>Cheshire EastGreat Warford</t>
  </si>
  <si>
    <t>E0603P056</t>
  </si>
  <si>
    <t>Great Warford</t>
  </si>
  <si>
    <t>Cheshire EastHandforth</t>
  </si>
  <si>
    <t>E0603P057</t>
  </si>
  <si>
    <t>Handforth</t>
  </si>
  <si>
    <t>Cheshire EastHankelow</t>
  </si>
  <si>
    <t>E0603P058</t>
  </si>
  <si>
    <t>Hankelow</t>
  </si>
  <si>
    <t>Cheshire EastHaslington</t>
  </si>
  <si>
    <t>E0603P059</t>
  </si>
  <si>
    <t>Haslington</t>
  </si>
  <si>
    <t>Cheshire EastHassall</t>
  </si>
  <si>
    <t>E0603P060</t>
  </si>
  <si>
    <t>Hassall</t>
  </si>
  <si>
    <t>Cheshire EastHatherton</t>
  </si>
  <si>
    <t>E0603P061</t>
  </si>
  <si>
    <t>Hatherton</t>
  </si>
  <si>
    <t>Cheshire EastHaughton</t>
  </si>
  <si>
    <t>E0603P062</t>
  </si>
  <si>
    <t>Haughton</t>
  </si>
  <si>
    <t>Cheshire EastHenbury</t>
  </si>
  <si>
    <t>E0603P063</t>
  </si>
  <si>
    <t>Henbury</t>
  </si>
  <si>
    <t>Cheshire EastHigh Legh</t>
  </si>
  <si>
    <t>E0603P065</t>
  </si>
  <si>
    <t>High Legh</t>
  </si>
  <si>
    <t>Cheshire EastHigher Hurdsfield</t>
  </si>
  <si>
    <t>E0603P066</t>
  </si>
  <si>
    <t>Higher Hurdsfield</t>
  </si>
  <si>
    <t>Cheshire EastHolmes Chapel</t>
  </si>
  <si>
    <t>E0603P067</t>
  </si>
  <si>
    <t>Holmes Chapel</t>
  </si>
  <si>
    <t>Cheshire EastHough</t>
  </si>
  <si>
    <t>E0603P068</t>
  </si>
  <si>
    <t>Hough</t>
  </si>
  <si>
    <t>Cheshire EastHulme Walfield</t>
  </si>
  <si>
    <t>E0603P069</t>
  </si>
  <si>
    <t>Hulme Walfield</t>
  </si>
  <si>
    <t>Cheshire EastKnutsford</t>
  </si>
  <si>
    <t>E0603P073</t>
  </si>
  <si>
    <t>Knutsford</t>
  </si>
  <si>
    <t>Cheshire EastLittle Warford</t>
  </si>
  <si>
    <t>E0603P077</t>
  </si>
  <si>
    <t>Little Warford</t>
  </si>
  <si>
    <t>Cheshire EastLower Withington</t>
  </si>
  <si>
    <t>E0603P078</t>
  </si>
  <si>
    <t>Lower Withington</t>
  </si>
  <si>
    <t>Cheshire EastMacclesfield Forest and Wildboarclough</t>
  </si>
  <si>
    <t>E0603P080</t>
  </si>
  <si>
    <t>Macclesfield Forest and Wildboarclough</t>
  </si>
  <si>
    <t>Cheshire EastMarbury cum Quoisley</t>
  </si>
  <si>
    <t>E0603P081</t>
  </si>
  <si>
    <t>Marbury cum Quoisley</t>
  </si>
  <si>
    <t>Cheshire EastMarton</t>
  </si>
  <si>
    <t>E0603P083</t>
  </si>
  <si>
    <t>Marton</t>
  </si>
  <si>
    <t>Cheshire EastMere</t>
  </si>
  <si>
    <t>E0603P084</t>
  </si>
  <si>
    <t>Mere</t>
  </si>
  <si>
    <t>Cheshire EastMiddlewich</t>
  </si>
  <si>
    <t>E0603P085</t>
  </si>
  <si>
    <t>Middlewich</t>
  </si>
  <si>
    <t>Cheshire EastMinshull Vernon</t>
  </si>
  <si>
    <t>E0603P087</t>
  </si>
  <si>
    <t>Minshull Vernon</t>
  </si>
  <si>
    <t>Cheshire EastMobberley</t>
  </si>
  <si>
    <t>E0603P088</t>
  </si>
  <si>
    <t>Mobberley</t>
  </si>
  <si>
    <t>Cheshire EastMoston</t>
  </si>
  <si>
    <t>E0603P090</t>
  </si>
  <si>
    <t>Moston</t>
  </si>
  <si>
    <t>Cheshire EastMottram St. Andrew</t>
  </si>
  <si>
    <t>E0603P091</t>
  </si>
  <si>
    <t>Mottram St. Andrew</t>
  </si>
  <si>
    <t>Cheshire EastNantwich</t>
  </si>
  <si>
    <t>E0603P092</t>
  </si>
  <si>
    <t>Nantwich</t>
  </si>
  <si>
    <t>Cheshire EastNether Alderley</t>
  </si>
  <si>
    <t>E0603P093</t>
  </si>
  <si>
    <t>Nether Alderley</t>
  </si>
  <si>
    <t>Cheshire EastNewbold Astbury</t>
  </si>
  <si>
    <t>E0603P094</t>
  </si>
  <si>
    <t>Newbold Astbury</t>
  </si>
  <si>
    <t>Cheshire EastNewhall</t>
  </si>
  <si>
    <t>E0603P095</t>
  </si>
  <si>
    <t>Newhall</t>
  </si>
  <si>
    <t>Cheshire EastNorth Rode</t>
  </si>
  <si>
    <t>E0603P097</t>
  </si>
  <si>
    <t>North Rode</t>
  </si>
  <si>
    <t>Cheshire EastOdd Rode</t>
  </si>
  <si>
    <t>E0603P098</t>
  </si>
  <si>
    <t>Odd Rode</t>
  </si>
  <si>
    <t>Cheshire EastOllerton</t>
  </si>
  <si>
    <t>E0603P099</t>
  </si>
  <si>
    <t>Ollerton</t>
  </si>
  <si>
    <t>Cheshire EastOver Alderley</t>
  </si>
  <si>
    <t>E0603P100</t>
  </si>
  <si>
    <t>Over Alderley</t>
  </si>
  <si>
    <t>Cheshire EastPeckforton</t>
  </si>
  <si>
    <t>E0603P101</t>
  </si>
  <si>
    <t>Peckforton</t>
  </si>
  <si>
    <t>Cheshire EastPeover Inferior</t>
  </si>
  <si>
    <t>E0603P102</t>
  </si>
  <si>
    <t>Peover Inferior</t>
  </si>
  <si>
    <t>Cheshire EastPickmere</t>
  </si>
  <si>
    <t>E0603P104</t>
  </si>
  <si>
    <t>Pickmere</t>
  </si>
  <si>
    <t>Cheshire EastPlumley</t>
  </si>
  <si>
    <t>E0603P105</t>
  </si>
  <si>
    <t>Plumley</t>
  </si>
  <si>
    <t>Cheshire EastPott Shrigley</t>
  </si>
  <si>
    <t>E0603P107</t>
  </si>
  <si>
    <t>Pott Shrigley</t>
  </si>
  <si>
    <t>Cheshire EastPoynton with Worth</t>
  </si>
  <si>
    <t>E0603P108</t>
  </si>
  <si>
    <t>Poynton with Worth</t>
  </si>
  <si>
    <t>Cheshire EastPrestbury</t>
  </si>
  <si>
    <t>E0603P109</t>
  </si>
  <si>
    <t>Prestbury</t>
  </si>
  <si>
    <t>Cheshire EastRainow</t>
  </si>
  <si>
    <t>E0603P110</t>
  </si>
  <si>
    <t>Rainow</t>
  </si>
  <si>
    <t>Cheshire EastRope</t>
  </si>
  <si>
    <t>E0603P112</t>
  </si>
  <si>
    <t>Rope</t>
  </si>
  <si>
    <t>Cheshire EastSandbach</t>
  </si>
  <si>
    <t>E0603P114</t>
  </si>
  <si>
    <t>Sandbach</t>
  </si>
  <si>
    <t>Cheshire EastShavington cum Gresty</t>
  </si>
  <si>
    <t>E0603P115</t>
  </si>
  <si>
    <t>Shavington cum Gresty</t>
  </si>
  <si>
    <t>Cheshire EastSiddington</t>
  </si>
  <si>
    <t>E0603P116</t>
  </si>
  <si>
    <t>Siddington</t>
  </si>
  <si>
    <t>Cheshire EastSmallwood</t>
  </si>
  <si>
    <t>E0603P117</t>
  </si>
  <si>
    <t>Smallwood</t>
  </si>
  <si>
    <t>Cheshire EastSomerford</t>
  </si>
  <si>
    <t>E0603P119</t>
  </si>
  <si>
    <t>Somerford</t>
  </si>
  <si>
    <t>Cheshire EastSound</t>
  </si>
  <si>
    <t>E0603P121</t>
  </si>
  <si>
    <t>Sound</t>
  </si>
  <si>
    <t>Cheshire EastSpurstow</t>
  </si>
  <si>
    <t>E0603P122</t>
  </si>
  <si>
    <t>Spurstow</t>
  </si>
  <si>
    <t>Cheshire EastStapeley</t>
  </si>
  <si>
    <t>E0603P123</t>
  </si>
  <si>
    <t>Stapeley</t>
  </si>
  <si>
    <t>Cheshire EastStoke</t>
  </si>
  <si>
    <t>E0603P124</t>
  </si>
  <si>
    <t>Stoke</t>
  </si>
  <si>
    <t>Cheshire EastStyal</t>
  </si>
  <si>
    <t>E0603P125</t>
  </si>
  <si>
    <t>Styal</t>
  </si>
  <si>
    <t>Cheshire EastSutton</t>
  </si>
  <si>
    <t>E0603P126</t>
  </si>
  <si>
    <t>Cheshire EastSwettenham</t>
  </si>
  <si>
    <t>E0603P127</t>
  </si>
  <si>
    <t>Swettenham</t>
  </si>
  <si>
    <t>Cheshire EastTabley Inferior</t>
  </si>
  <si>
    <t>E0603P128</t>
  </si>
  <si>
    <t>Tabley Inferior</t>
  </si>
  <si>
    <t>Cheshire EastTwemlow</t>
  </si>
  <si>
    <t>E0603P132</t>
  </si>
  <si>
    <t>Twemlow</t>
  </si>
  <si>
    <t>Cheshire EastWardle</t>
  </si>
  <si>
    <t>E0603P134</t>
  </si>
  <si>
    <t>Wardle</t>
  </si>
  <si>
    <t>Cheshire EastWarmingham</t>
  </si>
  <si>
    <t>E0603P135</t>
  </si>
  <si>
    <t>Warmingham</t>
  </si>
  <si>
    <t>Cheshire EastWillaston</t>
  </si>
  <si>
    <t>E0603P138</t>
  </si>
  <si>
    <t>Willaston</t>
  </si>
  <si>
    <t>Cheshire EastWilmslow</t>
  </si>
  <si>
    <t>E0603P139</t>
  </si>
  <si>
    <t>Wilmslow</t>
  </si>
  <si>
    <t>Cheshire EastWincle</t>
  </si>
  <si>
    <t>E0603P140</t>
  </si>
  <si>
    <t>Wincle</t>
  </si>
  <si>
    <t>Cheshire EastWistaston</t>
  </si>
  <si>
    <t>E0603P142</t>
  </si>
  <si>
    <t>Wistaston</t>
  </si>
  <si>
    <t>Cheshire EastWorleston</t>
  </si>
  <si>
    <t>E0603P144</t>
  </si>
  <si>
    <t>Worleston</t>
  </si>
  <si>
    <t>Cheshire EastWrenbury cum Frith</t>
  </si>
  <si>
    <t>E0603P145</t>
  </si>
  <si>
    <t>Wrenbury cum Frith</t>
  </si>
  <si>
    <t>Cheshire EastWybunbury</t>
  </si>
  <si>
    <t>E0603P146</t>
  </si>
  <si>
    <t>Wybunbury</t>
  </si>
  <si>
    <t>Cheshire EastMacclesfield Town Council</t>
  </si>
  <si>
    <t>E0603P147</t>
  </si>
  <si>
    <t>Macclesfield Town Council</t>
  </si>
  <si>
    <t>Cheshire EastCrewe Town Council</t>
  </si>
  <si>
    <t>E0603P149</t>
  </si>
  <si>
    <t>Crewe Town Council</t>
  </si>
  <si>
    <t>Cheshire EastAlpraham and Calveley Community Council</t>
  </si>
  <si>
    <t>E0603P150</t>
  </si>
  <si>
    <t>Alpraham and Calveley Community Council</t>
  </si>
  <si>
    <t>Cheshire EastBulkeley &amp; Ridley Parish Council</t>
  </si>
  <si>
    <t>E0603P151</t>
  </si>
  <si>
    <t>Bulkeley &amp; Ridley Parish Council</t>
  </si>
  <si>
    <t>Cheshire EastBurland &amp; Acton Parish Council</t>
  </si>
  <si>
    <t>E0603P152</t>
  </si>
  <si>
    <t>Burland &amp; Acton Parish Council</t>
  </si>
  <si>
    <t>Cheshire EastKettleshulme &amp; Lyme Handley Parish Council</t>
  </si>
  <si>
    <t>E0603P153</t>
  </si>
  <si>
    <t>Kettleshulme &amp; Lyme Handley Parish Council</t>
  </si>
  <si>
    <t>Cheshire EastLittle Bollington with Agden Community Council</t>
  </si>
  <si>
    <t>E0603P154</t>
  </si>
  <si>
    <t>Little Bollington with Agden Community Council</t>
  </si>
  <si>
    <t>Cheshire EastMillington &amp; Rostherne Parish Council</t>
  </si>
  <si>
    <t>E0603P155</t>
  </si>
  <si>
    <t>Millington &amp; Rostherne Parish Council</t>
  </si>
  <si>
    <t>Cheshire EastPeover Superior &amp; Snelson Parish Council</t>
  </si>
  <si>
    <t>E0603P156</t>
  </si>
  <si>
    <t>Peover Superior &amp; Snelson Parish Council</t>
  </si>
  <si>
    <t>Cheshire EastWeston &amp; Basford Parish Council</t>
  </si>
  <si>
    <t>E0603P157</t>
  </si>
  <si>
    <t>Weston &amp; Basford Parish Council</t>
  </si>
  <si>
    <t>Cheshire West and ChesterActon Bridge</t>
  </si>
  <si>
    <t>E0604P001</t>
  </si>
  <si>
    <t>Acton Bridge</t>
  </si>
  <si>
    <t>Cheshire West and ChesterAgden</t>
  </si>
  <si>
    <t>E0604P002</t>
  </si>
  <si>
    <t>Agden</t>
  </si>
  <si>
    <t>Cheshire West and ChesterAllostock</t>
  </si>
  <si>
    <t>E0604P005</t>
  </si>
  <si>
    <t>Allostock</t>
  </si>
  <si>
    <t>Cheshire West and ChesterAlvanley</t>
  </si>
  <si>
    <t>E0604P006</t>
  </si>
  <si>
    <t>Alvanley</t>
  </si>
  <si>
    <t>Cheshire West and ChesterAnderton with Marbury</t>
  </si>
  <si>
    <t>E0604P007</t>
  </si>
  <si>
    <t>Anderton with Marbury</t>
  </si>
  <si>
    <t>Cheshire West and ChesterAntrobus</t>
  </si>
  <si>
    <t>E0604P008</t>
  </si>
  <si>
    <t>Antrobus</t>
  </si>
  <si>
    <t>Cheshire West and ChesterAston</t>
  </si>
  <si>
    <t>E0604P010</t>
  </si>
  <si>
    <t>Aston</t>
  </si>
  <si>
    <t>Cheshire West and ChesterBache (grouped with Upton by Chester and Moston)</t>
  </si>
  <si>
    <t>E0604P011</t>
  </si>
  <si>
    <t>Bache (grouped with Upton by Chester and Moston)</t>
  </si>
  <si>
    <t>Cheshire West and ChesterBarnton</t>
  </si>
  <si>
    <t>E0604P013</t>
  </si>
  <si>
    <t>Barnton</t>
  </si>
  <si>
    <t>Cheshire West and ChesterBarrow</t>
  </si>
  <si>
    <t>E0604P014</t>
  </si>
  <si>
    <t>Barrow</t>
  </si>
  <si>
    <t>Cheshire West and ChesterBeeston</t>
  </si>
  <si>
    <t>E0604P016</t>
  </si>
  <si>
    <t>Beeston</t>
  </si>
  <si>
    <t>Cheshire West and ChesterBostock</t>
  </si>
  <si>
    <t>E0604P018</t>
  </si>
  <si>
    <t>Bostock</t>
  </si>
  <si>
    <t>Cheshire West and ChesterBroxton (grouped with Duckington and Harthill)</t>
  </si>
  <si>
    <t>E0604P021</t>
  </si>
  <si>
    <t>Broxton (grouped with Duckington and Harthill)</t>
  </si>
  <si>
    <t>Cheshire West and ChesterBurwardsley</t>
  </si>
  <si>
    <t>E0604P025</t>
  </si>
  <si>
    <t>Burwardsley</t>
  </si>
  <si>
    <t>Cheshire West and ChesterByley</t>
  </si>
  <si>
    <t>E0604P026</t>
  </si>
  <si>
    <t>Byley</t>
  </si>
  <si>
    <t>Cheshire West and ChesterCapenhurst (grouped with Ledsham)</t>
  </si>
  <si>
    <t>E0604P028</t>
  </si>
  <si>
    <t>Capenhurst (grouped with Ledsham)</t>
  </si>
  <si>
    <t>Cheshire West and ChesterChester Castle</t>
  </si>
  <si>
    <t>E0604P031</t>
  </si>
  <si>
    <t>Chester Castle</t>
  </si>
  <si>
    <t>Cheshire West and ChesterChidlow</t>
  </si>
  <si>
    <t>E0604P032</t>
  </si>
  <si>
    <t>Chidlow</t>
  </si>
  <si>
    <t>Cheshire West and ChesterChorlton</t>
  </si>
  <si>
    <t>E0604P033</t>
  </si>
  <si>
    <t>Chorlton</t>
  </si>
  <si>
    <t>Cheshire West and ChesterChristleton</t>
  </si>
  <si>
    <t>E0604P036</t>
  </si>
  <si>
    <t>Christleton</t>
  </si>
  <si>
    <t>Cheshire West and ChesterClotton Hoofield</t>
  </si>
  <si>
    <t>E0604P042</t>
  </si>
  <si>
    <t>Clotton Hoofield</t>
  </si>
  <si>
    <t>Cheshire West and ChesterComberbach</t>
  </si>
  <si>
    <t>E0604P045</t>
  </si>
  <si>
    <t>Comberbach</t>
  </si>
  <si>
    <t>Cheshire West and ChesterCroughton (grouped with Little Stanney and Stoak and Wervin)</t>
  </si>
  <si>
    <t>E0604P049</t>
  </si>
  <si>
    <t>Croughton (grouped with Little Stanney and Stoak and Wervin)</t>
  </si>
  <si>
    <t>Cheshire West and ChesterCrowton</t>
  </si>
  <si>
    <t>E0604P050</t>
  </si>
  <si>
    <t>Crowton</t>
  </si>
  <si>
    <t>Cheshire West and ChesterCuddington (Malpas)</t>
  </si>
  <si>
    <t>E0604P051</t>
  </si>
  <si>
    <t>Cuddington (Malpas)</t>
  </si>
  <si>
    <t>Cheshire West and ChesterCuddington (Weaver and Cuddington)</t>
  </si>
  <si>
    <t>E0604P052</t>
  </si>
  <si>
    <t>Cuddington (Weaver and Cuddington)</t>
  </si>
  <si>
    <t>Cheshire West and ChesterDarnhall</t>
  </si>
  <si>
    <t>E0604P053</t>
  </si>
  <si>
    <t>Darnhall</t>
  </si>
  <si>
    <t>Cheshire West and ChesterDavenham</t>
  </si>
  <si>
    <t>E0604P054</t>
  </si>
  <si>
    <t>Davenham</t>
  </si>
  <si>
    <t>Cheshire West and ChesterDuckington (grouped with Broxton and Harthill)</t>
  </si>
  <si>
    <t>E0604P057</t>
  </si>
  <si>
    <t>Duckington (grouped with Broxton and Harthill)</t>
  </si>
  <si>
    <t>Cheshire West and ChesterDuddon</t>
  </si>
  <si>
    <t>E0604P058</t>
  </si>
  <si>
    <t>Duddon</t>
  </si>
  <si>
    <t>Cheshire West and ChesterDutton</t>
  </si>
  <si>
    <t>E0604P060</t>
  </si>
  <si>
    <t>Dutton</t>
  </si>
  <si>
    <t>Cheshire West and ChesterElton</t>
  </si>
  <si>
    <t>E0604P065</t>
  </si>
  <si>
    <t>Cheshire West and ChesterFarndon</t>
  </si>
  <si>
    <t>E0604P066</t>
  </si>
  <si>
    <t>Farndon</t>
  </si>
  <si>
    <t>Cheshire West and ChesterFrodsham</t>
  </si>
  <si>
    <t>E0604P068</t>
  </si>
  <si>
    <t>Frodsham</t>
  </si>
  <si>
    <t>Cheshire West and ChesterGreat Boughton</t>
  </si>
  <si>
    <t>E0604P072</t>
  </si>
  <si>
    <t>Great Boughton</t>
  </si>
  <si>
    <t>Cheshire West and ChesterGreat Budworth</t>
  </si>
  <si>
    <t>E0604P073</t>
  </si>
  <si>
    <t>Great Budworth</t>
  </si>
  <si>
    <t>Cheshire West and ChesterGuilden Sutton</t>
  </si>
  <si>
    <t>E0604P074</t>
  </si>
  <si>
    <t>Guilden Sutton</t>
  </si>
  <si>
    <t>Cheshire West and ChesterHartford</t>
  </si>
  <si>
    <t>E0604P078</t>
  </si>
  <si>
    <t>Hartford</t>
  </si>
  <si>
    <t>Cheshire West and ChesterHarthill (grouped with Broxton and Duckington)</t>
  </si>
  <si>
    <t>E0604P079</t>
  </si>
  <si>
    <t>Harthill (grouped with Broxton and Duckington)</t>
  </si>
  <si>
    <t>Cheshire West and ChesterHelsby</t>
  </si>
  <si>
    <t>E0604P081</t>
  </si>
  <si>
    <t>Helsby</t>
  </si>
  <si>
    <t>Cheshire West and ChesterHuntington</t>
  </si>
  <si>
    <t>E0604P086</t>
  </si>
  <si>
    <t>Huntington</t>
  </si>
  <si>
    <t>Cheshire West and ChesterInce</t>
  </si>
  <si>
    <t>E0604P089</t>
  </si>
  <si>
    <t>Ince</t>
  </si>
  <si>
    <t>Cheshire West and ChesterKelsall</t>
  </si>
  <si>
    <t>E0604P090</t>
  </si>
  <si>
    <t>Kelsall</t>
  </si>
  <si>
    <t>Cheshire West and ChesterKingsley</t>
  </si>
  <si>
    <t>E0604P092</t>
  </si>
  <si>
    <t>Kingsley</t>
  </si>
  <si>
    <t>Cheshire West and ChesterKingsmead</t>
  </si>
  <si>
    <t>E0604P093</t>
  </si>
  <si>
    <t>Kingsmead</t>
  </si>
  <si>
    <t>Cheshire West and ChesterLach Dennis</t>
  </si>
  <si>
    <t>E0604P094</t>
  </si>
  <si>
    <t>Lach Dennis</t>
  </si>
  <si>
    <t>Cheshire West and ChesterLea by Backford</t>
  </si>
  <si>
    <t>E0604P097</t>
  </si>
  <si>
    <t>Lea by Backford</t>
  </si>
  <si>
    <t>Cheshire West and ChesterLedsham (grouped with Capenhurst)</t>
  </si>
  <si>
    <t>E0604P098</t>
  </si>
  <si>
    <t>Ledsham (grouped with Capenhurst)</t>
  </si>
  <si>
    <t>Cheshire West and ChesterLittle Budworth</t>
  </si>
  <si>
    <t>E0604P099</t>
  </si>
  <si>
    <t>Little Budworth</t>
  </si>
  <si>
    <t>Cheshire West and ChesterLittle Leigh</t>
  </si>
  <si>
    <t>E0604P100</t>
  </si>
  <si>
    <t>Little Leigh</t>
  </si>
  <si>
    <t>Cheshire West and ChesterLittle Stanney (grouped with Croughton Stoak and Wervin)</t>
  </si>
  <si>
    <t>E0604P101</t>
  </si>
  <si>
    <t>Little Stanney (grouped with Croughton Stoak and Wervin)</t>
  </si>
  <si>
    <t>Cheshire West and ChesterLittleton</t>
  </si>
  <si>
    <t>E0604P102</t>
  </si>
  <si>
    <t>Littleton</t>
  </si>
  <si>
    <t>Cheshire West and ChesterLostock Gralam</t>
  </si>
  <si>
    <t>E0604P103</t>
  </si>
  <si>
    <t>Lostock Gralam</t>
  </si>
  <si>
    <t>Cheshire West and ChesterMalpas</t>
  </si>
  <si>
    <t>E0604P106</t>
  </si>
  <si>
    <t>Malpas</t>
  </si>
  <si>
    <t>Cheshire West and ChesterManley</t>
  </si>
  <si>
    <t>E0604P107</t>
  </si>
  <si>
    <t>Manley</t>
  </si>
  <si>
    <t>Cheshire West and ChesterMarston</t>
  </si>
  <si>
    <t>E0604P109</t>
  </si>
  <si>
    <t>Marston</t>
  </si>
  <si>
    <t>Cheshire West and ChesterMollington</t>
  </si>
  <si>
    <t>E0604P111</t>
  </si>
  <si>
    <t>Mollington</t>
  </si>
  <si>
    <t>Cheshire West and ChesterMoston (grouped with Upton by Chester and Bache)</t>
  </si>
  <si>
    <t>E0604P112</t>
  </si>
  <si>
    <t>Moston (grouped with Upton by Chester and Bache)</t>
  </si>
  <si>
    <t>Cheshire West and ChesterMouldsworth</t>
  </si>
  <si>
    <t>E0604P113</t>
  </si>
  <si>
    <t>Mouldsworth</t>
  </si>
  <si>
    <t>Cheshire West and ChesterMoulton</t>
  </si>
  <si>
    <t>E0604P114</t>
  </si>
  <si>
    <t>Moulton</t>
  </si>
  <si>
    <t>Cheshire West and ChesterNeston</t>
  </si>
  <si>
    <t>E0604P115</t>
  </si>
  <si>
    <t>Neston</t>
  </si>
  <si>
    <t>Cheshire West and ChesterNether Peover</t>
  </si>
  <si>
    <t>E0604P116</t>
  </si>
  <si>
    <t>Nether Peover</t>
  </si>
  <si>
    <t>Cheshire West and ChesterNorley</t>
  </si>
  <si>
    <t>E0604P119</t>
  </si>
  <si>
    <t>Norley</t>
  </si>
  <si>
    <t>Cheshire West and ChesterNorthwich</t>
  </si>
  <si>
    <t>E0604P120</t>
  </si>
  <si>
    <t>Northwich</t>
  </si>
  <si>
    <t>Cheshire West and ChesterPuddington</t>
  </si>
  <si>
    <t>E0604P127</t>
  </si>
  <si>
    <t>Puddington</t>
  </si>
  <si>
    <t>Cheshire West and ChesterRowton</t>
  </si>
  <si>
    <t>E0604P129</t>
  </si>
  <si>
    <t>Rowton</t>
  </si>
  <si>
    <t>Cheshire West and ChesterRudheath</t>
  </si>
  <si>
    <t>E0604P130</t>
  </si>
  <si>
    <t>Rudheath</t>
  </si>
  <si>
    <t>Cheshire West and ChesterRushton</t>
  </si>
  <si>
    <t>E0604P131</t>
  </si>
  <si>
    <t>Rushton</t>
  </si>
  <si>
    <t>Cheshire West and ChesterSproston</t>
  </si>
  <si>
    <t>E0604P137</t>
  </si>
  <si>
    <t>Sproston</t>
  </si>
  <si>
    <t>Cheshire West and ChesterStoak (grouped with Little Stanney Croughton and Wervin)</t>
  </si>
  <si>
    <t>E0604P140</t>
  </si>
  <si>
    <t>Stoak (grouped with Little Stanney Croughton and Wervin)</t>
  </si>
  <si>
    <t>Cheshire West and ChesterTarporley</t>
  </si>
  <si>
    <t>E0604P143</t>
  </si>
  <si>
    <t>Tarporley</t>
  </si>
  <si>
    <t>Cheshire West and ChesterTarvin</t>
  </si>
  <si>
    <t>E0604P144</t>
  </si>
  <si>
    <t>Tarvin</t>
  </si>
  <si>
    <t>Cheshire West and ChesterThornton le Moors</t>
  </si>
  <si>
    <t>E0604P146</t>
  </si>
  <si>
    <t>Thornton le Moors</t>
  </si>
  <si>
    <t>Cheshire West and ChesterThreapwood</t>
  </si>
  <si>
    <t>E0604P147</t>
  </si>
  <si>
    <t>Threapwood</t>
  </si>
  <si>
    <t>Cheshire West and ChesterTilston</t>
  </si>
  <si>
    <t>E0604P148</t>
  </si>
  <si>
    <t>Tilston</t>
  </si>
  <si>
    <t>Cheshire West and ChesterUpton by Chester (grouped with Bache and Moston)</t>
  </si>
  <si>
    <t>E0604P152</t>
  </si>
  <si>
    <t>Upton by Chester (grouped with Bache and Moston)</t>
  </si>
  <si>
    <t>Cheshire West and ChesterUtkinton</t>
  </si>
  <si>
    <t>E0604P153</t>
  </si>
  <si>
    <t>Utkinton</t>
  </si>
  <si>
    <t>Cheshire West and ChesterWaverton</t>
  </si>
  <si>
    <t>E0604P154</t>
  </si>
  <si>
    <t>Waverton</t>
  </si>
  <si>
    <t>Cheshire West and ChesterWeaverham</t>
  </si>
  <si>
    <t>E0604P155</t>
  </si>
  <si>
    <t>Weaverham</t>
  </si>
  <si>
    <t>Cheshire West and ChesterWervin (grouped with Little Stanney Croughton and Stoak)</t>
  </si>
  <si>
    <t>E0604P156</t>
  </si>
  <si>
    <t>Wervin (grouped with Little Stanney Croughton and Stoak)</t>
  </si>
  <si>
    <t>Cheshire West and ChesterWhitegate and Marton</t>
  </si>
  <si>
    <t>E0604P157</t>
  </si>
  <si>
    <t>Whitegate and Marton</t>
  </si>
  <si>
    <t>Cheshire West and ChesterWhitley</t>
  </si>
  <si>
    <t>E0604P158</t>
  </si>
  <si>
    <t>Whitley</t>
  </si>
  <si>
    <t>Cheshire West and ChesterWigland</t>
  </si>
  <si>
    <t>E0604P159</t>
  </si>
  <si>
    <t>Wigland</t>
  </si>
  <si>
    <t>Cheshire West and ChesterWincham</t>
  </si>
  <si>
    <t>E0604P163</t>
  </si>
  <si>
    <t>Wincham</t>
  </si>
  <si>
    <t>Cheshire West and ChesterWinsford</t>
  </si>
  <si>
    <t>E0604P164</t>
  </si>
  <si>
    <t>Winsford</t>
  </si>
  <si>
    <t>Cheshire West and ChesterEllesmere Port Charter Trustee</t>
  </si>
  <si>
    <t>E0604P167</t>
  </si>
  <si>
    <t>Ellesmere Port Charter Trustee</t>
  </si>
  <si>
    <t>Cheshire West and ChesterCity of Chester Charter Trustee</t>
  </si>
  <si>
    <t>E0604P168</t>
  </si>
  <si>
    <t>City of Chester Charter Trustee</t>
  </si>
  <si>
    <t>Cheshire West and ChesterAldersey (grouped with CoddingtonBartonCardenClutton and Stretton)</t>
  </si>
  <si>
    <t>E0604P169</t>
  </si>
  <si>
    <t>Aldersey (grouped with CoddingtonBartonCardenClutton and Stretton)</t>
  </si>
  <si>
    <t>Cheshire West and ChesterAldford &amp; Saighton</t>
  </si>
  <si>
    <t>E0604P170</t>
  </si>
  <si>
    <t>Aldford &amp; Saighton</t>
  </si>
  <si>
    <t>Cheshire West and ChesterAshton Hayes &amp; Horton cum Peel</t>
  </si>
  <si>
    <t>E0604P171</t>
  </si>
  <si>
    <t>Ashton Hayes &amp; Horton cum Peel</t>
  </si>
  <si>
    <t>Cheshire West and ChesterBackford</t>
  </si>
  <si>
    <t>E0604P172</t>
  </si>
  <si>
    <t>Backford</t>
  </si>
  <si>
    <t>Cheshire West and ChesterBarton (grouped with CoddingtonAlderseyCardenClutton and Stretton)</t>
  </si>
  <si>
    <t>E0604P173</t>
  </si>
  <si>
    <t>Barton (grouped with CoddingtonAlderseyCardenClutton and Stretton)</t>
  </si>
  <si>
    <t>Cheshire West and ChesterCarden (grouped with Coddington Aldersey Barton Clutton and Stretton)</t>
  </si>
  <si>
    <t>E0604P174</t>
  </si>
  <si>
    <t>Carden (grouped with Coddington Aldersey Barton Clutton and Stretton)</t>
  </si>
  <si>
    <t>Cheshire West and ChesterChowley( grouped with Handley and Golborne David)</t>
  </si>
  <si>
    <t>E0604P175</t>
  </si>
  <si>
    <t>Chowley( grouped with Handley and Golborne David)</t>
  </si>
  <si>
    <t>Cheshire West and ChesterChurton</t>
  </si>
  <si>
    <t>E0604P176</t>
  </si>
  <si>
    <t>Churton</t>
  </si>
  <si>
    <t>Cheshire West and ChesterClutton (grouped with Coddington Aldersey Barton Carden and Strtton)</t>
  </si>
  <si>
    <t>E0604P177</t>
  </si>
  <si>
    <t>Clutton (grouped with Coddington Aldersey Barton Carden and Strtton)</t>
  </si>
  <si>
    <t>Cheshire West and ChesterCoddington (grouped with Aldersey Barton Carden Clutton and Stretton)</t>
  </si>
  <si>
    <t>E0604P178</t>
  </si>
  <si>
    <t>Coddington (grouped with Aldersey Barton Carden Clutton and Stretton)</t>
  </si>
  <si>
    <t>Cheshire West and ChesterDelamere &amp; Oakmere</t>
  </si>
  <si>
    <t>E0604P179</t>
  </si>
  <si>
    <t>Delamere &amp; Oakmere</t>
  </si>
  <si>
    <t>Cheshire West and ChesterDodleston</t>
  </si>
  <si>
    <t>E0604P180</t>
  </si>
  <si>
    <t>Dodleston</t>
  </si>
  <si>
    <t>Cheshire West and ChesterDunham on the Hill &amp; Hapsford</t>
  </si>
  <si>
    <t>E0604P181</t>
  </si>
  <si>
    <t>Dunham on the Hill &amp; Hapsford</t>
  </si>
  <si>
    <t>Cheshire West and ChesterEaton &amp; Eccleston</t>
  </si>
  <si>
    <t>E0604P182</t>
  </si>
  <si>
    <t>Eaton &amp; Eccleston</t>
  </si>
  <si>
    <t>Cheshire West and ChesterGolborne David (grouped with Handley &amp; Chowley)</t>
  </si>
  <si>
    <t>E0604P183</t>
  </si>
  <si>
    <t>Golborne David (grouped with Handley &amp; Chowley)</t>
  </si>
  <si>
    <t>Cheshire West and ChesterHandley (grouped with Chowley &amp; Goborne David)</t>
  </si>
  <si>
    <t>E0604P184</t>
  </si>
  <si>
    <t>Handley (grouped with Chowley &amp; Goborne David)</t>
  </si>
  <si>
    <t>Cheshire West and ChesterHargrave &amp; Huxley</t>
  </si>
  <si>
    <t>E0604P185</t>
  </si>
  <si>
    <t>Hargrave &amp; Huxley</t>
  </si>
  <si>
    <t>Cheshire West and ChesterMickle Trafford</t>
  </si>
  <si>
    <t>E0604P186</t>
  </si>
  <si>
    <t>Mickle Trafford</t>
  </si>
  <si>
    <t>Cheshire West and ChesterNo Mans Heath</t>
  </si>
  <si>
    <t>E0604P187</t>
  </si>
  <si>
    <t>No Mans Heath</t>
  </si>
  <si>
    <t>Cheshire West and ChesterPoulton &amp; Pulford</t>
  </si>
  <si>
    <t>E0604P188</t>
  </si>
  <si>
    <t>Poulton &amp; Pulford</t>
  </si>
  <si>
    <t>Cheshire West and ChesterSaughall &amp; Shotwick Park</t>
  </si>
  <si>
    <t>E0604P189</t>
  </si>
  <si>
    <t>Saughall &amp; Shotwick Park</t>
  </si>
  <si>
    <t>Cheshire West and ChesterShocklach Oviatt &amp; District</t>
  </si>
  <si>
    <t>E0604P190</t>
  </si>
  <si>
    <t>Shocklach Oviatt &amp; District</t>
  </si>
  <si>
    <t>Cheshire West and ChesterStanthorne &amp; Wimboldsley</t>
  </si>
  <si>
    <t>E0604P191</t>
  </si>
  <si>
    <t>Stanthorne &amp; Wimboldsley</t>
  </si>
  <si>
    <t>Cheshire West and ChesterStretton (grouped with Coddington Aldersey Barton Carden &amp; Clutton)</t>
  </si>
  <si>
    <t>E0604P192</t>
  </si>
  <si>
    <t>Stretton (grouped with Coddington Aldersey Barton Carden &amp; Clutton)</t>
  </si>
  <si>
    <t>Cheshire West and ChesterSutton Weaver</t>
  </si>
  <si>
    <t>E0604P193</t>
  </si>
  <si>
    <t>Sutton Weaver</t>
  </si>
  <si>
    <t>Cheshire West and ChesterTattenhall &amp; District</t>
  </si>
  <si>
    <t>E0604P194</t>
  </si>
  <si>
    <t>Tattenhall &amp; District</t>
  </si>
  <si>
    <t>Cheshire West and ChesterTiverton &amp; Tilstone Fearnall</t>
  </si>
  <si>
    <t>E0604P195</t>
  </si>
  <si>
    <t>Tiverton &amp; Tilstone Fearnall</t>
  </si>
  <si>
    <t>Cheshire West and ChesterTushingham cum Gridley Macefen &amp; Bradley</t>
  </si>
  <si>
    <t>E0604P196</t>
  </si>
  <si>
    <t>Tushingham cum Gridley Macefen &amp; Bradley</t>
  </si>
  <si>
    <t>Cheshire West and ChesterWillington</t>
  </si>
  <si>
    <t>E0604P197</t>
  </si>
  <si>
    <t>HartlepoolBrierton</t>
  </si>
  <si>
    <t>E0701P001</t>
  </si>
  <si>
    <t>Brierton</t>
  </si>
  <si>
    <t>HartlepoolClaxton</t>
  </si>
  <si>
    <t>E0701P002</t>
  </si>
  <si>
    <t>Claxton</t>
  </si>
  <si>
    <t>HartlepoolDalton Piercy</t>
  </si>
  <si>
    <t>E0701P003</t>
  </si>
  <si>
    <t>Dalton Piercy</t>
  </si>
  <si>
    <t>HartlepoolElwick</t>
  </si>
  <si>
    <t>E0701P004</t>
  </si>
  <si>
    <t>Elwick</t>
  </si>
  <si>
    <t>HartlepoolGreatham</t>
  </si>
  <si>
    <t>E0701P005</t>
  </si>
  <si>
    <t>Greatham</t>
  </si>
  <si>
    <t>HartlepoolHart</t>
  </si>
  <si>
    <t>E0701P006</t>
  </si>
  <si>
    <t>HartlepoolHeadland</t>
  </si>
  <si>
    <t>E0701P007</t>
  </si>
  <si>
    <t>Headland</t>
  </si>
  <si>
    <t>HartlepoolNewton Bewley</t>
  </si>
  <si>
    <t>E0701P008</t>
  </si>
  <si>
    <t>Newton Bewley</t>
  </si>
  <si>
    <t>HartlepoolWynyard</t>
  </si>
  <si>
    <t>E0701P009</t>
  </si>
  <si>
    <t>Wynyard</t>
  </si>
  <si>
    <t>MiddlesbroughNunthorpe</t>
  </si>
  <si>
    <t>E0702P001</t>
  </si>
  <si>
    <t>Nunthorpe</t>
  </si>
  <si>
    <t>MiddlesbroughStainton and Thornton</t>
  </si>
  <si>
    <t>E0702P002</t>
  </si>
  <si>
    <t>Stainton and Thornton</t>
  </si>
  <si>
    <t>Redcar and ClevelandLoftus Town Council</t>
  </si>
  <si>
    <t>E0703P001</t>
  </si>
  <si>
    <t>Loftus Town Council</t>
  </si>
  <si>
    <t>Redcar and ClevelandGuisborough Parish Council</t>
  </si>
  <si>
    <t>E0703P002</t>
  </si>
  <si>
    <t>Guisborough Parish Council</t>
  </si>
  <si>
    <t>Redcar and ClevelandLockwood Parish Council</t>
  </si>
  <si>
    <t>E0703P003</t>
  </si>
  <si>
    <t>Lockwood Parish Council</t>
  </si>
  <si>
    <t>Redcar and ClevelandSaltburn Marske &amp; New Marske Parish Council</t>
  </si>
  <si>
    <t>E0703P004</t>
  </si>
  <si>
    <t>Saltburn Marske &amp; New Marske Parish Council</t>
  </si>
  <si>
    <t>Redcar and ClevelandSkelton &amp; Brotton Parish Council</t>
  </si>
  <si>
    <t>E0703P005</t>
  </si>
  <si>
    <t>Skelton &amp; Brotton Parish Council</t>
  </si>
  <si>
    <t>Stockton-on-TeesAislaby (grouped with Newsham)</t>
  </si>
  <si>
    <t>E0704P001</t>
  </si>
  <si>
    <t>Aislaby (grouped with Newsham)</t>
  </si>
  <si>
    <t>Stockton-on-TeesBillingham</t>
  </si>
  <si>
    <t>E0704P002</t>
  </si>
  <si>
    <t>Billingham</t>
  </si>
  <si>
    <t>Stockton-on-TeesCarlton</t>
  </si>
  <si>
    <t>E0704P003</t>
  </si>
  <si>
    <t>Stockton-on-TeesCastleleavington (grouped with Kirklevington)</t>
  </si>
  <si>
    <t>E0704P004</t>
  </si>
  <si>
    <t>Castleleavington (grouped with Kirklevington)</t>
  </si>
  <si>
    <t>Stockton-on-TeesEgglescliffe</t>
  </si>
  <si>
    <t>E0704P005</t>
  </si>
  <si>
    <t>Egglescliffe</t>
  </si>
  <si>
    <t>Stockton-on-TeesElton</t>
  </si>
  <si>
    <t>E0704P006</t>
  </si>
  <si>
    <t>Stockton-on-TeesGrindon and Thorpe Thewles</t>
  </si>
  <si>
    <t>E0704P007</t>
  </si>
  <si>
    <t>Grindon and Thorpe Thewles</t>
  </si>
  <si>
    <t>Stockton-on-TeesHilton</t>
  </si>
  <si>
    <t>E0704P008</t>
  </si>
  <si>
    <t>Stockton-on-TeesIngleby Barwick</t>
  </si>
  <si>
    <t>E0704P009</t>
  </si>
  <si>
    <t>Ingleby Barwick</t>
  </si>
  <si>
    <t>Stockton-on-TeesKirklevington (grouped with Castleleavington)</t>
  </si>
  <si>
    <t>E0704P010</t>
  </si>
  <si>
    <t>Kirklevington (grouped with Castleleavington)</t>
  </si>
  <si>
    <t>Stockton-on-TeesLongnewton</t>
  </si>
  <si>
    <t>E0704P011</t>
  </si>
  <si>
    <t>Longnewton</t>
  </si>
  <si>
    <t>Stockton-on-TeesMaltby</t>
  </si>
  <si>
    <t>E0704P012</t>
  </si>
  <si>
    <t>Maltby</t>
  </si>
  <si>
    <t>Stockton-on-TeesNewsham (grouped with Aislaby)</t>
  </si>
  <si>
    <t>E0704P013</t>
  </si>
  <si>
    <t>Newsham (grouped with Aislaby)</t>
  </si>
  <si>
    <t>Stockton-on-TeesPreston on Tees</t>
  </si>
  <si>
    <t>E0704P014</t>
  </si>
  <si>
    <t>Preston on Tees</t>
  </si>
  <si>
    <t>Stockton-on-TeesRedmarshall</t>
  </si>
  <si>
    <t>E0704P015</t>
  </si>
  <si>
    <t>Redmarshall</t>
  </si>
  <si>
    <t>Stockton-on-TeesStillington and Whitton</t>
  </si>
  <si>
    <t>E0704P016</t>
  </si>
  <si>
    <t>Stillington and Whitton</t>
  </si>
  <si>
    <t>Stockton-on-TeesThornaby</t>
  </si>
  <si>
    <t>E0704P017</t>
  </si>
  <si>
    <t>Thornaby</t>
  </si>
  <si>
    <t>Stockton-on-TeesWolviston</t>
  </si>
  <si>
    <t>E0704P018</t>
  </si>
  <si>
    <t>Wolviston</t>
  </si>
  <si>
    <t>Stockton-on-TeesWynyard</t>
  </si>
  <si>
    <t>E0704P019</t>
  </si>
  <si>
    <t>Stockton-on-TeesYarm</t>
  </si>
  <si>
    <t>E0704P020</t>
  </si>
  <si>
    <t>Yarm</t>
  </si>
  <si>
    <t>CornwallAdvent</t>
  </si>
  <si>
    <t>E0801P001</t>
  </si>
  <si>
    <t>Advent</t>
  </si>
  <si>
    <t>CornwallAltarnun</t>
  </si>
  <si>
    <t>E0801P002</t>
  </si>
  <si>
    <t>Altarnun</t>
  </si>
  <si>
    <t>CornwallAntony</t>
  </si>
  <si>
    <t>E0801P003</t>
  </si>
  <si>
    <t>Antony</t>
  </si>
  <si>
    <t>CornwallBlisland</t>
  </si>
  <si>
    <t>E0801P004</t>
  </si>
  <si>
    <t>Blisland</t>
  </si>
  <si>
    <t>CornwallBoconnoc</t>
  </si>
  <si>
    <t>E0801P005</t>
  </si>
  <si>
    <t>Boconnoc</t>
  </si>
  <si>
    <t>CornwallBodmin</t>
  </si>
  <si>
    <t>E0801P006</t>
  </si>
  <si>
    <t>Bodmin</t>
  </si>
  <si>
    <t>CornwallBotusfleming</t>
  </si>
  <si>
    <t>E0801P007</t>
  </si>
  <si>
    <t>Botusfleming</t>
  </si>
  <si>
    <t>CornwallBoyton</t>
  </si>
  <si>
    <t>E0801P008</t>
  </si>
  <si>
    <t>Boyton</t>
  </si>
  <si>
    <t>CornwallBreage</t>
  </si>
  <si>
    <t>E0801P009</t>
  </si>
  <si>
    <t>Breage</t>
  </si>
  <si>
    <t>CornwallBude Stratton</t>
  </si>
  <si>
    <t>E0801P011</t>
  </si>
  <si>
    <t>Bude Stratton</t>
  </si>
  <si>
    <t>CornwallBudock</t>
  </si>
  <si>
    <t>E0801P012</t>
  </si>
  <si>
    <t>Budock</t>
  </si>
  <si>
    <t>CornwallCallington</t>
  </si>
  <si>
    <t>E0801P013</t>
  </si>
  <si>
    <t>Callington</t>
  </si>
  <si>
    <t>CornwallCalstock</t>
  </si>
  <si>
    <t>E0801P014</t>
  </si>
  <si>
    <t>Calstock</t>
  </si>
  <si>
    <t>CornwallCamborne</t>
  </si>
  <si>
    <t>E0801P015</t>
  </si>
  <si>
    <t>Camborne</t>
  </si>
  <si>
    <t>CornwallCamelford</t>
  </si>
  <si>
    <t>E0801P016</t>
  </si>
  <si>
    <t>Camelford</t>
  </si>
  <si>
    <t>CornwallCardinham</t>
  </si>
  <si>
    <t>E0801P017</t>
  </si>
  <si>
    <t>Cardinham</t>
  </si>
  <si>
    <t>CornwallCarharrack</t>
  </si>
  <si>
    <t>E0801P018</t>
  </si>
  <si>
    <t>Carharrack</t>
  </si>
  <si>
    <t>CornwallCarlyon</t>
  </si>
  <si>
    <t>E0801P019</t>
  </si>
  <si>
    <t>Carlyon</t>
  </si>
  <si>
    <t>CornwallCarn Brea</t>
  </si>
  <si>
    <t>E0801P020</t>
  </si>
  <si>
    <t>Carn Brea</t>
  </si>
  <si>
    <t>CornwallChacewater</t>
  </si>
  <si>
    <t>E0801P021</t>
  </si>
  <si>
    <t>Chacewater</t>
  </si>
  <si>
    <t>CornwallColan</t>
  </si>
  <si>
    <t>E0801P022</t>
  </si>
  <si>
    <t>Colan</t>
  </si>
  <si>
    <t>CornwallConstantine</t>
  </si>
  <si>
    <t>E0801P023</t>
  </si>
  <si>
    <t>Constantine</t>
  </si>
  <si>
    <t>CornwallCrantock</t>
  </si>
  <si>
    <t>E0801P024</t>
  </si>
  <si>
    <t>Crantock</t>
  </si>
  <si>
    <t>CornwallCrowan</t>
  </si>
  <si>
    <t>E0801P025</t>
  </si>
  <si>
    <t>Crowan</t>
  </si>
  <si>
    <t>CornwallCubert</t>
  </si>
  <si>
    <t>E0801P026</t>
  </si>
  <si>
    <t>Cubert</t>
  </si>
  <si>
    <t>CornwallCury</t>
  </si>
  <si>
    <t>E0801P028</t>
  </si>
  <si>
    <t>Cury</t>
  </si>
  <si>
    <t>CornwallDavidstow</t>
  </si>
  <si>
    <t>E0801P029</t>
  </si>
  <si>
    <t>Davidstow</t>
  </si>
  <si>
    <t>CornwallDeviock</t>
  </si>
  <si>
    <t>E0801P030</t>
  </si>
  <si>
    <t>Deviock</t>
  </si>
  <si>
    <t>CornwallDuloe</t>
  </si>
  <si>
    <t>E0801P032</t>
  </si>
  <si>
    <t>Duloe</t>
  </si>
  <si>
    <t>CornwallEgloshayle</t>
  </si>
  <si>
    <t>E0801P033</t>
  </si>
  <si>
    <t>Egloshayle</t>
  </si>
  <si>
    <t>CornwallEgloskerry</t>
  </si>
  <si>
    <t>E0801P034</t>
  </si>
  <si>
    <t>Egloskerry</t>
  </si>
  <si>
    <t>CornwallFalmouth</t>
  </si>
  <si>
    <t>E0801P035</t>
  </si>
  <si>
    <t>Falmouth</t>
  </si>
  <si>
    <t>CornwallFeock</t>
  </si>
  <si>
    <t>E0801P036</t>
  </si>
  <si>
    <t>Feock</t>
  </si>
  <si>
    <t>CornwallForrabury and Minster</t>
  </si>
  <si>
    <t>E0801P037</t>
  </si>
  <si>
    <t>Forrabury and Minster</t>
  </si>
  <si>
    <t>CornwallFowey</t>
  </si>
  <si>
    <t>E0801P038</t>
  </si>
  <si>
    <t>Fowey</t>
  </si>
  <si>
    <t>CornwallGermoe</t>
  </si>
  <si>
    <t>E0801P039</t>
  </si>
  <si>
    <t>Germoe</t>
  </si>
  <si>
    <t>CornwallGerrans</t>
  </si>
  <si>
    <t>E0801P040</t>
  </si>
  <si>
    <t>Gerrans</t>
  </si>
  <si>
    <t>CornwallGrade Ruan</t>
  </si>
  <si>
    <t>E0801P041</t>
  </si>
  <si>
    <t>Grade Ruan</t>
  </si>
  <si>
    <t>CornwallGrampound with Creed</t>
  </si>
  <si>
    <t>E0801P042</t>
  </si>
  <si>
    <t>Grampound with Creed</t>
  </si>
  <si>
    <t>CornwallGunwalloe</t>
  </si>
  <si>
    <t>E0801P043</t>
  </si>
  <si>
    <t>Gunwalloe</t>
  </si>
  <si>
    <t>CornwallGweek</t>
  </si>
  <si>
    <t>E0801P044</t>
  </si>
  <si>
    <t>Gweek</t>
  </si>
  <si>
    <t>CornwallGwennap</t>
  </si>
  <si>
    <t>E0801P045</t>
  </si>
  <si>
    <t>Gwennap</t>
  </si>
  <si>
    <t>CornwallGwinear Gwithian</t>
  </si>
  <si>
    <t>E0801P046</t>
  </si>
  <si>
    <t>Gwinear Gwithian</t>
  </si>
  <si>
    <t>CornwallHayle</t>
  </si>
  <si>
    <t>E0801P047</t>
  </si>
  <si>
    <t>Hayle</t>
  </si>
  <si>
    <t>CornwallHelland</t>
  </si>
  <si>
    <t>E0801P048</t>
  </si>
  <si>
    <t>Helland</t>
  </si>
  <si>
    <t>CornwallHelston</t>
  </si>
  <si>
    <t>E0801P049</t>
  </si>
  <si>
    <t>Helston</t>
  </si>
  <si>
    <t>CornwallIllogan</t>
  </si>
  <si>
    <t>E0801P050</t>
  </si>
  <si>
    <t>Illogan</t>
  </si>
  <si>
    <t>CornwallJacobstow</t>
  </si>
  <si>
    <t>E0801P051</t>
  </si>
  <si>
    <t>Jacobstow</t>
  </si>
  <si>
    <t>CornwallKea</t>
  </si>
  <si>
    <t>E0801P052</t>
  </si>
  <si>
    <t>Kea</t>
  </si>
  <si>
    <t>CornwallKenwyn</t>
  </si>
  <si>
    <t>E0801P053</t>
  </si>
  <si>
    <t>Kenwyn</t>
  </si>
  <si>
    <t>CornwallKilkhampton</t>
  </si>
  <si>
    <t>E0801P054</t>
  </si>
  <si>
    <t>Kilkhampton</t>
  </si>
  <si>
    <t>CornwallLadock</t>
  </si>
  <si>
    <t>E0801P055</t>
  </si>
  <si>
    <t>Ladock</t>
  </si>
  <si>
    <t>CornwallLandewednack</t>
  </si>
  <si>
    <t>E0801P056</t>
  </si>
  <si>
    <t>Landewednack</t>
  </si>
  <si>
    <t>CornwallLandrake with St. Erney</t>
  </si>
  <si>
    <t>E0801P057</t>
  </si>
  <si>
    <t>Landrake with St. Erney</t>
  </si>
  <si>
    <t>CornwallLandulph</t>
  </si>
  <si>
    <t>E0801P058</t>
  </si>
  <si>
    <t>Landulph</t>
  </si>
  <si>
    <t>CornwallLaneast</t>
  </si>
  <si>
    <t>E0801P059</t>
  </si>
  <si>
    <t>Laneast</t>
  </si>
  <si>
    <t>CornwallLanhydrock</t>
  </si>
  <si>
    <t>E0801P060</t>
  </si>
  <si>
    <t>Lanhydrock</t>
  </si>
  <si>
    <t>CornwallLanivet</t>
  </si>
  <si>
    <t>E0801P061</t>
  </si>
  <si>
    <t>Lanivet</t>
  </si>
  <si>
    <t>CornwallLanlivery</t>
  </si>
  <si>
    <t>E0801P062</t>
  </si>
  <si>
    <t>Lanlivery</t>
  </si>
  <si>
    <t>CornwallLanner</t>
  </si>
  <si>
    <t>E0801P063</t>
  </si>
  <si>
    <t>Lanner</t>
  </si>
  <si>
    <t>CornwallLanreath</t>
  </si>
  <si>
    <t>E0801P064</t>
  </si>
  <si>
    <t>Lanreath</t>
  </si>
  <si>
    <t>CornwallLanteglos</t>
  </si>
  <si>
    <t>E0801P066</t>
  </si>
  <si>
    <t>Lanteglos</t>
  </si>
  <si>
    <t>CornwallLauncells</t>
  </si>
  <si>
    <t>E0801P067</t>
  </si>
  <si>
    <t>Launcells</t>
  </si>
  <si>
    <t>CornwallLaunceston</t>
  </si>
  <si>
    <t>E0801P068</t>
  </si>
  <si>
    <t>Launceston</t>
  </si>
  <si>
    <t>CornwallLawhitton Rural</t>
  </si>
  <si>
    <t>E0801P069</t>
  </si>
  <si>
    <t>Lawhitton Rural</t>
  </si>
  <si>
    <t>CornwallLesnewth</t>
  </si>
  <si>
    <t>E0801P070</t>
  </si>
  <si>
    <t>Lesnewth</t>
  </si>
  <si>
    <t>CornwallLewannick</t>
  </si>
  <si>
    <t>E0801P071</t>
  </si>
  <si>
    <t>Lewannick</t>
  </si>
  <si>
    <t>CornwallLezant</t>
  </si>
  <si>
    <t>E0801P072</t>
  </si>
  <si>
    <t>Lezant</t>
  </si>
  <si>
    <t>CornwallLinkinhorne</t>
  </si>
  <si>
    <t>E0801P073</t>
  </si>
  <si>
    <t>Linkinhorne</t>
  </si>
  <si>
    <t>CornwallLiskeard</t>
  </si>
  <si>
    <t>E0801P074</t>
  </si>
  <si>
    <t>Liskeard</t>
  </si>
  <si>
    <t>CornwallLooe</t>
  </si>
  <si>
    <t>E0801P075</t>
  </si>
  <si>
    <t>Looe</t>
  </si>
  <si>
    <t>CornwallLostwithiel</t>
  </si>
  <si>
    <t>E0801P076</t>
  </si>
  <si>
    <t>Lostwithiel</t>
  </si>
  <si>
    <t>CornwallLudgvan</t>
  </si>
  <si>
    <t>E0801P077</t>
  </si>
  <si>
    <t>Ludgvan</t>
  </si>
  <si>
    <t>CornwallLuxulyan</t>
  </si>
  <si>
    <t>E0801P078</t>
  </si>
  <si>
    <t>Luxulyan</t>
  </si>
  <si>
    <t>CornwallMabe</t>
  </si>
  <si>
    <t>E0801P079</t>
  </si>
  <si>
    <t>Mabe</t>
  </si>
  <si>
    <t>CornwallMadron</t>
  </si>
  <si>
    <t>E0801P080</t>
  </si>
  <si>
    <t>Madron</t>
  </si>
  <si>
    <t>CornwallMaker with Rame</t>
  </si>
  <si>
    <t>E0801P081</t>
  </si>
  <si>
    <t>Maker with Rame</t>
  </si>
  <si>
    <t>CornwallManaccan</t>
  </si>
  <si>
    <t>E0801P082</t>
  </si>
  <si>
    <t>Manaccan</t>
  </si>
  <si>
    <t>CornwallMarazion</t>
  </si>
  <si>
    <t>E0801P083</t>
  </si>
  <si>
    <t>Marazion</t>
  </si>
  <si>
    <t>CornwallMarhamchurch</t>
  </si>
  <si>
    <t>E0801P084</t>
  </si>
  <si>
    <t>Marhamchurch</t>
  </si>
  <si>
    <t>CornwallMawgan in Meneage</t>
  </si>
  <si>
    <t>E0801P085</t>
  </si>
  <si>
    <t>Mawgan in Meneage</t>
  </si>
  <si>
    <t>CornwallMawgan in Pydar</t>
  </si>
  <si>
    <t>E0801P086</t>
  </si>
  <si>
    <t>Mawgan in Pydar</t>
  </si>
  <si>
    <t>CornwallMawnan</t>
  </si>
  <si>
    <t>E0801P087</t>
  </si>
  <si>
    <t>Mawnan</t>
  </si>
  <si>
    <t>CornwallMenheniot</t>
  </si>
  <si>
    <t>E0801P088</t>
  </si>
  <si>
    <t>Menheniot</t>
  </si>
  <si>
    <t>CornwallMevagissey</t>
  </si>
  <si>
    <t>E0801P089</t>
  </si>
  <si>
    <t>Mevagissey</t>
  </si>
  <si>
    <t>CornwallMichaelstow</t>
  </si>
  <si>
    <t>E0801P090</t>
  </si>
  <si>
    <t>Michaelstow</t>
  </si>
  <si>
    <t>CornwallMillbrook</t>
  </si>
  <si>
    <t>E0801P091</t>
  </si>
  <si>
    <t>CornwallMorvah</t>
  </si>
  <si>
    <t>E0801P092</t>
  </si>
  <si>
    <t>Morvah</t>
  </si>
  <si>
    <t>CornwallMorval</t>
  </si>
  <si>
    <t>E0801P093</t>
  </si>
  <si>
    <t>Morval</t>
  </si>
  <si>
    <t>CornwallMorwenstow</t>
  </si>
  <si>
    <t>E0801P094</t>
  </si>
  <si>
    <t>Morwenstow</t>
  </si>
  <si>
    <t>CornwallMullion</t>
  </si>
  <si>
    <t>E0801P095</t>
  </si>
  <si>
    <t>Mullion</t>
  </si>
  <si>
    <t>CornwallMylor</t>
  </si>
  <si>
    <t>E0801P096</t>
  </si>
  <si>
    <t>Mylor</t>
  </si>
  <si>
    <t>CornwallNewquay</t>
  </si>
  <si>
    <t>E0801P097</t>
  </si>
  <si>
    <t>Newquay</t>
  </si>
  <si>
    <t>CornwallNorth Hill</t>
  </si>
  <si>
    <t>E0801P098</t>
  </si>
  <si>
    <t>North Hill</t>
  </si>
  <si>
    <t>CornwallNorth Petherwin</t>
  </si>
  <si>
    <t>E0801P099</t>
  </si>
  <si>
    <t>North Petherwin</t>
  </si>
  <si>
    <t>CornwallNorth Tamerton</t>
  </si>
  <si>
    <t>E0801P100</t>
  </si>
  <si>
    <t>North Tamerton</t>
  </si>
  <si>
    <t>CornwallOtterham</t>
  </si>
  <si>
    <t>E0801P101</t>
  </si>
  <si>
    <t>Otterham</t>
  </si>
  <si>
    <t>CornwallPadstow</t>
  </si>
  <si>
    <t>E0801P102</t>
  </si>
  <si>
    <t>Padstow</t>
  </si>
  <si>
    <t>CornwallPelynt</t>
  </si>
  <si>
    <t>E0801P104</t>
  </si>
  <si>
    <t>Pelynt</t>
  </si>
  <si>
    <t>CornwallPenryn</t>
  </si>
  <si>
    <t>E0801P105</t>
  </si>
  <si>
    <t>Penryn</t>
  </si>
  <si>
    <t>CornwallPentewan Valley</t>
  </si>
  <si>
    <t>E0801P106</t>
  </si>
  <si>
    <t>Pentewan Valley</t>
  </si>
  <si>
    <t>CornwallPenzance</t>
  </si>
  <si>
    <t>E0801P107</t>
  </si>
  <si>
    <t>Penzance</t>
  </si>
  <si>
    <t>CornwallPerranarworthal</t>
  </si>
  <si>
    <t>E0801P108</t>
  </si>
  <si>
    <t>Perranarworthal</t>
  </si>
  <si>
    <t>CornwallPerranuthnoe</t>
  </si>
  <si>
    <t>E0801P109</t>
  </si>
  <si>
    <t>Perranuthnoe</t>
  </si>
  <si>
    <t>CornwallPerranzabuloe</t>
  </si>
  <si>
    <t>E0801P110</t>
  </si>
  <si>
    <t>Perranzabuloe</t>
  </si>
  <si>
    <t>CornwallPhilleigh</t>
  </si>
  <si>
    <t>E0801P111</t>
  </si>
  <si>
    <t>Philleigh</t>
  </si>
  <si>
    <t>CornwallPillaton</t>
  </si>
  <si>
    <t>E0801P112</t>
  </si>
  <si>
    <t>Pillaton</t>
  </si>
  <si>
    <t>CornwallPorthleven</t>
  </si>
  <si>
    <t>E0801P113</t>
  </si>
  <si>
    <t>Porthleven</t>
  </si>
  <si>
    <t>CornwallPortreath</t>
  </si>
  <si>
    <t>E0801P114</t>
  </si>
  <si>
    <t>Portreath</t>
  </si>
  <si>
    <t>CornwallPoundstock</t>
  </si>
  <si>
    <t>E0801P115</t>
  </si>
  <si>
    <t>Poundstock</t>
  </si>
  <si>
    <t>CornwallProbus</t>
  </si>
  <si>
    <t>E0801P116</t>
  </si>
  <si>
    <t>Probus</t>
  </si>
  <si>
    <t>CornwallQuethiock</t>
  </si>
  <si>
    <t>E0801P117</t>
  </si>
  <si>
    <t>Quethiock</t>
  </si>
  <si>
    <t>CornwallRedruth</t>
  </si>
  <si>
    <t>E0801P118</t>
  </si>
  <si>
    <t>Redruth</t>
  </si>
  <si>
    <t>CornwallRoche</t>
  </si>
  <si>
    <t>E0801P119</t>
  </si>
  <si>
    <t>Roche</t>
  </si>
  <si>
    <t>CornwallRuanlanihorne</t>
  </si>
  <si>
    <t>E0801P120</t>
  </si>
  <si>
    <t>Ruanlanihorne</t>
  </si>
  <si>
    <t>CornwallSaltash</t>
  </si>
  <si>
    <t>E0801P121</t>
  </si>
  <si>
    <t>Saltash</t>
  </si>
  <si>
    <t>CornwallSancreed</t>
  </si>
  <si>
    <t>E0801P122</t>
  </si>
  <si>
    <t>Sancreed</t>
  </si>
  <si>
    <t>CornwallSennen</t>
  </si>
  <si>
    <t>E0801P123</t>
  </si>
  <si>
    <t>Sennen</t>
  </si>
  <si>
    <t>CornwallSheviock</t>
  </si>
  <si>
    <t>E0801P124</t>
  </si>
  <si>
    <t>Sheviock</t>
  </si>
  <si>
    <t>CornwallSithney</t>
  </si>
  <si>
    <t>E0801P125</t>
  </si>
  <si>
    <t>Sithney</t>
  </si>
  <si>
    <t>CornwallSouth Hill</t>
  </si>
  <si>
    <t>E0801P126</t>
  </si>
  <si>
    <t>South Hill</t>
  </si>
  <si>
    <t>CornwallSouth Petherwin</t>
  </si>
  <si>
    <t>E0801P127</t>
  </si>
  <si>
    <t>South Petherwin</t>
  </si>
  <si>
    <t>CornwallSt Austell</t>
  </si>
  <si>
    <t>E0801P128</t>
  </si>
  <si>
    <t>St Austell</t>
  </si>
  <si>
    <t>CornwallSt Austell Bay</t>
  </si>
  <si>
    <t>E0801P129</t>
  </si>
  <si>
    <t>St Austell Bay</t>
  </si>
  <si>
    <t>CornwallSt. Agnes</t>
  </si>
  <si>
    <t>E0801P130</t>
  </si>
  <si>
    <t>St. Agnes</t>
  </si>
  <si>
    <t>CornwallSt. Allen</t>
  </si>
  <si>
    <t>E0801P131</t>
  </si>
  <si>
    <t>St. Allen</t>
  </si>
  <si>
    <t>CornwallSt. Anthony in Meneage</t>
  </si>
  <si>
    <t>E0801P132</t>
  </si>
  <si>
    <t>St. Anthony in Meneage</t>
  </si>
  <si>
    <t>CornwallSt. Blaise</t>
  </si>
  <si>
    <t>E0801P133</t>
  </si>
  <si>
    <t>St. Blaise</t>
  </si>
  <si>
    <t>CornwallSt. Breock</t>
  </si>
  <si>
    <t>E0801P134</t>
  </si>
  <si>
    <t>St. Breock</t>
  </si>
  <si>
    <t>CornwallSt. Breward</t>
  </si>
  <si>
    <t>E0801P135</t>
  </si>
  <si>
    <t>St. Breward</t>
  </si>
  <si>
    <t>CornwallSt. Cleer</t>
  </si>
  <si>
    <t>E0801P137</t>
  </si>
  <si>
    <t>St. Cleer</t>
  </si>
  <si>
    <t>CornwallSt. Clement</t>
  </si>
  <si>
    <t>E0801P138</t>
  </si>
  <si>
    <t>St. Clement</t>
  </si>
  <si>
    <t>CornwallSt. Clether</t>
  </si>
  <si>
    <t>E0801P139</t>
  </si>
  <si>
    <t>St. Clether</t>
  </si>
  <si>
    <t>CornwallSt. Columb Major</t>
  </si>
  <si>
    <t>E0801P140</t>
  </si>
  <si>
    <t>St. Columb Major</t>
  </si>
  <si>
    <t>CornwallSt. Day</t>
  </si>
  <si>
    <t>E0801P141</t>
  </si>
  <si>
    <t>St. Day</t>
  </si>
  <si>
    <t>CornwallSt. Dennis</t>
  </si>
  <si>
    <t>E0801P142</t>
  </si>
  <si>
    <t>St. Dennis</t>
  </si>
  <si>
    <t>CornwallSt. Dominick</t>
  </si>
  <si>
    <t>E0801P143</t>
  </si>
  <si>
    <t>St. Dominick</t>
  </si>
  <si>
    <t>CornwallSt. Endellion</t>
  </si>
  <si>
    <t>E0801P144</t>
  </si>
  <si>
    <t>St. Endellion</t>
  </si>
  <si>
    <t>CornwallSt. Enoder</t>
  </si>
  <si>
    <t>E0801P145</t>
  </si>
  <si>
    <t>St. Enoder</t>
  </si>
  <si>
    <t>CornwallSt. Erme</t>
  </si>
  <si>
    <t>E0801P146</t>
  </si>
  <si>
    <t>St. Erme</t>
  </si>
  <si>
    <t>CornwallSt. Erth</t>
  </si>
  <si>
    <t>E0801P147</t>
  </si>
  <si>
    <t>St. Erth</t>
  </si>
  <si>
    <t>CornwallSt. Ervan</t>
  </si>
  <si>
    <t>E0801P148</t>
  </si>
  <si>
    <t>St. Ervan</t>
  </si>
  <si>
    <t>CornwallSt. Eval</t>
  </si>
  <si>
    <t>E0801P149</t>
  </si>
  <si>
    <t>St. Eval</t>
  </si>
  <si>
    <t>CornwallSt. Ewe</t>
  </si>
  <si>
    <t>E0801P150</t>
  </si>
  <si>
    <t>St. Ewe</t>
  </si>
  <si>
    <t>CornwallSt. Gennys</t>
  </si>
  <si>
    <t>E0801P151</t>
  </si>
  <si>
    <t>St. Gennys</t>
  </si>
  <si>
    <t>CornwallSt. Germans</t>
  </si>
  <si>
    <t>E0801P152</t>
  </si>
  <si>
    <t>St. Germans</t>
  </si>
  <si>
    <t>CornwallSt. Goran</t>
  </si>
  <si>
    <t>E0801P154</t>
  </si>
  <si>
    <t>St. Goran</t>
  </si>
  <si>
    <t>CornwallSt. Hilary</t>
  </si>
  <si>
    <t>E0801P155</t>
  </si>
  <si>
    <t>St. Hilary</t>
  </si>
  <si>
    <t>CornwallSt. Issey</t>
  </si>
  <si>
    <t>E0801P156</t>
  </si>
  <si>
    <t>St. Issey</t>
  </si>
  <si>
    <t>CornwallSt. Ives</t>
  </si>
  <si>
    <t>E0801P158</t>
  </si>
  <si>
    <t>CornwallSt. John</t>
  </si>
  <si>
    <t>E0801P159</t>
  </si>
  <si>
    <t>St. John</t>
  </si>
  <si>
    <t>CornwallSt. Juliot</t>
  </si>
  <si>
    <t>E0801P160</t>
  </si>
  <si>
    <t>St. Juliot</t>
  </si>
  <si>
    <t>CornwallSt. Just</t>
  </si>
  <si>
    <t>E0801P161</t>
  </si>
  <si>
    <t>St. Just</t>
  </si>
  <si>
    <t>CornwallSt. Just in Roseland</t>
  </si>
  <si>
    <t>E0801P162</t>
  </si>
  <si>
    <t>St. Just in Roseland</t>
  </si>
  <si>
    <t>CornwallSt. Keverne</t>
  </si>
  <si>
    <t>E0801P163</t>
  </si>
  <si>
    <t>St. Keverne</t>
  </si>
  <si>
    <t>CornwallSt. Kew</t>
  </si>
  <si>
    <t>E0801P164</t>
  </si>
  <si>
    <t>St. Kew</t>
  </si>
  <si>
    <t>CornwallSt. Levan</t>
  </si>
  <si>
    <t>E0801P166</t>
  </si>
  <si>
    <t>St. Levan</t>
  </si>
  <si>
    <t>CornwallSt. Mabyn</t>
  </si>
  <si>
    <t>E0801P167</t>
  </si>
  <si>
    <t>St. Mabyn</t>
  </si>
  <si>
    <t>CornwallSt. Martin by Looe</t>
  </si>
  <si>
    <t>E0801P168</t>
  </si>
  <si>
    <t>St. Martin by Looe</t>
  </si>
  <si>
    <t>CornwallSt. Martin in Meneage</t>
  </si>
  <si>
    <t>E0801P169</t>
  </si>
  <si>
    <t>St. Martin in Meneage</t>
  </si>
  <si>
    <t>CornwallSt. Mellion</t>
  </si>
  <si>
    <t>E0801P170</t>
  </si>
  <si>
    <t>St. Mellion</t>
  </si>
  <si>
    <t>CornwallSt. Merryn</t>
  </si>
  <si>
    <t>E0801P171</t>
  </si>
  <si>
    <t>St. Merryn</t>
  </si>
  <si>
    <t>CornwallSt. Mewan</t>
  </si>
  <si>
    <t>E0801P172</t>
  </si>
  <si>
    <t>St. Mewan</t>
  </si>
  <si>
    <t>CornwallSt. Michael Caerhays</t>
  </si>
  <si>
    <t>E0801P173</t>
  </si>
  <si>
    <t>St. Michael Caerhays</t>
  </si>
  <si>
    <t>CornwallSt. Michael Penkevil</t>
  </si>
  <si>
    <t>E0801P174</t>
  </si>
  <si>
    <t>St. Michael Penkevil</t>
  </si>
  <si>
    <t>CornwallSt. Michael's Mount</t>
  </si>
  <si>
    <t>E0801P175</t>
  </si>
  <si>
    <t>St. Michael's Mount</t>
  </si>
  <si>
    <t>CornwallSt. Minver Highlands</t>
  </si>
  <si>
    <t>E0801P176</t>
  </si>
  <si>
    <t>St. Minver Highlands</t>
  </si>
  <si>
    <t>CornwallSt. Minver Lowlands</t>
  </si>
  <si>
    <t>E0801P177</t>
  </si>
  <si>
    <t>St. Minver Lowlands</t>
  </si>
  <si>
    <t>CornwallSt. Neot</t>
  </si>
  <si>
    <t>E0801P178</t>
  </si>
  <si>
    <t>St. Neot</t>
  </si>
  <si>
    <t>CornwallSt. Newlyn East</t>
  </si>
  <si>
    <t>E0801P179</t>
  </si>
  <si>
    <t>St. Newlyn East</t>
  </si>
  <si>
    <t>CornwallSt. Pinnock</t>
  </si>
  <si>
    <t>E0801P180</t>
  </si>
  <si>
    <t>St. Pinnock</t>
  </si>
  <si>
    <t>CornwallSt. Sampson</t>
  </si>
  <si>
    <t>E0801P181</t>
  </si>
  <si>
    <t>St. Sampson</t>
  </si>
  <si>
    <t>CornwallSt. Stephen in Brannel</t>
  </si>
  <si>
    <t>E0801P182</t>
  </si>
  <si>
    <t>St. Stephen in Brannel</t>
  </si>
  <si>
    <t>CornwallSt. Stephens by Launceston Rural</t>
  </si>
  <si>
    <t>E0801P183</t>
  </si>
  <si>
    <t>St. Stephens by Launceston Rural</t>
  </si>
  <si>
    <t>CornwallSt. Teath</t>
  </si>
  <si>
    <t>E0801P184</t>
  </si>
  <si>
    <t>St. Teath</t>
  </si>
  <si>
    <t>CornwallSt. Thomas the Apostle Rural</t>
  </si>
  <si>
    <t>E0801P185</t>
  </si>
  <si>
    <t>St. Thomas the Apostle Rural</t>
  </si>
  <si>
    <t>CornwallSt. Tudy</t>
  </si>
  <si>
    <t>E0801P186</t>
  </si>
  <si>
    <t>St. Tudy</t>
  </si>
  <si>
    <t>CornwallSt. Veep</t>
  </si>
  <si>
    <t>E0801P187</t>
  </si>
  <si>
    <t>St. Veep</t>
  </si>
  <si>
    <t>CornwallSt. Wenn</t>
  </si>
  <si>
    <t>E0801P188</t>
  </si>
  <si>
    <t>St. Wenn</t>
  </si>
  <si>
    <t>CornwallSt. Winnow</t>
  </si>
  <si>
    <t>E0801P189</t>
  </si>
  <si>
    <t>St. Winnow</t>
  </si>
  <si>
    <t>CornwallStithians</t>
  </si>
  <si>
    <t>E0801P190</t>
  </si>
  <si>
    <t>Stithians</t>
  </si>
  <si>
    <t>CornwallStokeclimsland</t>
  </si>
  <si>
    <t>E0801P191</t>
  </si>
  <si>
    <t>Stokeclimsland</t>
  </si>
  <si>
    <t>CornwallTintagel</t>
  </si>
  <si>
    <t>E0801P192</t>
  </si>
  <si>
    <t>Tintagel</t>
  </si>
  <si>
    <t>CornwallTorpoint</t>
  </si>
  <si>
    <t>E0801P193</t>
  </si>
  <si>
    <t>Torpoint</t>
  </si>
  <si>
    <t>CornwallTowednack</t>
  </si>
  <si>
    <t>E0801P194</t>
  </si>
  <si>
    <t>Towednack</t>
  </si>
  <si>
    <t>CornwallTremaine</t>
  </si>
  <si>
    <t>E0801P196</t>
  </si>
  <si>
    <t>Tremaine</t>
  </si>
  <si>
    <t>CornwallTreneglos</t>
  </si>
  <si>
    <t>E0801P197</t>
  </si>
  <si>
    <t>Treneglos</t>
  </si>
  <si>
    <t>CornwallTresmeer</t>
  </si>
  <si>
    <t>E0801P198</t>
  </si>
  <si>
    <t>Tresmeer</t>
  </si>
  <si>
    <t>CornwallTrevalga</t>
  </si>
  <si>
    <t>E0801P199</t>
  </si>
  <si>
    <t>Trevalga</t>
  </si>
  <si>
    <t>CornwallTreverbyn</t>
  </si>
  <si>
    <t>E0801P200</t>
  </si>
  <si>
    <t>Treverbyn</t>
  </si>
  <si>
    <t>CornwallTrewen</t>
  </si>
  <si>
    <t>E0801P201</t>
  </si>
  <si>
    <t>Trewen</t>
  </si>
  <si>
    <t>CornwallTruro</t>
  </si>
  <si>
    <t>E0801P202</t>
  </si>
  <si>
    <t>Truro</t>
  </si>
  <si>
    <t>CornwallTywardreath and Par</t>
  </si>
  <si>
    <t>E0801P203</t>
  </si>
  <si>
    <t>Tywardreath and Par</t>
  </si>
  <si>
    <t>CornwallVeryan</t>
  </si>
  <si>
    <t>E0801P204</t>
  </si>
  <si>
    <t>Veryan</t>
  </si>
  <si>
    <t>CornwallWadebridge</t>
  </si>
  <si>
    <t>E0801P205</t>
  </si>
  <si>
    <t>Wadebridge</t>
  </si>
  <si>
    <t>CornwallWarbstow</t>
  </si>
  <si>
    <t>E0801P206</t>
  </si>
  <si>
    <t>Warbstow</t>
  </si>
  <si>
    <t>CornwallWarleggan</t>
  </si>
  <si>
    <t>E0801P207</t>
  </si>
  <si>
    <t>Warleggan</t>
  </si>
  <si>
    <t>CornwallWeek St. Mary</t>
  </si>
  <si>
    <t>E0801P208</t>
  </si>
  <si>
    <t>Week St. Mary</t>
  </si>
  <si>
    <t>CornwallWendron</t>
  </si>
  <si>
    <t>E0801P209</t>
  </si>
  <si>
    <t>Wendron</t>
  </si>
  <si>
    <t>CornwallWerrington</t>
  </si>
  <si>
    <t>E0801P210</t>
  </si>
  <si>
    <t>Werrington</t>
  </si>
  <si>
    <t>CornwallWhitstone</t>
  </si>
  <si>
    <t>E0801P211</t>
  </si>
  <si>
    <t>Whitstone</t>
  </si>
  <si>
    <t>CornwallWithiel</t>
  </si>
  <si>
    <t>E0801P212</t>
  </si>
  <si>
    <t>Withiel</t>
  </si>
  <si>
    <t>CornwallZennor</t>
  </si>
  <si>
    <t>E0801P213</t>
  </si>
  <si>
    <t>Zennor</t>
  </si>
  <si>
    <t>CornwallPolperro</t>
  </si>
  <si>
    <t>E0801P214</t>
  </si>
  <si>
    <t>Polperro</t>
  </si>
  <si>
    <t>CornwallBraddock</t>
  </si>
  <si>
    <t>E0801P215</t>
  </si>
  <si>
    <t>Braddock</t>
  </si>
  <si>
    <t>CornwallDelabole</t>
  </si>
  <si>
    <t>E0801P216</t>
  </si>
  <si>
    <t>Delabole</t>
  </si>
  <si>
    <t>CornwallPonsanooth</t>
  </si>
  <si>
    <t>E0801P217</t>
  </si>
  <si>
    <t>Ponsanooth</t>
  </si>
  <si>
    <t>CornwallSt Buryan, Lamorna &amp; Paul</t>
  </si>
  <si>
    <t>E0801P218</t>
  </si>
  <si>
    <t>St Buryan, Lamorna &amp; Paul</t>
  </si>
  <si>
    <t>CornwallSt Ive &amp; Pensilva</t>
  </si>
  <si>
    <t>E0801P219</t>
  </si>
  <si>
    <t>St Ive &amp; Pensilva</t>
  </si>
  <si>
    <t>CornwallSt Keyne &amp; Trewidland</t>
  </si>
  <si>
    <t>E0801P220</t>
  </si>
  <si>
    <t>St Keyne &amp; Trewidland</t>
  </si>
  <si>
    <t>CornwallTregony with Cuby</t>
  </si>
  <si>
    <t>E0801P221</t>
  </si>
  <si>
    <t>Tregony with Cuby</t>
  </si>
  <si>
    <t>CornwallDobwalls</t>
  </si>
  <si>
    <t>E0801P222</t>
  </si>
  <si>
    <t>Dobwalls</t>
  </si>
  <si>
    <t>CumberlandAbove Derwent</t>
  </si>
  <si>
    <t>E0901P001</t>
  </si>
  <si>
    <t>Above Derwent</t>
  </si>
  <si>
    <t>CumberlandAikton</t>
  </si>
  <si>
    <t>E0901P002</t>
  </si>
  <si>
    <t>Aikton</t>
  </si>
  <si>
    <t>CumberlandAllhallows</t>
  </si>
  <si>
    <t>E0901P003</t>
  </si>
  <si>
    <t>Allhallows</t>
  </si>
  <si>
    <t>CumberlandAllonby</t>
  </si>
  <si>
    <t>E0901P004</t>
  </si>
  <si>
    <t>Allonby</t>
  </si>
  <si>
    <t>CumberlandArlecdon and Frizington</t>
  </si>
  <si>
    <t>E0901P005</t>
  </si>
  <si>
    <t>Arlecdon and Frizington</t>
  </si>
  <si>
    <t>CumberlandArthuret</t>
  </si>
  <si>
    <t>E0901P006</t>
  </si>
  <si>
    <t>Arthuret</t>
  </si>
  <si>
    <t>CumberlandAskerton</t>
  </si>
  <si>
    <t>E0901P007</t>
  </si>
  <si>
    <t>Askerton</t>
  </si>
  <si>
    <t>CumberlandAspatria</t>
  </si>
  <si>
    <t>E0901P008</t>
  </si>
  <si>
    <t>Aspatria</t>
  </si>
  <si>
    <t>CumberlandBassenthwaite</t>
  </si>
  <si>
    <t>E0901P009</t>
  </si>
  <si>
    <t>Bassenthwaite</t>
  </si>
  <si>
    <t>CumberlandBeaumont</t>
  </si>
  <si>
    <t>E0901P010</t>
  </si>
  <si>
    <t>Beaumont</t>
  </si>
  <si>
    <t>CumberlandBeckermet with Thornhill</t>
  </si>
  <si>
    <t>E0901P011</t>
  </si>
  <si>
    <t>Beckermet with Thornhill</t>
  </si>
  <si>
    <t>CumberlandBewaldeth and Snittlegarth</t>
  </si>
  <si>
    <t>E0901P012</t>
  </si>
  <si>
    <t>Bewaldeth and Snittlegarth</t>
  </si>
  <si>
    <t>CumberlandBewcastle</t>
  </si>
  <si>
    <t>E0901P013</t>
  </si>
  <si>
    <t>Bewcastle</t>
  </si>
  <si>
    <t>CumberlandBlennerhasset and Torpenhow</t>
  </si>
  <si>
    <t>E0901P014</t>
  </si>
  <si>
    <t>Blennerhasset and Torpenhow</t>
  </si>
  <si>
    <t>CumberlandBlindbothel</t>
  </si>
  <si>
    <t>E0901P015</t>
  </si>
  <si>
    <t>Blindbothel</t>
  </si>
  <si>
    <t>CumberlandBlindcrake</t>
  </si>
  <si>
    <t>E0901P016</t>
  </si>
  <si>
    <t>Blindcrake</t>
  </si>
  <si>
    <t>CumberlandBoltons</t>
  </si>
  <si>
    <t>E0901P017</t>
  </si>
  <si>
    <t>Boltons</t>
  </si>
  <si>
    <t>CumberlandBootle</t>
  </si>
  <si>
    <t>E0901P018</t>
  </si>
  <si>
    <t>Bootle</t>
  </si>
  <si>
    <t>CumberlandBorrowdale</t>
  </si>
  <si>
    <t>E0901P019</t>
  </si>
  <si>
    <t>Borrowdale</t>
  </si>
  <si>
    <t>CumberlandBothel and Threapland</t>
  </si>
  <si>
    <t>E0901P020</t>
  </si>
  <si>
    <t>Bothel and Threapland</t>
  </si>
  <si>
    <t>CumberlandBowness</t>
  </si>
  <si>
    <t>E0901P021</t>
  </si>
  <si>
    <t>Bowness</t>
  </si>
  <si>
    <t>CumberlandBrampton</t>
  </si>
  <si>
    <t>E0901P022</t>
  </si>
  <si>
    <t>CumberlandBridekirk</t>
  </si>
  <si>
    <t>E0901P023</t>
  </si>
  <si>
    <t>Bridekirk</t>
  </si>
  <si>
    <t>CumberlandBrigham</t>
  </si>
  <si>
    <t>E0901P024</t>
  </si>
  <si>
    <t>Brigham</t>
  </si>
  <si>
    <t>CumberlandBromfield</t>
  </si>
  <si>
    <t>E0901P025</t>
  </si>
  <si>
    <t>Bromfield</t>
  </si>
  <si>
    <t>CumberlandBroughton</t>
  </si>
  <si>
    <t>E0901P026</t>
  </si>
  <si>
    <t>CumberlandBroughton Moor</t>
  </si>
  <si>
    <t>E0901P027</t>
  </si>
  <si>
    <t>Broughton Moor</t>
  </si>
  <si>
    <t>CumberlandBurgh by Sands</t>
  </si>
  <si>
    <t>E0901P028</t>
  </si>
  <si>
    <t>Burgh by Sands</t>
  </si>
  <si>
    <t>CumberlandBurtholme</t>
  </si>
  <si>
    <t>E0901P029</t>
  </si>
  <si>
    <t>Burtholme</t>
  </si>
  <si>
    <t>CumberlandButtermere</t>
  </si>
  <si>
    <t>E0901P030</t>
  </si>
  <si>
    <t>Buttermere</t>
  </si>
  <si>
    <t>CumberlandCaldbeck</t>
  </si>
  <si>
    <t>E0901P031</t>
  </si>
  <si>
    <t>Caldbeck</t>
  </si>
  <si>
    <t>CumberlandCamerton</t>
  </si>
  <si>
    <t>E0901P032</t>
  </si>
  <si>
    <t>CumberlandCarlatton</t>
  </si>
  <si>
    <t>E0901P033</t>
  </si>
  <si>
    <t>Carlatton</t>
  </si>
  <si>
    <t>CumberlandCastle Carrock</t>
  </si>
  <si>
    <t>E0901P034</t>
  </si>
  <si>
    <t>Castle Carrock</t>
  </si>
  <si>
    <t>CumberlandCleator Moor</t>
  </si>
  <si>
    <t>E0901P035</t>
  </si>
  <si>
    <t>Cleator Moor</t>
  </si>
  <si>
    <t>CumberlandCockermouth</t>
  </si>
  <si>
    <t>E0901P036</t>
  </si>
  <si>
    <t>Cockermouth</t>
  </si>
  <si>
    <t>CumberlandCrosscanonby</t>
  </si>
  <si>
    <t>E0901P037</t>
  </si>
  <si>
    <t>Crosscanonby</t>
  </si>
  <si>
    <t>CumberlandCummersdale</t>
  </si>
  <si>
    <t>E0901P038</t>
  </si>
  <si>
    <t>Cummersdale</t>
  </si>
  <si>
    <t>CumberlandCumwhitton</t>
  </si>
  <si>
    <t>E0901P039</t>
  </si>
  <si>
    <t>Cumwhitton</t>
  </si>
  <si>
    <t>CumberlandDalston</t>
  </si>
  <si>
    <t>E0901P040</t>
  </si>
  <si>
    <t>Dalston</t>
  </si>
  <si>
    <t>CumberlandDean</t>
  </si>
  <si>
    <t>E0901P041</t>
  </si>
  <si>
    <t>Dean</t>
  </si>
  <si>
    <t>CumberlandDearham</t>
  </si>
  <si>
    <t>E0901P042</t>
  </si>
  <si>
    <t>Dearham</t>
  </si>
  <si>
    <t>CumberlandDistington</t>
  </si>
  <si>
    <t>E0901P043</t>
  </si>
  <si>
    <t>Distington</t>
  </si>
  <si>
    <t>CumberlandDrigg and Carleton</t>
  </si>
  <si>
    <t>E0901P044</t>
  </si>
  <si>
    <t>Drigg and Carleton</t>
  </si>
  <si>
    <t>CumberlandDundraw</t>
  </si>
  <si>
    <t>E0901P045</t>
  </si>
  <si>
    <t>Dundraw</t>
  </si>
  <si>
    <t>CumberlandEgremont</t>
  </si>
  <si>
    <t>E0901P046</t>
  </si>
  <si>
    <t>Egremont</t>
  </si>
  <si>
    <t>CumberlandEmbleton</t>
  </si>
  <si>
    <t>E0901P047</t>
  </si>
  <si>
    <t>Embleton</t>
  </si>
  <si>
    <t>CumberlandEnnerdale and Kinniside</t>
  </si>
  <si>
    <t>E0901P048</t>
  </si>
  <si>
    <t>Ennerdale and Kinniside</t>
  </si>
  <si>
    <t>CumberlandEskdale</t>
  </si>
  <si>
    <t>E0901P049</t>
  </si>
  <si>
    <t>Eskdale</t>
  </si>
  <si>
    <t>CumberlandFarlam</t>
  </si>
  <si>
    <t>E0901P050</t>
  </si>
  <si>
    <t>Farlam</t>
  </si>
  <si>
    <t>CumberlandGilcrux</t>
  </si>
  <si>
    <t>E0901P051</t>
  </si>
  <si>
    <t>Gilcrux</t>
  </si>
  <si>
    <t>CumberlandGosforth</t>
  </si>
  <si>
    <t>E0901P052</t>
  </si>
  <si>
    <t>Gosforth</t>
  </si>
  <si>
    <t>CumberlandGreat Clifton</t>
  </si>
  <si>
    <t>E0901P053</t>
  </si>
  <si>
    <t>Great Clifton</t>
  </si>
  <si>
    <t>CumberlandGreysouthen</t>
  </si>
  <si>
    <t>E0901P054</t>
  </si>
  <si>
    <t>Greysouthen</t>
  </si>
  <si>
    <t>CumberlandHaile and Wilton</t>
  </si>
  <si>
    <t>E0901P055</t>
  </si>
  <si>
    <t>Haile and Wilton</t>
  </si>
  <si>
    <t>CumberlandHayton</t>
  </si>
  <si>
    <t>E0901P056</t>
  </si>
  <si>
    <t>Hayton</t>
  </si>
  <si>
    <t>CumberlandHayton and Mealo</t>
  </si>
  <si>
    <t>E0901P057</t>
  </si>
  <si>
    <t>Hayton and Mealo</t>
  </si>
  <si>
    <t>CumberlandHethersgill</t>
  </si>
  <si>
    <t>E0901P058</t>
  </si>
  <si>
    <t>Hethersgill</t>
  </si>
  <si>
    <t>CumberlandHolme Abbey</t>
  </si>
  <si>
    <t>E0901P059</t>
  </si>
  <si>
    <t>Holme Abbey</t>
  </si>
  <si>
    <t>CumberlandHolme East Waver</t>
  </si>
  <si>
    <t>E0901P060</t>
  </si>
  <si>
    <t>Holme East Waver</t>
  </si>
  <si>
    <t>CumberlandHolme Low</t>
  </si>
  <si>
    <t>E0901P061</t>
  </si>
  <si>
    <t>Holme Low</t>
  </si>
  <si>
    <t>CumberlandHolme St Cuthbert</t>
  </si>
  <si>
    <t>E0901P062</t>
  </si>
  <si>
    <t>Holme St Cuthbert</t>
  </si>
  <si>
    <t>CumberlandIreby and Uldale</t>
  </si>
  <si>
    <t>E0901P063</t>
  </si>
  <si>
    <t>Ireby and Uldale</t>
  </si>
  <si>
    <t>CumberlandIrthington</t>
  </si>
  <si>
    <t>E0901P064</t>
  </si>
  <si>
    <t>Irthington</t>
  </si>
  <si>
    <t>CumberlandIrton with Santon</t>
  </si>
  <si>
    <t>E0901P065</t>
  </si>
  <si>
    <t>Irton with Santon</t>
  </si>
  <si>
    <t>CumberlandKeswick</t>
  </si>
  <si>
    <t>E0901P066</t>
  </si>
  <si>
    <t>Keswick</t>
  </si>
  <si>
    <t>CumberlandKingmoor</t>
  </si>
  <si>
    <t>E0901P067</t>
  </si>
  <si>
    <t>Kingmoor</t>
  </si>
  <si>
    <t>CumberlandKingwater</t>
  </si>
  <si>
    <t>E0901P068</t>
  </si>
  <si>
    <t>Kingwater</t>
  </si>
  <si>
    <t>CumberlandKirkandrews</t>
  </si>
  <si>
    <t>E0901P069</t>
  </si>
  <si>
    <t>Kirkandrews</t>
  </si>
  <si>
    <t>CumberlandKirkbampton</t>
  </si>
  <si>
    <t>E0901P070</t>
  </si>
  <si>
    <t>Kirkbampton</t>
  </si>
  <si>
    <t>CumberlandKirkbride</t>
  </si>
  <si>
    <t>E0901P071</t>
  </si>
  <si>
    <t>Kirkbride</t>
  </si>
  <si>
    <t>CumberlandKirklinton Middle</t>
  </si>
  <si>
    <t>E0901P072</t>
  </si>
  <si>
    <t>Kirklinton Middle</t>
  </si>
  <si>
    <t>CumberlandLamplugh</t>
  </si>
  <si>
    <t>E0901P073</t>
  </si>
  <si>
    <t>Lamplugh</t>
  </si>
  <si>
    <t>CumberlandLittle Clifton</t>
  </si>
  <si>
    <t>E0901P074</t>
  </si>
  <si>
    <t>Little Clifton</t>
  </si>
  <si>
    <t>CumberlandLorton</t>
  </si>
  <si>
    <t>E0901P075</t>
  </si>
  <si>
    <t>Lorton</t>
  </si>
  <si>
    <t>CumberlandLowca</t>
  </si>
  <si>
    <t>E0901P076</t>
  </si>
  <si>
    <t>Lowca</t>
  </si>
  <si>
    <t>CumberlandLoweswater</t>
  </si>
  <si>
    <t>E0901P077</t>
  </si>
  <si>
    <t>Loweswater</t>
  </si>
  <si>
    <t>CumberlandLowside Quarter</t>
  </si>
  <si>
    <t>E0901P078</t>
  </si>
  <si>
    <t>Lowside Quarter</t>
  </si>
  <si>
    <t>CumberlandMaryport</t>
  </si>
  <si>
    <t>E0901P079</t>
  </si>
  <si>
    <t>Maryport</t>
  </si>
  <si>
    <t>CumberlandMidgeholme</t>
  </si>
  <si>
    <t>E0901P080</t>
  </si>
  <si>
    <t>Midgeholme</t>
  </si>
  <si>
    <t>CumberlandMillom</t>
  </si>
  <si>
    <t>E0901P081</t>
  </si>
  <si>
    <t>Millom</t>
  </si>
  <si>
    <t>CumberlandMillom Without</t>
  </si>
  <si>
    <t>E0901P082</t>
  </si>
  <si>
    <t>Millom Without</t>
  </si>
  <si>
    <t>CumberlandMoresby</t>
  </si>
  <si>
    <t>E0901P083</t>
  </si>
  <si>
    <t>Moresby</t>
  </si>
  <si>
    <t>CumberlandMuncaster</t>
  </si>
  <si>
    <t>E0901P084</t>
  </si>
  <si>
    <t>Muncaster</t>
  </si>
  <si>
    <t>CumberlandNether Denton</t>
  </si>
  <si>
    <t>E0901P085</t>
  </si>
  <si>
    <t>Nether Denton</t>
  </si>
  <si>
    <t>CumberlandNicholforest</t>
  </si>
  <si>
    <t>E0901P086</t>
  </si>
  <si>
    <t>Nicholforest</t>
  </si>
  <si>
    <t>CumberlandOrton</t>
  </si>
  <si>
    <t>E0901P087</t>
  </si>
  <si>
    <t>Orton</t>
  </si>
  <si>
    <t>CumberlandOughterside and Allerby</t>
  </si>
  <si>
    <t>E0901P088</t>
  </si>
  <si>
    <t>Oughterside and Allerby</t>
  </si>
  <si>
    <t>CumberlandPapcastle</t>
  </si>
  <si>
    <t>E0901P089</t>
  </si>
  <si>
    <t>Papcastle</t>
  </si>
  <si>
    <t>CumberlandParton</t>
  </si>
  <si>
    <t>E0901P090</t>
  </si>
  <si>
    <t>Parton</t>
  </si>
  <si>
    <t>CumberlandPlumbland</t>
  </si>
  <si>
    <t>E0901P091</t>
  </si>
  <si>
    <t>Plumbland</t>
  </si>
  <si>
    <t>CumberlandPonsonby</t>
  </si>
  <si>
    <t>E0901P092</t>
  </si>
  <si>
    <t>Ponsonby</t>
  </si>
  <si>
    <t>CumberlandRockcliffe</t>
  </si>
  <si>
    <t>E0901P093</t>
  </si>
  <si>
    <t>Rockcliffe</t>
  </si>
  <si>
    <t>CumberlandScaleby</t>
  </si>
  <si>
    <t>E0901P094</t>
  </si>
  <si>
    <t>Scaleby</t>
  </si>
  <si>
    <t>CumberlandSeascale</t>
  </si>
  <si>
    <t>E0901P095</t>
  </si>
  <si>
    <t>Seascale</t>
  </si>
  <si>
    <t>CumberlandSeaton</t>
  </si>
  <si>
    <t>E0901P096</t>
  </si>
  <si>
    <t>Seaton</t>
  </si>
  <si>
    <t>CumberlandSebergham</t>
  </si>
  <si>
    <t>E0901P097</t>
  </si>
  <si>
    <t>Sebergham</t>
  </si>
  <si>
    <t>CumberlandSilloth on Solway</t>
  </si>
  <si>
    <t>E0901P098</t>
  </si>
  <si>
    <t>Silloth on Solway</t>
  </si>
  <si>
    <t>CumberlandSolport</t>
  </si>
  <si>
    <t>E0901P099</t>
  </si>
  <si>
    <t>Solport</t>
  </si>
  <si>
    <t>CumberlandSt Cuthbert Without</t>
  </si>
  <si>
    <t>E0901P100</t>
  </si>
  <si>
    <t>St Cuthbert Without</t>
  </si>
  <si>
    <t>CumberlandSt John's Castlerigg and Wythburn</t>
  </si>
  <si>
    <t>E0901P101</t>
  </si>
  <si>
    <t>St John's Castlerigg and Wythburn</t>
  </si>
  <si>
    <t>CumberlandSt. Bees</t>
  </si>
  <si>
    <t>E0901P102</t>
  </si>
  <si>
    <t>St. Bees</t>
  </si>
  <si>
    <t>CumberlandStanwix Rural</t>
  </si>
  <si>
    <t>E0901P103</t>
  </si>
  <si>
    <t>Stanwix Rural</t>
  </si>
  <si>
    <t>CumberlandThursby</t>
  </si>
  <si>
    <t>E0901P104</t>
  </si>
  <si>
    <t>Thursby</t>
  </si>
  <si>
    <t>CumberlandUlpha</t>
  </si>
  <si>
    <t>E0901P105</t>
  </si>
  <si>
    <t>Ulpha</t>
  </si>
  <si>
    <t>CumberlandUnderskiddaw</t>
  </si>
  <si>
    <t>E0901P106</t>
  </si>
  <si>
    <t>Underskiddaw</t>
  </si>
  <si>
    <t>CumberlandUpper Denton</t>
  </si>
  <si>
    <t>E0901P107</t>
  </si>
  <si>
    <t>Upper Denton</t>
  </si>
  <si>
    <t>CumberlandWaberthwaite and Corney</t>
  </si>
  <si>
    <t>E0901P108</t>
  </si>
  <si>
    <t>Waberthwaite and Corney</t>
  </si>
  <si>
    <t>CumberlandWalton</t>
  </si>
  <si>
    <t>E0901P109</t>
  </si>
  <si>
    <t>CumberlandWasdale</t>
  </si>
  <si>
    <t>E0901P110</t>
  </si>
  <si>
    <t>Wasdale</t>
  </si>
  <si>
    <t>CumberlandWaterhead</t>
  </si>
  <si>
    <t>E0901P111</t>
  </si>
  <si>
    <t>Waterhead</t>
  </si>
  <si>
    <t>CumberlandWaverton</t>
  </si>
  <si>
    <t>E0901P112</t>
  </si>
  <si>
    <t>CumberlandWeddicar</t>
  </si>
  <si>
    <t>E0901P113</t>
  </si>
  <si>
    <t>Weddicar</t>
  </si>
  <si>
    <t>CumberlandWestlinton</t>
  </si>
  <si>
    <t>E0901P114</t>
  </si>
  <si>
    <t>Westlinton</t>
  </si>
  <si>
    <t>CumberlandWestnewton</t>
  </si>
  <si>
    <t>E0901P115</t>
  </si>
  <si>
    <t>Westnewton</t>
  </si>
  <si>
    <t>CumberlandWestward</t>
  </si>
  <si>
    <t>E0901P116</t>
  </si>
  <si>
    <t>Westward</t>
  </si>
  <si>
    <t>CumberlandWetheral</t>
  </si>
  <si>
    <t>E0901P117</t>
  </si>
  <si>
    <t>Wetheral</t>
  </si>
  <si>
    <t>CumberlandWhicham</t>
  </si>
  <si>
    <t>E0901P118</t>
  </si>
  <si>
    <t>Whicham</t>
  </si>
  <si>
    <t>CumberlandWhitehaven</t>
  </si>
  <si>
    <t>E0901P119</t>
  </si>
  <si>
    <t>Whitehaven</t>
  </si>
  <si>
    <t>CumberlandWigton</t>
  </si>
  <si>
    <t>E0901P120</t>
  </si>
  <si>
    <t>Wigton</t>
  </si>
  <si>
    <t>CumberlandWinscales</t>
  </si>
  <si>
    <t>E0901P121</t>
  </si>
  <si>
    <t>Winscales</t>
  </si>
  <si>
    <t>CumberlandWoodside</t>
  </si>
  <si>
    <t>E0901P122</t>
  </si>
  <si>
    <t>Woodside</t>
  </si>
  <si>
    <t>CumberlandWorkington</t>
  </si>
  <si>
    <t>E0901P123</t>
  </si>
  <si>
    <t>Workington</t>
  </si>
  <si>
    <t>CumberlandCharter Trustee for Carlisle</t>
  </si>
  <si>
    <t>E0901P124</t>
  </si>
  <si>
    <t>Charter Trustee for Carlisle</t>
  </si>
  <si>
    <t>Westmorland and FurnessAinstable</t>
  </si>
  <si>
    <t>E0902P001</t>
  </si>
  <si>
    <t>Ainstable</t>
  </si>
  <si>
    <t>Westmorland and FurnessAldingham</t>
  </si>
  <si>
    <t>E0902P002</t>
  </si>
  <si>
    <t>Aldingham</t>
  </si>
  <si>
    <t>Westmorland and FurnessAllithwaite and Cartmel</t>
  </si>
  <si>
    <t>E0902P003</t>
  </si>
  <si>
    <t>Allithwaite and Cartmel</t>
  </si>
  <si>
    <t>Westmorland and FurnessAlston Moor</t>
  </si>
  <si>
    <t>E0902P004</t>
  </si>
  <si>
    <t>Alston Moor</t>
  </si>
  <si>
    <t>Westmorland and FurnessAppleby in Westmorland</t>
  </si>
  <si>
    <t>E0902P006</t>
  </si>
  <si>
    <t>Appleby in Westmorland</t>
  </si>
  <si>
    <t>Westmorland and FurnessArnside</t>
  </si>
  <si>
    <t>E0902P007</t>
  </si>
  <si>
    <t>Arnside</t>
  </si>
  <si>
    <t>Westmorland and FurnessAsby</t>
  </si>
  <si>
    <t>E0902P008</t>
  </si>
  <si>
    <t>Asby</t>
  </si>
  <si>
    <t>Westmorland and FurnessAskam and Ireleth</t>
  </si>
  <si>
    <t>E0902P009</t>
  </si>
  <si>
    <t>Askam and Ireleth</t>
  </si>
  <si>
    <t>Westmorland and FurnessAskham</t>
  </si>
  <si>
    <t>E0902P010</t>
  </si>
  <si>
    <t>Askham</t>
  </si>
  <si>
    <t>Westmorland and FurnessBampton</t>
  </si>
  <si>
    <t>E0902P011</t>
  </si>
  <si>
    <t>Bampton</t>
  </si>
  <si>
    <t>Westmorland and FurnessBandleyside (Colby Hoff &amp; Ormside)</t>
  </si>
  <si>
    <t>E0902P012</t>
  </si>
  <si>
    <t>Bandleyside (Colby Hoff &amp; Ormside)</t>
  </si>
  <si>
    <t>Westmorland and FurnessBarbon</t>
  </si>
  <si>
    <t>E0902P013</t>
  </si>
  <si>
    <t>Barbon</t>
  </si>
  <si>
    <t>Westmorland and FurnessBarton</t>
  </si>
  <si>
    <t>E0902P014</t>
  </si>
  <si>
    <t>Westmorland and FurnessBeetham</t>
  </si>
  <si>
    <t>E0902P015</t>
  </si>
  <si>
    <t>Beetham</t>
  </si>
  <si>
    <t>Westmorland and FurnessBlawith and Subberthwaite</t>
  </si>
  <si>
    <t>E0902P016</t>
  </si>
  <si>
    <t>Blawith and Subberthwaite</t>
  </si>
  <si>
    <t>Westmorland and FurnessBolton</t>
  </si>
  <si>
    <t>E0902P017</t>
  </si>
  <si>
    <t>Westmorland and FurnessBrough</t>
  </si>
  <si>
    <t>E0902P018</t>
  </si>
  <si>
    <t>Brough</t>
  </si>
  <si>
    <t>Westmorland and FurnessBrough Sowerby</t>
  </si>
  <si>
    <t>E0902P019</t>
  </si>
  <si>
    <t>Brough Sowerby</t>
  </si>
  <si>
    <t>Westmorland and FurnessBrougham</t>
  </si>
  <si>
    <t>E0902P020</t>
  </si>
  <si>
    <t>Brougham</t>
  </si>
  <si>
    <t>Westmorland and FurnessBroughton East</t>
  </si>
  <si>
    <t>E0902P021</t>
  </si>
  <si>
    <t>Broughton East</t>
  </si>
  <si>
    <t>Westmorland and FurnessBurton in Kendal</t>
  </si>
  <si>
    <t>E0902P023</t>
  </si>
  <si>
    <t>Burton in Kendal</t>
  </si>
  <si>
    <t>Westmorland and FurnessCartmel Fell</t>
  </si>
  <si>
    <t>E0902P024</t>
  </si>
  <si>
    <t>Cartmel Fell</t>
  </si>
  <si>
    <t>Westmorland and FurnessCasterton</t>
  </si>
  <si>
    <t>E0902P025</t>
  </si>
  <si>
    <t>Casterton</t>
  </si>
  <si>
    <t>Westmorland and FurnessCastle Sowerby</t>
  </si>
  <si>
    <t>E0902P026</t>
  </si>
  <si>
    <t>Castle Sowerby</t>
  </si>
  <si>
    <t>Westmorland and FurnessCatterlen</t>
  </si>
  <si>
    <t>E0902P027</t>
  </si>
  <si>
    <t>Catterlen</t>
  </si>
  <si>
    <t>Westmorland and FurnessClaife</t>
  </si>
  <si>
    <t>E0902P028</t>
  </si>
  <si>
    <t>Claife</t>
  </si>
  <si>
    <t>Westmorland and FurnessCliburn</t>
  </si>
  <si>
    <t>E0902P029</t>
  </si>
  <si>
    <t>Cliburn</t>
  </si>
  <si>
    <t>Westmorland and FurnessClifton</t>
  </si>
  <si>
    <t>E0902P030</t>
  </si>
  <si>
    <t>Westmorland and FurnessColton</t>
  </si>
  <si>
    <t>E0902P031</t>
  </si>
  <si>
    <t>Colton</t>
  </si>
  <si>
    <t>Westmorland and FurnessConiston</t>
  </si>
  <si>
    <t>E0902P032</t>
  </si>
  <si>
    <t>Coniston</t>
  </si>
  <si>
    <t>Westmorland and FurnessCrackenthorpe</t>
  </si>
  <si>
    <t>E0902P033</t>
  </si>
  <si>
    <t>Crackenthorpe</t>
  </si>
  <si>
    <t>Westmorland and FurnessCrook</t>
  </si>
  <si>
    <t>E0902P034</t>
  </si>
  <si>
    <t>Crook</t>
  </si>
  <si>
    <t>Westmorland and FurnessCrosby Garrett</t>
  </si>
  <si>
    <t>E0902P035</t>
  </si>
  <si>
    <t>Crosby Garrett</t>
  </si>
  <si>
    <t>Westmorland and FurnessCrosby Ravensworth</t>
  </si>
  <si>
    <t>E0902P036</t>
  </si>
  <si>
    <t>Crosby Ravensworth</t>
  </si>
  <si>
    <t>Westmorland and FurnessCrosthwaite and Lyth</t>
  </si>
  <si>
    <t>E0902P037</t>
  </si>
  <si>
    <t>Crosthwaite and Lyth</t>
  </si>
  <si>
    <t>Westmorland and FurnessCulgaith</t>
  </si>
  <si>
    <t>E0902P038</t>
  </si>
  <si>
    <t>Culgaith</t>
  </si>
  <si>
    <t>Westmorland and FurnessDacre</t>
  </si>
  <si>
    <t>E0902P039</t>
  </si>
  <si>
    <t>Dacre</t>
  </si>
  <si>
    <t>Westmorland and FurnessDalton with Newton</t>
  </si>
  <si>
    <t>E0902P040</t>
  </si>
  <si>
    <t>Dalton with Newton</t>
  </si>
  <si>
    <t>Westmorland and FurnessDent</t>
  </si>
  <si>
    <t>E0902P041</t>
  </si>
  <si>
    <t>Dent</t>
  </si>
  <si>
    <t>Westmorland and FurnessDocker</t>
  </si>
  <si>
    <t>E0902P042</t>
  </si>
  <si>
    <t>Docker</t>
  </si>
  <si>
    <t>Westmorland and FurnessDufton</t>
  </si>
  <si>
    <t>E0902P043</t>
  </si>
  <si>
    <t>Dufton</t>
  </si>
  <si>
    <t>Westmorland and FurnessEgton with Newland (grouped in Egton with Newland Mansriggs &amp; Osmotherley)</t>
  </si>
  <si>
    <t>E0902P045</t>
  </si>
  <si>
    <t>Egton with Newland (grouped in Egton with Newland Mansriggs &amp; Osmotherley)</t>
  </si>
  <si>
    <t>Westmorland and FurnessFirbank</t>
  </si>
  <si>
    <t>E0902P046</t>
  </si>
  <si>
    <t>Firbank</t>
  </si>
  <si>
    <t>Westmorland and FurnessGarsdale</t>
  </si>
  <si>
    <t>E0902P047</t>
  </si>
  <si>
    <t>Garsdale</t>
  </si>
  <si>
    <t>Westmorland and FurnessGlassonby</t>
  </si>
  <si>
    <t>E0902P048</t>
  </si>
  <si>
    <t>Glassonby</t>
  </si>
  <si>
    <t>Westmorland and FurnessGrange over Sands</t>
  </si>
  <si>
    <t>E0902P049</t>
  </si>
  <si>
    <t>Grange over Sands</t>
  </si>
  <si>
    <t>Westmorland and FurnessGrayrigg</t>
  </si>
  <si>
    <t>E0902P050</t>
  </si>
  <si>
    <t>Grayrigg</t>
  </si>
  <si>
    <t>Westmorland and FurnessGreat Salkeld</t>
  </si>
  <si>
    <t>E0902P051</t>
  </si>
  <si>
    <t>Great Salkeld</t>
  </si>
  <si>
    <t>Westmorland and FurnessGreat Strickland</t>
  </si>
  <si>
    <t>E0902P052</t>
  </si>
  <si>
    <t>Great Strickland</t>
  </si>
  <si>
    <t>Westmorland and FurnessGreystoke</t>
  </si>
  <si>
    <t>E0902P053</t>
  </si>
  <si>
    <t>Greystoke</t>
  </si>
  <si>
    <t>Westmorland and FurnessHartley</t>
  </si>
  <si>
    <t>E0902P054</t>
  </si>
  <si>
    <t>Hartley</t>
  </si>
  <si>
    <t>Westmorland and FurnessHaverthwaite</t>
  </si>
  <si>
    <t>E0902P055</t>
  </si>
  <si>
    <t>Haverthwaite</t>
  </si>
  <si>
    <t>Westmorland and FurnessHawkshead</t>
  </si>
  <si>
    <t>E0902P056</t>
  </si>
  <si>
    <t>Hawkshead</t>
  </si>
  <si>
    <t>Westmorland and FurnessHelbeck</t>
  </si>
  <si>
    <t>E0902P057</t>
  </si>
  <si>
    <t>Helbeck</t>
  </si>
  <si>
    <t>Westmorland and FurnessHelsington</t>
  </si>
  <si>
    <t>E0902P058</t>
  </si>
  <si>
    <t>Helsington</t>
  </si>
  <si>
    <t>Westmorland and FurnessHesket</t>
  </si>
  <si>
    <t>E0902P059</t>
  </si>
  <si>
    <t>Hesket</t>
  </si>
  <si>
    <t>Westmorland and FurnessHeversham</t>
  </si>
  <si>
    <t>E0902P060</t>
  </si>
  <si>
    <t>Heversham</t>
  </si>
  <si>
    <t>Westmorland and FurnessHincaster</t>
  </si>
  <si>
    <t>E0902P061</t>
  </si>
  <si>
    <t>Hincaster</t>
  </si>
  <si>
    <t>Westmorland and FurnessHolme</t>
  </si>
  <si>
    <t>E0902P062</t>
  </si>
  <si>
    <t>Westmorland and FurnessHunsonby</t>
  </si>
  <si>
    <t>E0902P064</t>
  </si>
  <si>
    <t>Hunsonby</t>
  </si>
  <si>
    <t>Westmorland and FurnessHutton</t>
  </si>
  <si>
    <t>E0902P065</t>
  </si>
  <si>
    <t>Westmorland and FurnessHutton Roof</t>
  </si>
  <si>
    <t>E0902P066</t>
  </si>
  <si>
    <t>Hutton Roof</t>
  </si>
  <si>
    <t>Westmorland and FurnessKaber</t>
  </si>
  <si>
    <t>E0902P067</t>
  </si>
  <si>
    <t>Kaber</t>
  </si>
  <si>
    <t>Westmorland and FurnessKendal</t>
  </si>
  <si>
    <t>E0902P068</t>
  </si>
  <si>
    <t>Kendal</t>
  </si>
  <si>
    <t>Westmorland and FurnessKentmere</t>
  </si>
  <si>
    <t>E0902P069</t>
  </si>
  <si>
    <t>Kentmere</t>
  </si>
  <si>
    <t>Westmorland and FurnessKillington</t>
  </si>
  <si>
    <t>E0902P070</t>
  </si>
  <si>
    <t>Killington</t>
  </si>
  <si>
    <t>Westmorland and FurnessKing's Meaburn</t>
  </si>
  <si>
    <t>E0902P071</t>
  </si>
  <si>
    <t>King's Meaburn</t>
  </si>
  <si>
    <t>Westmorland and FurnessKirkby Ireleth</t>
  </si>
  <si>
    <t>E0902P072</t>
  </si>
  <si>
    <t>Kirkby Ireleth</t>
  </si>
  <si>
    <t>Westmorland and FurnessKirkby Lonsdale</t>
  </si>
  <si>
    <t>E0902P073</t>
  </si>
  <si>
    <t>Kirkby Lonsdale</t>
  </si>
  <si>
    <t>Westmorland and FurnessKirkby Stephen</t>
  </si>
  <si>
    <t>E0902P074</t>
  </si>
  <si>
    <t>Kirkby Stephen</t>
  </si>
  <si>
    <t>Westmorland and FurnessKirkby Thore</t>
  </si>
  <si>
    <t>E0902P075</t>
  </si>
  <si>
    <t>Kirkby Thore</t>
  </si>
  <si>
    <t>Westmorland and FurnessKirkoswald</t>
  </si>
  <si>
    <t>E0902P076</t>
  </si>
  <si>
    <t>Kirkoswald</t>
  </si>
  <si>
    <t>Westmorland and FurnessLakes</t>
  </si>
  <si>
    <t>E0902P077</t>
  </si>
  <si>
    <t>Lakes</t>
  </si>
  <si>
    <t>Westmorland and FurnessLambrigg</t>
  </si>
  <si>
    <t>E0902P078</t>
  </si>
  <si>
    <t>Lambrigg</t>
  </si>
  <si>
    <t>Westmorland and FurnessLangwathby</t>
  </si>
  <si>
    <t>E0902P079</t>
  </si>
  <si>
    <t>Langwathby</t>
  </si>
  <si>
    <t>Westmorland and FurnessLazonby</t>
  </si>
  <si>
    <t>E0902P080</t>
  </si>
  <si>
    <t>Lazonby</t>
  </si>
  <si>
    <t>Westmorland and FurnessLevens</t>
  </si>
  <si>
    <t>E0902P081</t>
  </si>
  <si>
    <t>Levens</t>
  </si>
  <si>
    <t>Westmorland and FurnessLindal and Marton</t>
  </si>
  <si>
    <t>E0902P082</t>
  </si>
  <si>
    <t>Lindal and Marton</t>
  </si>
  <si>
    <t>Westmorland and FurnessLindale and Newton in Cartmel</t>
  </si>
  <si>
    <t>E0902P083</t>
  </si>
  <si>
    <t>Lindale and Newton in Cartmel</t>
  </si>
  <si>
    <t>Westmorland and FurnessLittle Strickland</t>
  </si>
  <si>
    <t>E0902P084</t>
  </si>
  <si>
    <t>Little Strickland</t>
  </si>
  <si>
    <t>Westmorland and FurnessLong Marton</t>
  </si>
  <si>
    <t>E0902P085</t>
  </si>
  <si>
    <t>Long Marton</t>
  </si>
  <si>
    <t>Westmorland and FurnessLongsleddale</t>
  </si>
  <si>
    <t>E0902P086</t>
  </si>
  <si>
    <t>Longsleddale</t>
  </si>
  <si>
    <t>Westmorland and FurnessLower Holker</t>
  </si>
  <si>
    <t>E0902P087</t>
  </si>
  <si>
    <t>Lower Holker</t>
  </si>
  <si>
    <t>Westmorland and FurnessLowick</t>
  </si>
  <si>
    <t>E0902P088</t>
  </si>
  <si>
    <t>Lowick</t>
  </si>
  <si>
    <t>Westmorland and FurnessLowther</t>
  </si>
  <si>
    <t>E0902P089</t>
  </si>
  <si>
    <t>Lowther</t>
  </si>
  <si>
    <t>Westmorland and FurnessLupton</t>
  </si>
  <si>
    <t>E0902P090</t>
  </si>
  <si>
    <t>Lupton</t>
  </si>
  <si>
    <t>Westmorland and FurnessMallerstang</t>
  </si>
  <si>
    <t>E0902P091</t>
  </si>
  <si>
    <t>Mallerstang</t>
  </si>
  <si>
    <t>Westmorland and FurnessMansergh</t>
  </si>
  <si>
    <t>E0902P092</t>
  </si>
  <si>
    <t>Mansergh</t>
  </si>
  <si>
    <t>Westmorland and FurnessMartindale</t>
  </si>
  <si>
    <t>E0902P094</t>
  </si>
  <si>
    <t>Martindale</t>
  </si>
  <si>
    <t>Westmorland and FurnessMatterdale</t>
  </si>
  <si>
    <t>E0902P095</t>
  </si>
  <si>
    <t>Matterdale</t>
  </si>
  <si>
    <t>Westmorland and FurnessMelmerby</t>
  </si>
  <si>
    <t>E0902P096</t>
  </si>
  <si>
    <t>Melmerby</t>
  </si>
  <si>
    <t>Westmorland and FurnessMiddleton</t>
  </si>
  <si>
    <t>E0902P097</t>
  </si>
  <si>
    <t>Middleton</t>
  </si>
  <si>
    <t>Westmorland and FurnessMilburn</t>
  </si>
  <si>
    <t>E0902P098</t>
  </si>
  <si>
    <t>Milburn</t>
  </si>
  <si>
    <t>Westmorland and FurnessMilnthorpe</t>
  </si>
  <si>
    <t>E0902P099</t>
  </si>
  <si>
    <t>Milnthorpe</t>
  </si>
  <si>
    <t>Westmorland and FurnessMorland</t>
  </si>
  <si>
    <t>E0902P100</t>
  </si>
  <si>
    <t>Morland</t>
  </si>
  <si>
    <t>Westmorland and FurnessMungrisdale</t>
  </si>
  <si>
    <t>E0902P101</t>
  </si>
  <si>
    <t>Mungrisdale</t>
  </si>
  <si>
    <t>Westmorland and FurnessMurton</t>
  </si>
  <si>
    <t>E0902P102</t>
  </si>
  <si>
    <t>Murton</t>
  </si>
  <si>
    <t>Westmorland and FurnessMusgrave</t>
  </si>
  <si>
    <t>E0902P103</t>
  </si>
  <si>
    <t>Musgrave</t>
  </si>
  <si>
    <t>Westmorland and FurnessNateby</t>
  </si>
  <si>
    <t>E0902P104</t>
  </si>
  <si>
    <t>Nateby</t>
  </si>
  <si>
    <t>Westmorland and FurnessNatland</t>
  </si>
  <si>
    <t>E0902P105</t>
  </si>
  <si>
    <t>Natland</t>
  </si>
  <si>
    <t>Westmorland and FurnessNew Hutton</t>
  </si>
  <si>
    <t>E0902P107</t>
  </si>
  <si>
    <t>New Hutton</t>
  </si>
  <si>
    <t>Westmorland and FurnessNewbiggin</t>
  </si>
  <si>
    <t>E0902P108</t>
  </si>
  <si>
    <t>Newbiggin</t>
  </si>
  <si>
    <t>Westmorland and FurnessNewby</t>
  </si>
  <si>
    <t>E0902P109</t>
  </si>
  <si>
    <t>Newby</t>
  </si>
  <si>
    <t>Westmorland and FurnessOld Hutton and Holmescales</t>
  </si>
  <si>
    <t>E0902P110</t>
  </si>
  <si>
    <t>Old Hutton and Holmescales</t>
  </si>
  <si>
    <t>Westmorland and FurnessOrton</t>
  </si>
  <si>
    <t>E0902P111</t>
  </si>
  <si>
    <t>Westmorland and FurnessOusby</t>
  </si>
  <si>
    <t>E0902P113</t>
  </si>
  <si>
    <t>Ousby</t>
  </si>
  <si>
    <t>Westmorland and FurnessPatterdale</t>
  </si>
  <si>
    <t>E0902P115</t>
  </si>
  <si>
    <t>Patterdale</t>
  </si>
  <si>
    <t>Westmorland and FurnessPennington</t>
  </si>
  <si>
    <t>E0902P116</t>
  </si>
  <si>
    <t>Pennington</t>
  </si>
  <si>
    <t>Westmorland and FurnessPenrith</t>
  </si>
  <si>
    <t>E0902P117</t>
  </si>
  <si>
    <t>Penrith</t>
  </si>
  <si>
    <t>Westmorland and FurnessPreston Patrick</t>
  </si>
  <si>
    <t>E0902P118</t>
  </si>
  <si>
    <t>Preston Patrick</t>
  </si>
  <si>
    <t>Westmorland and FurnessPreston Richard</t>
  </si>
  <si>
    <t>E0902P119</t>
  </si>
  <si>
    <t>Preston Richard</t>
  </si>
  <si>
    <t>Westmorland and FurnessRavenstonedale</t>
  </si>
  <si>
    <t>E0902P120</t>
  </si>
  <si>
    <t>Ravenstonedale</t>
  </si>
  <si>
    <t>Westmorland and FurnessSatterthwaite</t>
  </si>
  <si>
    <t>E0902P121</t>
  </si>
  <si>
    <t>Satterthwaite</t>
  </si>
  <si>
    <t>Westmorland and FurnessSedbergh</t>
  </si>
  <si>
    <t>E0902P122</t>
  </si>
  <si>
    <t>Sedbergh</t>
  </si>
  <si>
    <t>Westmorland and FurnessSedgwick</t>
  </si>
  <si>
    <t>E0902P123</t>
  </si>
  <si>
    <t>Sedgwick</t>
  </si>
  <si>
    <t>Westmorland and FurnessShap</t>
  </si>
  <si>
    <t>E0902P124</t>
  </si>
  <si>
    <t>Shap</t>
  </si>
  <si>
    <t>Westmorland and FurnessSkelsmergh &amp; Scalthwaiterigg</t>
  </si>
  <si>
    <t>E0902P125</t>
  </si>
  <si>
    <t>Skelsmergh &amp; Scalthwaiterigg</t>
  </si>
  <si>
    <t>Westmorland and FurnessSkelton</t>
  </si>
  <si>
    <t>E0902P126</t>
  </si>
  <si>
    <t>Skelton</t>
  </si>
  <si>
    <t>Westmorland and FurnessSkelwith</t>
  </si>
  <si>
    <t>E0902P127</t>
  </si>
  <si>
    <t>Skelwith</t>
  </si>
  <si>
    <t>Westmorland and FurnessSleagill</t>
  </si>
  <si>
    <t>E0902P128</t>
  </si>
  <si>
    <t>Sleagill</t>
  </si>
  <si>
    <t>Westmorland and FurnessSockbridge and Tirril</t>
  </si>
  <si>
    <t>E0902P129</t>
  </si>
  <si>
    <t>Sockbridge and Tirril</t>
  </si>
  <si>
    <t>Westmorland and FurnessSoulby</t>
  </si>
  <si>
    <t>E0902P130</t>
  </si>
  <si>
    <t>Soulby</t>
  </si>
  <si>
    <t>Westmorland and FurnessStainmore</t>
  </si>
  <si>
    <t>E0902P131</t>
  </si>
  <si>
    <t>Stainmore</t>
  </si>
  <si>
    <t>Westmorland and FurnessStainton</t>
  </si>
  <si>
    <t>E0902P132</t>
  </si>
  <si>
    <t>Stainton</t>
  </si>
  <si>
    <t>Westmorland and FurnessStaveley in Cartmel</t>
  </si>
  <si>
    <t>E0902P133</t>
  </si>
  <si>
    <t>Staveley in Cartmel</t>
  </si>
  <si>
    <t>Westmorland and FurnessTebay</t>
  </si>
  <si>
    <t>E0902P136</t>
  </si>
  <si>
    <t>Tebay</t>
  </si>
  <si>
    <t>Westmorland and FurnessTemple Sowerby</t>
  </si>
  <si>
    <t>E0902P137</t>
  </si>
  <si>
    <t>Temple Sowerby</t>
  </si>
  <si>
    <t>Westmorland and FurnessThrelkeld</t>
  </si>
  <si>
    <t>E0902P138</t>
  </si>
  <si>
    <t>Threlkeld</t>
  </si>
  <si>
    <t>Westmorland and FurnessTorver</t>
  </si>
  <si>
    <t>E0902P139</t>
  </si>
  <si>
    <t>Torver</t>
  </si>
  <si>
    <t>Westmorland and FurnessUlverston</t>
  </si>
  <si>
    <t>E0902P140</t>
  </si>
  <si>
    <t>Ulverston</t>
  </si>
  <si>
    <t>Westmorland and FurnessUnderbarrow and Bradleyfield</t>
  </si>
  <si>
    <t>E0902P141</t>
  </si>
  <si>
    <t>Underbarrow and Bradleyfield</t>
  </si>
  <si>
    <t>Westmorland and FurnessUrswick Bardsea and Stainton</t>
  </si>
  <si>
    <t>E0902P142</t>
  </si>
  <si>
    <t>Urswick Bardsea and Stainton</t>
  </si>
  <si>
    <t>Westmorland and FurnessWaitby</t>
  </si>
  <si>
    <t>E0902P143</t>
  </si>
  <si>
    <t>Waitby</t>
  </si>
  <si>
    <t>Westmorland and FurnessWarcop</t>
  </si>
  <si>
    <t>E0902P144</t>
  </si>
  <si>
    <t>Warcop</t>
  </si>
  <si>
    <t>Westmorland and FurnessWharton</t>
  </si>
  <si>
    <t>E0902P145</t>
  </si>
  <si>
    <t>Wharton</t>
  </si>
  <si>
    <t>Westmorland and FurnessWhinfell</t>
  </si>
  <si>
    <t>E0902P146</t>
  </si>
  <si>
    <t>Whinfell</t>
  </si>
  <si>
    <t>Westmorland and FurnessWhitwell and Selside</t>
  </si>
  <si>
    <t>E0902P147</t>
  </si>
  <si>
    <t>Whitwell and Selside</t>
  </si>
  <si>
    <t>Westmorland and FurnessWindermere and Bowness</t>
  </si>
  <si>
    <t>E0902P148</t>
  </si>
  <si>
    <t>Windermere and Bowness</t>
  </si>
  <si>
    <t>Westmorland and FurnessWinton</t>
  </si>
  <si>
    <t>E0902P149</t>
  </si>
  <si>
    <t>Winton</t>
  </si>
  <si>
    <t>Westmorland and FurnessWitherslack Meathop and Ulpha</t>
  </si>
  <si>
    <t>E0902P150</t>
  </si>
  <si>
    <t>Witherslack Meathop and Ulpha</t>
  </si>
  <si>
    <t>Westmorland and FurnessYanwath and Eamont Bridge</t>
  </si>
  <si>
    <t>E0902P151</t>
  </si>
  <si>
    <t>Yanwath and Eamont Bridge</t>
  </si>
  <si>
    <t>Westmorland and FurnessBarrow</t>
  </si>
  <si>
    <t>E0902P152</t>
  </si>
  <si>
    <t>Westmorland and FurnessBurneside</t>
  </si>
  <si>
    <t>E0902P153</t>
  </si>
  <si>
    <t>Burneside</t>
  </si>
  <si>
    <t>Westmorland and FurnessDuddon</t>
  </si>
  <si>
    <t>E0902P154</t>
  </si>
  <si>
    <t>Westmorland and FurnessStaveley with Ings</t>
  </si>
  <si>
    <t>E0902P155</t>
  </si>
  <si>
    <t>Staveley with Ings</t>
  </si>
  <si>
    <t>Amber ValleyAldercar &amp; Langley Mill</t>
  </si>
  <si>
    <t>E1031P001</t>
  </si>
  <si>
    <t>Aldercar &amp; Langley Mill</t>
  </si>
  <si>
    <t>Amber ValleyAlderwasley</t>
  </si>
  <si>
    <t>E1031P002</t>
  </si>
  <si>
    <t>Alderwasley</t>
  </si>
  <si>
    <t>Amber ValleyAlfreton</t>
  </si>
  <si>
    <t>E1031P003</t>
  </si>
  <si>
    <t>Alfreton</t>
  </si>
  <si>
    <t>Amber ValleyBelper</t>
  </si>
  <si>
    <t>E1031P005</t>
  </si>
  <si>
    <t>Belper</t>
  </si>
  <si>
    <t>Amber ValleyCodnor</t>
  </si>
  <si>
    <t>E1031P006</t>
  </si>
  <si>
    <t>Codnor</t>
  </si>
  <si>
    <t>Amber ValleyCrich</t>
  </si>
  <si>
    <t>E1031P007</t>
  </si>
  <si>
    <t>Crich</t>
  </si>
  <si>
    <t>Amber ValleyDenby</t>
  </si>
  <si>
    <t>E1031P008</t>
  </si>
  <si>
    <t>Denby</t>
  </si>
  <si>
    <t>Amber ValleyDethick Lea and Holloway</t>
  </si>
  <si>
    <t>E1031P009</t>
  </si>
  <si>
    <t>Dethick Lea and Holloway</t>
  </si>
  <si>
    <t>Amber ValleyDuffield</t>
  </si>
  <si>
    <t>E1031P010</t>
  </si>
  <si>
    <t>Duffield</t>
  </si>
  <si>
    <t>Amber ValleyHazelwood</t>
  </si>
  <si>
    <t>E1031P011</t>
  </si>
  <si>
    <t>Hazelwood</t>
  </si>
  <si>
    <t>Amber ValleyHeanor and Loscoe</t>
  </si>
  <si>
    <t>E1031P012</t>
  </si>
  <si>
    <t>Heanor and Loscoe</t>
  </si>
  <si>
    <t>Amber ValleyHolbrook</t>
  </si>
  <si>
    <t>E1031P013</t>
  </si>
  <si>
    <t>Holbrook</t>
  </si>
  <si>
    <t>Amber ValleyHorsley</t>
  </si>
  <si>
    <t>E1031P014</t>
  </si>
  <si>
    <t>Horsley</t>
  </si>
  <si>
    <t>Amber ValleyHorsley Woodhouse</t>
  </si>
  <si>
    <t>E1031P015</t>
  </si>
  <si>
    <t>Horsley Woodhouse</t>
  </si>
  <si>
    <t>Amber ValleyIdridgehay and Alton</t>
  </si>
  <si>
    <t>E1031P016</t>
  </si>
  <si>
    <t>Idridgehay and Alton</t>
  </si>
  <si>
    <t>Amber ValleyIronville</t>
  </si>
  <si>
    <t>E1031P017</t>
  </si>
  <si>
    <t>Ironville</t>
  </si>
  <si>
    <t>Amber ValleyKedleston</t>
  </si>
  <si>
    <t>E1031P018</t>
  </si>
  <si>
    <t>Kedleston</t>
  </si>
  <si>
    <t>Amber ValleyKilburn</t>
  </si>
  <si>
    <t>E1031P019</t>
  </si>
  <si>
    <t>Kilburn</t>
  </si>
  <si>
    <t>Amber ValleyKirk Langley</t>
  </si>
  <si>
    <t>E1031P020</t>
  </si>
  <si>
    <t>Kirk Langley</t>
  </si>
  <si>
    <t>Amber ValleyMackworth</t>
  </si>
  <si>
    <t>E1031P021</t>
  </si>
  <si>
    <t>Mackworth</t>
  </si>
  <si>
    <t>Amber ValleyMapperley</t>
  </si>
  <si>
    <t>E1031P022</t>
  </si>
  <si>
    <t>Mapperley</t>
  </si>
  <si>
    <t>Amber ValleyPentrich</t>
  </si>
  <si>
    <t>E1031P023</t>
  </si>
  <si>
    <t>Pentrich</t>
  </si>
  <si>
    <t>Amber ValleyQuarndon</t>
  </si>
  <si>
    <t>E1031P024</t>
  </si>
  <si>
    <t>Quarndon</t>
  </si>
  <si>
    <t>Amber ValleyRavensdale Park</t>
  </si>
  <si>
    <t>E1031P025</t>
  </si>
  <si>
    <t>Ravensdale Park</t>
  </si>
  <si>
    <t>Amber ValleyRipley</t>
  </si>
  <si>
    <t>E1031P026</t>
  </si>
  <si>
    <t>Ripley</t>
  </si>
  <si>
    <t>Amber ValleyShipley</t>
  </si>
  <si>
    <t>E1031P027</t>
  </si>
  <si>
    <t>Shipley</t>
  </si>
  <si>
    <t>Amber ValleyShottle and Postern</t>
  </si>
  <si>
    <t>E1031P028</t>
  </si>
  <si>
    <t>Shottle and Postern</t>
  </si>
  <si>
    <t>Amber ValleySmalley</t>
  </si>
  <si>
    <t>E1031P029</t>
  </si>
  <si>
    <t>Smalley</t>
  </si>
  <si>
    <t>Amber ValleySomercotes</t>
  </si>
  <si>
    <t>E1031P030</t>
  </si>
  <si>
    <t>Somercotes</t>
  </si>
  <si>
    <t>Amber ValleySouth Wingfield</t>
  </si>
  <si>
    <t>E1031P031</t>
  </si>
  <si>
    <t>South Wingfield</t>
  </si>
  <si>
    <t>Amber ValleySwanwick</t>
  </si>
  <si>
    <t>E1031P032</t>
  </si>
  <si>
    <t>Swanwick</t>
  </si>
  <si>
    <t>Amber ValleyTurnditch</t>
  </si>
  <si>
    <t>E1031P033</t>
  </si>
  <si>
    <t>Turnditch</t>
  </si>
  <si>
    <t>Amber ValleyWeston Underwood</t>
  </si>
  <si>
    <t>E1031P034</t>
  </si>
  <si>
    <t>Amber ValleyRiddings</t>
  </si>
  <si>
    <t>E1031P036</t>
  </si>
  <si>
    <t>Riddings</t>
  </si>
  <si>
    <t>BolsoverAult Hucknall</t>
  </si>
  <si>
    <t>E1032P001</t>
  </si>
  <si>
    <t>Ault Hucknall</t>
  </si>
  <si>
    <t>BolsoverBarlborough</t>
  </si>
  <si>
    <t>E1032P002</t>
  </si>
  <si>
    <t>Barlborough</t>
  </si>
  <si>
    <t>BolsoverBlackwell</t>
  </si>
  <si>
    <t>E1032P003</t>
  </si>
  <si>
    <t>Blackwell</t>
  </si>
  <si>
    <t>BolsoverClowne</t>
  </si>
  <si>
    <t>E1032P004</t>
  </si>
  <si>
    <t>Clowne</t>
  </si>
  <si>
    <t>BolsoverElmton</t>
  </si>
  <si>
    <t>E1032P005</t>
  </si>
  <si>
    <t>Elmton</t>
  </si>
  <si>
    <t>BolsoverGlapwell</t>
  </si>
  <si>
    <t>E1032P006</t>
  </si>
  <si>
    <t>Glapwell</t>
  </si>
  <si>
    <t>BolsoverHodthorpe and Belph</t>
  </si>
  <si>
    <t>E1032P007</t>
  </si>
  <si>
    <t>Hodthorpe and Belph</t>
  </si>
  <si>
    <t>BolsoverOld Bolsover</t>
  </si>
  <si>
    <t>E1032P008</t>
  </si>
  <si>
    <t>Old Bolsover</t>
  </si>
  <si>
    <t>BolsoverPinxton</t>
  </si>
  <si>
    <t>E1032P009</t>
  </si>
  <si>
    <t>Pinxton</t>
  </si>
  <si>
    <t>BolsoverPleasley</t>
  </si>
  <si>
    <t>E1032P010</t>
  </si>
  <si>
    <t>Pleasley</t>
  </si>
  <si>
    <t>BolsoverScarcliffe</t>
  </si>
  <si>
    <t>E1032P011</t>
  </si>
  <si>
    <t>Scarcliffe</t>
  </si>
  <si>
    <t>BolsoverShirebrook</t>
  </si>
  <si>
    <t>E1032P012</t>
  </si>
  <si>
    <t>Shirebrook</t>
  </si>
  <si>
    <t>BolsoverSouth Normanton</t>
  </si>
  <si>
    <t>E1032P013</t>
  </si>
  <si>
    <t>South Normanton</t>
  </si>
  <si>
    <t>BolsoverTibshelf</t>
  </si>
  <si>
    <t>E1032P014</t>
  </si>
  <si>
    <t>Tibshelf</t>
  </si>
  <si>
    <t>BolsoverWhitwell</t>
  </si>
  <si>
    <t>E1032P015</t>
  </si>
  <si>
    <t>Whitwell</t>
  </si>
  <si>
    <t>BolsoverLangwith</t>
  </si>
  <si>
    <t>E1032P016</t>
  </si>
  <si>
    <t>Langwith</t>
  </si>
  <si>
    <t>ChesterfieldBrimington</t>
  </si>
  <si>
    <t>E1033P001</t>
  </si>
  <si>
    <t>Brimington</t>
  </si>
  <si>
    <t>ChesterfieldStaveley</t>
  </si>
  <si>
    <t>E1033P002</t>
  </si>
  <si>
    <t>Staveley</t>
  </si>
  <si>
    <t>Derbyshire DalesAbney and Abney Grange</t>
  </si>
  <si>
    <t>E1035P001</t>
  </si>
  <si>
    <t>Abney and Abney Grange</t>
  </si>
  <si>
    <t>Derbyshire DalesAldwark</t>
  </si>
  <si>
    <t>E1035P002</t>
  </si>
  <si>
    <t>Aldwark</t>
  </si>
  <si>
    <t>Derbyshire DalesAlkmonton and Hungry Bentley</t>
  </si>
  <si>
    <t>E1035P003</t>
  </si>
  <si>
    <t>Alkmonton and Hungry Bentley</t>
  </si>
  <si>
    <t>Derbyshire DalesAshbourne</t>
  </si>
  <si>
    <t>E1035P004</t>
  </si>
  <si>
    <t>Ashbourne</t>
  </si>
  <si>
    <t>Derbyshire DalesAshford in the Water</t>
  </si>
  <si>
    <t>E1035P005</t>
  </si>
  <si>
    <t>Ashford in the Water</t>
  </si>
  <si>
    <t>Derbyshire DalesAtlow</t>
  </si>
  <si>
    <t>E1035P006</t>
  </si>
  <si>
    <t>Atlow</t>
  </si>
  <si>
    <t>Derbyshire DalesBakewell</t>
  </si>
  <si>
    <t>E1035P007</t>
  </si>
  <si>
    <t>Bakewell</t>
  </si>
  <si>
    <t>Derbyshire DalesBallidon and Bradbourne</t>
  </si>
  <si>
    <t>E1035P008</t>
  </si>
  <si>
    <t>Ballidon and Bradbourne</t>
  </si>
  <si>
    <t>Derbyshire DalesBaslow and Bubnell</t>
  </si>
  <si>
    <t>E1035P009</t>
  </si>
  <si>
    <t>Baslow and Bubnell</t>
  </si>
  <si>
    <t>Derbyshire DalesBeeley</t>
  </si>
  <si>
    <t>E1035P010</t>
  </si>
  <si>
    <t>Beeley</t>
  </si>
  <si>
    <t>Derbyshire DalesBiggin by Hulland</t>
  </si>
  <si>
    <t>E1035P011</t>
  </si>
  <si>
    <t>Biggin by Hulland</t>
  </si>
  <si>
    <t>Derbyshire DalesBirchover</t>
  </si>
  <si>
    <t>E1035P012</t>
  </si>
  <si>
    <t>Birchover</t>
  </si>
  <si>
    <t>Derbyshire DalesBlackwell in the Peak</t>
  </si>
  <si>
    <t>E1035P013</t>
  </si>
  <si>
    <t>Blackwell in the Peak</t>
  </si>
  <si>
    <t>Derbyshire DalesBonsall</t>
  </si>
  <si>
    <t>E1035P014</t>
  </si>
  <si>
    <t>Bonsall</t>
  </si>
  <si>
    <t>Derbyshire DalesBoylestone</t>
  </si>
  <si>
    <t>E1035P015</t>
  </si>
  <si>
    <t>Boylestone</t>
  </si>
  <si>
    <t>Derbyshire DalesBradley</t>
  </si>
  <si>
    <t>E1035P017</t>
  </si>
  <si>
    <t>Bradley</t>
  </si>
  <si>
    <t>Derbyshire DalesBradwell</t>
  </si>
  <si>
    <t>E1035P018</t>
  </si>
  <si>
    <t>Derbyshire DalesBrailsford</t>
  </si>
  <si>
    <t>E1035P019</t>
  </si>
  <si>
    <t>Brailsford</t>
  </si>
  <si>
    <t>Derbyshire DalesBrassington</t>
  </si>
  <si>
    <t>E1035P020</t>
  </si>
  <si>
    <t>Brassington</t>
  </si>
  <si>
    <t>Derbyshire DalesBrushfield</t>
  </si>
  <si>
    <t>E1035P021</t>
  </si>
  <si>
    <t>Brushfield</t>
  </si>
  <si>
    <t>Derbyshire DalesCallow</t>
  </si>
  <si>
    <t>E1035P022</t>
  </si>
  <si>
    <t>Callow</t>
  </si>
  <si>
    <t>Derbyshire DalesCalver</t>
  </si>
  <si>
    <t>E1035P023</t>
  </si>
  <si>
    <t>Calver</t>
  </si>
  <si>
    <t>Derbyshire DalesCarsington and Hopton</t>
  </si>
  <si>
    <t>E1035P024</t>
  </si>
  <si>
    <t>Carsington and Hopton</t>
  </si>
  <si>
    <t>Derbyshire DalesChatsworth</t>
  </si>
  <si>
    <t>E1035P025</t>
  </si>
  <si>
    <t>Chatsworth</t>
  </si>
  <si>
    <t>Derbyshire DalesChelmorton</t>
  </si>
  <si>
    <t>E1035P026</t>
  </si>
  <si>
    <t>Chelmorton</t>
  </si>
  <si>
    <t>Derbyshire DalesClifton</t>
  </si>
  <si>
    <t>E1035P027</t>
  </si>
  <si>
    <t>Derbyshire DalesCromford</t>
  </si>
  <si>
    <t>E1035P028</t>
  </si>
  <si>
    <t>Cromford</t>
  </si>
  <si>
    <t>Derbyshire DalesCubley</t>
  </si>
  <si>
    <t>E1035P029</t>
  </si>
  <si>
    <t>Cubley</t>
  </si>
  <si>
    <t>Derbyshire DalesCurbar</t>
  </si>
  <si>
    <t>E1035P030</t>
  </si>
  <si>
    <t>Curbar</t>
  </si>
  <si>
    <t>Derbyshire DalesDarley Dale</t>
  </si>
  <si>
    <t>E1035P031</t>
  </si>
  <si>
    <t>Darley Dale</t>
  </si>
  <si>
    <t>Derbyshire DalesDoveridge</t>
  </si>
  <si>
    <t>E1035P032</t>
  </si>
  <si>
    <t>Doveridge</t>
  </si>
  <si>
    <t>Derbyshire DalesEaton Alsop and Newton Grange</t>
  </si>
  <si>
    <t>E1035P033</t>
  </si>
  <si>
    <t>Eaton Alsop and Newton Grange</t>
  </si>
  <si>
    <t>Derbyshire DalesEdensor</t>
  </si>
  <si>
    <t>E1035P034</t>
  </si>
  <si>
    <t>Edensor</t>
  </si>
  <si>
    <t>Derbyshire DalesEdlaston and Wyaston</t>
  </si>
  <si>
    <t>E1035P035</t>
  </si>
  <si>
    <t>Edlaston and Wyaston</t>
  </si>
  <si>
    <t>Derbyshire DalesElton</t>
  </si>
  <si>
    <t>E1035P036</t>
  </si>
  <si>
    <t>Derbyshire DalesEyam</t>
  </si>
  <si>
    <t>E1035P037</t>
  </si>
  <si>
    <t>Eyam</t>
  </si>
  <si>
    <t>Derbyshire DalesFenny Bentley</t>
  </si>
  <si>
    <t>E1035P038</t>
  </si>
  <si>
    <t>Fenny Bentley</t>
  </si>
  <si>
    <t>Derbyshire DalesFlagg</t>
  </si>
  <si>
    <t>E1035P039</t>
  </si>
  <si>
    <t>Flagg</t>
  </si>
  <si>
    <t>Derbyshire DalesFoolow</t>
  </si>
  <si>
    <t>E1035P040</t>
  </si>
  <si>
    <t>Foolow</t>
  </si>
  <si>
    <t>Derbyshire DalesFroggatt</t>
  </si>
  <si>
    <t>E1035P041</t>
  </si>
  <si>
    <t>Froggatt</t>
  </si>
  <si>
    <t>Derbyshire DalesGratton</t>
  </si>
  <si>
    <t>E1035P042</t>
  </si>
  <si>
    <t>Gratton</t>
  </si>
  <si>
    <t>Derbyshire DalesHucklowGt and Lt and Grindlow</t>
  </si>
  <si>
    <t>E1035P043</t>
  </si>
  <si>
    <t>HucklowGt and Lt and Grindlow</t>
  </si>
  <si>
    <t>Derbyshire DalesGreat Longstone</t>
  </si>
  <si>
    <t>E1035P044</t>
  </si>
  <si>
    <t>Great Longstone</t>
  </si>
  <si>
    <t>Derbyshire DalesGrindleford</t>
  </si>
  <si>
    <t>E1035P045</t>
  </si>
  <si>
    <t>Grindleford</t>
  </si>
  <si>
    <t>Derbyshire DalesHarthill</t>
  </si>
  <si>
    <t>E1035P047</t>
  </si>
  <si>
    <t>Harthill</t>
  </si>
  <si>
    <t>Derbyshire DalesHartington Middle Quarter</t>
  </si>
  <si>
    <t>E1035P048</t>
  </si>
  <si>
    <t>Hartington Middle Quarter</t>
  </si>
  <si>
    <t>Derbyshire DalesHartington Nether Quarter</t>
  </si>
  <si>
    <t>E1035P049</t>
  </si>
  <si>
    <t>Hartington Nether Quarter</t>
  </si>
  <si>
    <t>Derbyshire DalesHartington Town Quarter</t>
  </si>
  <si>
    <t>E1035P050</t>
  </si>
  <si>
    <t>Hartington Town Quarter</t>
  </si>
  <si>
    <t>Derbyshire DalesHassop</t>
  </si>
  <si>
    <t>E1035P051</t>
  </si>
  <si>
    <t>Hassop</t>
  </si>
  <si>
    <t>Derbyshire DalesHazlebadge</t>
  </si>
  <si>
    <t>E1035P053</t>
  </si>
  <si>
    <t>Hazlebadge</t>
  </si>
  <si>
    <t>Derbyshire DalesHighlow</t>
  </si>
  <si>
    <t>E1035P054</t>
  </si>
  <si>
    <t>Highlow</t>
  </si>
  <si>
    <t>Derbyshire DalesHognaston</t>
  </si>
  <si>
    <t>E1035P055</t>
  </si>
  <si>
    <t>Hognaston</t>
  </si>
  <si>
    <t>Derbyshire DalesHollington</t>
  </si>
  <si>
    <t>E1035P056</t>
  </si>
  <si>
    <t>Hollington</t>
  </si>
  <si>
    <t>Derbyshire DalesHulland</t>
  </si>
  <si>
    <t>E1035P058</t>
  </si>
  <si>
    <t>Hulland</t>
  </si>
  <si>
    <t>Derbyshire DalesHulland Ward</t>
  </si>
  <si>
    <t>E1035P059</t>
  </si>
  <si>
    <t>Hulland Ward</t>
  </si>
  <si>
    <t>Derbyshire DalesIble</t>
  </si>
  <si>
    <t>E1035P061</t>
  </si>
  <si>
    <t>Ible</t>
  </si>
  <si>
    <t>Derbyshire DalesIvonbrook Grange</t>
  </si>
  <si>
    <t>E1035P062</t>
  </si>
  <si>
    <t>Ivonbrook Grange</t>
  </si>
  <si>
    <t>Derbyshire DalesKirk Ireton</t>
  </si>
  <si>
    <t>E1035P063</t>
  </si>
  <si>
    <t>Kirk Ireton</t>
  </si>
  <si>
    <t>Derbyshire DalesKniveton</t>
  </si>
  <si>
    <t>E1035P064</t>
  </si>
  <si>
    <t>Kniveton</t>
  </si>
  <si>
    <t>Derbyshire DalesLittle Longstone</t>
  </si>
  <si>
    <t>E1035P066</t>
  </si>
  <si>
    <t>Little Longstone</t>
  </si>
  <si>
    <t>Derbyshire DalesLitton</t>
  </si>
  <si>
    <t>E1035P067</t>
  </si>
  <si>
    <t>Litton</t>
  </si>
  <si>
    <t>Derbyshire DalesLongford</t>
  </si>
  <si>
    <t>E1035P068</t>
  </si>
  <si>
    <t>Longford</t>
  </si>
  <si>
    <t>Derbyshire DalesMapleton</t>
  </si>
  <si>
    <t>E1035P069</t>
  </si>
  <si>
    <t>Mapleton</t>
  </si>
  <si>
    <t>Derbyshire DalesMarston Montgomery</t>
  </si>
  <si>
    <t>E1035P070</t>
  </si>
  <si>
    <t>Marston Montgomery</t>
  </si>
  <si>
    <t>Derbyshire DalesMatlock</t>
  </si>
  <si>
    <t>E1035P071</t>
  </si>
  <si>
    <t>Matlock</t>
  </si>
  <si>
    <t>Derbyshire DalesMatlock Bath</t>
  </si>
  <si>
    <t>E1035P072</t>
  </si>
  <si>
    <t>Matlock Bath</t>
  </si>
  <si>
    <t>Derbyshire DalesMercaston</t>
  </si>
  <si>
    <t>E1035P073</t>
  </si>
  <si>
    <t>Mercaston</t>
  </si>
  <si>
    <t>Derbyshire DalesMiddleton by Wirksworth</t>
  </si>
  <si>
    <t>E1035P074</t>
  </si>
  <si>
    <t>Middleton by Wirksworth</t>
  </si>
  <si>
    <t>Derbyshire DalesMiddleton and Smerrill</t>
  </si>
  <si>
    <t>E1035P075</t>
  </si>
  <si>
    <t>Middleton and Smerrill</t>
  </si>
  <si>
    <t>Derbyshire DalesMonyash</t>
  </si>
  <si>
    <t>E1035P076</t>
  </si>
  <si>
    <t>Monyash</t>
  </si>
  <si>
    <t>Derbyshire DalesNether Haddon</t>
  </si>
  <si>
    <t>E1035P077</t>
  </si>
  <si>
    <t>Nether Haddon</t>
  </si>
  <si>
    <t>Derbyshire DalesNorbury and Roston</t>
  </si>
  <si>
    <t>E1035P079</t>
  </si>
  <si>
    <t>Norbury and Roston</t>
  </si>
  <si>
    <t>Derbyshire DalesNorthwood and Tinkersley</t>
  </si>
  <si>
    <t>E1035P080</t>
  </si>
  <si>
    <t>Northwood and Tinkersley</t>
  </si>
  <si>
    <t>Derbyshire DalesOffcote and Underwood</t>
  </si>
  <si>
    <t>E1035P081</t>
  </si>
  <si>
    <t>Offcote and Underwood</t>
  </si>
  <si>
    <t>Derbyshire DalesOfferton</t>
  </si>
  <si>
    <t>E1035P082</t>
  </si>
  <si>
    <t>Offerton</t>
  </si>
  <si>
    <t>Derbyshire DalesOsmaston and Yeldersley</t>
  </si>
  <si>
    <t>E1035P083</t>
  </si>
  <si>
    <t>Osmaston and Yeldersley</t>
  </si>
  <si>
    <t>Derbyshire DalesOver Haddon</t>
  </si>
  <si>
    <t>E1035P085</t>
  </si>
  <si>
    <t>Over Haddon</t>
  </si>
  <si>
    <t>Derbyshire DalesParwich</t>
  </si>
  <si>
    <t>E1035P086</t>
  </si>
  <si>
    <t>Parwich</t>
  </si>
  <si>
    <t>Derbyshire DalesPilsley</t>
  </si>
  <si>
    <t>E1035P087</t>
  </si>
  <si>
    <t>Pilsley</t>
  </si>
  <si>
    <t>Derbyshire DalesRodsley and Yeaveley</t>
  </si>
  <si>
    <t>E1035P088</t>
  </si>
  <si>
    <t>Rodsley and Yeaveley</t>
  </si>
  <si>
    <t>Derbyshire DalesRowland</t>
  </si>
  <si>
    <t>E1035P089</t>
  </si>
  <si>
    <t>Rowland</t>
  </si>
  <si>
    <t>Derbyshire DalesRowsley</t>
  </si>
  <si>
    <t>E1035P090</t>
  </si>
  <si>
    <t>Rowsley</t>
  </si>
  <si>
    <t>Derbyshire DalesSheldon</t>
  </si>
  <si>
    <t>E1035P091</t>
  </si>
  <si>
    <t>Sheldon</t>
  </si>
  <si>
    <t>Derbyshire DalesShirley</t>
  </si>
  <si>
    <t>E1035P092</t>
  </si>
  <si>
    <t>Shirley</t>
  </si>
  <si>
    <t>Derbyshire DalesSnelston</t>
  </si>
  <si>
    <t>E1035P093</t>
  </si>
  <si>
    <t>Snelston</t>
  </si>
  <si>
    <t>Derbyshire DalesSomersal Herbert</t>
  </si>
  <si>
    <t>E1035P094</t>
  </si>
  <si>
    <t>Somersal Herbert</t>
  </si>
  <si>
    <t>Derbyshire DalesSouth Darley</t>
  </si>
  <si>
    <t>E1035P095</t>
  </si>
  <si>
    <t>South Darley</t>
  </si>
  <si>
    <t>Derbyshire DalesStanton</t>
  </si>
  <si>
    <t>E1035P096</t>
  </si>
  <si>
    <t>Stanton</t>
  </si>
  <si>
    <t>Derbyshire DalesStoney Middleton</t>
  </si>
  <si>
    <t>E1035P097</t>
  </si>
  <si>
    <t>Stoney Middleton</t>
  </si>
  <si>
    <t>Derbyshire DalesSudbury</t>
  </si>
  <si>
    <t>E1035P098</t>
  </si>
  <si>
    <t>Sudbury</t>
  </si>
  <si>
    <t>Derbyshire DalesTaddington</t>
  </si>
  <si>
    <t>E1035P099</t>
  </si>
  <si>
    <t>Taddington</t>
  </si>
  <si>
    <t>Derbyshire DalesTansley</t>
  </si>
  <si>
    <t>E1035P100</t>
  </si>
  <si>
    <t>Tansley</t>
  </si>
  <si>
    <t>Derbyshire DalesThorpe</t>
  </si>
  <si>
    <t>E1035P101</t>
  </si>
  <si>
    <t>Thorpe</t>
  </si>
  <si>
    <t>Derbyshire DalesTideswell</t>
  </si>
  <si>
    <t>E1035P102</t>
  </si>
  <si>
    <t>Tideswell</t>
  </si>
  <si>
    <t>Derbyshire DalesTissington and Lea Hall</t>
  </si>
  <si>
    <t>E1035P103</t>
  </si>
  <si>
    <t>Tissington and Lea Hall</t>
  </si>
  <si>
    <t>Derbyshire DalesWardlow</t>
  </si>
  <si>
    <t>E1035P104</t>
  </si>
  <si>
    <t>Wardlow</t>
  </si>
  <si>
    <t>Derbyshire DalesWheston</t>
  </si>
  <si>
    <t>E1035P105</t>
  </si>
  <si>
    <t>Wheston</t>
  </si>
  <si>
    <t>Derbyshire DalesWinster</t>
  </si>
  <si>
    <t>E1035P106</t>
  </si>
  <si>
    <t>Winster</t>
  </si>
  <si>
    <t>Derbyshire DalesWirksworth</t>
  </si>
  <si>
    <t>E1035P107</t>
  </si>
  <si>
    <t>Wirksworth</t>
  </si>
  <si>
    <t>Derbyshire DalesYoulgrave</t>
  </si>
  <si>
    <t>E1035P110</t>
  </si>
  <si>
    <t>Youlgrave</t>
  </si>
  <si>
    <t>Derbyshire DalesHathersage &amp; Outseats</t>
  </si>
  <si>
    <t>E1035P111</t>
  </si>
  <si>
    <t>Hathersage &amp; Outseats</t>
  </si>
  <si>
    <t>ErewashBreadsall</t>
  </si>
  <si>
    <t>E1036P001</t>
  </si>
  <si>
    <t>Breadsall</t>
  </si>
  <si>
    <t>ErewashBreaston</t>
  </si>
  <si>
    <t>E1036P002</t>
  </si>
  <si>
    <t>Breaston</t>
  </si>
  <si>
    <t>ErewashDale Abbey</t>
  </si>
  <si>
    <t>E1036P003</t>
  </si>
  <si>
    <t>Dale Abbey</t>
  </si>
  <si>
    <t>ErewashDraycott and Church Wilne</t>
  </si>
  <si>
    <t>E1036P004</t>
  </si>
  <si>
    <t>Draycott and Church Wilne</t>
  </si>
  <si>
    <t>ErewashLittle Eaton</t>
  </si>
  <si>
    <t>E1036P006</t>
  </si>
  <si>
    <t>Little Eaton</t>
  </si>
  <si>
    <t>ErewashMorley</t>
  </si>
  <si>
    <t>E1036P007</t>
  </si>
  <si>
    <t>Morley</t>
  </si>
  <si>
    <t>ErewashOckbrook and Borrowash</t>
  </si>
  <si>
    <t>E1036P008</t>
  </si>
  <si>
    <t>Ockbrook and Borrowash</t>
  </si>
  <si>
    <t>ErewashSandiacre</t>
  </si>
  <si>
    <t>E1036P010</t>
  </si>
  <si>
    <t>Sandiacre</t>
  </si>
  <si>
    <t>ErewashSawley</t>
  </si>
  <si>
    <t>E1036P011</t>
  </si>
  <si>
    <t>Sawley</t>
  </si>
  <si>
    <t>ErewashStanley and Stanley Common</t>
  </si>
  <si>
    <t>E1036P012</t>
  </si>
  <si>
    <t>Stanley and Stanley Common</t>
  </si>
  <si>
    <t>ErewashStanton by Dale</t>
  </si>
  <si>
    <t>E1036P013</t>
  </si>
  <si>
    <t>Stanton by Dale</t>
  </si>
  <si>
    <t>ErewashWest Hallam</t>
  </si>
  <si>
    <t>E1036P014</t>
  </si>
  <si>
    <t>West Hallam</t>
  </si>
  <si>
    <t>ErewashRisley with Hopwell</t>
  </si>
  <si>
    <t>E1036P015</t>
  </si>
  <si>
    <t>Risley with Hopwell</t>
  </si>
  <si>
    <t>High PeakBamford with Thornhill</t>
  </si>
  <si>
    <t>E1037P002</t>
  </si>
  <si>
    <t>Bamford with Thornhill</t>
  </si>
  <si>
    <t>High PeakBrough and Shatton</t>
  </si>
  <si>
    <t>E1037P003</t>
  </si>
  <si>
    <t>Brough and Shatton</t>
  </si>
  <si>
    <t>High PeakCastleton</t>
  </si>
  <si>
    <t>E1037P004</t>
  </si>
  <si>
    <t>Castleton</t>
  </si>
  <si>
    <t>High PeakChapel en le Frith</t>
  </si>
  <si>
    <t>E1037P005</t>
  </si>
  <si>
    <t>Chapel en le Frith</t>
  </si>
  <si>
    <t>High PeakCharlesworth</t>
  </si>
  <si>
    <t>E1037P006</t>
  </si>
  <si>
    <t>Charlesworth</t>
  </si>
  <si>
    <t>High PeakChinley Buxworth and Brownside</t>
  </si>
  <si>
    <t>E1037P007</t>
  </si>
  <si>
    <t>Chinley Buxworth and Brownside</t>
  </si>
  <si>
    <t>High PeakChisworth</t>
  </si>
  <si>
    <t>E1037P008</t>
  </si>
  <si>
    <t>Chisworth</t>
  </si>
  <si>
    <t>High PeakDerwent &amp; Hope Woodlands</t>
  </si>
  <si>
    <t>E1037P009</t>
  </si>
  <si>
    <t>Derwent &amp; Hope Woodlands</t>
  </si>
  <si>
    <t>High PeakEdale</t>
  </si>
  <si>
    <t>E1037P010</t>
  </si>
  <si>
    <t>Edale</t>
  </si>
  <si>
    <t>High PeakHartington upper Quarter</t>
  </si>
  <si>
    <t>E1037P012</t>
  </si>
  <si>
    <t>Hartington upper Quarter</t>
  </si>
  <si>
    <t>High PeakHayfield</t>
  </si>
  <si>
    <t>E1037P013</t>
  </si>
  <si>
    <t>Hayfield</t>
  </si>
  <si>
    <t>High PeakHope with Aston</t>
  </si>
  <si>
    <t>E1037P015</t>
  </si>
  <si>
    <t>Hope with Aston</t>
  </si>
  <si>
    <t>High PeakKing Sterndale</t>
  </si>
  <si>
    <t>E1037P016</t>
  </si>
  <si>
    <t>King Sterndale</t>
  </si>
  <si>
    <t>High PeakNew Mills</t>
  </si>
  <si>
    <t>E1037P017</t>
  </si>
  <si>
    <t>New Mills</t>
  </si>
  <si>
    <t>High PeakPeak Forest</t>
  </si>
  <si>
    <t>E1037P018</t>
  </si>
  <si>
    <t>Peak Forest</t>
  </si>
  <si>
    <t>High PeakTintwistle</t>
  </si>
  <si>
    <t>E1037P020</t>
  </si>
  <si>
    <t>Tintwistle</t>
  </si>
  <si>
    <t>High PeakWhaley Bridge</t>
  </si>
  <si>
    <t>E1037P021</t>
  </si>
  <si>
    <t>Whaley Bridge</t>
  </si>
  <si>
    <t>High PeakWormhill and Green Fairfield</t>
  </si>
  <si>
    <t>E1037P022</t>
  </si>
  <si>
    <t>Wormhill and Green Fairfield</t>
  </si>
  <si>
    <t>High PeakBuxton Glossop &amp; Hadfield</t>
  </si>
  <si>
    <t>E1037P023</t>
  </si>
  <si>
    <t>Buxton Glossop &amp; Hadfield</t>
  </si>
  <si>
    <t>North East DerbyshireAshover</t>
  </si>
  <si>
    <t>E1038P001</t>
  </si>
  <si>
    <t>Ashover</t>
  </si>
  <si>
    <t>North East DerbyshireBarlow</t>
  </si>
  <si>
    <t>E1038P002</t>
  </si>
  <si>
    <t>Barlow</t>
  </si>
  <si>
    <t>North East DerbyshireBrackenfield</t>
  </si>
  <si>
    <t>E1038P003</t>
  </si>
  <si>
    <t>Brackenfield</t>
  </si>
  <si>
    <t>North East DerbyshireBrampton</t>
  </si>
  <si>
    <t>E1038P004</t>
  </si>
  <si>
    <t>North East DerbyshireCalow</t>
  </si>
  <si>
    <t>E1038P005</t>
  </si>
  <si>
    <t>Calow</t>
  </si>
  <si>
    <t>North East DerbyshireClay Cross</t>
  </si>
  <si>
    <t>E1038P006</t>
  </si>
  <si>
    <t>Clay Cross</t>
  </si>
  <si>
    <t>North East DerbyshireDronfield</t>
  </si>
  <si>
    <t>E1038P007</t>
  </si>
  <si>
    <t>Dronfield</t>
  </si>
  <si>
    <t>North East DerbyshireEckington</t>
  </si>
  <si>
    <t>E1038P008</t>
  </si>
  <si>
    <t>Eckington</t>
  </si>
  <si>
    <t>North East DerbyshireGrassmoor Hasland and Winswick</t>
  </si>
  <si>
    <t>E1038P009</t>
  </si>
  <si>
    <t>Grassmoor Hasland and Winswick</t>
  </si>
  <si>
    <t>North East DerbyshireHeath and Holmewood</t>
  </si>
  <si>
    <t>E1038P010</t>
  </si>
  <si>
    <t>Heath and Holmewood</t>
  </si>
  <si>
    <t>North East DerbyshireHolmesfield</t>
  </si>
  <si>
    <t>E1038P011</t>
  </si>
  <si>
    <t>Holmesfield</t>
  </si>
  <si>
    <t>North East DerbyshireHolymoorside and Walton</t>
  </si>
  <si>
    <t>E1038P012</t>
  </si>
  <si>
    <t>Holymoorside and Walton</t>
  </si>
  <si>
    <t>North East DerbyshireKillamarsh</t>
  </si>
  <si>
    <t>E1038P013</t>
  </si>
  <si>
    <t>Killamarsh</t>
  </si>
  <si>
    <t>North East DerbyshireMorton</t>
  </si>
  <si>
    <t>E1038P014</t>
  </si>
  <si>
    <t>Morton</t>
  </si>
  <si>
    <t>North East DerbyshireNorth Wingfield</t>
  </si>
  <si>
    <t>E1038P015</t>
  </si>
  <si>
    <t>North Wingfield</t>
  </si>
  <si>
    <t>North East DerbyshirePilsley</t>
  </si>
  <si>
    <t>E1038P016</t>
  </si>
  <si>
    <t>North East DerbyshireShirland and Higham</t>
  </si>
  <si>
    <t>E1038P017</t>
  </si>
  <si>
    <t>Shirland and Higham</t>
  </si>
  <si>
    <t>North East DerbyshireStretton</t>
  </si>
  <si>
    <t>E1038P018</t>
  </si>
  <si>
    <t>North East DerbyshireSutton cum Duckmanton</t>
  </si>
  <si>
    <t>E1038P019</t>
  </si>
  <si>
    <t>Sutton cum Duckmanton</t>
  </si>
  <si>
    <t>North East DerbyshireTemple Normanton</t>
  </si>
  <si>
    <t>E1038P020</t>
  </si>
  <si>
    <t>Temple Normanton</t>
  </si>
  <si>
    <t>North East DerbyshireTupton</t>
  </si>
  <si>
    <t>E1038P021</t>
  </si>
  <si>
    <t>Tupton</t>
  </si>
  <si>
    <t>North East DerbyshireUnstone</t>
  </si>
  <si>
    <t>E1038P022</t>
  </si>
  <si>
    <t>Unstone</t>
  </si>
  <si>
    <t>North East DerbyshireWessington</t>
  </si>
  <si>
    <t>E1038P023</t>
  </si>
  <si>
    <t>Wessington</t>
  </si>
  <si>
    <t>North East DerbyshireWingerworth</t>
  </si>
  <si>
    <t>E1038P024</t>
  </si>
  <si>
    <t>Wingerworth</t>
  </si>
  <si>
    <t>South DerbyshireAsh</t>
  </si>
  <si>
    <t>E1039P001</t>
  </si>
  <si>
    <t>Ash</t>
  </si>
  <si>
    <t>South DerbyshireAston upon Trent</t>
  </si>
  <si>
    <t>E1039P002</t>
  </si>
  <si>
    <t>Aston upon Trent</t>
  </si>
  <si>
    <t>South DerbyshireBarrow upon Trent</t>
  </si>
  <si>
    <t>E1039P003</t>
  </si>
  <si>
    <t>Barrow upon Trent</t>
  </si>
  <si>
    <t>South DerbyshireBarton Blount</t>
  </si>
  <si>
    <t>E1039P004</t>
  </si>
  <si>
    <t>Barton Blount</t>
  </si>
  <si>
    <t>South DerbyshireBearwardcote</t>
  </si>
  <si>
    <t>E1039P005</t>
  </si>
  <si>
    <t>Bearwardcote</t>
  </si>
  <si>
    <t>South DerbyshireBretby</t>
  </si>
  <si>
    <t>E1039P006</t>
  </si>
  <si>
    <t>Bretby</t>
  </si>
  <si>
    <t>South DerbyshireBurnaston</t>
  </si>
  <si>
    <t>E1039P007</t>
  </si>
  <si>
    <t>Burnaston</t>
  </si>
  <si>
    <t>South DerbyshireCalke</t>
  </si>
  <si>
    <t>E1039P008</t>
  </si>
  <si>
    <t>Calke</t>
  </si>
  <si>
    <t>South DerbyshireCastle Gresley</t>
  </si>
  <si>
    <t>E1039P009</t>
  </si>
  <si>
    <t>Castle Gresley</t>
  </si>
  <si>
    <t>South DerbyshireCatton</t>
  </si>
  <si>
    <t>E1039P010</t>
  </si>
  <si>
    <t>Catton</t>
  </si>
  <si>
    <t>South DerbyshireCauldwell</t>
  </si>
  <si>
    <t>E1039P011</t>
  </si>
  <si>
    <t>Cauldwell</t>
  </si>
  <si>
    <t>South DerbyshireChurch Broughton</t>
  </si>
  <si>
    <t>E1039P012</t>
  </si>
  <si>
    <t>Church Broughton</t>
  </si>
  <si>
    <t>South DerbyshireCoton in the Elms</t>
  </si>
  <si>
    <t>E1039P013</t>
  </si>
  <si>
    <t>Coton in the Elms</t>
  </si>
  <si>
    <t>South DerbyshireDalbury Lees</t>
  </si>
  <si>
    <t>E1039P014</t>
  </si>
  <si>
    <t>Dalbury Lees</t>
  </si>
  <si>
    <t>South DerbyshireDrakelow</t>
  </si>
  <si>
    <t>E1039P015</t>
  </si>
  <si>
    <t>Drakelow</t>
  </si>
  <si>
    <t>South DerbyshireEgginton</t>
  </si>
  <si>
    <t>E1039P016</t>
  </si>
  <si>
    <t>Egginton</t>
  </si>
  <si>
    <t>South DerbyshireElvaston</t>
  </si>
  <si>
    <t>E1039P017</t>
  </si>
  <si>
    <t>Elvaston</t>
  </si>
  <si>
    <t>South DerbyshireEtwall</t>
  </si>
  <si>
    <t>E1039P018</t>
  </si>
  <si>
    <t>Etwall</t>
  </si>
  <si>
    <t>South DerbyshireFindern</t>
  </si>
  <si>
    <t>E1039P019</t>
  </si>
  <si>
    <t>Findern</t>
  </si>
  <si>
    <t>South DerbyshireForemark</t>
  </si>
  <si>
    <t>E1039P020</t>
  </si>
  <si>
    <t>Foremark</t>
  </si>
  <si>
    <t>South DerbyshireFoston and Scropton</t>
  </si>
  <si>
    <t>E1039P021</t>
  </si>
  <si>
    <t>Foston and Scropton</t>
  </si>
  <si>
    <t>South DerbyshireHartshorne</t>
  </si>
  <si>
    <t>E1039P022</t>
  </si>
  <si>
    <t>Hartshorne</t>
  </si>
  <si>
    <t>South DerbyshireHatton</t>
  </si>
  <si>
    <t>E1039P023</t>
  </si>
  <si>
    <t>South DerbyshireHilton</t>
  </si>
  <si>
    <t>E1039P024</t>
  </si>
  <si>
    <t>South DerbyshireHoon</t>
  </si>
  <si>
    <t>E1039P025</t>
  </si>
  <si>
    <t>Hoon</t>
  </si>
  <si>
    <t>South DerbyshireIngleby</t>
  </si>
  <si>
    <t>E1039P026</t>
  </si>
  <si>
    <t>Ingleby</t>
  </si>
  <si>
    <t>South DerbyshireLinton</t>
  </si>
  <si>
    <t>E1039P027</t>
  </si>
  <si>
    <t>South DerbyshireLullington</t>
  </si>
  <si>
    <t>E1039P028</t>
  </si>
  <si>
    <t>Lullington</t>
  </si>
  <si>
    <t>South DerbyshireMarston on Dove</t>
  </si>
  <si>
    <t>E1039P029</t>
  </si>
  <si>
    <t>Marston on Dove</t>
  </si>
  <si>
    <t>South DerbyshireMelbourne</t>
  </si>
  <si>
    <t>E1039P030</t>
  </si>
  <si>
    <t>Melbourne</t>
  </si>
  <si>
    <t>South DerbyshireNetherseal</t>
  </si>
  <si>
    <t>E1039P031</t>
  </si>
  <si>
    <t>Netherseal</t>
  </si>
  <si>
    <t>South DerbyshireNewton Solney</t>
  </si>
  <si>
    <t>E1039P032</t>
  </si>
  <si>
    <t>Newton Solney</t>
  </si>
  <si>
    <t>South DerbyshireOsleston and Thurvaston</t>
  </si>
  <si>
    <t>E1039P033</t>
  </si>
  <si>
    <t>Osleston and Thurvaston</t>
  </si>
  <si>
    <t>South DerbyshireOverseal</t>
  </si>
  <si>
    <t>E1039P034</t>
  </si>
  <si>
    <t>Overseal</t>
  </si>
  <si>
    <t>South DerbyshireRadbourne</t>
  </si>
  <si>
    <t>E1039P035</t>
  </si>
  <si>
    <t>Radbourne</t>
  </si>
  <si>
    <t>South DerbyshireRepton</t>
  </si>
  <si>
    <t>E1039P036</t>
  </si>
  <si>
    <t>Repton</t>
  </si>
  <si>
    <t>South DerbyshireRosliston</t>
  </si>
  <si>
    <t>E1039P037</t>
  </si>
  <si>
    <t>Rosliston</t>
  </si>
  <si>
    <t>South DerbyshireShardlow and Great Wilne</t>
  </si>
  <si>
    <t>E1039P038</t>
  </si>
  <si>
    <t>Shardlow and Great Wilne</t>
  </si>
  <si>
    <t>South DerbyshireSmisby</t>
  </si>
  <si>
    <t>E1039P039</t>
  </si>
  <si>
    <t>Smisby</t>
  </si>
  <si>
    <t>South DerbyshireStanton by Bridge</t>
  </si>
  <si>
    <t>E1039P040</t>
  </si>
  <si>
    <t>Stanton by Bridge</t>
  </si>
  <si>
    <t>South DerbyshireSutton on the Hill</t>
  </si>
  <si>
    <t>E1039P042</t>
  </si>
  <si>
    <t>Sutton on the Hill</t>
  </si>
  <si>
    <t>South DerbyshireSwarkestone</t>
  </si>
  <si>
    <t>E1039P043</t>
  </si>
  <si>
    <t>Swarkestone</t>
  </si>
  <si>
    <t>South DerbyshireTicknall</t>
  </si>
  <si>
    <t>E1039P044</t>
  </si>
  <si>
    <t>Ticknall</t>
  </si>
  <si>
    <t>South DerbyshireTrusley</t>
  </si>
  <si>
    <t>E1039P045</t>
  </si>
  <si>
    <t>Trusley</t>
  </si>
  <si>
    <t>South DerbyshireTwyford and Stenson</t>
  </si>
  <si>
    <t>E1039P046</t>
  </si>
  <si>
    <t>Twyford and Stenson</t>
  </si>
  <si>
    <t>South DerbyshireWalton upon Trent</t>
  </si>
  <si>
    <t>E1039P047</t>
  </si>
  <si>
    <t>Walton upon Trent</t>
  </si>
  <si>
    <t>South DerbyshireWeston upon Trent</t>
  </si>
  <si>
    <t>E1039P048</t>
  </si>
  <si>
    <t>Weston upon Trent</t>
  </si>
  <si>
    <t>South DerbyshireWillington</t>
  </si>
  <si>
    <t>E1039P049</t>
  </si>
  <si>
    <t>South DerbyshireWoodville</t>
  </si>
  <si>
    <t>E1039P050</t>
  </si>
  <si>
    <t>Woodville</t>
  </si>
  <si>
    <t>South DerbyshireStenson</t>
  </si>
  <si>
    <t>E1039P051</t>
  </si>
  <si>
    <t>Stenson</t>
  </si>
  <si>
    <t>TorbayBrixham</t>
  </si>
  <si>
    <t>E1102P001</t>
  </si>
  <si>
    <t>Brixham</t>
  </si>
  <si>
    <t>East DevonAll Saints</t>
  </si>
  <si>
    <t>E1131P001</t>
  </si>
  <si>
    <t>All Saints</t>
  </si>
  <si>
    <t>East DevonAwliscombe</t>
  </si>
  <si>
    <t>E1131P002</t>
  </si>
  <si>
    <t>Awliscombe</t>
  </si>
  <si>
    <t>East DevonAxminster</t>
  </si>
  <si>
    <t>E1131P003</t>
  </si>
  <si>
    <t>Axminster</t>
  </si>
  <si>
    <t>East DevonAxmouth</t>
  </si>
  <si>
    <t>E1131P004</t>
  </si>
  <si>
    <t>Axmouth</t>
  </si>
  <si>
    <t>East DevonAylesbeare</t>
  </si>
  <si>
    <t>E1131P005</t>
  </si>
  <si>
    <t>Aylesbeare</t>
  </si>
  <si>
    <t>East DevonBeer</t>
  </si>
  <si>
    <t>E1131P006</t>
  </si>
  <si>
    <t>Beer</t>
  </si>
  <si>
    <t>East DevonBrampford Speke</t>
  </si>
  <si>
    <t>E1131P008</t>
  </si>
  <si>
    <t>Brampford Speke</t>
  </si>
  <si>
    <t>East DevonBranscombe</t>
  </si>
  <si>
    <t>E1131P009</t>
  </si>
  <si>
    <t>Branscombe</t>
  </si>
  <si>
    <t>East DevonBroad Clyst</t>
  </si>
  <si>
    <t>E1131P010</t>
  </si>
  <si>
    <t>Broad Clyst</t>
  </si>
  <si>
    <t>East DevonBroadhembury</t>
  </si>
  <si>
    <t>E1131P011</t>
  </si>
  <si>
    <t>Broadhembury</t>
  </si>
  <si>
    <t>East DevonBuckerell</t>
  </si>
  <si>
    <t>E1131P012</t>
  </si>
  <si>
    <t>Buckerell</t>
  </si>
  <si>
    <t>East DevonBudleigh Salterton</t>
  </si>
  <si>
    <t>E1131P013</t>
  </si>
  <si>
    <t>Budleigh Salterton</t>
  </si>
  <si>
    <t>East DevonChardstock</t>
  </si>
  <si>
    <t>E1131P014</t>
  </si>
  <si>
    <t>Chardstock</t>
  </si>
  <si>
    <t>East DevonClyst Honiton</t>
  </si>
  <si>
    <t>E1131P015</t>
  </si>
  <si>
    <t>Clyst Honiton</t>
  </si>
  <si>
    <t>East DevonClyst Hydon</t>
  </si>
  <si>
    <t>E1131P016</t>
  </si>
  <si>
    <t>Clyst Hydon</t>
  </si>
  <si>
    <t>East DevonClyst St. George</t>
  </si>
  <si>
    <t>E1131P017</t>
  </si>
  <si>
    <t>Clyst St. George</t>
  </si>
  <si>
    <t>East DevonClyst St. Lawrence</t>
  </si>
  <si>
    <t>E1131P018</t>
  </si>
  <si>
    <t>Clyst St. Lawrence</t>
  </si>
  <si>
    <t>East DevonColaton Raleigh</t>
  </si>
  <si>
    <t>E1131P020</t>
  </si>
  <si>
    <t>Colaton Raleigh</t>
  </si>
  <si>
    <t>East DevonColyton</t>
  </si>
  <si>
    <t>E1131P021</t>
  </si>
  <si>
    <t>Colyton</t>
  </si>
  <si>
    <t>East DevonCombe Raleigh</t>
  </si>
  <si>
    <t>E1131P022</t>
  </si>
  <si>
    <t>Combe Raleigh</t>
  </si>
  <si>
    <t>East DevonCombpyne Rousdon</t>
  </si>
  <si>
    <t>E1131P023</t>
  </si>
  <si>
    <t>Combpyne Rousdon</t>
  </si>
  <si>
    <t>East DevonCotleigh</t>
  </si>
  <si>
    <t>E1131P024</t>
  </si>
  <si>
    <t>Cotleigh</t>
  </si>
  <si>
    <t>East DevonDalwood</t>
  </si>
  <si>
    <t>E1131P025</t>
  </si>
  <si>
    <t>Dalwood</t>
  </si>
  <si>
    <t>East DevonDunkeswell</t>
  </si>
  <si>
    <t>E1131P026</t>
  </si>
  <si>
    <t>Dunkeswell</t>
  </si>
  <si>
    <t>East DevonEast Budleigh with Bicton</t>
  </si>
  <si>
    <t>E1131P027</t>
  </si>
  <si>
    <t>East Budleigh with Bicton</t>
  </si>
  <si>
    <t>East DevonExmouth</t>
  </si>
  <si>
    <t>E1131P028</t>
  </si>
  <si>
    <t>Exmouth</t>
  </si>
  <si>
    <t>East DevonFarringdon</t>
  </si>
  <si>
    <t>E1131P029</t>
  </si>
  <si>
    <t>Farringdon</t>
  </si>
  <si>
    <t>East DevonFarway</t>
  </si>
  <si>
    <t>E1131P030</t>
  </si>
  <si>
    <t>Farway</t>
  </si>
  <si>
    <t>East DevonFeniton</t>
  </si>
  <si>
    <t>E1131P031</t>
  </si>
  <si>
    <t>Feniton</t>
  </si>
  <si>
    <t>East DevonGittisham</t>
  </si>
  <si>
    <t>E1131P032</t>
  </si>
  <si>
    <t>Gittisham</t>
  </si>
  <si>
    <t>East DevonHawkchurch</t>
  </si>
  <si>
    <t>E1131P033</t>
  </si>
  <si>
    <t>Hawkchurch</t>
  </si>
  <si>
    <t>East DevonHoniton</t>
  </si>
  <si>
    <t>E1131P034</t>
  </si>
  <si>
    <t>Honiton</t>
  </si>
  <si>
    <t>East DevonHuxham</t>
  </si>
  <si>
    <t>E1131P035</t>
  </si>
  <si>
    <t>Huxham</t>
  </si>
  <si>
    <t>East DevonKilmington</t>
  </si>
  <si>
    <t>E1131P036</t>
  </si>
  <si>
    <t>Kilmington</t>
  </si>
  <si>
    <t>East DevonLuppitt</t>
  </si>
  <si>
    <t>E1131P038</t>
  </si>
  <si>
    <t>Luppitt</t>
  </si>
  <si>
    <t>East DevonLympstone</t>
  </si>
  <si>
    <t>E1131P039</t>
  </si>
  <si>
    <t>Lympstone</t>
  </si>
  <si>
    <t>East DevonMembury</t>
  </si>
  <si>
    <t>E1131P040</t>
  </si>
  <si>
    <t>Membury</t>
  </si>
  <si>
    <t>East DevonMonkton</t>
  </si>
  <si>
    <t>E1131P041</t>
  </si>
  <si>
    <t>Monkton</t>
  </si>
  <si>
    <t>East DevonMusbury</t>
  </si>
  <si>
    <t>E1131P042</t>
  </si>
  <si>
    <t>Musbury</t>
  </si>
  <si>
    <t>East DevonNether Exe</t>
  </si>
  <si>
    <t>E1131P043</t>
  </si>
  <si>
    <t>Nether Exe</t>
  </si>
  <si>
    <t>East DevonNewton Poppleford and Harpford</t>
  </si>
  <si>
    <t>E1131P044</t>
  </si>
  <si>
    <t>Newton Poppleford and Harpford</t>
  </si>
  <si>
    <t>East DevonNorthleigh</t>
  </si>
  <si>
    <t>E1131P045</t>
  </si>
  <si>
    <t>Northleigh</t>
  </si>
  <si>
    <t>East DevonOffwell</t>
  </si>
  <si>
    <t>E1131P046</t>
  </si>
  <si>
    <t>Offwell</t>
  </si>
  <si>
    <t>East DevonOtterton</t>
  </si>
  <si>
    <t>E1131P047</t>
  </si>
  <si>
    <t>Otterton</t>
  </si>
  <si>
    <t>East DevonOttery St. Mary</t>
  </si>
  <si>
    <t>E1131P048</t>
  </si>
  <si>
    <t>Ottery St. Mary</t>
  </si>
  <si>
    <t>East DevonPayhembury</t>
  </si>
  <si>
    <t>E1131P049</t>
  </si>
  <si>
    <t>Payhembury</t>
  </si>
  <si>
    <t>East DevonPlymtree</t>
  </si>
  <si>
    <t>E1131P050</t>
  </si>
  <si>
    <t>Plymtree</t>
  </si>
  <si>
    <t>East DevonPoltimore</t>
  </si>
  <si>
    <t>E1131P051</t>
  </si>
  <si>
    <t>Poltimore</t>
  </si>
  <si>
    <t>East DevonRewe</t>
  </si>
  <si>
    <t>E1131P052</t>
  </si>
  <si>
    <t>Rewe</t>
  </si>
  <si>
    <t>East DevonRockbeare</t>
  </si>
  <si>
    <t>E1131P053</t>
  </si>
  <si>
    <t>Rockbeare</t>
  </si>
  <si>
    <t>East DevonSeaton</t>
  </si>
  <si>
    <t>E1131P054</t>
  </si>
  <si>
    <t>East DevonSheldon</t>
  </si>
  <si>
    <t>E1131P055</t>
  </si>
  <si>
    <t>East DevonShute</t>
  </si>
  <si>
    <t>E1131P056</t>
  </si>
  <si>
    <t>Shute</t>
  </si>
  <si>
    <t>East DevonSidmouth</t>
  </si>
  <si>
    <t>E1131P057</t>
  </si>
  <si>
    <t>Sidmouth</t>
  </si>
  <si>
    <t>East DevonSouthleigh</t>
  </si>
  <si>
    <t>E1131P058</t>
  </si>
  <si>
    <t>Southleigh</t>
  </si>
  <si>
    <t>East DevonStockland</t>
  </si>
  <si>
    <t>E1131P060</t>
  </si>
  <si>
    <t>Stockland</t>
  </si>
  <si>
    <t>East DevonStoke Canon</t>
  </si>
  <si>
    <t>E1131P061</t>
  </si>
  <si>
    <t>Stoke Canon</t>
  </si>
  <si>
    <t>East DevonTalaton</t>
  </si>
  <si>
    <t>E1131P062</t>
  </si>
  <si>
    <t>Talaton</t>
  </si>
  <si>
    <t>East DevonUplyme</t>
  </si>
  <si>
    <t>E1131P063</t>
  </si>
  <si>
    <t>Uplyme</t>
  </si>
  <si>
    <t>East DevonUpottery</t>
  </si>
  <si>
    <t>E1131P064</t>
  </si>
  <si>
    <t>Upottery</t>
  </si>
  <si>
    <t>East DevonUpton Pyne</t>
  </si>
  <si>
    <t>E1131P065</t>
  </si>
  <si>
    <t>Upton Pyne</t>
  </si>
  <si>
    <t>East DevonWhimple</t>
  </si>
  <si>
    <t>E1131P066</t>
  </si>
  <si>
    <t>Whimple</t>
  </si>
  <si>
    <t>East DevonWidworthy</t>
  </si>
  <si>
    <t>E1131P067</t>
  </si>
  <si>
    <t>Widworthy</t>
  </si>
  <si>
    <t>East DevonWoodbury</t>
  </si>
  <si>
    <t>E1131P068</t>
  </si>
  <si>
    <t>Woodbury</t>
  </si>
  <si>
    <t>East DevonYarcombe</t>
  </si>
  <si>
    <t>E1131P069</t>
  </si>
  <si>
    <t>Yarcombe</t>
  </si>
  <si>
    <t>East DevonBishops Clyst</t>
  </si>
  <si>
    <t>E1131P070</t>
  </si>
  <si>
    <t>Bishops Clyst</t>
  </si>
  <si>
    <t>East DevonCranbrook</t>
  </si>
  <si>
    <t>E1131P071</t>
  </si>
  <si>
    <t>Cranbrook</t>
  </si>
  <si>
    <t>East DevonWest Hill</t>
  </si>
  <si>
    <t>E1131P072</t>
  </si>
  <si>
    <t>West Hill</t>
  </si>
  <si>
    <t>East DevonColyford</t>
  </si>
  <si>
    <t>E1131P073</t>
  </si>
  <si>
    <t>Colyford</t>
  </si>
  <si>
    <t>Mid DevonBampton</t>
  </si>
  <si>
    <t>E1133P001</t>
  </si>
  <si>
    <t>Mid DevonBickleigh</t>
  </si>
  <si>
    <t>E1133P002</t>
  </si>
  <si>
    <t>Bickleigh</t>
  </si>
  <si>
    <t>Mid DevonBow</t>
  </si>
  <si>
    <t>E1133P003</t>
  </si>
  <si>
    <t>Bow</t>
  </si>
  <si>
    <t>Mid DevonBradninch</t>
  </si>
  <si>
    <t>E1133P004</t>
  </si>
  <si>
    <t>Bradninch</t>
  </si>
  <si>
    <t>Mid DevonBrushford</t>
  </si>
  <si>
    <t>E1133P005</t>
  </si>
  <si>
    <t>Brushford</t>
  </si>
  <si>
    <t>Mid DevonBurlescombe</t>
  </si>
  <si>
    <t>E1133P006</t>
  </si>
  <si>
    <t>Burlescombe</t>
  </si>
  <si>
    <t>Mid DevonButterleigh</t>
  </si>
  <si>
    <t>E1133P007</t>
  </si>
  <si>
    <t>Butterleigh</t>
  </si>
  <si>
    <t>Mid DevonCadbury</t>
  </si>
  <si>
    <t>E1133P008</t>
  </si>
  <si>
    <t>Cadbury</t>
  </si>
  <si>
    <t>Mid DevonCadeleigh</t>
  </si>
  <si>
    <t>E1133P009</t>
  </si>
  <si>
    <t>Cadeleigh</t>
  </si>
  <si>
    <t>Mid DevonChawleigh</t>
  </si>
  <si>
    <t>E1133P010</t>
  </si>
  <si>
    <t>Chawleigh</t>
  </si>
  <si>
    <t>Mid DevonCheriton Bishop</t>
  </si>
  <si>
    <t>E1133P011</t>
  </si>
  <si>
    <t>Cheriton Bishop</t>
  </si>
  <si>
    <t>Mid DevonCheriton Fitzpaine</t>
  </si>
  <si>
    <t>E1133P012</t>
  </si>
  <si>
    <t>Cheriton Fitzpaine</t>
  </si>
  <si>
    <t>Mid DevonClannaborough</t>
  </si>
  <si>
    <t>E1133P013</t>
  </si>
  <si>
    <t>Clannaborough</t>
  </si>
  <si>
    <t>Mid DevonClayhanger</t>
  </si>
  <si>
    <t>E1133P014</t>
  </si>
  <si>
    <t>Clayhanger</t>
  </si>
  <si>
    <t>Mid DevonClayhidon</t>
  </si>
  <si>
    <t>E1133P015</t>
  </si>
  <si>
    <t>Clayhidon</t>
  </si>
  <si>
    <t>Mid DevonColdridge</t>
  </si>
  <si>
    <t>E1133P016</t>
  </si>
  <si>
    <t>Coldridge</t>
  </si>
  <si>
    <t>Mid DevonColebrooke</t>
  </si>
  <si>
    <t>E1133P017</t>
  </si>
  <si>
    <t>Colebrooke</t>
  </si>
  <si>
    <t>Mid DevonCopplestone</t>
  </si>
  <si>
    <t>E1133P018</t>
  </si>
  <si>
    <t>Copplestone</t>
  </si>
  <si>
    <t>Mid DevonCrediton</t>
  </si>
  <si>
    <t>E1133P019</t>
  </si>
  <si>
    <t>Crediton</t>
  </si>
  <si>
    <t>Mid DevonCrediton Hamlets</t>
  </si>
  <si>
    <t>E1133P020</t>
  </si>
  <si>
    <t>Crediton Hamlets</t>
  </si>
  <si>
    <t>Mid DevonCruwys Morchard</t>
  </si>
  <si>
    <t>E1133P021</t>
  </si>
  <si>
    <t>Cruwys Morchard</t>
  </si>
  <si>
    <t>Mid DevonCullompton</t>
  </si>
  <si>
    <t>E1133P022</t>
  </si>
  <si>
    <t>Cullompton</t>
  </si>
  <si>
    <t>Mid DevonCulmstock</t>
  </si>
  <si>
    <t>E1133P023</t>
  </si>
  <si>
    <t>Culmstock</t>
  </si>
  <si>
    <t>Mid DevonDown St. Mary</t>
  </si>
  <si>
    <t>E1133P024</t>
  </si>
  <si>
    <t>Down St. Mary</t>
  </si>
  <si>
    <t>Mid DevonEggesford</t>
  </si>
  <si>
    <t>E1133P025</t>
  </si>
  <si>
    <t>Eggesford</t>
  </si>
  <si>
    <t>Mid DevonHalberton</t>
  </si>
  <si>
    <t>E1133P026</t>
  </si>
  <si>
    <t>Halberton</t>
  </si>
  <si>
    <t>Mid DevonHemyock</t>
  </si>
  <si>
    <t>E1133P027</t>
  </si>
  <si>
    <t>Hemyock</t>
  </si>
  <si>
    <t>Mid DevonHittisleigh</t>
  </si>
  <si>
    <t>E1133P028</t>
  </si>
  <si>
    <t>Hittisleigh</t>
  </si>
  <si>
    <t>Mid DevonHockworthy</t>
  </si>
  <si>
    <t>E1133P029</t>
  </si>
  <si>
    <t>Hockworthy</t>
  </si>
  <si>
    <t>Mid DevonHolcombe Rogus</t>
  </si>
  <si>
    <t>E1133P030</t>
  </si>
  <si>
    <t>Holcombe Rogus</t>
  </si>
  <si>
    <t>Mid DevonHuntsham</t>
  </si>
  <si>
    <t>E1133P031</t>
  </si>
  <si>
    <t>Huntsham</t>
  </si>
  <si>
    <t>Mid DevonKennerleigh</t>
  </si>
  <si>
    <t>E1133P032</t>
  </si>
  <si>
    <t>Kennerleigh</t>
  </si>
  <si>
    <t>Mid DevonKentisbeare</t>
  </si>
  <si>
    <t>E1133P033</t>
  </si>
  <si>
    <t>Kentisbeare</t>
  </si>
  <si>
    <t>Mid DevonLapford</t>
  </si>
  <si>
    <t>E1133P034</t>
  </si>
  <si>
    <t>Lapford</t>
  </si>
  <si>
    <t>Mid DevonLoxbeare</t>
  </si>
  <si>
    <t>E1133P035</t>
  </si>
  <si>
    <t>Loxbeare</t>
  </si>
  <si>
    <t>Mid DevonMorchard Bishop</t>
  </si>
  <si>
    <t>E1133P036</t>
  </si>
  <si>
    <t>Morchard Bishop</t>
  </si>
  <si>
    <t>Mid DevonMorebath</t>
  </si>
  <si>
    <t>E1133P037</t>
  </si>
  <si>
    <t>Morebath</t>
  </si>
  <si>
    <t>Mid DevonNewton St. Cyres</t>
  </si>
  <si>
    <t>E1133P038</t>
  </si>
  <si>
    <t>Newton St. Cyres</t>
  </si>
  <si>
    <t>Mid DevonNymet Rowland</t>
  </si>
  <si>
    <t>E1133P039</t>
  </si>
  <si>
    <t>Nymet Rowland</t>
  </si>
  <si>
    <t>Mid DevonOakford</t>
  </si>
  <si>
    <t>E1133P040</t>
  </si>
  <si>
    <t>Oakford</t>
  </si>
  <si>
    <t>Mid DevonPoughill</t>
  </si>
  <si>
    <t>E1133P041</t>
  </si>
  <si>
    <t>Poughill</t>
  </si>
  <si>
    <t>Mid DevonPuddington</t>
  </si>
  <si>
    <t>E1133P042</t>
  </si>
  <si>
    <t>Mid DevonSampford Peverell</t>
  </si>
  <si>
    <t>E1133P043</t>
  </si>
  <si>
    <t>Sampford Peverell</t>
  </si>
  <si>
    <t>Mid DevonSandford</t>
  </si>
  <si>
    <t>E1133P044</t>
  </si>
  <si>
    <t>Sandford</t>
  </si>
  <si>
    <t>Mid DevonShobrooke</t>
  </si>
  <si>
    <t>E1133P045</t>
  </si>
  <si>
    <t>Shobrooke</t>
  </si>
  <si>
    <t>Mid DevonSilverton</t>
  </si>
  <si>
    <t>E1133P046</t>
  </si>
  <si>
    <t>Silverton</t>
  </si>
  <si>
    <t>Mid DevonStockleigh English</t>
  </si>
  <si>
    <t>E1133P047</t>
  </si>
  <si>
    <t>Stockleigh English</t>
  </si>
  <si>
    <t>Mid DevonStockleigh Pomeroy</t>
  </si>
  <si>
    <t>E1133P048</t>
  </si>
  <si>
    <t>Stockleigh Pomeroy</t>
  </si>
  <si>
    <t>Mid DevonStoodleigh</t>
  </si>
  <si>
    <t>E1133P049</t>
  </si>
  <si>
    <t>Stoodleigh</t>
  </si>
  <si>
    <t>Mid DevonTempleton</t>
  </si>
  <si>
    <t>E1133P050</t>
  </si>
  <si>
    <t>Templeton</t>
  </si>
  <si>
    <t>Mid DevonThelbridge</t>
  </si>
  <si>
    <t>E1133P051</t>
  </si>
  <si>
    <t>Thelbridge</t>
  </si>
  <si>
    <t>Mid DevonThorverton</t>
  </si>
  <si>
    <t>E1133P052</t>
  </si>
  <si>
    <t>Thorverton</t>
  </si>
  <si>
    <t>Mid DevonTiverton</t>
  </si>
  <si>
    <t>E1133P053</t>
  </si>
  <si>
    <t>Tiverton</t>
  </si>
  <si>
    <t>Mid DevonUffculme</t>
  </si>
  <si>
    <t>E1133P054</t>
  </si>
  <si>
    <t>Uffculme</t>
  </si>
  <si>
    <t>Mid DevonUplowman</t>
  </si>
  <si>
    <t>E1133P055</t>
  </si>
  <si>
    <t>Uplowman</t>
  </si>
  <si>
    <t>Mid DevonUpton Hellions</t>
  </si>
  <si>
    <t>E1133P056</t>
  </si>
  <si>
    <t>Upton Hellions</t>
  </si>
  <si>
    <t>Mid DevonWashfield</t>
  </si>
  <si>
    <t>E1133P057</t>
  </si>
  <si>
    <t>Washfield</t>
  </si>
  <si>
    <t>Mid DevonWashford Pyne</t>
  </si>
  <si>
    <t>E1133P058</t>
  </si>
  <si>
    <t>Washford Pyne</t>
  </si>
  <si>
    <t>Mid DevonWembworthy</t>
  </si>
  <si>
    <t>E1133P059</t>
  </si>
  <si>
    <t>Wembworthy</t>
  </si>
  <si>
    <t>Mid DevonWilland</t>
  </si>
  <si>
    <t>E1133P060</t>
  </si>
  <si>
    <t>Willand</t>
  </si>
  <si>
    <t>Mid DevonWoolfardisworthy</t>
  </si>
  <si>
    <t>E1133P061</t>
  </si>
  <si>
    <t>Woolfardisworthy</t>
  </si>
  <si>
    <t>Mid DevonZeal Monachorum</t>
  </si>
  <si>
    <t>E1133P062</t>
  </si>
  <si>
    <t>Zeal Monachorum</t>
  </si>
  <si>
    <t>North DevonArlington</t>
  </si>
  <si>
    <t>E1134P001</t>
  </si>
  <si>
    <t>Arlington</t>
  </si>
  <si>
    <t>North DevonAshford</t>
  </si>
  <si>
    <t>E1134P002</t>
  </si>
  <si>
    <t>North DevonAtherington</t>
  </si>
  <si>
    <t>E1134P003</t>
  </si>
  <si>
    <t>Atherington</t>
  </si>
  <si>
    <t>North DevonBarnstaple</t>
  </si>
  <si>
    <t>E1134P004</t>
  </si>
  <si>
    <t>Barnstaple</t>
  </si>
  <si>
    <t>North DevonBerrynarbor</t>
  </si>
  <si>
    <t>E1134P005</t>
  </si>
  <si>
    <t>Berrynarbor</t>
  </si>
  <si>
    <t>North DevonBishop's Nympton</t>
  </si>
  <si>
    <t>E1134P006</t>
  </si>
  <si>
    <t>Bishop's Nympton</t>
  </si>
  <si>
    <t>North DevonBishop's Tawton</t>
  </si>
  <si>
    <t>E1134P007</t>
  </si>
  <si>
    <t>Bishop's Tawton</t>
  </si>
  <si>
    <t>North DevonBittadon</t>
  </si>
  <si>
    <t>E1134P008</t>
  </si>
  <si>
    <t>Bittadon</t>
  </si>
  <si>
    <t>North DevonBratton Fleming</t>
  </si>
  <si>
    <t>E1134P009</t>
  </si>
  <si>
    <t>Bratton Fleming</t>
  </si>
  <si>
    <t>North DevonBraunton</t>
  </si>
  <si>
    <t>E1134P010</t>
  </si>
  <si>
    <t>Braunton</t>
  </si>
  <si>
    <t>North DevonBrayford</t>
  </si>
  <si>
    <t>E1134P011</t>
  </si>
  <si>
    <t>Brayford</t>
  </si>
  <si>
    <t>North DevonBrendon &amp; Countisbury</t>
  </si>
  <si>
    <t>E1134P012</t>
  </si>
  <si>
    <t>Brendon &amp; Countisbury</t>
  </si>
  <si>
    <t>North DevonBurrington</t>
  </si>
  <si>
    <t>E1134P013</t>
  </si>
  <si>
    <t>North DevonChallacombe</t>
  </si>
  <si>
    <t>E1134P014</t>
  </si>
  <si>
    <t>Challacombe</t>
  </si>
  <si>
    <t>North DevonChittlehamolt Satterleigh &amp; Warkleigh</t>
  </si>
  <si>
    <t>E1134P015</t>
  </si>
  <si>
    <t>Chittlehamolt Satterleigh &amp; Warkleigh</t>
  </si>
  <si>
    <t>North DevonChittlehampton</t>
  </si>
  <si>
    <t>E1134P016</t>
  </si>
  <si>
    <t>Chittlehampton</t>
  </si>
  <si>
    <t>North DevonChulmleigh</t>
  </si>
  <si>
    <t>E1134P017</t>
  </si>
  <si>
    <t>Chulmleigh</t>
  </si>
  <si>
    <t>North DevonCombe Martin</t>
  </si>
  <si>
    <t>E1134P018</t>
  </si>
  <si>
    <t>Combe Martin</t>
  </si>
  <si>
    <t>North DevonEast and West Buckland</t>
  </si>
  <si>
    <t>E1134P020</t>
  </si>
  <si>
    <t>East and West Buckland</t>
  </si>
  <si>
    <t>North DevonEast Anstey</t>
  </si>
  <si>
    <t>E1134P021</t>
  </si>
  <si>
    <t>East Anstey</t>
  </si>
  <si>
    <t>North DevonEast Down</t>
  </si>
  <si>
    <t>E1134P022</t>
  </si>
  <si>
    <t>East Down</t>
  </si>
  <si>
    <t>North DevonEast Worlington</t>
  </si>
  <si>
    <t>E1134P023</t>
  </si>
  <si>
    <t>East Worlington</t>
  </si>
  <si>
    <t>North DevonFilleigh</t>
  </si>
  <si>
    <t>E1134P024</t>
  </si>
  <si>
    <t>Filleigh</t>
  </si>
  <si>
    <t>North DevonFremington</t>
  </si>
  <si>
    <t>E1134P025</t>
  </si>
  <si>
    <t>Fremington</t>
  </si>
  <si>
    <t>North DevonGeorge Nympton &amp; Queen's Nympton</t>
  </si>
  <si>
    <t>E1134P026</t>
  </si>
  <si>
    <t>George Nympton &amp; Queen's Nympton</t>
  </si>
  <si>
    <t>North DevonGeorgeham</t>
  </si>
  <si>
    <t>E1134P027</t>
  </si>
  <si>
    <t>Georgeham</t>
  </si>
  <si>
    <t>North DevonGoodleigh</t>
  </si>
  <si>
    <t>E1134P028</t>
  </si>
  <si>
    <t>Goodleigh</t>
  </si>
  <si>
    <t>North DevonHeanton Punchardon</t>
  </si>
  <si>
    <t>E1134P029</t>
  </si>
  <si>
    <t>Heanton Punchardon</t>
  </si>
  <si>
    <t>North DevonHorwood Lovacott and Newton Tracey</t>
  </si>
  <si>
    <t>E1134P030</t>
  </si>
  <si>
    <t>Horwood Lovacott and Newton Tracey</t>
  </si>
  <si>
    <t>North DevonIlfracombe</t>
  </si>
  <si>
    <t>E1134P031</t>
  </si>
  <si>
    <t>Ilfracombe</t>
  </si>
  <si>
    <t>North DevonInstow</t>
  </si>
  <si>
    <t>E1134P032</t>
  </si>
  <si>
    <t>Instow</t>
  </si>
  <si>
    <t>North DevonKentisbury &amp; Trentishoe</t>
  </si>
  <si>
    <t>E1134P033</t>
  </si>
  <si>
    <t>Kentisbury &amp; Trentishoe</t>
  </si>
  <si>
    <t>North DevonKing's Nympton</t>
  </si>
  <si>
    <t>E1134P034</t>
  </si>
  <si>
    <t>King's Nympton</t>
  </si>
  <si>
    <t>North DevonKnowstone</t>
  </si>
  <si>
    <t>E1134P035</t>
  </si>
  <si>
    <t>Knowstone</t>
  </si>
  <si>
    <t>North DevonLandkey</t>
  </si>
  <si>
    <t>E1134P036</t>
  </si>
  <si>
    <t>Landkey</t>
  </si>
  <si>
    <t>North DevonLoxhore</t>
  </si>
  <si>
    <t>E1134P037</t>
  </si>
  <si>
    <t>Loxhore</t>
  </si>
  <si>
    <t>North DevonLynton and Lynmouth</t>
  </si>
  <si>
    <t>E1134P038</t>
  </si>
  <si>
    <t>Lynton and Lynmouth</t>
  </si>
  <si>
    <t>North DevonMariansleigh</t>
  </si>
  <si>
    <t>E1134P039</t>
  </si>
  <si>
    <t>Mariansleigh</t>
  </si>
  <si>
    <t>North DevonMartinhoe</t>
  </si>
  <si>
    <t>E1134P040</t>
  </si>
  <si>
    <t>Martinhoe</t>
  </si>
  <si>
    <t>North DevonMarwood</t>
  </si>
  <si>
    <t>E1134P041</t>
  </si>
  <si>
    <t>Marwood</t>
  </si>
  <si>
    <t>North DevonMeshaw</t>
  </si>
  <si>
    <t>E1134P042</t>
  </si>
  <si>
    <t>Meshaw</t>
  </si>
  <si>
    <t>North DevonMolland</t>
  </si>
  <si>
    <t>E1134P043</t>
  </si>
  <si>
    <t>Molland</t>
  </si>
  <si>
    <t>North DevonMortehoe</t>
  </si>
  <si>
    <t>E1134P044</t>
  </si>
  <si>
    <t>Mortehoe</t>
  </si>
  <si>
    <t>North DevonNorth Molton</t>
  </si>
  <si>
    <t>E1134P045</t>
  </si>
  <si>
    <t>North Molton</t>
  </si>
  <si>
    <t>North DevonParracombe</t>
  </si>
  <si>
    <t>E1134P046</t>
  </si>
  <si>
    <t>Parracombe</t>
  </si>
  <si>
    <t>North DevonPilton West</t>
  </si>
  <si>
    <t>E1134P047</t>
  </si>
  <si>
    <t>Pilton West</t>
  </si>
  <si>
    <t>North DevonRackenford</t>
  </si>
  <si>
    <t>E1134P049</t>
  </si>
  <si>
    <t>Rackenford</t>
  </si>
  <si>
    <t>North DevonRomansleigh</t>
  </si>
  <si>
    <t>E1134P050</t>
  </si>
  <si>
    <t>Romansleigh</t>
  </si>
  <si>
    <t>North DevonRose Ash</t>
  </si>
  <si>
    <t>E1134P051</t>
  </si>
  <si>
    <t>Rose Ash</t>
  </si>
  <si>
    <t>North DevonShirwell</t>
  </si>
  <si>
    <t>E1134P053</t>
  </si>
  <si>
    <t>Shirwell</t>
  </si>
  <si>
    <t>North DevonSouth Molton</t>
  </si>
  <si>
    <t>E1134P054</t>
  </si>
  <si>
    <t>South Molton</t>
  </si>
  <si>
    <t>North DevonStoke Rivers</t>
  </si>
  <si>
    <t>E1134P055</t>
  </si>
  <si>
    <t>Stoke Rivers</t>
  </si>
  <si>
    <t>North DevonSwimbridge</t>
  </si>
  <si>
    <t>E1134P056</t>
  </si>
  <si>
    <t>Swimbridge</t>
  </si>
  <si>
    <t>North DevonTawstock</t>
  </si>
  <si>
    <t>E1134P057</t>
  </si>
  <si>
    <t>Tawstock</t>
  </si>
  <si>
    <t>North DevonTwitchen</t>
  </si>
  <si>
    <t>E1134P059</t>
  </si>
  <si>
    <t>Twitchen</t>
  </si>
  <si>
    <t>North DevonWest Anstey</t>
  </si>
  <si>
    <t>E1134P060</t>
  </si>
  <si>
    <t>West Anstey</t>
  </si>
  <si>
    <t>North DevonWest Down</t>
  </si>
  <si>
    <t>E1134P061</t>
  </si>
  <si>
    <t>West Down</t>
  </si>
  <si>
    <t>North DevonWestleigh</t>
  </si>
  <si>
    <t>E1134P062</t>
  </si>
  <si>
    <t>Westleigh</t>
  </si>
  <si>
    <t>North DevonWitheridge</t>
  </si>
  <si>
    <t>E1134P063</t>
  </si>
  <si>
    <t>Witheridge</t>
  </si>
  <si>
    <t>South HamsAshprington</t>
  </si>
  <si>
    <t>E1136P001</t>
  </si>
  <si>
    <t>Ashprington</t>
  </si>
  <si>
    <t>South HamsAveton Gifford</t>
  </si>
  <si>
    <t>E1136P002</t>
  </si>
  <si>
    <t>Aveton Gifford</t>
  </si>
  <si>
    <t>South HamsBerry Pomeroy</t>
  </si>
  <si>
    <t>E1136P003</t>
  </si>
  <si>
    <t>Berry Pomeroy</t>
  </si>
  <si>
    <t>South HamsBickleigh</t>
  </si>
  <si>
    <t>E1136P004</t>
  </si>
  <si>
    <t>South HamsBigbury</t>
  </si>
  <si>
    <t>E1136P005</t>
  </si>
  <si>
    <t>Bigbury</t>
  </si>
  <si>
    <t>South HamsBlackawton</t>
  </si>
  <si>
    <t>E1136P006</t>
  </si>
  <si>
    <t>Blackawton</t>
  </si>
  <si>
    <t>South HamsBrixton</t>
  </si>
  <si>
    <t>E1136P007</t>
  </si>
  <si>
    <t>Brixton</t>
  </si>
  <si>
    <t>South HamsBuckland Tout Saints</t>
  </si>
  <si>
    <t>E1136P008</t>
  </si>
  <si>
    <t>Buckland Tout Saints</t>
  </si>
  <si>
    <t>South HamsCharleton</t>
  </si>
  <si>
    <t>E1136P009</t>
  </si>
  <si>
    <t>Charleton</t>
  </si>
  <si>
    <t>South HamsChivelstone</t>
  </si>
  <si>
    <t>E1136P010</t>
  </si>
  <si>
    <t>Chivelstone</t>
  </si>
  <si>
    <t>South HamsChurchstow</t>
  </si>
  <si>
    <t>E1136P011</t>
  </si>
  <si>
    <t>Churchstow</t>
  </si>
  <si>
    <t>South HamsCornwood</t>
  </si>
  <si>
    <t>E1136P012</t>
  </si>
  <si>
    <t>Cornwood</t>
  </si>
  <si>
    <t>South HamsCornworthy</t>
  </si>
  <si>
    <t>E1136P013</t>
  </si>
  <si>
    <t>Cornworthy</t>
  </si>
  <si>
    <t>South HamsDartington</t>
  </si>
  <si>
    <t>E1136P014</t>
  </si>
  <si>
    <t>Dartington</t>
  </si>
  <si>
    <t>South HamsDartmouth</t>
  </si>
  <si>
    <t>E1136P015</t>
  </si>
  <si>
    <t>Dartmouth</t>
  </si>
  <si>
    <t>South HamsDean Prior</t>
  </si>
  <si>
    <t>E1136P016</t>
  </si>
  <si>
    <t>Dean Prior</t>
  </si>
  <si>
    <t>South HamsDiptford</t>
  </si>
  <si>
    <t>E1136P017</t>
  </si>
  <si>
    <t>Diptford</t>
  </si>
  <si>
    <t>South HamsDittisham</t>
  </si>
  <si>
    <t>E1136P018</t>
  </si>
  <si>
    <t>Dittisham</t>
  </si>
  <si>
    <t>South HamsEast Allington</t>
  </si>
  <si>
    <t>E1136P019</t>
  </si>
  <si>
    <t>East Allington</t>
  </si>
  <si>
    <t>South HamsEast Portlemouth</t>
  </si>
  <si>
    <t>E1136P020</t>
  </si>
  <si>
    <t>East Portlemouth</t>
  </si>
  <si>
    <t>South HamsErmington</t>
  </si>
  <si>
    <t>E1136P021</t>
  </si>
  <si>
    <t>Ermington</t>
  </si>
  <si>
    <t>South HamsFrogmore and Sherford</t>
  </si>
  <si>
    <t>E1136P022</t>
  </si>
  <si>
    <t>Frogmore and Sherford</t>
  </si>
  <si>
    <t>South HamsHalwell and Moreleigh</t>
  </si>
  <si>
    <t>E1136P023</t>
  </si>
  <si>
    <t>Halwell and Moreleigh</t>
  </si>
  <si>
    <t>South HamsHarberton</t>
  </si>
  <si>
    <t>E1136P024</t>
  </si>
  <si>
    <t>Harberton</t>
  </si>
  <si>
    <t>South HamsHarford</t>
  </si>
  <si>
    <t>E1136P025</t>
  </si>
  <si>
    <t>Harford</t>
  </si>
  <si>
    <t>South HamsHolbeton</t>
  </si>
  <si>
    <t>E1136P026</t>
  </si>
  <si>
    <t>Holbeton</t>
  </si>
  <si>
    <t>South HamsHolne</t>
  </si>
  <si>
    <t>E1136P027</t>
  </si>
  <si>
    <t>Holne</t>
  </si>
  <si>
    <t>South HamsIvybridge</t>
  </si>
  <si>
    <t>E1136P028</t>
  </si>
  <si>
    <t>Ivybridge</t>
  </si>
  <si>
    <t>South HamsKingsbridge</t>
  </si>
  <si>
    <t>E1136P029</t>
  </si>
  <si>
    <t>Kingsbridge</t>
  </si>
  <si>
    <t>South HamsKingston</t>
  </si>
  <si>
    <t>E1136P030</t>
  </si>
  <si>
    <t>South HamsKingswear</t>
  </si>
  <si>
    <t>E1136P031</t>
  </si>
  <si>
    <t>Kingswear</t>
  </si>
  <si>
    <t>South HamsLittlehempston</t>
  </si>
  <si>
    <t>E1136P032</t>
  </si>
  <si>
    <t>Littlehempston</t>
  </si>
  <si>
    <t>South HamsLoddiswell</t>
  </si>
  <si>
    <t>E1136P033</t>
  </si>
  <si>
    <t>Loddiswell</t>
  </si>
  <si>
    <t>South HamsMalborough</t>
  </si>
  <si>
    <t>E1136P034</t>
  </si>
  <si>
    <t>Malborough</t>
  </si>
  <si>
    <t>South HamsMarldon</t>
  </si>
  <si>
    <t>E1136P035</t>
  </si>
  <si>
    <t>Marldon</t>
  </si>
  <si>
    <t>South HamsModbury</t>
  </si>
  <si>
    <t>E1136P036</t>
  </si>
  <si>
    <t>Modbury</t>
  </si>
  <si>
    <t>South HamsNewton and Noss</t>
  </si>
  <si>
    <t>E1136P037</t>
  </si>
  <si>
    <t>Newton and Noss</t>
  </si>
  <si>
    <t>South HamsNorth Huish</t>
  </si>
  <si>
    <t>E1136P038</t>
  </si>
  <si>
    <t>North Huish</t>
  </si>
  <si>
    <t>South HamsRattery</t>
  </si>
  <si>
    <t>E1136P039</t>
  </si>
  <si>
    <t>Rattery</t>
  </si>
  <si>
    <t>South HamsRingmore</t>
  </si>
  <si>
    <t>E1136P040</t>
  </si>
  <si>
    <t>Ringmore</t>
  </si>
  <si>
    <t>South HamsSalcombe</t>
  </si>
  <si>
    <t>E1136P041</t>
  </si>
  <si>
    <t>Salcombe</t>
  </si>
  <si>
    <t>South HamsShaugh Prior</t>
  </si>
  <si>
    <t>E1136P042</t>
  </si>
  <si>
    <t>Shaugh Prior</t>
  </si>
  <si>
    <t>South HamsSlapton</t>
  </si>
  <si>
    <t>E1136P043</t>
  </si>
  <si>
    <t>South HamsSouth Brent</t>
  </si>
  <si>
    <t>E1136P044</t>
  </si>
  <si>
    <t>South Brent</t>
  </si>
  <si>
    <t>South HamsSouth Huish</t>
  </si>
  <si>
    <t>E1136P045</t>
  </si>
  <si>
    <t>South Huish</t>
  </si>
  <si>
    <t>South HamsSouth Milton</t>
  </si>
  <si>
    <t>E1136P046</t>
  </si>
  <si>
    <t>South Milton</t>
  </si>
  <si>
    <t>South HamsSouth Pool</t>
  </si>
  <si>
    <t>E1136P047</t>
  </si>
  <si>
    <t>South Pool</t>
  </si>
  <si>
    <t>South HamsSparkwell</t>
  </si>
  <si>
    <t>E1136P048</t>
  </si>
  <si>
    <t>Sparkwell</t>
  </si>
  <si>
    <t>South HamsStaverton</t>
  </si>
  <si>
    <t>E1136P049</t>
  </si>
  <si>
    <t>Staverton</t>
  </si>
  <si>
    <t>South HamsStoke Fleming</t>
  </si>
  <si>
    <t>E1136P050</t>
  </si>
  <si>
    <t>Stoke Fleming</t>
  </si>
  <si>
    <t>South HamsStoke Gabriel</t>
  </si>
  <si>
    <t>E1136P051</t>
  </si>
  <si>
    <t>Stoke Gabriel</t>
  </si>
  <si>
    <t>South HamsStokenham</t>
  </si>
  <si>
    <t>E1136P052</t>
  </si>
  <si>
    <t>Stokenham</t>
  </si>
  <si>
    <t>South HamsStrete</t>
  </si>
  <si>
    <t>E1136P053</t>
  </si>
  <si>
    <t>Strete</t>
  </si>
  <si>
    <t>South HamsThurlestone</t>
  </si>
  <si>
    <t>E1136P054</t>
  </si>
  <si>
    <t>Thurlestone</t>
  </si>
  <si>
    <t>South HamsTotnes</t>
  </si>
  <si>
    <t>E1136P055</t>
  </si>
  <si>
    <t>Totnes</t>
  </si>
  <si>
    <t>South HamsUgborough</t>
  </si>
  <si>
    <t>E1136P056</t>
  </si>
  <si>
    <t>Ugborough</t>
  </si>
  <si>
    <t>South HamsWembury</t>
  </si>
  <si>
    <t>E1136P057</t>
  </si>
  <si>
    <t>Wembury</t>
  </si>
  <si>
    <t>South HamsWest Alvington</t>
  </si>
  <si>
    <t>E1136P058</t>
  </si>
  <si>
    <t>West Alvington</t>
  </si>
  <si>
    <t>South HamsWest Buckfastleigh</t>
  </si>
  <si>
    <t>E1136P059</t>
  </si>
  <si>
    <t>West Buckfastleigh</t>
  </si>
  <si>
    <t>South HamsWoodleigh</t>
  </si>
  <si>
    <t>E1136P060</t>
  </si>
  <si>
    <t>Woodleigh</t>
  </si>
  <si>
    <t>South HamsYealmpton</t>
  </si>
  <si>
    <t>E1136P061</t>
  </si>
  <si>
    <t>Yealmpton</t>
  </si>
  <si>
    <t>TeignbridgeAbbotskerswell</t>
  </si>
  <si>
    <t>E1137P001</t>
  </si>
  <si>
    <t>Abbotskerswell</t>
  </si>
  <si>
    <t>TeignbridgeAshburton</t>
  </si>
  <si>
    <t>E1137P002</t>
  </si>
  <si>
    <t>Ashburton</t>
  </si>
  <si>
    <t>TeignbridgeAshcombe</t>
  </si>
  <si>
    <t>E1137P003</t>
  </si>
  <si>
    <t>Ashcombe</t>
  </si>
  <si>
    <t>TeignbridgeAshton</t>
  </si>
  <si>
    <t>E1137P004</t>
  </si>
  <si>
    <t>Ashton</t>
  </si>
  <si>
    <t>TeignbridgeBickington</t>
  </si>
  <si>
    <t>E1137P005</t>
  </si>
  <si>
    <t>Bickington</t>
  </si>
  <si>
    <t>TeignbridgeBishopsteignton</t>
  </si>
  <si>
    <t>E1137P006</t>
  </si>
  <si>
    <t>Bishopsteignton</t>
  </si>
  <si>
    <t>TeignbridgeBovey Tracey</t>
  </si>
  <si>
    <t>E1137P007</t>
  </si>
  <si>
    <t>Bovey Tracey</t>
  </si>
  <si>
    <t>TeignbridgeBridford</t>
  </si>
  <si>
    <t>E1137P008</t>
  </si>
  <si>
    <t>Bridford</t>
  </si>
  <si>
    <t>TeignbridgeBroadhempston</t>
  </si>
  <si>
    <t>E1137P009</t>
  </si>
  <si>
    <t>Broadhempston</t>
  </si>
  <si>
    <t>TeignbridgeBuckfastleigh</t>
  </si>
  <si>
    <t>E1137P010</t>
  </si>
  <si>
    <t>Buckfastleigh</t>
  </si>
  <si>
    <t>TeignbridgeBuckland in the Moor</t>
  </si>
  <si>
    <t>E1137P011</t>
  </si>
  <si>
    <t>Buckland in the Moor</t>
  </si>
  <si>
    <t>TeignbridgeChristow</t>
  </si>
  <si>
    <t>E1137P012</t>
  </si>
  <si>
    <t>Christow</t>
  </si>
  <si>
    <t>TeignbridgeChudleigh</t>
  </si>
  <si>
    <t>E1137P013</t>
  </si>
  <si>
    <t>Chudleigh</t>
  </si>
  <si>
    <t>TeignbridgeCoffinswell</t>
  </si>
  <si>
    <t>E1137P014</t>
  </si>
  <si>
    <t>Coffinswell</t>
  </si>
  <si>
    <t>TeignbridgeDawlish</t>
  </si>
  <si>
    <t>E1137P015</t>
  </si>
  <si>
    <t>Dawlish</t>
  </si>
  <si>
    <t>TeignbridgeDenbury and Torbryan</t>
  </si>
  <si>
    <t>E1137P016</t>
  </si>
  <si>
    <t>Denbury and Torbryan</t>
  </si>
  <si>
    <t>TeignbridgeDoddiscombsleigh</t>
  </si>
  <si>
    <t>E1137P017</t>
  </si>
  <si>
    <t>Doddiscombsleigh</t>
  </si>
  <si>
    <t>TeignbridgeDunchideock</t>
  </si>
  <si>
    <t>E1137P018</t>
  </si>
  <si>
    <t>Dunchideock</t>
  </si>
  <si>
    <t>TeignbridgeDunsford</t>
  </si>
  <si>
    <t>E1137P019</t>
  </si>
  <si>
    <t>Dunsford</t>
  </si>
  <si>
    <t>TeignbridgeExminster</t>
  </si>
  <si>
    <t>E1137P020</t>
  </si>
  <si>
    <t>Exminster</t>
  </si>
  <si>
    <t>TeignbridgeHaccombe with Combe</t>
  </si>
  <si>
    <t>E1137P021</t>
  </si>
  <si>
    <t>Haccombe with Combe</t>
  </si>
  <si>
    <t>TeignbridgeHennock</t>
  </si>
  <si>
    <t>E1137P022</t>
  </si>
  <si>
    <t>Hennock</t>
  </si>
  <si>
    <t>TeignbridgeHolcombe Burnell</t>
  </si>
  <si>
    <t>E1137P023</t>
  </si>
  <si>
    <t>Holcombe Burnell</t>
  </si>
  <si>
    <t>TeignbridgeIde</t>
  </si>
  <si>
    <t>E1137P024</t>
  </si>
  <si>
    <t>Ide</t>
  </si>
  <si>
    <t>TeignbridgeIdeford</t>
  </si>
  <si>
    <t>E1137P025</t>
  </si>
  <si>
    <t>Ideford</t>
  </si>
  <si>
    <t>TeignbridgeIlsington</t>
  </si>
  <si>
    <t>E1137P026</t>
  </si>
  <si>
    <t>Ilsington</t>
  </si>
  <si>
    <t>TeignbridgeIpplepen</t>
  </si>
  <si>
    <t>E1137P027</t>
  </si>
  <si>
    <t>Ipplepen</t>
  </si>
  <si>
    <t>TeignbridgeKenn</t>
  </si>
  <si>
    <t>E1137P028</t>
  </si>
  <si>
    <t>TeignbridgeKenton</t>
  </si>
  <si>
    <t>E1137P029</t>
  </si>
  <si>
    <t>Kenton</t>
  </si>
  <si>
    <t>TeignbridgeKingskerswell</t>
  </si>
  <si>
    <t>E1137P030</t>
  </si>
  <si>
    <t>Kingskerswell</t>
  </si>
  <si>
    <t>TeignbridgeKingsteignton</t>
  </si>
  <si>
    <t>E1137P031</t>
  </si>
  <si>
    <t>Kingsteignton</t>
  </si>
  <si>
    <t>TeignbridgeLustleigh</t>
  </si>
  <si>
    <t>E1137P032</t>
  </si>
  <si>
    <t>Lustleigh</t>
  </si>
  <si>
    <t>TeignbridgeMamhead</t>
  </si>
  <si>
    <t>E1137P033</t>
  </si>
  <si>
    <t>Mamhead</t>
  </si>
  <si>
    <t>TeignbridgeManaton</t>
  </si>
  <si>
    <t>E1137P034</t>
  </si>
  <si>
    <t>Manaton</t>
  </si>
  <si>
    <t>TeignbridgeMoretonhampstead</t>
  </si>
  <si>
    <t>E1137P035</t>
  </si>
  <si>
    <t>Moretonhampstead</t>
  </si>
  <si>
    <t>TeignbridgeNewton Abbot</t>
  </si>
  <si>
    <t>E1137P036</t>
  </si>
  <si>
    <t>Newton Abbot</t>
  </si>
  <si>
    <t>TeignbridgeNorth Bovey</t>
  </si>
  <si>
    <t>E1137P037</t>
  </si>
  <si>
    <t>North Bovey</t>
  </si>
  <si>
    <t>TeignbridgeOgwell</t>
  </si>
  <si>
    <t>E1137P038</t>
  </si>
  <si>
    <t>Ogwell</t>
  </si>
  <si>
    <t>TeignbridgePowderham</t>
  </si>
  <si>
    <t>E1137P039</t>
  </si>
  <si>
    <t>Powderham</t>
  </si>
  <si>
    <t>TeignbridgeShaldon</t>
  </si>
  <si>
    <t>E1137P040</t>
  </si>
  <si>
    <t>Shaldon</t>
  </si>
  <si>
    <t>TeignbridgeShillingford St. George</t>
  </si>
  <si>
    <t>E1137P041</t>
  </si>
  <si>
    <t>Shillingford St. George</t>
  </si>
  <si>
    <t>TeignbridgeStarcross</t>
  </si>
  <si>
    <t>E1137P042</t>
  </si>
  <si>
    <t>Starcross</t>
  </si>
  <si>
    <t>TeignbridgeStokeinteignhead</t>
  </si>
  <si>
    <t>E1137P043</t>
  </si>
  <si>
    <t>Stokeinteignhead</t>
  </si>
  <si>
    <t>TeignbridgeTedburn St. Mary</t>
  </si>
  <si>
    <t>E1137P044</t>
  </si>
  <si>
    <t>Tedburn St. Mary</t>
  </si>
  <si>
    <t>TeignbridgeTeigngrace</t>
  </si>
  <si>
    <t>E1137P045</t>
  </si>
  <si>
    <t>Teigngrace</t>
  </si>
  <si>
    <t>TeignbridgeTeignmouth</t>
  </si>
  <si>
    <t>E1137P046</t>
  </si>
  <si>
    <t>Teignmouth</t>
  </si>
  <si>
    <t>TeignbridgeTrusham</t>
  </si>
  <si>
    <t>E1137P047</t>
  </si>
  <si>
    <t>Trusham</t>
  </si>
  <si>
    <t>TeignbridgeWhitestone</t>
  </si>
  <si>
    <t>E1137P048</t>
  </si>
  <si>
    <t>Whitestone</t>
  </si>
  <si>
    <t>TeignbridgeWidecombe in the Moor</t>
  </si>
  <si>
    <t>E1137P049</t>
  </si>
  <si>
    <t>Widecombe in the Moor</t>
  </si>
  <si>
    <t>TeignbridgeWoodland</t>
  </si>
  <si>
    <t>E1137P050</t>
  </si>
  <si>
    <t>Woodland</t>
  </si>
  <si>
    <t>TorridgeAbbots Bickington</t>
  </si>
  <si>
    <t>E1139P001</t>
  </si>
  <si>
    <t>Abbots Bickington</t>
  </si>
  <si>
    <t>TorridgeAbbotsham</t>
  </si>
  <si>
    <t>E1139P002</t>
  </si>
  <si>
    <t>Abbotsham</t>
  </si>
  <si>
    <t>TorridgeAlverdiscott (grouped with Huntshaw)</t>
  </si>
  <si>
    <t>E1139P003</t>
  </si>
  <si>
    <t>Alverdiscott (grouped with Huntshaw)</t>
  </si>
  <si>
    <t>TorridgeAlwington</t>
  </si>
  <si>
    <t>E1139P004</t>
  </si>
  <si>
    <t>Alwington</t>
  </si>
  <si>
    <t>TorridgeArea not comprised in any Parish Lundy Island</t>
  </si>
  <si>
    <t>E1139P005</t>
  </si>
  <si>
    <t>Area not comprised in any Parish Lundy Island</t>
  </si>
  <si>
    <t>TorridgeAshreigney</t>
  </si>
  <si>
    <t>E1139P006</t>
  </si>
  <si>
    <t>Ashreigney</t>
  </si>
  <si>
    <t>TorridgeAshwater</t>
  </si>
  <si>
    <t>E1139P007</t>
  </si>
  <si>
    <t>Ashwater</t>
  </si>
  <si>
    <t>TorridgeBeaford</t>
  </si>
  <si>
    <t>E1139P008</t>
  </si>
  <si>
    <t>Beaford</t>
  </si>
  <si>
    <t>TorridgeBideford</t>
  </si>
  <si>
    <t>E1139P009</t>
  </si>
  <si>
    <t>Bideford</t>
  </si>
  <si>
    <t>TorridgeBlack Torrington</t>
  </si>
  <si>
    <t>E1139P010</t>
  </si>
  <si>
    <t>Black Torrington</t>
  </si>
  <si>
    <t>TorridgeBradford (grouped with Cookbury)</t>
  </si>
  <si>
    <t>E1139P011</t>
  </si>
  <si>
    <t>Bradford (grouped with Cookbury)</t>
  </si>
  <si>
    <t>TorridgeBradworthy</t>
  </si>
  <si>
    <t>E1139P012</t>
  </si>
  <si>
    <t>Bradworthy</t>
  </si>
  <si>
    <t>TorridgeBridgerule</t>
  </si>
  <si>
    <t>E1139P013</t>
  </si>
  <si>
    <t>Bridgerule</t>
  </si>
  <si>
    <t>TorridgeBroadwoodwidger</t>
  </si>
  <si>
    <t>E1139P014</t>
  </si>
  <si>
    <t>Broadwoodwidger</t>
  </si>
  <si>
    <t>TorridgeBuckland Brewer</t>
  </si>
  <si>
    <t>E1139P015</t>
  </si>
  <si>
    <t>Buckland Brewer</t>
  </si>
  <si>
    <t>TorridgeBuckland Filleigh</t>
  </si>
  <si>
    <t>E1139P016</t>
  </si>
  <si>
    <t>Buckland Filleigh</t>
  </si>
  <si>
    <t>TorridgeBulkworthy</t>
  </si>
  <si>
    <t>E1139P017</t>
  </si>
  <si>
    <t>Bulkworthy</t>
  </si>
  <si>
    <t>TorridgeClawton</t>
  </si>
  <si>
    <t>E1139P018</t>
  </si>
  <si>
    <t>Clawton</t>
  </si>
  <si>
    <t>TorridgeClovelly</t>
  </si>
  <si>
    <t>E1139P019</t>
  </si>
  <si>
    <t>Clovelly</t>
  </si>
  <si>
    <t>TorridgeCookbury (grouped with Bradford)</t>
  </si>
  <si>
    <t>E1139P020</t>
  </si>
  <si>
    <t>Cookbury (grouped with Bradford)</t>
  </si>
  <si>
    <t>TorridgeDolton</t>
  </si>
  <si>
    <t>E1139P021</t>
  </si>
  <si>
    <t>Dolton</t>
  </si>
  <si>
    <t>TorridgeDowland</t>
  </si>
  <si>
    <t>E1139P022</t>
  </si>
  <si>
    <t>Dowland</t>
  </si>
  <si>
    <t>TorridgeEast Putford (grouped with West Putford)</t>
  </si>
  <si>
    <t>E1139P023</t>
  </si>
  <si>
    <t>East Putford (grouped with West Putford)</t>
  </si>
  <si>
    <t>TorridgeFrithelstock</t>
  </si>
  <si>
    <t>E1139P024</t>
  </si>
  <si>
    <t>Frithelstock</t>
  </si>
  <si>
    <t>TorridgeGreat Torrington</t>
  </si>
  <si>
    <t>E1139P025</t>
  </si>
  <si>
    <t>Great Torrington</t>
  </si>
  <si>
    <t>TorridgeHalwill</t>
  </si>
  <si>
    <t>E1139P026</t>
  </si>
  <si>
    <t>Halwill</t>
  </si>
  <si>
    <t>TorridgeHartland</t>
  </si>
  <si>
    <t>E1139P027</t>
  </si>
  <si>
    <t>Hartland</t>
  </si>
  <si>
    <t>TorridgeHigh Bickington</t>
  </si>
  <si>
    <t>E1139P028</t>
  </si>
  <si>
    <t>High Bickington</t>
  </si>
  <si>
    <t>TorridgeHollacombe</t>
  </si>
  <si>
    <t>E1139P029</t>
  </si>
  <si>
    <t>Hollacombe</t>
  </si>
  <si>
    <t>TorridgeHolsworthy</t>
  </si>
  <si>
    <t>E1139P030</t>
  </si>
  <si>
    <t>Holsworthy</t>
  </si>
  <si>
    <t>TorridgeHolsworthy Hamlets</t>
  </si>
  <si>
    <t>E1139P031</t>
  </si>
  <si>
    <t>Holsworthy Hamlets</t>
  </si>
  <si>
    <t>TorridgeHuish</t>
  </si>
  <si>
    <t>E1139P032</t>
  </si>
  <si>
    <t>Huish</t>
  </si>
  <si>
    <t>TorridgeHuntshaw (grouped with Alverdiscott)</t>
  </si>
  <si>
    <t>E1139P033</t>
  </si>
  <si>
    <t>Huntshaw (grouped with Alverdiscott)</t>
  </si>
  <si>
    <t>TorridgeLandcross (grouped with Littleham)</t>
  </si>
  <si>
    <t>E1139P034</t>
  </si>
  <si>
    <t>Landcross (grouped with Littleham)</t>
  </si>
  <si>
    <t>TorridgeLangtree</t>
  </si>
  <si>
    <t>E1139P035</t>
  </si>
  <si>
    <t>Langtree</t>
  </si>
  <si>
    <t>TorridgeLittle Torrington</t>
  </si>
  <si>
    <t>E1139P036</t>
  </si>
  <si>
    <t>Little Torrington</t>
  </si>
  <si>
    <t>TorridgeLittleham (grouped with Landcross)</t>
  </si>
  <si>
    <t>E1139P037</t>
  </si>
  <si>
    <t>Littleham (grouped with Landcross)</t>
  </si>
  <si>
    <t>TorridgeLuffincott (grouped with Tetcott)</t>
  </si>
  <si>
    <t>E1139P038</t>
  </si>
  <si>
    <t>Luffincott (grouped with Tetcott)</t>
  </si>
  <si>
    <t>TorridgeMerton</t>
  </si>
  <si>
    <t>E1139P039</t>
  </si>
  <si>
    <t>TorridgeMilton Damerel</t>
  </si>
  <si>
    <t>E1139P040</t>
  </si>
  <si>
    <t>Milton Damerel</t>
  </si>
  <si>
    <t>TorridgeMonkleigh</t>
  </si>
  <si>
    <t>E1139P041</t>
  </si>
  <si>
    <t>Monkleigh</t>
  </si>
  <si>
    <t>TorridgeNewton St. Petrock</t>
  </si>
  <si>
    <t>E1139P042</t>
  </si>
  <si>
    <t>Newton St. Petrock</t>
  </si>
  <si>
    <t>TorridgeNortham</t>
  </si>
  <si>
    <t>E1139P043</t>
  </si>
  <si>
    <t>Northam</t>
  </si>
  <si>
    <t>TorridgeNorthcott (grouped with St Giles on the Heath)</t>
  </si>
  <si>
    <t>E1139P044</t>
  </si>
  <si>
    <t>Northcott (grouped with St Giles on the Heath)</t>
  </si>
  <si>
    <t>TorridgePancrasweek</t>
  </si>
  <si>
    <t>E1139P045</t>
  </si>
  <si>
    <t>Pancrasweek</t>
  </si>
  <si>
    <t>TorridgeParkham</t>
  </si>
  <si>
    <t>E1139P046</t>
  </si>
  <si>
    <t>Parkham</t>
  </si>
  <si>
    <t>TorridgePeters Marland</t>
  </si>
  <si>
    <t>E1139P047</t>
  </si>
  <si>
    <t>Peters Marland</t>
  </si>
  <si>
    <t>TorridgePetrockstow</t>
  </si>
  <si>
    <t>E1139P048</t>
  </si>
  <si>
    <t>Petrockstow</t>
  </si>
  <si>
    <t>TorridgePyworthy</t>
  </si>
  <si>
    <t>E1139P049</t>
  </si>
  <si>
    <t>Pyworthy</t>
  </si>
  <si>
    <t>TorridgeRoborough</t>
  </si>
  <si>
    <t>E1139P050</t>
  </si>
  <si>
    <t>Roborough</t>
  </si>
  <si>
    <t>TorridgeShebbear</t>
  </si>
  <si>
    <t>E1139P051</t>
  </si>
  <si>
    <t>Shebbear</t>
  </si>
  <si>
    <t>TorridgeSheepwash</t>
  </si>
  <si>
    <t>E1139P052</t>
  </si>
  <si>
    <t>Sheepwash</t>
  </si>
  <si>
    <t>TorridgeSt. Giles in the Wood</t>
  </si>
  <si>
    <t>E1139P053</t>
  </si>
  <si>
    <t>St. Giles in the Wood</t>
  </si>
  <si>
    <t>TorridgeSt. Giles on the Heath (grouped with Northcott)</t>
  </si>
  <si>
    <t>E1139P054</t>
  </si>
  <si>
    <t>St. Giles on the Heath (grouped with Northcott)</t>
  </si>
  <si>
    <t>TorridgeSutcombe</t>
  </si>
  <si>
    <t>E1139P055</t>
  </si>
  <si>
    <t>Sutcombe</t>
  </si>
  <si>
    <t>TorridgeTetcott (grouped with Luffincott)</t>
  </si>
  <si>
    <t>E1139P056</t>
  </si>
  <si>
    <t>Tetcott (grouped with Luffincott)</t>
  </si>
  <si>
    <t>TorridgeThornbury</t>
  </si>
  <si>
    <t>E1139P057</t>
  </si>
  <si>
    <t>TorridgeVirginstow</t>
  </si>
  <si>
    <t>E1139P058</t>
  </si>
  <si>
    <t>Virginstow</t>
  </si>
  <si>
    <t>TorridgeWeare Giffard</t>
  </si>
  <si>
    <t>E1139P059</t>
  </si>
  <si>
    <t>Weare Giffard</t>
  </si>
  <si>
    <t>TorridgeWelcombe</t>
  </si>
  <si>
    <t>E1139P060</t>
  </si>
  <si>
    <t>Welcombe</t>
  </si>
  <si>
    <t>TorridgeWest Putford (grouped with East Putford)</t>
  </si>
  <si>
    <t>E1139P061</t>
  </si>
  <si>
    <t>West Putford (grouped with East Putford)</t>
  </si>
  <si>
    <t>TorridgeWinkleigh</t>
  </si>
  <si>
    <t>E1139P062</t>
  </si>
  <si>
    <t>Winkleigh</t>
  </si>
  <si>
    <t>TorridgeWoolfardisworthy</t>
  </si>
  <si>
    <t>E1139P063</t>
  </si>
  <si>
    <t>TorridgeYarnscombe</t>
  </si>
  <si>
    <t>E1139P064</t>
  </si>
  <si>
    <t>Yarnscombe</t>
  </si>
  <si>
    <t>West DevonBeaworthy</t>
  </si>
  <si>
    <t>E1140P001</t>
  </si>
  <si>
    <t>Beaworthy</t>
  </si>
  <si>
    <t>West DevonBelstone</t>
  </si>
  <si>
    <t>E1140P002</t>
  </si>
  <si>
    <t>Belstone</t>
  </si>
  <si>
    <t>West DevonBere Ferrers</t>
  </si>
  <si>
    <t>E1140P003</t>
  </si>
  <si>
    <t>Bere Ferrers</t>
  </si>
  <si>
    <t>West DevonBondleigh</t>
  </si>
  <si>
    <t>E1140P004</t>
  </si>
  <si>
    <t>Bondleigh</t>
  </si>
  <si>
    <t>West DevonBratton Clovelly</t>
  </si>
  <si>
    <t>E1140P006</t>
  </si>
  <si>
    <t>Bratton Clovelly</t>
  </si>
  <si>
    <t>West DevonBrentor</t>
  </si>
  <si>
    <t>E1140P007</t>
  </si>
  <si>
    <t>Brentor</t>
  </si>
  <si>
    <t>West DevonBridestowe</t>
  </si>
  <si>
    <t>E1140P008</t>
  </si>
  <si>
    <t>Bridestowe</t>
  </si>
  <si>
    <t>West DevonBroadwoodkelly</t>
  </si>
  <si>
    <t>E1140P009</t>
  </si>
  <si>
    <t>Broadwoodkelly</t>
  </si>
  <si>
    <t>West DevonBuckland Monachorum</t>
  </si>
  <si>
    <t>E1140P010</t>
  </si>
  <si>
    <t>Buckland Monachorum</t>
  </si>
  <si>
    <t>West DevonChagford</t>
  </si>
  <si>
    <t>E1140P011</t>
  </si>
  <si>
    <t>Chagford</t>
  </si>
  <si>
    <t>West DevonDartmoor Forest</t>
  </si>
  <si>
    <t>E1140P013</t>
  </si>
  <si>
    <t>Dartmoor Forest</t>
  </si>
  <si>
    <t>West DevonDrewsteignton</t>
  </si>
  <si>
    <t>E1140P014</t>
  </si>
  <si>
    <t>Drewsteignton</t>
  </si>
  <si>
    <t>West DevonExbourne (grouped with Jacobstowe into Exbourne &amp; Jacobstowe grouped)</t>
  </si>
  <si>
    <t>E1140P016</t>
  </si>
  <si>
    <t>Exbourne (grouped with Jacobstowe into Exbourne &amp; Jacobstowe grouped)</t>
  </si>
  <si>
    <t>West DevonGermansweek</t>
  </si>
  <si>
    <t>E1140P017</t>
  </si>
  <si>
    <t>Germansweek</t>
  </si>
  <si>
    <t>West DevonGidleigh</t>
  </si>
  <si>
    <t>E1140P018</t>
  </si>
  <si>
    <t>Gidleigh</t>
  </si>
  <si>
    <t>West DevonGulworthy</t>
  </si>
  <si>
    <t>E1140P019</t>
  </si>
  <si>
    <t>Gulworthy</t>
  </si>
  <si>
    <t>West DevonHatherleigh</t>
  </si>
  <si>
    <t>E1140P020</t>
  </si>
  <si>
    <t>Hatherleigh</t>
  </si>
  <si>
    <t>West DevonHighampton</t>
  </si>
  <si>
    <t>E1140P021</t>
  </si>
  <si>
    <t>Highampton</t>
  </si>
  <si>
    <t>West DevonHorrabridge</t>
  </si>
  <si>
    <t>E1140P022</t>
  </si>
  <si>
    <t>Horrabridge</t>
  </si>
  <si>
    <t>West DevonIddesleigh</t>
  </si>
  <si>
    <t>E1140P023</t>
  </si>
  <si>
    <t>Iddesleigh</t>
  </si>
  <si>
    <t>West DevonInwardleigh</t>
  </si>
  <si>
    <t>E1140P024</t>
  </si>
  <si>
    <t>Inwardleigh</t>
  </si>
  <si>
    <t>West DevonKelly</t>
  </si>
  <si>
    <t>E1140P026</t>
  </si>
  <si>
    <t>Kelly</t>
  </si>
  <si>
    <t>West DevonLamerton</t>
  </si>
  <si>
    <t>E1140P027</t>
  </si>
  <si>
    <t>Lamerton</t>
  </si>
  <si>
    <t>West DevonLifton</t>
  </si>
  <si>
    <t>E1140P030</t>
  </si>
  <si>
    <t>Lifton</t>
  </si>
  <si>
    <t>West DevonLydford</t>
  </si>
  <si>
    <t>E1140P031</t>
  </si>
  <si>
    <t>Lydford</t>
  </si>
  <si>
    <t>West DevonMary Tavy</t>
  </si>
  <si>
    <t>E1140P032</t>
  </si>
  <si>
    <t>Mary Tavy</t>
  </si>
  <si>
    <t>West DevonMeeth</t>
  </si>
  <si>
    <t>E1140P035</t>
  </si>
  <si>
    <t>Meeth</t>
  </si>
  <si>
    <t>West DevonMilton Abbot (grouped with Bradstone and Dunterton into Milton Abbot grouped)</t>
  </si>
  <si>
    <t>E1140P036</t>
  </si>
  <si>
    <t>Milton Abbot (grouped with Bradstone and Dunterton into Milton Abbot grouped)</t>
  </si>
  <si>
    <t>West DevonMonkokehampton</t>
  </si>
  <si>
    <t>E1140P037</t>
  </si>
  <si>
    <t>Monkokehampton</t>
  </si>
  <si>
    <t>West DevonNorth Tawton</t>
  </si>
  <si>
    <t>E1140P038</t>
  </si>
  <si>
    <t>North Tawton</t>
  </si>
  <si>
    <t>West DevonNorthlew</t>
  </si>
  <si>
    <t>E1140P039</t>
  </si>
  <si>
    <t>Northlew</t>
  </si>
  <si>
    <t>West DevonOkehampton Town</t>
  </si>
  <si>
    <t>E1140P040</t>
  </si>
  <si>
    <t>Okehampton Town</t>
  </si>
  <si>
    <t>West DevonOkehampton Hamlets</t>
  </si>
  <si>
    <t>E1140P041</t>
  </si>
  <si>
    <t>Okehampton Hamlets</t>
  </si>
  <si>
    <t>West DevonPeter Tavy</t>
  </si>
  <si>
    <t>E1140P042</t>
  </si>
  <si>
    <t>Peter Tavy</t>
  </si>
  <si>
    <t>West DevonSampford Courtenay</t>
  </si>
  <si>
    <t>E1140P043</t>
  </si>
  <si>
    <t>Sampford Courtenay</t>
  </si>
  <si>
    <t>West DevonSourton</t>
  </si>
  <si>
    <t>E1140P046</t>
  </si>
  <si>
    <t>Sourton</t>
  </si>
  <si>
    <t>West DevonSouth Tawton</t>
  </si>
  <si>
    <t>E1140P047</t>
  </si>
  <si>
    <t>South Tawton</t>
  </si>
  <si>
    <t>West DevonSpreyton</t>
  </si>
  <si>
    <t>E1140P048</t>
  </si>
  <si>
    <t>Spreyton</t>
  </si>
  <si>
    <t>West DevonSticklepath</t>
  </si>
  <si>
    <t>E1140P049</t>
  </si>
  <si>
    <t>Sticklepath</t>
  </si>
  <si>
    <t>West DevonStowford</t>
  </si>
  <si>
    <t>E1140P050</t>
  </si>
  <si>
    <t>Stowford</t>
  </si>
  <si>
    <t>West DevonSydenham Damerel</t>
  </si>
  <si>
    <t>E1140P051</t>
  </si>
  <si>
    <t>Sydenham Damerel</t>
  </si>
  <si>
    <t>West DevonTavistock</t>
  </si>
  <si>
    <t>E1140P052</t>
  </si>
  <si>
    <t>Tavistock</t>
  </si>
  <si>
    <t>West DevonThrowleigh</t>
  </si>
  <si>
    <t>E1140P053</t>
  </si>
  <si>
    <t>Throwleigh</t>
  </si>
  <si>
    <t>West DevonMeavy (grouped with Sheepstor and Walkhampton into Burrator grouped)</t>
  </si>
  <si>
    <t>E1140P057</t>
  </si>
  <si>
    <t>Meavy (grouped with Sheepstor and Walkhampton into Burrator grouped)</t>
  </si>
  <si>
    <t>West DevonCoryton (grouped with Lewtrenchard, Marystow and Thrushelton into Lewdown grouped)</t>
  </si>
  <si>
    <t>E1140P060</t>
  </si>
  <si>
    <t>Coryton (grouped with Lewtrenchard, Marystow and Thrushelton into Lewdown grouped)</t>
  </si>
  <si>
    <t>West DevonSampford Spiney (grouped with Whitchurch into Plasterdown grouped)</t>
  </si>
  <si>
    <t>E1140P064</t>
  </si>
  <si>
    <t>Sampford Spiney (grouped with Whitchurch into Plasterdown grouped)</t>
  </si>
  <si>
    <t>West DevonBradstone (grouped with Milton Abbot and Dunterton into Milton Abbot grouped)</t>
  </si>
  <si>
    <t>E1140P065</t>
  </si>
  <si>
    <t>Bradstone (grouped with Milton Abbot and Dunterton into Milton Abbot grouped)</t>
  </si>
  <si>
    <t>West DevonDunterton (grouped with Milton Abbot and Bradstone into Milton Abbot grouped)</t>
  </si>
  <si>
    <t>E1140P066</t>
  </si>
  <si>
    <t>Dunterton (grouped with Milton Abbot and Bradstone into Milton Abbot grouped)</t>
  </si>
  <si>
    <t>West DevonJacobstowe (grouped with Exbourne into Exbourne &amp; Jacobstowe grouped)</t>
  </si>
  <si>
    <t>E1140P067</t>
  </si>
  <si>
    <t>Jacobstowe (grouped with Exbourne into Exbourne &amp; Jacobstowe grouped)</t>
  </si>
  <si>
    <t>West DevonLewtrenchard (grouped with Coryton, Marystow and Thrushelton into Lewdown grouped)</t>
  </si>
  <si>
    <t>E1140P068</t>
  </si>
  <si>
    <t>Lewtrenchard (grouped with Coryton, Marystow and Thrushelton into Lewdown grouped)</t>
  </si>
  <si>
    <t>West DevonMarystow (grouped with Lewtrenchard, Coryton and Thrushelton into Lewdown grouped)</t>
  </si>
  <si>
    <t>E1140P069</t>
  </si>
  <si>
    <t>Marystow (grouped with Lewtrenchard, Coryton and Thrushelton into Lewdown grouped)</t>
  </si>
  <si>
    <t>West DevonSheepstor (grouped with Meavy and Walkhampton into Burrator grouped)</t>
  </si>
  <si>
    <t>E1140P070</t>
  </si>
  <si>
    <t>Sheepstor (grouped with Meavy and Walkhampton into Burrator grouped)</t>
  </si>
  <si>
    <t>West DevonThrushelton (grouped with Lewtrenchard, Marystow and Coryton into Lewdown grouped)</t>
  </si>
  <si>
    <t>E1140P071</t>
  </si>
  <si>
    <t>Thrushelton (grouped with Lewtrenchard, Marystow and Coryton into Lewdown grouped)</t>
  </si>
  <si>
    <t>West DevonWalkhampton (grouped with Meavy and Sheepstor into Burrator grouped)</t>
  </si>
  <si>
    <t>E1140P072</t>
  </si>
  <si>
    <t>Walkhampton (grouped with Meavy and Sheepstor into Burrator grouped)</t>
  </si>
  <si>
    <t>West DevonWhitchurch (grouped with Sampford Spiney into Plasterdown grouped)</t>
  </si>
  <si>
    <t>E1140P073</t>
  </si>
  <si>
    <t>Whitchurch (grouped with Sampford Spiney into Plasterdown grouped)</t>
  </si>
  <si>
    <t>DorsetAbbotsbury (Chesil Bank)</t>
  </si>
  <si>
    <t>E1203P001</t>
  </si>
  <si>
    <t>Abbotsbury (Chesil Bank)</t>
  </si>
  <si>
    <t>DorsetAffpuddle &amp; Turnerspuddle</t>
  </si>
  <si>
    <t>E1203P002</t>
  </si>
  <si>
    <t>Affpuddle &amp; Turnerspuddle</t>
  </si>
  <si>
    <t>DorsetAlderholt</t>
  </si>
  <si>
    <t>E1203P003</t>
  </si>
  <si>
    <t>Alderholt</t>
  </si>
  <si>
    <t>DorsetAlton Pancras (Piddle Valley)</t>
  </si>
  <si>
    <t>E1203P005</t>
  </si>
  <si>
    <t>Alton Pancras (Piddle Valley)</t>
  </si>
  <si>
    <t>DorsetAnderson</t>
  </si>
  <si>
    <t>E1203P006</t>
  </si>
  <si>
    <t>Anderson</t>
  </si>
  <si>
    <t>DorsetArne</t>
  </si>
  <si>
    <t>E1203P007</t>
  </si>
  <si>
    <t>Arne</t>
  </si>
  <si>
    <t>DorsetAshmore</t>
  </si>
  <si>
    <t>E1203P008</t>
  </si>
  <si>
    <t>Ashmore</t>
  </si>
  <si>
    <t>DorsetAskerswell</t>
  </si>
  <si>
    <t>E1203P009</t>
  </si>
  <si>
    <t>Askerswell</t>
  </si>
  <si>
    <t>DorsetAthelhampton (Puddletown Area)</t>
  </si>
  <si>
    <t>E1203P010</t>
  </si>
  <si>
    <t>Athelhampton (Puddletown Area)</t>
  </si>
  <si>
    <t>DorsetBatcombe (High Stoy)</t>
  </si>
  <si>
    <t>E1203P011</t>
  </si>
  <si>
    <t>Batcombe (High Stoy)</t>
  </si>
  <si>
    <t>DorsetBeaminster</t>
  </si>
  <si>
    <t>E1203P012</t>
  </si>
  <si>
    <t>Beaminster</t>
  </si>
  <si>
    <t>DorsetBeerhacket (Thornhackett)</t>
  </si>
  <si>
    <t>E1203P013</t>
  </si>
  <si>
    <t>Beerhacket (Thornhackett)</t>
  </si>
  <si>
    <t>DorsetBere Regis</t>
  </si>
  <si>
    <t>E1203P014</t>
  </si>
  <si>
    <t>Bere Regis</t>
  </si>
  <si>
    <t>DorsetBettiscombe (Upper Marshwood Vale)</t>
  </si>
  <si>
    <t>E1203P015</t>
  </si>
  <si>
    <t>Bettiscombe (Upper Marshwood Vale)</t>
  </si>
  <si>
    <t>DorsetBincombe (Winterbourne Farringdon)</t>
  </si>
  <si>
    <t>E1203P016</t>
  </si>
  <si>
    <t>Bincombe (Winterbourne Farringdon)</t>
  </si>
  <si>
    <t>DorsetBishops Caundle</t>
  </si>
  <si>
    <t>E1203P017</t>
  </si>
  <si>
    <t>Bishops Caundle</t>
  </si>
  <si>
    <t>DorsetBlandford Forum</t>
  </si>
  <si>
    <t>E1203P018</t>
  </si>
  <si>
    <t>Blandford Forum</t>
  </si>
  <si>
    <t>DorsetBlandford St. Mary</t>
  </si>
  <si>
    <t>E1203P019</t>
  </si>
  <si>
    <t>Blandford St. Mary</t>
  </si>
  <si>
    <t>DorsetBloxworth</t>
  </si>
  <si>
    <t>E1203P020</t>
  </si>
  <si>
    <t>Bloxworth</t>
  </si>
  <si>
    <t>DorsetBourton</t>
  </si>
  <si>
    <t>E1203P022</t>
  </si>
  <si>
    <t>Bourton</t>
  </si>
  <si>
    <t>DorsetBradford Abbas</t>
  </si>
  <si>
    <t>E1203P023</t>
  </si>
  <si>
    <t>Bradford Abbas</t>
  </si>
  <si>
    <t>DorsetBradford Peverell</t>
  </si>
  <si>
    <t>E1203P024</t>
  </si>
  <si>
    <t>Bradford Peverell</t>
  </si>
  <si>
    <t>DorsetBridport</t>
  </si>
  <si>
    <t>E1203P026</t>
  </si>
  <si>
    <t>Bridport</t>
  </si>
  <si>
    <t>DorsetBroadmayne</t>
  </si>
  <si>
    <t>E1203P027</t>
  </si>
  <si>
    <t>Broadmayne</t>
  </si>
  <si>
    <t>DorsetBroadwindsor (Broadwindsor Group)</t>
  </si>
  <si>
    <t>E1203P028</t>
  </si>
  <si>
    <t>Broadwindsor (Broadwindsor Group)</t>
  </si>
  <si>
    <t>DorsetBryanston</t>
  </si>
  <si>
    <t>E1203P029</t>
  </si>
  <si>
    <t>Bryanston</t>
  </si>
  <si>
    <t>DorsetBuckhorn Weston</t>
  </si>
  <si>
    <t>E1203P030</t>
  </si>
  <si>
    <t>Buckhorn Weston</t>
  </si>
  <si>
    <t>DorsetBuckland Newton</t>
  </si>
  <si>
    <t>E1203P031</t>
  </si>
  <si>
    <t>Buckland Newton</t>
  </si>
  <si>
    <t>DorsetBurleston (Puddletown Area)</t>
  </si>
  <si>
    <t>E1203P032</t>
  </si>
  <si>
    <t>Burleston (Puddletown Area)</t>
  </si>
  <si>
    <t>DorsetBurstock (Broadwindsor Group)</t>
  </si>
  <si>
    <t>E1203P033</t>
  </si>
  <si>
    <t>Burstock (Broadwindsor Group)</t>
  </si>
  <si>
    <t>DorsetBurton Bradstock</t>
  </si>
  <si>
    <t>E1203P034</t>
  </si>
  <si>
    <t>Burton Bradstock</t>
  </si>
  <si>
    <t>DorsetCann</t>
  </si>
  <si>
    <t>E1203P035</t>
  </si>
  <si>
    <t>Cann</t>
  </si>
  <si>
    <t>DorsetCastleton (Yeo Head)</t>
  </si>
  <si>
    <t>E1203P036</t>
  </si>
  <si>
    <t>Castleton (Yeo Head)</t>
  </si>
  <si>
    <t>DorsetCatherston Leweston</t>
  </si>
  <si>
    <t>E1203P037</t>
  </si>
  <si>
    <t>Catherston Leweston</t>
  </si>
  <si>
    <t>DorsetCattistock (Frome Valley)</t>
  </si>
  <si>
    <t>E1203P038</t>
  </si>
  <si>
    <t>Cattistock (Frome Valley)</t>
  </si>
  <si>
    <t>DorsetCaundle Marsh</t>
  </si>
  <si>
    <t>E1203P039</t>
  </si>
  <si>
    <t>Caundle Marsh</t>
  </si>
  <si>
    <t>DorsetCerne abbas (Cerne Valley)</t>
  </si>
  <si>
    <t>E1203P040</t>
  </si>
  <si>
    <t>Cerne abbas (Cerne Valley)</t>
  </si>
  <si>
    <t>DorsetChalbury (grouped with Horton Wimborne St Giles &amp; Woodlands)</t>
  </si>
  <si>
    <t>E1203P041</t>
  </si>
  <si>
    <t>Chalbury (grouped with Horton Wimborne St Giles &amp; Woodlands)</t>
  </si>
  <si>
    <t>DorsetChaldon Herring</t>
  </si>
  <si>
    <t>E1203P042</t>
  </si>
  <si>
    <t>Chaldon Herring</t>
  </si>
  <si>
    <t>DorsetCharlton Marshall</t>
  </si>
  <si>
    <t>E1203P043</t>
  </si>
  <si>
    <t>Charlton Marshall</t>
  </si>
  <si>
    <t>DorsetCharminster</t>
  </si>
  <si>
    <t>E1203P044</t>
  </si>
  <si>
    <t>Charminster</t>
  </si>
  <si>
    <t>DorsetCharmouth</t>
  </si>
  <si>
    <t>E1203P045</t>
  </si>
  <si>
    <t>Charmouth</t>
  </si>
  <si>
    <t>DorsetChedington</t>
  </si>
  <si>
    <t>E1203P046</t>
  </si>
  <si>
    <t>Chedington</t>
  </si>
  <si>
    <t>DorsetCheselbourne</t>
  </si>
  <si>
    <t>E1203P047</t>
  </si>
  <si>
    <t>Cheselbourne</t>
  </si>
  <si>
    <t>DorsetChetnole (Chetnole and Stockwood)</t>
  </si>
  <si>
    <t>E1203P048</t>
  </si>
  <si>
    <t>Chetnole (Chetnole and Stockwood)</t>
  </si>
  <si>
    <t>DorsetChettle</t>
  </si>
  <si>
    <t>E1203P049</t>
  </si>
  <si>
    <t>Chettle</t>
  </si>
  <si>
    <t>DorsetChickerell</t>
  </si>
  <si>
    <t>E1203P050</t>
  </si>
  <si>
    <t>Chickerell</t>
  </si>
  <si>
    <t>DorsetChideock</t>
  </si>
  <si>
    <t>E1203P051</t>
  </si>
  <si>
    <t>Chideock</t>
  </si>
  <si>
    <t>DorsetChilcombe</t>
  </si>
  <si>
    <t>E1203P052</t>
  </si>
  <si>
    <t>Chilcombe</t>
  </si>
  <si>
    <t>DorsetChild Okeford</t>
  </si>
  <si>
    <t>E1203P053</t>
  </si>
  <si>
    <t>Child Okeford</t>
  </si>
  <si>
    <t>DorsetChilfrome (Frome Valley)</t>
  </si>
  <si>
    <t>E1203P054</t>
  </si>
  <si>
    <t>Chilfrome (Frome Valley)</t>
  </si>
  <si>
    <t>DorsetChurch Knowle</t>
  </si>
  <si>
    <t>E1203P055</t>
  </si>
  <si>
    <t>Church Knowle</t>
  </si>
  <si>
    <t>DorsetClifton Maybank</t>
  </si>
  <si>
    <t>E1203P056</t>
  </si>
  <si>
    <t>Clifton Maybank</t>
  </si>
  <si>
    <t>DorsetColehill</t>
  </si>
  <si>
    <t>E1203P057</t>
  </si>
  <si>
    <t>Colehill</t>
  </si>
  <si>
    <t>DorsetCompton Abbas</t>
  </si>
  <si>
    <t>E1203P058</t>
  </si>
  <si>
    <t>Compton Abbas</t>
  </si>
  <si>
    <t>DorsetCompton Valence (The Comptons &amp; Toller &amp; Wynford)</t>
  </si>
  <si>
    <t>E1203P059</t>
  </si>
  <si>
    <t>Compton Valence (The Comptons &amp; Toller &amp; Wynford)</t>
  </si>
  <si>
    <t>DorsetCoombe Keynes</t>
  </si>
  <si>
    <t>E1203P060</t>
  </si>
  <si>
    <t>Coombe Keynes</t>
  </si>
  <si>
    <t>DorsetCorfe Castle</t>
  </si>
  <si>
    <t>E1203P061</t>
  </si>
  <si>
    <t>Corfe Castle</t>
  </si>
  <si>
    <t>DorsetCorfe Mullen</t>
  </si>
  <si>
    <t>E1203P062</t>
  </si>
  <si>
    <t>Corfe Mullen</t>
  </si>
  <si>
    <t>DorsetCorscombe (Corscombe Halstock &amp; District)</t>
  </si>
  <si>
    <t>E1203P063</t>
  </si>
  <si>
    <t>Corscombe (Corscombe Halstock &amp; District)</t>
  </si>
  <si>
    <t>DorsetCranborne</t>
  </si>
  <si>
    <t>E1203P064</t>
  </si>
  <si>
    <t>Cranborne</t>
  </si>
  <si>
    <t>DorsetCrichel (Grouped with Witchampton)</t>
  </si>
  <si>
    <t>E1203P065</t>
  </si>
  <si>
    <t>Crichel (Grouped with Witchampton)</t>
  </si>
  <si>
    <t>DorsetCrossways</t>
  </si>
  <si>
    <t>E1203P066</t>
  </si>
  <si>
    <t>Crossways</t>
  </si>
  <si>
    <t>DorsetDewlish</t>
  </si>
  <si>
    <t>E1203P067</t>
  </si>
  <si>
    <t>Dewlish</t>
  </si>
  <si>
    <t>DorsetDorchester</t>
  </si>
  <si>
    <t>E1203P068</t>
  </si>
  <si>
    <t>Dorchester</t>
  </si>
  <si>
    <t>DorsetDurweston</t>
  </si>
  <si>
    <t>E1203P069</t>
  </si>
  <si>
    <t>Durweston</t>
  </si>
  <si>
    <t>DorsetEast Chelborough (Corscombe Halstock &amp; District)</t>
  </si>
  <si>
    <t>E1203P070</t>
  </si>
  <si>
    <t>East Chelborough (Corscombe Halstock &amp; District)</t>
  </si>
  <si>
    <t>DorsetEast Holme</t>
  </si>
  <si>
    <t>E1203P071</t>
  </si>
  <si>
    <t>East Holme</t>
  </si>
  <si>
    <t>DorsetEast Lulworth</t>
  </si>
  <si>
    <t>E1203P072</t>
  </si>
  <si>
    <t>East Lulworth</t>
  </si>
  <si>
    <t>DorsetEast Orchard</t>
  </si>
  <si>
    <t>E1203P073</t>
  </si>
  <si>
    <t>East Orchard</t>
  </si>
  <si>
    <t>DorsetEast Stoke</t>
  </si>
  <si>
    <t>E1203P074</t>
  </si>
  <si>
    <t>East Stoke</t>
  </si>
  <si>
    <t>DorsetEast Stour</t>
  </si>
  <si>
    <t>E1203P075</t>
  </si>
  <si>
    <t>East Stour</t>
  </si>
  <si>
    <t>DorsetEdmondsham</t>
  </si>
  <si>
    <t>E1203P076</t>
  </si>
  <si>
    <t>Edmondsham</t>
  </si>
  <si>
    <t>DorsetEvershot</t>
  </si>
  <si>
    <t>E1203P077</t>
  </si>
  <si>
    <t>Evershot</t>
  </si>
  <si>
    <t>DorsetFarnham</t>
  </si>
  <si>
    <t>E1203P078</t>
  </si>
  <si>
    <t>Farnham</t>
  </si>
  <si>
    <t>DorsetFerndown</t>
  </si>
  <si>
    <t>E1203P079</t>
  </si>
  <si>
    <t>Ferndown</t>
  </si>
  <si>
    <t>DorsetFifehead Magdalen</t>
  </si>
  <si>
    <t>E1203P080</t>
  </si>
  <si>
    <t>Fifehead Magdalen</t>
  </si>
  <si>
    <t>DorsetFifehead Neville</t>
  </si>
  <si>
    <t>E1203P081</t>
  </si>
  <si>
    <t>Fifehead Neville</t>
  </si>
  <si>
    <t>DorsetFleet (Chesil Bank)</t>
  </si>
  <si>
    <t>E1203P082</t>
  </si>
  <si>
    <t>Fleet (Chesil Bank)</t>
  </si>
  <si>
    <t>DorsetFolke</t>
  </si>
  <si>
    <t>E1203P083</t>
  </si>
  <si>
    <t>Folke</t>
  </si>
  <si>
    <t>DorsetFontmell Magna</t>
  </si>
  <si>
    <t>E1203P084</t>
  </si>
  <si>
    <t>Fontmell Magna</t>
  </si>
  <si>
    <t>DorsetFrampton</t>
  </si>
  <si>
    <t>E1203P085</t>
  </si>
  <si>
    <t>Frampton</t>
  </si>
  <si>
    <t>DorsetFrome St Quintin (Frome Valley)</t>
  </si>
  <si>
    <t>E1203P086</t>
  </si>
  <si>
    <t>Frome St Quintin (Frome Valley)</t>
  </si>
  <si>
    <t>DorsetFrome Vauchurch</t>
  </si>
  <si>
    <t>E1203P087</t>
  </si>
  <si>
    <t>Frome Vauchurch</t>
  </si>
  <si>
    <t>DorsetGillingham</t>
  </si>
  <si>
    <t>E1203P088</t>
  </si>
  <si>
    <t>Gillingham</t>
  </si>
  <si>
    <t>DorsetGlanvilles Wootton</t>
  </si>
  <si>
    <t>E1203P089</t>
  </si>
  <si>
    <t>Glanvilles Wootton</t>
  </si>
  <si>
    <t>DorsetGoathill (Yeo Head)</t>
  </si>
  <si>
    <t>E1203P090</t>
  </si>
  <si>
    <t>Goathill (Yeo Head)</t>
  </si>
  <si>
    <t>DorsetGodmanstone (Cerne Valley)</t>
  </si>
  <si>
    <t>E1203P091</t>
  </si>
  <si>
    <t>Godmanstone (Cerne Valley)</t>
  </si>
  <si>
    <t>DorsetGussage All Saints</t>
  </si>
  <si>
    <t>E1203P092</t>
  </si>
  <si>
    <t>Gussage All Saints</t>
  </si>
  <si>
    <t>DorsetGussage St. Michael</t>
  </si>
  <si>
    <t>E1203P093</t>
  </si>
  <si>
    <t>Gussage St. Michael</t>
  </si>
  <si>
    <t>DorsetHalstock (Corscombe Halstock &amp; District)</t>
  </si>
  <si>
    <t>E1203P094</t>
  </si>
  <si>
    <t>Halstock (Corscombe Halstock &amp; District)</t>
  </si>
  <si>
    <t>DorsetHammoon</t>
  </si>
  <si>
    <t>E1203P095</t>
  </si>
  <si>
    <t>Hammoon</t>
  </si>
  <si>
    <t>DorsetHanford</t>
  </si>
  <si>
    <t>E1203P096</t>
  </si>
  <si>
    <t>Hanford</t>
  </si>
  <si>
    <t>DorsetHaydon</t>
  </si>
  <si>
    <t>E1203P097</t>
  </si>
  <si>
    <t>Haydon</t>
  </si>
  <si>
    <t>DorsetHazelbury Bryan</t>
  </si>
  <si>
    <t>E1203P098</t>
  </si>
  <si>
    <t>Hazelbury Bryan</t>
  </si>
  <si>
    <t>DorsetHermitage (High Stoy)</t>
  </si>
  <si>
    <t>E1203P099</t>
  </si>
  <si>
    <t>Hermitage (High Stoy)</t>
  </si>
  <si>
    <t>DorsetHilfield (High Stoy)</t>
  </si>
  <si>
    <t>E1203P100</t>
  </si>
  <si>
    <t>Hilfield (High Stoy)</t>
  </si>
  <si>
    <t>DorsetHilton</t>
  </si>
  <si>
    <t>E1203P101</t>
  </si>
  <si>
    <t>DorsetHinton</t>
  </si>
  <si>
    <t>E1203P102</t>
  </si>
  <si>
    <t>Hinton</t>
  </si>
  <si>
    <t>DorsetHinton St. Mary</t>
  </si>
  <si>
    <t>E1203P103</t>
  </si>
  <si>
    <t>Hinton St. Mary</t>
  </si>
  <si>
    <t>DorsetHolnest (Cam Vale)</t>
  </si>
  <si>
    <t>E1203P104</t>
  </si>
  <si>
    <t>Holnest (Cam Vale)</t>
  </si>
  <si>
    <t>DorsetHolt</t>
  </si>
  <si>
    <t>E1203P105</t>
  </si>
  <si>
    <t>Holt</t>
  </si>
  <si>
    <t>DorsetHolwell</t>
  </si>
  <si>
    <t>E1203P106</t>
  </si>
  <si>
    <t>Holwell</t>
  </si>
  <si>
    <t>DorsetHooke</t>
  </si>
  <si>
    <t>E1203P107</t>
  </si>
  <si>
    <t>Hooke</t>
  </si>
  <si>
    <t>DorsetHorton (grouped with Chalbury Wimborne St Giles &amp; Woodlands)</t>
  </si>
  <si>
    <t>E1203P108</t>
  </si>
  <si>
    <t>Horton (grouped with Chalbury Wimborne St Giles &amp; Woodlands)</t>
  </si>
  <si>
    <t>DorsetIbberton</t>
  </si>
  <si>
    <t>E1203P109</t>
  </si>
  <si>
    <t>Ibberton</t>
  </si>
  <si>
    <t>DorsetIwerne Courtney or Shroton</t>
  </si>
  <si>
    <t>E1203P110</t>
  </si>
  <si>
    <t>Iwerne Courtney or Shroton</t>
  </si>
  <si>
    <t>DorsetIwerne Minster</t>
  </si>
  <si>
    <t>E1203P111</t>
  </si>
  <si>
    <t>Iwerne Minster</t>
  </si>
  <si>
    <t>DorsetIwerne Stepleton</t>
  </si>
  <si>
    <t>E1203P112</t>
  </si>
  <si>
    <t>Iwerne Stepleton</t>
  </si>
  <si>
    <t>DorsetKimmeridge</t>
  </si>
  <si>
    <t>E1203P113</t>
  </si>
  <si>
    <t>Kimmeridge</t>
  </si>
  <si>
    <t>DorsetKingston Russell (Kingston Russell and Long Bredy)</t>
  </si>
  <si>
    <t>E1203P114</t>
  </si>
  <si>
    <t>Kingston Russell (Kingston Russell and Long Bredy)</t>
  </si>
  <si>
    <t>DorsetKington Magna</t>
  </si>
  <si>
    <t>E1203P115</t>
  </si>
  <si>
    <t>Kington Magna</t>
  </si>
  <si>
    <t>DorsetLagton Herring (Chesil Bank)</t>
  </si>
  <si>
    <t>E1203P116</t>
  </si>
  <si>
    <t>Lagton Herring (Chesil Bank)</t>
  </si>
  <si>
    <t>DorsetLangton Long Blandford</t>
  </si>
  <si>
    <t>E1203P117</t>
  </si>
  <si>
    <t>Langton Long Blandford</t>
  </si>
  <si>
    <t>DorsetLangton Matravers</t>
  </si>
  <si>
    <t>E1203P118</t>
  </si>
  <si>
    <t>Langton Matravers</t>
  </si>
  <si>
    <t>DorsetLeigh</t>
  </si>
  <si>
    <t>E1203P119</t>
  </si>
  <si>
    <t>Leigh</t>
  </si>
  <si>
    <t>DorsetLeweston (Cam Vale)</t>
  </si>
  <si>
    <t>E1203P120</t>
  </si>
  <si>
    <t>Leweston (Cam Vale)</t>
  </si>
  <si>
    <t>DorsetLillington (Cam Vale)</t>
  </si>
  <si>
    <t>E1203P121</t>
  </si>
  <si>
    <t>Lillington (Cam Vale)</t>
  </si>
  <si>
    <t>DorsetLittlebredy</t>
  </si>
  <si>
    <t>E1203P122</t>
  </si>
  <si>
    <t>Littlebredy</t>
  </si>
  <si>
    <t>DorsetLitton Cheney</t>
  </si>
  <si>
    <t>E1203P123</t>
  </si>
  <si>
    <t>Litton Cheney</t>
  </si>
  <si>
    <t>DorsetLoders</t>
  </si>
  <si>
    <t>E1203P124</t>
  </si>
  <si>
    <t>Loders</t>
  </si>
  <si>
    <t>DorsetLong Bredy (Kingston Russell and Long Bredy)</t>
  </si>
  <si>
    <t>E1203P125</t>
  </si>
  <si>
    <t>Long Bredy (Kingston Russell and Long Bredy)</t>
  </si>
  <si>
    <t>DorsetLongburton (Cam Vale)</t>
  </si>
  <si>
    <t>E1203P126</t>
  </si>
  <si>
    <t>Longburton (Cam Vale)</t>
  </si>
  <si>
    <t>DorsetLydlinch</t>
  </si>
  <si>
    <t>E1203P127</t>
  </si>
  <si>
    <t>Lydlinch</t>
  </si>
  <si>
    <t>DorsetLyme Regis</t>
  </si>
  <si>
    <t>E1203P128</t>
  </si>
  <si>
    <t>Lyme Regis</t>
  </si>
  <si>
    <t>DorsetLytchett Matravers</t>
  </si>
  <si>
    <t>E1203P129</t>
  </si>
  <si>
    <t>Lytchett Matravers</t>
  </si>
  <si>
    <t>DorsetLytchett Minster and Upton</t>
  </si>
  <si>
    <t>E1203P130</t>
  </si>
  <si>
    <t>Lytchett Minster and Upton</t>
  </si>
  <si>
    <t>DorsetMaiden Newton</t>
  </si>
  <si>
    <t>E1203P131</t>
  </si>
  <si>
    <t>Maiden Newton</t>
  </si>
  <si>
    <t>DorsetManston</t>
  </si>
  <si>
    <t>E1203P132</t>
  </si>
  <si>
    <t>Manston</t>
  </si>
  <si>
    <t>DorsetMapperton</t>
  </si>
  <si>
    <t>E1203P133</t>
  </si>
  <si>
    <t>Mapperton</t>
  </si>
  <si>
    <t>DorsetMappowder</t>
  </si>
  <si>
    <t>E1203P134</t>
  </si>
  <si>
    <t>Mappowder</t>
  </si>
  <si>
    <t>DorsetMargaret Marsh</t>
  </si>
  <si>
    <t>E1203P135</t>
  </si>
  <si>
    <t>Margaret Marsh</t>
  </si>
  <si>
    <t>DorsetMarnhull</t>
  </si>
  <si>
    <t>E1203P136</t>
  </si>
  <si>
    <t>Marnhull</t>
  </si>
  <si>
    <t>DorsetMarshwood (Upper Marshwood Vale)</t>
  </si>
  <si>
    <t>E1203P137</t>
  </si>
  <si>
    <t>Marshwood (Upper Marshwood Vale)</t>
  </si>
  <si>
    <t>DorsetMelbury Abbas</t>
  </si>
  <si>
    <t>E1203P138</t>
  </si>
  <si>
    <t>Melbury Abbas</t>
  </si>
  <si>
    <t>DorsetMelbury Bubb</t>
  </si>
  <si>
    <t>E1203P139</t>
  </si>
  <si>
    <t>Melbury Bubb</t>
  </si>
  <si>
    <t>DorsetMelbury Osmond</t>
  </si>
  <si>
    <t>E1203P140</t>
  </si>
  <si>
    <t>Melbury Osmond</t>
  </si>
  <si>
    <t>DorsetMelbury Sampford</t>
  </si>
  <si>
    <t>E1203P141</t>
  </si>
  <si>
    <t>Melbury Sampford</t>
  </si>
  <si>
    <t>DorsetMelcombe Horsey</t>
  </si>
  <si>
    <t>E1203P142</t>
  </si>
  <si>
    <t>Melcombe Horsey</t>
  </si>
  <si>
    <t>DorsetMilborne St. Andrew</t>
  </si>
  <si>
    <t>E1203P143</t>
  </si>
  <si>
    <t>Milborne St. Andrew</t>
  </si>
  <si>
    <t>DorsetMilton Abbas</t>
  </si>
  <si>
    <t>E1203P144</t>
  </si>
  <si>
    <t>Milton Abbas</t>
  </si>
  <si>
    <t>DorsetMinterne Magna</t>
  </si>
  <si>
    <t>E1203P145</t>
  </si>
  <si>
    <t>Minterne Magna</t>
  </si>
  <si>
    <t>DorsetMorden</t>
  </si>
  <si>
    <t>E1203P146</t>
  </si>
  <si>
    <t>Morden</t>
  </si>
  <si>
    <t>DorsetMoreton</t>
  </si>
  <si>
    <t>E1203P147</t>
  </si>
  <si>
    <t>Moreton</t>
  </si>
  <si>
    <t>DorsetMosterton</t>
  </si>
  <si>
    <t>E1203P148</t>
  </si>
  <si>
    <t>Mosterton</t>
  </si>
  <si>
    <t>DorsetMotcombe</t>
  </si>
  <si>
    <t>E1203P149</t>
  </si>
  <si>
    <t>Motcombe</t>
  </si>
  <si>
    <t>DorsetNether Cerne (Cerne Valley)</t>
  </si>
  <si>
    <t>E1203P150</t>
  </si>
  <si>
    <t>Nether Cerne (Cerne Valley)</t>
  </si>
  <si>
    <t>DorsetNether Compton (Queen Thorne)</t>
  </si>
  <si>
    <t>E1203P151</t>
  </si>
  <si>
    <t>Nether Compton (Queen Thorne)</t>
  </si>
  <si>
    <t>DorsetNetherbury</t>
  </si>
  <si>
    <t>E1203P152</t>
  </si>
  <si>
    <t>Netherbury</t>
  </si>
  <si>
    <t>DorsetNorth Poorton (Powerstock and North Poorton)</t>
  </si>
  <si>
    <t>E1203P153</t>
  </si>
  <si>
    <t>North Poorton (Powerstock and North Poorton)</t>
  </si>
  <si>
    <t>DorsetNorth Wooton</t>
  </si>
  <si>
    <t>E1203P154</t>
  </si>
  <si>
    <t>North Wooton</t>
  </si>
  <si>
    <t>DorsetOborne (Yeo Head)</t>
  </si>
  <si>
    <t>E1203P155</t>
  </si>
  <si>
    <t>Oborne (Yeo Head)</t>
  </si>
  <si>
    <t>DorsetOkeford Fitzpaine</t>
  </si>
  <si>
    <t>E1203P156</t>
  </si>
  <si>
    <t>Okeford Fitzpaine</t>
  </si>
  <si>
    <t>DorsetOsmington</t>
  </si>
  <si>
    <t>E1203P157</t>
  </si>
  <si>
    <t>Osmington</t>
  </si>
  <si>
    <t>DorsetOver Compton (Queen Thorne)</t>
  </si>
  <si>
    <t>E1203P158</t>
  </si>
  <si>
    <t>Over Compton (Queen Thorne)</t>
  </si>
  <si>
    <t>DorsetOwermoigne</t>
  </si>
  <si>
    <t>E1203P159</t>
  </si>
  <si>
    <t>Owermoigne</t>
  </si>
  <si>
    <t>DorsetPamphill (grouped with Shapwick)</t>
  </si>
  <si>
    <t>E1203P160</t>
  </si>
  <si>
    <t>Pamphill (grouped with Shapwick)</t>
  </si>
  <si>
    <t>DorsetPiddlehinton (Piddle Valley)</t>
  </si>
  <si>
    <t>E1203P161</t>
  </si>
  <si>
    <t>Piddlehinton (Piddle Valley)</t>
  </si>
  <si>
    <t>DorsetPiddletrenthide (Piddle Valley)</t>
  </si>
  <si>
    <t>E1203P162</t>
  </si>
  <si>
    <t>Piddletrenthide (Piddle Valley)</t>
  </si>
  <si>
    <t>DorsetPilsdon (Upper Marshwood Vale)</t>
  </si>
  <si>
    <t>E1203P163</t>
  </si>
  <si>
    <t>Pilsdon (Upper Marshwood Vale)</t>
  </si>
  <si>
    <t>DorsetPimperne</t>
  </si>
  <si>
    <t>E1203P164</t>
  </si>
  <si>
    <t>Pimperne</t>
  </si>
  <si>
    <t>DorsetPortesham (Upper Marshwood Vale)</t>
  </si>
  <si>
    <t>E1203P165</t>
  </si>
  <si>
    <t>Portesham (Upper Marshwood Vale)</t>
  </si>
  <si>
    <t>DorsetPortland Town Council</t>
  </si>
  <si>
    <t>E1203P166</t>
  </si>
  <si>
    <t>Portland Town Council</t>
  </si>
  <si>
    <t>DorsetPowerstock (Powerstock and North Poorton)</t>
  </si>
  <si>
    <t>E1203P167</t>
  </si>
  <si>
    <t>Powerstock (Powerstock and North Poorton)</t>
  </si>
  <si>
    <t>DorsetPoxwell</t>
  </si>
  <si>
    <t>E1203P168</t>
  </si>
  <si>
    <t>Poxwell</t>
  </si>
  <si>
    <t>DorsetPoyntington (Yeo Head)</t>
  </si>
  <si>
    <t>E1203P169</t>
  </si>
  <si>
    <t>Poyntington (Yeo Head)</t>
  </si>
  <si>
    <t>DorsetPuddletown (Puddletown Area)</t>
  </si>
  <si>
    <t>E1203P170</t>
  </si>
  <si>
    <t>Puddletown (Puddletown Area)</t>
  </si>
  <si>
    <t>DorsetPulham</t>
  </si>
  <si>
    <t>E1203P171</t>
  </si>
  <si>
    <t>Pulham</t>
  </si>
  <si>
    <t>DorsetPuncknowle (Puncknowle and Swyre Group)</t>
  </si>
  <si>
    <t>E1203P172</t>
  </si>
  <si>
    <t>Puncknowle (Puncknowle and Swyre Group)</t>
  </si>
  <si>
    <t>DorsetPurse Caundle</t>
  </si>
  <si>
    <t>E1203P173</t>
  </si>
  <si>
    <t>Purse Caundle</t>
  </si>
  <si>
    <t>DorsetRampisham</t>
  </si>
  <si>
    <t>E1203P174</t>
  </si>
  <si>
    <t>Rampisham</t>
  </si>
  <si>
    <t>DorsetRyme Intrinseca (Yetminster and Ryme Intrinseca)</t>
  </si>
  <si>
    <t>E1203P175</t>
  </si>
  <si>
    <t>Ryme Intrinseca (Yetminster and Ryme Intrinseca)</t>
  </si>
  <si>
    <t>DorsetSanford Orcas (Queen Thorne)</t>
  </si>
  <si>
    <t>E1203P176</t>
  </si>
  <si>
    <t>Sanford Orcas (Queen Thorne)</t>
  </si>
  <si>
    <t>DorsetSeaborough (Broadwindsor Group)</t>
  </si>
  <si>
    <t>E1203P177</t>
  </si>
  <si>
    <t>Seaborough (Broadwindsor Group)</t>
  </si>
  <si>
    <t>DorsetShaftesbury</t>
  </si>
  <si>
    <t>E1203P178</t>
  </si>
  <si>
    <t>Shaftesbury</t>
  </si>
  <si>
    <t>DorsetShapwick (grouped with Pamphill)</t>
  </si>
  <si>
    <t>E1203P179</t>
  </si>
  <si>
    <t>Shapwick (grouped with Pamphill)</t>
  </si>
  <si>
    <t>DorsetSherborne</t>
  </si>
  <si>
    <t>E1203P180</t>
  </si>
  <si>
    <t>Sherborne</t>
  </si>
  <si>
    <t>DorsetShillingstone</t>
  </si>
  <si>
    <t>E1203P181</t>
  </si>
  <si>
    <t>Shillingstone</t>
  </si>
  <si>
    <t>DorsetShipton Gorge</t>
  </si>
  <si>
    <t>E1203P182</t>
  </si>
  <si>
    <t>Shipton Gorge</t>
  </si>
  <si>
    <t>DorsetSilton</t>
  </si>
  <si>
    <t>E1203P183</t>
  </si>
  <si>
    <t>Silton</t>
  </si>
  <si>
    <t>DorsetSixpenny Handley &amp; Pentridge</t>
  </si>
  <si>
    <t>E1203P184</t>
  </si>
  <si>
    <t>Sixpenny Handley &amp; Pentridge</t>
  </si>
  <si>
    <t>DorsetSouth Perrott</t>
  </si>
  <si>
    <t>E1203P185</t>
  </si>
  <si>
    <t>South Perrott</t>
  </si>
  <si>
    <t>DorsetSpetisbury</t>
  </si>
  <si>
    <t>E1203P186</t>
  </si>
  <si>
    <t>Spetisbury</t>
  </si>
  <si>
    <t>DorsetSt. Leonards and St. Ives</t>
  </si>
  <si>
    <t>E1203P187</t>
  </si>
  <si>
    <t>St. Leonards and St. Ives</t>
  </si>
  <si>
    <t>DorsetStalbridge</t>
  </si>
  <si>
    <t>E1203P188</t>
  </si>
  <si>
    <t>Stalbridge</t>
  </si>
  <si>
    <t>DorsetStanton St Gabriel (Char Valley)</t>
  </si>
  <si>
    <t>E1203P189</t>
  </si>
  <si>
    <t>Stanton St Gabriel (Char Valley)</t>
  </si>
  <si>
    <t>DorsetSteeple</t>
  </si>
  <si>
    <t>E1203P190</t>
  </si>
  <si>
    <t>Steeple</t>
  </si>
  <si>
    <t>DorsetStinsford</t>
  </si>
  <si>
    <t>E1203P191</t>
  </si>
  <si>
    <t>Stinsford</t>
  </si>
  <si>
    <t>DorsetStockwood (Chetnole and Stockwood)</t>
  </si>
  <si>
    <t>E1203P192</t>
  </si>
  <si>
    <t>Stockwood (Chetnole and Stockwood)</t>
  </si>
  <si>
    <t>DorsetStoke Abbot (Upper Marshwood Vale)</t>
  </si>
  <si>
    <t>E1203P193</t>
  </si>
  <si>
    <t>Stoke Abbot (Upper Marshwood Vale)</t>
  </si>
  <si>
    <t>DorsetStoke Wake</t>
  </si>
  <si>
    <t>E1203P194</t>
  </si>
  <si>
    <t>Stoke Wake</t>
  </si>
  <si>
    <t>DorsetStour Provost</t>
  </si>
  <si>
    <t>E1203P195</t>
  </si>
  <si>
    <t>Stour Provost</t>
  </si>
  <si>
    <t>DorsetStourpaine</t>
  </si>
  <si>
    <t>E1203P196</t>
  </si>
  <si>
    <t>Stourpaine</t>
  </si>
  <si>
    <t>DorsetStourton Caundle</t>
  </si>
  <si>
    <t>E1203P197</t>
  </si>
  <si>
    <t>Stourton Caundle</t>
  </si>
  <si>
    <t>DorsetStratton</t>
  </si>
  <si>
    <t>E1203P198</t>
  </si>
  <si>
    <t>Stratton</t>
  </si>
  <si>
    <t>DorsetStudland</t>
  </si>
  <si>
    <t>E1203P199</t>
  </si>
  <si>
    <t>Studland</t>
  </si>
  <si>
    <t>DorsetSturminster Marshall</t>
  </si>
  <si>
    <t>E1203P200</t>
  </si>
  <si>
    <t>Sturminster Marshall</t>
  </si>
  <si>
    <t>DorsetSturminster Newton</t>
  </si>
  <si>
    <t>E1203P201</t>
  </si>
  <si>
    <t>Sturminster Newton</t>
  </si>
  <si>
    <t>DorsetSutton Waldron</t>
  </si>
  <si>
    <t>E1203P202</t>
  </si>
  <si>
    <t>Sutton Waldron</t>
  </si>
  <si>
    <t>DorsetSwanage</t>
  </si>
  <si>
    <t>E1203P203</t>
  </si>
  <si>
    <t>Swanage</t>
  </si>
  <si>
    <t>DorsetSwyre (Puncknowle and Swyre Group)</t>
  </si>
  <si>
    <t>E1203P204</t>
  </si>
  <si>
    <t>Swyre (Puncknowle and Swyre Group)</t>
  </si>
  <si>
    <t>DorsetSydling St Nicholas</t>
  </si>
  <si>
    <t>E1203P205</t>
  </si>
  <si>
    <t>Sydling St Nicholas</t>
  </si>
  <si>
    <t>DorsetSymondsbury</t>
  </si>
  <si>
    <t>E1203P206</t>
  </si>
  <si>
    <t>Symondsbury</t>
  </si>
  <si>
    <t>DorsetTarrant Crawford</t>
  </si>
  <si>
    <t>E1203P207</t>
  </si>
  <si>
    <t>Tarrant Crawford</t>
  </si>
  <si>
    <t>DorsetTarrant Gunville</t>
  </si>
  <si>
    <t>E1203P208</t>
  </si>
  <si>
    <t>Tarrant Gunville</t>
  </si>
  <si>
    <t>DorsetTarrant Hinton</t>
  </si>
  <si>
    <t>E1203P209</t>
  </si>
  <si>
    <t>Tarrant Hinton</t>
  </si>
  <si>
    <t>DorsetTarrant Keyneston</t>
  </si>
  <si>
    <t>E1203P210</t>
  </si>
  <si>
    <t>Tarrant Keyneston</t>
  </si>
  <si>
    <t>DorsetTarrant Launceston</t>
  </si>
  <si>
    <t>E1203P211</t>
  </si>
  <si>
    <t>Tarrant Launceston</t>
  </si>
  <si>
    <t>DorsetTarrant Monkton</t>
  </si>
  <si>
    <t>E1203P212</t>
  </si>
  <si>
    <t>Tarrant Monkton</t>
  </si>
  <si>
    <t>DorsetTarrant Rawston</t>
  </si>
  <si>
    <t>E1203P213</t>
  </si>
  <si>
    <t>Tarrant Rawston</t>
  </si>
  <si>
    <t>DorsetTarrant Rushton</t>
  </si>
  <si>
    <t>E1203P214</t>
  </si>
  <si>
    <t>Tarrant Rushton</t>
  </si>
  <si>
    <t>DorsetThorncombe</t>
  </si>
  <si>
    <t>E1203P215</t>
  </si>
  <si>
    <t>Thorncombe</t>
  </si>
  <si>
    <t>DorsetThornford (Thornhackett)</t>
  </si>
  <si>
    <t>E1203P216</t>
  </si>
  <si>
    <t>Thornford (Thornhackett)</t>
  </si>
  <si>
    <t>DorsetTincleton (Knightsford)</t>
  </si>
  <si>
    <t>E1203P217</t>
  </si>
  <si>
    <t>Tincleton (Knightsford)</t>
  </si>
  <si>
    <t>DorsetTodber</t>
  </si>
  <si>
    <t>E1203P218</t>
  </si>
  <si>
    <t>Todber</t>
  </si>
  <si>
    <t>DorsetToller Fratrum (The Comptons &amp; Toller &amp; Wynford)</t>
  </si>
  <si>
    <t>E1203P219</t>
  </si>
  <si>
    <t>Toller Fratrum (The Comptons &amp; Toller &amp; Wynford)</t>
  </si>
  <si>
    <t>DorsetToller Porcorum</t>
  </si>
  <si>
    <t>E1203P220</t>
  </si>
  <si>
    <t>Toller Porcorum</t>
  </si>
  <si>
    <t>DorsetTolpuddle (Puddletown Area)</t>
  </si>
  <si>
    <t>E1203P221</t>
  </si>
  <si>
    <t>Tolpuddle (Puddletown Area)</t>
  </si>
  <si>
    <t>DorsetTrent (Queen Thorne)</t>
  </si>
  <si>
    <t>E1203P222</t>
  </si>
  <si>
    <t>Trent (Queen Thorne)</t>
  </si>
  <si>
    <t>DorsetTurnworth</t>
  </si>
  <si>
    <t>E1203P223</t>
  </si>
  <si>
    <t>Turnworth</t>
  </si>
  <si>
    <t>DorsetUp Cerne (Cerne Valley)</t>
  </si>
  <si>
    <t>E1203P224</t>
  </si>
  <si>
    <t>Up Cerne (Cerne Valley)</t>
  </si>
  <si>
    <t>DorsetVerwood</t>
  </si>
  <si>
    <t>E1203P225</t>
  </si>
  <si>
    <t>Verwood</t>
  </si>
  <si>
    <t>DorsetWareham St. Martin</t>
  </si>
  <si>
    <t>E1203P226</t>
  </si>
  <si>
    <t>Wareham St. Martin</t>
  </si>
  <si>
    <t>DorsetWareham Town</t>
  </si>
  <si>
    <t>E1203P227</t>
  </si>
  <si>
    <t>Wareham Town</t>
  </si>
  <si>
    <t>DorsetWarmwell</t>
  </si>
  <si>
    <t>E1203P228</t>
  </si>
  <si>
    <t>Warmwell</t>
  </si>
  <si>
    <t>DorsetWest Chelborough (Corscombe Halstock &amp; District)</t>
  </si>
  <si>
    <t>E1203P229</t>
  </si>
  <si>
    <t>West Chelborough (Corscombe Halstock &amp; District)</t>
  </si>
  <si>
    <t>DorsetWest Compton (The Comptons &amp; Toller &amp; Wynford)</t>
  </si>
  <si>
    <t>E1203P230</t>
  </si>
  <si>
    <t>West Compton (The Comptons &amp; Toller &amp; Wynford)</t>
  </si>
  <si>
    <t>DorsetWest Knighton (Knightsford)</t>
  </si>
  <si>
    <t>E1203P231</t>
  </si>
  <si>
    <t>West Knighton (Knightsford)</t>
  </si>
  <si>
    <t>DorsetWest Lulworth</t>
  </si>
  <si>
    <t>E1203P232</t>
  </si>
  <si>
    <t>West Lulworth</t>
  </si>
  <si>
    <t>DorsetWest Moors</t>
  </si>
  <si>
    <t>E1203P233</t>
  </si>
  <si>
    <t>West Moors</t>
  </si>
  <si>
    <t>DorsetWest Orchard</t>
  </si>
  <si>
    <t>E1203P234</t>
  </si>
  <si>
    <t>West Orchard</t>
  </si>
  <si>
    <t>DorsetWest Parley</t>
  </si>
  <si>
    <t>E1203P235</t>
  </si>
  <si>
    <t>West Parley</t>
  </si>
  <si>
    <t>DorsetWest Stafford (Knightsford)</t>
  </si>
  <si>
    <t>E1203P236</t>
  </si>
  <si>
    <t>West Stafford (Knightsford)</t>
  </si>
  <si>
    <t>DorsetWest Stour</t>
  </si>
  <si>
    <t>E1203P237</t>
  </si>
  <si>
    <t>West Stour</t>
  </si>
  <si>
    <t>DorsetWeymouth</t>
  </si>
  <si>
    <t>E1203P238</t>
  </si>
  <si>
    <t>Weymouth</t>
  </si>
  <si>
    <t>DorsetWhitchurch Canonicorum (Char Valley)</t>
  </si>
  <si>
    <t>E1203P239</t>
  </si>
  <si>
    <t>Whitchurch Canonicorum (Char Valley)</t>
  </si>
  <si>
    <t>DorsetWhitcombe (Winterbourne Farringdon)</t>
  </si>
  <si>
    <t>E1203P240</t>
  </si>
  <si>
    <t>Whitcombe (Winterbourne Farringdon)</t>
  </si>
  <si>
    <t>DorsetWimborne Minster</t>
  </si>
  <si>
    <t>E1203P241</t>
  </si>
  <si>
    <t>Wimborne Minster</t>
  </si>
  <si>
    <t>DorsetWimborne St Giles (grouped with Chalbury Horton &amp; Woodlands)</t>
  </si>
  <si>
    <t>E1203P242</t>
  </si>
  <si>
    <t>Wimborne St Giles (grouped with Chalbury Horton &amp; Woodlands)</t>
  </si>
  <si>
    <t>DorsetWinfrith Newburgh</t>
  </si>
  <si>
    <t>E1203P243</t>
  </si>
  <si>
    <t>Winfrith Newburgh</t>
  </si>
  <si>
    <t>DorsetWinterborne Clenston</t>
  </si>
  <si>
    <t>E1203P244</t>
  </si>
  <si>
    <t>Winterborne Clenston</t>
  </si>
  <si>
    <t>DorsetWinterborne Houghton</t>
  </si>
  <si>
    <t>E1203P245</t>
  </si>
  <si>
    <t>Winterborne Houghton</t>
  </si>
  <si>
    <t>DorsetWinterborne Kingston</t>
  </si>
  <si>
    <t>E1203P246</t>
  </si>
  <si>
    <t>Winterborne Kingston</t>
  </si>
  <si>
    <t>DorsetWinterborne St Martin</t>
  </si>
  <si>
    <t>E1203P247</t>
  </si>
  <si>
    <t>Winterborne St Martin</t>
  </si>
  <si>
    <t>DorsetWinterborne Stickland</t>
  </si>
  <si>
    <t>E1203P248</t>
  </si>
  <si>
    <t>Winterborne Stickland</t>
  </si>
  <si>
    <t>DorsetWinterborne Whitechurch</t>
  </si>
  <si>
    <t>E1203P249</t>
  </si>
  <si>
    <t>Winterborne Whitechurch</t>
  </si>
  <si>
    <t>DorsetWinterborne Zelston</t>
  </si>
  <si>
    <t>E1203P250</t>
  </si>
  <si>
    <t>Winterborne Zelston</t>
  </si>
  <si>
    <t>DorsetWinterbourne Abbas (Winterbourne Abbas and Winterbourne Steepleton)</t>
  </si>
  <si>
    <t>E1203P251</t>
  </si>
  <si>
    <t>Winterbourne Abbas (Winterbourne Abbas and Winterbourne Steepleton)</t>
  </si>
  <si>
    <t>DorsetWinterbourne Came (Winterbourne Farringdon)</t>
  </si>
  <si>
    <t>E1203P252</t>
  </si>
  <si>
    <t>Winterbourne Came (Winterbourne Farringdon)</t>
  </si>
  <si>
    <t>DorsetWinterbourne Herringston (Nonbu (Winterbourne Farringdon)</t>
  </si>
  <si>
    <t>E1203P253</t>
  </si>
  <si>
    <t>Winterbourne Herringston (Nonbu (Winterbourne Farringdon)</t>
  </si>
  <si>
    <t>DorsetWinterbourne Monkton (Winterbourne Farringdon)</t>
  </si>
  <si>
    <t>E1203P254</t>
  </si>
  <si>
    <t>Winterbourne Monkton (Winterbourne Farringdon)</t>
  </si>
  <si>
    <t>DorsetWinterbourne Steepleton (Winterbourne Abbas and Winterbourne Steepleton)</t>
  </si>
  <si>
    <t>E1203P255</t>
  </si>
  <si>
    <t>Winterbourne Steepleton (Winterbourne Abbas and Winterbourne Steepleton)</t>
  </si>
  <si>
    <t>DorsetWithchampton (Grouped with Crichel)</t>
  </si>
  <si>
    <t>E1203P256</t>
  </si>
  <si>
    <t>Withchampton (Grouped with Crichel)</t>
  </si>
  <si>
    <t>DorsetWoodlands (grouped with Chalbury Wimborne St Giles &amp; Horton)</t>
  </si>
  <si>
    <t>E1203P257</t>
  </si>
  <si>
    <t>Woodlands (grouped with Chalbury Wimborne St Giles &amp; Horton)</t>
  </si>
  <si>
    <t>DorsetWoodsford (Knightsford)</t>
  </si>
  <si>
    <t>E1203P258</t>
  </si>
  <si>
    <t>Woodsford (Knightsford)</t>
  </si>
  <si>
    <t>DorsetWool</t>
  </si>
  <si>
    <t>E1203P259</t>
  </si>
  <si>
    <t>Wool</t>
  </si>
  <si>
    <t>DorsetWoolland</t>
  </si>
  <si>
    <t>E1203P260</t>
  </si>
  <si>
    <t>Woolland</t>
  </si>
  <si>
    <t>DorsetWootton Fitzpaine (Char Valley)</t>
  </si>
  <si>
    <t>E1203P261</t>
  </si>
  <si>
    <t>Wootton Fitzpaine (Char Valley)</t>
  </si>
  <si>
    <t>DorsetWorth Matravers</t>
  </si>
  <si>
    <t>E1203P262</t>
  </si>
  <si>
    <t>Worth Matravers</t>
  </si>
  <si>
    <t>DorsetWraxall</t>
  </si>
  <si>
    <t>E1203P263</t>
  </si>
  <si>
    <t>Wraxall</t>
  </si>
  <si>
    <t>DorsetWynford Eagle (The Comptons &amp; Toller &amp; Wynford)</t>
  </si>
  <si>
    <t>E1203P264</t>
  </si>
  <si>
    <t>Wynford Eagle (The Comptons &amp; Toller &amp; Wynford)</t>
  </si>
  <si>
    <t>DorsetYetminster (Yetminster &amp; Ryme Intrinseca)</t>
  </si>
  <si>
    <t>E1203P265</t>
  </si>
  <si>
    <t>Yetminster (Yetminster &amp; Ryme Intrinseca)</t>
  </si>
  <si>
    <t>Bournemouth, Christchurch and PooleBurton</t>
  </si>
  <si>
    <t>E1204P001</t>
  </si>
  <si>
    <t>Burton</t>
  </si>
  <si>
    <t>Bournemouth, Christchurch and PooleBournemouth Charter Trustee</t>
  </si>
  <si>
    <t>E1204P002</t>
  </si>
  <si>
    <t>Bournemouth Charter Trustee</t>
  </si>
  <si>
    <t>Bournemouth, Christchurch and PooleChristchurch Town Council</t>
  </si>
  <si>
    <t>E1204P003</t>
  </si>
  <si>
    <t>Christchurch Town Council</t>
  </si>
  <si>
    <t>Bournemouth, Christchurch and PooleHighcliffeand Walkford Neighbourhood Council</t>
  </si>
  <si>
    <t>E1204P004</t>
  </si>
  <si>
    <t>Highcliffeand Walkford Neighbourhood Council</t>
  </si>
  <si>
    <t>Bournemouth, Christchurch and PooleHurn</t>
  </si>
  <si>
    <t>E1204P006</t>
  </si>
  <si>
    <t>Hurn</t>
  </si>
  <si>
    <t>Bournemouth, Christchurch and PoolePoole Charter Trustee</t>
  </si>
  <si>
    <t>E1204P007</t>
  </si>
  <si>
    <t>Poole Charter Trustee</t>
  </si>
  <si>
    <t>Bournemouth, Christchurch and PooleThroop and Holdenhurst</t>
  </si>
  <si>
    <t>E1204P008</t>
  </si>
  <si>
    <t>Throop and Holdenhurst</t>
  </si>
  <si>
    <t>DarlingtonArchdeacon Newton</t>
  </si>
  <si>
    <t>E1301P001</t>
  </si>
  <si>
    <t>Archdeacon Newton</t>
  </si>
  <si>
    <t>DarlingtonBishopton</t>
  </si>
  <si>
    <t>E1301P003</t>
  </si>
  <si>
    <t>Bishopton</t>
  </si>
  <si>
    <t>DarlingtonHeighington</t>
  </si>
  <si>
    <t>E1301P010</t>
  </si>
  <si>
    <t>Heighington</t>
  </si>
  <si>
    <t>DarlingtonHigh Coniscliffe</t>
  </si>
  <si>
    <t>E1301P011</t>
  </si>
  <si>
    <t>High Coniscliffe</t>
  </si>
  <si>
    <t>DarlingtonHurworth</t>
  </si>
  <si>
    <t>E1301P013</t>
  </si>
  <si>
    <t>Hurworth</t>
  </si>
  <si>
    <t>DarlingtonLow Coniscliffe and Merrybent</t>
  </si>
  <si>
    <t>E1301P016</t>
  </si>
  <si>
    <t>Low Coniscliffe and Merrybent</t>
  </si>
  <si>
    <t>DarlingtonMiddleton St. George</t>
  </si>
  <si>
    <t>E1301P018</t>
  </si>
  <si>
    <t>Middleton St. George</t>
  </si>
  <si>
    <t>DarlingtonNeasham</t>
  </si>
  <si>
    <t>E1301P020</t>
  </si>
  <si>
    <t>Neasham</t>
  </si>
  <si>
    <t>DarlingtonPiercebridge</t>
  </si>
  <si>
    <t>E1301P021</t>
  </si>
  <si>
    <t>Piercebridge</t>
  </si>
  <si>
    <t>DarlingtonSadberge</t>
  </si>
  <si>
    <t>E1301P022</t>
  </si>
  <si>
    <t>Sadberge</t>
  </si>
  <si>
    <t>DarlingtonWalworth</t>
  </si>
  <si>
    <t>E1301P025</t>
  </si>
  <si>
    <t>Walworth</t>
  </si>
  <si>
    <t>DarlingtonWhessoe</t>
  </si>
  <si>
    <t>E1301P026</t>
  </si>
  <si>
    <t>Whessoe</t>
  </si>
  <si>
    <t>DarlingtonBarmpton</t>
  </si>
  <si>
    <t>E1301P027</t>
  </si>
  <si>
    <t>Barmpton</t>
  </si>
  <si>
    <t>DarlingtonBrafferton</t>
  </si>
  <si>
    <t>E1301P028</t>
  </si>
  <si>
    <t>Brafferton</t>
  </si>
  <si>
    <t>DarlingtonCoatham Mundeville</t>
  </si>
  <si>
    <t>E1301P029</t>
  </si>
  <si>
    <t>Coatham Mundeville</t>
  </si>
  <si>
    <t>DarlingtonDenton</t>
  </si>
  <si>
    <t>E1301P030</t>
  </si>
  <si>
    <t>Denton</t>
  </si>
  <si>
    <t>DarlingtonEast and West Newbiggin</t>
  </si>
  <si>
    <t>E1301P031</t>
  </si>
  <si>
    <t>East and West Newbiggin</t>
  </si>
  <si>
    <t>DarlingtonGreat Burdon</t>
  </si>
  <si>
    <t>E1301P032</t>
  </si>
  <si>
    <t>Great Burdon</t>
  </si>
  <si>
    <t>DarlingtonGreat Stainton</t>
  </si>
  <si>
    <t>E1301P033</t>
  </si>
  <si>
    <t>Great Stainton</t>
  </si>
  <si>
    <t>DarlingtonHoughton Le Side</t>
  </si>
  <si>
    <t>E1301P034</t>
  </si>
  <si>
    <t>Houghton Le Side</t>
  </si>
  <si>
    <t>DarlingtonKillerby</t>
  </si>
  <si>
    <t>E1301P035</t>
  </si>
  <si>
    <t>Killerby</t>
  </si>
  <si>
    <t>DarlingtonLittle Stainton</t>
  </si>
  <si>
    <t>E1301P036</t>
  </si>
  <si>
    <t>Little Stainton</t>
  </si>
  <si>
    <t>DarlingtonMorton Palms</t>
  </si>
  <si>
    <t>E1301P037</t>
  </si>
  <si>
    <t>Morton Palms</t>
  </si>
  <si>
    <t>DarlingtonSummerhouse</t>
  </si>
  <si>
    <t>E1301P039</t>
  </si>
  <si>
    <t>Summerhouse</t>
  </si>
  <si>
    <t>DurhamBarforth</t>
  </si>
  <si>
    <t>E1302P001</t>
  </si>
  <si>
    <t>Barforth</t>
  </si>
  <si>
    <t>DurhamBarnard Castle</t>
  </si>
  <si>
    <t>E1302P002</t>
  </si>
  <si>
    <t>Barnard Castle</t>
  </si>
  <si>
    <t>DurhamBarningham</t>
  </si>
  <si>
    <t>E1302P003</t>
  </si>
  <si>
    <t>Barningham</t>
  </si>
  <si>
    <t>DurhamBearpark</t>
  </si>
  <si>
    <t>E1302P004</t>
  </si>
  <si>
    <t>Bearpark</t>
  </si>
  <si>
    <t>DurhamBelmont</t>
  </si>
  <si>
    <t>E1302P005</t>
  </si>
  <si>
    <t>Belmont</t>
  </si>
  <si>
    <t>DurhamBishop Auckland</t>
  </si>
  <si>
    <t>E1302P006</t>
  </si>
  <si>
    <t>Bishop Auckland</t>
  </si>
  <si>
    <t>DurhamBishop Middleham</t>
  </si>
  <si>
    <t>E1302P007</t>
  </si>
  <si>
    <t>Bishop Middleham</t>
  </si>
  <si>
    <t>DurhamBolam</t>
  </si>
  <si>
    <t>E1302P008</t>
  </si>
  <si>
    <t>Bolam</t>
  </si>
  <si>
    <t>DurhamBoldron</t>
  </si>
  <si>
    <t>E1302P009</t>
  </si>
  <si>
    <t>Boldron</t>
  </si>
  <si>
    <t>DurhamBournmoor</t>
  </si>
  <si>
    <t>E1302P010</t>
  </si>
  <si>
    <t>Bournmoor</t>
  </si>
  <si>
    <t>DurhamBowes</t>
  </si>
  <si>
    <t>E1302P011</t>
  </si>
  <si>
    <t>Bowes</t>
  </si>
  <si>
    <t>DurhamBradbury and the Isle</t>
  </si>
  <si>
    <t>E1302P012</t>
  </si>
  <si>
    <t>Bradbury and the Isle</t>
  </si>
  <si>
    <t>DurhamBrancepeth</t>
  </si>
  <si>
    <t>E1302P013</t>
  </si>
  <si>
    <t>Brancepeth</t>
  </si>
  <si>
    <t>DurhamBrandon and Byshottles</t>
  </si>
  <si>
    <t>E1302P014</t>
  </si>
  <si>
    <t>Brandon and Byshottles</t>
  </si>
  <si>
    <t>DurhamBrignall (grouped With Rokeby and Egglestone Abbey)</t>
  </si>
  <si>
    <t>E1302P015</t>
  </si>
  <si>
    <t>Brignall (grouped With Rokeby and Egglestone Abbey)</t>
  </si>
  <si>
    <t>DurhamBurnhope</t>
  </si>
  <si>
    <t>E1302P016</t>
  </si>
  <si>
    <t>Burnhope</t>
  </si>
  <si>
    <t>DurhamCassop cum Quarrington</t>
  </si>
  <si>
    <t>E1302P017</t>
  </si>
  <si>
    <t>Cassop cum Quarrington</t>
  </si>
  <si>
    <t>DurhamCastle Eden</t>
  </si>
  <si>
    <t>E1302P018</t>
  </si>
  <si>
    <t>Castle Eden</t>
  </si>
  <si>
    <t>DurhamChilton</t>
  </si>
  <si>
    <t>E1302P019</t>
  </si>
  <si>
    <t>DurhamCleatlam</t>
  </si>
  <si>
    <t>E1302P020</t>
  </si>
  <si>
    <t>Cleatlam</t>
  </si>
  <si>
    <t>DurhamCockfield</t>
  </si>
  <si>
    <t>E1302P021</t>
  </si>
  <si>
    <t>Cockfield</t>
  </si>
  <si>
    <t>DurhamCornforth</t>
  </si>
  <si>
    <t>E1302P022</t>
  </si>
  <si>
    <t>Cornforth</t>
  </si>
  <si>
    <t>DurhamCornsay</t>
  </si>
  <si>
    <t>E1302P023</t>
  </si>
  <si>
    <t>Cornsay</t>
  </si>
  <si>
    <t>DurhamCotherstone</t>
  </si>
  <si>
    <t>E1302P024</t>
  </si>
  <si>
    <t>Cotherstone</t>
  </si>
  <si>
    <t>DurhamCoxhoe</t>
  </si>
  <si>
    <t>E1302P025</t>
  </si>
  <si>
    <t>Coxhoe</t>
  </si>
  <si>
    <t>DurhamCroxdale and Hett</t>
  </si>
  <si>
    <t>E1302P026</t>
  </si>
  <si>
    <t>Croxdale and Hett</t>
  </si>
  <si>
    <t>DurhamDalton le Dale</t>
  </si>
  <si>
    <t>E1302P027</t>
  </si>
  <si>
    <t>Dalton le Dale</t>
  </si>
  <si>
    <t>DurhamDene Valley</t>
  </si>
  <si>
    <t>E1302P028</t>
  </si>
  <si>
    <t>Dene Valley</t>
  </si>
  <si>
    <t>DurhamEasington Colliery</t>
  </si>
  <si>
    <t>E1302P029</t>
  </si>
  <si>
    <t>Easington Colliery</t>
  </si>
  <si>
    <t>DurhamEasington Village</t>
  </si>
  <si>
    <t>E1302P030</t>
  </si>
  <si>
    <t>Easington Village</t>
  </si>
  <si>
    <t>DurhamEdmondsley</t>
  </si>
  <si>
    <t>E1302P032</t>
  </si>
  <si>
    <t>Edmondsley</t>
  </si>
  <si>
    <t>DurhamEggleston</t>
  </si>
  <si>
    <t>E1302P033</t>
  </si>
  <si>
    <t>Eggleston</t>
  </si>
  <si>
    <t>DurhamEgglestone Abbey (grouped With Rokeby and Brignall)</t>
  </si>
  <si>
    <t>E1302P034</t>
  </si>
  <si>
    <t>Egglestone Abbey (grouped With Rokeby and Brignall)</t>
  </si>
  <si>
    <t>DurhamEldon</t>
  </si>
  <si>
    <t>E1302P035</t>
  </si>
  <si>
    <t>Eldon</t>
  </si>
  <si>
    <t>DurhamEsh</t>
  </si>
  <si>
    <t>E1302P036</t>
  </si>
  <si>
    <t>Esh</t>
  </si>
  <si>
    <t>DurhamEtherley</t>
  </si>
  <si>
    <t>E1302P037</t>
  </si>
  <si>
    <t>Etherley</t>
  </si>
  <si>
    <t>DurhamEvenwood and Barony</t>
  </si>
  <si>
    <t>E1302P038</t>
  </si>
  <si>
    <t>Evenwood and Barony</t>
  </si>
  <si>
    <t>DurhamFerryhill</t>
  </si>
  <si>
    <t>E1302P039</t>
  </si>
  <si>
    <t>Ferryhill</t>
  </si>
  <si>
    <t>DurhamFishburn</t>
  </si>
  <si>
    <t>E1302P040</t>
  </si>
  <si>
    <t>Fishburn</t>
  </si>
  <si>
    <t>DurhamForest and Frith</t>
  </si>
  <si>
    <t>E1302P041</t>
  </si>
  <si>
    <t>Forest and Frith</t>
  </si>
  <si>
    <t>DurhamFramwellgate Moor</t>
  </si>
  <si>
    <t>E1302P042</t>
  </si>
  <si>
    <t>Framwellgate Moor</t>
  </si>
  <si>
    <t>DurhamGainford (grouped with Langton)</t>
  </si>
  <si>
    <t>E1302P043</t>
  </si>
  <si>
    <t>Gainford (grouped with Langton)</t>
  </si>
  <si>
    <t>DurhamGilmonby</t>
  </si>
  <si>
    <t>E1302P044</t>
  </si>
  <si>
    <t>Gilmonby</t>
  </si>
  <si>
    <t>DurhamGreat Aycliffe</t>
  </si>
  <si>
    <t>E1302P045</t>
  </si>
  <si>
    <t>Great Aycliffe</t>
  </si>
  <si>
    <t>DurhamGreat Lumley</t>
  </si>
  <si>
    <t>E1302P046</t>
  </si>
  <si>
    <t>Great Lumley</t>
  </si>
  <si>
    <t>DurhamGreater Willington</t>
  </si>
  <si>
    <t>E1302P047</t>
  </si>
  <si>
    <t>Greater Willington</t>
  </si>
  <si>
    <t>DurhamGreencroft</t>
  </si>
  <si>
    <t>E1302P048</t>
  </si>
  <si>
    <t>Greencroft</t>
  </si>
  <si>
    <t>DurhamHamsterley</t>
  </si>
  <si>
    <t>E1302P049</t>
  </si>
  <si>
    <t>Hamsterley</t>
  </si>
  <si>
    <t>DurhamHaswell</t>
  </si>
  <si>
    <t>E1302P050</t>
  </si>
  <si>
    <t>Haswell</t>
  </si>
  <si>
    <t>DurhamHawthorn</t>
  </si>
  <si>
    <t>E1302P051</t>
  </si>
  <si>
    <t>Hawthorn</t>
  </si>
  <si>
    <t>DurhamHeadlam</t>
  </si>
  <si>
    <t>E1302P052</t>
  </si>
  <si>
    <t>Headlam</t>
  </si>
  <si>
    <t>DurhamHealeyfield</t>
  </si>
  <si>
    <t>E1302P053</t>
  </si>
  <si>
    <t>Healeyfield</t>
  </si>
  <si>
    <t>DurhamHedleyhope</t>
  </si>
  <si>
    <t>E1302P054</t>
  </si>
  <si>
    <t>Hedleyhope</t>
  </si>
  <si>
    <t>DurhamHilton</t>
  </si>
  <si>
    <t>E1302P055</t>
  </si>
  <si>
    <t>DurhamHolwick</t>
  </si>
  <si>
    <t>E1302P056</t>
  </si>
  <si>
    <t>Holwick</t>
  </si>
  <si>
    <t>DurhamHope</t>
  </si>
  <si>
    <t>E1302P057</t>
  </si>
  <si>
    <t>Hope</t>
  </si>
  <si>
    <t>DurhamHorden</t>
  </si>
  <si>
    <t>E1302P058</t>
  </si>
  <si>
    <t>Horden</t>
  </si>
  <si>
    <t>DurhamHunderthwaite</t>
  </si>
  <si>
    <t>E1302P059</t>
  </si>
  <si>
    <t>Hunderthwaite</t>
  </si>
  <si>
    <t>DurhamHutton Henry</t>
  </si>
  <si>
    <t>E1302P061</t>
  </si>
  <si>
    <t>Hutton Henry</t>
  </si>
  <si>
    <t>DurhamHutton Magna</t>
  </si>
  <si>
    <t>E1302P062</t>
  </si>
  <si>
    <t>Hutton Magna</t>
  </si>
  <si>
    <t>DurhamIngleton</t>
  </si>
  <si>
    <t>E1302P063</t>
  </si>
  <si>
    <t>Ingleton</t>
  </si>
  <si>
    <t>DurhamKelloe</t>
  </si>
  <si>
    <t>E1302P064</t>
  </si>
  <si>
    <t>Kelloe</t>
  </si>
  <si>
    <t>DurhamKimblesworth and Plawsworth</t>
  </si>
  <si>
    <t>E1302P065</t>
  </si>
  <si>
    <t>Kimblesworth and Plawsworth</t>
  </si>
  <si>
    <t>DurhamLanchester</t>
  </si>
  <si>
    <t>E1302P066</t>
  </si>
  <si>
    <t>Lanchester</t>
  </si>
  <si>
    <t>DurhamLangleydale and Shotton</t>
  </si>
  <si>
    <t>E1302P069</t>
  </si>
  <si>
    <t>Langleydale and Shotton</t>
  </si>
  <si>
    <t>DurhamLangton (grouped with Gainford)</t>
  </si>
  <si>
    <t>E1302P070</t>
  </si>
  <si>
    <t>Langton (grouped with Gainford)</t>
  </si>
  <si>
    <t>DurhamLartington</t>
  </si>
  <si>
    <t>E1302P071</t>
  </si>
  <si>
    <t>Lartington</t>
  </si>
  <si>
    <t>DurhamLittle Lumley</t>
  </si>
  <si>
    <t>E1302P072</t>
  </si>
  <si>
    <t>Little Lumley</t>
  </si>
  <si>
    <t>DurhamLunedale</t>
  </si>
  <si>
    <t>E1302P073</t>
  </si>
  <si>
    <t>Lunedale</t>
  </si>
  <si>
    <t>DurhamLynesack and Softley</t>
  </si>
  <si>
    <t>E1302P074</t>
  </si>
  <si>
    <t>Lynesack and Softley</t>
  </si>
  <si>
    <t>DurhamMarwood</t>
  </si>
  <si>
    <t>E1302P075</t>
  </si>
  <si>
    <t>DurhamMickleton</t>
  </si>
  <si>
    <t>E1302P076</t>
  </si>
  <si>
    <t>Mickleton</t>
  </si>
  <si>
    <t>DurhamMiddleton in Teesdale (grouped with Newbiggin)</t>
  </si>
  <si>
    <t>E1302P077</t>
  </si>
  <si>
    <t>Middleton in Teesdale (grouped with Newbiggin)</t>
  </si>
  <si>
    <t>DurhamMiddridge</t>
  </si>
  <si>
    <t>E1302P078</t>
  </si>
  <si>
    <t>Middridge</t>
  </si>
  <si>
    <t>DurhamMonk Hesleden</t>
  </si>
  <si>
    <t>E1302P079</t>
  </si>
  <si>
    <t>Monk Hesleden</t>
  </si>
  <si>
    <t>DurhamMordon</t>
  </si>
  <si>
    <t>E1302P080</t>
  </si>
  <si>
    <t>Mordon</t>
  </si>
  <si>
    <t>DurhamMorton Tinmouth</t>
  </si>
  <si>
    <t>E1302P081</t>
  </si>
  <si>
    <t>Morton Tinmouth</t>
  </si>
  <si>
    <t>DurhamMuggleswick</t>
  </si>
  <si>
    <t>E1302P082</t>
  </si>
  <si>
    <t>Muggleswick</t>
  </si>
  <si>
    <t>DurhamMurton</t>
  </si>
  <si>
    <t>E1302P083</t>
  </si>
  <si>
    <t>DurhamNewbiggin (grouped with Middleton in Teesdale)</t>
  </si>
  <si>
    <t>E1302P085</t>
  </si>
  <si>
    <t>Newbiggin (grouped with Middleton in Teesdale)</t>
  </si>
  <si>
    <t>DurhamNorth Lodge</t>
  </si>
  <si>
    <t>E1302P086</t>
  </si>
  <si>
    <t>North Lodge</t>
  </si>
  <si>
    <t>DurhamOuston</t>
  </si>
  <si>
    <t>E1302P087</t>
  </si>
  <si>
    <t>Ouston</t>
  </si>
  <si>
    <t>DurhamOvington</t>
  </si>
  <si>
    <t>E1302P088</t>
  </si>
  <si>
    <t>Ovington</t>
  </si>
  <si>
    <t>DurhamPelton</t>
  </si>
  <si>
    <t>E1302P089</t>
  </si>
  <si>
    <t>Pelton</t>
  </si>
  <si>
    <t>DurhamPeterlee</t>
  </si>
  <si>
    <t>E1302P090</t>
  </si>
  <si>
    <t>Peterlee</t>
  </si>
  <si>
    <t>DurhamPittington</t>
  </si>
  <si>
    <t>E1302P091</t>
  </si>
  <si>
    <t>Pittington</t>
  </si>
  <si>
    <t>DurhamRaby with Keverstone</t>
  </si>
  <si>
    <t>E1302P092</t>
  </si>
  <si>
    <t>Raby with Keverstone</t>
  </si>
  <si>
    <t>DurhamRokeby (grouped with Brignall and Egglestone Abbey)</t>
  </si>
  <si>
    <t>E1302P093</t>
  </si>
  <si>
    <t>Rokeby (grouped with Brignall and Egglestone Abbey)</t>
  </si>
  <si>
    <t>DurhamRomaldkirk</t>
  </si>
  <si>
    <t>E1302P094</t>
  </si>
  <si>
    <t>Romaldkirk</t>
  </si>
  <si>
    <t>DurhamSacriston</t>
  </si>
  <si>
    <t>E1302P095</t>
  </si>
  <si>
    <t>Sacriston</t>
  </si>
  <si>
    <t>DurhamSatley</t>
  </si>
  <si>
    <t>E1302P096</t>
  </si>
  <si>
    <t>Satley</t>
  </si>
  <si>
    <t>DurhamScargill</t>
  </si>
  <si>
    <t>E1302P097</t>
  </si>
  <si>
    <t>Scargill</t>
  </si>
  <si>
    <t>DurhamSeaham</t>
  </si>
  <si>
    <t>E1302P098</t>
  </si>
  <si>
    <t>Seaham</t>
  </si>
  <si>
    <t>DurhamSeaton with Slingley</t>
  </si>
  <si>
    <t>E1302P099</t>
  </si>
  <si>
    <t>Seaton with Slingley</t>
  </si>
  <si>
    <t>DurhamSedgefield</t>
  </si>
  <si>
    <t>E1302P100</t>
  </si>
  <si>
    <t>Sedgefield</t>
  </si>
  <si>
    <t>DurhamShadforth</t>
  </si>
  <si>
    <t>E1302P101</t>
  </si>
  <si>
    <t>Shadforth</t>
  </si>
  <si>
    <t>DurhamSherburn Village</t>
  </si>
  <si>
    <t>E1302P103</t>
  </si>
  <si>
    <t>Sherburn Village</t>
  </si>
  <si>
    <t>DurhamShildon</t>
  </si>
  <si>
    <t>E1302P104</t>
  </si>
  <si>
    <t>Shildon</t>
  </si>
  <si>
    <t>DurhamShincliffe</t>
  </si>
  <si>
    <t>E1302P105</t>
  </si>
  <si>
    <t>Shincliffe</t>
  </si>
  <si>
    <t>DurhamShotton</t>
  </si>
  <si>
    <t>E1302P106</t>
  </si>
  <si>
    <t>Shotton</t>
  </si>
  <si>
    <t>DurhamSouth Bedburn</t>
  </si>
  <si>
    <t>E1302P107</t>
  </si>
  <si>
    <t>South Bedburn</t>
  </si>
  <si>
    <t>DurhamSouth Hetton</t>
  </si>
  <si>
    <t>E1302P108</t>
  </si>
  <si>
    <t>South Hetton</t>
  </si>
  <si>
    <t>DurhamSpennymoor</t>
  </si>
  <si>
    <t>E1302P109</t>
  </si>
  <si>
    <t>Spennymoor</t>
  </si>
  <si>
    <t>DurhamStaindrop</t>
  </si>
  <si>
    <t>E1302P110</t>
  </si>
  <si>
    <t>Staindrop</t>
  </si>
  <si>
    <t>DurhamStanhope</t>
  </si>
  <si>
    <t>E1302P111</t>
  </si>
  <si>
    <t>Stanhope</t>
  </si>
  <si>
    <t>DurhamStanley</t>
  </si>
  <si>
    <t>E1302P112</t>
  </si>
  <si>
    <t>Stanley</t>
  </si>
  <si>
    <t>DurhamStartforth</t>
  </si>
  <si>
    <t>E1302P113</t>
  </si>
  <si>
    <t>Startforth</t>
  </si>
  <si>
    <t>DurhamStreatlam and Stainton</t>
  </si>
  <si>
    <t>E1302P114</t>
  </si>
  <si>
    <t>Streatlam and Stainton</t>
  </si>
  <si>
    <t>DurhamThornley</t>
  </si>
  <si>
    <t>E1302P115</t>
  </si>
  <si>
    <t>Thornley</t>
  </si>
  <si>
    <t>DurhamTow Law</t>
  </si>
  <si>
    <t>E1302P116</t>
  </si>
  <si>
    <t>Tow Law</t>
  </si>
  <si>
    <t>DurhamTrimdon</t>
  </si>
  <si>
    <t>E1302P117</t>
  </si>
  <si>
    <t>Trimdon</t>
  </si>
  <si>
    <t>DurhamTrimdon Foundry</t>
  </si>
  <si>
    <t>E1302P118</t>
  </si>
  <si>
    <t>Trimdon Foundry</t>
  </si>
  <si>
    <t>DurhamUrpeth</t>
  </si>
  <si>
    <t>E1302P119</t>
  </si>
  <si>
    <t>Urpeth</t>
  </si>
  <si>
    <t>DurhamWackerfield</t>
  </si>
  <si>
    <t>E1302P120</t>
  </si>
  <si>
    <t>Wackerfield</t>
  </si>
  <si>
    <t>DurhamWaldridge</t>
  </si>
  <si>
    <t>E1302P121</t>
  </si>
  <si>
    <t>Waldridge</t>
  </si>
  <si>
    <t>DurhamWest Auckland</t>
  </si>
  <si>
    <t>E1302P122</t>
  </si>
  <si>
    <t>West Auckland</t>
  </si>
  <si>
    <t>DurhamWest Rainton</t>
  </si>
  <si>
    <t>E1302P123</t>
  </si>
  <si>
    <t>West Rainton</t>
  </si>
  <si>
    <t>DurhamWestwick (grouped with Whorlton)</t>
  </si>
  <si>
    <t>E1302P124</t>
  </si>
  <si>
    <t>Westwick (grouped with Whorlton)</t>
  </si>
  <si>
    <t>DurhamWheatley Hill</t>
  </si>
  <si>
    <t>E1302P125</t>
  </si>
  <si>
    <t>Wheatley Hill</t>
  </si>
  <si>
    <t>DurhamWhorlton (grouped with Westwick)</t>
  </si>
  <si>
    <t>E1302P126</t>
  </si>
  <si>
    <t>Whorlton (grouped with Westwick)</t>
  </si>
  <si>
    <t>DurhamWindlestone</t>
  </si>
  <si>
    <t>E1302P127</t>
  </si>
  <si>
    <t>Windlestone</t>
  </si>
  <si>
    <t>DurhamWingate</t>
  </si>
  <si>
    <t>E1302P128</t>
  </si>
  <si>
    <t>Wingate</t>
  </si>
  <si>
    <t>DurhamWinston</t>
  </si>
  <si>
    <t>E1302P129</t>
  </si>
  <si>
    <t>Winston</t>
  </si>
  <si>
    <t>DurhamWitton Gilbert</t>
  </si>
  <si>
    <t>E1302P130</t>
  </si>
  <si>
    <t>Witton Gilbert</t>
  </si>
  <si>
    <t>DurhamWitton le Wear</t>
  </si>
  <si>
    <t>E1302P131</t>
  </si>
  <si>
    <t>Witton le Wear</t>
  </si>
  <si>
    <t>DurhamWolsingham</t>
  </si>
  <si>
    <t>E1302P132</t>
  </si>
  <si>
    <t>Wolsingham</t>
  </si>
  <si>
    <t>DurhamWoodland</t>
  </si>
  <si>
    <t>E1302P134</t>
  </si>
  <si>
    <t>DurhamWycliffe with Thorpe</t>
  </si>
  <si>
    <t>E1302P135</t>
  </si>
  <si>
    <t>Wycliffe with Thorpe</t>
  </si>
  <si>
    <t>DurhamCity of Durham</t>
  </si>
  <si>
    <t>E1302P136</t>
  </si>
  <si>
    <t>City of Durham</t>
  </si>
  <si>
    <t>DurhamCharter Trustees for the City of Durham</t>
  </si>
  <si>
    <t>E1302P137</t>
  </si>
  <si>
    <t>Charter Trustees for the City of Durham</t>
  </si>
  <si>
    <t>Brighton and HoveRottingdean</t>
  </si>
  <si>
    <t>E1401P001</t>
  </si>
  <si>
    <t>Rottingdean</t>
  </si>
  <si>
    <t>LewesBarcombe</t>
  </si>
  <si>
    <t>E1435P001</t>
  </si>
  <si>
    <t>Barcombe</t>
  </si>
  <si>
    <t>LewesChailey</t>
  </si>
  <si>
    <t>E1435P003</t>
  </si>
  <si>
    <t>Chailey</t>
  </si>
  <si>
    <t>LewesDitchling</t>
  </si>
  <si>
    <t>E1435P004</t>
  </si>
  <si>
    <t>Ditchling</t>
  </si>
  <si>
    <t>LewesEast Chiltington</t>
  </si>
  <si>
    <t>E1435P005</t>
  </si>
  <si>
    <t>East Chiltington</t>
  </si>
  <si>
    <t>LewesFalmer</t>
  </si>
  <si>
    <t>E1435P006</t>
  </si>
  <si>
    <t>Falmer</t>
  </si>
  <si>
    <t>LewesFirle</t>
  </si>
  <si>
    <t>E1435P007</t>
  </si>
  <si>
    <t>Firle</t>
  </si>
  <si>
    <t>LewesGlynde and Beddingham</t>
  </si>
  <si>
    <t>E1435P008</t>
  </si>
  <si>
    <t>Glynde and Beddingham</t>
  </si>
  <si>
    <t>LewesHamsey</t>
  </si>
  <si>
    <t>E1435P009</t>
  </si>
  <si>
    <t>Hamsey</t>
  </si>
  <si>
    <t>LewesIford</t>
  </si>
  <si>
    <t>E1435P010</t>
  </si>
  <si>
    <t>Iford</t>
  </si>
  <si>
    <t>LewesKingston near Lewes</t>
  </si>
  <si>
    <t>E1435P011</t>
  </si>
  <si>
    <t>Kingston near Lewes</t>
  </si>
  <si>
    <t>LewesLewes</t>
  </si>
  <si>
    <t>E1435P012</t>
  </si>
  <si>
    <t>LewesNewhaven</t>
  </si>
  <si>
    <t>E1435P013</t>
  </si>
  <si>
    <t>Newhaven</t>
  </si>
  <si>
    <t>LewesNewick</t>
  </si>
  <si>
    <t>E1435P014</t>
  </si>
  <si>
    <t>Newick</t>
  </si>
  <si>
    <t>LewesPeacehaven</t>
  </si>
  <si>
    <t>E1435P015</t>
  </si>
  <si>
    <t>Peacehaven</t>
  </si>
  <si>
    <t>LewesPiddinghoe</t>
  </si>
  <si>
    <t>E1435P016</t>
  </si>
  <si>
    <t>Piddinghoe</t>
  </si>
  <si>
    <t>LewesPlumpton</t>
  </si>
  <si>
    <t>E1435P017</t>
  </si>
  <si>
    <t>Plumpton</t>
  </si>
  <si>
    <t>LewesRingmer</t>
  </si>
  <si>
    <t>E1435P018</t>
  </si>
  <si>
    <t>Ringmer</t>
  </si>
  <si>
    <t>LewesRodmell</t>
  </si>
  <si>
    <t>E1435P019</t>
  </si>
  <si>
    <t>Rodmell</t>
  </si>
  <si>
    <t>LewesSeaford</t>
  </si>
  <si>
    <t>E1435P020</t>
  </si>
  <si>
    <t>Seaford</t>
  </si>
  <si>
    <t>LewesSouth Heighton</t>
  </si>
  <si>
    <t>E1435P021</t>
  </si>
  <si>
    <t>South Heighton</t>
  </si>
  <si>
    <t>LewesSouthease</t>
  </si>
  <si>
    <t>E1435P022</t>
  </si>
  <si>
    <t>Southease</t>
  </si>
  <si>
    <t>LewesSt. Ann (Without)</t>
  </si>
  <si>
    <t>E1435P023</t>
  </si>
  <si>
    <t>St. Ann (Without)</t>
  </si>
  <si>
    <t>LewesSt. John (Without)</t>
  </si>
  <si>
    <t>E1435P024</t>
  </si>
  <si>
    <t>St. John (Without)</t>
  </si>
  <si>
    <t>LewesStreat</t>
  </si>
  <si>
    <t>E1435P025</t>
  </si>
  <si>
    <t>Streat</t>
  </si>
  <si>
    <t>LewesTarring Neville</t>
  </si>
  <si>
    <t>E1435P026</t>
  </si>
  <si>
    <t>Tarring Neville</t>
  </si>
  <si>
    <t>LewesTelscombe</t>
  </si>
  <si>
    <t>E1435P027</t>
  </si>
  <si>
    <t>Telscombe</t>
  </si>
  <si>
    <t>LewesWestmeston</t>
  </si>
  <si>
    <t>E1435P028</t>
  </si>
  <si>
    <t>Westmeston</t>
  </si>
  <si>
    <t>LewesWivelsfield</t>
  </si>
  <si>
    <t>E1435P029</t>
  </si>
  <si>
    <t>Wivelsfield</t>
  </si>
  <si>
    <t>RotherAshburnham &amp; Penshurst</t>
  </si>
  <si>
    <t>E1436P001</t>
  </si>
  <si>
    <t>Ashburnham &amp; Penshurst</t>
  </si>
  <si>
    <t>RotherBattle</t>
  </si>
  <si>
    <t>E1436P002</t>
  </si>
  <si>
    <t>Battle</t>
  </si>
  <si>
    <t>RotherBeckley</t>
  </si>
  <si>
    <t>E1436P003</t>
  </si>
  <si>
    <t>Beckley</t>
  </si>
  <si>
    <t>RotherBodiam</t>
  </si>
  <si>
    <t>E1436P004</t>
  </si>
  <si>
    <t>Bodiam</t>
  </si>
  <si>
    <t>RotherBrede</t>
  </si>
  <si>
    <t>E1436P005</t>
  </si>
  <si>
    <t>Brede</t>
  </si>
  <si>
    <t>RotherBrightling</t>
  </si>
  <si>
    <t>E1436P006</t>
  </si>
  <si>
    <t>Brightling</t>
  </si>
  <si>
    <t>RotherBurwash</t>
  </si>
  <si>
    <t>E1436P007</t>
  </si>
  <si>
    <t>Burwash</t>
  </si>
  <si>
    <t>RotherCamber</t>
  </si>
  <si>
    <t>E1436P008</t>
  </si>
  <si>
    <t>Camber</t>
  </si>
  <si>
    <t>RotherCatsfield</t>
  </si>
  <si>
    <t>E1436P009</t>
  </si>
  <si>
    <t>Catsfield</t>
  </si>
  <si>
    <t>RotherCrowhurst</t>
  </si>
  <si>
    <t>E1436P010</t>
  </si>
  <si>
    <t>Crowhurst</t>
  </si>
  <si>
    <t>RotherDallington</t>
  </si>
  <si>
    <t>E1436P011</t>
  </si>
  <si>
    <t>Dallington</t>
  </si>
  <si>
    <t>RotherEast Guldeford</t>
  </si>
  <si>
    <t>E1436P012</t>
  </si>
  <si>
    <t>East Guldeford</t>
  </si>
  <si>
    <t>RotherEtchingham</t>
  </si>
  <si>
    <t>E1436P013</t>
  </si>
  <si>
    <t>Etchingham</t>
  </si>
  <si>
    <t>RotherEwhurst</t>
  </si>
  <si>
    <t>E1436P014</t>
  </si>
  <si>
    <t>Ewhurst</t>
  </si>
  <si>
    <t>RotherFairlight</t>
  </si>
  <si>
    <t>E1436P015</t>
  </si>
  <si>
    <t>Fairlight</t>
  </si>
  <si>
    <t>RotherGuestling</t>
  </si>
  <si>
    <t>E1436P016</t>
  </si>
  <si>
    <t>Guestling</t>
  </si>
  <si>
    <t>RotherHurst Green</t>
  </si>
  <si>
    <t>E1436P017</t>
  </si>
  <si>
    <t>Hurst Green</t>
  </si>
  <si>
    <t>RotherIcklesham</t>
  </si>
  <si>
    <t>E1436P018</t>
  </si>
  <si>
    <t>Icklesham</t>
  </si>
  <si>
    <t>RotherIden</t>
  </si>
  <si>
    <t>E1436P019</t>
  </si>
  <si>
    <t>Iden</t>
  </si>
  <si>
    <t>RotherMountfield</t>
  </si>
  <si>
    <t>E1436P020</t>
  </si>
  <si>
    <t>Mountfield</t>
  </si>
  <si>
    <t>RotherNorthiam</t>
  </si>
  <si>
    <t>E1436P021</t>
  </si>
  <si>
    <t>Northiam</t>
  </si>
  <si>
    <t>RotherPeasmarsh</t>
  </si>
  <si>
    <t>E1436P022</t>
  </si>
  <si>
    <t>Peasmarsh</t>
  </si>
  <si>
    <t>RotherPett</t>
  </si>
  <si>
    <t>E1436P024</t>
  </si>
  <si>
    <t>Pett</t>
  </si>
  <si>
    <t>RotherPlayden</t>
  </si>
  <si>
    <t>E1436P025</t>
  </si>
  <si>
    <t>Playden</t>
  </si>
  <si>
    <t>RotherRye</t>
  </si>
  <si>
    <t>E1436P026</t>
  </si>
  <si>
    <t>Rye</t>
  </si>
  <si>
    <t>RotherRye Foreign</t>
  </si>
  <si>
    <t>E1436P027</t>
  </si>
  <si>
    <t>Rye Foreign</t>
  </si>
  <si>
    <t>RotherSalehurst and Robertsbridge</t>
  </si>
  <si>
    <t>E1436P028</t>
  </si>
  <si>
    <t>Salehurst and Robertsbridge</t>
  </si>
  <si>
    <t>RotherSedlescombe</t>
  </si>
  <si>
    <t>E1436P029</t>
  </si>
  <si>
    <t>Sedlescombe</t>
  </si>
  <si>
    <t>RotherTicehurst</t>
  </si>
  <si>
    <t>E1436P030</t>
  </si>
  <si>
    <t>Ticehurst</t>
  </si>
  <si>
    <t>RotherUdimore</t>
  </si>
  <si>
    <t>E1436P031</t>
  </si>
  <si>
    <t>Udimore</t>
  </si>
  <si>
    <t>RotherWestfield</t>
  </si>
  <si>
    <t>E1436P032</t>
  </si>
  <si>
    <t>RotherWhatlington</t>
  </si>
  <si>
    <t>E1436P033</t>
  </si>
  <si>
    <t>Whatlington</t>
  </si>
  <si>
    <t>RotherBexhill-on-Sea Parish Council</t>
  </si>
  <si>
    <t>E1436P034</t>
  </si>
  <si>
    <t>Bexhill-on-Sea Parish Council</t>
  </si>
  <si>
    <t>WealdenAlciston</t>
  </si>
  <si>
    <t>E1437P001</t>
  </si>
  <si>
    <t>Alciston</t>
  </si>
  <si>
    <t>WealdenAlfriston</t>
  </si>
  <si>
    <t>E1437P002</t>
  </si>
  <si>
    <t>Alfriston</t>
  </si>
  <si>
    <t>WealdenArlington</t>
  </si>
  <si>
    <t>E1437P003</t>
  </si>
  <si>
    <t>WealdenBerwick</t>
  </si>
  <si>
    <t>E1437P004</t>
  </si>
  <si>
    <t>Berwick</t>
  </si>
  <si>
    <t>WealdenBuxted</t>
  </si>
  <si>
    <t>E1437P005</t>
  </si>
  <si>
    <t>Buxted</t>
  </si>
  <si>
    <t>WealdenChalvington with Ripe</t>
  </si>
  <si>
    <t>E1437P006</t>
  </si>
  <si>
    <t>Chalvington with Ripe</t>
  </si>
  <si>
    <t>WealdenChiddingly</t>
  </si>
  <si>
    <t>E1437P007</t>
  </si>
  <si>
    <t>Chiddingly</t>
  </si>
  <si>
    <t>WealdenCrowborough</t>
  </si>
  <si>
    <t>E1437P008</t>
  </si>
  <si>
    <t>Crowborough</t>
  </si>
  <si>
    <t>WealdenCuckmere Valley</t>
  </si>
  <si>
    <t>E1437P009</t>
  </si>
  <si>
    <t>Cuckmere Valley</t>
  </si>
  <si>
    <t>WealdenDanehill</t>
  </si>
  <si>
    <t>E1437P010</t>
  </si>
  <si>
    <t>Danehill</t>
  </si>
  <si>
    <t>WealdenEast Dean and Friston</t>
  </si>
  <si>
    <t>E1437P011</t>
  </si>
  <si>
    <t>East Dean and Friston</t>
  </si>
  <si>
    <t>WealdenEast Hoathly with Halland</t>
  </si>
  <si>
    <t>E1437P012</t>
  </si>
  <si>
    <t>East Hoathly with Halland</t>
  </si>
  <si>
    <t>WealdenFletching</t>
  </si>
  <si>
    <t>E1437P013</t>
  </si>
  <si>
    <t>Fletching</t>
  </si>
  <si>
    <t>WealdenForest Row</t>
  </si>
  <si>
    <t>E1437P014</t>
  </si>
  <si>
    <t>Forest Row</t>
  </si>
  <si>
    <t>WealdenFramfield</t>
  </si>
  <si>
    <t>E1437P015</t>
  </si>
  <si>
    <t>Framfield</t>
  </si>
  <si>
    <t>WealdenFrant</t>
  </si>
  <si>
    <t>E1437P016</t>
  </si>
  <si>
    <t>Frant</t>
  </si>
  <si>
    <t>WealdenHadlow Down</t>
  </si>
  <si>
    <t>E1437P017</t>
  </si>
  <si>
    <t>Hadlow Down</t>
  </si>
  <si>
    <t>WealdenHailsham</t>
  </si>
  <si>
    <t>E1437P018</t>
  </si>
  <si>
    <t>Hailsham</t>
  </si>
  <si>
    <t>WealdenHartfield</t>
  </si>
  <si>
    <t>E1437P019</t>
  </si>
  <si>
    <t>Hartfield</t>
  </si>
  <si>
    <t>WealdenHeathfield and Waldron</t>
  </si>
  <si>
    <t>E1437P020</t>
  </si>
  <si>
    <t>Heathfield and Waldron</t>
  </si>
  <si>
    <t>WealdenHellingly</t>
  </si>
  <si>
    <t>E1437P021</t>
  </si>
  <si>
    <t>Hellingly</t>
  </si>
  <si>
    <t>WealdenHerstmonceux</t>
  </si>
  <si>
    <t>E1437P022</t>
  </si>
  <si>
    <t>Herstmonceux</t>
  </si>
  <si>
    <t>WealdenHooe</t>
  </si>
  <si>
    <t>E1437P023</t>
  </si>
  <si>
    <t>Hooe</t>
  </si>
  <si>
    <t>WealdenHoram</t>
  </si>
  <si>
    <t>E1437P024</t>
  </si>
  <si>
    <t>Horam</t>
  </si>
  <si>
    <t>WealdenIsfield</t>
  </si>
  <si>
    <t>E1437P025</t>
  </si>
  <si>
    <t>Isfield</t>
  </si>
  <si>
    <t>WealdenLaughton</t>
  </si>
  <si>
    <t>E1437P026</t>
  </si>
  <si>
    <t>Laughton</t>
  </si>
  <si>
    <t>WealdenLittle Horsted</t>
  </si>
  <si>
    <t>E1437P027</t>
  </si>
  <si>
    <t>Little Horsted</t>
  </si>
  <si>
    <t>WealdenLong Man</t>
  </si>
  <si>
    <t>E1437P028</t>
  </si>
  <si>
    <t>Long Man</t>
  </si>
  <si>
    <t>WealdenMaresfield</t>
  </si>
  <si>
    <t>E1437P029</t>
  </si>
  <si>
    <t>Maresfield</t>
  </si>
  <si>
    <t>WealdenMayfield and Five Ashes</t>
  </si>
  <si>
    <t>E1437P030</t>
  </si>
  <si>
    <t>Mayfield and Five Ashes</t>
  </si>
  <si>
    <t>WealdenNinfield</t>
  </si>
  <si>
    <t>E1437P031</t>
  </si>
  <si>
    <t>Ninfield</t>
  </si>
  <si>
    <t>WealdenPevensey</t>
  </si>
  <si>
    <t>E1437P032</t>
  </si>
  <si>
    <t>Pevensey</t>
  </si>
  <si>
    <t>WealdenPolegate</t>
  </si>
  <si>
    <t>E1437P033</t>
  </si>
  <si>
    <t>Polegate</t>
  </si>
  <si>
    <t>WealdenRotherfield</t>
  </si>
  <si>
    <t>E1437P034</t>
  </si>
  <si>
    <t>Rotherfield</t>
  </si>
  <si>
    <t>WealdenSelmeston</t>
  </si>
  <si>
    <t>E1437P035</t>
  </si>
  <si>
    <t>Selmeston</t>
  </si>
  <si>
    <t>WealdenUckfield</t>
  </si>
  <si>
    <t>E1437P036</t>
  </si>
  <si>
    <t>Uckfield</t>
  </si>
  <si>
    <t>WealdenWadhurst</t>
  </si>
  <si>
    <t>E1437P037</t>
  </si>
  <si>
    <t>Wadhurst</t>
  </si>
  <si>
    <t>WealdenWarbleton</t>
  </si>
  <si>
    <t>E1437P038</t>
  </si>
  <si>
    <t>Warbleton</t>
  </si>
  <si>
    <t>WealdenWartling</t>
  </si>
  <si>
    <t>E1437P039</t>
  </si>
  <si>
    <t>Wartling</t>
  </si>
  <si>
    <t>WealdenWestham</t>
  </si>
  <si>
    <t>E1437P040</t>
  </si>
  <si>
    <t>Westham</t>
  </si>
  <si>
    <t>WealdenWillingdon and Jevington</t>
  </si>
  <si>
    <t>E1437P041</t>
  </si>
  <si>
    <t>Willingdon and Jevington</t>
  </si>
  <si>
    <t>WealdenWithyham</t>
  </si>
  <si>
    <t>E1437P042</t>
  </si>
  <si>
    <t>Withyham</t>
  </si>
  <si>
    <t>Southend-on-SeaLeigh on Sea</t>
  </si>
  <si>
    <t>E1501P001</t>
  </si>
  <si>
    <t>Leigh on Sea</t>
  </si>
  <si>
    <t>BasildonBillericay</t>
  </si>
  <si>
    <t>E1531P001</t>
  </si>
  <si>
    <t>Billericay</t>
  </si>
  <si>
    <t>BasildonBowers Gifford and North Benfleet</t>
  </si>
  <si>
    <t>E1531P002</t>
  </si>
  <si>
    <t>Bowers Gifford and North Benfleet</t>
  </si>
  <si>
    <t>BasildonGreat Burstead and South Green</t>
  </si>
  <si>
    <t>E1531P003</t>
  </si>
  <si>
    <t>Great Burstead and South Green</t>
  </si>
  <si>
    <t>BasildonLittle Burstead</t>
  </si>
  <si>
    <t>E1531P004</t>
  </si>
  <si>
    <t>Little Burstead</t>
  </si>
  <si>
    <t>BasildonNoak Bridge</t>
  </si>
  <si>
    <t>E1531P005</t>
  </si>
  <si>
    <t>Noak Bridge</t>
  </si>
  <si>
    <t>BasildonRamsden Bellhouse</t>
  </si>
  <si>
    <t>E1531P006</t>
  </si>
  <si>
    <t>Ramsden Bellhouse</t>
  </si>
  <si>
    <t>BasildonRamsden Crays</t>
  </si>
  <si>
    <t>E1531P007</t>
  </si>
  <si>
    <t>Ramsden Crays</t>
  </si>
  <si>
    <t>BasildonShotgate</t>
  </si>
  <si>
    <t>E1531P008</t>
  </si>
  <si>
    <t>Shotgate</t>
  </si>
  <si>
    <t>BasildonWickford</t>
  </si>
  <si>
    <t>E1531P009</t>
  </si>
  <si>
    <t>Wickford</t>
  </si>
  <si>
    <t>BraintreeAlphamstone (grouped with Lamarsh)</t>
  </si>
  <si>
    <t>E1532P001</t>
  </si>
  <si>
    <t>Alphamstone (grouped with Lamarsh)</t>
  </si>
  <si>
    <t>BraintreeAshen</t>
  </si>
  <si>
    <t>E1532P002</t>
  </si>
  <si>
    <t>Ashen</t>
  </si>
  <si>
    <t>BraintreeBelchamp Otten</t>
  </si>
  <si>
    <t>E1532P003</t>
  </si>
  <si>
    <t>Belchamp Otten</t>
  </si>
  <si>
    <t>BraintreeBelchamp St. Paul</t>
  </si>
  <si>
    <t>E1532P004</t>
  </si>
  <si>
    <t>Belchamp St. Paul</t>
  </si>
  <si>
    <t>BraintreeBelchamp Walter</t>
  </si>
  <si>
    <t>E1532P005</t>
  </si>
  <si>
    <t>Belchamp Walter</t>
  </si>
  <si>
    <t>BraintreeBirdbrook</t>
  </si>
  <si>
    <t>E1532P006</t>
  </si>
  <si>
    <t>Birdbrook</t>
  </si>
  <si>
    <t>BraintreeBlack Notley</t>
  </si>
  <si>
    <t>E1532P007</t>
  </si>
  <si>
    <t>Black Notley</t>
  </si>
  <si>
    <t>BraintreeBorley</t>
  </si>
  <si>
    <t>E1532P008</t>
  </si>
  <si>
    <t>Borley</t>
  </si>
  <si>
    <t>BraintreeBradwell</t>
  </si>
  <si>
    <t>E1532P009</t>
  </si>
  <si>
    <t>BraintreeBulmer</t>
  </si>
  <si>
    <t>E1532P010</t>
  </si>
  <si>
    <t>Bulmer</t>
  </si>
  <si>
    <t>BraintreeBures Hamlet</t>
  </si>
  <si>
    <t>E1532P011</t>
  </si>
  <si>
    <t>Bures Hamlet</t>
  </si>
  <si>
    <t>BraintreeCastle Hedingham</t>
  </si>
  <si>
    <t>E1532P012</t>
  </si>
  <si>
    <t>Castle Hedingham</t>
  </si>
  <si>
    <t>BraintreeCoggeshall</t>
  </si>
  <si>
    <t>E1532P013</t>
  </si>
  <si>
    <t>Coggeshall</t>
  </si>
  <si>
    <t>BraintreeColne Engaine</t>
  </si>
  <si>
    <t>E1532P014</t>
  </si>
  <si>
    <t>Colne Engaine</t>
  </si>
  <si>
    <t>BraintreeCressing</t>
  </si>
  <si>
    <t>E1532P015</t>
  </si>
  <si>
    <t>Cressing</t>
  </si>
  <si>
    <t>BraintreeEarls Colne</t>
  </si>
  <si>
    <t>E1532P016</t>
  </si>
  <si>
    <t>Earls Colne</t>
  </si>
  <si>
    <t>BraintreeFairstead (grouped with Terling)</t>
  </si>
  <si>
    <t>E1532P017</t>
  </si>
  <si>
    <t>Fairstead (grouped with Terling)</t>
  </si>
  <si>
    <t>BraintreeFaulkbourne (grouped with White Notley)</t>
  </si>
  <si>
    <t>E1532P018</t>
  </si>
  <si>
    <t>Faulkbourne (grouped with White Notley)</t>
  </si>
  <si>
    <t>BraintreeFeering</t>
  </si>
  <si>
    <t>E1532P019</t>
  </si>
  <si>
    <t>Feering</t>
  </si>
  <si>
    <t>BraintreeFinchingfield</t>
  </si>
  <si>
    <t>E1532P020</t>
  </si>
  <si>
    <t>Finchingfield</t>
  </si>
  <si>
    <t>BraintreeFoxearth (grouped with Liston)</t>
  </si>
  <si>
    <t>E1532P021</t>
  </si>
  <si>
    <t>Foxearth (grouped with Liston)</t>
  </si>
  <si>
    <t>BraintreeGestingthorpe</t>
  </si>
  <si>
    <t>E1532P022</t>
  </si>
  <si>
    <t>Gestingthorpe</t>
  </si>
  <si>
    <t>BraintreeGosfield</t>
  </si>
  <si>
    <t>E1532P023</t>
  </si>
  <si>
    <t>Gosfield</t>
  </si>
  <si>
    <t>BraintreeGreat Bardfield</t>
  </si>
  <si>
    <t>E1532P024</t>
  </si>
  <si>
    <t>Great Bardfield</t>
  </si>
  <si>
    <t>BraintreeGreat Henny (grouped with Little Henny Middleton and Twinstead)</t>
  </si>
  <si>
    <t>E1532P025</t>
  </si>
  <si>
    <t>Great Henny (grouped with Little Henny Middleton and Twinstead)</t>
  </si>
  <si>
    <t>BraintreeGreat Maplestead</t>
  </si>
  <si>
    <t>E1532P026</t>
  </si>
  <si>
    <t>Great Maplestead</t>
  </si>
  <si>
    <t>BraintreeGreat Notley</t>
  </si>
  <si>
    <t>E1532P027</t>
  </si>
  <si>
    <t>Great Notley</t>
  </si>
  <si>
    <t>BraintreeGreat Yeldham</t>
  </si>
  <si>
    <t>E1532P028</t>
  </si>
  <si>
    <t>Great Yeldham</t>
  </si>
  <si>
    <t>BraintreeGreenstead Green and Halstead Rural</t>
  </si>
  <si>
    <t>E1532P029</t>
  </si>
  <si>
    <t>Greenstead Green and Halstead Rural</t>
  </si>
  <si>
    <t>BraintreeHalstead</t>
  </si>
  <si>
    <t>E1532P030</t>
  </si>
  <si>
    <t>Halstead</t>
  </si>
  <si>
    <t>BraintreeHatfield Peverel</t>
  </si>
  <si>
    <t>E1532P031</t>
  </si>
  <si>
    <t>Hatfield Peverel</t>
  </si>
  <si>
    <t>BraintreeHelions Bumpstead</t>
  </si>
  <si>
    <t>E1532P032</t>
  </si>
  <si>
    <t>Helions Bumpstead</t>
  </si>
  <si>
    <t>BraintreeKelvedon</t>
  </si>
  <si>
    <t>E1532P033</t>
  </si>
  <si>
    <t>Kelvedon</t>
  </si>
  <si>
    <t>BraintreeLamarsh (grouped with Alphamstone)</t>
  </si>
  <si>
    <t>E1532P034</t>
  </si>
  <si>
    <t>Lamarsh (grouped with Alphamstone)</t>
  </si>
  <si>
    <t>BraintreeListon (grouped with Foxearth)</t>
  </si>
  <si>
    <t>E1532P035</t>
  </si>
  <si>
    <t>Liston (grouped with Foxearth)</t>
  </si>
  <si>
    <t>BraintreeLittle Henny (grouped with Great Henny Middleton and Twinstead)</t>
  </si>
  <si>
    <t>E1532P036</t>
  </si>
  <si>
    <t>Little Henny (grouped with Great Henny Middleton and Twinstead)</t>
  </si>
  <si>
    <t>BraintreeLittle Maplestead</t>
  </si>
  <si>
    <t>E1532P037</t>
  </si>
  <si>
    <t>Little Maplestead</t>
  </si>
  <si>
    <t>BraintreeLittle Yeldham (grouped with Tilbury Juxta Clare and Ovington)</t>
  </si>
  <si>
    <t>E1532P038</t>
  </si>
  <si>
    <t>Little Yeldham (grouped with Tilbury Juxta Clare and Ovington)</t>
  </si>
  <si>
    <t>BraintreeMiddleton (grouped with Great Henny Little Henny and Twinstead)</t>
  </si>
  <si>
    <t>E1532P039</t>
  </si>
  <si>
    <t>Middleton (grouped with Great Henny Little Henny and Twinstead)</t>
  </si>
  <si>
    <t>BraintreeOvington (grouped with Little Yeldham and Tilbury Juxta Clare)</t>
  </si>
  <si>
    <t>E1532P040</t>
  </si>
  <si>
    <t>Ovington (grouped with Little Yeldham and Tilbury Juxta Clare)</t>
  </si>
  <si>
    <t>BraintreePanfield</t>
  </si>
  <si>
    <t>E1532P041</t>
  </si>
  <si>
    <t>Panfield</t>
  </si>
  <si>
    <t>BraintreePebmarsh</t>
  </si>
  <si>
    <t>E1532P042</t>
  </si>
  <si>
    <t>Pebmarsh</t>
  </si>
  <si>
    <t>BraintreePentlow</t>
  </si>
  <si>
    <t>E1532P043</t>
  </si>
  <si>
    <t>Pentlow</t>
  </si>
  <si>
    <t>BraintreeRayne</t>
  </si>
  <si>
    <t>E1532P044</t>
  </si>
  <si>
    <t>Rayne</t>
  </si>
  <si>
    <t>BraintreeRidgewell</t>
  </si>
  <si>
    <t>E1532P045</t>
  </si>
  <si>
    <t>Ridgewell</t>
  </si>
  <si>
    <t>BraintreeRivenhall</t>
  </si>
  <si>
    <t>E1532P046</t>
  </si>
  <si>
    <t>Rivenhall</t>
  </si>
  <si>
    <t>BraintreeShalford</t>
  </si>
  <si>
    <t>E1532P047</t>
  </si>
  <si>
    <t>Shalford</t>
  </si>
  <si>
    <t>BraintreeSible Hedingham</t>
  </si>
  <si>
    <t>E1532P048</t>
  </si>
  <si>
    <t>Sible Hedingham</t>
  </si>
  <si>
    <t>BraintreeSilver End</t>
  </si>
  <si>
    <t>E1532P049</t>
  </si>
  <si>
    <t>Silver End</t>
  </si>
  <si>
    <t>BraintreeStambourne</t>
  </si>
  <si>
    <t>E1532P050</t>
  </si>
  <si>
    <t>Stambourne</t>
  </si>
  <si>
    <t>BraintreeSteeple Bumpstead</t>
  </si>
  <si>
    <t>E1532P051</t>
  </si>
  <si>
    <t>Steeple Bumpstead</t>
  </si>
  <si>
    <t>BraintreeStisted</t>
  </si>
  <si>
    <t>E1532P052</t>
  </si>
  <si>
    <t>Stisted</t>
  </si>
  <si>
    <t>BraintreeSturmer</t>
  </si>
  <si>
    <t>E1532P053</t>
  </si>
  <si>
    <t>Sturmer</t>
  </si>
  <si>
    <t>BraintreeTerling (grouped with Fairstead)</t>
  </si>
  <si>
    <t>E1532P054</t>
  </si>
  <si>
    <t>Terling (grouped with Fairstead)</t>
  </si>
  <si>
    <t>BraintreeThe Salings</t>
  </si>
  <si>
    <t>E1532P055</t>
  </si>
  <si>
    <t>The Salings</t>
  </si>
  <si>
    <t>BraintreeTilbury Juxta Clare (grouped with Little Yeldham and Ovington)</t>
  </si>
  <si>
    <t>E1532P056</t>
  </si>
  <si>
    <t>Tilbury Juxta Clare (grouped with Little Yeldham and Ovington)</t>
  </si>
  <si>
    <t>BraintreeToppesfield</t>
  </si>
  <si>
    <t>E1532P057</t>
  </si>
  <si>
    <t>Toppesfield</t>
  </si>
  <si>
    <t>BraintreeTwinstead (grouped with Great Henny Little Henny and Middleton)</t>
  </si>
  <si>
    <t>E1532P058</t>
  </si>
  <si>
    <t>Twinstead (grouped with Great Henny Little Henny and Middleton)</t>
  </si>
  <si>
    <t>BraintreeWethersfield</t>
  </si>
  <si>
    <t>E1532P059</t>
  </si>
  <si>
    <t>Wethersfield</t>
  </si>
  <si>
    <t>BraintreeWhite Colne</t>
  </si>
  <si>
    <t>E1532P060</t>
  </si>
  <si>
    <t>White Colne</t>
  </si>
  <si>
    <t>BraintreeWhite Notley (grouped with Faulkbourne)</t>
  </si>
  <si>
    <t>E1532P061</t>
  </si>
  <si>
    <t>White Notley (grouped with Faulkbourne)</t>
  </si>
  <si>
    <t>BraintreeWickham St. Paul</t>
  </si>
  <si>
    <t>E1532P062</t>
  </si>
  <si>
    <t>Wickham St. Paul</t>
  </si>
  <si>
    <t>BraintreeWitham</t>
  </si>
  <si>
    <t>E1532P063</t>
  </si>
  <si>
    <t>Witham</t>
  </si>
  <si>
    <t>BrentwoodBlackmore Hook End and Wyatts Green</t>
  </si>
  <si>
    <t>E1533P001</t>
  </si>
  <si>
    <t>Blackmore Hook End and Wyatts Green</t>
  </si>
  <si>
    <t>BrentwoodDoddinghurst</t>
  </si>
  <si>
    <t>E1533P002</t>
  </si>
  <si>
    <t>Doddinghurst</t>
  </si>
  <si>
    <t>BrentwoodHerongate and Ingrave</t>
  </si>
  <si>
    <t>E1533P003</t>
  </si>
  <si>
    <t>Herongate and Ingrave</t>
  </si>
  <si>
    <t>BrentwoodIngatestone and Fryerning</t>
  </si>
  <si>
    <t>E1533P004</t>
  </si>
  <si>
    <t>Ingatestone and Fryerning</t>
  </si>
  <si>
    <t>BrentwoodKelvedon Hatch</t>
  </si>
  <si>
    <t>E1533P005</t>
  </si>
  <si>
    <t>Kelvedon Hatch</t>
  </si>
  <si>
    <t>BrentwoodMountnessing</t>
  </si>
  <si>
    <t>E1533P006</t>
  </si>
  <si>
    <t>Mountnessing</t>
  </si>
  <si>
    <t>BrentwoodNavestock</t>
  </si>
  <si>
    <t>E1533P007</t>
  </si>
  <si>
    <t>Navestock</t>
  </si>
  <si>
    <t>BrentwoodStondon Massey</t>
  </si>
  <si>
    <t>E1533P008</t>
  </si>
  <si>
    <t>Stondon Massey</t>
  </si>
  <si>
    <t>BrentwoodWest Horndon</t>
  </si>
  <si>
    <t>E1533P009</t>
  </si>
  <si>
    <t>West Horndon</t>
  </si>
  <si>
    <t>Castle PointCanvey Island</t>
  </si>
  <si>
    <t>E1534P001</t>
  </si>
  <si>
    <t>Canvey Island</t>
  </si>
  <si>
    <t>ChelmsfordBoreham</t>
  </si>
  <si>
    <t>E1535P001</t>
  </si>
  <si>
    <t>Boreham</t>
  </si>
  <si>
    <t>ChelmsfordBroomfield</t>
  </si>
  <si>
    <t>E1535P002</t>
  </si>
  <si>
    <t>Broomfield</t>
  </si>
  <si>
    <t>ChelmsfordChignal</t>
  </si>
  <si>
    <t>E1535P003</t>
  </si>
  <si>
    <t>Chignal</t>
  </si>
  <si>
    <t>ChelmsfordDanbury</t>
  </si>
  <si>
    <t>E1535P004</t>
  </si>
  <si>
    <t>Danbury</t>
  </si>
  <si>
    <t>ChelmsfordEast Hanningfield</t>
  </si>
  <si>
    <t>E1535P005</t>
  </si>
  <si>
    <t>East Hanningfield</t>
  </si>
  <si>
    <t>ChelmsfordGalleywood</t>
  </si>
  <si>
    <t>E1535P006</t>
  </si>
  <si>
    <t>Galleywood</t>
  </si>
  <si>
    <t>ChelmsfordGood Easter</t>
  </si>
  <si>
    <t>E1535P007</t>
  </si>
  <si>
    <t>Good Easter</t>
  </si>
  <si>
    <t>ChelmsfordGreat and Little Leighs</t>
  </si>
  <si>
    <t>E1535P008</t>
  </si>
  <si>
    <t>Great and Little Leighs</t>
  </si>
  <si>
    <t>ChelmsfordGreat Baddow</t>
  </si>
  <si>
    <t>E1535P009</t>
  </si>
  <si>
    <t>Great Baddow</t>
  </si>
  <si>
    <t>ChelmsfordGreat Waltham</t>
  </si>
  <si>
    <t>E1535P010</t>
  </si>
  <si>
    <t>Great Waltham</t>
  </si>
  <si>
    <t>ChelmsfordHighwood</t>
  </si>
  <si>
    <t>E1535P011</t>
  </si>
  <si>
    <t>Highwood</t>
  </si>
  <si>
    <t>ChelmsfordLittle Baddow</t>
  </si>
  <si>
    <t>E1535P012</t>
  </si>
  <si>
    <t>Little Baddow</t>
  </si>
  <si>
    <t>ChelmsfordLittle Waltham</t>
  </si>
  <si>
    <t>E1535P013</t>
  </si>
  <si>
    <t>Little Waltham</t>
  </si>
  <si>
    <t>ChelmsfordMargaretting</t>
  </si>
  <si>
    <t>E1535P014</t>
  </si>
  <si>
    <t>Margaretting</t>
  </si>
  <si>
    <t>ChelmsfordMashbury</t>
  </si>
  <si>
    <t>E1535P015</t>
  </si>
  <si>
    <t>Mashbury</t>
  </si>
  <si>
    <t>ChelmsfordPleshey</t>
  </si>
  <si>
    <t>E1535P016</t>
  </si>
  <si>
    <t>Pleshey</t>
  </si>
  <si>
    <t>ChelmsfordRettendon</t>
  </si>
  <si>
    <t>E1535P017</t>
  </si>
  <si>
    <t>Rettendon</t>
  </si>
  <si>
    <t>ChelmsfordRoxwell</t>
  </si>
  <si>
    <t>E1535P018</t>
  </si>
  <si>
    <t>Roxwell</t>
  </si>
  <si>
    <t>ChelmsfordRunwell</t>
  </si>
  <si>
    <t>E1535P019</t>
  </si>
  <si>
    <t>Runwell</t>
  </si>
  <si>
    <t>ChelmsfordSandon</t>
  </si>
  <si>
    <t>E1535P020</t>
  </si>
  <si>
    <t>Sandon</t>
  </si>
  <si>
    <t>ChelmsfordSouth Hanningfield</t>
  </si>
  <si>
    <t>E1535P021</t>
  </si>
  <si>
    <t>South Hanningfield</t>
  </si>
  <si>
    <t>ChelmsfordSouth Woodham Ferrers</t>
  </si>
  <si>
    <t>E1535P022</t>
  </si>
  <si>
    <t>South Woodham Ferrers</t>
  </si>
  <si>
    <t>ChelmsfordSpringfield</t>
  </si>
  <si>
    <t>E1535P023</t>
  </si>
  <si>
    <t>Springfield</t>
  </si>
  <si>
    <t>ChelmsfordStock</t>
  </si>
  <si>
    <t>E1535P024</t>
  </si>
  <si>
    <t>Stock</t>
  </si>
  <si>
    <t>ChelmsfordWest Hanningfield</t>
  </si>
  <si>
    <t>E1535P025</t>
  </si>
  <si>
    <t>West Hanningfield</t>
  </si>
  <si>
    <t>ChelmsfordWoodham Ferrers and Bicknacre</t>
  </si>
  <si>
    <t>E1535P026</t>
  </si>
  <si>
    <t>Woodham Ferrers and Bicknacre</t>
  </si>
  <si>
    <t>ChelmsfordWrittle</t>
  </si>
  <si>
    <t>E1535P027</t>
  </si>
  <si>
    <t>Writtle</t>
  </si>
  <si>
    <t>ChelmsfordChelmer</t>
  </si>
  <si>
    <t>E1535P028</t>
  </si>
  <si>
    <t>Chelmer</t>
  </si>
  <si>
    <t>ChelmsfordChelmsford Garden</t>
  </si>
  <si>
    <t>E1535P029</t>
  </si>
  <si>
    <t>Chelmsford Garden</t>
  </si>
  <si>
    <t>ColchesterAbberton (grouped with Langenhoe)</t>
  </si>
  <si>
    <t>E1536P001</t>
  </si>
  <si>
    <t>Abberton (grouped with Langenhoe)</t>
  </si>
  <si>
    <t>ColchesterAldham</t>
  </si>
  <si>
    <t>E1536P002</t>
  </si>
  <si>
    <t>Aldham</t>
  </si>
  <si>
    <t>ColchesterBirch</t>
  </si>
  <si>
    <t>E1536P003</t>
  </si>
  <si>
    <t>Birch</t>
  </si>
  <si>
    <t>ColchesterBoxted</t>
  </si>
  <si>
    <t>E1536P004</t>
  </si>
  <si>
    <t>Boxted</t>
  </si>
  <si>
    <t>ColchesterChappel</t>
  </si>
  <si>
    <t>E1536P005</t>
  </si>
  <si>
    <t>Chappel</t>
  </si>
  <si>
    <t>ColchesterCopford</t>
  </si>
  <si>
    <t>E1536P006</t>
  </si>
  <si>
    <t>Copford</t>
  </si>
  <si>
    <t>ColchesterDedham</t>
  </si>
  <si>
    <t>E1536P007</t>
  </si>
  <si>
    <t>Dedham</t>
  </si>
  <si>
    <t>ColchesterEast Donyland</t>
  </si>
  <si>
    <t>E1536P008</t>
  </si>
  <si>
    <t>East Donyland</t>
  </si>
  <si>
    <t>ColchesterEast Mersea</t>
  </si>
  <si>
    <t>E1536P009</t>
  </si>
  <si>
    <t>East Mersea</t>
  </si>
  <si>
    <t>ColchesterEight Ash Green</t>
  </si>
  <si>
    <t>E1536P010</t>
  </si>
  <si>
    <t>Eight Ash Green</t>
  </si>
  <si>
    <t>ColchesterFingringhoe</t>
  </si>
  <si>
    <t>E1536P011</t>
  </si>
  <si>
    <t>Fingringhoe</t>
  </si>
  <si>
    <t>ColchesterFordham</t>
  </si>
  <si>
    <t>E1536P012</t>
  </si>
  <si>
    <t>ColchesterGreat and Little Wigborough (grouped with Peldon Salcott &amp; Virley)</t>
  </si>
  <si>
    <t>E1536P013</t>
  </si>
  <si>
    <t>Great and Little Wigborough (grouped with Peldon Salcott &amp; Virley)</t>
  </si>
  <si>
    <t>ColchesterGreat Horkesley</t>
  </si>
  <si>
    <t>E1536P014</t>
  </si>
  <si>
    <t>Great Horkesley</t>
  </si>
  <si>
    <t>ColchesterGreat Tey</t>
  </si>
  <si>
    <t>E1536P015</t>
  </si>
  <si>
    <t>Great Tey</t>
  </si>
  <si>
    <t>ColchesterLangenhoe (grouped with Abberton)</t>
  </si>
  <si>
    <t>E1536P016</t>
  </si>
  <si>
    <t>Langenhoe (grouped with Abberton)</t>
  </si>
  <si>
    <t>ColchesterLangham</t>
  </si>
  <si>
    <t>E1536P017</t>
  </si>
  <si>
    <t>Langham</t>
  </si>
  <si>
    <t>ColchesterLayer Breton</t>
  </si>
  <si>
    <t>E1536P018</t>
  </si>
  <si>
    <t>Layer Breton</t>
  </si>
  <si>
    <t>ColchesterLayer Marney</t>
  </si>
  <si>
    <t>E1536P019</t>
  </si>
  <si>
    <t>Layer Marney</t>
  </si>
  <si>
    <t>ColchesterLayer de la Haye</t>
  </si>
  <si>
    <t>E1536P020</t>
  </si>
  <si>
    <t>Layer de la Haye</t>
  </si>
  <si>
    <t>ColchesterLittle Horkesley</t>
  </si>
  <si>
    <t>E1536P021</t>
  </si>
  <si>
    <t>Little Horkesley</t>
  </si>
  <si>
    <t>ColchesterMarks Tey</t>
  </si>
  <si>
    <t>E1536P022</t>
  </si>
  <si>
    <t>Marks Tey</t>
  </si>
  <si>
    <t>ColchesterMessing cum Inworth</t>
  </si>
  <si>
    <t>E1536P023</t>
  </si>
  <si>
    <t>Messing cum Inworth</t>
  </si>
  <si>
    <t>ColchesterMount Bures</t>
  </si>
  <si>
    <t>E1536P024</t>
  </si>
  <si>
    <t>Mount Bures</t>
  </si>
  <si>
    <t>ColchesterMyland</t>
  </si>
  <si>
    <t>E1536P025</t>
  </si>
  <si>
    <t>Myland</t>
  </si>
  <si>
    <t>ColchesterPeldon (grouped with Great and Little Wigborough Salcott &amp; Virley)</t>
  </si>
  <si>
    <t>E1536P026</t>
  </si>
  <si>
    <t>Peldon (grouped with Great and Little Wigborough Salcott &amp; Virley)</t>
  </si>
  <si>
    <t>ColchesterSalcott (grouped with Great and Little Wigborough Peldon &amp; Virley)</t>
  </si>
  <si>
    <t>E1536P027</t>
  </si>
  <si>
    <t>Salcott (grouped with Great and Little Wigborough Peldon &amp; Virley)</t>
  </si>
  <si>
    <t>ColchesterStanway</t>
  </si>
  <si>
    <t>E1536P028</t>
  </si>
  <si>
    <t>Stanway</t>
  </si>
  <si>
    <t>ColchesterTiptree</t>
  </si>
  <si>
    <t>E1536P029</t>
  </si>
  <si>
    <t>Tiptree</t>
  </si>
  <si>
    <t>ColchesterVirley (grouped with Great and Little Wigborough Peldon &amp; Salcott)</t>
  </si>
  <si>
    <t>E1536P030</t>
  </si>
  <si>
    <t>Virley (grouped with Great and Little Wigborough Peldon &amp; Salcott)</t>
  </si>
  <si>
    <t>ColchesterWakes Colne</t>
  </si>
  <si>
    <t>E1536P031</t>
  </si>
  <si>
    <t>Wakes Colne</t>
  </si>
  <si>
    <t>ColchesterWest Bergholt</t>
  </si>
  <si>
    <t>E1536P032</t>
  </si>
  <si>
    <t>West Bergholt</t>
  </si>
  <si>
    <t>ColchesterWest Mersea</t>
  </si>
  <si>
    <t>E1536P033</t>
  </si>
  <si>
    <t>West Mersea</t>
  </si>
  <si>
    <t>ColchesterWivenhoe</t>
  </si>
  <si>
    <t>E1536P034</t>
  </si>
  <si>
    <t>Wivenhoe</t>
  </si>
  <si>
    <t>ColchesterWormingford</t>
  </si>
  <si>
    <t>E1536P035</t>
  </si>
  <si>
    <t>Wormingford</t>
  </si>
  <si>
    <t>Epping ForestAbbess, Berners &amp; Beauchamp Roding</t>
  </si>
  <si>
    <t>E1537P001</t>
  </si>
  <si>
    <t>Abbess, Berners &amp; Beauchamp Roding</t>
  </si>
  <si>
    <t>Epping ForestMoreton, Bobbingworth and the Lavers</t>
  </si>
  <si>
    <t>E1537P002</t>
  </si>
  <si>
    <t>Moreton, Bobbingworth and the Lavers</t>
  </si>
  <si>
    <t>Epping ForestBuckhurst Hill</t>
  </si>
  <si>
    <t>E1537P003</t>
  </si>
  <si>
    <t>Buckhurst Hill</t>
  </si>
  <si>
    <t>Epping ForestChigwell</t>
  </si>
  <si>
    <t>E1537P004</t>
  </si>
  <si>
    <t>Chigwell</t>
  </si>
  <si>
    <t>Epping ForestEpping Town</t>
  </si>
  <si>
    <t>E1537P005</t>
  </si>
  <si>
    <t>Epping Town</t>
  </si>
  <si>
    <t>Epping ForestEpping Upland</t>
  </si>
  <si>
    <t>E1537P006</t>
  </si>
  <si>
    <t>Epping Upland</t>
  </si>
  <si>
    <t>Epping ForestFyfield</t>
  </si>
  <si>
    <t>E1537P007</t>
  </si>
  <si>
    <t>Fyfield</t>
  </si>
  <si>
    <t>Epping ForestHigh Ongar</t>
  </si>
  <si>
    <t>E1537P009</t>
  </si>
  <si>
    <t>High Ongar</t>
  </si>
  <si>
    <t>Epping ForestLambourne</t>
  </si>
  <si>
    <t>E1537P010</t>
  </si>
  <si>
    <t>Lambourne</t>
  </si>
  <si>
    <t>Epping ForestLoughton Town</t>
  </si>
  <si>
    <t>E1537P012</t>
  </si>
  <si>
    <t>Loughton Town</t>
  </si>
  <si>
    <t>Epping ForestMatching</t>
  </si>
  <si>
    <t>E1537P014</t>
  </si>
  <si>
    <t>Matching</t>
  </si>
  <si>
    <t>Epping ForestNazeing</t>
  </si>
  <si>
    <t>E1537P016</t>
  </si>
  <si>
    <t>Nazeing</t>
  </si>
  <si>
    <t>Epping ForestNorth Weald Bassett</t>
  </si>
  <si>
    <t>E1537P017</t>
  </si>
  <si>
    <t>North Weald Bassett</t>
  </si>
  <si>
    <t>Epping ForestOngar Town</t>
  </si>
  <si>
    <t>E1537P018</t>
  </si>
  <si>
    <t>Ongar Town</t>
  </si>
  <si>
    <t>Epping ForestRoydon</t>
  </si>
  <si>
    <t>E1537P019</t>
  </si>
  <si>
    <t>Roydon</t>
  </si>
  <si>
    <t>Epping ForestSheering</t>
  </si>
  <si>
    <t>E1537P020</t>
  </si>
  <si>
    <t>Sheering</t>
  </si>
  <si>
    <t>Epping ForestStanford Rivers</t>
  </si>
  <si>
    <t>E1537P021</t>
  </si>
  <si>
    <t>Stanford Rivers</t>
  </si>
  <si>
    <t>Epping ForestStapleford Abbotts</t>
  </si>
  <si>
    <t>E1537P022</t>
  </si>
  <si>
    <t>Stapleford Abbotts</t>
  </si>
  <si>
    <t>Epping ForestStapleford Tawney</t>
  </si>
  <si>
    <t>E1537P023</t>
  </si>
  <si>
    <t>Stapleford Tawney</t>
  </si>
  <si>
    <t>Epping ForestTheydon Bois</t>
  </si>
  <si>
    <t>E1537P024</t>
  </si>
  <si>
    <t>Theydon Bois</t>
  </si>
  <si>
    <t>Epping ForestTheydon Garnon</t>
  </si>
  <si>
    <t>E1537P025</t>
  </si>
  <si>
    <t>Theydon Garnon</t>
  </si>
  <si>
    <t>Epping ForestTheydon Mount</t>
  </si>
  <si>
    <t>E1537P026</t>
  </si>
  <si>
    <t>Theydon Mount</t>
  </si>
  <si>
    <t>Epping ForestWaltham Abbey Town</t>
  </si>
  <si>
    <t>E1537P027</t>
  </si>
  <si>
    <t>Waltham Abbey Town</t>
  </si>
  <si>
    <t>Epping ForestWillingale</t>
  </si>
  <si>
    <t>E1537P028</t>
  </si>
  <si>
    <t>Willingale</t>
  </si>
  <si>
    <t>MaldonAlthorne</t>
  </si>
  <si>
    <t>E1539P001</t>
  </si>
  <si>
    <t>Althorne</t>
  </si>
  <si>
    <t>MaldonAsheldham</t>
  </si>
  <si>
    <t>E1539P002</t>
  </si>
  <si>
    <t>Asheldham</t>
  </si>
  <si>
    <t>MaldonBradwell on Sea</t>
  </si>
  <si>
    <t>E1539P003</t>
  </si>
  <si>
    <t>Bradwell on Sea</t>
  </si>
  <si>
    <t>MaldonBurnham on Crouch</t>
  </si>
  <si>
    <t>E1539P004</t>
  </si>
  <si>
    <t>Burnham on Crouch</t>
  </si>
  <si>
    <t>MaldonCold Norton</t>
  </si>
  <si>
    <t>E1539P005</t>
  </si>
  <si>
    <t>Cold Norton</t>
  </si>
  <si>
    <t>MaldonDengie</t>
  </si>
  <si>
    <t>E1539P006</t>
  </si>
  <si>
    <t>Dengie</t>
  </si>
  <si>
    <t>MaldonGoldhanger</t>
  </si>
  <si>
    <t>E1539P007</t>
  </si>
  <si>
    <t>Goldhanger</t>
  </si>
  <si>
    <t>MaldonGreat Braxted</t>
  </si>
  <si>
    <t>E1539P008</t>
  </si>
  <si>
    <t>Great Braxted</t>
  </si>
  <si>
    <t>MaldonGreat Totham</t>
  </si>
  <si>
    <t>E1539P009</t>
  </si>
  <si>
    <t>Great Totham</t>
  </si>
  <si>
    <t>MaldonHazeleigh</t>
  </si>
  <si>
    <t>E1539P010</t>
  </si>
  <si>
    <t>Hazeleigh</t>
  </si>
  <si>
    <t>MaldonHeybridge</t>
  </si>
  <si>
    <t>E1539P011</t>
  </si>
  <si>
    <t>Heybridge</t>
  </si>
  <si>
    <t>MaldonLangford</t>
  </si>
  <si>
    <t>E1539P012</t>
  </si>
  <si>
    <t>MaldonLatchingdon</t>
  </si>
  <si>
    <t>E1539P013</t>
  </si>
  <si>
    <t>Latchingdon</t>
  </si>
  <si>
    <t>MaldonLittle Braxted</t>
  </si>
  <si>
    <t>E1539P014</t>
  </si>
  <si>
    <t>Little Braxted</t>
  </si>
  <si>
    <t>MaldonLittle Totham</t>
  </si>
  <si>
    <t>E1539P015</t>
  </si>
  <si>
    <t>Little Totham</t>
  </si>
  <si>
    <t>MaldonMaldon</t>
  </si>
  <si>
    <t>E1539P016</t>
  </si>
  <si>
    <t>MaldonMayland</t>
  </si>
  <si>
    <t>E1539P017</t>
  </si>
  <si>
    <t>Mayland</t>
  </si>
  <si>
    <t>MaldonMundon</t>
  </si>
  <si>
    <t>E1539P018</t>
  </si>
  <si>
    <t>Mundon</t>
  </si>
  <si>
    <t>MaldonNorth Fambridge</t>
  </si>
  <si>
    <t>E1539P019</t>
  </si>
  <si>
    <t>North Fambridge</t>
  </si>
  <si>
    <t>MaldonPurleigh</t>
  </si>
  <si>
    <t>E1539P020</t>
  </si>
  <si>
    <t>Purleigh</t>
  </si>
  <si>
    <t>MaldonSouthminster</t>
  </si>
  <si>
    <t>E1539P021</t>
  </si>
  <si>
    <t>Southminster</t>
  </si>
  <si>
    <t>MaldonSt. Lawrence</t>
  </si>
  <si>
    <t>E1539P022</t>
  </si>
  <si>
    <t>St. Lawrence</t>
  </si>
  <si>
    <t>MaldonSteeple</t>
  </si>
  <si>
    <t>E1539P023</t>
  </si>
  <si>
    <t>MaldonStow Maries</t>
  </si>
  <si>
    <t>E1539P024</t>
  </si>
  <si>
    <t>Stow Maries</t>
  </si>
  <si>
    <t>MaldonTillingham</t>
  </si>
  <si>
    <t>E1539P025</t>
  </si>
  <si>
    <t>Tillingham</t>
  </si>
  <si>
    <t>MaldonTollesbury</t>
  </si>
  <si>
    <t>E1539P026</t>
  </si>
  <si>
    <t>Tollesbury</t>
  </si>
  <si>
    <t>MaldonTolleshunt D'Arcy</t>
  </si>
  <si>
    <t>E1539P027</t>
  </si>
  <si>
    <t>Tolleshunt D'Arcy</t>
  </si>
  <si>
    <t>MaldonTolleshunt Knights</t>
  </si>
  <si>
    <t>E1539P028</t>
  </si>
  <si>
    <t>Tolleshunt Knights</t>
  </si>
  <si>
    <t>MaldonTolleshunt Major</t>
  </si>
  <si>
    <t>E1539P029</t>
  </si>
  <si>
    <t>Tolleshunt Major</t>
  </si>
  <si>
    <t>MaldonUlting</t>
  </si>
  <si>
    <t>E1539P030</t>
  </si>
  <si>
    <t>Ulting</t>
  </si>
  <si>
    <t>MaldonWickham Bishops</t>
  </si>
  <si>
    <t>E1539P031</t>
  </si>
  <si>
    <t>Wickham Bishops</t>
  </si>
  <si>
    <t>MaldonWoodham Mortimer</t>
  </si>
  <si>
    <t>E1539P032</t>
  </si>
  <si>
    <t>Woodham Mortimer</t>
  </si>
  <si>
    <t>MaldonWoodham Walter</t>
  </si>
  <si>
    <t>E1539P033</t>
  </si>
  <si>
    <t>Woodham Walter</t>
  </si>
  <si>
    <t>MaldonHeybridge Basin</t>
  </si>
  <si>
    <t>E1539P034</t>
  </si>
  <si>
    <t>Heybridge Basin</t>
  </si>
  <si>
    <t>RochfordAshingdon</t>
  </si>
  <si>
    <t>E1540P001</t>
  </si>
  <si>
    <t>Ashingdon</t>
  </si>
  <si>
    <t>RochfordBarling Magna</t>
  </si>
  <si>
    <t>E1540P002</t>
  </si>
  <si>
    <t>Barling Magna</t>
  </si>
  <si>
    <t>RochfordCanewdon</t>
  </si>
  <si>
    <t>E1540P003</t>
  </si>
  <si>
    <t>Canewdon</t>
  </si>
  <si>
    <t>RochfordFoulness</t>
  </si>
  <si>
    <t>E1540P004</t>
  </si>
  <si>
    <t>Foulness</t>
  </si>
  <si>
    <t>RochfordGreat Wakering</t>
  </si>
  <si>
    <t>E1540P005</t>
  </si>
  <si>
    <t>Great Wakering</t>
  </si>
  <si>
    <t>RochfordHawkwell</t>
  </si>
  <si>
    <t>E1540P006</t>
  </si>
  <si>
    <t>Hawkwell</t>
  </si>
  <si>
    <t>RochfordHockley</t>
  </si>
  <si>
    <t>E1540P007</t>
  </si>
  <si>
    <t>Hockley</t>
  </si>
  <si>
    <t>RochfordHullbridge</t>
  </si>
  <si>
    <t>E1540P008</t>
  </si>
  <si>
    <t>Hullbridge</t>
  </si>
  <si>
    <t>RochfordPaglesham</t>
  </si>
  <si>
    <t>E1540P009</t>
  </si>
  <si>
    <t>Paglesham</t>
  </si>
  <si>
    <t>RochfordRawreth</t>
  </si>
  <si>
    <t>E1540P010</t>
  </si>
  <si>
    <t>Rawreth</t>
  </si>
  <si>
    <t>RochfordRayleigh</t>
  </si>
  <si>
    <t>E1540P011</t>
  </si>
  <si>
    <t>Rayleigh</t>
  </si>
  <si>
    <t>RochfordRochford</t>
  </si>
  <si>
    <t>E1540P012</t>
  </si>
  <si>
    <t>RochfordStambridge</t>
  </si>
  <si>
    <t>E1540P013</t>
  </si>
  <si>
    <t>Stambridge</t>
  </si>
  <si>
    <t>RochfordSutton</t>
  </si>
  <si>
    <t>E1540P014</t>
  </si>
  <si>
    <t>TendringAlresford</t>
  </si>
  <si>
    <t>E1542P001</t>
  </si>
  <si>
    <t>Alresford</t>
  </si>
  <si>
    <t>TendringArdleigh</t>
  </si>
  <si>
    <t>E1542P002</t>
  </si>
  <si>
    <t>Ardleigh</t>
  </si>
  <si>
    <t>TendringBeaumont cum Moze</t>
  </si>
  <si>
    <t>E1542P003</t>
  </si>
  <si>
    <t>Beaumont cum Moze</t>
  </si>
  <si>
    <t>TendringBradfield</t>
  </si>
  <si>
    <t>E1542P004</t>
  </si>
  <si>
    <t>TendringBrightlingsea</t>
  </si>
  <si>
    <t>E1542P005</t>
  </si>
  <si>
    <t>Brightlingsea</t>
  </si>
  <si>
    <t>TendringElmstead</t>
  </si>
  <si>
    <t>E1542P006</t>
  </si>
  <si>
    <t>Elmstead</t>
  </si>
  <si>
    <t>TendringFrating</t>
  </si>
  <si>
    <t>E1542P007</t>
  </si>
  <si>
    <t>Frating</t>
  </si>
  <si>
    <t>TendringFrinton and Walton</t>
  </si>
  <si>
    <t>E1542P008</t>
  </si>
  <si>
    <t>Frinton and Walton</t>
  </si>
  <si>
    <t>TendringGreat Bentley</t>
  </si>
  <si>
    <t>E1542P009</t>
  </si>
  <si>
    <t>Great Bentley</t>
  </si>
  <si>
    <t>TendringGreat Bromley</t>
  </si>
  <si>
    <t>E1542P010</t>
  </si>
  <si>
    <t>Great Bromley</t>
  </si>
  <si>
    <t>TendringGreat Oakley</t>
  </si>
  <si>
    <t>E1542P011</t>
  </si>
  <si>
    <t>Great Oakley</t>
  </si>
  <si>
    <t>TendringHarwich</t>
  </si>
  <si>
    <t>E1542P012</t>
  </si>
  <si>
    <t>Harwich</t>
  </si>
  <si>
    <t>TendringLawford</t>
  </si>
  <si>
    <t>E1542P013</t>
  </si>
  <si>
    <t>Lawford</t>
  </si>
  <si>
    <t>TendringLittle Bentley</t>
  </si>
  <si>
    <t>E1542P014</t>
  </si>
  <si>
    <t>Little Bentley</t>
  </si>
  <si>
    <t>TendringLittle Bromley</t>
  </si>
  <si>
    <t>E1542P015</t>
  </si>
  <si>
    <t>Little Bromley</t>
  </si>
  <si>
    <t>TendringLittle Clacton</t>
  </si>
  <si>
    <t>E1542P016</t>
  </si>
  <si>
    <t>Little Clacton</t>
  </si>
  <si>
    <t>TendringLittle Oakley</t>
  </si>
  <si>
    <t>E1542P017</t>
  </si>
  <si>
    <t>Little Oakley</t>
  </si>
  <si>
    <t>TendringManningtree</t>
  </si>
  <si>
    <t>E1542P018</t>
  </si>
  <si>
    <t>Manningtree</t>
  </si>
  <si>
    <t>TendringMistley</t>
  </si>
  <si>
    <t>E1542P019</t>
  </si>
  <si>
    <t>Mistley</t>
  </si>
  <si>
    <t>TendringRamsey and Parkeston</t>
  </si>
  <si>
    <t>E1542P020</t>
  </si>
  <si>
    <t>Ramsey and Parkeston</t>
  </si>
  <si>
    <t>TendringSt. Osyth</t>
  </si>
  <si>
    <t>E1542P021</t>
  </si>
  <si>
    <t>St. Osyth</t>
  </si>
  <si>
    <t>TendringTendring</t>
  </si>
  <si>
    <t>E1542P022</t>
  </si>
  <si>
    <t>TendringThorpe le Soken</t>
  </si>
  <si>
    <t>E1542P023</t>
  </si>
  <si>
    <t>Thorpe le Soken</t>
  </si>
  <si>
    <t>TendringThorrington</t>
  </si>
  <si>
    <t>E1542P024</t>
  </si>
  <si>
    <t>Thorrington</t>
  </si>
  <si>
    <t>TendringWeeley</t>
  </si>
  <si>
    <t>E1542P025</t>
  </si>
  <si>
    <t>Weeley</t>
  </si>
  <si>
    <t>TendringWix</t>
  </si>
  <si>
    <t>E1542P026</t>
  </si>
  <si>
    <t>Wix</t>
  </si>
  <si>
    <t>TendringWrabness</t>
  </si>
  <si>
    <t>E1542P027</t>
  </si>
  <si>
    <t>Wrabness</t>
  </si>
  <si>
    <t>UttlesfordArkesden</t>
  </si>
  <si>
    <t>E1544P001</t>
  </si>
  <si>
    <t>Arkesden</t>
  </si>
  <si>
    <t>UttlesfordAshdon</t>
  </si>
  <si>
    <t>E1544P002</t>
  </si>
  <si>
    <t>Ashdon</t>
  </si>
  <si>
    <t>UttlesfordAythorpe Roding</t>
  </si>
  <si>
    <t>E1544P003</t>
  </si>
  <si>
    <t>Aythorpe Roding</t>
  </si>
  <si>
    <t>UttlesfordBarnston</t>
  </si>
  <si>
    <t>E1544P004</t>
  </si>
  <si>
    <t>Barnston</t>
  </si>
  <si>
    <t>UttlesfordBerden</t>
  </si>
  <si>
    <t>E1544P005</t>
  </si>
  <si>
    <t>Berden</t>
  </si>
  <si>
    <t>UttlesfordBirchanger</t>
  </si>
  <si>
    <t>E1544P006</t>
  </si>
  <si>
    <t>Birchanger</t>
  </si>
  <si>
    <t>UttlesfordBroxted</t>
  </si>
  <si>
    <t>E1544P007</t>
  </si>
  <si>
    <t>Broxted</t>
  </si>
  <si>
    <t>UttlesfordChickney</t>
  </si>
  <si>
    <t>E1544P008</t>
  </si>
  <si>
    <t>Chickney</t>
  </si>
  <si>
    <t>UttlesfordChrishall</t>
  </si>
  <si>
    <t>E1544P009</t>
  </si>
  <si>
    <t>Chrishall</t>
  </si>
  <si>
    <t>UttlesfordClavering</t>
  </si>
  <si>
    <t>E1544P010</t>
  </si>
  <si>
    <t>Clavering</t>
  </si>
  <si>
    <t>UttlesfordDebden</t>
  </si>
  <si>
    <t>E1544P011</t>
  </si>
  <si>
    <t>Debden</t>
  </si>
  <si>
    <t>UttlesfordElmdon, Duddenhoe End and Wenden Lofts</t>
  </si>
  <si>
    <t>E1544P012</t>
  </si>
  <si>
    <t>Elmdon, Duddenhoe End and Wenden Lofts</t>
  </si>
  <si>
    <t>UttlesfordElsenham</t>
  </si>
  <si>
    <t>E1544P013</t>
  </si>
  <si>
    <t>Elsenham</t>
  </si>
  <si>
    <t>UttlesfordFarnham</t>
  </si>
  <si>
    <t>E1544P014</t>
  </si>
  <si>
    <t>UttlesfordFelsted</t>
  </si>
  <si>
    <t>E1544P015</t>
  </si>
  <si>
    <t>Felsted</t>
  </si>
  <si>
    <t>UttlesfordFlitch Green</t>
  </si>
  <si>
    <t>E1544P016</t>
  </si>
  <si>
    <t>Flitch Green</t>
  </si>
  <si>
    <t>UttlesfordGreat Canfield</t>
  </si>
  <si>
    <t>E1544P017</t>
  </si>
  <si>
    <t>Great Canfield</t>
  </si>
  <si>
    <t>UttlesfordGreat Chesterford</t>
  </si>
  <si>
    <t>E1544P018</t>
  </si>
  <si>
    <t>Great Chesterford</t>
  </si>
  <si>
    <t>UttlesfordGreat Dunmow</t>
  </si>
  <si>
    <t>E1544P019</t>
  </si>
  <si>
    <t>Great Dunmow</t>
  </si>
  <si>
    <t>UttlesfordGreat Easton and Tilty</t>
  </si>
  <si>
    <t>E1544P020</t>
  </si>
  <si>
    <t>Great Easton and Tilty</t>
  </si>
  <si>
    <t>UttlesfordGreat Hallingbury</t>
  </si>
  <si>
    <t>E1544P021</t>
  </si>
  <si>
    <t>Great Hallingbury</t>
  </si>
  <si>
    <t>UttlesfordHadstock</t>
  </si>
  <si>
    <t>E1544P023</t>
  </si>
  <si>
    <t>Hadstock</t>
  </si>
  <si>
    <t>UttlesfordHatfield Broad Oak</t>
  </si>
  <si>
    <t>E1544P024</t>
  </si>
  <si>
    <t>Hatfield Broad Oak</t>
  </si>
  <si>
    <t>UttlesfordHatfield Heath</t>
  </si>
  <si>
    <t>E1544P025</t>
  </si>
  <si>
    <t>Hatfield Heath</t>
  </si>
  <si>
    <t>UttlesfordHempstead</t>
  </si>
  <si>
    <t>E1544P026</t>
  </si>
  <si>
    <t>Hempstead</t>
  </si>
  <si>
    <t>UttlesfordHenham</t>
  </si>
  <si>
    <t>E1544P027</t>
  </si>
  <si>
    <t>Henham</t>
  </si>
  <si>
    <t>UttlesfordHigh Easter</t>
  </si>
  <si>
    <t>E1544P028</t>
  </si>
  <si>
    <t>High Easter</t>
  </si>
  <si>
    <t>UttlesfordHigh Roding</t>
  </si>
  <si>
    <t>E1544P029</t>
  </si>
  <si>
    <t>High Roding</t>
  </si>
  <si>
    <t>UttlesfordLangley</t>
  </si>
  <si>
    <t>E1544P030</t>
  </si>
  <si>
    <t>Langley</t>
  </si>
  <si>
    <t>UttlesfordLeaden Roding</t>
  </si>
  <si>
    <t>E1544P031</t>
  </si>
  <si>
    <t>Leaden Roding</t>
  </si>
  <si>
    <t>UttlesfordLindsell</t>
  </si>
  <si>
    <t>E1544P032</t>
  </si>
  <si>
    <t>Lindsell</t>
  </si>
  <si>
    <t>UttlesfordLittle Bardfield</t>
  </si>
  <si>
    <t>E1544P033</t>
  </si>
  <si>
    <t>Little Bardfield</t>
  </si>
  <si>
    <t>UttlesfordLittle Canfield</t>
  </si>
  <si>
    <t>E1544P034</t>
  </si>
  <si>
    <t>Little Canfield</t>
  </si>
  <si>
    <t>UttlesfordLittle Chesterford</t>
  </si>
  <si>
    <t>E1544P035</t>
  </si>
  <si>
    <t>Little Chesterford</t>
  </si>
  <si>
    <t>UttlesfordLittle Dunmow</t>
  </si>
  <si>
    <t>E1544P036</t>
  </si>
  <si>
    <t>Little Dunmow</t>
  </si>
  <si>
    <t>UttlesfordLittle Easton</t>
  </si>
  <si>
    <t>E1544P037</t>
  </si>
  <si>
    <t>Little Easton</t>
  </si>
  <si>
    <t>UttlesfordLittle Hallingbury</t>
  </si>
  <si>
    <t>E1544P038</t>
  </si>
  <si>
    <t>Little Hallingbury</t>
  </si>
  <si>
    <t>UttlesfordLittlebury</t>
  </si>
  <si>
    <t>E1544P040</t>
  </si>
  <si>
    <t>Littlebury</t>
  </si>
  <si>
    <t>UttlesfordManuden</t>
  </si>
  <si>
    <t>E1544P041</t>
  </si>
  <si>
    <t>Manuden</t>
  </si>
  <si>
    <t>UttlesfordMargaret Roding</t>
  </si>
  <si>
    <t>E1544P042</t>
  </si>
  <si>
    <t>Margaret Roding</t>
  </si>
  <si>
    <t>UttlesfordNewport</t>
  </si>
  <si>
    <t>E1544P043</t>
  </si>
  <si>
    <t>Newport</t>
  </si>
  <si>
    <t>UttlesfordQuendon and Rickling</t>
  </si>
  <si>
    <t>E1544P044</t>
  </si>
  <si>
    <t>Quendon and Rickling</t>
  </si>
  <si>
    <t>UttlesfordRadwinter</t>
  </si>
  <si>
    <t>E1544P045</t>
  </si>
  <si>
    <t>Radwinter</t>
  </si>
  <si>
    <t>UttlesfordSaffron Walden</t>
  </si>
  <si>
    <t>E1544P046</t>
  </si>
  <si>
    <t>Saffron Walden</t>
  </si>
  <si>
    <t>UttlesfordSewards End</t>
  </si>
  <si>
    <t>E1544P047</t>
  </si>
  <si>
    <t>Sewards End</t>
  </si>
  <si>
    <t>UttlesfordStansted Mountfitchet</t>
  </si>
  <si>
    <t>E1544P048</t>
  </si>
  <si>
    <t>Stansted Mountfitchet</t>
  </si>
  <si>
    <t>UttlesfordStebbing</t>
  </si>
  <si>
    <t>E1544P049</t>
  </si>
  <si>
    <t>Stebbing</t>
  </si>
  <si>
    <t>UttlesfordStrethall</t>
  </si>
  <si>
    <t>E1544P050</t>
  </si>
  <si>
    <t>Strethall</t>
  </si>
  <si>
    <t>UttlesfordTakeley</t>
  </si>
  <si>
    <t>E1544P051</t>
  </si>
  <si>
    <t>Takeley</t>
  </si>
  <si>
    <t>UttlesfordThaxted</t>
  </si>
  <si>
    <t>E1544P052</t>
  </si>
  <si>
    <t>Thaxted</t>
  </si>
  <si>
    <t>UttlesfordUgley</t>
  </si>
  <si>
    <t>E1544P054</t>
  </si>
  <si>
    <t>Ugley</t>
  </si>
  <si>
    <t>UttlesfordWendens Ambo</t>
  </si>
  <si>
    <t>E1544P056</t>
  </si>
  <si>
    <t>Wendens Ambo</t>
  </si>
  <si>
    <t>UttlesfordWhite Roding</t>
  </si>
  <si>
    <t>E1544P057</t>
  </si>
  <si>
    <t>White Roding</t>
  </si>
  <si>
    <t>UttlesfordWicken Bonhunt</t>
  </si>
  <si>
    <t>E1544P058</t>
  </si>
  <si>
    <t>Wicken Bonhunt</t>
  </si>
  <si>
    <t>UttlesfordWiddington</t>
  </si>
  <si>
    <t>E1544P059</t>
  </si>
  <si>
    <t>Widdington</t>
  </si>
  <si>
    <t>UttlesfordWimbish</t>
  </si>
  <si>
    <t>E1544P060</t>
  </si>
  <si>
    <t>Wimbish</t>
  </si>
  <si>
    <t>UttlesfordThe Sampfords</t>
  </si>
  <si>
    <t>E1544P061</t>
  </si>
  <si>
    <t>The Sampfords</t>
  </si>
  <si>
    <t>CheltenhamCharlton Kings</t>
  </si>
  <si>
    <t>E1631P001</t>
  </si>
  <si>
    <t>Charlton Kings</t>
  </si>
  <si>
    <t>CheltenhamLeckhampton with Warden Hill</t>
  </si>
  <si>
    <t>E1631P002</t>
  </si>
  <si>
    <t>Leckhampton with Warden Hill</t>
  </si>
  <si>
    <t>CheltenhamPrestbury</t>
  </si>
  <si>
    <t>E1631P003</t>
  </si>
  <si>
    <t>CheltenhamSwindon Village</t>
  </si>
  <si>
    <t>E1631P004</t>
  </si>
  <si>
    <t>Swindon Village</t>
  </si>
  <si>
    <t>CheltenhamUp Hatherley</t>
  </si>
  <si>
    <t>E1631P005</t>
  </si>
  <si>
    <t>Up Hatherley</t>
  </si>
  <si>
    <t>CotswoldAdlestrop</t>
  </si>
  <si>
    <t>E1632P001</t>
  </si>
  <si>
    <t>Adlestrop</t>
  </si>
  <si>
    <t>CotswoldAldsworth</t>
  </si>
  <si>
    <t>E1632P002</t>
  </si>
  <si>
    <t>Aldsworth</t>
  </si>
  <si>
    <t>CotswoldAmpney Crucis</t>
  </si>
  <si>
    <t>E1632P003</t>
  </si>
  <si>
    <t>Ampney Crucis</t>
  </si>
  <si>
    <t>CotswoldAmpney St. Mary</t>
  </si>
  <si>
    <t>E1632P004</t>
  </si>
  <si>
    <t>Ampney St. Mary</t>
  </si>
  <si>
    <t>CotswoldAmpney St. Peter</t>
  </si>
  <si>
    <t>E1632P005</t>
  </si>
  <si>
    <t>Ampney St. Peter</t>
  </si>
  <si>
    <t>CotswoldAndoversford</t>
  </si>
  <si>
    <t>E1632P006</t>
  </si>
  <si>
    <t>Andoversford</t>
  </si>
  <si>
    <t>CotswoldAshley</t>
  </si>
  <si>
    <t>E1632P007</t>
  </si>
  <si>
    <t>CotswoldAston Subedge</t>
  </si>
  <si>
    <t>E1632P008</t>
  </si>
  <si>
    <t>Aston Subedge</t>
  </si>
  <si>
    <t>CotswoldAvening</t>
  </si>
  <si>
    <t>E1632P009</t>
  </si>
  <si>
    <t>Avening</t>
  </si>
  <si>
    <t>CotswoldBagendon</t>
  </si>
  <si>
    <t>E1632P010</t>
  </si>
  <si>
    <t>Bagendon</t>
  </si>
  <si>
    <t>CotswoldBarnsley</t>
  </si>
  <si>
    <t>E1632P011</t>
  </si>
  <si>
    <t>CotswoldBarrington</t>
  </si>
  <si>
    <t>E1632P012</t>
  </si>
  <si>
    <t>CotswoldBatsford</t>
  </si>
  <si>
    <t>E1632P013</t>
  </si>
  <si>
    <t>Batsford</t>
  </si>
  <si>
    <t>CotswoldBaunton</t>
  </si>
  <si>
    <t>E1632P014</t>
  </si>
  <si>
    <t>Baunton</t>
  </si>
  <si>
    <t>CotswoldBeverston</t>
  </si>
  <si>
    <t>E1632P015</t>
  </si>
  <si>
    <t>Beverston</t>
  </si>
  <si>
    <t>CotswoldBibury</t>
  </si>
  <si>
    <t>E1632P016</t>
  </si>
  <si>
    <t>Bibury</t>
  </si>
  <si>
    <t>CotswoldBledington</t>
  </si>
  <si>
    <t>E1632P017</t>
  </si>
  <si>
    <t>Bledington</t>
  </si>
  <si>
    <t>CotswoldBlockley</t>
  </si>
  <si>
    <t>E1632P018</t>
  </si>
  <si>
    <t>Blockley</t>
  </si>
  <si>
    <t>CotswoldBourton on the Hill</t>
  </si>
  <si>
    <t>E1632P019</t>
  </si>
  <si>
    <t>Bourton on the Hill</t>
  </si>
  <si>
    <t>CotswoldBourton on the Water</t>
  </si>
  <si>
    <t>E1632P020</t>
  </si>
  <si>
    <t>Bourton on the Water</t>
  </si>
  <si>
    <t>CotswoldBoxwell with Leighterton</t>
  </si>
  <si>
    <t>E1632P021</t>
  </si>
  <si>
    <t>Boxwell with Leighterton</t>
  </si>
  <si>
    <t>CotswoldBrimpsfield</t>
  </si>
  <si>
    <t>E1632P022</t>
  </si>
  <si>
    <t>Brimpsfield</t>
  </si>
  <si>
    <t>CotswoldBroadwell</t>
  </si>
  <si>
    <t>E1632P023</t>
  </si>
  <si>
    <t>Broadwell</t>
  </si>
  <si>
    <t>CotswoldChedworth</t>
  </si>
  <si>
    <t>E1632P024</t>
  </si>
  <si>
    <t>Chedworth</t>
  </si>
  <si>
    <t>CotswoldCherington</t>
  </si>
  <si>
    <t>E1632P025</t>
  </si>
  <si>
    <t>Cherington</t>
  </si>
  <si>
    <t>CotswoldChipping Campden</t>
  </si>
  <si>
    <t>E1632P026</t>
  </si>
  <si>
    <t>Chipping Campden</t>
  </si>
  <si>
    <t>CotswoldCirencester</t>
  </si>
  <si>
    <t>E1632P027</t>
  </si>
  <si>
    <t>Cirencester</t>
  </si>
  <si>
    <t>CotswoldClapton</t>
  </si>
  <si>
    <t>E1632P028</t>
  </si>
  <si>
    <t>Clapton</t>
  </si>
  <si>
    <t>CotswoldCoates</t>
  </si>
  <si>
    <t>E1632P029</t>
  </si>
  <si>
    <t>Coates</t>
  </si>
  <si>
    <t>CotswoldCoberley</t>
  </si>
  <si>
    <t>E1632P030</t>
  </si>
  <si>
    <t>Coberley</t>
  </si>
  <si>
    <t>CotswoldCold Aston</t>
  </si>
  <si>
    <t>E1632P031</t>
  </si>
  <si>
    <t>Cold Aston</t>
  </si>
  <si>
    <t>CotswoldColesbourne</t>
  </si>
  <si>
    <t>E1632P032</t>
  </si>
  <si>
    <t>Colesbourne</t>
  </si>
  <si>
    <t>CotswoldColn St. Aldwyns</t>
  </si>
  <si>
    <t>E1632P033</t>
  </si>
  <si>
    <t>Coln St. Aldwyns</t>
  </si>
  <si>
    <t>CotswoldColn St. Dennis</t>
  </si>
  <si>
    <t>E1632P034</t>
  </si>
  <si>
    <t>Coln St. Dennis</t>
  </si>
  <si>
    <t>CotswoldCompton Abdale</t>
  </si>
  <si>
    <t>E1632P035</t>
  </si>
  <si>
    <t>Compton Abdale</t>
  </si>
  <si>
    <t>CotswoldCondicote</t>
  </si>
  <si>
    <t>E1632P036</t>
  </si>
  <si>
    <t>Condicote</t>
  </si>
  <si>
    <t>CotswoldCowley</t>
  </si>
  <si>
    <t>E1632P037</t>
  </si>
  <si>
    <t>Cowley</t>
  </si>
  <si>
    <t>CotswoldCutsdean</t>
  </si>
  <si>
    <t>E1632P038</t>
  </si>
  <si>
    <t>Cutsdean</t>
  </si>
  <si>
    <t>CotswoldDaglingworth</t>
  </si>
  <si>
    <t>E1632P039</t>
  </si>
  <si>
    <t>Daglingworth</t>
  </si>
  <si>
    <t>CotswoldDidmarton</t>
  </si>
  <si>
    <t>E1632P040</t>
  </si>
  <si>
    <t>Didmarton</t>
  </si>
  <si>
    <t>CotswoldDonnington</t>
  </si>
  <si>
    <t>E1632P041</t>
  </si>
  <si>
    <t>Donnington</t>
  </si>
  <si>
    <t>CotswoldDowdeswell</t>
  </si>
  <si>
    <t>E1632P042</t>
  </si>
  <si>
    <t>Dowdeswell</t>
  </si>
  <si>
    <t>CotswoldDown Ampney</t>
  </si>
  <si>
    <t>E1632P043</t>
  </si>
  <si>
    <t>Down Ampney</t>
  </si>
  <si>
    <t>CotswoldDriffield</t>
  </si>
  <si>
    <t>E1632P044</t>
  </si>
  <si>
    <t>Driffield</t>
  </si>
  <si>
    <t>CotswoldDuntisbourne Abbots</t>
  </si>
  <si>
    <t>E1632P045</t>
  </si>
  <si>
    <t>Duntisbourne Abbots</t>
  </si>
  <si>
    <t>CotswoldEastleach</t>
  </si>
  <si>
    <t>E1632P047</t>
  </si>
  <si>
    <t>Eastleach</t>
  </si>
  <si>
    <t>CotswoldEbrington</t>
  </si>
  <si>
    <t>E1632P048</t>
  </si>
  <si>
    <t>Ebrington</t>
  </si>
  <si>
    <t>CotswoldEdgeworth</t>
  </si>
  <si>
    <t>E1632P049</t>
  </si>
  <si>
    <t>Edgeworth</t>
  </si>
  <si>
    <t>CotswoldElkstone</t>
  </si>
  <si>
    <t>E1632P050</t>
  </si>
  <si>
    <t>Elkstone</t>
  </si>
  <si>
    <t>CotswoldEvenlode</t>
  </si>
  <si>
    <t>E1632P051</t>
  </si>
  <si>
    <t>Evenlode</t>
  </si>
  <si>
    <t>CotswoldFairford</t>
  </si>
  <si>
    <t>E1632P052</t>
  </si>
  <si>
    <t>Fairford</t>
  </si>
  <si>
    <t>CotswoldFarmington</t>
  </si>
  <si>
    <t>E1632P053</t>
  </si>
  <si>
    <t>Farmington</t>
  </si>
  <si>
    <t>CotswoldGreat Rissington</t>
  </si>
  <si>
    <t>E1632P054</t>
  </si>
  <si>
    <t>Great Rissington</t>
  </si>
  <si>
    <t>CotswoldGuiting Power</t>
  </si>
  <si>
    <t>E1632P055</t>
  </si>
  <si>
    <t>Guiting Power</t>
  </si>
  <si>
    <t>CotswoldHampnett</t>
  </si>
  <si>
    <t>E1632P056</t>
  </si>
  <si>
    <t>Hampnett</t>
  </si>
  <si>
    <t>CotswoldHatherop</t>
  </si>
  <si>
    <t>E1632P057</t>
  </si>
  <si>
    <t>Hatherop</t>
  </si>
  <si>
    <t>CotswoldHazleton</t>
  </si>
  <si>
    <t>E1632P058</t>
  </si>
  <si>
    <t>Hazleton</t>
  </si>
  <si>
    <t>CotswoldIcomb</t>
  </si>
  <si>
    <t>E1632P059</t>
  </si>
  <si>
    <t>Icomb</t>
  </si>
  <si>
    <t>CotswoldKemble</t>
  </si>
  <si>
    <t>E1632P060</t>
  </si>
  <si>
    <t>Kemble</t>
  </si>
  <si>
    <t>CotswoldKempsford</t>
  </si>
  <si>
    <t>E1632P061</t>
  </si>
  <si>
    <t>Kempsford</t>
  </si>
  <si>
    <t>CotswoldKingscote</t>
  </si>
  <si>
    <t>E1632P062</t>
  </si>
  <si>
    <t>Kingscote</t>
  </si>
  <si>
    <t>CotswoldLechlade</t>
  </si>
  <si>
    <t>E1632P063</t>
  </si>
  <si>
    <t>Lechlade</t>
  </si>
  <si>
    <t>CotswoldLittle Rissington</t>
  </si>
  <si>
    <t>E1632P064</t>
  </si>
  <si>
    <t>Little Rissington</t>
  </si>
  <si>
    <t>CotswoldLong Newnton</t>
  </si>
  <si>
    <t>E1632P065</t>
  </si>
  <si>
    <t>Long Newnton</t>
  </si>
  <si>
    <t>CotswoldLongborough</t>
  </si>
  <si>
    <t>E1632P066</t>
  </si>
  <si>
    <t>Longborough</t>
  </si>
  <si>
    <t>CotswoldLower Slaughter</t>
  </si>
  <si>
    <t>E1632P067</t>
  </si>
  <si>
    <t>Lower Slaughter</t>
  </si>
  <si>
    <t>CotswoldMeysey Hampton</t>
  </si>
  <si>
    <t>E1632P068</t>
  </si>
  <si>
    <t>Meysey Hampton</t>
  </si>
  <si>
    <t>CotswoldMaugersbury</t>
  </si>
  <si>
    <t>E1632P069</t>
  </si>
  <si>
    <t>Maugersbury</t>
  </si>
  <si>
    <t>CotswoldMickleton</t>
  </si>
  <si>
    <t>E1632P070</t>
  </si>
  <si>
    <t>CotswoldMoreton in Marsh</t>
  </si>
  <si>
    <t>E1632P071</t>
  </si>
  <si>
    <t>Moreton in Marsh</t>
  </si>
  <si>
    <t>CotswoldNaunton</t>
  </si>
  <si>
    <t>E1632P072</t>
  </si>
  <si>
    <t>Naunton</t>
  </si>
  <si>
    <t>CotswoldNorth Cerney</t>
  </si>
  <si>
    <t>E1632P073</t>
  </si>
  <si>
    <t>North Cerney</t>
  </si>
  <si>
    <t>CotswoldNorthleach with Eastington</t>
  </si>
  <si>
    <t>E1632P074</t>
  </si>
  <si>
    <t>Northleach with Eastington</t>
  </si>
  <si>
    <t>CotswoldNotgrove</t>
  </si>
  <si>
    <t>E1632P075</t>
  </si>
  <si>
    <t>Notgrove</t>
  </si>
  <si>
    <t>CotswoldOddington</t>
  </si>
  <si>
    <t>E1632P076</t>
  </si>
  <si>
    <t>Oddington</t>
  </si>
  <si>
    <t>CotswoldOzleworth</t>
  </si>
  <si>
    <t>E1632P077</t>
  </si>
  <si>
    <t>Ozleworth</t>
  </si>
  <si>
    <t>CotswoldPoole Keynes</t>
  </si>
  <si>
    <t>E1632P078</t>
  </si>
  <si>
    <t>Poole Keynes</t>
  </si>
  <si>
    <t>CotswoldPoulton</t>
  </si>
  <si>
    <t>E1632P079</t>
  </si>
  <si>
    <t>Poulton</t>
  </si>
  <si>
    <t>CotswoldPreston</t>
  </si>
  <si>
    <t>E1632P080</t>
  </si>
  <si>
    <t>CotswoldQuenington</t>
  </si>
  <si>
    <t>E1632P081</t>
  </si>
  <si>
    <t>Quenington</t>
  </si>
  <si>
    <t>CotswoldRendcomb</t>
  </si>
  <si>
    <t>E1632P082</t>
  </si>
  <si>
    <t>Rendcomb</t>
  </si>
  <si>
    <t>CotswoldRodmarton</t>
  </si>
  <si>
    <t>E1632P083</t>
  </si>
  <si>
    <t>Rodmarton</t>
  </si>
  <si>
    <t>CotswoldSaintbury</t>
  </si>
  <si>
    <t>E1632P084</t>
  </si>
  <si>
    <t>Saintbury</t>
  </si>
  <si>
    <t>CotswoldSapperton</t>
  </si>
  <si>
    <t>E1632P085</t>
  </si>
  <si>
    <t>Sapperton</t>
  </si>
  <si>
    <t>CotswoldSevenhampton</t>
  </si>
  <si>
    <t>E1632P086</t>
  </si>
  <si>
    <t>Sevenhampton</t>
  </si>
  <si>
    <t>CotswoldSezincote</t>
  </si>
  <si>
    <t>E1632P087</t>
  </si>
  <si>
    <t>Sezincote</t>
  </si>
  <si>
    <t>CotswoldSherborne</t>
  </si>
  <si>
    <t>E1632P088</t>
  </si>
  <si>
    <t>CotswoldShipton</t>
  </si>
  <si>
    <t>E1632P089</t>
  </si>
  <si>
    <t>Shipton</t>
  </si>
  <si>
    <t>CotswoldShipton Moyne</t>
  </si>
  <si>
    <t>E1632P090</t>
  </si>
  <si>
    <t>Shipton Moyne</t>
  </si>
  <si>
    <t>CotswoldSiddington</t>
  </si>
  <si>
    <t>E1632P091</t>
  </si>
  <si>
    <t>CotswoldSomerford Keynes</t>
  </si>
  <si>
    <t>E1632P092</t>
  </si>
  <si>
    <t>Somerford Keynes</t>
  </si>
  <si>
    <t>CotswoldSouth Cerney</t>
  </si>
  <si>
    <t>E1632P093</t>
  </si>
  <si>
    <t>South Cerney</t>
  </si>
  <si>
    <t>CotswoldSouthrop</t>
  </si>
  <si>
    <t>E1632P094</t>
  </si>
  <si>
    <t>Southrop</t>
  </si>
  <si>
    <t>CotswoldStow on the Wold</t>
  </si>
  <si>
    <t>E1632P095</t>
  </si>
  <si>
    <t>Stow on the Wold</t>
  </si>
  <si>
    <t>CotswoldSwell</t>
  </si>
  <si>
    <t>E1632P096</t>
  </si>
  <si>
    <t>Swell</t>
  </si>
  <si>
    <t>CotswoldSyde</t>
  </si>
  <si>
    <t>E1632P097</t>
  </si>
  <si>
    <t>Syde</t>
  </si>
  <si>
    <t>CotswoldTemple Guiting</t>
  </si>
  <si>
    <t>E1632P098</t>
  </si>
  <si>
    <t>Temple Guiting</t>
  </si>
  <si>
    <t>CotswoldTetbury</t>
  </si>
  <si>
    <t>E1632P099</t>
  </si>
  <si>
    <t>Tetbury</t>
  </si>
  <si>
    <t>CotswoldTetbury Upton</t>
  </si>
  <si>
    <t>E1632P100</t>
  </si>
  <si>
    <t>Tetbury Upton</t>
  </si>
  <si>
    <t>CotswoldTodenham</t>
  </si>
  <si>
    <t>E1632P101</t>
  </si>
  <si>
    <t>Todenham</t>
  </si>
  <si>
    <t>CotswoldTurkdean</t>
  </si>
  <si>
    <t>E1632P102</t>
  </si>
  <si>
    <t>Turkdean</t>
  </si>
  <si>
    <t>CotswoldUpper Rissington</t>
  </si>
  <si>
    <t>E1632P103</t>
  </si>
  <si>
    <t>Upper Rissington</t>
  </si>
  <si>
    <t>CotswoldUpper Slaughter</t>
  </si>
  <si>
    <t>E1632P104</t>
  </si>
  <si>
    <t>Upper Slaughter</t>
  </si>
  <si>
    <t>CotswoldWestcote</t>
  </si>
  <si>
    <t>E1632P105</t>
  </si>
  <si>
    <t>Westcote</t>
  </si>
  <si>
    <t>CotswoldWeston Subedge</t>
  </si>
  <si>
    <t>E1632P106</t>
  </si>
  <si>
    <t>Weston Subedge</t>
  </si>
  <si>
    <t>CotswoldWestonbirt with Lasborough</t>
  </si>
  <si>
    <t>E1632P107</t>
  </si>
  <si>
    <t>Westonbirt with Lasborough</t>
  </si>
  <si>
    <t>CotswoldWhittington</t>
  </si>
  <si>
    <t>E1632P108</t>
  </si>
  <si>
    <t>Whittington</t>
  </si>
  <si>
    <t>CotswoldWyck Rissington</t>
  </si>
  <si>
    <t>E1632P109</t>
  </si>
  <si>
    <t>Wyck Rissington</t>
  </si>
  <si>
    <t>CotswoldWillersey</t>
  </si>
  <si>
    <t>E1632P110</t>
  </si>
  <si>
    <t>Willersey</t>
  </si>
  <si>
    <t>CotswoldWindrush</t>
  </si>
  <si>
    <t>E1632P111</t>
  </si>
  <si>
    <t>Windrush</t>
  </si>
  <si>
    <t>CotswoldWinson</t>
  </si>
  <si>
    <t>E1632P112</t>
  </si>
  <si>
    <t>Winson</t>
  </si>
  <si>
    <t>CotswoldWinstone</t>
  </si>
  <si>
    <t>E1632P113</t>
  </si>
  <si>
    <t>Winstone</t>
  </si>
  <si>
    <t>CotswoldWithington</t>
  </si>
  <si>
    <t>E1632P114</t>
  </si>
  <si>
    <t>Withington</t>
  </si>
  <si>
    <t>CotswoldYanworth</t>
  </si>
  <si>
    <t>E1632P115</t>
  </si>
  <si>
    <t>Yanworth</t>
  </si>
  <si>
    <t>CotswoldBirdlip</t>
  </si>
  <si>
    <t>E1632P116</t>
  </si>
  <si>
    <t>Birdlip</t>
  </si>
  <si>
    <t>Forest of DeanAlvington</t>
  </si>
  <si>
    <t>E1633P001</t>
  </si>
  <si>
    <t>Alvington</t>
  </si>
  <si>
    <t>Forest of DeanAwre</t>
  </si>
  <si>
    <t>E1633P002</t>
  </si>
  <si>
    <t>Awre</t>
  </si>
  <si>
    <t>Forest of DeanAylburton</t>
  </si>
  <si>
    <t>E1633P003</t>
  </si>
  <si>
    <t>Aylburton</t>
  </si>
  <si>
    <t>Forest of DeanBlaisdon</t>
  </si>
  <si>
    <t>E1633P004</t>
  </si>
  <si>
    <t>Blaisdon</t>
  </si>
  <si>
    <t>Forest of DeanBromesberrow</t>
  </si>
  <si>
    <t>E1633P005</t>
  </si>
  <si>
    <t>Bromesberrow</t>
  </si>
  <si>
    <t>Forest of DeanChurcham</t>
  </si>
  <si>
    <t>E1633P006</t>
  </si>
  <si>
    <t>Churcham</t>
  </si>
  <si>
    <t>Forest of DeanCinderford</t>
  </si>
  <si>
    <t>E1633P007</t>
  </si>
  <si>
    <t>Cinderford</t>
  </si>
  <si>
    <t>Forest of DeanColeford</t>
  </si>
  <si>
    <t>E1633P008</t>
  </si>
  <si>
    <t>Coleford</t>
  </si>
  <si>
    <t>Forest of DeanCorse</t>
  </si>
  <si>
    <t>E1633P009</t>
  </si>
  <si>
    <t>Corse</t>
  </si>
  <si>
    <t>Forest of DeanDrybrook</t>
  </si>
  <si>
    <t>E1633P010</t>
  </si>
  <si>
    <t>Drybrook</t>
  </si>
  <si>
    <t>Forest of DeanDymock</t>
  </si>
  <si>
    <t>E1633P011</t>
  </si>
  <si>
    <t>Dymock</t>
  </si>
  <si>
    <t>Forest of DeanEnglish Bicknor</t>
  </si>
  <si>
    <t>E1633P012</t>
  </si>
  <si>
    <t>English Bicknor</t>
  </si>
  <si>
    <t>Forest of DeanGorsley and Kilcot</t>
  </si>
  <si>
    <t>E1633P013</t>
  </si>
  <si>
    <t>Gorsley and Kilcot</t>
  </si>
  <si>
    <t>Forest of DeanHartpury</t>
  </si>
  <si>
    <t>E1633P014</t>
  </si>
  <si>
    <t>Hartpury</t>
  </si>
  <si>
    <t>Forest of DeanHewelsfield and Brockweir</t>
  </si>
  <si>
    <t>E1633P015</t>
  </si>
  <si>
    <t>Hewelsfield and Brockweir</t>
  </si>
  <si>
    <t>Forest of DeanHuntley</t>
  </si>
  <si>
    <t>E1633P016</t>
  </si>
  <si>
    <t>Huntley</t>
  </si>
  <si>
    <t>Forest of DeanKempley</t>
  </si>
  <si>
    <t>E1633P017</t>
  </si>
  <si>
    <t>Kempley</t>
  </si>
  <si>
    <t>Forest of DeanLittledean</t>
  </si>
  <si>
    <t>E1633P018</t>
  </si>
  <si>
    <t>Littledean</t>
  </si>
  <si>
    <t>Forest of DeanLonghope</t>
  </si>
  <si>
    <t>E1633P019</t>
  </si>
  <si>
    <t>Longhope</t>
  </si>
  <si>
    <t>Forest of DeanLydbrook</t>
  </si>
  <si>
    <t>E1633P020</t>
  </si>
  <si>
    <t>Lydbrook</t>
  </si>
  <si>
    <t>Forest of DeanLydney</t>
  </si>
  <si>
    <t>E1633P021</t>
  </si>
  <si>
    <t>Lydney</t>
  </si>
  <si>
    <t>Forest of DeanMitcheldean</t>
  </si>
  <si>
    <t>E1633P022</t>
  </si>
  <si>
    <t>Mitcheldean</t>
  </si>
  <si>
    <t>Forest of DeanNewent</t>
  </si>
  <si>
    <t>E1633P023</t>
  </si>
  <si>
    <t>Newent</t>
  </si>
  <si>
    <t>Forest of DeanNewland</t>
  </si>
  <si>
    <t>E1633P024</t>
  </si>
  <si>
    <t>Newland</t>
  </si>
  <si>
    <t>Forest of DeanNewnham</t>
  </si>
  <si>
    <t>E1633P025</t>
  </si>
  <si>
    <t>Newnham</t>
  </si>
  <si>
    <t>Forest of DeanOxenhall</t>
  </si>
  <si>
    <t>E1633P026</t>
  </si>
  <si>
    <t>Oxenhall</t>
  </si>
  <si>
    <t>Forest of DeanPauntley</t>
  </si>
  <si>
    <t>E1633P027</t>
  </si>
  <si>
    <t>Pauntley</t>
  </si>
  <si>
    <t>Forest of DeanRedmarley D'Abitot</t>
  </si>
  <si>
    <t>E1633P028</t>
  </si>
  <si>
    <t>Redmarley D'Abitot</t>
  </si>
  <si>
    <t>Forest of DeanRuardean</t>
  </si>
  <si>
    <t>E1633P029</t>
  </si>
  <si>
    <t>Ruardean</t>
  </si>
  <si>
    <t>Forest of DeanRudford and Highleadon</t>
  </si>
  <si>
    <t>E1633P030</t>
  </si>
  <si>
    <t>Rudford and Highleadon</t>
  </si>
  <si>
    <t>Forest of DeanRuspidge and Soudley</t>
  </si>
  <si>
    <t>E1633P031</t>
  </si>
  <si>
    <t>Ruspidge and Soudley</t>
  </si>
  <si>
    <t>Forest of DeanSt. Briavels</t>
  </si>
  <si>
    <t>E1633P032</t>
  </si>
  <si>
    <t>St. Briavels</t>
  </si>
  <si>
    <t>Forest of DeanStaunton</t>
  </si>
  <si>
    <t>E1633P033</t>
  </si>
  <si>
    <t>Staunton</t>
  </si>
  <si>
    <t>Forest of DeanStaunton Coleford</t>
  </si>
  <si>
    <t>E1633P034</t>
  </si>
  <si>
    <t>Staunton Coleford</t>
  </si>
  <si>
    <t>Forest of DeanTaynton</t>
  </si>
  <si>
    <t>E1633P035</t>
  </si>
  <si>
    <t>Taynton</t>
  </si>
  <si>
    <t>Forest of DeanTibberton</t>
  </si>
  <si>
    <t>E1633P036</t>
  </si>
  <si>
    <t>Tibberton</t>
  </si>
  <si>
    <t>Forest of DeanTidenham</t>
  </si>
  <si>
    <t>E1633P037</t>
  </si>
  <si>
    <t>Tidenham</t>
  </si>
  <si>
    <t>Forest of DeanUpleadon</t>
  </si>
  <si>
    <t>E1633P038</t>
  </si>
  <si>
    <t>Upleadon</t>
  </si>
  <si>
    <t>Forest of DeanWest Dean</t>
  </si>
  <si>
    <t>E1633P039</t>
  </si>
  <si>
    <t>West Dean</t>
  </si>
  <si>
    <t>Forest of DeanWestbury on Severn</t>
  </si>
  <si>
    <t>E1633P040</t>
  </si>
  <si>
    <t>Westbury on Severn</t>
  </si>
  <si>
    <t>Forest of DeanWoolaston</t>
  </si>
  <si>
    <t>E1633P041</t>
  </si>
  <si>
    <t>Woolaston</t>
  </si>
  <si>
    <t>GloucesterQuedgeley</t>
  </si>
  <si>
    <t>E1634P001</t>
  </si>
  <si>
    <t>Quedgeley</t>
  </si>
  <si>
    <t>StroudAlderley</t>
  </si>
  <si>
    <t>E1635P001</t>
  </si>
  <si>
    <t>Alderley</t>
  </si>
  <si>
    <t>StroudAlkington</t>
  </si>
  <si>
    <t>E1635P002</t>
  </si>
  <si>
    <t>Alkington</t>
  </si>
  <si>
    <t>StroudArlingham</t>
  </si>
  <si>
    <t>E1635P003</t>
  </si>
  <si>
    <t>Arlingham</t>
  </si>
  <si>
    <t>StroudBerkeley</t>
  </si>
  <si>
    <t>E1635P004</t>
  </si>
  <si>
    <t>Berkeley</t>
  </si>
  <si>
    <t>StroudBisley with Lypiatt</t>
  </si>
  <si>
    <t>E1635P005</t>
  </si>
  <si>
    <t>Bisley with Lypiatt</t>
  </si>
  <si>
    <t>StroudBrimscombe and Thrupp</t>
  </si>
  <si>
    <t>E1635P006</t>
  </si>
  <si>
    <t>Brimscombe and Thrupp</t>
  </si>
  <si>
    <t>StroudBrookthorpe with Whaddon</t>
  </si>
  <si>
    <t>E1635P007</t>
  </si>
  <si>
    <t>Brookthorpe with Whaddon</t>
  </si>
  <si>
    <t>StroudCainscross</t>
  </si>
  <si>
    <t>E1635P008</t>
  </si>
  <si>
    <t>Cainscross</t>
  </si>
  <si>
    <t>StroudCam</t>
  </si>
  <si>
    <t>E1635P009</t>
  </si>
  <si>
    <t>Cam</t>
  </si>
  <si>
    <t>StroudChalford</t>
  </si>
  <si>
    <t>E1635P010</t>
  </si>
  <si>
    <t>Chalford</t>
  </si>
  <si>
    <t>StroudCoaley</t>
  </si>
  <si>
    <t>E1635P011</t>
  </si>
  <si>
    <t>Coaley</t>
  </si>
  <si>
    <t>StroudCranham</t>
  </si>
  <si>
    <t>E1635P012</t>
  </si>
  <si>
    <t>Cranham</t>
  </si>
  <si>
    <t>StroudDursley</t>
  </si>
  <si>
    <t>E1635P013</t>
  </si>
  <si>
    <t>Dursley</t>
  </si>
  <si>
    <t>StroudEastington</t>
  </si>
  <si>
    <t>E1635P014</t>
  </si>
  <si>
    <t>Eastington</t>
  </si>
  <si>
    <t>StroudElmore</t>
  </si>
  <si>
    <t>E1635P015</t>
  </si>
  <si>
    <t>Elmore</t>
  </si>
  <si>
    <t>StroudFrampton on Severn</t>
  </si>
  <si>
    <t>E1635P016</t>
  </si>
  <si>
    <t>Frampton on Severn</t>
  </si>
  <si>
    <t>StroudFretherne with Saul</t>
  </si>
  <si>
    <t>E1635P017</t>
  </si>
  <si>
    <t>Fretherne with Saul</t>
  </si>
  <si>
    <t>StroudFrocester</t>
  </si>
  <si>
    <t>E1635P018</t>
  </si>
  <si>
    <t>Frocester</t>
  </si>
  <si>
    <t>StroudHam and Stone</t>
  </si>
  <si>
    <t>E1635P019</t>
  </si>
  <si>
    <t>Ham and Stone</t>
  </si>
  <si>
    <t>StroudHamfallow</t>
  </si>
  <si>
    <t>E1635P020</t>
  </si>
  <si>
    <t>Hamfallow</t>
  </si>
  <si>
    <t>StroudHardwicke</t>
  </si>
  <si>
    <t>E1635P021</t>
  </si>
  <si>
    <t>Hardwicke</t>
  </si>
  <si>
    <t>StroudHarescombe</t>
  </si>
  <si>
    <t>E1635P022</t>
  </si>
  <si>
    <t>Harescombe</t>
  </si>
  <si>
    <t>StroudHaresfield</t>
  </si>
  <si>
    <t>E1635P023</t>
  </si>
  <si>
    <t>Haresfield</t>
  </si>
  <si>
    <t>StroudHillesley and Tresham</t>
  </si>
  <si>
    <t>E1635P024</t>
  </si>
  <si>
    <t>Hillesley and Tresham</t>
  </si>
  <si>
    <t>StroudHinton</t>
  </si>
  <si>
    <t>E1635P025</t>
  </si>
  <si>
    <t>StroudHorsley</t>
  </si>
  <si>
    <t>E1635P026</t>
  </si>
  <si>
    <t>StroudKing's Stanley</t>
  </si>
  <si>
    <t>E1635P027</t>
  </si>
  <si>
    <t>King's Stanley</t>
  </si>
  <si>
    <t>StroudKingswood</t>
  </si>
  <si>
    <t>E1635P028</t>
  </si>
  <si>
    <t>StroudLeonard Stanley</t>
  </si>
  <si>
    <t>E1635P029</t>
  </si>
  <si>
    <t>Leonard Stanley</t>
  </si>
  <si>
    <t>StroudLongney and Epney</t>
  </si>
  <si>
    <t>E1635P030</t>
  </si>
  <si>
    <t>Longney and Epney</t>
  </si>
  <si>
    <t>StroudMinchinhampton</t>
  </si>
  <si>
    <t>E1635P031</t>
  </si>
  <si>
    <t>Minchinhampton</t>
  </si>
  <si>
    <t>StroudMiserden</t>
  </si>
  <si>
    <t>E1635P032</t>
  </si>
  <si>
    <t>Miserden</t>
  </si>
  <si>
    <t>StroudMoreton Valence</t>
  </si>
  <si>
    <t>E1635P033</t>
  </si>
  <si>
    <t>Moreton Valence</t>
  </si>
  <si>
    <t>StroudNailsworth</t>
  </si>
  <si>
    <t>E1635P034</t>
  </si>
  <si>
    <t>Nailsworth</t>
  </si>
  <si>
    <t>StroudNorth Nibley</t>
  </si>
  <si>
    <t>E1635P035</t>
  </si>
  <si>
    <t>North Nibley</t>
  </si>
  <si>
    <t>StroudNympsfield</t>
  </si>
  <si>
    <t>E1635P036</t>
  </si>
  <si>
    <t>Nympsfield</t>
  </si>
  <si>
    <t>StroudOwlpen</t>
  </si>
  <si>
    <t>E1635P037</t>
  </si>
  <si>
    <t>Owlpen</t>
  </si>
  <si>
    <t>StroudPainswick</t>
  </si>
  <si>
    <t>E1635P038</t>
  </si>
  <si>
    <t>Painswick</t>
  </si>
  <si>
    <t>StroudPitchcombe</t>
  </si>
  <si>
    <t>E1635P039</t>
  </si>
  <si>
    <t>Pitchcombe</t>
  </si>
  <si>
    <t>StroudRandwick</t>
  </si>
  <si>
    <t>E1635P040</t>
  </si>
  <si>
    <t>Randwick</t>
  </si>
  <si>
    <t>StroudRodborough</t>
  </si>
  <si>
    <t>E1635P041</t>
  </si>
  <si>
    <t>Rodborough</t>
  </si>
  <si>
    <t>StroudSlimbridge</t>
  </si>
  <si>
    <t>E1635P042</t>
  </si>
  <si>
    <t>Slimbridge</t>
  </si>
  <si>
    <t>StroudStandish</t>
  </si>
  <si>
    <t>E1635P043</t>
  </si>
  <si>
    <t>Standish</t>
  </si>
  <si>
    <t>StroudStinchcombe</t>
  </si>
  <si>
    <t>E1635P044</t>
  </si>
  <si>
    <t>Stinchcombe</t>
  </si>
  <si>
    <t>StroudStonehouse</t>
  </si>
  <si>
    <t>E1635P045</t>
  </si>
  <si>
    <t>Stonehouse</t>
  </si>
  <si>
    <t>StroudStroud</t>
  </si>
  <si>
    <t>E1635P046</t>
  </si>
  <si>
    <t>StroudUley</t>
  </si>
  <si>
    <t>E1635P047</t>
  </si>
  <si>
    <t>Uley</t>
  </si>
  <si>
    <t>StroudUpton St. Leonards</t>
  </si>
  <si>
    <t>E1635P048</t>
  </si>
  <si>
    <t>Upton St. Leonards</t>
  </si>
  <si>
    <t>StroudWhiteshill and Ruscombe</t>
  </si>
  <si>
    <t>E1635P049</t>
  </si>
  <si>
    <t>Whiteshill and Ruscombe</t>
  </si>
  <si>
    <t>StroudWhitminster</t>
  </si>
  <si>
    <t>E1635P050</t>
  </si>
  <si>
    <t>Whitminster</t>
  </si>
  <si>
    <t>StroudWoodchester</t>
  </si>
  <si>
    <t>E1635P051</t>
  </si>
  <si>
    <t>Woodchester</t>
  </si>
  <si>
    <t>StroudWotton under Edge</t>
  </si>
  <si>
    <t>E1635P052</t>
  </si>
  <si>
    <t>Wotton under Edge</t>
  </si>
  <si>
    <t>StroudHunts Grove</t>
  </si>
  <si>
    <t>E1635P053</t>
  </si>
  <si>
    <t>Hunts Grove</t>
  </si>
  <si>
    <t>StroudGreat Oldbury</t>
  </si>
  <si>
    <t>E1635P054</t>
  </si>
  <si>
    <t>Great Oldbury</t>
  </si>
  <si>
    <t>TewkesburyAlderton</t>
  </si>
  <si>
    <t>E1636P001</t>
  </si>
  <si>
    <t>Alderton</t>
  </si>
  <si>
    <t>TewkesburyAshchurch Rural</t>
  </si>
  <si>
    <t>E1636P002</t>
  </si>
  <si>
    <t>Ashchurch Rural</t>
  </si>
  <si>
    <t>TewkesburyAshleworth</t>
  </si>
  <si>
    <t>E1636P003</t>
  </si>
  <si>
    <t>Ashleworth</t>
  </si>
  <si>
    <t>TewkesburyBadgeworth</t>
  </si>
  <si>
    <t>E1636P004</t>
  </si>
  <si>
    <t>Badgeworth</t>
  </si>
  <si>
    <t>TewkesburyBishop's Cleeve</t>
  </si>
  <si>
    <t>E1636P005</t>
  </si>
  <si>
    <t>Bishop's Cleeve</t>
  </si>
  <si>
    <t>TewkesburyBoddington</t>
  </si>
  <si>
    <t>E1636P006</t>
  </si>
  <si>
    <t>Boddington</t>
  </si>
  <si>
    <t>TewkesburyBrockworth</t>
  </si>
  <si>
    <t>E1636P007</t>
  </si>
  <si>
    <t>Brockworth</t>
  </si>
  <si>
    <t>TewkesburyBuckland</t>
  </si>
  <si>
    <t>E1636P008</t>
  </si>
  <si>
    <t>TewkesburyChaceley</t>
  </si>
  <si>
    <t>E1636P009</t>
  </si>
  <si>
    <t>Chaceley</t>
  </si>
  <si>
    <t>TewkesburyChurchdown</t>
  </si>
  <si>
    <t>E1636P010</t>
  </si>
  <si>
    <t>Churchdown</t>
  </si>
  <si>
    <t>TewkesburyDeerhurst</t>
  </si>
  <si>
    <t>E1636P011</t>
  </si>
  <si>
    <t>Deerhurst</t>
  </si>
  <si>
    <t>TewkesburyDown Hatherley</t>
  </si>
  <si>
    <t>E1636P012</t>
  </si>
  <si>
    <t>Down Hatherley</t>
  </si>
  <si>
    <t>TewkesburyDumbleton</t>
  </si>
  <si>
    <t>E1636P013</t>
  </si>
  <si>
    <t>Dumbleton</t>
  </si>
  <si>
    <t>TewkesburyElmstone Hardwicke</t>
  </si>
  <si>
    <t>E1636P014</t>
  </si>
  <si>
    <t>Elmstone Hardwicke</t>
  </si>
  <si>
    <t>TewkesburyForthampton</t>
  </si>
  <si>
    <t>E1636P015</t>
  </si>
  <si>
    <t>Forthampton</t>
  </si>
  <si>
    <t>TewkesburyGotherington</t>
  </si>
  <si>
    <t>E1636P016</t>
  </si>
  <si>
    <t>Gotherington</t>
  </si>
  <si>
    <t>TewkesburyGreat Witcombe</t>
  </si>
  <si>
    <t>E1636P017</t>
  </si>
  <si>
    <t>Great Witcombe</t>
  </si>
  <si>
    <t>TewkesburyGretton</t>
  </si>
  <si>
    <t>E1636P018</t>
  </si>
  <si>
    <t>Gretton</t>
  </si>
  <si>
    <t>TewkesburyHasfield</t>
  </si>
  <si>
    <t>E1636P019</t>
  </si>
  <si>
    <t>Hasfield</t>
  </si>
  <si>
    <t>TewkesburyHawling</t>
  </si>
  <si>
    <t>E1636P020</t>
  </si>
  <si>
    <t>Hawling</t>
  </si>
  <si>
    <t>TewkesburyHighnam</t>
  </si>
  <si>
    <t>E1636P021</t>
  </si>
  <si>
    <t>Highnam</t>
  </si>
  <si>
    <t>TewkesburyHucclecote</t>
  </si>
  <si>
    <t>E1636P022</t>
  </si>
  <si>
    <t>Hucclecote</t>
  </si>
  <si>
    <t>TewkesburyInnsworth</t>
  </si>
  <si>
    <t>E1636P023</t>
  </si>
  <si>
    <t>Innsworth</t>
  </si>
  <si>
    <t>TewkesburyLeigh</t>
  </si>
  <si>
    <t>E1636P024</t>
  </si>
  <si>
    <t>TewkesburyLongford</t>
  </si>
  <si>
    <t>E1636P025</t>
  </si>
  <si>
    <t>TewkesburyMaisemore</t>
  </si>
  <si>
    <t>E1636P026</t>
  </si>
  <si>
    <t>Maisemore</t>
  </si>
  <si>
    <t>TewkesburyMinsterworth</t>
  </si>
  <si>
    <t>E1636P027</t>
  </si>
  <si>
    <t>Minsterworth</t>
  </si>
  <si>
    <t>TewkesburyNorthway</t>
  </si>
  <si>
    <t>E1636P028</t>
  </si>
  <si>
    <t>Northway</t>
  </si>
  <si>
    <t>TewkesburyNorton</t>
  </si>
  <si>
    <t>E1636P029</t>
  </si>
  <si>
    <t>Norton</t>
  </si>
  <si>
    <t>TewkesburyOxenton</t>
  </si>
  <si>
    <t>E1636P030</t>
  </si>
  <si>
    <t>Oxenton</t>
  </si>
  <si>
    <t>TewkesburyPrescott</t>
  </si>
  <si>
    <t>E1636P031</t>
  </si>
  <si>
    <t>Prescott</t>
  </si>
  <si>
    <t>TewkesburySandhurst</t>
  </si>
  <si>
    <t>E1636P032</t>
  </si>
  <si>
    <t>TewkesburyShurdington</t>
  </si>
  <si>
    <t>E1636P033</t>
  </si>
  <si>
    <t>Shurdington</t>
  </si>
  <si>
    <t>TewkesburySnowshill</t>
  </si>
  <si>
    <t>E1636P034</t>
  </si>
  <si>
    <t>Snowshill</t>
  </si>
  <si>
    <t>TewkesburySoutham</t>
  </si>
  <si>
    <t>E1636P035</t>
  </si>
  <si>
    <t>Southam</t>
  </si>
  <si>
    <t>TewkesburyStanton</t>
  </si>
  <si>
    <t>E1636P036</t>
  </si>
  <si>
    <t>TewkesburyStanway</t>
  </si>
  <si>
    <t>E1636P037</t>
  </si>
  <si>
    <t>TewkesburyStaverton</t>
  </si>
  <si>
    <t>E1636P038</t>
  </si>
  <si>
    <t>TewkesburyStoke Orchard</t>
  </si>
  <si>
    <t>E1636P039</t>
  </si>
  <si>
    <t>Stoke Orchard</t>
  </si>
  <si>
    <t>TewkesburySudeley</t>
  </si>
  <si>
    <t>E1636P040</t>
  </si>
  <si>
    <t>Sudeley</t>
  </si>
  <si>
    <t>TewkesburyTeddington</t>
  </si>
  <si>
    <t>E1636P041</t>
  </si>
  <si>
    <t>Teddington</t>
  </si>
  <si>
    <t>TewkesburyTewkesbury</t>
  </si>
  <si>
    <t>E1636P042</t>
  </si>
  <si>
    <t>TewkesburyTirley</t>
  </si>
  <si>
    <t>E1636P043</t>
  </si>
  <si>
    <t>Tirley</t>
  </si>
  <si>
    <t>TewkesburyToddington</t>
  </si>
  <si>
    <t>E1636P044</t>
  </si>
  <si>
    <t>TewkesburyTwigworth</t>
  </si>
  <si>
    <t>E1636P045</t>
  </si>
  <si>
    <t>Twigworth</t>
  </si>
  <si>
    <t>TewkesburyTwyning</t>
  </si>
  <si>
    <t>E1636P046</t>
  </si>
  <si>
    <t>Twyning</t>
  </si>
  <si>
    <t>TewkesburyUckington</t>
  </si>
  <si>
    <t>E1636P047</t>
  </si>
  <si>
    <t>Uckington</t>
  </si>
  <si>
    <t>TewkesburyWheatpieces</t>
  </si>
  <si>
    <t>E1636P048</t>
  </si>
  <si>
    <t>Wheatpieces</t>
  </si>
  <si>
    <t>TewkesburyWinchcombe</t>
  </si>
  <si>
    <t>E1636P049</t>
  </si>
  <si>
    <t>Winchcombe</t>
  </si>
  <si>
    <t>TewkesburyWoodmancote</t>
  </si>
  <si>
    <t>E1636P050</t>
  </si>
  <si>
    <t>Woodmancote</t>
  </si>
  <si>
    <t>TewkesburyWormington</t>
  </si>
  <si>
    <t>E1636P051</t>
  </si>
  <si>
    <t>Wormington</t>
  </si>
  <si>
    <t>Basingstoke and DeaneAshford Hill with Headley</t>
  </si>
  <si>
    <t>E1731P001</t>
  </si>
  <si>
    <t>Ashford Hill with Headley</t>
  </si>
  <si>
    <t>Basingstoke and DeaneAshmansworth</t>
  </si>
  <si>
    <t>E1731P002</t>
  </si>
  <si>
    <t>Ashmansworth</t>
  </si>
  <si>
    <t>Basingstoke and DeaneBaughurst</t>
  </si>
  <si>
    <t>E1731P003</t>
  </si>
  <si>
    <t>Baughurst</t>
  </si>
  <si>
    <t>Basingstoke and DeaneBradley</t>
  </si>
  <si>
    <t>E1731P004</t>
  </si>
  <si>
    <t>Basingstoke and DeaneBramley</t>
  </si>
  <si>
    <t>E1731P005</t>
  </si>
  <si>
    <t>Bramley</t>
  </si>
  <si>
    <t>Basingstoke and DeaneBurghclere</t>
  </si>
  <si>
    <t>E1731P006</t>
  </si>
  <si>
    <t>Burghclere</t>
  </si>
  <si>
    <t>Basingstoke and DeaneCandovers</t>
  </si>
  <si>
    <t>E1731P007</t>
  </si>
  <si>
    <t>Candovers</t>
  </si>
  <si>
    <t>Basingstoke and DeaneChineham</t>
  </si>
  <si>
    <t>E1731P008</t>
  </si>
  <si>
    <t>Chineham</t>
  </si>
  <si>
    <t>Basingstoke and DeaneCliddesden</t>
  </si>
  <si>
    <t>E1731P009</t>
  </si>
  <si>
    <t>Cliddesden</t>
  </si>
  <si>
    <t>Basingstoke and DeaneDeane (grouped with Oakley)</t>
  </si>
  <si>
    <t>E1731P010</t>
  </si>
  <si>
    <t>Deane (grouped with Oakley)</t>
  </si>
  <si>
    <t>Basingstoke and DeaneDummer</t>
  </si>
  <si>
    <t>E1731P011</t>
  </si>
  <si>
    <t>Dummer</t>
  </si>
  <si>
    <t>Basingstoke and DeaneEast Woodhay</t>
  </si>
  <si>
    <t>E1731P012</t>
  </si>
  <si>
    <t>East Woodhay</t>
  </si>
  <si>
    <t>Basingstoke and DeaneEcchinswell Sydmonton and Bishops Green</t>
  </si>
  <si>
    <t>E1731P013</t>
  </si>
  <si>
    <t>Ecchinswell Sydmonton and Bishops Green</t>
  </si>
  <si>
    <t>Basingstoke and DeaneEllisfield</t>
  </si>
  <si>
    <t>E1731P014</t>
  </si>
  <si>
    <t>Ellisfield</t>
  </si>
  <si>
    <t>Basingstoke and DeaneFarleigh Wallop</t>
  </si>
  <si>
    <t>E1731P015</t>
  </si>
  <si>
    <t>Farleigh Wallop</t>
  </si>
  <si>
    <t>Basingstoke and DeaneHannington</t>
  </si>
  <si>
    <t>E1731P016</t>
  </si>
  <si>
    <t>Hannington</t>
  </si>
  <si>
    <t>Basingstoke and DeaneHartley Wespall</t>
  </si>
  <si>
    <t>E1731P017</t>
  </si>
  <si>
    <t>Hartley Wespall</t>
  </si>
  <si>
    <t>Basingstoke and DeaneHerriard</t>
  </si>
  <si>
    <t>E1731P018</t>
  </si>
  <si>
    <t>Herriard</t>
  </si>
  <si>
    <t>Basingstoke and DeaneHighclere</t>
  </si>
  <si>
    <t>E1731P019</t>
  </si>
  <si>
    <t>Highclere</t>
  </si>
  <si>
    <t>Basingstoke and DeaneHurstbourne Priors</t>
  </si>
  <si>
    <t>E1731P020</t>
  </si>
  <si>
    <t>Hurstbourne Priors</t>
  </si>
  <si>
    <t>Basingstoke and DeaneKingsclere</t>
  </si>
  <si>
    <t>E1731P021</t>
  </si>
  <si>
    <t>Kingsclere</t>
  </si>
  <si>
    <t>Basingstoke and DeaneLaverstoke</t>
  </si>
  <si>
    <t>E1731P022</t>
  </si>
  <si>
    <t>Laverstoke</t>
  </si>
  <si>
    <t>Basingstoke and DeaneLitchfield and Woodcott</t>
  </si>
  <si>
    <t>E1731P023</t>
  </si>
  <si>
    <t>Litchfield and Woodcott</t>
  </si>
  <si>
    <t>Basingstoke and DeaneMapledurwell and Up Nately</t>
  </si>
  <si>
    <t>E1731P024</t>
  </si>
  <si>
    <t>Mapledurwell and Up Nately</t>
  </si>
  <si>
    <t>Basingstoke and DeaneMonk Sherborne</t>
  </si>
  <si>
    <t>E1731P025</t>
  </si>
  <si>
    <t>Monk Sherborne</t>
  </si>
  <si>
    <t>Basingstoke and DeaneMortimer West End</t>
  </si>
  <si>
    <t>E1731P026</t>
  </si>
  <si>
    <t>Mortimer West End</t>
  </si>
  <si>
    <t>Basingstoke and DeaneNewnham</t>
  </si>
  <si>
    <t>E1731P027</t>
  </si>
  <si>
    <t>Basingstoke and DeaneNewtown</t>
  </si>
  <si>
    <t>E1731P028</t>
  </si>
  <si>
    <t>Newtown</t>
  </si>
  <si>
    <t>Basingstoke and DeaneNorth Waltham</t>
  </si>
  <si>
    <t>E1731P029</t>
  </si>
  <si>
    <t>North Waltham</t>
  </si>
  <si>
    <t>Basingstoke and DeaneNutley (grouped with Preston Candover)</t>
  </si>
  <si>
    <t>E1731P030</t>
  </si>
  <si>
    <t>Nutley (grouped with Preston Candover)</t>
  </si>
  <si>
    <t>Basingstoke and DeaneOakley and Deane</t>
  </si>
  <si>
    <t>E1731P031</t>
  </si>
  <si>
    <t>Oakley and Deane</t>
  </si>
  <si>
    <t>Basingstoke and DeaneOld Basing and Lychpit</t>
  </si>
  <si>
    <t>E1731P032</t>
  </si>
  <si>
    <t>Old Basing and Lychpit</t>
  </si>
  <si>
    <t>Basingstoke and DeaneOverton</t>
  </si>
  <si>
    <t>E1731P033</t>
  </si>
  <si>
    <t>Overton</t>
  </si>
  <si>
    <t>Basingstoke and DeanePamber</t>
  </si>
  <si>
    <t>E1731P034</t>
  </si>
  <si>
    <t>Pamber</t>
  </si>
  <si>
    <t>Basingstoke and DeanePopham</t>
  </si>
  <si>
    <t>E1731P035</t>
  </si>
  <si>
    <t>Popham</t>
  </si>
  <si>
    <t>Basingstoke and DeanePreston Candover and Nutley</t>
  </si>
  <si>
    <t>E1731P036</t>
  </si>
  <si>
    <t>Preston Candover and Nutley</t>
  </si>
  <si>
    <t>Basingstoke and DeaneRooksdown</t>
  </si>
  <si>
    <t>E1731P037</t>
  </si>
  <si>
    <t>Rooksdown</t>
  </si>
  <si>
    <t>Basingstoke and DeaneSherborne St. John</t>
  </si>
  <si>
    <t>E1731P038</t>
  </si>
  <si>
    <t>Sherborne St. John</t>
  </si>
  <si>
    <t>Basingstoke and DeaneSherfield on Loddon</t>
  </si>
  <si>
    <t>E1731P039</t>
  </si>
  <si>
    <t>Sherfield on Loddon</t>
  </si>
  <si>
    <t>Basingstoke and DeaneSilchester</t>
  </si>
  <si>
    <t>E1731P040</t>
  </si>
  <si>
    <t>Silchester</t>
  </si>
  <si>
    <t>Basingstoke and DeaneSt. Mary Bourne</t>
  </si>
  <si>
    <t>E1731P041</t>
  </si>
  <si>
    <t>St. Mary Bourne</t>
  </si>
  <si>
    <t>Basingstoke and DeaneSteventon</t>
  </si>
  <si>
    <t>E1731P042</t>
  </si>
  <si>
    <t>Steventon</t>
  </si>
  <si>
    <t>Basingstoke and DeaneStratfield Saye</t>
  </si>
  <si>
    <t>E1731P043</t>
  </si>
  <si>
    <t>Stratfield Saye</t>
  </si>
  <si>
    <t>Basingstoke and DeaneStratfield Turgis</t>
  </si>
  <si>
    <t>E1731P044</t>
  </si>
  <si>
    <t>Stratfield Turgis</t>
  </si>
  <si>
    <t>Basingstoke and DeaneTadley</t>
  </si>
  <si>
    <t>E1731P045</t>
  </si>
  <si>
    <t>Tadley</t>
  </si>
  <si>
    <t>Basingstoke and DeaneTunworth</t>
  </si>
  <si>
    <t>E1731P046</t>
  </si>
  <si>
    <t>Tunworth</t>
  </si>
  <si>
    <t>Basingstoke and DeaneUpton Grey</t>
  </si>
  <si>
    <t>E1731P047</t>
  </si>
  <si>
    <t>Upton Grey</t>
  </si>
  <si>
    <t>Basingstoke and DeaneWeston Corbett and Weston Patrick</t>
  </si>
  <si>
    <t>E1731P048</t>
  </si>
  <si>
    <t>Weston Corbett and Weston Patrick</t>
  </si>
  <si>
    <t>Basingstoke and DeaneWeston Patrick (grouped with Weston Corbett)</t>
  </si>
  <si>
    <t>E1731P049</t>
  </si>
  <si>
    <t>Weston Patrick (grouped with Weston Corbett)</t>
  </si>
  <si>
    <t>Basingstoke and DeaneWhitchurch</t>
  </si>
  <si>
    <t>E1731P050</t>
  </si>
  <si>
    <t>Basingstoke and DeaneWinslade</t>
  </si>
  <si>
    <t>E1731P051</t>
  </si>
  <si>
    <t>Winslade</t>
  </si>
  <si>
    <t>Basingstoke and DeaneWootton St. Lawrence</t>
  </si>
  <si>
    <t>E1731P052</t>
  </si>
  <si>
    <t>Wootton St. Lawrence</t>
  </si>
  <si>
    <t>Basingstoke and DeaneSherfield Park</t>
  </si>
  <si>
    <t>E1731P053</t>
  </si>
  <si>
    <t>Sherfield Park</t>
  </si>
  <si>
    <t>East HampshireAlton</t>
  </si>
  <si>
    <t>E1732P001</t>
  </si>
  <si>
    <t>Alton</t>
  </si>
  <si>
    <t>East HampshireBeech</t>
  </si>
  <si>
    <t>E1732P002</t>
  </si>
  <si>
    <t>Beech</t>
  </si>
  <si>
    <t>East HampshireBentley</t>
  </si>
  <si>
    <t>E1732P003</t>
  </si>
  <si>
    <t>Bentley</t>
  </si>
  <si>
    <t>East HampshireBentworth</t>
  </si>
  <si>
    <t>E1732P004</t>
  </si>
  <si>
    <t>Bentworth</t>
  </si>
  <si>
    <t>East HampshireBinsted</t>
  </si>
  <si>
    <t>E1732P005</t>
  </si>
  <si>
    <t>Binsted</t>
  </si>
  <si>
    <t>East HampshireBramshott and Liphook</t>
  </si>
  <si>
    <t>E1732P006</t>
  </si>
  <si>
    <t>Bramshott and Liphook</t>
  </si>
  <si>
    <t>East HampshireBuriton</t>
  </si>
  <si>
    <t>E1732P007</t>
  </si>
  <si>
    <t>Buriton</t>
  </si>
  <si>
    <t>East HampshireChawton</t>
  </si>
  <si>
    <t>E1732P008</t>
  </si>
  <si>
    <t>Chawton</t>
  </si>
  <si>
    <t>East HampshireClanfield</t>
  </si>
  <si>
    <t>E1732P009</t>
  </si>
  <si>
    <t>Clanfield</t>
  </si>
  <si>
    <t>East HampshireColemore and Priors Dean</t>
  </si>
  <si>
    <t>E1732P010</t>
  </si>
  <si>
    <t>Colemore and Priors Dean</t>
  </si>
  <si>
    <t>East HampshireEast Meon</t>
  </si>
  <si>
    <t>E1732P011</t>
  </si>
  <si>
    <t>East Meon</t>
  </si>
  <si>
    <t>East HampshireEast Tisted</t>
  </si>
  <si>
    <t>E1732P012</t>
  </si>
  <si>
    <t>East Tisted</t>
  </si>
  <si>
    <t>East HampshireFarringdon</t>
  </si>
  <si>
    <t>E1732P013</t>
  </si>
  <si>
    <t>East HampshireFour Marks</t>
  </si>
  <si>
    <t>E1732P014</t>
  </si>
  <si>
    <t>Four Marks</t>
  </si>
  <si>
    <t>East HampshireFroxfield</t>
  </si>
  <si>
    <t>E1732P015</t>
  </si>
  <si>
    <t>Froxfield</t>
  </si>
  <si>
    <t>East HampshireFroyle</t>
  </si>
  <si>
    <t>E1732P016</t>
  </si>
  <si>
    <t>Froyle</t>
  </si>
  <si>
    <t>East HampshireGrayshott</t>
  </si>
  <si>
    <t>E1732P017</t>
  </si>
  <si>
    <t>Grayshott</t>
  </si>
  <si>
    <t>East HampshireGreatham</t>
  </si>
  <si>
    <t>E1732P018</t>
  </si>
  <si>
    <t>East HampshireHawkley</t>
  </si>
  <si>
    <t>E1732P019</t>
  </si>
  <si>
    <t>Hawkley</t>
  </si>
  <si>
    <t>East HampshireHeadley</t>
  </si>
  <si>
    <t>E1732P020</t>
  </si>
  <si>
    <t>Headley</t>
  </si>
  <si>
    <t>East HampshireHorndean</t>
  </si>
  <si>
    <t>E1732P021</t>
  </si>
  <si>
    <t>Horndean</t>
  </si>
  <si>
    <t>East HampshireKingsley</t>
  </si>
  <si>
    <t>E1732P022</t>
  </si>
  <si>
    <t>East HampshireLangrish</t>
  </si>
  <si>
    <t>E1732P023</t>
  </si>
  <si>
    <t>Langrish</t>
  </si>
  <si>
    <t>East HampshireLasham</t>
  </si>
  <si>
    <t>E1732P024</t>
  </si>
  <si>
    <t>Lasham</t>
  </si>
  <si>
    <t>East HampshireLindford</t>
  </si>
  <si>
    <t>E1732P025</t>
  </si>
  <si>
    <t>Lindford</t>
  </si>
  <si>
    <t>East HampshireLiss</t>
  </si>
  <si>
    <t>E1732P026</t>
  </si>
  <si>
    <t>Liss</t>
  </si>
  <si>
    <t>East HampshireMedstead</t>
  </si>
  <si>
    <t>E1732P027</t>
  </si>
  <si>
    <t>Medstead</t>
  </si>
  <si>
    <t>East HampshireNewton Valence</t>
  </si>
  <si>
    <t>E1732P028</t>
  </si>
  <si>
    <t>Newton Valence</t>
  </si>
  <si>
    <t>East HampshirePetersfield</t>
  </si>
  <si>
    <t>E1732P029</t>
  </si>
  <si>
    <t>Petersfield</t>
  </si>
  <si>
    <t>East HampshireRopley</t>
  </si>
  <si>
    <t>E1732P030</t>
  </si>
  <si>
    <t>Ropley</t>
  </si>
  <si>
    <t>East HampshireRowlands Castle</t>
  </si>
  <si>
    <t>E1732P031</t>
  </si>
  <si>
    <t>Rowlands Castle</t>
  </si>
  <si>
    <t>East HampshireSelborne</t>
  </si>
  <si>
    <t>E1732P032</t>
  </si>
  <si>
    <t>Selborne</t>
  </si>
  <si>
    <t>East HampshireShalden</t>
  </si>
  <si>
    <t>E1732P033</t>
  </si>
  <si>
    <t>Shalden</t>
  </si>
  <si>
    <t>East HampshireSheet</t>
  </si>
  <si>
    <t>E1732P034</t>
  </si>
  <si>
    <t>Sheet</t>
  </si>
  <si>
    <t>East HampshireSteep</t>
  </si>
  <si>
    <t>E1732P035</t>
  </si>
  <si>
    <t>Steep</t>
  </si>
  <si>
    <t>East HampshireStroud</t>
  </si>
  <si>
    <t>E1732P036</t>
  </si>
  <si>
    <t>East HampshireWest Tisted</t>
  </si>
  <si>
    <t>E1732P037</t>
  </si>
  <si>
    <t>West Tisted</t>
  </si>
  <si>
    <t>East HampshireWhitehill</t>
  </si>
  <si>
    <t>E1732P038</t>
  </si>
  <si>
    <t>Whitehill</t>
  </si>
  <si>
    <t>East HampshireWield</t>
  </si>
  <si>
    <t>E1732P039</t>
  </si>
  <si>
    <t>Wield</t>
  </si>
  <si>
    <t>East HampshireWorldham</t>
  </si>
  <si>
    <t>E1732P040</t>
  </si>
  <si>
    <t>Worldham</t>
  </si>
  <si>
    <t>EastleighAllbrook and North Boyatt</t>
  </si>
  <si>
    <t>E1733P001</t>
  </si>
  <si>
    <t>Allbrook and North Boyatt</t>
  </si>
  <si>
    <t>EastleighBishopstoke</t>
  </si>
  <si>
    <t>E1733P002</t>
  </si>
  <si>
    <t>Bishopstoke</t>
  </si>
  <si>
    <t>EastleighBotley</t>
  </si>
  <si>
    <t>E1733P003</t>
  </si>
  <si>
    <t>Botley</t>
  </si>
  <si>
    <t>EastleighBursledon</t>
  </si>
  <si>
    <t>E1733P004</t>
  </si>
  <si>
    <t>Bursledon</t>
  </si>
  <si>
    <t>EastleighChandler's Ford</t>
  </si>
  <si>
    <t>E1733P005</t>
  </si>
  <si>
    <t>Chandler's Ford</t>
  </si>
  <si>
    <t>EastleighFair Oak and Horton Heath</t>
  </si>
  <si>
    <t>E1733P006</t>
  </si>
  <si>
    <t>Fair Oak and Horton Heath</t>
  </si>
  <si>
    <t>EastleighHamble le Rice</t>
  </si>
  <si>
    <t>E1733P007</t>
  </si>
  <si>
    <t>Hamble le Rice</t>
  </si>
  <si>
    <t>EastleighHedge End</t>
  </si>
  <si>
    <t>E1733P008</t>
  </si>
  <si>
    <t>Hedge End</t>
  </si>
  <si>
    <t>EastleighHound</t>
  </si>
  <si>
    <t>E1733P009</t>
  </si>
  <si>
    <t>Hound</t>
  </si>
  <si>
    <t>EastleighWest End</t>
  </si>
  <si>
    <t>E1733P010</t>
  </si>
  <si>
    <t>West End</t>
  </si>
  <si>
    <t>EastleighBoyatt Wood</t>
  </si>
  <si>
    <t>E1733P011</t>
  </si>
  <si>
    <t>Boyatt Wood</t>
  </si>
  <si>
    <t>EastleighEastleigh Town</t>
  </si>
  <si>
    <t>E1733P012</t>
  </si>
  <si>
    <t>Eastleigh Town</t>
  </si>
  <si>
    <t>HartBlackwater and Hawley</t>
  </si>
  <si>
    <t>E1736P001</t>
  </si>
  <si>
    <t>Blackwater and Hawley</t>
  </si>
  <si>
    <t>HartBramshill</t>
  </si>
  <si>
    <t>E1736P002</t>
  </si>
  <si>
    <t>Bramshill</t>
  </si>
  <si>
    <t>HartChurch Crookham</t>
  </si>
  <si>
    <t>E1736P003</t>
  </si>
  <si>
    <t>Church Crookham</t>
  </si>
  <si>
    <t>HartCrondall</t>
  </si>
  <si>
    <t>E1736P004</t>
  </si>
  <si>
    <t>Crondall</t>
  </si>
  <si>
    <t>HartCrookham Village</t>
  </si>
  <si>
    <t>E1736P005</t>
  </si>
  <si>
    <t>Crookham Village</t>
  </si>
  <si>
    <t>HartDogmersfield</t>
  </si>
  <si>
    <t>E1736P006</t>
  </si>
  <si>
    <t>Dogmersfield</t>
  </si>
  <si>
    <t>HartElvetham Heath</t>
  </si>
  <si>
    <t>E1736P007</t>
  </si>
  <si>
    <t>Elvetham Heath</t>
  </si>
  <si>
    <t>HartEversley</t>
  </si>
  <si>
    <t>E1736P008</t>
  </si>
  <si>
    <t>Eversley</t>
  </si>
  <si>
    <t>HartEwshot</t>
  </si>
  <si>
    <t>E1736P009</t>
  </si>
  <si>
    <t>Ewshot</t>
  </si>
  <si>
    <t>HartFleet</t>
  </si>
  <si>
    <t>E1736P010</t>
  </si>
  <si>
    <t>Fleet</t>
  </si>
  <si>
    <t>HartGreywell</t>
  </si>
  <si>
    <t>E1736P011</t>
  </si>
  <si>
    <t>Greywell</t>
  </si>
  <si>
    <t>HartHartley Wintney</t>
  </si>
  <si>
    <t>E1736P012</t>
  </si>
  <si>
    <t>Hartley Wintney</t>
  </si>
  <si>
    <t>HartHeckfield</t>
  </si>
  <si>
    <t>E1736P013</t>
  </si>
  <si>
    <t>Heckfield</t>
  </si>
  <si>
    <t>HartHook</t>
  </si>
  <si>
    <t>E1736P014</t>
  </si>
  <si>
    <t>Hook</t>
  </si>
  <si>
    <t>HartLong Sutton</t>
  </si>
  <si>
    <t>E1736P015</t>
  </si>
  <si>
    <t>Long Sutton</t>
  </si>
  <si>
    <t>HartMattingley</t>
  </si>
  <si>
    <t>E1736P016</t>
  </si>
  <si>
    <t>Mattingley</t>
  </si>
  <si>
    <t>HartOdiham</t>
  </si>
  <si>
    <t>E1736P017</t>
  </si>
  <si>
    <t>Odiham</t>
  </si>
  <si>
    <t>HartRotherwick</t>
  </si>
  <si>
    <t>E1736P018</t>
  </si>
  <si>
    <t>Rotherwick</t>
  </si>
  <si>
    <t>HartSouth Warnborough</t>
  </si>
  <si>
    <t>E1736P019</t>
  </si>
  <si>
    <t>South Warnborough</t>
  </si>
  <si>
    <t>HartWinchfield</t>
  </si>
  <si>
    <t>E1736P020</t>
  </si>
  <si>
    <t>Winchfield</t>
  </si>
  <si>
    <t>HartYateley</t>
  </si>
  <si>
    <t>E1736P021</t>
  </si>
  <si>
    <t>Yateley</t>
  </si>
  <si>
    <t>New ForestAshurst and Colbury</t>
  </si>
  <si>
    <t>E1738P001</t>
  </si>
  <si>
    <t>Ashurst and Colbury</t>
  </si>
  <si>
    <t>New ForestBeaulieu</t>
  </si>
  <si>
    <t>E1738P002</t>
  </si>
  <si>
    <t>Beaulieu</t>
  </si>
  <si>
    <t>New ForestBoldre</t>
  </si>
  <si>
    <t>E1738P003</t>
  </si>
  <si>
    <t>Boldre</t>
  </si>
  <si>
    <t>New ForestBramshaw</t>
  </si>
  <si>
    <t>E1738P004</t>
  </si>
  <si>
    <t>Bramshaw</t>
  </si>
  <si>
    <t>New ForestBransgore</t>
  </si>
  <si>
    <t>E1738P005</t>
  </si>
  <si>
    <t>Bransgore</t>
  </si>
  <si>
    <t>New ForestBreamore</t>
  </si>
  <si>
    <t>E1738P006</t>
  </si>
  <si>
    <t>Breamore</t>
  </si>
  <si>
    <t>New ForestBrockenhurst</t>
  </si>
  <si>
    <t>E1738P007</t>
  </si>
  <si>
    <t>Brockenhurst</t>
  </si>
  <si>
    <t>New ForestBurley</t>
  </si>
  <si>
    <t>E1738P008</t>
  </si>
  <si>
    <t>Burley</t>
  </si>
  <si>
    <t>New ForestCopythorne</t>
  </si>
  <si>
    <t>E1738P009</t>
  </si>
  <si>
    <t>Copythorne</t>
  </si>
  <si>
    <t>New ForestDamerham</t>
  </si>
  <si>
    <t>E1738P010</t>
  </si>
  <si>
    <t>Damerham</t>
  </si>
  <si>
    <t>New ForestDenny Lodge</t>
  </si>
  <si>
    <t>E1738P011</t>
  </si>
  <si>
    <t>Denny Lodge</t>
  </si>
  <si>
    <t>New ForestEast Boldre</t>
  </si>
  <si>
    <t>E1738P012</t>
  </si>
  <si>
    <t>East Boldre</t>
  </si>
  <si>
    <t>New ForestEllingham Harbridge and Ibsley</t>
  </si>
  <si>
    <t>E1738P013</t>
  </si>
  <si>
    <t>Ellingham Harbridge and Ibsley</t>
  </si>
  <si>
    <t>New ForestExbury and Lepe</t>
  </si>
  <si>
    <t>E1738P014</t>
  </si>
  <si>
    <t>Exbury and Lepe</t>
  </si>
  <si>
    <t>New ForestFawley</t>
  </si>
  <si>
    <t>E1738P015</t>
  </si>
  <si>
    <t>New ForestFordingbridge</t>
  </si>
  <si>
    <t>E1738P016</t>
  </si>
  <si>
    <t>Fordingbridge</t>
  </si>
  <si>
    <t>New ForestGodshill</t>
  </si>
  <si>
    <t>E1738P017</t>
  </si>
  <si>
    <t>Godshill</t>
  </si>
  <si>
    <t>New ForestHale</t>
  </si>
  <si>
    <t>E1738P018</t>
  </si>
  <si>
    <t>New ForestHordle</t>
  </si>
  <si>
    <t>E1738P019</t>
  </si>
  <si>
    <t>Hordle</t>
  </si>
  <si>
    <t>New ForestHyde</t>
  </si>
  <si>
    <t>E1738P020</t>
  </si>
  <si>
    <t>New ForestHythe and Dibden</t>
  </si>
  <si>
    <t>E1738P021</t>
  </si>
  <si>
    <t>Hythe and Dibden</t>
  </si>
  <si>
    <t>New ForestLymington and Pennington</t>
  </si>
  <si>
    <t>E1738P022</t>
  </si>
  <si>
    <t>Lymington and Pennington</t>
  </si>
  <si>
    <t>New ForestLyndhurst</t>
  </si>
  <si>
    <t>E1738P023</t>
  </si>
  <si>
    <t>Lyndhurst</t>
  </si>
  <si>
    <t>New ForestMarchwood</t>
  </si>
  <si>
    <t>E1738P024</t>
  </si>
  <si>
    <t>Marchwood</t>
  </si>
  <si>
    <t>New ForestMartin</t>
  </si>
  <si>
    <t>E1738P025</t>
  </si>
  <si>
    <t>Martin</t>
  </si>
  <si>
    <t>New ForestMilford on sea</t>
  </si>
  <si>
    <t>E1738P026</t>
  </si>
  <si>
    <t>Milford on sea</t>
  </si>
  <si>
    <t>New ForestMinstead</t>
  </si>
  <si>
    <t>E1738P027</t>
  </si>
  <si>
    <t>Minstead</t>
  </si>
  <si>
    <t>New ForestNetley Marsh</t>
  </si>
  <si>
    <t>E1738P028</t>
  </si>
  <si>
    <t>Netley Marsh</t>
  </si>
  <si>
    <t>New ForestNew Milton</t>
  </si>
  <si>
    <t>E1738P029</t>
  </si>
  <si>
    <t>New Milton</t>
  </si>
  <si>
    <t>New ForestRingwood</t>
  </si>
  <si>
    <t>E1738P030</t>
  </si>
  <si>
    <t>Ringwood</t>
  </si>
  <si>
    <t>New ForestRockbourne</t>
  </si>
  <si>
    <t>E1738P031</t>
  </si>
  <si>
    <t>Rockbourne</t>
  </si>
  <si>
    <t>New ForestSandleheath</t>
  </si>
  <si>
    <t>E1738P032</t>
  </si>
  <si>
    <t>Sandleheath</t>
  </si>
  <si>
    <t>New ForestSopley</t>
  </si>
  <si>
    <t>E1738P033</t>
  </si>
  <si>
    <t>Sopley</t>
  </si>
  <si>
    <t>New ForestSway</t>
  </si>
  <si>
    <t>E1738P034</t>
  </si>
  <si>
    <t>Sway</t>
  </si>
  <si>
    <t>New ForestTotton and Eling</t>
  </si>
  <si>
    <t>E1738P035</t>
  </si>
  <si>
    <t>Totton and Eling</t>
  </si>
  <si>
    <t>New ForestWhitsbury</t>
  </si>
  <si>
    <t>E1738P036</t>
  </si>
  <si>
    <t>Whitsbury</t>
  </si>
  <si>
    <t>New ForestWoodgreen</t>
  </si>
  <si>
    <t>E1738P037</t>
  </si>
  <si>
    <t>Woodgreen</t>
  </si>
  <si>
    <t>Test ValleyAbbotts Ann</t>
  </si>
  <si>
    <t>E1742P001</t>
  </si>
  <si>
    <t>Abbotts Ann</t>
  </si>
  <si>
    <t>Test ValleyAmpfield</t>
  </si>
  <si>
    <t>E1742P002</t>
  </si>
  <si>
    <t>Ampfield</t>
  </si>
  <si>
    <t>Test ValleyAmport</t>
  </si>
  <si>
    <t>E1742P003</t>
  </si>
  <si>
    <t>Amport</t>
  </si>
  <si>
    <t>Test ValleyAndover Town</t>
  </si>
  <si>
    <t>E1742P004</t>
  </si>
  <si>
    <t>Andover Town</t>
  </si>
  <si>
    <t>Test ValleyAppleshaw</t>
  </si>
  <si>
    <t>E1742P005</t>
  </si>
  <si>
    <t>Appleshaw</t>
  </si>
  <si>
    <t>Test ValleyAshley</t>
  </si>
  <si>
    <t>E1742P006</t>
  </si>
  <si>
    <t>Test ValleyAwbridge</t>
  </si>
  <si>
    <t>E1742P007</t>
  </si>
  <si>
    <t>Awbridge</t>
  </si>
  <si>
    <t>Test ValleyBarton Stacey</t>
  </si>
  <si>
    <t>E1742P008</t>
  </si>
  <si>
    <t>Barton Stacey</t>
  </si>
  <si>
    <t>Test ValleyBossington</t>
  </si>
  <si>
    <t>E1742P009</t>
  </si>
  <si>
    <t>Bossington</t>
  </si>
  <si>
    <t>Test ValleyBraishfield</t>
  </si>
  <si>
    <t>E1742P010</t>
  </si>
  <si>
    <t>Braishfield</t>
  </si>
  <si>
    <t>Test ValleyBroughton</t>
  </si>
  <si>
    <t>E1742P011</t>
  </si>
  <si>
    <t>Test ValleyBullington</t>
  </si>
  <si>
    <t>E1742P013</t>
  </si>
  <si>
    <t>Bullington</t>
  </si>
  <si>
    <t>Test ValleyCharlton</t>
  </si>
  <si>
    <t>E1742P014</t>
  </si>
  <si>
    <t>Charlton</t>
  </si>
  <si>
    <t>Test ValleyChilbolton</t>
  </si>
  <si>
    <t>E1742P015</t>
  </si>
  <si>
    <t>Chilbolton</t>
  </si>
  <si>
    <t>Test ValleyChilworth</t>
  </si>
  <si>
    <t>E1742P016</t>
  </si>
  <si>
    <t>Chilworth</t>
  </si>
  <si>
    <t>Test ValleyEast Dean</t>
  </si>
  <si>
    <t>E1742P017</t>
  </si>
  <si>
    <t>East Dean</t>
  </si>
  <si>
    <t>Test ValleyEast Tytherley</t>
  </si>
  <si>
    <t>E1742P018</t>
  </si>
  <si>
    <t>East Tytherley</t>
  </si>
  <si>
    <t>Test ValleyEnham Alamein</t>
  </si>
  <si>
    <t>E1742P019</t>
  </si>
  <si>
    <t>Enham Alamein</t>
  </si>
  <si>
    <t>Test ValleyFaccombe</t>
  </si>
  <si>
    <t>E1742P020</t>
  </si>
  <si>
    <t>Faccombe</t>
  </si>
  <si>
    <t>Test ValleyFyfield</t>
  </si>
  <si>
    <t>E1742P022</t>
  </si>
  <si>
    <t>Test ValleyGoodworth Clatford</t>
  </si>
  <si>
    <t>E1742P023</t>
  </si>
  <si>
    <t>Goodworth Clatford</t>
  </si>
  <si>
    <t>Test ValleyGrateley</t>
  </si>
  <si>
    <t>E1742P024</t>
  </si>
  <si>
    <t>Grateley</t>
  </si>
  <si>
    <t>Test ValleyHoughton</t>
  </si>
  <si>
    <t>E1742P025</t>
  </si>
  <si>
    <t>Houghton</t>
  </si>
  <si>
    <t>Test ValleyHurstbourne Tarrant</t>
  </si>
  <si>
    <t>E1742P026</t>
  </si>
  <si>
    <t>Hurstbourne Tarrant</t>
  </si>
  <si>
    <t>Test ValleyKimpton</t>
  </si>
  <si>
    <t>E1742P027</t>
  </si>
  <si>
    <t>Kimpton</t>
  </si>
  <si>
    <t>Test ValleyKings Somborne</t>
  </si>
  <si>
    <t>E1742P028</t>
  </si>
  <si>
    <t>Kings Somborne</t>
  </si>
  <si>
    <t>Test ValleyLeckford</t>
  </si>
  <si>
    <t>E1742P029</t>
  </si>
  <si>
    <t>Leckford</t>
  </si>
  <si>
    <t>Test ValleyLinkenholt</t>
  </si>
  <si>
    <t>E1742P030</t>
  </si>
  <si>
    <t>Linkenholt</t>
  </si>
  <si>
    <t>Test ValleyLittle Somborne</t>
  </si>
  <si>
    <t>E1742P031</t>
  </si>
  <si>
    <t>Little Somborne</t>
  </si>
  <si>
    <t>Test ValleyLockerley</t>
  </si>
  <si>
    <t>E1742P032</t>
  </si>
  <si>
    <t>Lockerley</t>
  </si>
  <si>
    <t>Test ValleyLongparish</t>
  </si>
  <si>
    <t>E1742P033</t>
  </si>
  <si>
    <t>Longparish</t>
  </si>
  <si>
    <t>Test ValleyLongstock</t>
  </si>
  <si>
    <t>E1742P034</t>
  </si>
  <si>
    <t>Longstock</t>
  </si>
  <si>
    <t>Test ValleyMelchet Park and Plaitford</t>
  </si>
  <si>
    <t>E1742P035</t>
  </si>
  <si>
    <t>Melchet Park and Plaitford</t>
  </si>
  <si>
    <t>Test ValleyMichelmersh and Timsbury</t>
  </si>
  <si>
    <t>E1742P036</t>
  </si>
  <si>
    <t>Michelmersh and Timsbury</t>
  </si>
  <si>
    <t>Test ValleyMonxton</t>
  </si>
  <si>
    <t>E1742P037</t>
  </si>
  <si>
    <t>Monxton</t>
  </si>
  <si>
    <t>Test ValleyMottisfont</t>
  </si>
  <si>
    <t>E1742P038</t>
  </si>
  <si>
    <t>Mottisfont</t>
  </si>
  <si>
    <t>Test ValleyNether Wallop</t>
  </si>
  <si>
    <t>E1742P039</t>
  </si>
  <si>
    <t>Nether Wallop</t>
  </si>
  <si>
    <t>Test ValleyNorth Baddesley</t>
  </si>
  <si>
    <t>E1742P040</t>
  </si>
  <si>
    <t>North Baddesley</t>
  </si>
  <si>
    <t>Test ValleyNursling and Rownhams</t>
  </si>
  <si>
    <t>E1742P041</t>
  </si>
  <si>
    <t>Nursling and Rownhams</t>
  </si>
  <si>
    <t>Test ValleyOver Wallop</t>
  </si>
  <si>
    <t>E1742P042</t>
  </si>
  <si>
    <t>Over Wallop</t>
  </si>
  <si>
    <t>Test ValleyPenton Grafton</t>
  </si>
  <si>
    <t>E1742P043</t>
  </si>
  <si>
    <t>Penton Grafton</t>
  </si>
  <si>
    <t>Test ValleyPenton Mewsey</t>
  </si>
  <si>
    <t>E1742P044</t>
  </si>
  <si>
    <t>Penton Mewsey</t>
  </si>
  <si>
    <t>Test ValleyQuarley</t>
  </si>
  <si>
    <t>E1742P045</t>
  </si>
  <si>
    <t>Quarley</t>
  </si>
  <si>
    <t>Test ValleyRomsey Town</t>
  </si>
  <si>
    <t>E1742P046</t>
  </si>
  <si>
    <t>Romsey Town</t>
  </si>
  <si>
    <t>Test ValleySherfield English</t>
  </si>
  <si>
    <t>E1742P048</t>
  </si>
  <si>
    <t>Sherfield English</t>
  </si>
  <si>
    <t>Test ValleyShipton Bellinger</t>
  </si>
  <si>
    <t>E1742P049</t>
  </si>
  <si>
    <t>Shipton Bellinger</t>
  </si>
  <si>
    <t>Test ValleySmannell</t>
  </si>
  <si>
    <t>E1742P050</t>
  </si>
  <si>
    <t>Smannell</t>
  </si>
  <si>
    <t>Test ValleyStockbridge</t>
  </si>
  <si>
    <t>E1742P051</t>
  </si>
  <si>
    <t>Stockbridge</t>
  </si>
  <si>
    <t>Test ValleyTangley</t>
  </si>
  <si>
    <t>E1742P052</t>
  </si>
  <si>
    <t>Tangley</t>
  </si>
  <si>
    <t>Test ValleyThruxton</t>
  </si>
  <si>
    <t>E1742P053</t>
  </si>
  <si>
    <t>Thruxton</t>
  </si>
  <si>
    <t>Test ValleyUpper Clatford</t>
  </si>
  <si>
    <t>E1742P054</t>
  </si>
  <si>
    <t>Upper Clatford</t>
  </si>
  <si>
    <t>Test ValleyValley Park</t>
  </si>
  <si>
    <t>E1742P055</t>
  </si>
  <si>
    <t>Valley Park</t>
  </si>
  <si>
    <t>Test ValleyVernham Dean</t>
  </si>
  <si>
    <t>E1742P056</t>
  </si>
  <si>
    <t>Vernham Dean</t>
  </si>
  <si>
    <t>Test ValleyWellow</t>
  </si>
  <si>
    <t>E1742P057</t>
  </si>
  <si>
    <t>Test ValleyWest Tytherley Frenchmoor and Buckholt</t>
  </si>
  <si>
    <t>E1742P058</t>
  </si>
  <si>
    <t>West Tytherley Frenchmoor and Buckholt</t>
  </si>
  <si>
    <t>Test ValleyWherwell</t>
  </si>
  <si>
    <t>E1742P059</t>
  </si>
  <si>
    <t>Wherwell</t>
  </si>
  <si>
    <t>WinchesterBadger Farm</t>
  </si>
  <si>
    <t>E1743P001</t>
  </si>
  <si>
    <t>Badger Farm</t>
  </si>
  <si>
    <t>WinchesterBeauworth</t>
  </si>
  <si>
    <t>E1743P002</t>
  </si>
  <si>
    <t>Beauworth</t>
  </si>
  <si>
    <t>WinchesterBighton</t>
  </si>
  <si>
    <t>E1743P003</t>
  </si>
  <si>
    <t>Bighton</t>
  </si>
  <si>
    <t>WinchesterBishops Sutton</t>
  </si>
  <si>
    <t>E1743P004</t>
  </si>
  <si>
    <t>Bishops Sutton</t>
  </si>
  <si>
    <t>WinchesterBishops Waltham</t>
  </si>
  <si>
    <t>E1743P005</t>
  </si>
  <si>
    <t>Bishops Waltham</t>
  </si>
  <si>
    <t>WinchesterBoarhunt</t>
  </si>
  <si>
    <t>E1743P006</t>
  </si>
  <si>
    <t>Boarhunt</t>
  </si>
  <si>
    <t>WinchesterBramdean and Hinton Ampner</t>
  </si>
  <si>
    <t>E1743P007</t>
  </si>
  <si>
    <t>Bramdean and Hinton Ampner</t>
  </si>
  <si>
    <t>WinchesterCheriton</t>
  </si>
  <si>
    <t>E1743P008</t>
  </si>
  <si>
    <t>Cheriton</t>
  </si>
  <si>
    <t>WinchesterChilcomb</t>
  </si>
  <si>
    <t>E1743P009</t>
  </si>
  <si>
    <t>Chilcomb</t>
  </si>
  <si>
    <t>WinchesterColden Common</t>
  </si>
  <si>
    <t>E1743P010</t>
  </si>
  <si>
    <t>Colden Common</t>
  </si>
  <si>
    <t>WinchesterCompton &amp; Shawford</t>
  </si>
  <si>
    <t>E1743P011</t>
  </si>
  <si>
    <t>Compton &amp; Shawford</t>
  </si>
  <si>
    <t>WinchesterCorhampton and Meonstoke</t>
  </si>
  <si>
    <t>E1743P012</t>
  </si>
  <si>
    <t>Corhampton and Meonstoke</t>
  </si>
  <si>
    <t>WinchesterCrawley</t>
  </si>
  <si>
    <t>E1743P013</t>
  </si>
  <si>
    <t>WinchesterCurdridge</t>
  </si>
  <si>
    <t>E1743P014</t>
  </si>
  <si>
    <t>Curdridge</t>
  </si>
  <si>
    <t>WinchesterDenmead</t>
  </si>
  <si>
    <t>E1743P015</t>
  </si>
  <si>
    <t>Denmead</t>
  </si>
  <si>
    <t>WinchesterDroxford</t>
  </si>
  <si>
    <t>E1743P016</t>
  </si>
  <si>
    <t>Droxford</t>
  </si>
  <si>
    <t>WinchesterDurley</t>
  </si>
  <si>
    <t>E1743P017</t>
  </si>
  <si>
    <t>Durley</t>
  </si>
  <si>
    <t>WinchesterExton</t>
  </si>
  <si>
    <t>E1743P018</t>
  </si>
  <si>
    <t>Exton</t>
  </si>
  <si>
    <t>WinchesterHambledon</t>
  </si>
  <si>
    <t>E1743P019</t>
  </si>
  <si>
    <t>Hambledon</t>
  </si>
  <si>
    <t>WinchesterHeadbourne Worthy</t>
  </si>
  <si>
    <t>E1743P020</t>
  </si>
  <si>
    <t>Headbourne Worthy</t>
  </si>
  <si>
    <t>WinchesterHursley</t>
  </si>
  <si>
    <t>E1743P021</t>
  </si>
  <si>
    <t>Hursley</t>
  </si>
  <si>
    <t>WinchesterItchen Stoke and Ovington</t>
  </si>
  <si>
    <t>E1743P022</t>
  </si>
  <si>
    <t>Itchen Stoke and Ovington</t>
  </si>
  <si>
    <t>WinchesterItchen Valley</t>
  </si>
  <si>
    <t>E1743P023</t>
  </si>
  <si>
    <t>Itchen Valley</t>
  </si>
  <si>
    <t>WinchesterKilmiston</t>
  </si>
  <si>
    <t>E1743P024</t>
  </si>
  <si>
    <t>Kilmiston</t>
  </si>
  <si>
    <t>WinchesterKings Worthy</t>
  </si>
  <si>
    <t>E1743P025</t>
  </si>
  <si>
    <t>Kings Worthy</t>
  </si>
  <si>
    <t>WinchesterLittleton and Harestock</t>
  </si>
  <si>
    <t>E1743P026</t>
  </si>
  <si>
    <t>Littleton and Harestock</t>
  </si>
  <si>
    <t>WinchesterMicheldever</t>
  </si>
  <si>
    <t>E1743P027</t>
  </si>
  <si>
    <t>Micheldever</t>
  </si>
  <si>
    <t>WinchesterNew Alresford</t>
  </si>
  <si>
    <t>E1743P028</t>
  </si>
  <si>
    <t>New Alresford</t>
  </si>
  <si>
    <t>WinchesterNewlands</t>
  </si>
  <si>
    <t>E1743P029</t>
  </si>
  <si>
    <t>Newlands</t>
  </si>
  <si>
    <t>WinchesterNorthington</t>
  </si>
  <si>
    <t>E1743P030</t>
  </si>
  <si>
    <t>Northington</t>
  </si>
  <si>
    <t>WinchesterOld Alresford</t>
  </si>
  <si>
    <t>E1743P031</t>
  </si>
  <si>
    <t>Old Alresford</t>
  </si>
  <si>
    <t>WinchesterOlivers Battery</t>
  </si>
  <si>
    <t>E1743P032</t>
  </si>
  <si>
    <t>Olivers Battery</t>
  </si>
  <si>
    <t>WinchesterOtterbourne</t>
  </si>
  <si>
    <t>E1743P033</t>
  </si>
  <si>
    <t>Otterbourne</t>
  </si>
  <si>
    <t>WinchesterOwslebury</t>
  </si>
  <si>
    <t>E1743P034</t>
  </si>
  <si>
    <t>Owslebury</t>
  </si>
  <si>
    <t>WinchesterShedfield</t>
  </si>
  <si>
    <t>E1743P035</t>
  </si>
  <si>
    <t>Shedfield</t>
  </si>
  <si>
    <t>WinchesterSoberton</t>
  </si>
  <si>
    <t>E1743P036</t>
  </si>
  <si>
    <t>Soberton</t>
  </si>
  <si>
    <t>WinchesterSouth Wonston</t>
  </si>
  <si>
    <t>E1743P037</t>
  </si>
  <si>
    <t>South Wonston</t>
  </si>
  <si>
    <t>WinchesterSouthwick and Widley</t>
  </si>
  <si>
    <t>E1743P038</t>
  </si>
  <si>
    <t>Southwick and Widley</t>
  </si>
  <si>
    <t>WinchesterSparsholt</t>
  </si>
  <si>
    <t>E1743P039</t>
  </si>
  <si>
    <t>Sparsholt</t>
  </si>
  <si>
    <t>WinchesterSwanmore</t>
  </si>
  <si>
    <t>E1743P040</t>
  </si>
  <si>
    <t>Swanmore</t>
  </si>
  <si>
    <t>WinchesterTichborne</t>
  </si>
  <si>
    <t>E1743P041</t>
  </si>
  <si>
    <t>Tichborne</t>
  </si>
  <si>
    <t>WinchesterTwyford</t>
  </si>
  <si>
    <t>E1743P042</t>
  </si>
  <si>
    <t>WinchesterUpham</t>
  </si>
  <si>
    <t>E1743P043</t>
  </si>
  <si>
    <t>Upham</t>
  </si>
  <si>
    <t>WinchesterWarnford</t>
  </si>
  <si>
    <t>E1743P044</t>
  </si>
  <si>
    <t>Warnford</t>
  </si>
  <si>
    <t>WinchesterWest Meon</t>
  </si>
  <si>
    <t>E1743P045</t>
  </si>
  <si>
    <t>West Meon</t>
  </si>
  <si>
    <t>WinchesterWhiteley</t>
  </si>
  <si>
    <t>E1743P046</t>
  </si>
  <si>
    <t>Whiteley</t>
  </si>
  <si>
    <t>WinchesterWickham</t>
  </si>
  <si>
    <t>E1743P047</t>
  </si>
  <si>
    <t>Wickham</t>
  </si>
  <si>
    <t>WinchesterWonston</t>
  </si>
  <si>
    <t>E1743P048</t>
  </si>
  <si>
    <t>Wonston</t>
  </si>
  <si>
    <t>HerefordshireAbbey Dore (grouped with Bacton)</t>
  </si>
  <si>
    <t>E1801P001</t>
  </si>
  <si>
    <t>Abbey Dore (grouped with Bacton)</t>
  </si>
  <si>
    <t>HerefordshireAconbury</t>
  </si>
  <si>
    <t>E1801P002</t>
  </si>
  <si>
    <t>Aconbury</t>
  </si>
  <si>
    <t>HerefordshireActon Beauchamp Group (grouped with Evesbatch &amp; Stanford Bishop)</t>
  </si>
  <si>
    <t>E1801P003</t>
  </si>
  <si>
    <t>Acton Beauchamp Group (grouped with Evesbatch &amp; Stanford Bishop)</t>
  </si>
  <si>
    <t>HerefordshireBorder Group (grouped: Adforton Brampton Bryan Buckton &amp; Coxhall Lingen Letton &amp; Newton Paytoe &amp; Gra</t>
  </si>
  <si>
    <t>E1801P004</t>
  </si>
  <si>
    <t>Border Group (grouped: Adforton Brampton Bryan Buckton &amp; Coxhall Lingen Letton &amp; Newton Paytoe &amp; Gra</t>
  </si>
  <si>
    <t>HerefordshireAllensmore</t>
  </si>
  <si>
    <t>E1801P005</t>
  </si>
  <si>
    <t>Allensmore</t>
  </si>
  <si>
    <t>HerefordshireAlmeley</t>
  </si>
  <si>
    <t>E1801P006</t>
  </si>
  <si>
    <t>Almeley</t>
  </si>
  <si>
    <t>HerefordshireAshperton</t>
  </si>
  <si>
    <t>E1801P007</t>
  </si>
  <si>
    <t>Ashperton</t>
  </si>
  <si>
    <t>HerefordshireAston Ingham</t>
  </si>
  <si>
    <t>E1801P008</t>
  </si>
  <si>
    <t>Aston Ingham</t>
  </si>
  <si>
    <t>HerefordshireAvenbury</t>
  </si>
  <si>
    <t>E1801P009</t>
  </si>
  <si>
    <t>Avenbury</t>
  </si>
  <si>
    <t>HerefordshireAylton (forms PIXLEY &amp; DISTRICT with Pixley Little Marcle and Munsley)</t>
  </si>
  <si>
    <t>E1801P010</t>
  </si>
  <si>
    <t>Aylton (forms PIXLEY &amp; DISTRICT with Pixley Little Marcle and Munsley)</t>
  </si>
  <si>
    <t>HerefordshireAymestrey</t>
  </si>
  <si>
    <t>E1801P011</t>
  </si>
  <si>
    <t>Aymestrey</t>
  </si>
  <si>
    <t>HerefordshireBacton (grouped with Abbey Dore)</t>
  </si>
  <si>
    <t>E1801P012</t>
  </si>
  <si>
    <t>Bacton (grouped with Abbey Dore)</t>
  </si>
  <si>
    <t>HerefordshireBallingham (grouped with Bolstone and Hentland)</t>
  </si>
  <si>
    <t>E1801P013</t>
  </si>
  <si>
    <t>Ballingham (grouped with Bolstone and Hentland)</t>
  </si>
  <si>
    <t>HerefordshireBartestree (grouped with Lugwardine)</t>
  </si>
  <si>
    <t>E1801P014</t>
  </si>
  <si>
    <t>Bartestree (grouped with Lugwardine)</t>
  </si>
  <si>
    <t>HerefordshireBelmont Rural</t>
  </si>
  <si>
    <t>E1801P015</t>
  </si>
  <si>
    <t>Belmont Rural</t>
  </si>
  <si>
    <t>HerefordshireBirley with Upper Hill</t>
  </si>
  <si>
    <t>E1801P016</t>
  </si>
  <si>
    <t>Birley with Upper Hill</t>
  </si>
  <si>
    <t>HerefordshireBishop's Frome</t>
  </si>
  <si>
    <t>E1801P017</t>
  </si>
  <si>
    <t>Bishop's Frome</t>
  </si>
  <si>
    <t>HerefordshireBishopstone Group (grouped with Bridge Sollers Byford Kenchester &amp; Mansell Gamage)</t>
  </si>
  <si>
    <t>E1801P018</t>
  </si>
  <si>
    <t>Bishopstone Group (grouped with Bridge Sollers Byford Kenchester &amp; Mansell Gamage)</t>
  </si>
  <si>
    <t>HerefordshireBlakemere (grouped as WYESIDE GROUP with Bredwardine Moccas Presotn on Wye &amp; Tyberton)</t>
  </si>
  <si>
    <t>E1801P019</t>
  </si>
  <si>
    <t>Blakemere (grouped as WYESIDE GROUP with Bredwardine Moccas Presotn on Wye &amp; Tyberton)</t>
  </si>
  <si>
    <t>HerefordshireBodenham</t>
  </si>
  <si>
    <t>E1801P020</t>
  </si>
  <si>
    <t>Bodenham</t>
  </si>
  <si>
    <t>HerefordshireBolstone (grouped with Ballingham and Hentland)</t>
  </si>
  <si>
    <t>E1801P021</t>
  </si>
  <si>
    <t>Bolstone (grouped with Ballingham and Hentland)</t>
  </si>
  <si>
    <t>HerefordshireBosbury (grouped with Coddington)</t>
  </si>
  <si>
    <t>E1801P022</t>
  </si>
  <si>
    <t>Bosbury (grouped with Coddington)</t>
  </si>
  <si>
    <t>HerefordshireBrampton Abbots (grouped with Foy)</t>
  </si>
  <si>
    <t>E1801P023</t>
  </si>
  <si>
    <t>Brampton Abbots (grouped with Foy)</t>
  </si>
  <si>
    <t>HerefordshireBrampton Bryan (grouped as BORDER GROUP with Adforton Buckton &amp; Coxhall Letton &amp; Newton Lingen Payt</t>
  </si>
  <si>
    <t>E1801P024</t>
  </si>
  <si>
    <t>Brampton Bryan (grouped as BORDER GROUP with Adforton Buckton &amp; Coxhall Letton &amp; Newton Lingen Payt</t>
  </si>
  <si>
    <t>HerefordshireBredenbury &amp; District Group (grouped with Bredenbury Grendon Bishop Wacton)</t>
  </si>
  <si>
    <t>E1801P025</t>
  </si>
  <si>
    <t>Bredenbury &amp; District Group (grouped with Bredenbury Grendon Bishop Wacton)</t>
  </si>
  <si>
    <t>HerefordshireBredwardine (grouped as WYESIDE GROUP with Blakemere Moccas Preston on Wye &amp; Tyberton)</t>
  </si>
  <si>
    <t>E1801P026</t>
  </si>
  <si>
    <t>Bredwardine (grouped as WYESIDE GROUP with Blakemere Moccas Preston on Wye &amp; Tyberton)</t>
  </si>
  <si>
    <t>HerefordshireBreinton</t>
  </si>
  <si>
    <t>E1801P027</t>
  </si>
  <si>
    <t>Breinton</t>
  </si>
  <si>
    <t>HerefordshireBridge Sollars (grouped with BISHOPSTONE Byford Kenchester Mansell Gamage)</t>
  </si>
  <si>
    <t>E1801P028</t>
  </si>
  <si>
    <t>Bridge Sollars (grouped with BISHOPSTONE Byford Kenchester Mansell Gamage)</t>
  </si>
  <si>
    <t>HerefordshireBridstow</t>
  </si>
  <si>
    <t>E1801P029</t>
  </si>
  <si>
    <t>Bridstow</t>
  </si>
  <si>
    <t>HerefordshireBrilley</t>
  </si>
  <si>
    <t>E1801P030</t>
  </si>
  <si>
    <t>Brilley</t>
  </si>
  <si>
    <t>HerefordshireBrimfield (grouped with Little Hereford)</t>
  </si>
  <si>
    <t>E1801P031</t>
  </si>
  <si>
    <t>Brimfield (grouped with Little Hereford)</t>
  </si>
  <si>
    <t>HerefordshireBrinsop &amp; Wormsley (grouped as FOXLEY GROUP with Mansell Lacy and Yazor)</t>
  </si>
  <si>
    <t>E1801P032</t>
  </si>
  <si>
    <t>Brinsop &amp; Wormsley (grouped as FOXLEY GROUP with Mansell Lacy and Yazor)</t>
  </si>
  <si>
    <t>HerefordshireBrobury with Monnington on Wye (forms STAUNTON ON WYE &amp; DISTRICT with Stanton on Wye)</t>
  </si>
  <si>
    <t>E1801P033</t>
  </si>
  <si>
    <t>Brobury with Monnington on Wye (forms STAUNTON ON WYE &amp; DISTRICT with Stanton on Wye)</t>
  </si>
  <si>
    <t>HerefordshireBrockhampton (Bringsty) (grouped as BROCKHAMPTON GROUP with Linton (Bringsty) and Norton)</t>
  </si>
  <si>
    <t>E1801P034</t>
  </si>
  <si>
    <t>Brockhampton (Bringsty) (grouped as BROCKHAMPTON GROUP with Linton (Bringsty) and Norton)</t>
  </si>
  <si>
    <t>HerefordshireBrockhampton (Old Gore)</t>
  </si>
  <si>
    <t>E1801P035</t>
  </si>
  <si>
    <t>Brockhampton (Old Gore)</t>
  </si>
  <si>
    <t>HerefordshireBromyard and Winslow</t>
  </si>
  <si>
    <t>E1801P036</t>
  </si>
  <si>
    <t>Bromyard and Winslow</t>
  </si>
  <si>
    <t>HerefordshireBuckton &amp; Coxhall (grouped as BORDER GROUP with: Adforton Brampton Bryan Lingen Letton &amp; Newton Payt</t>
  </si>
  <si>
    <t>E1801P037</t>
  </si>
  <si>
    <t>Buckton &amp; Coxhall (grouped as BORDER GROUP with: Adforton Brampton Bryan Lingen Letton &amp; Newton Payt</t>
  </si>
  <si>
    <t>HerefordshireBurghill</t>
  </si>
  <si>
    <t>E1801P038</t>
  </si>
  <si>
    <t>Burghill</t>
  </si>
  <si>
    <t>HerefordshireBurrington (forms Leintwardine Group with Downton Leintwardine)</t>
  </si>
  <si>
    <t>E1801P039</t>
  </si>
  <si>
    <t>Burrington (forms Leintwardine Group with Downton Leintwardine)</t>
  </si>
  <si>
    <t>HerefordshireByford (grouped with Bishopstone Bridge Sollers Byford Kenchester Mansell Gamage)</t>
  </si>
  <si>
    <t>E1801P040</t>
  </si>
  <si>
    <t>Byford (grouped with Bishopstone Bridge Sollers Byford Kenchester Mansell Gamage)</t>
  </si>
  <si>
    <t>HerefordshireByton (forms STAPLETON GROUP with Stapleton Coombe and Kinsham)</t>
  </si>
  <si>
    <t>E1801P041</t>
  </si>
  <si>
    <t>Byton (forms STAPLETON GROUP with Stapleton Coombe and Kinsham)</t>
  </si>
  <si>
    <t>HerefordshireCallow (forms CALLOW &amp; HAYWOOD GROUP with Haywood Dewsall &amp; Grafton)</t>
  </si>
  <si>
    <t>E1801P042</t>
  </si>
  <si>
    <t>Callow (forms CALLOW &amp; HAYWOOD GROUP with Haywood Dewsall &amp; Grafton)</t>
  </si>
  <si>
    <t>HerefordshireCanon Frome (forms STRETTON GRANDISON GROUP with Stretton Grandison Castle Frome and Eggleton)</t>
  </si>
  <si>
    <t>E1801P043</t>
  </si>
  <si>
    <t>Canon Frome (forms STRETTON GRANDISON GROUP with Stretton Grandison Castle Frome and Eggleton)</t>
  </si>
  <si>
    <t>HerefordshirePyons Group (group of Canon's Pyon and King's Pyon)</t>
  </si>
  <si>
    <t>E1801P044</t>
  </si>
  <si>
    <t>Pyons Group (group of Canon's Pyon and King's Pyon)</t>
  </si>
  <si>
    <t>HerefordshireCastle Frome (forms STRETTON GRANDISON GROUP with Canon Frome Stretton Grandison and Eggleton)</t>
  </si>
  <si>
    <t>E1801P045</t>
  </si>
  <si>
    <t>Castle Frome (forms STRETTON GRANDISON GROUP with Canon Frome Stretton Grandison and Eggleton)</t>
  </si>
  <si>
    <t>HerefordshireClehonger</t>
  </si>
  <si>
    <t>E1801P046</t>
  </si>
  <si>
    <t>Clehonger</t>
  </si>
  <si>
    <t>HerefordshireClifford</t>
  </si>
  <si>
    <t>E1801P047</t>
  </si>
  <si>
    <t>Clifford</t>
  </si>
  <si>
    <t>HerefordshireCoddington (grouped with Bosbury)</t>
  </si>
  <si>
    <t>E1801P048</t>
  </si>
  <si>
    <t>Coddington (grouped with Bosbury)</t>
  </si>
  <si>
    <t>HerefordshireCollington (part of THORNBURY GROUP grouped with Thornbury and Edwyn Ralph)</t>
  </si>
  <si>
    <t>E1801P049</t>
  </si>
  <si>
    <t>Collington (part of THORNBURY GROUP grouped with Thornbury and Edwyn Ralph)</t>
  </si>
  <si>
    <t>HerefordshireColwall and Malvern Hills Conservators (Colwall)</t>
  </si>
  <si>
    <t>E1801P050</t>
  </si>
  <si>
    <t>Colwall and Malvern Hills Conservators (Colwall)</t>
  </si>
  <si>
    <t>HerefordshireCoombe (forms STAPLETON GROUP with Byton Stapleton and Kinsham)</t>
  </si>
  <si>
    <t>E1801P051</t>
  </si>
  <si>
    <t>Coombe (forms STAPLETON GROUP with Byton Stapleton and Kinsham)</t>
  </si>
  <si>
    <t>HerefordshireCradley (grouped with Storridge)</t>
  </si>
  <si>
    <t>E1801P052</t>
  </si>
  <si>
    <t>Cradley (grouped with Storridge)</t>
  </si>
  <si>
    <t>HerefordshireCraswall (forms LONGTOWN GROUP with Llanveynoe Longtown and Walterstone)</t>
  </si>
  <si>
    <t>E1801P053</t>
  </si>
  <si>
    <t>Craswall (forms LONGTOWN GROUP with Llanveynoe Longtown and Walterstone)</t>
  </si>
  <si>
    <t>HerefordshireCredenhill</t>
  </si>
  <si>
    <t>E1801P054</t>
  </si>
  <si>
    <t>Credenhill</t>
  </si>
  <si>
    <t>HerefordshireYARPOLE GROUP (Croft and Yarpole grouped with Lucton)</t>
  </si>
  <si>
    <t>E1801P055</t>
  </si>
  <si>
    <t>YARPOLE GROUP (Croft and Yarpole grouped with Lucton)</t>
  </si>
  <si>
    <t>HerefordshireCusop</t>
  </si>
  <si>
    <t>E1801P056</t>
  </si>
  <si>
    <t>Cusop</t>
  </si>
  <si>
    <t>HerefordshireDewsall (forms CALLOW &amp; HAYWOOD GROUP with Haywood Callow &amp; Grafton)</t>
  </si>
  <si>
    <t>E1801P057</t>
  </si>
  <si>
    <t>Dewsall (forms CALLOW &amp; HAYWOOD GROUP with Haywood Callow &amp; Grafton)</t>
  </si>
  <si>
    <t>HerefordshireDilwyn</t>
  </si>
  <si>
    <t>E1801P058</t>
  </si>
  <si>
    <t>Dilwyn</t>
  </si>
  <si>
    <t>HerefordshireDinedor</t>
  </si>
  <si>
    <t>E1801P059</t>
  </si>
  <si>
    <t>Dinedor</t>
  </si>
  <si>
    <t>HerefordshireDinmore</t>
  </si>
  <si>
    <t>E1801P060</t>
  </si>
  <si>
    <t>Dinmore</t>
  </si>
  <si>
    <t>HerefordshireDocklow &amp; Hampton Wafer (forms Hatfield &amp; District Group with Hatfield &amp; Newhampton Pudleston)</t>
  </si>
  <si>
    <t>E1801P061</t>
  </si>
  <si>
    <t>Docklow &amp; Hampton Wafer (forms Hatfield &amp; District Group with Hatfield &amp; Newhampton Pudleston)</t>
  </si>
  <si>
    <t>HerefordshireDonnington (grouped with Eastnor)</t>
  </si>
  <si>
    <t>E1801P062</t>
  </si>
  <si>
    <t>Donnington (grouped with Eastnor)</t>
  </si>
  <si>
    <t>HerefordshireDormington (grouped with Mordiford)</t>
  </si>
  <si>
    <t>E1801P063</t>
  </si>
  <si>
    <t>Dormington (grouped with Mordiford)</t>
  </si>
  <si>
    <t>HerefordshireDorstone</t>
  </si>
  <si>
    <t>E1801P064</t>
  </si>
  <si>
    <t>Dorstone</t>
  </si>
  <si>
    <t>HerefordshireDownton (forms Leintwardine Group with Burrington Leintwardine)</t>
  </si>
  <si>
    <t>E1801P065</t>
  </si>
  <si>
    <t>Downton (forms Leintwardine Group with Burrington Leintwardine)</t>
  </si>
  <si>
    <t>HerefordshireDulas (group as EWYAS HAROLD GROUP with Ewyas Harold. Llancillo &amp; Rowlestone)</t>
  </si>
  <si>
    <t>E1801P066</t>
  </si>
  <si>
    <t>Dulas (group as EWYAS HAROLD GROUP with Ewyas Harold. Llancillo &amp; Rowlestone)</t>
  </si>
  <si>
    <t>HerefordshireEardisland</t>
  </si>
  <si>
    <t>E1801P067</t>
  </si>
  <si>
    <t>Eardisland</t>
  </si>
  <si>
    <t>HerefordshireEardisley (as EARDISLEY GROUP with Whitney on Wye &amp; Willersley &amp; Winforton)</t>
  </si>
  <si>
    <t>E1801P068</t>
  </si>
  <si>
    <t>Eardisley (as EARDISLEY GROUP with Whitney on Wye &amp; Willersley &amp; Winforton)</t>
  </si>
  <si>
    <t>HerefordshireEastnor (grouped with Donnington)</t>
  </si>
  <si>
    <t>E1801P069</t>
  </si>
  <si>
    <t>Eastnor (grouped with Donnington)</t>
  </si>
  <si>
    <t>HerefordshireEaton Bishop</t>
  </si>
  <si>
    <t>E1801P070</t>
  </si>
  <si>
    <t>Eaton Bishop</t>
  </si>
  <si>
    <t>HerefordshireNorth Bromyard Group (grouped from Edvin Loach and Saltmarshe Tedstone Delamere Tedstone Wafer Upper</t>
  </si>
  <si>
    <t>E1801P071</t>
  </si>
  <si>
    <t>North Bromyard Group (grouped from Edvin Loach and Saltmarshe Tedstone Delamere Tedstone Wafer Upper</t>
  </si>
  <si>
    <t>HerefordshireEdwyn Ralph (part of THORNBURY GROUP grouped with Thornbury and Collington)</t>
  </si>
  <si>
    <t>E1801P072</t>
  </si>
  <si>
    <t>Edwyn Ralph (part of THORNBURY GROUP grouped with Thornbury and Collington)</t>
  </si>
  <si>
    <t>HerefordshireEggleton (forms STRETTON GRANDISON GROUP with Canon Frome Castle Frome and Stretton Grandison)</t>
  </si>
  <si>
    <t>E1801P073</t>
  </si>
  <si>
    <t>Eggleton (forms STRETTON GRANDISON GROUP with Canon Frome Castle Frome and Stretton Grandison)</t>
  </si>
  <si>
    <t>HerefordshireElton (is WIGMORE GROUP with Wigmore Leinthall Starkes and Pipe Aston)</t>
  </si>
  <si>
    <t>E1801P074</t>
  </si>
  <si>
    <t>Elton (is WIGMORE GROUP with Wigmore Leinthall Starkes and Pipe Aston)</t>
  </si>
  <si>
    <t>HerefordshireEvesbatch (grouped with Acton Beauchamp and Stanford Bishop)</t>
  </si>
  <si>
    <t>E1801P075</t>
  </si>
  <si>
    <t>Evesbatch (grouped with Acton Beauchamp and Stanford Bishop)</t>
  </si>
  <si>
    <t>HerefordshireEwyas Harold (group as EWYAS HAROLD GROUP with Dulas. Llancillo &amp; Rowlestone)</t>
  </si>
  <si>
    <t>E1801P076</t>
  </si>
  <si>
    <t>Ewyas Harold (group as EWYAS HAROLD GROUP with Dulas. Llancillo &amp; Rowlestone)</t>
  </si>
  <si>
    <t>HerefordshireEye Moreton &amp; Ashton (forms LUSTON GROUP with Luston and Eyton)</t>
  </si>
  <si>
    <t>E1801P077</t>
  </si>
  <si>
    <t>Eye Moreton &amp; Ashton (forms LUSTON GROUP with Luston and Eyton)</t>
  </si>
  <si>
    <t>HerefordshireEyton (forms LUSTON GROUP with Eye Moreton &amp; Ashton and Luston)</t>
  </si>
  <si>
    <t>E1801P078</t>
  </si>
  <si>
    <t>Eyton (forms LUSTON GROUP with Eye Moreton &amp; Ashton and Luston)</t>
  </si>
  <si>
    <t>HerefordshireFelton (grouped with OCLE PYCHARD and Ullingswick)</t>
  </si>
  <si>
    <t>E1801P079</t>
  </si>
  <si>
    <t>Felton (grouped with OCLE PYCHARD and Ullingswick)</t>
  </si>
  <si>
    <t>HerefordshireFord and Stoke Prior (grouped with Humber)</t>
  </si>
  <si>
    <t>E1801P080</t>
  </si>
  <si>
    <t>Ford and Stoke Prior (grouped with Humber)</t>
  </si>
  <si>
    <t>HerefordshireFownhope</t>
  </si>
  <si>
    <t>E1801P081</t>
  </si>
  <si>
    <t>Fownhope</t>
  </si>
  <si>
    <t>HerefordshireFoy (grouped with Brampton Abbots)</t>
  </si>
  <si>
    <t>E1801P082</t>
  </si>
  <si>
    <t>Foy (grouped with Brampton Abbots)</t>
  </si>
  <si>
    <t>HerefordshireGanarew (grouped with Whitchurch)</t>
  </si>
  <si>
    <t>E1801P083</t>
  </si>
  <si>
    <t>Ganarew (grouped with Whitchurch)</t>
  </si>
  <si>
    <t>HerefordshireGarway</t>
  </si>
  <si>
    <t>E1801P084</t>
  </si>
  <si>
    <t>Garway</t>
  </si>
  <si>
    <t>HerefordshireGoodrich (grouped with Welsh Bicknor)</t>
  </si>
  <si>
    <t>E1801P085</t>
  </si>
  <si>
    <t>Goodrich (grouped with Welsh Bicknor)</t>
  </si>
  <si>
    <t>HerefordshireGrafton (forms CALLOW &amp; HAYWOOD GROUP with Haywood Dewsall &amp; Callow)</t>
  </si>
  <si>
    <t>E1801P086</t>
  </si>
  <si>
    <t>Grafton (forms CALLOW &amp; HAYWOOD GROUP with Haywood Dewsall &amp; Callow)</t>
  </si>
  <si>
    <t>HerefordshireGrendon Bishop (grouped as BREDENBURY &amp; DISTRICT GROUP: Bredenbury Grendon Bishop Wacton)</t>
  </si>
  <si>
    <t>E1801P087</t>
  </si>
  <si>
    <t>Grendon Bishop (grouped as BREDENBURY &amp; DISTRICT GROUP: Bredenbury Grendon Bishop Wacton)</t>
  </si>
  <si>
    <t>HerefordshireHampton Bishop</t>
  </si>
  <si>
    <t>E1801P088</t>
  </si>
  <si>
    <t>Hampton Bishop</t>
  </si>
  <si>
    <t>HerefordshireHampton Charles</t>
  </si>
  <si>
    <t>E1801P089</t>
  </si>
  <si>
    <t>Hampton Charles</t>
  </si>
  <si>
    <t>HerefordshireHarewood (forms LLANWARNE &amp; DISTRICT GROUP with Llanwarne Llandinabo Pencoyd &amp; Tretire with Michaelc</t>
  </si>
  <si>
    <t>E1801P090</t>
  </si>
  <si>
    <t>Harewood (forms LLANWARNE &amp; DISTRICT GROUP with Llanwarne Llandinabo Pencoyd &amp; Tretire with Michaelc</t>
  </si>
  <si>
    <t>HerefordshireHatfield &amp; District Group (grouped: Docklow &amp; Hampton Wafer Hatfield &amp; Newhampton Pudleston)</t>
  </si>
  <si>
    <t>E1801P091</t>
  </si>
  <si>
    <t>Hatfield &amp; District Group (grouped: Docklow &amp; Hampton Wafer Hatfield &amp; Newhampton Pudleston)</t>
  </si>
  <si>
    <t>HerefordshireHaywood (forms CALLOW &amp; HAYWOOD GROUP with Callow Dewsall &amp; Grafton)</t>
  </si>
  <si>
    <t>E1801P092</t>
  </si>
  <si>
    <t>Haywood (forms CALLOW &amp; HAYWOOD GROUP with Callow Dewsall &amp; Grafton)</t>
  </si>
  <si>
    <t>HerefordshireHentland (grouped with Ballingham and Bolstone)</t>
  </si>
  <si>
    <t>E1801P093</t>
  </si>
  <si>
    <t>Hentland (grouped with Ballingham and Bolstone)</t>
  </si>
  <si>
    <t>HerefordshireHereford</t>
  </si>
  <si>
    <t>E1801P094</t>
  </si>
  <si>
    <t>Hereford</t>
  </si>
  <si>
    <t>HerefordshireHolme Lacy</t>
  </si>
  <si>
    <t>E1801P095</t>
  </si>
  <si>
    <t>Holme Lacy</t>
  </si>
  <si>
    <t>HerefordshireHolmer &amp; Shelwick</t>
  </si>
  <si>
    <t>E1801P096</t>
  </si>
  <si>
    <t>Holmer &amp; Shelwick</t>
  </si>
  <si>
    <t>HerefordshireHope Mansell</t>
  </si>
  <si>
    <t>E1801P097</t>
  </si>
  <si>
    <t>Hope Mansell</t>
  </si>
  <si>
    <t>HerefordshireHope under Dinmore (grouped with Newton (Hampton Court)</t>
  </si>
  <si>
    <t>E1801P098</t>
  </si>
  <si>
    <t>Hope under Dinmore (grouped with Newton (Hampton Court)</t>
  </si>
  <si>
    <t>HerefordshireHow Caple (grouped with Sollers Hope and Yatton)</t>
  </si>
  <si>
    <t>E1801P099</t>
  </si>
  <si>
    <t>How Caple (grouped with Sollers Hope and Yatton)</t>
  </si>
  <si>
    <t>HerefordshireHumber (grouped with Ford and Stoke Prior)</t>
  </si>
  <si>
    <t>E1801P100</t>
  </si>
  <si>
    <t>Humber (grouped with Ford and Stoke Prior)</t>
  </si>
  <si>
    <t>HerefordshireHuntington</t>
  </si>
  <si>
    <t>E1801P101</t>
  </si>
  <si>
    <t>HerefordshireKenchester (grouped with Bishopstone Bridge Sollers Byford Kenchester Mansell Gamage)</t>
  </si>
  <si>
    <t>E1801P102</t>
  </si>
  <si>
    <t>Kenchester (grouped with Bishopstone Bridge Sollers Byford Kenchester Mansell Gamage)</t>
  </si>
  <si>
    <t>HerefordshireKenderchurch (forms KILPECK GROUP with Kilpeck St Devereux Treville Wormbridge)</t>
  </si>
  <si>
    <t>E1801P103</t>
  </si>
  <si>
    <t>Kenderchurch (forms KILPECK GROUP with Kilpeck St Devereux Treville Wormbridge)</t>
  </si>
  <si>
    <t>HerefordshireKentchurch</t>
  </si>
  <si>
    <t>E1801P104</t>
  </si>
  <si>
    <t>Kentchurch</t>
  </si>
  <si>
    <t>HerefordshireKilpeck (forms KILPECK GROUP with Kenderchurch St Devereux Treville Wormbridge)</t>
  </si>
  <si>
    <t>E1801P105</t>
  </si>
  <si>
    <t>Kilpeck (forms KILPECK GROUP with Kenderchurch St Devereux Treville Wormbridge)</t>
  </si>
  <si>
    <t>HerefordshireKimbolton</t>
  </si>
  <si>
    <t>E1801P106</t>
  </si>
  <si>
    <t>Kimbolton</t>
  </si>
  <si>
    <t>HerefordshireKings Caple</t>
  </si>
  <si>
    <t>E1801P107</t>
  </si>
  <si>
    <t>Kings Caple</t>
  </si>
  <si>
    <t>HerefordshireKing's Pyon (grouped as PYONS GROUP with Canon Pyon)</t>
  </si>
  <si>
    <t>E1801P108</t>
  </si>
  <si>
    <t>King's Pyon (grouped as PYONS GROUP with Canon Pyon)</t>
  </si>
  <si>
    <t>HerefordshireKingsland</t>
  </si>
  <si>
    <t>E1801P109</t>
  </si>
  <si>
    <t>Kingsland</t>
  </si>
  <si>
    <t>HerefordshireKingstone (grouped with Thruxton)</t>
  </si>
  <si>
    <t>E1801P110</t>
  </si>
  <si>
    <t>Kingstone (grouped with Thruxton)</t>
  </si>
  <si>
    <t>HerefordshireKington</t>
  </si>
  <si>
    <t>E1801P111</t>
  </si>
  <si>
    <t>Kington</t>
  </si>
  <si>
    <t>HerefordshireKington Rural (grouped with Lower Harpton)</t>
  </si>
  <si>
    <t>E1801P112</t>
  </si>
  <si>
    <t>Kington Rural (grouped with Lower Harpton)</t>
  </si>
  <si>
    <t>HerefordshireKinnersley (grouped as KINNERSLEY AND DISTRICT GROUP with Letton Norton Cannon and Sarnesfield)</t>
  </si>
  <si>
    <t>E1801P113</t>
  </si>
  <si>
    <t>Kinnersley (grouped as KINNERSLEY AND DISTRICT GROUP with Letton Norton Cannon and Sarnesfield)</t>
  </si>
  <si>
    <t>HerefordshireKinsham (forms STAPLETON GROUP with Byton Coombe and Stapleton)</t>
  </si>
  <si>
    <t>E1801P114</t>
  </si>
  <si>
    <t>Kinsham (forms STAPLETON GROUP with Byton Coombe and Stapleton)</t>
  </si>
  <si>
    <t>HerefordshireKnill (forms TITLEY &amp; DISTRICT with Titley Rodd Nash &amp; Little Brampton and Staunton on Arrow)</t>
  </si>
  <si>
    <t>E1801P115</t>
  </si>
  <si>
    <t>Knill (forms TITLEY &amp; DISTRICT with Titley Rodd Nash &amp; Little Brampton and Staunton on Arrow)</t>
  </si>
  <si>
    <t>HerefordshireLeysters (grouped with Middleton on the Hill)</t>
  </si>
  <si>
    <t>E1801P116</t>
  </si>
  <si>
    <t>Leysters (grouped with Middleton on the Hill)</t>
  </si>
  <si>
    <t>HerefordshireLea</t>
  </si>
  <si>
    <t>E1801P117</t>
  </si>
  <si>
    <t>Lea</t>
  </si>
  <si>
    <t>HerefordshireLedbury</t>
  </si>
  <si>
    <t>E1801P118</t>
  </si>
  <si>
    <t>Ledbury</t>
  </si>
  <si>
    <t>HerefordshireLeinthall Starkes (is WIGMORE GROUP with Elton Wigmore and Pipe Aston)</t>
  </si>
  <si>
    <t>E1801P119</t>
  </si>
  <si>
    <t>Leinthall Starkes (is WIGMORE GROUP with Elton Wigmore and Pipe Aston)</t>
  </si>
  <si>
    <t>HerefordshireLeintwardine (forms Leintwardine Group with DowntonBurrington )</t>
  </si>
  <si>
    <t>E1801P120</t>
  </si>
  <si>
    <t>Leintwardine (forms Leintwardine Group with DowntonBurrington )</t>
  </si>
  <si>
    <t>HerefordshireLeominster</t>
  </si>
  <si>
    <t>E1801P121</t>
  </si>
  <si>
    <t>Leominster</t>
  </si>
  <si>
    <t>HerefordshireLetton (grouped as KINNERSLEY AND DISTRICT GROUP with Kinnersley Norton Cannon and Sarnesfield)</t>
  </si>
  <si>
    <t>E1801P122</t>
  </si>
  <si>
    <t>Letton (grouped as KINNERSLEY AND DISTRICT GROUP with Kinnersley Norton Cannon and Sarnesfield)</t>
  </si>
  <si>
    <t>HerefordshireLingen (grouped as BORDER GROUP with: Adfordton Brampton Bryan Buckton &amp; Coxhall Letton &amp; Newton Pay</t>
  </si>
  <si>
    <t>E1801P123</t>
  </si>
  <si>
    <t>Lingen (grouped as BORDER GROUP with: Adfordton Brampton Bryan Buckton &amp; Coxhall Letton &amp; Newton Pay</t>
  </si>
  <si>
    <t>HerefordshireLinton (Bringsty) (grouped as BROCKHAMPTON GROUP with Brockhampton (Bringsty) and Norton)</t>
  </si>
  <si>
    <t>E1801P124</t>
  </si>
  <si>
    <t>Linton (Bringsty) (grouped as BROCKHAMPTON GROUP with Brockhampton (Bringsty) and Norton)</t>
  </si>
  <si>
    <t>HerefordshireLinton (Penyard)</t>
  </si>
  <si>
    <t>E1801P125</t>
  </si>
  <si>
    <t>Linton (Penyard)</t>
  </si>
  <si>
    <t>HerefordshireLittle Birch</t>
  </si>
  <si>
    <t>E1801P126</t>
  </si>
  <si>
    <t>Little Birch</t>
  </si>
  <si>
    <t>HerefordshireLittle Cowarne (forms PENCOMBE GROUP with Pencombe and Grendon Warren)</t>
  </si>
  <si>
    <t>E1801P127</t>
  </si>
  <si>
    <t>Little Cowarne (forms PENCOMBE GROUP with Pencombe and Grendon Warren)</t>
  </si>
  <si>
    <t>HerefordshireLittle Dewchurch</t>
  </si>
  <si>
    <t>E1801P128</t>
  </si>
  <si>
    <t>Little Dewchurch</t>
  </si>
  <si>
    <t>HerefordshireLittle Hereford (grouped with Brimfield)</t>
  </si>
  <si>
    <t>E1801P129</t>
  </si>
  <si>
    <t>Little Hereford (grouped with Brimfield)</t>
  </si>
  <si>
    <t>HerefordshireLittle Marcle (forms PIXLEY &amp; DISTRICT with Aylton Pixley and Munsley)</t>
  </si>
  <si>
    <t>E1801P130</t>
  </si>
  <si>
    <t>Little Marcle (forms PIXLEY &amp; DISTRICT with Aylton Pixley and Munsley)</t>
  </si>
  <si>
    <t>HerefordshireLlancillo (group as EWYAS HAROLD GROUP with Dulas. Ewyas Harold &amp; Rowlestone)</t>
  </si>
  <si>
    <t>E1801P131</t>
  </si>
  <si>
    <t>Llancillo (group as EWYAS HAROLD GROUP with Dulas. Ewyas Harold &amp; Rowlestone)</t>
  </si>
  <si>
    <t>HerefordshireLlandinabo (forms LLANWARNE &amp; DISTRICT GROUP with Harewood Llanwarne Pencoyd &amp; Tretire with Michaelc</t>
  </si>
  <si>
    <t>E1801P132</t>
  </si>
  <si>
    <t>Llandinabo (forms LLANWARNE &amp; DISTRICT GROUP with Harewood Llanwarne Pencoyd &amp; Tretire with Michaelc</t>
  </si>
  <si>
    <t>HerefordshireLlangarron</t>
  </si>
  <si>
    <t>E1801P133</t>
  </si>
  <si>
    <t>Llangarron</t>
  </si>
  <si>
    <t>HerefordshireLlanrothal (grouped with Welsh Newton)</t>
  </si>
  <si>
    <t>E1801P134</t>
  </si>
  <si>
    <t>Llanrothal (grouped with Welsh Newton)</t>
  </si>
  <si>
    <t>HerefordshireLlanveynoe (forms LONGTOWN GROUP with Longtown Craswall and Walterstone)</t>
  </si>
  <si>
    <t>E1801P135</t>
  </si>
  <si>
    <t>Llanveynoe (forms LONGTOWN GROUP with Longtown Craswall and Walterstone)</t>
  </si>
  <si>
    <t>HerefordshireLlanwarne (forms LLANWARNE &amp; DISTRICT GROUP with Harewood Llandinabo Pencoyd &amp; Tretire with Michaelc</t>
  </si>
  <si>
    <t>E1801P136</t>
  </si>
  <si>
    <t>Llanwarne (forms LLANWARNE &amp; DISTRICT GROUP with Harewood Llandinabo Pencoyd &amp; Tretire with Michaelc</t>
  </si>
  <si>
    <t>HerefordshireLongtown (forms LONGTOWN GROUP with Llanveynoe Craswall and Walterstone)</t>
  </si>
  <si>
    <t>E1801P137</t>
  </si>
  <si>
    <t>Longtown (forms LONGTOWN GROUP with Llanveynoe Craswall and Walterstone)</t>
  </si>
  <si>
    <t>HerefordshireLower Bullingham</t>
  </si>
  <si>
    <t>E1801P138</t>
  </si>
  <si>
    <t>Lower Bullingham</t>
  </si>
  <si>
    <t>HerefordshireLower Harpton (grouped with Kington Rural)</t>
  </si>
  <si>
    <t>E1801P139</t>
  </si>
  <si>
    <t>Lower Harpton (grouped with Kington Rural)</t>
  </si>
  <si>
    <t>HerefordshireLucton (grouped as YARPOLE GROUP with Croft and Yarpole)</t>
  </si>
  <si>
    <t>E1801P140</t>
  </si>
  <si>
    <t>Lucton (grouped as YARPOLE GROUP with Croft and Yarpole)</t>
  </si>
  <si>
    <t>HerefordshireLugwardine (grouped with Bartestree)</t>
  </si>
  <si>
    <t>E1801P141</t>
  </si>
  <si>
    <t>Lugwardine (grouped with Bartestree)</t>
  </si>
  <si>
    <t>HerefordshireLuston (forms LUSTON GROUP with Eye Moreton &amp; Ashton and Eyton)</t>
  </si>
  <si>
    <t>E1801P142</t>
  </si>
  <si>
    <t>Luston (forms LUSTON GROUP with Eye Moreton &amp; Ashton and Eyton)</t>
  </si>
  <si>
    <t>HerefordshireLyonshall</t>
  </si>
  <si>
    <t>E1801P143</t>
  </si>
  <si>
    <t>Lyonshall</t>
  </si>
  <si>
    <t>HerefordshireMadley</t>
  </si>
  <si>
    <t>E1801P144</t>
  </si>
  <si>
    <t>Madley</t>
  </si>
  <si>
    <t>HerefordshireMansell Gamage (grouped with Bishopstone Bridge Sollers Byford &amp; Kenchester)</t>
  </si>
  <si>
    <t>E1801P145</t>
  </si>
  <si>
    <t>Mansell Gamage (grouped with Bishopstone Bridge Sollers Byford &amp; Kenchester)</t>
  </si>
  <si>
    <t>HerefordshireMansell Lacy (grouped as FOXLEY GROUP with Brinsop &amp; Wormsley and Yazor)</t>
  </si>
  <si>
    <t>E1801P146</t>
  </si>
  <si>
    <t>Mansell Lacy (grouped as FOXLEY GROUP with Brinsop &amp; Wormsley and Yazor)</t>
  </si>
  <si>
    <t>HerefordshireMarden</t>
  </si>
  <si>
    <t>E1801P147</t>
  </si>
  <si>
    <t>Marden</t>
  </si>
  <si>
    <t>HerefordshireMarstow</t>
  </si>
  <si>
    <t>E1801P148</t>
  </si>
  <si>
    <t>Marstow</t>
  </si>
  <si>
    <t>HerefordshireMathon (and Malvern Hills Conservators (Mathon))</t>
  </si>
  <si>
    <t>E1801P149</t>
  </si>
  <si>
    <t>Mathon (and Malvern Hills Conservators (Mathon))</t>
  </si>
  <si>
    <t>HerefordshireMichaelchurch Escley (forms VOWCHURCH &amp; DISTRICT with Turnastone Newton (Golden Valley South) St Mar</t>
  </si>
  <si>
    <t>E1801P150</t>
  </si>
  <si>
    <t>Michaelchurch Escley (forms VOWCHURCH &amp; DISTRICT with Turnastone Newton (Golden Valley South) St Mar</t>
  </si>
  <si>
    <t>HerefordshireMiddleton on the Hill (grouped with Leysters)</t>
  </si>
  <si>
    <t>E1801P151</t>
  </si>
  <si>
    <t>Middleton on the Hill (grouped with Leysters)</t>
  </si>
  <si>
    <t>HerefordshireMoccas (grouped as WYESIDE GROUP with Blakemere Bredwardine Preston on Wye &amp; Tyberton)</t>
  </si>
  <si>
    <t>E1801P152</t>
  </si>
  <si>
    <t>Moccas (grouped as WYESIDE GROUP with Blakemere Bredwardine Preston on Wye &amp; Tyberton)</t>
  </si>
  <si>
    <t>HerefordshireMonkland and Stretford</t>
  </si>
  <si>
    <t>E1801P153</t>
  </si>
  <si>
    <t>Monkland and Stretford</t>
  </si>
  <si>
    <t>HerefordshireMordiford (grouped with Dormington)</t>
  </si>
  <si>
    <t>E1801P154</t>
  </si>
  <si>
    <t>Mordiford (grouped with Dormington)</t>
  </si>
  <si>
    <t>HerefordshireMoreton Jeffries (forms MUCH COWARNE GROUP with Much Cowarne)</t>
  </si>
  <si>
    <t>E1801P155</t>
  </si>
  <si>
    <t>Moreton Jeffries (forms MUCH COWARNE GROUP with Much Cowarne)</t>
  </si>
  <si>
    <t>HerefordshireMoreton on Lugg</t>
  </si>
  <si>
    <t>E1801P156</t>
  </si>
  <si>
    <t>Moreton on Lugg</t>
  </si>
  <si>
    <t>HerefordshireMuch Birch</t>
  </si>
  <si>
    <t>E1801P157</t>
  </si>
  <si>
    <t>Much Birch</t>
  </si>
  <si>
    <t>HerefordshireMuch Cowarne (forms MUCH COWARNE GROUP with Moreton Jeffries)</t>
  </si>
  <si>
    <t>E1801P158</t>
  </si>
  <si>
    <t>Much Cowarne (forms MUCH COWARNE GROUP with Moreton Jeffries)</t>
  </si>
  <si>
    <t>HerefordshireMuch Dewchurch</t>
  </si>
  <si>
    <t>E1801P159</t>
  </si>
  <si>
    <t>Much Dewchurch</t>
  </si>
  <si>
    <t>HerefordshireMuch Marcle</t>
  </si>
  <si>
    <t>E1801P160</t>
  </si>
  <si>
    <t>Much Marcle</t>
  </si>
  <si>
    <t>HerefordshireMunsley (forms PIXLEY &amp; DISTRICT with Aylton Little Marcle and Pixley)</t>
  </si>
  <si>
    <t>E1801P161</t>
  </si>
  <si>
    <t>Munsley (forms PIXLEY &amp; DISTRICT with Aylton Little Marcle and Pixley)</t>
  </si>
  <si>
    <t>HerefordshireNewton (Golden Valley South) (forms VOWCHURCH &amp; DISTRICT with Turnastone Michaelchurch Escley St Mar</t>
  </si>
  <si>
    <t>E1801P162</t>
  </si>
  <si>
    <t>Newton (Golden Valley South) (forms VOWCHURCH &amp; DISTRICT with Turnastone Michaelchurch Escley St Mar</t>
  </si>
  <si>
    <t>HerefordshireNewton (Hampton Court) grouped with Hope under Dinmore)</t>
  </si>
  <si>
    <t>E1801P163</t>
  </si>
  <si>
    <t>Newton (Hampton Court) grouped with Hope under Dinmore)</t>
  </si>
  <si>
    <t>HerefordshireNorton (grouped as BROCKHAMPTON GROUP with Linton (Bringsty) and Brockhampton (Bringsty))</t>
  </si>
  <si>
    <t>E1801P164</t>
  </si>
  <si>
    <t>Norton (grouped as BROCKHAMPTON GROUP with Linton (Bringsty) and Brockhampton (Bringsty))</t>
  </si>
  <si>
    <t>HerefordshireNorton Cannon (grouped as KINNERSLEY AND DISTRICT GROUP with Letton Kinnersley and Sarnesfield)</t>
  </si>
  <si>
    <t>E1801P165</t>
  </si>
  <si>
    <t>Norton Cannon (grouped as KINNERSLEY AND DISTRICT GROUP with Letton Kinnersley and Sarnesfield)</t>
  </si>
  <si>
    <t>HerefordshireOcle Pychard (grouped with Felton and Ullingswick)</t>
  </si>
  <si>
    <t>E1801P166</t>
  </si>
  <si>
    <t>Ocle Pychard (grouped with Felton and Ullingswick)</t>
  </si>
  <si>
    <t>HerefordshireOrcop</t>
  </si>
  <si>
    <t>E1801P167</t>
  </si>
  <si>
    <t>Orcop</t>
  </si>
  <si>
    <t>HerefordshireOrleton</t>
  </si>
  <si>
    <t>E1801P168</t>
  </si>
  <si>
    <t>Orleton</t>
  </si>
  <si>
    <t>HerefordshirePembridge</t>
  </si>
  <si>
    <t>E1801P169</t>
  </si>
  <si>
    <t>Pembridge</t>
  </si>
  <si>
    <t>HerefordshirePencombe with Grendon Warren (forms PENCOMBE GROUP with Little Cowarne)</t>
  </si>
  <si>
    <t>E1801P170</t>
  </si>
  <si>
    <t>Pencombe with Grendon Warren (forms PENCOMBE GROUP with Little Cowarne)</t>
  </si>
  <si>
    <t>HerefordshirePencoyd (forms LLANWARNE &amp; DISTRICT GROUP with Harewood Llandinabo Llanwarne &amp; Tretire with Michaelc</t>
  </si>
  <si>
    <t>E1801P171</t>
  </si>
  <si>
    <t>Pencoyd (forms LLANWARNE &amp; DISTRICT GROUP with Harewood Llandinabo Llanwarne &amp; Tretire with Michaelc</t>
  </si>
  <si>
    <t>HerefordshirePeterchurch</t>
  </si>
  <si>
    <t>E1801P172</t>
  </si>
  <si>
    <t>Peterchurch</t>
  </si>
  <si>
    <t>HerefordshirePeterstow</t>
  </si>
  <si>
    <t>E1801P173</t>
  </si>
  <si>
    <t>Peterstow</t>
  </si>
  <si>
    <t>HerefordshirePipe and Lyde</t>
  </si>
  <si>
    <t>E1801P174</t>
  </si>
  <si>
    <t>Pipe and Lyde</t>
  </si>
  <si>
    <t>HerefordshirePipe Aston (is WIGMORE GROUP with Elton Leinthall Starkes and Wigmore)</t>
  </si>
  <si>
    <t>E1801P175</t>
  </si>
  <si>
    <t>Pipe Aston (is WIGMORE GROUP with Elton Leinthall Starkes and Wigmore)</t>
  </si>
  <si>
    <t>HerefordshirePixley (forms PIXLEY &amp; DISTRICT with Aylton Little Marcle and Munsley)</t>
  </si>
  <si>
    <t>E1801P176</t>
  </si>
  <si>
    <t>Pixley (forms PIXLEY &amp; DISTRICT with Aylton Little Marcle and Munsley)</t>
  </si>
  <si>
    <t>HerefordshirePreston on Wye (grouped as WYESIDE GROUP with Blakemere Bredwardine Moccas and Tyberton)</t>
  </si>
  <si>
    <t>E1801P177</t>
  </si>
  <si>
    <t>Preston on Wye (grouped as WYESIDE GROUP with Blakemere Bredwardine Moccas and Tyberton)</t>
  </si>
  <si>
    <t>HerefordshirePreston Wynne (forms WITHINGTON GROUP with Westhide and Withington)</t>
  </si>
  <si>
    <t>E1801P178</t>
  </si>
  <si>
    <t>Preston Wynne (forms WITHINGTON GROUP with Westhide and Withington)</t>
  </si>
  <si>
    <t>HerefordshirePudleston (forms Hatfield &amp; District Group with Hatfield &amp; Newhampton Docklow &amp; Hampton Wafer)</t>
  </si>
  <si>
    <t>E1801P179</t>
  </si>
  <si>
    <t>Pudleston (forms Hatfield &amp; District Group with Hatfield &amp; Newhampton Docklow &amp; Hampton Wafer)</t>
  </si>
  <si>
    <t>HerefordshirePutley</t>
  </si>
  <si>
    <t>E1801P180</t>
  </si>
  <si>
    <t>Putley</t>
  </si>
  <si>
    <t>HerefordshireRichards Castle (Hereford)</t>
  </si>
  <si>
    <t>E1801P181</t>
  </si>
  <si>
    <t>Richards Castle (Hereford)</t>
  </si>
  <si>
    <t>HerefordshireRodd Nash &amp; Little Brampton (forms TITLEY &amp; DISTRICT with Knill Titley and Staunton on Arrow)</t>
  </si>
  <si>
    <t>E1801P182</t>
  </si>
  <si>
    <t>Rodd Nash &amp; Little Brampton (forms TITLEY &amp; DISTRICT with Knill Titley and Staunton on Arrow)</t>
  </si>
  <si>
    <t>HerefordshireRoss on Wye</t>
  </si>
  <si>
    <t>E1801P184</t>
  </si>
  <si>
    <t>Ross on Wye</t>
  </si>
  <si>
    <t>HerefordshireRowlestone (group as EWYAS HAROLD GROUP with Dulas. Llancillo &amp; Ewyas Harold)</t>
  </si>
  <si>
    <t>E1801P185</t>
  </si>
  <si>
    <t>Rowlestone (group as EWYAS HAROLD GROUP with Dulas. Llancillo &amp; Ewyas Harold)</t>
  </si>
  <si>
    <t>HerefordshireSarnesfield (grouped as KINNERSLEY AND DISTRICT GROUP with Letton Norton Cannon and Kinnersley)</t>
  </si>
  <si>
    <t>E1801P186</t>
  </si>
  <si>
    <t>Sarnesfield (grouped as KINNERSLEY AND DISTRICT GROUP with Letton Norton Cannon and Kinnersley)</t>
  </si>
  <si>
    <t>HerefordshireSellack</t>
  </si>
  <si>
    <t>E1801P187</t>
  </si>
  <si>
    <t>Sellack</t>
  </si>
  <si>
    <t>HerefordshireShobdon</t>
  </si>
  <si>
    <t>E1801P188</t>
  </si>
  <si>
    <t>Shobdon</t>
  </si>
  <si>
    <t>HerefordshireSollers Hope (grouped with How Caple and Yatton)</t>
  </si>
  <si>
    <t>E1801P189</t>
  </si>
  <si>
    <t>Sollers Hope (grouped with How Caple and Yatton)</t>
  </si>
  <si>
    <t>HerefordshireSt Devereux (forms KILPECK GROUP with Kenderchurch Kilpeck Treville Wormbridge)</t>
  </si>
  <si>
    <t>E1801P190</t>
  </si>
  <si>
    <t>St Devereux (forms KILPECK GROUP with Kenderchurch Kilpeck Treville Wormbridge)</t>
  </si>
  <si>
    <t>HerefordshireSt Margarets (forms VOWCHURCH &amp; DISTRICT with Michaelchurch Escley Newton (Golden Valley South) Vowc</t>
  </si>
  <si>
    <t>E1801P191</t>
  </si>
  <si>
    <t>St Margarets (forms VOWCHURCH &amp; DISTRICT with Michaelchurch Escley Newton (Golden Valley South) Vowc</t>
  </si>
  <si>
    <t>HerefordshireSt. Weonards</t>
  </si>
  <si>
    <t>E1801P192</t>
  </si>
  <si>
    <t>St. Weonards</t>
  </si>
  <si>
    <t>HerefordshireStanford Bishop (grouped with Acton Beauchamp and Evesbatch)</t>
  </si>
  <si>
    <t>E1801P193</t>
  </si>
  <si>
    <t>Stanford Bishop (grouped with Acton Beauchamp and Evesbatch)</t>
  </si>
  <si>
    <t>HerefordshireStapleton (forms STAPLETON GROUP with Byton Coombe and Kinsham)</t>
  </si>
  <si>
    <t>E1801P194</t>
  </si>
  <si>
    <t>Stapleton (forms STAPLETON GROUP with Byton Coombe and Kinsham)</t>
  </si>
  <si>
    <t>HerefordshireStaunton on Arrow (forms TITLEY &amp; DISTRICT with Knill Rodd Nash &amp; Little Brampton and Titley)</t>
  </si>
  <si>
    <t>E1801P195</t>
  </si>
  <si>
    <t>Staunton on Arrow (forms TITLEY &amp; DISTRICT with Knill Rodd Nash &amp; Little Brampton and Titley)</t>
  </si>
  <si>
    <t>HerefordshireStaunton on Wye (forms STAUNTON ON WYE &amp; DISTRICT with Brobury with Monnington on Wye)</t>
  </si>
  <si>
    <t>E1801P196</t>
  </si>
  <si>
    <t>Staunton on Wye (forms STAUNTON ON WYE &amp; DISTRICT with Brobury with Monnington on Wye)</t>
  </si>
  <si>
    <t>HerefordshireStoke Edith</t>
  </si>
  <si>
    <t>E1801P197</t>
  </si>
  <si>
    <t>Stoke Edith</t>
  </si>
  <si>
    <t>HerefordshireStoke Lacy</t>
  </si>
  <si>
    <t>E1801P198</t>
  </si>
  <si>
    <t>Stoke Lacy</t>
  </si>
  <si>
    <t>HerefordshireStretton Grandison (forms STRETTON GRANDISON GROUP with Canon Frome Castle Frome and Eggleton)</t>
  </si>
  <si>
    <t>E1801P199</t>
  </si>
  <si>
    <t>Stretton Grandison (forms STRETTON GRANDISON GROUP with Canon Frome Castle Frome and Eggleton)</t>
  </si>
  <si>
    <t>HerefordshireStretton Sugwas</t>
  </si>
  <si>
    <t>E1801P200</t>
  </si>
  <si>
    <t>Stretton Sugwas</t>
  </si>
  <si>
    <t>HerefordshireSutton</t>
  </si>
  <si>
    <t>E1801P201</t>
  </si>
  <si>
    <t>HerefordshireTarrington</t>
  </si>
  <si>
    <t>E1801P202</t>
  </si>
  <si>
    <t>Tarrington</t>
  </si>
  <si>
    <t>HerefordshireTedstone Delamere (grouped as NORTH BROMYARD GROUP with Edvin Loach and Saltmarshe Tedstone Wafer Up</t>
  </si>
  <si>
    <t>E1801P203</t>
  </si>
  <si>
    <t>Tedstone Delamere (grouped as NORTH BROMYARD GROUP with Edvin Loach and Saltmarshe Tedstone Wafer Up</t>
  </si>
  <si>
    <t>HerefordshireTedstone Wafer (grouped as NORTH BROMYARD GROUP with Edvin Loach and Saltmarshe Tedstone Delamere Up</t>
  </si>
  <si>
    <t>E1801P204</t>
  </si>
  <si>
    <t>Tedstone Wafer (grouped as NORTH BROMYARD GROUP with Edvin Loach and Saltmarshe Tedstone Delamere Up</t>
  </si>
  <si>
    <t>HerefordshireThornbury (is THORNBURY GROUP grouped with Collington and Edwyn Ralph)</t>
  </si>
  <si>
    <t>E1801P205</t>
  </si>
  <si>
    <t>Thornbury (is THORNBURY GROUP grouped with Collington and Edwyn Ralph)</t>
  </si>
  <si>
    <t>HerefordshireThruxton (grouped with Kingstone)</t>
  </si>
  <si>
    <t>E1801P206</t>
  </si>
  <si>
    <t>Thruxton (grouped with Kingstone)</t>
  </si>
  <si>
    <t>HerefordshireTitley (forms TITLEY &amp; DISTRICT with Knill Rodd Nash &amp; Little Brampton and Staunton on Arrow)</t>
  </si>
  <si>
    <t>E1801P207</t>
  </si>
  <si>
    <t>Titley (forms TITLEY &amp; DISTRICT with Knill Rodd Nash &amp; Little Brampton and Staunton on Arrow)</t>
  </si>
  <si>
    <t>HerefordshireTretire with Michaelchurch (forms LLANWARNE &amp; DISTRICT GROUP with Harewood Llandinabo Pencoyd &amp; Llan</t>
  </si>
  <si>
    <t>E1801P208</t>
  </si>
  <si>
    <t>Tretire with Michaelchurch (forms LLANWARNE &amp; DISTRICT GROUP with Harewood Llandinabo Pencoyd &amp; Llan</t>
  </si>
  <si>
    <t>HerefordshireTreville (forms KILPECK GROUP with Kenderchurch St Devereux Kilpeck Wormbridge)</t>
  </si>
  <si>
    <t>E1801P209</t>
  </si>
  <si>
    <t>Treville (forms KILPECK GROUP with Kenderchurch St Devereux Kilpeck Wormbridge)</t>
  </si>
  <si>
    <t>HerefordshireTurnastone (forms VOWCHURCH &amp; DISTRICT with Michaelchurch Escley Newton (Golden Valley South) St Mar</t>
  </si>
  <si>
    <t>E1801P210</t>
  </si>
  <si>
    <t>Turnastone (forms VOWCHURCH &amp; DISTRICT with Michaelchurch Escley Newton (Golden Valley South) St Mar</t>
  </si>
  <si>
    <t>HerefordshireWYESIDE GROUP (formed of Tyberton Blakemere Bredwardine Moccas &amp; Preston on Wye)</t>
  </si>
  <si>
    <t>E1801P211</t>
  </si>
  <si>
    <t>WYESIDE GROUP (formed of Tyberton Blakemere Bredwardine Moccas &amp; Preston on Wye)</t>
  </si>
  <si>
    <t>HerefordshireUllingswick (grouped with OCLE PYCHARD and Felton)</t>
  </si>
  <si>
    <t>E1801P212</t>
  </si>
  <si>
    <t>Ullingswick (grouped with OCLE PYCHARD and Felton)</t>
  </si>
  <si>
    <t>HerefordshireUpper Sapey (grouped as NORTH BROMYARD GROUP with Edvin Loach and Saltmarshe Tedstone Delamere Tedst</t>
  </si>
  <si>
    <t>E1801P213</t>
  </si>
  <si>
    <t>Upper Sapey (grouped as NORTH BROMYARD GROUP with Edvin Loach and Saltmarshe Tedstone Delamere Tedst</t>
  </si>
  <si>
    <t>HerefordshireUpton Bishop</t>
  </si>
  <si>
    <t>E1801P214</t>
  </si>
  <si>
    <t>Upton Bishop</t>
  </si>
  <si>
    <t>HerefordshireVowchurch (forms VOWCHURCH &amp; DISTRICT with Michaelchurch Escley Newton(Golden Valley South) St Marga</t>
  </si>
  <si>
    <t>E1801P215</t>
  </si>
  <si>
    <t>Vowchurch (forms VOWCHURCH &amp; DISTRICT with Michaelchurch Escley Newton(Golden Valley South) St Marga</t>
  </si>
  <si>
    <t>HerefordshireWacton (grouped as BREDENBURY &amp; DISTRICT GROUP: Bredenbury Grendon Bishop Wacton)</t>
  </si>
  <si>
    <t>E1801P216</t>
  </si>
  <si>
    <t>Wacton (grouped as BREDENBURY &amp; DISTRICT GROUP: Bredenbury Grendon Bishop Wacton)</t>
  </si>
  <si>
    <t>HerefordshireWalford</t>
  </si>
  <si>
    <t>E1801P217</t>
  </si>
  <si>
    <t>Walford</t>
  </si>
  <si>
    <t>HerefordshireWalford Letton &amp; Newton (grouped as BORDER GROUP with Adforton Brampton Bryan Buckton &amp; Coxhall Ling</t>
  </si>
  <si>
    <t>E1801P218</t>
  </si>
  <si>
    <t>Walford Letton &amp; Newton (grouped as BORDER GROUP with Adforton Brampton Bryan Buckton &amp; Coxhall Ling</t>
  </si>
  <si>
    <t>HerefordshireWalterstone (forms LONGTOWN GROUP with Llanveynoe Craswall and Longtown)</t>
  </si>
  <si>
    <t>E1801P219</t>
  </si>
  <si>
    <t>Walterstone (forms LONGTOWN GROUP with Llanveynoe Craswall and Longtown)</t>
  </si>
  <si>
    <t>HerefordshireWellington</t>
  </si>
  <si>
    <t>E1801P220</t>
  </si>
  <si>
    <t>Wellington</t>
  </si>
  <si>
    <t>HerefordshireWellington Heath</t>
  </si>
  <si>
    <t>E1801P221</t>
  </si>
  <si>
    <t>Wellington Heath</t>
  </si>
  <si>
    <t>HerefordshireWelsh Bicknor (grouped with Goodrich)</t>
  </si>
  <si>
    <t>E1801P222</t>
  </si>
  <si>
    <t>Welsh Bicknor (grouped with Goodrich)</t>
  </si>
  <si>
    <t>HerefordshireWelsh Newton (grouped with Llanrothal)</t>
  </si>
  <si>
    <t>E1801P223</t>
  </si>
  <si>
    <t>Welsh Newton (grouped with Llanrothal)</t>
  </si>
  <si>
    <t>HerefordshireWeobley</t>
  </si>
  <si>
    <t>E1801P224</t>
  </si>
  <si>
    <t>Weobley</t>
  </si>
  <si>
    <t>HerefordshireWesthide (forms WITHINGTON GROUP with Preston Wynne and Withington)</t>
  </si>
  <si>
    <t>E1801P225</t>
  </si>
  <si>
    <t>Westhide (forms WITHINGTON GROUP with Preston Wynne and Withington)</t>
  </si>
  <si>
    <t>HerefordshireWeston Beggard</t>
  </si>
  <si>
    <t>E1801P226</t>
  </si>
  <si>
    <t>Weston Beggard</t>
  </si>
  <si>
    <t>HerefordshireWeston under Penyard</t>
  </si>
  <si>
    <t>E1801P227</t>
  </si>
  <si>
    <t>Weston under Penyard</t>
  </si>
  <si>
    <t>HerefordshireWhitbourne</t>
  </si>
  <si>
    <t>E1801P228</t>
  </si>
  <si>
    <t>Whitbourne</t>
  </si>
  <si>
    <t>HerefordshireWhitchurch (grouped with Garanew)</t>
  </si>
  <si>
    <t>E1801P229</t>
  </si>
  <si>
    <t>Whitchurch (grouped with Garanew)</t>
  </si>
  <si>
    <t>HerefordshireWhitney on Wye (as EARDISLEY GROUP with Eardisley &amp; Willersley &amp; Winforton)</t>
  </si>
  <si>
    <t>E1801P230</t>
  </si>
  <si>
    <t>Whitney on Wye (as EARDISLEY GROUP with Eardisley &amp; Willersley &amp; Winforton)</t>
  </si>
  <si>
    <t>HerefordshireWigmore (is WIGMORE GROUP with Elton Leinthall Starkes and Pipe Aston)</t>
  </si>
  <si>
    <t>E1801P231</t>
  </si>
  <si>
    <t>Wigmore (is WIGMORE GROUP with Elton Leinthall Starkes and Pipe Aston)</t>
  </si>
  <si>
    <t>HerefordshireWillersley &amp; Winforton (as EARDISLEY GROUP with Whitney on Wye &amp; Eardisley)</t>
  </si>
  <si>
    <t>E1801P232</t>
  </si>
  <si>
    <t>Willersley &amp; Winforton (as EARDISLEY GROUP with Whitney on Wye &amp; Eardisley)</t>
  </si>
  <si>
    <t>HerefordshireWilley (grouped as BORDER GROUP with Adforton Brampton Bryan Buckton &amp; Coxhall Walford Letton &amp; Newt</t>
  </si>
  <si>
    <t>E1801P233</t>
  </si>
  <si>
    <t>Willey (grouped as BORDER GROUP with Adforton Brampton Bryan Buckton &amp; Coxhall Walford Letton &amp; Newt</t>
  </si>
  <si>
    <t>HerefordshireWithington (forms WITHINGTON GROUP with Westhide and Preston Wynne)</t>
  </si>
  <si>
    <t>E1801P234</t>
  </si>
  <si>
    <t>Withington (forms WITHINGTON GROUP with Westhide and Preston Wynne)</t>
  </si>
  <si>
    <t>HerefordshireWolferlow (grouped as NORTH BROMYARD GROUP with Edvin Looach and Saltmarshe Tedstone Delamere Tedsto</t>
  </si>
  <si>
    <t>E1801P235</t>
  </si>
  <si>
    <t>Wolferlow (grouped as NORTH BROMYARD GROUP with Edvin Looach and Saltmarshe Tedstone Delamere Tedsto</t>
  </si>
  <si>
    <t>HerefordshireWoolhope</t>
  </si>
  <si>
    <t>E1801P236</t>
  </si>
  <si>
    <t>Woolhope</t>
  </si>
  <si>
    <t>HerefordshireWormbridge (forms KILPECK GROUP with Kenderchurch St Devereux Treville Kilpeck)</t>
  </si>
  <si>
    <t>E1801P237</t>
  </si>
  <si>
    <t>Wormbridge (forms KILPECK GROUP with Kenderchurch St Devereux Treville Kilpeck)</t>
  </si>
  <si>
    <t>HerefordshireYarkhill</t>
  </si>
  <si>
    <t>E1801P238</t>
  </si>
  <si>
    <t>Yarkhill</t>
  </si>
  <si>
    <t>HerefordshireYatton (grouped with How Caple and Sollers Hope)</t>
  </si>
  <si>
    <t>E1801P239</t>
  </si>
  <si>
    <t>Yatton (grouped with How Caple and Sollers Hope)</t>
  </si>
  <si>
    <t>HerefordshireYazor (grouped as FOXLEY GROUP with Brinsop &amp; Wormsley and Mansell Lacy)</t>
  </si>
  <si>
    <t>E1801P240</t>
  </si>
  <si>
    <t>Yazor (grouped as FOXLEY GROUP with Brinsop &amp; Wormsley and Mansell Lacy)</t>
  </si>
  <si>
    <t>HerefordshireStanway (grouped as BORDER GROUP with Adforton Brampton Bryan Buckton &amp; Coxhall Lingen Walford Letto</t>
  </si>
  <si>
    <t>E1801P241</t>
  </si>
  <si>
    <t>Stanway (grouped as BORDER GROUP with Adforton Brampton Bryan Buckton &amp; Coxhall Lingen Walford Letto</t>
  </si>
  <si>
    <t>HerefordshirePaytoe &amp; Grange (grouped as BORDER GROUP with Adforton Brampton Bryan Buckton &amp; Coxhall Lingen Walfo</t>
  </si>
  <si>
    <t>E1801P242</t>
  </si>
  <si>
    <t>Paytoe &amp; Grange (grouped as BORDER GROUP with Adforton Brampton Bryan Buckton &amp; Coxhall Lingen Walfo</t>
  </si>
  <si>
    <t>HerefordshireStorridge (grouped with Cradley)</t>
  </si>
  <si>
    <t>E1801P243</t>
  </si>
  <si>
    <t>Storridge (grouped with Cradley)</t>
  </si>
  <si>
    <t>BromsgroveAlvechurch</t>
  </si>
  <si>
    <t>E1831P001</t>
  </si>
  <si>
    <t>Alvechurch</t>
  </si>
  <si>
    <t>BromsgroveBarnt Green</t>
  </si>
  <si>
    <t>E1831P002</t>
  </si>
  <si>
    <t>Barnt Green</t>
  </si>
  <si>
    <t>BromsgroveBelbroughton</t>
  </si>
  <si>
    <t>E1831P003</t>
  </si>
  <si>
    <t>Belbroughton</t>
  </si>
  <si>
    <t>BromsgroveBentley Pauncefoot</t>
  </si>
  <si>
    <t>E1831P004</t>
  </si>
  <si>
    <t>Bentley Pauncefoot</t>
  </si>
  <si>
    <t>BromsgroveBeoley</t>
  </si>
  <si>
    <t>E1831P005</t>
  </si>
  <si>
    <t>Beoley</t>
  </si>
  <si>
    <t>BromsgroveBournheath</t>
  </si>
  <si>
    <t>E1831P006</t>
  </si>
  <si>
    <t>Bournheath</t>
  </si>
  <si>
    <t>BromsgroveCatshill and North Marlbrook</t>
  </si>
  <si>
    <t>E1831P007</t>
  </si>
  <si>
    <t>Catshill and North Marlbrook</t>
  </si>
  <si>
    <t>BromsgroveClent</t>
  </si>
  <si>
    <t>E1831P008</t>
  </si>
  <si>
    <t>Clent</t>
  </si>
  <si>
    <t>BromsgroveCofton Hackett</t>
  </si>
  <si>
    <t>E1831P009</t>
  </si>
  <si>
    <t>Cofton Hackett</t>
  </si>
  <si>
    <t>BromsgroveDodford with Grafton</t>
  </si>
  <si>
    <t>E1831P010</t>
  </si>
  <si>
    <t>Dodford with Grafton</t>
  </si>
  <si>
    <t>BromsgroveFinstall</t>
  </si>
  <si>
    <t>E1831P011</t>
  </si>
  <si>
    <t>Finstall</t>
  </si>
  <si>
    <t>BromsgroveFrankley</t>
  </si>
  <si>
    <t>E1831P012</t>
  </si>
  <si>
    <t>Frankley</t>
  </si>
  <si>
    <t>BromsgroveHagley</t>
  </si>
  <si>
    <t>E1831P013</t>
  </si>
  <si>
    <t>Hagley</t>
  </si>
  <si>
    <t>BromsgroveHunnington</t>
  </si>
  <si>
    <t>E1831P014</t>
  </si>
  <si>
    <t>Hunnington</t>
  </si>
  <si>
    <t>BromsgroveLickey and Blackwell</t>
  </si>
  <si>
    <t>E1831P015</t>
  </si>
  <si>
    <t>Lickey and Blackwell</t>
  </si>
  <si>
    <t>BromsgroveRomsley</t>
  </si>
  <si>
    <t>E1831P016</t>
  </si>
  <si>
    <t>Romsley</t>
  </si>
  <si>
    <t>BromsgroveStoke</t>
  </si>
  <si>
    <t>E1831P017</t>
  </si>
  <si>
    <t>BromsgroveTutnall and Cobley</t>
  </si>
  <si>
    <t>E1831P018</t>
  </si>
  <si>
    <t>Tutnall and Cobley</t>
  </si>
  <si>
    <t>BromsgroveWythall</t>
  </si>
  <si>
    <t>E1831P019</t>
  </si>
  <si>
    <t>Wythall</t>
  </si>
  <si>
    <t>RedditchFeckenham</t>
  </si>
  <si>
    <t>E1835P001</t>
  </si>
  <si>
    <t>Feckenham</t>
  </si>
  <si>
    <t>WorcesterSt. Peter the Great County</t>
  </si>
  <si>
    <t>E1837P001</t>
  </si>
  <si>
    <t>St. Peter the Great County</t>
  </si>
  <si>
    <t>WorcesterWarndon</t>
  </si>
  <si>
    <t>E1837P002</t>
  </si>
  <si>
    <t>Warndon</t>
  </si>
  <si>
    <t>WychavonAbberton</t>
  </si>
  <si>
    <t>E1838P001</t>
  </si>
  <si>
    <t>Abberton</t>
  </si>
  <si>
    <t>WychavonAbbots Morton</t>
  </si>
  <si>
    <t>E1838P002</t>
  </si>
  <si>
    <t>Abbots Morton</t>
  </si>
  <si>
    <t>WychavonAldington (grouped with Badsey)</t>
  </si>
  <si>
    <t>E1838P003</t>
  </si>
  <si>
    <t>Aldington (grouped with Badsey)</t>
  </si>
  <si>
    <t>WychavonAshton under Hill</t>
  </si>
  <si>
    <t>E1838P004</t>
  </si>
  <si>
    <t>Ashton under Hill</t>
  </si>
  <si>
    <t>WychavonAston Somerville (grouped with Hinton on the Green)</t>
  </si>
  <si>
    <t>E1838P005</t>
  </si>
  <si>
    <t>Aston Somerville (grouped with Hinton on the Green)</t>
  </si>
  <si>
    <t>WychavonBadsey (grouped with Aldington)</t>
  </si>
  <si>
    <t>E1838P006</t>
  </si>
  <si>
    <t>Badsey (grouped with Aldington)</t>
  </si>
  <si>
    <t>WychavonBeckford</t>
  </si>
  <si>
    <t>E1838P007</t>
  </si>
  <si>
    <t>Beckford</t>
  </si>
  <si>
    <t>WychavonBesford (grouped with Defford)</t>
  </si>
  <si>
    <t>E1838P008</t>
  </si>
  <si>
    <t>Besford (grouped with Defford)</t>
  </si>
  <si>
    <t>WychavonBickmarsh</t>
  </si>
  <si>
    <t>E1838P009</t>
  </si>
  <si>
    <t>Bickmarsh</t>
  </si>
  <si>
    <t>WychavonBirlingham</t>
  </si>
  <si>
    <t>E1838P010</t>
  </si>
  <si>
    <t>Birlingham</t>
  </si>
  <si>
    <t>WychavonBishampton (grouped with Throckmorton)</t>
  </si>
  <si>
    <t>E1838P011</t>
  </si>
  <si>
    <t>Bishampton (grouped with Throckmorton)</t>
  </si>
  <si>
    <t>WychavonBredicot</t>
  </si>
  <si>
    <t>E1838P012</t>
  </si>
  <si>
    <t>Bredicot</t>
  </si>
  <si>
    <t>WychavonBredon (grouped with Bredon's Norton)</t>
  </si>
  <si>
    <t>E1838P013</t>
  </si>
  <si>
    <t>Bredon (grouped with Bredon's Norton)</t>
  </si>
  <si>
    <t>WychavonBredon's Norton (grouped with Bredon)</t>
  </si>
  <si>
    <t>E1838P014</t>
  </si>
  <si>
    <t>Bredon's Norton (grouped with Bredon)</t>
  </si>
  <si>
    <t>WychavonBretforton</t>
  </si>
  <si>
    <t>E1838P015</t>
  </si>
  <si>
    <t>Bretforton</t>
  </si>
  <si>
    <t>WychavonBricklehampton (grouped with Elmley Castle &amp; Netherton)</t>
  </si>
  <si>
    <t>E1838P016</t>
  </si>
  <si>
    <t>Bricklehampton (grouped with Elmley Castle &amp; Netherton)</t>
  </si>
  <si>
    <t>WychavonBroadway</t>
  </si>
  <si>
    <t>E1838P017</t>
  </si>
  <si>
    <t>Broadway</t>
  </si>
  <si>
    <t>WychavonBroughton Hackett</t>
  </si>
  <si>
    <t>E1838P018</t>
  </si>
  <si>
    <t>Broughton Hackett</t>
  </si>
  <si>
    <t>WychavonCharlton</t>
  </si>
  <si>
    <t>E1838P019</t>
  </si>
  <si>
    <t>WychavonChildswickham</t>
  </si>
  <si>
    <t>E1838P020</t>
  </si>
  <si>
    <t>Childswickham</t>
  </si>
  <si>
    <t>WychavonSouth Lenches</t>
  </si>
  <si>
    <t>E1838P021</t>
  </si>
  <si>
    <t>South Lenches</t>
  </si>
  <si>
    <t>WychavonChurchill</t>
  </si>
  <si>
    <t>E1838P022</t>
  </si>
  <si>
    <t>WychavonCleeve Prior</t>
  </si>
  <si>
    <t>E1838P023</t>
  </si>
  <si>
    <t>Cleeve Prior</t>
  </si>
  <si>
    <t>WychavonConderton (grouped with Overbury)</t>
  </si>
  <si>
    <t>E1838P024</t>
  </si>
  <si>
    <t>Conderton (grouped with Overbury)</t>
  </si>
  <si>
    <t>WychavonCookhill</t>
  </si>
  <si>
    <t>E1838P025</t>
  </si>
  <si>
    <t>Cookhill</t>
  </si>
  <si>
    <t>WychavonCropthorne</t>
  </si>
  <si>
    <t>E1838P026</t>
  </si>
  <si>
    <t>Cropthorne</t>
  </si>
  <si>
    <t>WychavonCrowle</t>
  </si>
  <si>
    <t>E1838P027</t>
  </si>
  <si>
    <t>Crowle</t>
  </si>
  <si>
    <t>WychavonDefford (grouped with Besford)</t>
  </si>
  <si>
    <t>E1838P028</t>
  </si>
  <si>
    <t>Defford (grouped with Besford)</t>
  </si>
  <si>
    <t>WychavonDodderhill</t>
  </si>
  <si>
    <t>E1838P029</t>
  </si>
  <si>
    <t>Dodderhill</t>
  </si>
  <si>
    <t>WychavonDormston (grouped with Kington)</t>
  </si>
  <si>
    <t>E1838P030</t>
  </si>
  <si>
    <t>Dormston (grouped with Kington)</t>
  </si>
  <si>
    <t>WychavonDoverdale (grouped with Ombersley)</t>
  </si>
  <si>
    <t>E1838P031</t>
  </si>
  <si>
    <t>Doverdale (grouped with Ombersley)</t>
  </si>
  <si>
    <t>WychavonDrakes Broughton Ward</t>
  </si>
  <si>
    <t>E1838P032</t>
  </si>
  <si>
    <t>Drakes Broughton Ward</t>
  </si>
  <si>
    <t>WychavonDroitwich Spa</t>
  </si>
  <si>
    <t>E1838P033</t>
  </si>
  <si>
    <t>Droitwich Spa</t>
  </si>
  <si>
    <t>WychavonEckington</t>
  </si>
  <si>
    <t>E1838P034</t>
  </si>
  <si>
    <t>WychavonElmbridge</t>
  </si>
  <si>
    <t>E1838P035</t>
  </si>
  <si>
    <t>WychavonElmley Castle (grouped with Bricklehampton &amp; Netherton)</t>
  </si>
  <si>
    <t>E1838P036</t>
  </si>
  <si>
    <t>Elmley Castle (grouped with Bricklehampton &amp; Netherton)</t>
  </si>
  <si>
    <t>WychavonElmley Lovett</t>
  </si>
  <si>
    <t>E1838P037</t>
  </si>
  <si>
    <t>Elmley Lovett</t>
  </si>
  <si>
    <t>WychavonEvesham</t>
  </si>
  <si>
    <t>E1838P038</t>
  </si>
  <si>
    <t>Evesham</t>
  </si>
  <si>
    <t>WychavonFladbury</t>
  </si>
  <si>
    <t>E1838P039</t>
  </si>
  <si>
    <t>Fladbury</t>
  </si>
  <si>
    <t>WychavonFlyford Flavell (grouped with Grafton Flyford &amp; North Piddle)</t>
  </si>
  <si>
    <t>E1838P040</t>
  </si>
  <si>
    <t>Flyford Flavell (grouped with Grafton Flyford &amp; North Piddle)</t>
  </si>
  <si>
    <t>WychavonGrafton Flyford (grouped with Flyford Flavell &amp; North Piddle)</t>
  </si>
  <si>
    <t>E1838P041</t>
  </si>
  <si>
    <t>Grafton Flyford (grouped with Flyford Flavell &amp; North Piddle)</t>
  </si>
  <si>
    <t>WychavonGreat Comberton</t>
  </si>
  <si>
    <t>E1838P042</t>
  </si>
  <si>
    <t>Great Comberton</t>
  </si>
  <si>
    <t>WychavonHadzor (grouped with Himbleton Huddington &amp; Oddingley as Saleway)</t>
  </si>
  <si>
    <t>E1838P043</t>
  </si>
  <si>
    <t>Hadzor (grouped with Himbleton Huddington &amp; Oddingley as Saleway)</t>
  </si>
  <si>
    <t>WychavonHampton Lovett (grouped with Westwood)</t>
  </si>
  <si>
    <t>E1838P044</t>
  </si>
  <si>
    <t>Hampton Lovett (grouped with Westwood)</t>
  </si>
  <si>
    <t>WychavonHanbury</t>
  </si>
  <si>
    <t>E1838P045</t>
  </si>
  <si>
    <t>Hanbury</t>
  </si>
  <si>
    <t>WychavonHartlebury</t>
  </si>
  <si>
    <t>E1838P046</t>
  </si>
  <si>
    <t>Hartlebury</t>
  </si>
  <si>
    <t>WychavonHarvington</t>
  </si>
  <si>
    <t>E1838P047</t>
  </si>
  <si>
    <t>Harvington</t>
  </si>
  <si>
    <t>WychavonHill and Moor</t>
  </si>
  <si>
    <t>E1838P048</t>
  </si>
  <si>
    <t>Hill and Moor</t>
  </si>
  <si>
    <t>WychavonHimbleton (grouped with Hadzor Huddington &amp; Oddingley as Saleway)</t>
  </si>
  <si>
    <t>E1838P049</t>
  </si>
  <si>
    <t>Himbleton (grouped with Hadzor Huddington &amp; Oddingley as Saleway)</t>
  </si>
  <si>
    <t>WychavonHindlip (grouped with Martin Hussingtree &amp; Salwarpe)</t>
  </si>
  <si>
    <t>E1838P050</t>
  </si>
  <si>
    <t>Hindlip (grouped with Martin Hussingtree &amp; Salwarpe)</t>
  </si>
  <si>
    <t>WychavonHinton on the Green (grouped with Aston Somerville)</t>
  </si>
  <si>
    <t>E1838P051</t>
  </si>
  <si>
    <t>Hinton on the Green (grouped with Aston Somerville)</t>
  </si>
  <si>
    <t>WychavonHoneybourne</t>
  </si>
  <si>
    <t>E1838P052</t>
  </si>
  <si>
    <t>Honeybourne</t>
  </si>
  <si>
    <t>WychavonHuddington (grouped with Hadzor Himbleton &amp; Oddingley as Saleway)</t>
  </si>
  <si>
    <t>E1838P053</t>
  </si>
  <si>
    <t>Huddington (grouped with Hadzor Himbleton &amp; Oddingley as Saleway)</t>
  </si>
  <si>
    <t>WychavonInkberrow</t>
  </si>
  <si>
    <t>E1838P054</t>
  </si>
  <si>
    <t>Inkberrow</t>
  </si>
  <si>
    <t>WychavonKemerton</t>
  </si>
  <si>
    <t>E1838P055</t>
  </si>
  <si>
    <t>Kemerton</t>
  </si>
  <si>
    <t>WychavonKington (grouped with Dormston)</t>
  </si>
  <si>
    <t>E1838P056</t>
  </si>
  <si>
    <t>Kington (grouped with Dormston)</t>
  </si>
  <si>
    <t>WychavonLittle Comberton</t>
  </si>
  <si>
    <t>E1838P057</t>
  </si>
  <si>
    <t>Little Comberton</t>
  </si>
  <si>
    <t>WychavonMartin Hussingtree (grouped with Hindlip &amp; Salwarpe)</t>
  </si>
  <si>
    <t>E1838P058</t>
  </si>
  <si>
    <t>Martin Hussingtree (grouped with Hindlip &amp; Salwarpe)</t>
  </si>
  <si>
    <t>WychavonNaunton Beauchamp</t>
  </si>
  <si>
    <t>E1838P059</t>
  </si>
  <si>
    <t>Naunton Beauchamp</t>
  </si>
  <si>
    <t>WychavonNetherton (grouped with Bricklehampton &amp; Elmley Castle)</t>
  </si>
  <si>
    <t>E1838P060</t>
  </si>
  <si>
    <t>Netherton (grouped with Bricklehampton &amp; Elmley Castle)</t>
  </si>
  <si>
    <t>WychavonNorth and Middle Littleton</t>
  </si>
  <si>
    <t>E1838P061</t>
  </si>
  <si>
    <t>North and Middle Littleton</t>
  </si>
  <si>
    <t>WychavonNorth Claines</t>
  </si>
  <si>
    <t>E1838P062</t>
  </si>
  <si>
    <t>North Claines</t>
  </si>
  <si>
    <t>WychavonNorth Piddle (grouped with Flyford Flavell &amp; Grafton Flyford)</t>
  </si>
  <si>
    <t>E1838P063</t>
  </si>
  <si>
    <t>North Piddle (grouped with Flyford Flavell &amp; Grafton Flyford)</t>
  </si>
  <si>
    <t>WychavonNorton and Lenchwick</t>
  </si>
  <si>
    <t>E1838P064</t>
  </si>
  <si>
    <t>Norton and Lenchwick</t>
  </si>
  <si>
    <t>WychavonNorton Juxta Kempsey</t>
  </si>
  <si>
    <t>E1838P065</t>
  </si>
  <si>
    <t>Norton Juxta Kempsey</t>
  </si>
  <si>
    <t>WychavonOddingley (grouped with Hadzor Huddington &amp; Himbleton as Saleway)</t>
  </si>
  <si>
    <t>E1838P066</t>
  </si>
  <si>
    <t>Oddingley (grouped with Hadzor Huddington &amp; Himbleton as Saleway)</t>
  </si>
  <si>
    <t>WychavonOffenham</t>
  </si>
  <si>
    <t>E1838P067</t>
  </si>
  <si>
    <t>Offenham</t>
  </si>
  <si>
    <t>WychavonOmbersley (grouped with Doverdale)</t>
  </si>
  <si>
    <t>E1838P068</t>
  </si>
  <si>
    <t>Ombersley (grouped with Doverdale)</t>
  </si>
  <si>
    <t>WychavonOverbury (grouped with Conderton)</t>
  </si>
  <si>
    <t>E1838P069</t>
  </si>
  <si>
    <t>Overbury (grouped with Conderton)</t>
  </si>
  <si>
    <t>WychavonPebworth</t>
  </si>
  <si>
    <t>E1838P070</t>
  </si>
  <si>
    <t>Pebworth</t>
  </si>
  <si>
    <t>WychavonPeopleton</t>
  </si>
  <si>
    <t>E1838P071</t>
  </si>
  <si>
    <t>Peopleton</t>
  </si>
  <si>
    <t>WychavonPershore</t>
  </si>
  <si>
    <t>E1838P072</t>
  </si>
  <si>
    <t>Pershore</t>
  </si>
  <si>
    <t>WychavonPinvin</t>
  </si>
  <si>
    <t>E1838P073</t>
  </si>
  <si>
    <t>Pinvin</t>
  </si>
  <si>
    <t>WychavonPirton</t>
  </si>
  <si>
    <t>E1838P074</t>
  </si>
  <si>
    <t>Pirton</t>
  </si>
  <si>
    <t>WychavonRous Lench</t>
  </si>
  <si>
    <t>E1838P075</t>
  </si>
  <si>
    <t>Rous Lench</t>
  </si>
  <si>
    <t>WychavonSalwarpe (grouped with Hindlip &amp; Martin Hussingtree)</t>
  </si>
  <si>
    <t>E1838P076</t>
  </si>
  <si>
    <t>Salwarpe (grouped with Hindlip &amp; Martin Hussingtree)</t>
  </si>
  <si>
    <t>WychavonSedgeberrow</t>
  </si>
  <si>
    <t>E1838P077</t>
  </si>
  <si>
    <t>Sedgeberrow</t>
  </si>
  <si>
    <t>WychavonSouth Littleton</t>
  </si>
  <si>
    <t>E1838P078</t>
  </si>
  <si>
    <t>South Littleton</t>
  </si>
  <si>
    <t>WychavonSpetchley</t>
  </si>
  <si>
    <t>E1838P079</t>
  </si>
  <si>
    <t>Spetchley</t>
  </si>
  <si>
    <t>WychavonStock and Bradley</t>
  </si>
  <si>
    <t>E1838P080</t>
  </si>
  <si>
    <t>Stock and Bradley</t>
  </si>
  <si>
    <t>WychavonStoulton</t>
  </si>
  <si>
    <t>E1838P081</t>
  </si>
  <si>
    <t>Stoulton</t>
  </si>
  <si>
    <t>WychavonStrensham</t>
  </si>
  <si>
    <t>E1838P082</t>
  </si>
  <si>
    <t>Strensham</t>
  </si>
  <si>
    <t>WychavonThrockmorton (grouped with Bishampton)</t>
  </si>
  <si>
    <t>E1838P083</t>
  </si>
  <si>
    <t>Throckmorton (grouped with Bishampton)</t>
  </si>
  <si>
    <t>WychavonTibberton</t>
  </si>
  <si>
    <t>E1838P084</t>
  </si>
  <si>
    <t>WychavonUpton Snodsbury</t>
  </si>
  <si>
    <t>E1838P085</t>
  </si>
  <si>
    <t>Upton Snodsbury</t>
  </si>
  <si>
    <t>WychavonUpton Warren</t>
  </si>
  <si>
    <t>E1838P086</t>
  </si>
  <si>
    <t>Upton Warren</t>
  </si>
  <si>
    <t>WychavonWestwood (grouped with Hampton Lovett)</t>
  </si>
  <si>
    <t>E1838P087</t>
  </si>
  <si>
    <t>Westwood (grouped with Hampton Lovett)</t>
  </si>
  <si>
    <t>WychavonWhite Ladies Aston</t>
  </si>
  <si>
    <t>E1838P088</t>
  </si>
  <si>
    <t>White Ladies Aston</t>
  </si>
  <si>
    <t>WychavonWhittington</t>
  </si>
  <si>
    <t>E1838P089</t>
  </si>
  <si>
    <t>WychavonWick</t>
  </si>
  <si>
    <t>E1838P090</t>
  </si>
  <si>
    <t>Wick</t>
  </si>
  <si>
    <t>WychavonWickhamford</t>
  </si>
  <si>
    <t>E1838P091</t>
  </si>
  <si>
    <t>Wickhamford</t>
  </si>
  <si>
    <t>WychavonWyre Piddle</t>
  </si>
  <si>
    <t>E1838P092</t>
  </si>
  <si>
    <t>Wyre Piddle</t>
  </si>
  <si>
    <t>WychavonWadborough Ward</t>
  </si>
  <si>
    <t>E1838P094</t>
  </si>
  <si>
    <t>Wadborough Ward</t>
  </si>
  <si>
    <t>Wyre ForestBewdley</t>
  </si>
  <si>
    <t>E1839P001</t>
  </si>
  <si>
    <t>Bewdley</t>
  </si>
  <si>
    <t>Wyre ForestBroome</t>
  </si>
  <si>
    <t>E1839P002</t>
  </si>
  <si>
    <t>Broome</t>
  </si>
  <si>
    <t>Wyre ForestChaddesley Corbett</t>
  </si>
  <si>
    <t>E1839P003</t>
  </si>
  <si>
    <t>Chaddesley Corbett</t>
  </si>
  <si>
    <t>Wyre ForestChurchill and Blakedown</t>
  </si>
  <si>
    <t>E1839P004</t>
  </si>
  <si>
    <t>Churchill and Blakedown</t>
  </si>
  <si>
    <t>Wyre ForestKidderminster Foreign</t>
  </si>
  <si>
    <t>E1839P005</t>
  </si>
  <si>
    <t>Kidderminster Foreign</t>
  </si>
  <si>
    <t>Wyre ForestRibbesford</t>
  </si>
  <si>
    <t>E1839P006</t>
  </si>
  <si>
    <t>Ribbesford</t>
  </si>
  <si>
    <t>Wyre ForestRock</t>
  </si>
  <si>
    <t>E1839P007</t>
  </si>
  <si>
    <t>Rock</t>
  </si>
  <si>
    <t>Wyre ForestRushock</t>
  </si>
  <si>
    <t>E1839P008</t>
  </si>
  <si>
    <t>Rushock</t>
  </si>
  <si>
    <t>Wyre ForestStone</t>
  </si>
  <si>
    <t>E1839P009</t>
  </si>
  <si>
    <t>Stone</t>
  </si>
  <si>
    <t>Wyre ForestStourport on Severn</t>
  </si>
  <si>
    <t>E1839P010</t>
  </si>
  <si>
    <t>Stourport on Severn</t>
  </si>
  <si>
    <t>Wyre ForestUpper Arley</t>
  </si>
  <si>
    <t>E1839P011</t>
  </si>
  <si>
    <t>Upper Arley</t>
  </si>
  <si>
    <t>Wyre ForestWolverley and Cookley</t>
  </si>
  <si>
    <t>E1839P012</t>
  </si>
  <si>
    <t>Wolverley and Cookley</t>
  </si>
  <si>
    <t>Wyre ForestKidderminster Town Council</t>
  </si>
  <si>
    <t>E1839P013</t>
  </si>
  <si>
    <t>Kidderminster Town Council</t>
  </si>
  <si>
    <t>Malvern HillsAbberley</t>
  </si>
  <si>
    <t>E1851P001</t>
  </si>
  <si>
    <t>Abberley</t>
  </si>
  <si>
    <t>Malvern HillsAlfrick and Lulsley</t>
  </si>
  <si>
    <t>E1851P002</t>
  </si>
  <si>
    <t>Alfrick and Lulsley</t>
  </si>
  <si>
    <t>Malvern HillsAstley and Dunley</t>
  </si>
  <si>
    <t>E1851P003</t>
  </si>
  <si>
    <t>Astley and Dunley</t>
  </si>
  <si>
    <t>Malvern HillsBayton</t>
  </si>
  <si>
    <t>E1851P004</t>
  </si>
  <si>
    <t>Bayton</t>
  </si>
  <si>
    <t>Malvern HillsBerrow</t>
  </si>
  <si>
    <t>E1851P005</t>
  </si>
  <si>
    <t>Berrow</t>
  </si>
  <si>
    <t>Malvern HillsBirtsmorton</t>
  </si>
  <si>
    <t>E1851P006</t>
  </si>
  <si>
    <t>Birtsmorton</t>
  </si>
  <si>
    <t>Malvern HillsBockleton (grouped with Stoke Bliss and Kyre)</t>
  </si>
  <si>
    <t>E1851P007</t>
  </si>
  <si>
    <t>Bockleton (grouped with Stoke Bliss and Kyre)</t>
  </si>
  <si>
    <t>Malvern HillsBransford (grouped with Leigh)</t>
  </si>
  <si>
    <t>E1851P008</t>
  </si>
  <si>
    <t>Bransford (grouped with Leigh)</t>
  </si>
  <si>
    <t>Malvern HillsBroadheath</t>
  </si>
  <si>
    <t>E1851P009</t>
  </si>
  <si>
    <t>Broadheath</t>
  </si>
  <si>
    <t>Malvern HillsBroadwas and Cotheridge</t>
  </si>
  <si>
    <t>E1851P010</t>
  </si>
  <si>
    <t>Broadwas and Cotheridge</t>
  </si>
  <si>
    <t>Malvern HillsBushley</t>
  </si>
  <si>
    <t>E1851P011</t>
  </si>
  <si>
    <t>Bushley</t>
  </si>
  <si>
    <t>Malvern HillsCastlemorton</t>
  </si>
  <si>
    <t>E1851P012</t>
  </si>
  <si>
    <t>Castlemorton</t>
  </si>
  <si>
    <t>Malvern HillsClifton upon Teme</t>
  </si>
  <si>
    <t>E1851P013</t>
  </si>
  <si>
    <t>Clifton upon Teme</t>
  </si>
  <si>
    <t>Malvern HillsCotheridge (grouped with Broadwas)</t>
  </si>
  <si>
    <t>E1851P014</t>
  </si>
  <si>
    <t>Cotheridge (grouped with Broadwas)</t>
  </si>
  <si>
    <t>Malvern HillsCroome D'Abitot (grouped with Severn Stoke)</t>
  </si>
  <si>
    <t>E1851P015</t>
  </si>
  <si>
    <t>Croome D'Abitot (grouped with Severn Stoke)</t>
  </si>
  <si>
    <t>Malvern HillsDoddenham (grouped with Knightwick)</t>
  </si>
  <si>
    <t>E1851P016</t>
  </si>
  <si>
    <t>Doddenham (grouped with Knightwick)</t>
  </si>
  <si>
    <t>Malvern HillsEarl's Croome</t>
  </si>
  <si>
    <t>E1851P017</t>
  </si>
  <si>
    <t>Earl's Croome</t>
  </si>
  <si>
    <t>Malvern HillsEastham</t>
  </si>
  <si>
    <t>E1851P018</t>
  </si>
  <si>
    <t>Eastham</t>
  </si>
  <si>
    <t>Malvern HillsEldersfield</t>
  </si>
  <si>
    <t>E1851P019</t>
  </si>
  <si>
    <t>Eldersfield</t>
  </si>
  <si>
    <t>Malvern HillsGreat Witley and Hillhampton</t>
  </si>
  <si>
    <t>E1851P020</t>
  </si>
  <si>
    <t>Great Witley and Hillhampton</t>
  </si>
  <si>
    <t>Malvern HillsGrimley</t>
  </si>
  <si>
    <t>E1851P021</t>
  </si>
  <si>
    <t>Grimley</t>
  </si>
  <si>
    <t>Malvern HillsGuarlford</t>
  </si>
  <si>
    <t>E1851P022</t>
  </si>
  <si>
    <t>Guarlford</t>
  </si>
  <si>
    <t>Malvern HillsHallow</t>
  </si>
  <si>
    <t>E1851P023</t>
  </si>
  <si>
    <t>Hallow</t>
  </si>
  <si>
    <t>Malvern HillsHanley</t>
  </si>
  <si>
    <t>E1851P024</t>
  </si>
  <si>
    <t>Hanley</t>
  </si>
  <si>
    <t>Malvern HillsHanley Castle</t>
  </si>
  <si>
    <t>E1851P025</t>
  </si>
  <si>
    <t>Hanley Castle</t>
  </si>
  <si>
    <t>Malvern HillsHill Croome</t>
  </si>
  <si>
    <t>E1851P026</t>
  </si>
  <si>
    <t>Hill Croome</t>
  </si>
  <si>
    <t>Malvern HillsHillhampton (grouped with Great Witley)</t>
  </si>
  <si>
    <t>E1851P027</t>
  </si>
  <si>
    <t>Hillhampton (grouped with Great Witley)</t>
  </si>
  <si>
    <t>Malvern HillsHoldfast (grouped with Longdon and Queenhill)</t>
  </si>
  <si>
    <t>E1851P028</t>
  </si>
  <si>
    <t>Holdfast (grouped with Longdon and Queenhill)</t>
  </si>
  <si>
    <t>Malvern HillsHolt</t>
  </si>
  <si>
    <t>E1851P029</t>
  </si>
  <si>
    <t>Malvern HillsKempsey</t>
  </si>
  <si>
    <t>E1851P030</t>
  </si>
  <si>
    <t>Kempsey</t>
  </si>
  <si>
    <t>Malvern HillsKenswick and Wichenford</t>
  </si>
  <si>
    <t>E1851P031</t>
  </si>
  <si>
    <t>Kenswick and Wichenford</t>
  </si>
  <si>
    <t>Malvern HillsKnighton on Teme</t>
  </si>
  <si>
    <t>E1851P032</t>
  </si>
  <si>
    <t>Knighton on Teme</t>
  </si>
  <si>
    <t>Malvern HillsKnightwick and Doddenham</t>
  </si>
  <si>
    <t>E1851P033</t>
  </si>
  <si>
    <t>Knightwick and Doddenham</t>
  </si>
  <si>
    <t>Malvern HillsKyre (grouped with Stoke Bliss and Bockleton)</t>
  </si>
  <si>
    <t>E1851P034</t>
  </si>
  <si>
    <t>Kyre (grouped with Stoke Bliss and Bockleton)</t>
  </si>
  <si>
    <t>Malvern HillsLeigh and Bransford</t>
  </si>
  <si>
    <t>E1851P035</t>
  </si>
  <si>
    <t>Leigh and Bransford</t>
  </si>
  <si>
    <t>Malvern HillsLindridge</t>
  </si>
  <si>
    <t>E1851P036</t>
  </si>
  <si>
    <t>Lindridge</t>
  </si>
  <si>
    <t>Malvern HillsLittle Malvern and Welland</t>
  </si>
  <si>
    <t>E1851P037</t>
  </si>
  <si>
    <t>Little Malvern and Welland</t>
  </si>
  <si>
    <t>Malvern HillsLittle Witley</t>
  </si>
  <si>
    <t>E1851P038</t>
  </si>
  <si>
    <t>Little Witley</t>
  </si>
  <si>
    <t>Malvern HillsLongdon Holdfast and Queenhill</t>
  </si>
  <si>
    <t>E1851P039</t>
  </si>
  <si>
    <t>Longdon Holdfast and Queenhill</t>
  </si>
  <si>
    <t>Malvern HillsLower Sapey</t>
  </si>
  <si>
    <t>E1851P040</t>
  </si>
  <si>
    <t>Lower Sapey</t>
  </si>
  <si>
    <t>Malvern HillsLulsley (grouped with Alfrick)</t>
  </si>
  <si>
    <t>E1851P041</t>
  </si>
  <si>
    <t>Lulsley (grouped with Alfrick)</t>
  </si>
  <si>
    <t>Malvern HillsMadresfield</t>
  </si>
  <si>
    <t>E1851P042</t>
  </si>
  <si>
    <t>Madresfield</t>
  </si>
  <si>
    <t>Malvern HillsMalvern</t>
  </si>
  <si>
    <t>E1851P043</t>
  </si>
  <si>
    <t>Malvern</t>
  </si>
  <si>
    <t>Malvern HillsMalvern Wells</t>
  </si>
  <si>
    <t>E1851P044</t>
  </si>
  <si>
    <t>Malvern Wells</t>
  </si>
  <si>
    <t>Malvern HillsMamble</t>
  </si>
  <si>
    <t>E1851P045</t>
  </si>
  <si>
    <t>Mamble</t>
  </si>
  <si>
    <t>Malvern HillsMartley</t>
  </si>
  <si>
    <t>E1851P046</t>
  </si>
  <si>
    <t>Martley</t>
  </si>
  <si>
    <t>Malvern HillsNewland</t>
  </si>
  <si>
    <t>E1851P047</t>
  </si>
  <si>
    <t>Malvern HillsPendock</t>
  </si>
  <si>
    <t>E1851P048</t>
  </si>
  <si>
    <t>Pendock</t>
  </si>
  <si>
    <t>Malvern HillsPensax</t>
  </si>
  <si>
    <t>E1851P049</t>
  </si>
  <si>
    <t>Pensax</t>
  </si>
  <si>
    <t>Malvern HillsPowick</t>
  </si>
  <si>
    <t>E1851P050</t>
  </si>
  <si>
    <t>Powick</t>
  </si>
  <si>
    <t>Malvern HillsQueenhill (grouped with Longdon and Holdfast)</t>
  </si>
  <si>
    <t>E1851P051</t>
  </si>
  <si>
    <t>Queenhill (grouped with Longdon and Holdfast)</t>
  </si>
  <si>
    <t>Malvern HillsRipple</t>
  </si>
  <si>
    <t>E1851P052</t>
  </si>
  <si>
    <t>Ripple</t>
  </si>
  <si>
    <t>Malvern HillsRochford</t>
  </si>
  <si>
    <t>E1851P053</t>
  </si>
  <si>
    <t>Malvern HillsRushwick</t>
  </si>
  <si>
    <t>E1851P054</t>
  </si>
  <si>
    <t>Rushwick</t>
  </si>
  <si>
    <t>Malvern HillsSevern Stoke and Croome D'Abitot</t>
  </si>
  <si>
    <t>E1851P055</t>
  </si>
  <si>
    <t>Severn Stoke and Croome D'Abitot</t>
  </si>
  <si>
    <t>Malvern HillsShelsley (Beauchamp Kings Walsh)</t>
  </si>
  <si>
    <t>E1851P056</t>
  </si>
  <si>
    <t>Shelsley (Beauchamp Kings Walsh)</t>
  </si>
  <si>
    <t>Malvern HillsShelsley Kings (grouped with Shelsley Beauchamp and Shelsley Walsh)</t>
  </si>
  <si>
    <t>E1851P057</t>
  </si>
  <si>
    <t>Shelsley Kings (grouped with Shelsley Beauchamp and Shelsley Walsh)</t>
  </si>
  <si>
    <t>Malvern HillsShelsley Walsh (grouped with Shelsley Beauchamp and Shelsley Kings)</t>
  </si>
  <si>
    <t>E1851P058</t>
  </si>
  <si>
    <t>Shelsley Walsh (grouped with Shelsley Beauchamp and Shelsley Kings)</t>
  </si>
  <si>
    <t>Malvern HillsShrawley</t>
  </si>
  <si>
    <t>E1851P059</t>
  </si>
  <si>
    <t>Shrawley</t>
  </si>
  <si>
    <t>Malvern HillsStanford with Orleton</t>
  </si>
  <si>
    <t>E1851P060</t>
  </si>
  <si>
    <t>Stanford with Orleton</t>
  </si>
  <si>
    <t>Malvern HillsStockton on Teme</t>
  </si>
  <si>
    <t>E1851P061</t>
  </si>
  <si>
    <t>Stockton on Teme</t>
  </si>
  <si>
    <t>Malvern HillsStoke Bliss Kyre and Bockleton</t>
  </si>
  <si>
    <t>E1851P062</t>
  </si>
  <si>
    <t>Stoke Bliss Kyre and Bockleton</t>
  </si>
  <si>
    <t>Malvern HillsSuckley</t>
  </si>
  <si>
    <t>E1851P063</t>
  </si>
  <si>
    <t>Suckley</t>
  </si>
  <si>
    <t>Malvern HillsTenbury</t>
  </si>
  <si>
    <t>E1851P064</t>
  </si>
  <si>
    <t>Tenbury</t>
  </si>
  <si>
    <t>Malvern HillsUpton upon Severn</t>
  </si>
  <si>
    <t>E1851P065</t>
  </si>
  <si>
    <t>Upton upon Severn</t>
  </si>
  <si>
    <t>Malvern HillsWelland (grouped with Little Malvern)</t>
  </si>
  <si>
    <t>E1851P066</t>
  </si>
  <si>
    <t>Welland (grouped with Little Malvern)</t>
  </si>
  <si>
    <t>Malvern HillsWest Malvern</t>
  </si>
  <si>
    <t>E1851P067</t>
  </si>
  <si>
    <t>West Malvern</t>
  </si>
  <si>
    <t>Malvern HillsWichenford (grouped with Kenswick)</t>
  </si>
  <si>
    <t>E1851P068</t>
  </si>
  <si>
    <t>Wichenford (grouped with Kenswick)</t>
  </si>
  <si>
    <t>DacorumAldbury</t>
  </si>
  <si>
    <t>E1932P001</t>
  </si>
  <si>
    <t>Aldbury</t>
  </si>
  <si>
    <t>DacorumBerkhamsted Town Council</t>
  </si>
  <si>
    <t>E1932P002</t>
  </si>
  <si>
    <t>Berkhamsted Town Council</t>
  </si>
  <si>
    <t>DacorumBovingdon</t>
  </si>
  <si>
    <t>E1932P003</t>
  </si>
  <si>
    <t>Bovingdon</t>
  </si>
  <si>
    <t>DacorumChipperfield</t>
  </si>
  <si>
    <t>E1932P004</t>
  </si>
  <si>
    <t>Chipperfield</t>
  </si>
  <si>
    <t>DacorumFlamstead</t>
  </si>
  <si>
    <t>E1932P005</t>
  </si>
  <si>
    <t>Flamstead</t>
  </si>
  <si>
    <t>DacorumFlaunden</t>
  </si>
  <si>
    <t>E1932P006</t>
  </si>
  <si>
    <t>Flaunden</t>
  </si>
  <si>
    <t>DacorumGreat Gaddesden</t>
  </si>
  <si>
    <t>E1932P007</t>
  </si>
  <si>
    <t>Great Gaddesden</t>
  </si>
  <si>
    <t>DacorumKings Langley</t>
  </si>
  <si>
    <t>E1932P008</t>
  </si>
  <si>
    <t>Kings Langley</t>
  </si>
  <si>
    <t>DacorumLittle Gaddesden</t>
  </si>
  <si>
    <t>E1932P009</t>
  </si>
  <si>
    <t>Little Gaddesden</t>
  </si>
  <si>
    <t>DacorumMarkyate</t>
  </si>
  <si>
    <t>E1932P010</t>
  </si>
  <si>
    <t>Markyate</t>
  </si>
  <si>
    <t>DacorumNash Mills</t>
  </si>
  <si>
    <t>E1932P011</t>
  </si>
  <si>
    <t>Nash Mills</t>
  </si>
  <si>
    <t>DacorumNettleden with Potten End</t>
  </si>
  <si>
    <t>E1932P012</t>
  </si>
  <si>
    <t>Nettleden with Potten End</t>
  </si>
  <si>
    <t>DacorumNorthchurch</t>
  </si>
  <si>
    <t>E1932P013</t>
  </si>
  <si>
    <t>Northchurch</t>
  </si>
  <si>
    <t>DacorumTring Town</t>
  </si>
  <si>
    <t>E1932P014</t>
  </si>
  <si>
    <t>Tring Town</t>
  </si>
  <si>
    <t>DacorumTring Rural</t>
  </si>
  <si>
    <t>E1932P015</t>
  </si>
  <si>
    <t>Tring Rural</t>
  </si>
  <si>
    <t>DacorumWigginton</t>
  </si>
  <si>
    <t>E1932P016</t>
  </si>
  <si>
    <t>Wigginton</t>
  </si>
  <si>
    <t>East HertfordshireAlbury</t>
  </si>
  <si>
    <t>E1933P001</t>
  </si>
  <si>
    <t>Albury</t>
  </si>
  <si>
    <t>East HertfordshireAnstey</t>
  </si>
  <si>
    <t>E1933P002</t>
  </si>
  <si>
    <t>Anstey</t>
  </si>
  <si>
    <t>East HertfordshireArdeley</t>
  </si>
  <si>
    <t>E1933P003</t>
  </si>
  <si>
    <t>Ardeley</t>
  </si>
  <si>
    <t>East HertfordshireAspenden</t>
  </si>
  <si>
    <t>E1933P004</t>
  </si>
  <si>
    <t>Aspenden</t>
  </si>
  <si>
    <t>East HertfordshireAston</t>
  </si>
  <si>
    <t>E1933P005</t>
  </si>
  <si>
    <t>East HertfordshireBayford</t>
  </si>
  <si>
    <t>E1933P006</t>
  </si>
  <si>
    <t>Bayford</t>
  </si>
  <si>
    <t>East HertfordshireBengeo Rural</t>
  </si>
  <si>
    <t>E1933P007</t>
  </si>
  <si>
    <t>Bengeo Rural</t>
  </si>
  <si>
    <t>East HertfordshireBenington</t>
  </si>
  <si>
    <t>E1933P008</t>
  </si>
  <si>
    <t>Benington</t>
  </si>
  <si>
    <t>East HertfordshireBishop's Stortford</t>
  </si>
  <si>
    <t>E1933P009</t>
  </si>
  <si>
    <t>Bishop's Stortford</t>
  </si>
  <si>
    <t>East HertfordshireBramfield</t>
  </si>
  <si>
    <t>E1933P010</t>
  </si>
  <si>
    <t>Bramfield</t>
  </si>
  <si>
    <t>East HertfordshireBraughing</t>
  </si>
  <si>
    <t>E1933P011</t>
  </si>
  <si>
    <t>Braughing</t>
  </si>
  <si>
    <t>East HertfordshireBrent Pelham (grouped as Brent Pelham / Meesden)</t>
  </si>
  <si>
    <t>E1933P012</t>
  </si>
  <si>
    <t>Brent Pelham (grouped as Brent Pelham / Meesden)</t>
  </si>
  <si>
    <t>East HertfordshireBrickendon Liberty</t>
  </si>
  <si>
    <t>E1933P013</t>
  </si>
  <si>
    <t>Brickendon Liberty</t>
  </si>
  <si>
    <t>East HertfordshireBuckland</t>
  </si>
  <si>
    <t>E1933P014</t>
  </si>
  <si>
    <t>East HertfordshireBuntingford</t>
  </si>
  <si>
    <t>E1933P015</t>
  </si>
  <si>
    <t>Buntingford</t>
  </si>
  <si>
    <t>East HertfordshireCottered</t>
  </si>
  <si>
    <t>E1933P016</t>
  </si>
  <si>
    <t>Cottered</t>
  </si>
  <si>
    <t>East HertfordshireDatchworth</t>
  </si>
  <si>
    <t>E1933P017</t>
  </si>
  <si>
    <t>Datchworth</t>
  </si>
  <si>
    <t>East HertfordshireEastwick (grouped as Eastwick / Gilston)</t>
  </si>
  <si>
    <t>E1933P018</t>
  </si>
  <si>
    <t>Eastwick (grouped as Eastwick / Gilston)</t>
  </si>
  <si>
    <t>East HertfordshireFurneux Pelham</t>
  </si>
  <si>
    <t>E1933P019</t>
  </si>
  <si>
    <t>Furneux Pelham</t>
  </si>
  <si>
    <t>East HertfordshireGilston (grouped as Eastwick / Gilston above)</t>
  </si>
  <si>
    <t>E1933P020</t>
  </si>
  <si>
    <t>Gilston (grouped as Eastwick / Gilston above)</t>
  </si>
  <si>
    <t>East HertfordshireGreat Amwell</t>
  </si>
  <si>
    <t>E1933P021</t>
  </si>
  <si>
    <t>Great Amwell</t>
  </si>
  <si>
    <t>East HertfordshireGreat Munden</t>
  </si>
  <si>
    <t>E1933P022</t>
  </si>
  <si>
    <t>Great Munden</t>
  </si>
  <si>
    <t>East HertfordshireHertford</t>
  </si>
  <si>
    <t>E1933P023</t>
  </si>
  <si>
    <t>Hertford</t>
  </si>
  <si>
    <t>East HertfordshireHertford Heath</t>
  </si>
  <si>
    <t>E1933P024</t>
  </si>
  <si>
    <t>Hertford Heath</t>
  </si>
  <si>
    <t>East HertfordshireHertingfordbury</t>
  </si>
  <si>
    <t>E1933P025</t>
  </si>
  <si>
    <t>Hertingfordbury</t>
  </si>
  <si>
    <t>East HertfordshireHigh Wych</t>
  </si>
  <si>
    <t>E1933P026</t>
  </si>
  <si>
    <t>High Wych</t>
  </si>
  <si>
    <t>East HertfordshireHormead</t>
  </si>
  <si>
    <t>E1933P027</t>
  </si>
  <si>
    <t>Hormead</t>
  </si>
  <si>
    <t>East HertfordshireHunsdon</t>
  </si>
  <si>
    <t>E1933P028</t>
  </si>
  <si>
    <t>Hunsdon</t>
  </si>
  <si>
    <t>East HertfordshireLittle Berkhamsted</t>
  </si>
  <si>
    <t>E1933P029</t>
  </si>
  <si>
    <t>Little Berkhamsted</t>
  </si>
  <si>
    <t>East HertfordshireLittle Hadham</t>
  </si>
  <si>
    <t>E1933P030</t>
  </si>
  <si>
    <t>Little Hadham</t>
  </si>
  <si>
    <t>East HertfordshireLittle Munden</t>
  </si>
  <si>
    <t>E1933P031</t>
  </si>
  <si>
    <t>Little Munden</t>
  </si>
  <si>
    <t>East HertfordshireMeesden (grouped as Brent Pelham / Meesden above)</t>
  </si>
  <si>
    <t>E1933P032</t>
  </si>
  <si>
    <t>Meesden (grouped as Brent Pelham / Meesden above)</t>
  </si>
  <si>
    <t>East HertfordshireMuch Hadham</t>
  </si>
  <si>
    <t>E1933P033</t>
  </si>
  <si>
    <t>Much Hadham</t>
  </si>
  <si>
    <t>East HertfordshireSacombe</t>
  </si>
  <si>
    <t>E1933P034</t>
  </si>
  <si>
    <t>Sacombe</t>
  </si>
  <si>
    <t>East HertfordshireSawbridgeworth</t>
  </si>
  <si>
    <t>E1933P035</t>
  </si>
  <si>
    <t>Sawbridgeworth</t>
  </si>
  <si>
    <t>East HertfordshireStandon</t>
  </si>
  <si>
    <t>E1933P036</t>
  </si>
  <si>
    <t>Standon</t>
  </si>
  <si>
    <t>East HertfordshireStanstead Abbots</t>
  </si>
  <si>
    <t>E1933P037</t>
  </si>
  <si>
    <t>Stanstead Abbots</t>
  </si>
  <si>
    <t>East HertfordshireStanstead St Margarets</t>
  </si>
  <si>
    <t>E1933P038</t>
  </si>
  <si>
    <t>Stanstead St Margarets</t>
  </si>
  <si>
    <t>East HertfordshireStapleford</t>
  </si>
  <si>
    <t>E1933P039</t>
  </si>
  <si>
    <t>East HertfordshireStocking Pelham</t>
  </si>
  <si>
    <t>E1933P040</t>
  </si>
  <si>
    <t>Stocking Pelham</t>
  </si>
  <si>
    <t>East HertfordshireTewin</t>
  </si>
  <si>
    <t>E1933P041</t>
  </si>
  <si>
    <t>Tewin</t>
  </si>
  <si>
    <t>East HertfordshireThorley</t>
  </si>
  <si>
    <t>E1933P042</t>
  </si>
  <si>
    <t>Thorley</t>
  </si>
  <si>
    <t>East HertfordshireThundridge</t>
  </si>
  <si>
    <t>E1933P043</t>
  </si>
  <si>
    <t>Thundridge</t>
  </si>
  <si>
    <t>East HertfordshireWalkern</t>
  </si>
  <si>
    <t>E1933P044</t>
  </si>
  <si>
    <t>Walkern</t>
  </si>
  <si>
    <t>East HertfordshireWare</t>
  </si>
  <si>
    <t>E1933P045</t>
  </si>
  <si>
    <t>Ware</t>
  </si>
  <si>
    <t>East HertfordshireWareside</t>
  </si>
  <si>
    <t>E1933P046</t>
  </si>
  <si>
    <t>Wareside</t>
  </si>
  <si>
    <t>East HertfordshireWatton at Stone</t>
  </si>
  <si>
    <t>E1933P047</t>
  </si>
  <si>
    <t>Watton at Stone</t>
  </si>
  <si>
    <t>East HertfordshireWestmill</t>
  </si>
  <si>
    <t>E1933P048</t>
  </si>
  <si>
    <t>Westmill</t>
  </si>
  <si>
    <t>East HertfordshireWidford</t>
  </si>
  <si>
    <t>E1933P049</t>
  </si>
  <si>
    <t>Widford</t>
  </si>
  <si>
    <t>East HertfordshireWyddial</t>
  </si>
  <si>
    <t>E1933P050</t>
  </si>
  <si>
    <t>Wyddial</t>
  </si>
  <si>
    <t>HertsmereAldenham</t>
  </si>
  <si>
    <t>E1934P001</t>
  </si>
  <si>
    <t>Aldenham</t>
  </si>
  <si>
    <t>HertsmereElstree and Borehamwood</t>
  </si>
  <si>
    <t>E1934P002</t>
  </si>
  <si>
    <t>Elstree and Borehamwood</t>
  </si>
  <si>
    <t>HertsmereShenley</t>
  </si>
  <si>
    <t>E1934P004</t>
  </si>
  <si>
    <t>Shenley</t>
  </si>
  <si>
    <t>HertsmereSouth Mimms and Ridge</t>
  </si>
  <si>
    <t>E1934P006</t>
  </si>
  <si>
    <t>South Mimms and Ridge</t>
  </si>
  <si>
    <t>North HertfordshireAshwell</t>
  </si>
  <si>
    <t>E1935P001</t>
  </si>
  <si>
    <t>Ashwell</t>
  </si>
  <si>
    <t>North HertfordshireBarkway</t>
  </si>
  <si>
    <t>E1935P002</t>
  </si>
  <si>
    <t>Barkway</t>
  </si>
  <si>
    <t>North HertfordshireBarley</t>
  </si>
  <si>
    <t>E1935P003</t>
  </si>
  <si>
    <t>Barley</t>
  </si>
  <si>
    <t>North HertfordshireBygrave</t>
  </si>
  <si>
    <t>E1935P004</t>
  </si>
  <si>
    <t>Bygrave</t>
  </si>
  <si>
    <t>North HertfordshireCaldecote (grouped with Newnham)</t>
  </si>
  <si>
    <t>E1935P005</t>
  </si>
  <si>
    <t>Caldecote (grouped with Newnham)</t>
  </si>
  <si>
    <t>North HertfordshireClothall</t>
  </si>
  <si>
    <t>E1935P006</t>
  </si>
  <si>
    <t>Clothall</t>
  </si>
  <si>
    <t>North HertfordshireCodicote</t>
  </si>
  <si>
    <t>E1935P007</t>
  </si>
  <si>
    <t>Codicote</t>
  </si>
  <si>
    <t>North HertfordshireGraveley</t>
  </si>
  <si>
    <t>E1935P008</t>
  </si>
  <si>
    <t>North HertfordshireGreat Ashby</t>
  </si>
  <si>
    <t>E1935P009</t>
  </si>
  <si>
    <t>Great Ashby</t>
  </si>
  <si>
    <t>North HertfordshireHexton</t>
  </si>
  <si>
    <t>E1935P010</t>
  </si>
  <si>
    <t>Hexton</t>
  </si>
  <si>
    <t>North HertfordshireHinxworth</t>
  </si>
  <si>
    <t>E1935P011</t>
  </si>
  <si>
    <t>Hinxworth</t>
  </si>
  <si>
    <t>North HertfordshireHolwell</t>
  </si>
  <si>
    <t>E1935P012</t>
  </si>
  <si>
    <t>North HertfordshireIckleford</t>
  </si>
  <si>
    <t>E1935P013</t>
  </si>
  <si>
    <t>Ickleford</t>
  </si>
  <si>
    <t>North HertfordshireKelshall</t>
  </si>
  <si>
    <t>E1935P014</t>
  </si>
  <si>
    <t>Kelshall</t>
  </si>
  <si>
    <t>North HertfordshireKimpton</t>
  </si>
  <si>
    <t>E1935P015</t>
  </si>
  <si>
    <t>North HertfordshireKing's Walden</t>
  </si>
  <si>
    <t>E1935P016</t>
  </si>
  <si>
    <t>King's Walden</t>
  </si>
  <si>
    <t>North HertfordshireKnebworth</t>
  </si>
  <si>
    <t>E1935P017</t>
  </si>
  <si>
    <t>Knebworth</t>
  </si>
  <si>
    <t>North HertfordshireLangley</t>
  </si>
  <si>
    <t>E1935P018</t>
  </si>
  <si>
    <t>North HertfordshireLilley</t>
  </si>
  <si>
    <t>E1935P020</t>
  </si>
  <si>
    <t>Lilley</t>
  </si>
  <si>
    <t>North HertfordshireNewnham (grouped with Caldecote)</t>
  </si>
  <si>
    <t>E1935P021</t>
  </si>
  <si>
    <t>Newnham (grouped with Caldecote)</t>
  </si>
  <si>
    <t>North HertfordshireNuthampstead</t>
  </si>
  <si>
    <t>E1935P022</t>
  </si>
  <si>
    <t>Nuthampstead</t>
  </si>
  <si>
    <t>North HertfordshireOffley</t>
  </si>
  <si>
    <t>E1935P023</t>
  </si>
  <si>
    <t>Offley</t>
  </si>
  <si>
    <t>North HertfordshirePirton</t>
  </si>
  <si>
    <t>E1935P024</t>
  </si>
  <si>
    <t>North HertfordshirePreston</t>
  </si>
  <si>
    <t>E1935P025</t>
  </si>
  <si>
    <t>North HertfordshireRadwell</t>
  </si>
  <si>
    <t>E1935P026</t>
  </si>
  <si>
    <t>Radwell</t>
  </si>
  <si>
    <t>North HertfordshireReed</t>
  </si>
  <si>
    <t>E1935P027</t>
  </si>
  <si>
    <t>Reed</t>
  </si>
  <si>
    <t>North HertfordshireRoyston</t>
  </si>
  <si>
    <t>E1935P028</t>
  </si>
  <si>
    <t>Royston</t>
  </si>
  <si>
    <t>North HertfordshireRushden (grouped with Wallington)</t>
  </si>
  <si>
    <t>E1935P029</t>
  </si>
  <si>
    <t>Rushden (grouped with Wallington)</t>
  </si>
  <si>
    <t>North HertfordshireSandon</t>
  </si>
  <si>
    <t>E1935P030</t>
  </si>
  <si>
    <t>North HertfordshireSt Ippolyts</t>
  </si>
  <si>
    <t>E1935P031</t>
  </si>
  <si>
    <t>St Ippolyts</t>
  </si>
  <si>
    <t>North HertfordshireSt Paul's Walden</t>
  </si>
  <si>
    <t>E1935P032</t>
  </si>
  <si>
    <t>St Paul's Walden</t>
  </si>
  <si>
    <t>North HertfordshireTherfield</t>
  </si>
  <si>
    <t>E1935P033</t>
  </si>
  <si>
    <t>Therfield</t>
  </si>
  <si>
    <t>North HertfordshireWallington (grouped with Rushden)</t>
  </si>
  <si>
    <t>E1935P034</t>
  </si>
  <si>
    <t>Wallington (grouped with Rushden)</t>
  </si>
  <si>
    <t>North HertfordshireWeston</t>
  </si>
  <si>
    <t>E1935P035</t>
  </si>
  <si>
    <t>Weston</t>
  </si>
  <si>
    <t>North HertfordshireWymondley</t>
  </si>
  <si>
    <t>E1935P036</t>
  </si>
  <si>
    <t>Wymondley</t>
  </si>
  <si>
    <t>St AlbansColney Heath</t>
  </si>
  <si>
    <t>E1936P001</t>
  </si>
  <si>
    <t>Colney Heath</t>
  </si>
  <si>
    <t>St AlbansHarpenden Town</t>
  </si>
  <si>
    <t>E1936P002</t>
  </si>
  <si>
    <t>Harpenden Town</t>
  </si>
  <si>
    <t>St AlbansHarpenden Rural</t>
  </si>
  <si>
    <t>E1936P003</t>
  </si>
  <si>
    <t>Harpenden Rural</t>
  </si>
  <si>
    <t>St AlbansLondon Colney</t>
  </si>
  <si>
    <t>E1936P004</t>
  </si>
  <si>
    <t>London Colney</t>
  </si>
  <si>
    <t>St AlbansRedbourn</t>
  </si>
  <si>
    <t>E1936P005</t>
  </si>
  <si>
    <t>Redbourn</t>
  </si>
  <si>
    <t>St AlbansSandridge</t>
  </si>
  <si>
    <t>E1936P006</t>
  </si>
  <si>
    <t>Sandridge</t>
  </si>
  <si>
    <t>St AlbansSt Michael</t>
  </si>
  <si>
    <t>E1936P007</t>
  </si>
  <si>
    <t>St Michael</t>
  </si>
  <si>
    <t>St AlbansSt Stephen</t>
  </si>
  <si>
    <t>E1936P008</t>
  </si>
  <si>
    <t>St Stephen</t>
  </si>
  <si>
    <t>St AlbansWheathampstead</t>
  </si>
  <si>
    <t>E1936P009</t>
  </si>
  <si>
    <t>Wheathampstead</t>
  </si>
  <si>
    <t>Three RiversAbbots Langley</t>
  </si>
  <si>
    <t>E1938P001</t>
  </si>
  <si>
    <t>Abbots Langley</t>
  </si>
  <si>
    <t>Three RiversChorleywood</t>
  </si>
  <si>
    <t>E1938P002</t>
  </si>
  <si>
    <t>Chorleywood</t>
  </si>
  <si>
    <t>Three RiversCroxley Green</t>
  </si>
  <si>
    <t>E1938P003</t>
  </si>
  <si>
    <t>Croxley Green</t>
  </si>
  <si>
    <t>Three RiversSarratt</t>
  </si>
  <si>
    <t>E1938P004</t>
  </si>
  <si>
    <t>Sarratt</t>
  </si>
  <si>
    <t>Three RiversWatford Rural</t>
  </si>
  <si>
    <t>E1938P005</t>
  </si>
  <si>
    <t>Watford Rural</t>
  </si>
  <si>
    <t>Three RiversBatchworth</t>
  </si>
  <si>
    <t>E1938P006</t>
  </si>
  <si>
    <t>Batchworth</t>
  </si>
  <si>
    <t>Welwyn HatfieldAyot St Lawrence</t>
  </si>
  <si>
    <t>E1940P001</t>
  </si>
  <si>
    <t>Ayot St Lawrence</t>
  </si>
  <si>
    <t>Welwyn HatfieldAyot St Peter</t>
  </si>
  <si>
    <t>E1940P002</t>
  </si>
  <si>
    <t>Ayot St Peter</t>
  </si>
  <si>
    <t>Welwyn HatfieldEssendon</t>
  </si>
  <si>
    <t>E1940P003</t>
  </si>
  <si>
    <t>Essendon</t>
  </si>
  <si>
    <t>Welwyn HatfieldHatfield</t>
  </si>
  <si>
    <t>E1940P004</t>
  </si>
  <si>
    <t>Hatfield</t>
  </si>
  <si>
    <t>Welwyn HatfieldNorth Mymms</t>
  </si>
  <si>
    <t>E1940P005</t>
  </si>
  <si>
    <t>North Mymms</t>
  </si>
  <si>
    <t>Welwyn HatfieldNorthaw and Cuffley</t>
  </si>
  <si>
    <t>E1940P006</t>
  </si>
  <si>
    <t>Northaw and Cuffley</t>
  </si>
  <si>
    <t>Welwyn HatfieldWelwyn</t>
  </si>
  <si>
    <t>E1940P007</t>
  </si>
  <si>
    <t>Welwyn</t>
  </si>
  <si>
    <t>Welwyn HatfieldWoolmer Green</t>
  </si>
  <si>
    <t>E1940P008</t>
  </si>
  <si>
    <t>Woolmer Green</t>
  </si>
  <si>
    <t>East Riding of YorkshireAirmyn</t>
  </si>
  <si>
    <t>E2001P001</t>
  </si>
  <si>
    <t>Airmyn</t>
  </si>
  <si>
    <t>East Riding of YorkshireAldbrough</t>
  </si>
  <si>
    <t>E2001P002</t>
  </si>
  <si>
    <t>Aldbrough</t>
  </si>
  <si>
    <t>East Riding of YorkshireAllerthorpe</t>
  </si>
  <si>
    <t>E2001P003</t>
  </si>
  <si>
    <t>Allerthorpe</t>
  </si>
  <si>
    <t>East Riding of YorkshireAnlaby with Anlaby Common</t>
  </si>
  <si>
    <t>E2001P004</t>
  </si>
  <si>
    <t>Anlaby with Anlaby Common</t>
  </si>
  <si>
    <t>East Riding of YorkshireAsselby</t>
  </si>
  <si>
    <t>E2001P005</t>
  </si>
  <si>
    <t>Asselby</t>
  </si>
  <si>
    <t>East Riding of YorkshireAtwick</t>
  </si>
  <si>
    <t>E2001P006</t>
  </si>
  <si>
    <t>Atwick</t>
  </si>
  <si>
    <t>East Riding of YorkshireBainton</t>
  </si>
  <si>
    <t>E2001P007</t>
  </si>
  <si>
    <t>East Riding of YorkshireBarmby Moor</t>
  </si>
  <si>
    <t>E2001P008</t>
  </si>
  <si>
    <t>Barmby Moor</t>
  </si>
  <si>
    <t>East Riding of YorkshireBarmby on the Marsh</t>
  </si>
  <si>
    <t>E2001P009</t>
  </si>
  <si>
    <t>Barmby on the Marsh</t>
  </si>
  <si>
    <t>East Riding of YorkshireBarmston and Fraisthorpe</t>
  </si>
  <si>
    <t>E2001P010</t>
  </si>
  <si>
    <t>Barmston and Fraisthorpe</t>
  </si>
  <si>
    <t>East Riding of YorkshireBeeford</t>
  </si>
  <si>
    <t>E2001P011</t>
  </si>
  <si>
    <t>Beeford</t>
  </si>
  <si>
    <t>East Riding of YorkshireBempton</t>
  </si>
  <si>
    <t>E2001P012</t>
  </si>
  <si>
    <t>Bempton</t>
  </si>
  <si>
    <t>East Riding of YorkshireBeswick</t>
  </si>
  <si>
    <t>E2001P013</t>
  </si>
  <si>
    <t>Beswick</t>
  </si>
  <si>
    <t>East Riding of YorkshireBeverley</t>
  </si>
  <si>
    <t>E2001P014</t>
  </si>
  <si>
    <t>Beverley</t>
  </si>
  <si>
    <t>East Riding of YorkshireBewholme</t>
  </si>
  <si>
    <t>E2001P015</t>
  </si>
  <si>
    <t>Bewholme</t>
  </si>
  <si>
    <t>East Riding of YorkshireBielby</t>
  </si>
  <si>
    <t>E2001P016</t>
  </si>
  <si>
    <t>Bielby</t>
  </si>
  <si>
    <t>East Riding of YorkshireBilton</t>
  </si>
  <si>
    <t>E2001P017</t>
  </si>
  <si>
    <t>Bilton</t>
  </si>
  <si>
    <t>East Riding of YorkshireBishop Burton</t>
  </si>
  <si>
    <t>E2001P018</t>
  </si>
  <si>
    <t>Bishop Burton</t>
  </si>
  <si>
    <t>East Riding of YorkshireBishop Wilton</t>
  </si>
  <si>
    <t>E2001P019</t>
  </si>
  <si>
    <t>Bishop Wilton</t>
  </si>
  <si>
    <t>East Riding of YorkshireBlacktoft</t>
  </si>
  <si>
    <t>E2001P020</t>
  </si>
  <si>
    <t>Blacktoft</t>
  </si>
  <si>
    <t>East Riding of YorkshireBoynton</t>
  </si>
  <si>
    <t>E2001P021</t>
  </si>
  <si>
    <t>Boynton</t>
  </si>
  <si>
    <t>East Riding of YorkshireBrandesburton</t>
  </si>
  <si>
    <t>E2001P022</t>
  </si>
  <si>
    <t>Brandesburton</t>
  </si>
  <si>
    <t>East Riding of YorkshireBrantingham</t>
  </si>
  <si>
    <t>E2001P023</t>
  </si>
  <si>
    <t>Brantingham</t>
  </si>
  <si>
    <t>East Riding of YorkshireBridlington</t>
  </si>
  <si>
    <t>E2001P024</t>
  </si>
  <si>
    <t>Bridlington</t>
  </si>
  <si>
    <t>East Riding of YorkshireBroomfleet</t>
  </si>
  <si>
    <t>E2001P025</t>
  </si>
  <si>
    <t>Broomfleet</t>
  </si>
  <si>
    <t>East Riding of YorkshireBubwith</t>
  </si>
  <si>
    <t>E2001P026</t>
  </si>
  <si>
    <t>Bubwith</t>
  </si>
  <si>
    <t>East Riding of YorkshireBugthorpe (grouped with Kirby Underdale)</t>
  </si>
  <si>
    <t>E2001P027</t>
  </si>
  <si>
    <t>Bugthorpe (grouped with Kirby Underdale)</t>
  </si>
  <si>
    <t>East Riding of YorkshireBurstwick</t>
  </si>
  <si>
    <t>E2001P028</t>
  </si>
  <si>
    <t>Burstwick</t>
  </si>
  <si>
    <t>East Riding of YorkshireBurton Agnes</t>
  </si>
  <si>
    <t>E2001P029</t>
  </si>
  <si>
    <t>Burton Agnes</t>
  </si>
  <si>
    <t>East Riding of YorkshireBurton Constable</t>
  </si>
  <si>
    <t>E2001P030</t>
  </si>
  <si>
    <t>Burton Constable</t>
  </si>
  <si>
    <t>East Riding of YorkshireBurton Fleming</t>
  </si>
  <si>
    <t>E2001P031</t>
  </si>
  <si>
    <t>Burton Fleming</t>
  </si>
  <si>
    <t>East Riding of YorkshireBurton Pidsea</t>
  </si>
  <si>
    <t>E2001P032</t>
  </si>
  <si>
    <t>Burton Pidsea</t>
  </si>
  <si>
    <t>East Riding of YorkshireCarnaby</t>
  </si>
  <si>
    <t>E2001P033</t>
  </si>
  <si>
    <t>Carnaby</t>
  </si>
  <si>
    <t>East Riding of YorkshireCatton</t>
  </si>
  <si>
    <t>E2001P034</t>
  </si>
  <si>
    <t>East Riding of YorkshireCatwick</t>
  </si>
  <si>
    <t>E2001P035</t>
  </si>
  <si>
    <t>Catwick</t>
  </si>
  <si>
    <t>East Riding of YorkshireCherry Burton</t>
  </si>
  <si>
    <t>E2001P036</t>
  </si>
  <si>
    <t>Cherry Burton</t>
  </si>
  <si>
    <t>East Riding of YorkshireConiston and Thirtleby</t>
  </si>
  <si>
    <t>E2001P037</t>
  </si>
  <si>
    <t>Coniston and Thirtleby</t>
  </si>
  <si>
    <t>East Riding of YorkshireCottam</t>
  </si>
  <si>
    <t>E2001P038</t>
  </si>
  <si>
    <t>Cottam</t>
  </si>
  <si>
    <t>East Riding of YorkshireCottingham</t>
  </si>
  <si>
    <t>E2001P039</t>
  </si>
  <si>
    <t>Cottingham</t>
  </si>
  <si>
    <t>East Riding of YorkshireEast Cottingwith</t>
  </si>
  <si>
    <t>E2001P040</t>
  </si>
  <si>
    <t>East Cottingwith</t>
  </si>
  <si>
    <t>East Riding of YorkshireDalton Holme</t>
  </si>
  <si>
    <t>E2001P041</t>
  </si>
  <si>
    <t>Dalton Holme</t>
  </si>
  <si>
    <t>East Riding of YorkshireDriffield</t>
  </si>
  <si>
    <t>E2001P042</t>
  </si>
  <si>
    <t>East Riding of YorkshireEasington</t>
  </si>
  <si>
    <t>E2001P043</t>
  </si>
  <si>
    <t>Easington</t>
  </si>
  <si>
    <t>East Riding of YorkshireEast Garton</t>
  </si>
  <si>
    <t>E2001P044</t>
  </si>
  <si>
    <t>East Garton</t>
  </si>
  <si>
    <t>East Riding of YorkshireEastrington</t>
  </si>
  <si>
    <t>E2001P045</t>
  </si>
  <si>
    <t>Eastrington</t>
  </si>
  <si>
    <t>East Riding of YorkshireEllerby</t>
  </si>
  <si>
    <t>E2001P046</t>
  </si>
  <si>
    <t>Ellerby</t>
  </si>
  <si>
    <t>East Riding of YorkshireEllerker</t>
  </si>
  <si>
    <t>E2001P047</t>
  </si>
  <si>
    <t>Ellerker</t>
  </si>
  <si>
    <t>East Riding of YorkshireEllerton and Aughton</t>
  </si>
  <si>
    <t>E2001P048</t>
  </si>
  <si>
    <t>Ellerton and Aughton</t>
  </si>
  <si>
    <t>East Riding of YorkshireElloughton cum Brough</t>
  </si>
  <si>
    <t>E2001P049</t>
  </si>
  <si>
    <t>Elloughton cum Brough</t>
  </si>
  <si>
    <t>East Riding of YorkshireElstronwick</t>
  </si>
  <si>
    <t>E2001P050</t>
  </si>
  <si>
    <t>Elstronwick</t>
  </si>
  <si>
    <t>East Riding of YorkshireEtton</t>
  </si>
  <si>
    <t>E2001P051</t>
  </si>
  <si>
    <t>East Riding of YorkshireEveringham and Harswell</t>
  </si>
  <si>
    <t>E2001P052</t>
  </si>
  <si>
    <t>Everingham and Harswell</t>
  </si>
  <si>
    <t>East Riding of YorkshireFangfoss with Bolton</t>
  </si>
  <si>
    <t>E2001P053</t>
  </si>
  <si>
    <t>Fangfoss with Bolton</t>
  </si>
  <si>
    <t>East Riding of YorkshireFimber</t>
  </si>
  <si>
    <t>E2001P054</t>
  </si>
  <si>
    <t>Fimber</t>
  </si>
  <si>
    <t>East Riding of YorkshireFlamborough</t>
  </si>
  <si>
    <t>E2001P055</t>
  </si>
  <si>
    <t>Flamborough</t>
  </si>
  <si>
    <t>East Riding of YorkshireFoggathorpe</t>
  </si>
  <si>
    <t>E2001P056</t>
  </si>
  <si>
    <t>Foggathorpe</t>
  </si>
  <si>
    <t>East Riding of YorkshireFoston</t>
  </si>
  <si>
    <t>E2001P057</t>
  </si>
  <si>
    <t>Foston</t>
  </si>
  <si>
    <t>East Riding of YorkshireFridaythorpe</t>
  </si>
  <si>
    <t>E2001P058</t>
  </si>
  <si>
    <t>Fridaythorpe</t>
  </si>
  <si>
    <t>East Riding of YorkshireFull Sutton (grouped with Skirpenbeck)</t>
  </si>
  <si>
    <t>E2001P059</t>
  </si>
  <si>
    <t>Full Sutton (grouped with Skirpenbeck)</t>
  </si>
  <si>
    <t>East Riding of YorkshireGarton on the Wolds</t>
  </si>
  <si>
    <t>E2001P060</t>
  </si>
  <si>
    <t>Garton on the Wolds</t>
  </si>
  <si>
    <t>East Riding of YorkshireGilberdyke</t>
  </si>
  <si>
    <t>E2001P061</t>
  </si>
  <si>
    <t>Gilberdyke</t>
  </si>
  <si>
    <t>East Riding of YorkshireGoodmanham</t>
  </si>
  <si>
    <t>E2001P062</t>
  </si>
  <si>
    <t>Goodmanham</t>
  </si>
  <si>
    <t>East Riding of YorkshireGoole</t>
  </si>
  <si>
    <t>E2001P063</t>
  </si>
  <si>
    <t>Goole</t>
  </si>
  <si>
    <t>East Riding of YorkshireGoole Fields</t>
  </si>
  <si>
    <t>E2001P064</t>
  </si>
  <si>
    <t>Goole Fields</t>
  </si>
  <si>
    <t>East Riding of YorkshireGowdall</t>
  </si>
  <si>
    <t>E2001P065</t>
  </si>
  <si>
    <t>Gowdall</t>
  </si>
  <si>
    <t>East Riding of YorkshireGrindale</t>
  </si>
  <si>
    <t>E2001P066</t>
  </si>
  <si>
    <t>Grindale</t>
  </si>
  <si>
    <t>East Riding of YorkshireHalsham</t>
  </si>
  <si>
    <t>E2001P067</t>
  </si>
  <si>
    <t>Halsham</t>
  </si>
  <si>
    <t>East Riding of YorkshireHarpham</t>
  </si>
  <si>
    <t>E2001P068</t>
  </si>
  <si>
    <t>Harpham</t>
  </si>
  <si>
    <t>East Riding of YorkshireHatfield</t>
  </si>
  <si>
    <t>E2001P069</t>
  </si>
  <si>
    <t>East Riding of YorkshireHayton and Burnby</t>
  </si>
  <si>
    <t>E2001P070</t>
  </si>
  <si>
    <t>Hayton and Burnby</t>
  </si>
  <si>
    <t>East Riding of YorkshireHedon</t>
  </si>
  <si>
    <t>E2001P071</t>
  </si>
  <si>
    <t>Hedon</t>
  </si>
  <si>
    <t>East Riding of YorkshireHessle</t>
  </si>
  <si>
    <t>E2001P072</t>
  </si>
  <si>
    <t>Hessle</t>
  </si>
  <si>
    <t>East Riding of YorkshireHollym</t>
  </si>
  <si>
    <t>E2001P073</t>
  </si>
  <si>
    <t>Hollym</t>
  </si>
  <si>
    <t>East Riding of YorkshireHolme on Spalding Moor</t>
  </si>
  <si>
    <t>E2001P074</t>
  </si>
  <si>
    <t>Holme on Spalding Moor</t>
  </si>
  <si>
    <t>East Riding of YorkshireHolmpton</t>
  </si>
  <si>
    <t>E2001P075</t>
  </si>
  <si>
    <t>Holmpton</t>
  </si>
  <si>
    <t>East Riding of YorkshireHook</t>
  </si>
  <si>
    <t>E2001P076</t>
  </si>
  <si>
    <t>East Riding of YorkshireHornsea</t>
  </si>
  <si>
    <t>E2001P077</t>
  </si>
  <si>
    <t>Hornsea</t>
  </si>
  <si>
    <t>East Riding of YorkshireHotham</t>
  </si>
  <si>
    <t>E2001P078</t>
  </si>
  <si>
    <t>Hotham</t>
  </si>
  <si>
    <t>East Riding of YorkshireHowden</t>
  </si>
  <si>
    <t>E2001P079</t>
  </si>
  <si>
    <t>Howden</t>
  </si>
  <si>
    <t>East Riding of YorkshireHuggate</t>
  </si>
  <si>
    <t>E2001P080</t>
  </si>
  <si>
    <t>Huggate</t>
  </si>
  <si>
    <t>East Riding of YorkshireHumbleton</t>
  </si>
  <si>
    <t>E2001P081</t>
  </si>
  <si>
    <t>Humbleton</t>
  </si>
  <si>
    <t>East Riding of YorkshireHutton Cranswick</t>
  </si>
  <si>
    <t>E2001P082</t>
  </si>
  <si>
    <t>Hutton Cranswick</t>
  </si>
  <si>
    <t>East Riding of YorkshireKelk</t>
  </si>
  <si>
    <t>E2001P083</t>
  </si>
  <si>
    <t>Kelk</t>
  </si>
  <si>
    <t>East Riding of YorkshireKeyingham</t>
  </si>
  <si>
    <t>E2001P084</t>
  </si>
  <si>
    <t>Keyingham</t>
  </si>
  <si>
    <t>East Riding of YorkshireKilham</t>
  </si>
  <si>
    <t>E2001P085</t>
  </si>
  <si>
    <t>Kilham</t>
  </si>
  <si>
    <t>East Riding of YorkshireKilpin</t>
  </si>
  <si>
    <t>E2001P086</t>
  </si>
  <si>
    <t>Kilpin</t>
  </si>
  <si>
    <t>East Riding of YorkshireKirk Ella and West Ella</t>
  </si>
  <si>
    <t>E2001P088</t>
  </si>
  <si>
    <t>Kirk Ella and West Ella</t>
  </si>
  <si>
    <t>East Riding of YorkshireKirkburn</t>
  </si>
  <si>
    <t>E2001P089</t>
  </si>
  <si>
    <t>Kirkburn</t>
  </si>
  <si>
    <t>East Riding of YorkshireLangtoft</t>
  </si>
  <si>
    <t>E2001P090</t>
  </si>
  <si>
    <t>Langtoft</t>
  </si>
  <si>
    <t>East Riding of YorkshireLaxton</t>
  </si>
  <si>
    <t>E2001P091</t>
  </si>
  <si>
    <t>Laxton</t>
  </si>
  <si>
    <t>East Riding of YorkshireLeconfield</t>
  </si>
  <si>
    <t>E2001P092</t>
  </si>
  <si>
    <t>Leconfield</t>
  </si>
  <si>
    <t>East Riding of YorkshireLeven</t>
  </si>
  <si>
    <t>E2001P093</t>
  </si>
  <si>
    <t>Leven</t>
  </si>
  <si>
    <t>East Riding of YorkshireLockington</t>
  </si>
  <si>
    <t>E2001P094</t>
  </si>
  <si>
    <t>Lockington</t>
  </si>
  <si>
    <t>East Riding of YorkshireLondesborough</t>
  </si>
  <si>
    <t>E2001P095</t>
  </si>
  <si>
    <t>Londesborough</t>
  </si>
  <si>
    <t>East Riding of YorkshireLund</t>
  </si>
  <si>
    <t>E2001P096</t>
  </si>
  <si>
    <t>Lund</t>
  </si>
  <si>
    <t>East Riding of YorkshireMappleton</t>
  </si>
  <si>
    <t>E2001P097</t>
  </si>
  <si>
    <t>Mappleton</t>
  </si>
  <si>
    <t>East Riding of YorkshireMarket Weighton</t>
  </si>
  <si>
    <t>E2001P098</t>
  </si>
  <si>
    <t>Market Weighton</t>
  </si>
  <si>
    <t>East Riding of YorkshireMelbourne</t>
  </si>
  <si>
    <t>E2001P099</t>
  </si>
  <si>
    <t>East Riding of YorkshireMiddleton on the Wolds</t>
  </si>
  <si>
    <t>E2001P100</t>
  </si>
  <si>
    <t>Middleton on the Wolds</t>
  </si>
  <si>
    <t>East Riding of YorkshireMillington</t>
  </si>
  <si>
    <t>E2001P101</t>
  </si>
  <si>
    <t>Millington</t>
  </si>
  <si>
    <t>East Riding of YorkshireMolescroft</t>
  </si>
  <si>
    <t>E2001P102</t>
  </si>
  <si>
    <t>Molescroft</t>
  </si>
  <si>
    <t>East Riding of YorkshireNafferton</t>
  </si>
  <si>
    <t>E2001P103</t>
  </si>
  <si>
    <t>Nafferton</t>
  </si>
  <si>
    <t>East Riding of YorkshireNewbald</t>
  </si>
  <si>
    <t>E2001P104</t>
  </si>
  <si>
    <t>Newbald</t>
  </si>
  <si>
    <t>East Riding of YorkshireNewport</t>
  </si>
  <si>
    <t>E2001P105</t>
  </si>
  <si>
    <t>East Riding of YorkshireNewton on Derwent</t>
  </si>
  <si>
    <t>E2001P106</t>
  </si>
  <si>
    <t>Newton on Derwent</t>
  </si>
  <si>
    <t>East Riding of YorkshireNorth Cave</t>
  </si>
  <si>
    <t>E2001P107</t>
  </si>
  <si>
    <t>North Cave</t>
  </si>
  <si>
    <t>East Riding of YorkshireNorth Dalton</t>
  </si>
  <si>
    <t>E2001P108</t>
  </si>
  <si>
    <t>North Dalton</t>
  </si>
  <si>
    <t>East Riding of YorkshireNorth Ferriby</t>
  </si>
  <si>
    <t>E2001P109</t>
  </si>
  <si>
    <t>North Ferriby</t>
  </si>
  <si>
    <t>East Riding of YorkshireNorth Frodingham</t>
  </si>
  <si>
    <t>E2001P110</t>
  </si>
  <si>
    <t>North Frodingham</t>
  </si>
  <si>
    <t>East Riding of YorkshireNunburnholme</t>
  </si>
  <si>
    <t>E2001P111</t>
  </si>
  <si>
    <t>Nunburnholme</t>
  </si>
  <si>
    <t>East Riding of YorkshireOttringham</t>
  </si>
  <si>
    <t>E2001P112</t>
  </si>
  <si>
    <t>Ottringham</t>
  </si>
  <si>
    <t>East Riding of YorkshirePatrington</t>
  </si>
  <si>
    <t>E2001P113</t>
  </si>
  <si>
    <t>Patrington</t>
  </si>
  <si>
    <t>East Riding of YorkshirePaull</t>
  </si>
  <si>
    <t>E2001P114</t>
  </si>
  <si>
    <t>Paull</t>
  </si>
  <si>
    <t>East Riding of YorkshirePocklington</t>
  </si>
  <si>
    <t>E2001P115</t>
  </si>
  <si>
    <t>Pocklington</t>
  </si>
  <si>
    <t>East Riding of YorkshirePollington</t>
  </si>
  <si>
    <t>E2001P116</t>
  </si>
  <si>
    <t>Pollington</t>
  </si>
  <si>
    <t>East Riding of YorkshirePreston</t>
  </si>
  <si>
    <t>E2001P117</t>
  </si>
  <si>
    <t>East Riding of YorkshireRawcliffe</t>
  </si>
  <si>
    <t>E2001P118</t>
  </si>
  <si>
    <t>Rawcliffe</t>
  </si>
  <si>
    <t>East Riding of YorkshireReedness</t>
  </si>
  <si>
    <t>E2001P119</t>
  </si>
  <si>
    <t>Reedness</t>
  </si>
  <si>
    <t>East Riding of YorkshireRimswell</t>
  </si>
  <si>
    <t>E2001P120</t>
  </si>
  <si>
    <t>Rimswell</t>
  </si>
  <si>
    <t>East Riding of YorkshireRise</t>
  </si>
  <si>
    <t>E2001P121</t>
  </si>
  <si>
    <t>Rise</t>
  </si>
  <si>
    <t>East Riding of YorkshireRiston</t>
  </si>
  <si>
    <t>E2001P122</t>
  </si>
  <si>
    <t>Riston</t>
  </si>
  <si>
    <t>East Riding of YorkshireRoos</t>
  </si>
  <si>
    <t>E2001P123</t>
  </si>
  <si>
    <t>Roos</t>
  </si>
  <si>
    <t>East Riding of YorkshireRowley</t>
  </si>
  <si>
    <t>E2001P125</t>
  </si>
  <si>
    <t>Rowley</t>
  </si>
  <si>
    <t>East Riding of YorkshireRudston</t>
  </si>
  <si>
    <t>E2001P126</t>
  </si>
  <si>
    <t>Rudston</t>
  </si>
  <si>
    <t>East Riding of YorkshireSancton</t>
  </si>
  <si>
    <t>E2001P127</t>
  </si>
  <si>
    <t>Sancton</t>
  </si>
  <si>
    <t>East Riding of YorkshireSeaton</t>
  </si>
  <si>
    <t>E2001P128</t>
  </si>
  <si>
    <t>East Riding of YorkshireSeaton Ross</t>
  </si>
  <si>
    <t>E2001P129</t>
  </si>
  <si>
    <t>Seaton Ross</t>
  </si>
  <si>
    <t>East Riding of YorkshireShiptonthorpe</t>
  </si>
  <si>
    <t>E2001P130</t>
  </si>
  <si>
    <t>Shiptonthorpe</t>
  </si>
  <si>
    <t>East Riding of YorkshireSigglesthorne</t>
  </si>
  <si>
    <t>E2001P131</t>
  </si>
  <si>
    <t>Sigglesthorne</t>
  </si>
  <si>
    <t>East Riding of YorkshireSkeffling</t>
  </si>
  <si>
    <t>E2001P132</t>
  </si>
  <si>
    <t>Skeffling</t>
  </si>
  <si>
    <t>East Riding of YorkshireSkerne and Wansford</t>
  </si>
  <si>
    <t>E2001P133</t>
  </si>
  <si>
    <t>Skerne and Wansford</t>
  </si>
  <si>
    <t>East Riding of YorkshireSkidby</t>
  </si>
  <si>
    <t>E2001P134</t>
  </si>
  <si>
    <t>Skidby</t>
  </si>
  <si>
    <t>East Riding of YorkshireSkipsea</t>
  </si>
  <si>
    <t>E2001P135</t>
  </si>
  <si>
    <t>Skipsea</t>
  </si>
  <si>
    <t>East Riding of YorkshireSkirlaugh</t>
  </si>
  <si>
    <t>E2001P136</t>
  </si>
  <si>
    <t>Skirlaugh</t>
  </si>
  <si>
    <t>East Riding of YorkshireSledmere and Croome</t>
  </si>
  <si>
    <t>E2001P138</t>
  </si>
  <si>
    <t>Sledmere and Croome</t>
  </si>
  <si>
    <t>East Riding of YorkshireSnaith (grouped with Cowick)</t>
  </si>
  <si>
    <t>E2001P139</t>
  </si>
  <si>
    <t>Snaith (grouped with Cowick)</t>
  </si>
  <si>
    <t>East Riding of YorkshireSouth Cave</t>
  </si>
  <si>
    <t>E2001P140</t>
  </si>
  <si>
    <t>South Cave</t>
  </si>
  <si>
    <t>East Riding of YorkshireNorth and South Cliffe</t>
  </si>
  <si>
    <t>E2001P141</t>
  </si>
  <si>
    <t>North and South Cliffe</t>
  </si>
  <si>
    <t>East Riding of YorkshireSpaldington</t>
  </si>
  <si>
    <t>E2001P142</t>
  </si>
  <si>
    <t>Spaldington</t>
  </si>
  <si>
    <t>East Riding of YorkshireSproatley</t>
  </si>
  <si>
    <t>E2001P143</t>
  </si>
  <si>
    <t>Sproatley</t>
  </si>
  <si>
    <t>East Riding of YorkshireStamford Bridge</t>
  </si>
  <si>
    <t>E2001P144</t>
  </si>
  <si>
    <t>Stamford Bridge</t>
  </si>
  <si>
    <t>East Riding of YorkshireSunk Island</t>
  </si>
  <si>
    <t>E2001P145</t>
  </si>
  <si>
    <t>Sunk Island</t>
  </si>
  <si>
    <t>East Riding of YorkshireSutton upon Derwent</t>
  </si>
  <si>
    <t>E2001P146</t>
  </si>
  <si>
    <t>Sutton upon Derwent</t>
  </si>
  <si>
    <t>East Riding of YorkshireSwanland</t>
  </si>
  <si>
    <t>E2001P147</t>
  </si>
  <si>
    <t>Swanland</t>
  </si>
  <si>
    <t>East Riding of YorkshireSwine</t>
  </si>
  <si>
    <t>E2001P148</t>
  </si>
  <si>
    <t>Swine</t>
  </si>
  <si>
    <t>East Riding of YorkshireSwinefleet</t>
  </si>
  <si>
    <t>E2001P149</t>
  </si>
  <si>
    <t>Swinefleet</t>
  </si>
  <si>
    <t>East Riding of YorkshireThorngumbald</t>
  </si>
  <si>
    <t>E2001P150</t>
  </si>
  <si>
    <t>Thorngumbald</t>
  </si>
  <si>
    <t>East Riding of YorkshireThornton</t>
  </si>
  <si>
    <t>E2001P151</t>
  </si>
  <si>
    <t>East Riding of YorkshireThwing and Octon</t>
  </si>
  <si>
    <t>E2001P152</t>
  </si>
  <si>
    <t>Thwing and Octon</t>
  </si>
  <si>
    <t>East Riding of YorkshireTibthorpe</t>
  </si>
  <si>
    <t>E2001P153</t>
  </si>
  <si>
    <t>Tibthorpe</t>
  </si>
  <si>
    <t>East Riding of YorkshireTickton (grouped with Routh)</t>
  </si>
  <si>
    <t>E2001P154</t>
  </si>
  <si>
    <t>Tickton (grouped with Routh)</t>
  </si>
  <si>
    <t>East Riding of YorkshireTwin Rivers</t>
  </si>
  <si>
    <t>E2001P155</t>
  </si>
  <si>
    <t>Twin Rivers</t>
  </si>
  <si>
    <t>East Riding of YorkshireLissett and Ulrome</t>
  </si>
  <si>
    <t>E2001P156</t>
  </si>
  <si>
    <t>Lissett and Ulrome</t>
  </si>
  <si>
    <t>East Riding of YorkshireWalkington</t>
  </si>
  <si>
    <t>E2001P157</t>
  </si>
  <si>
    <t>Walkington</t>
  </si>
  <si>
    <t>East Riding of YorkshireWarter</t>
  </si>
  <si>
    <t>E2001P158</t>
  </si>
  <si>
    <t>Warter</t>
  </si>
  <si>
    <t>East Riding of YorkshireWatton</t>
  </si>
  <si>
    <t>E2001P159</t>
  </si>
  <si>
    <t>Watton</t>
  </si>
  <si>
    <t>East Riding of YorkshireWawne</t>
  </si>
  <si>
    <t>E2001P160</t>
  </si>
  <si>
    <t>Wawne</t>
  </si>
  <si>
    <t>East Riding of YorkshireWelton</t>
  </si>
  <si>
    <t>E2001P161</t>
  </si>
  <si>
    <t>Welton</t>
  </si>
  <si>
    <t>East Riding of YorkshireWelwick</t>
  </si>
  <si>
    <t>E2001P162</t>
  </si>
  <si>
    <t>Welwick</t>
  </si>
  <si>
    <t>East Riding of YorkshireWetwang</t>
  </si>
  <si>
    <t>E2001P163</t>
  </si>
  <si>
    <t>Wetwang</t>
  </si>
  <si>
    <t>East Riding of YorkshireWilberfoss</t>
  </si>
  <si>
    <t>E2001P164</t>
  </si>
  <si>
    <t>Wilberfoss</t>
  </si>
  <si>
    <t>East Riding of YorkshireWillerby</t>
  </si>
  <si>
    <t>E2001P165</t>
  </si>
  <si>
    <t>Willerby</t>
  </si>
  <si>
    <t>East Riding of YorkshireWithernsea</t>
  </si>
  <si>
    <t>E2001P166</t>
  </si>
  <si>
    <t>Withernsea</t>
  </si>
  <si>
    <t>East Riding of YorkshireWithernwick</t>
  </si>
  <si>
    <t>E2001P167</t>
  </si>
  <si>
    <t>Withernwick</t>
  </si>
  <si>
    <t>East Riding of YorkshireWold Newton</t>
  </si>
  <si>
    <t>E2001P168</t>
  </si>
  <si>
    <t>Wold Newton</t>
  </si>
  <si>
    <t>East Riding of YorkshireWoodmansey</t>
  </si>
  <si>
    <t>E2001P169</t>
  </si>
  <si>
    <t>Woodmansey</t>
  </si>
  <si>
    <t>East Riding of YorkshireWressle</t>
  </si>
  <si>
    <t>E2001P170</t>
  </si>
  <si>
    <t>Wressle</t>
  </si>
  <si>
    <t>East Riding of YorkshireYapham cum Meltonby</t>
  </si>
  <si>
    <t>E2001P171</t>
  </si>
  <si>
    <t>Yapham cum Meltonby</t>
  </si>
  <si>
    <t>East Riding of YorkshireKirby Underdale (grouped with Bugthorpe)</t>
  </si>
  <si>
    <t>E2001P172</t>
  </si>
  <si>
    <t>Kirby Underdale (grouped with Bugthorpe)</t>
  </si>
  <si>
    <t>East Riding of YorkshireSkirpenbeck (grouped with Full Sutton)</t>
  </si>
  <si>
    <t>E2001P173</t>
  </si>
  <si>
    <t>Skirpenbeck (grouped with Full Sutton)</t>
  </si>
  <si>
    <t>East Riding of YorkshireRouth (grouped with Tickton)</t>
  </si>
  <si>
    <t>E2001P174</t>
  </si>
  <si>
    <t>Routh (grouped with Tickton)</t>
  </si>
  <si>
    <t>East Riding of YorkshireCowick (grouped with Snaith)</t>
  </si>
  <si>
    <t>E2001P175</t>
  </si>
  <si>
    <t>Cowick (grouped with Snaith)</t>
  </si>
  <si>
    <t>North East LincolnshireAshby cum Fenby</t>
  </si>
  <si>
    <t>E2003P001</t>
  </si>
  <si>
    <t>Ashby cum Fenby</t>
  </si>
  <si>
    <t>North East LincolnshireAylesby</t>
  </si>
  <si>
    <t>E2003P002</t>
  </si>
  <si>
    <t>Aylesby</t>
  </si>
  <si>
    <t>North East LincolnshireBarnoldby le Beck</t>
  </si>
  <si>
    <t>E2003P003</t>
  </si>
  <si>
    <t>Barnoldby le Beck</t>
  </si>
  <si>
    <t>North East LincolnshireBeelsby</t>
  </si>
  <si>
    <t>E2003P004</t>
  </si>
  <si>
    <t>Beelsby</t>
  </si>
  <si>
    <t>North East LincolnshireBradley</t>
  </si>
  <si>
    <t>E2003P005</t>
  </si>
  <si>
    <t>North East LincolnshireBrigsley</t>
  </si>
  <si>
    <t>E2003P006</t>
  </si>
  <si>
    <t>Brigsley</t>
  </si>
  <si>
    <t>North East LincolnshireEast Ravendale</t>
  </si>
  <si>
    <t>E2003P007</t>
  </si>
  <si>
    <t>East Ravendale</t>
  </si>
  <si>
    <t>North East LincolnshireGreat Coates</t>
  </si>
  <si>
    <t>E2003P008</t>
  </si>
  <si>
    <t>Great Coates</t>
  </si>
  <si>
    <t>North East LincolnshireHabrough</t>
  </si>
  <si>
    <t>E2003P009</t>
  </si>
  <si>
    <t>Habrough</t>
  </si>
  <si>
    <t>North East LincolnshireHatcliffe</t>
  </si>
  <si>
    <t>E2003P010</t>
  </si>
  <si>
    <t>Hatcliffe</t>
  </si>
  <si>
    <t>North East LincolnshireHawerby cum Beesby</t>
  </si>
  <si>
    <t>E2003P011</t>
  </si>
  <si>
    <t>Hawerby cum Beesby</t>
  </si>
  <si>
    <t>North East LincolnshireHealing</t>
  </si>
  <si>
    <t>E2003P012</t>
  </si>
  <si>
    <t>Healing</t>
  </si>
  <si>
    <t>North East LincolnshireHumberston</t>
  </si>
  <si>
    <t>E2003P013</t>
  </si>
  <si>
    <t>Humberston</t>
  </si>
  <si>
    <t>North East LincolnshireImmingham</t>
  </si>
  <si>
    <t>E2003P014</t>
  </si>
  <si>
    <t>Immingham</t>
  </si>
  <si>
    <t>North East LincolnshireIrby</t>
  </si>
  <si>
    <t>E2003P015</t>
  </si>
  <si>
    <t>Irby</t>
  </si>
  <si>
    <t>North East LincolnshireLaceby</t>
  </si>
  <si>
    <t>E2003P016</t>
  </si>
  <si>
    <t>Laceby</t>
  </si>
  <si>
    <t>North East LincolnshireNew Waltham</t>
  </si>
  <si>
    <t>E2003P017</t>
  </si>
  <si>
    <t>New Waltham</t>
  </si>
  <si>
    <t>North East LincolnshireStallingborough</t>
  </si>
  <si>
    <t>E2003P018</t>
  </si>
  <si>
    <t>Stallingborough</t>
  </si>
  <si>
    <t>North East LincolnshireWaltham</t>
  </si>
  <si>
    <t>E2003P019</t>
  </si>
  <si>
    <t>Waltham</t>
  </si>
  <si>
    <t>North East LincolnshireWest Ravendale</t>
  </si>
  <si>
    <t>E2003P020</t>
  </si>
  <si>
    <t>West Ravendale</t>
  </si>
  <si>
    <t>North East LincolnshireWold Newton</t>
  </si>
  <si>
    <t>E2003P021</t>
  </si>
  <si>
    <t>North East LincolnshireCleethorpes</t>
  </si>
  <si>
    <t>E2003P022</t>
  </si>
  <si>
    <t>Cleethorpes</t>
  </si>
  <si>
    <t>North East LincolnshireGrimsby</t>
  </si>
  <si>
    <t>E2003P023</t>
  </si>
  <si>
    <t>Grimsby</t>
  </si>
  <si>
    <t>North LincolnshireAlkborough</t>
  </si>
  <si>
    <t>E2004P001</t>
  </si>
  <si>
    <t>Alkborough</t>
  </si>
  <si>
    <t>North LincolnshireAmcotts</t>
  </si>
  <si>
    <t>E2004P002</t>
  </si>
  <si>
    <t>Amcotts</t>
  </si>
  <si>
    <t>North LincolnshireAppleby</t>
  </si>
  <si>
    <t>E2004P003</t>
  </si>
  <si>
    <t>Appleby</t>
  </si>
  <si>
    <t>North LincolnshireAshby Parkland</t>
  </si>
  <si>
    <t>E2004P004</t>
  </si>
  <si>
    <t>Ashby Parkland</t>
  </si>
  <si>
    <t>North LincolnshireBarnetby le Wold</t>
  </si>
  <si>
    <t>E2004P005</t>
  </si>
  <si>
    <t>Barnetby le Wold</t>
  </si>
  <si>
    <t>North LincolnshireBarrow upon Humber</t>
  </si>
  <si>
    <t>E2004P006</t>
  </si>
  <si>
    <t>Barrow upon Humber</t>
  </si>
  <si>
    <t>North LincolnshireBarton upon Humber</t>
  </si>
  <si>
    <t>E2004P007</t>
  </si>
  <si>
    <t>Barton upon Humber</t>
  </si>
  <si>
    <t>North LincolnshireBelton</t>
  </si>
  <si>
    <t>E2004P008</t>
  </si>
  <si>
    <t>Belton</t>
  </si>
  <si>
    <t>North LincolnshireBonby</t>
  </si>
  <si>
    <t>E2004P009</t>
  </si>
  <si>
    <t>Bonby</t>
  </si>
  <si>
    <t>North LincolnshireBottesford</t>
  </si>
  <si>
    <t>E2004P010</t>
  </si>
  <si>
    <t>Bottesford</t>
  </si>
  <si>
    <t>North LincolnshireBrigg</t>
  </si>
  <si>
    <t>E2004P011</t>
  </si>
  <si>
    <t>Brigg</t>
  </si>
  <si>
    <t>North LincolnshireBroughton</t>
  </si>
  <si>
    <t>E2004P012</t>
  </si>
  <si>
    <t>North LincolnshireBurringham</t>
  </si>
  <si>
    <t>E2004P013</t>
  </si>
  <si>
    <t>Burringham</t>
  </si>
  <si>
    <t>North LincolnshireBurton upon Stather</t>
  </si>
  <si>
    <t>E2004P014</t>
  </si>
  <si>
    <t>Burton upon Stather</t>
  </si>
  <si>
    <t>North LincolnshireCadney</t>
  </si>
  <si>
    <t>E2004P015</t>
  </si>
  <si>
    <t>Cadney</t>
  </si>
  <si>
    <t>North LincolnshireCrowle and Ealand</t>
  </si>
  <si>
    <t>E2004P016</t>
  </si>
  <si>
    <t>Crowle and Ealand</t>
  </si>
  <si>
    <t>North LincolnshireEast Butterwick</t>
  </si>
  <si>
    <t>E2004P018</t>
  </si>
  <si>
    <t>East Butterwick</t>
  </si>
  <si>
    <t>North LincolnshireEast Halton</t>
  </si>
  <si>
    <t>E2004P019</t>
  </si>
  <si>
    <t>East Halton</t>
  </si>
  <si>
    <t>North LincolnshireEastoft</t>
  </si>
  <si>
    <t>E2004P020</t>
  </si>
  <si>
    <t>Eastoft</t>
  </si>
  <si>
    <t>North LincolnshireElsham</t>
  </si>
  <si>
    <t>E2004P021</t>
  </si>
  <si>
    <t>Elsham</t>
  </si>
  <si>
    <t>North LincolnshireEpworth</t>
  </si>
  <si>
    <t>E2004P022</t>
  </si>
  <si>
    <t>Epworth</t>
  </si>
  <si>
    <t>North LincolnshireFlixborough</t>
  </si>
  <si>
    <t>E2004P023</t>
  </si>
  <si>
    <t>Flixborough</t>
  </si>
  <si>
    <t>North LincolnshireGarthorpe and Fockerby</t>
  </si>
  <si>
    <t>E2004P024</t>
  </si>
  <si>
    <t>Garthorpe and Fockerby</t>
  </si>
  <si>
    <t>North LincolnshireGoxhill</t>
  </si>
  <si>
    <t>E2004P025</t>
  </si>
  <si>
    <t>Goxhill</t>
  </si>
  <si>
    <t>North LincolnshireGunness</t>
  </si>
  <si>
    <t>E2004P026</t>
  </si>
  <si>
    <t>Gunness</t>
  </si>
  <si>
    <t>North LincolnshireHaxey</t>
  </si>
  <si>
    <t>E2004P027</t>
  </si>
  <si>
    <t>Haxey</t>
  </si>
  <si>
    <t>North LincolnshireHibaldstow</t>
  </si>
  <si>
    <t>E2004P028</t>
  </si>
  <si>
    <t>Hibaldstow</t>
  </si>
  <si>
    <t>North LincolnshireHorkstow</t>
  </si>
  <si>
    <t>E2004P030</t>
  </si>
  <si>
    <t>Horkstow</t>
  </si>
  <si>
    <t>North LincolnshireKeadby with Althorpe</t>
  </si>
  <si>
    <t>E2004P031</t>
  </si>
  <si>
    <t>Keadby with Althorpe</t>
  </si>
  <si>
    <t>North LincolnshireKirmington</t>
  </si>
  <si>
    <t>E2004P032</t>
  </si>
  <si>
    <t>Kirmington</t>
  </si>
  <si>
    <t>North LincolnshireKirton in Lindsey</t>
  </si>
  <si>
    <t>E2004P033</t>
  </si>
  <si>
    <t>Kirton in Lindsey</t>
  </si>
  <si>
    <t>North LincolnshireLuddington and Haldenby</t>
  </si>
  <si>
    <t>E2004P034</t>
  </si>
  <si>
    <t>Luddington and Haldenby</t>
  </si>
  <si>
    <t>North LincolnshireManton</t>
  </si>
  <si>
    <t>E2004P035</t>
  </si>
  <si>
    <t>Manton</t>
  </si>
  <si>
    <t>North LincolnshireMelton Ross</t>
  </si>
  <si>
    <t>E2004P036</t>
  </si>
  <si>
    <t>Melton Ross</t>
  </si>
  <si>
    <t>North LincolnshireMessingham</t>
  </si>
  <si>
    <t>E2004P037</t>
  </si>
  <si>
    <t>Messingham</t>
  </si>
  <si>
    <t>North LincolnshireNew Holland</t>
  </si>
  <si>
    <t>E2004P038</t>
  </si>
  <si>
    <t>New Holland</t>
  </si>
  <si>
    <t>North LincolnshireNorth Killingholme</t>
  </si>
  <si>
    <t>E2004P039</t>
  </si>
  <si>
    <t>North Killingholme</t>
  </si>
  <si>
    <t>North LincolnshireOwston Ferry</t>
  </si>
  <si>
    <t>E2004P040</t>
  </si>
  <si>
    <t>Owston Ferry</t>
  </si>
  <si>
    <t>North LincolnshireRedbourne</t>
  </si>
  <si>
    <t>E2004P041</t>
  </si>
  <si>
    <t>Redbourne</t>
  </si>
  <si>
    <t>North LincolnshireRoxby cum Risby</t>
  </si>
  <si>
    <t>E2004P042</t>
  </si>
  <si>
    <t>Roxby cum Risby</t>
  </si>
  <si>
    <t>North LincolnshireSaxby All Saints</t>
  </si>
  <si>
    <t>E2004P043</t>
  </si>
  <si>
    <t>Saxby All Saints</t>
  </si>
  <si>
    <t>North LincolnshireScawby</t>
  </si>
  <si>
    <t>E2004P044</t>
  </si>
  <si>
    <t>Scawby</t>
  </si>
  <si>
    <t>North LincolnshireSouth Ferriby</t>
  </si>
  <si>
    <t>E2004P045</t>
  </si>
  <si>
    <t>South Ferriby</t>
  </si>
  <si>
    <t>North LincolnshireSouth Killingholme</t>
  </si>
  <si>
    <t>E2004P046</t>
  </si>
  <si>
    <t>South Killingholme</t>
  </si>
  <si>
    <t>North LincolnshireThornton Curtis</t>
  </si>
  <si>
    <t>E2004P047</t>
  </si>
  <si>
    <t>Thornton Curtis</t>
  </si>
  <si>
    <t>North LincolnshireUlceby</t>
  </si>
  <si>
    <t>E2004P048</t>
  </si>
  <si>
    <t>Ulceby</t>
  </si>
  <si>
    <t>North LincolnshireWest Butterwick</t>
  </si>
  <si>
    <t>E2004P049</t>
  </si>
  <si>
    <t>West Butterwick</t>
  </si>
  <si>
    <t>North LincolnshireWest Halton</t>
  </si>
  <si>
    <t>E2004P050</t>
  </si>
  <si>
    <t>West Halton</t>
  </si>
  <si>
    <t>North LincolnshireWhitton</t>
  </si>
  <si>
    <t>E2004P051</t>
  </si>
  <si>
    <t>Whitton</t>
  </si>
  <si>
    <t>North LincolnshireWinteringham</t>
  </si>
  <si>
    <t>E2004P052</t>
  </si>
  <si>
    <t>Winteringham</t>
  </si>
  <si>
    <t>North LincolnshireWinterton</t>
  </si>
  <si>
    <t>E2004P053</t>
  </si>
  <si>
    <t>Winterton</t>
  </si>
  <si>
    <t>North LincolnshireWootton</t>
  </si>
  <si>
    <t>E2004P054</t>
  </si>
  <si>
    <t>North LincolnshireWorlaby</t>
  </si>
  <si>
    <t>E2004P055</t>
  </si>
  <si>
    <t>Worlaby</t>
  </si>
  <si>
    <t>North LincolnshireWrawby</t>
  </si>
  <si>
    <t>E2004P056</t>
  </si>
  <si>
    <t>Wrawby</t>
  </si>
  <si>
    <t>North LincolnshireWroot</t>
  </si>
  <si>
    <t>E2004P057</t>
  </si>
  <si>
    <t>Wroot</t>
  </si>
  <si>
    <t>North LincolnshireScunthorpe Charter Trustees</t>
  </si>
  <si>
    <t>E2004P060</t>
  </si>
  <si>
    <t>Scunthorpe Charter Trustees</t>
  </si>
  <si>
    <t>Isle of WightArreton</t>
  </si>
  <si>
    <t>E2101P001</t>
  </si>
  <si>
    <t>Arreton</t>
  </si>
  <si>
    <t>Isle of WightBembridge</t>
  </si>
  <si>
    <t>E2101P002</t>
  </si>
  <si>
    <t>Bembridge</t>
  </si>
  <si>
    <t>Isle of WightBrading</t>
  </si>
  <si>
    <t>E2101P003</t>
  </si>
  <si>
    <t>Brading</t>
  </si>
  <si>
    <t>Isle of WightBrighstone</t>
  </si>
  <si>
    <t>E2101P004</t>
  </si>
  <si>
    <t>Brighstone</t>
  </si>
  <si>
    <t>Isle of WightCalbourne</t>
  </si>
  <si>
    <t>E2101P005</t>
  </si>
  <si>
    <t>Calbourne</t>
  </si>
  <si>
    <t>Isle of WightChale</t>
  </si>
  <si>
    <t>E2101P006</t>
  </si>
  <si>
    <t>Chale</t>
  </si>
  <si>
    <t>Isle of WightChillerton and Gatcombe</t>
  </si>
  <si>
    <t>E2101P007</t>
  </si>
  <si>
    <t>Chillerton and Gatcombe</t>
  </si>
  <si>
    <t>Isle of WightCowes</t>
  </si>
  <si>
    <t>E2101P008</t>
  </si>
  <si>
    <t>Cowes</t>
  </si>
  <si>
    <t>Isle of WightEast Cowes</t>
  </si>
  <si>
    <t>E2101P009</t>
  </si>
  <si>
    <t>East Cowes</t>
  </si>
  <si>
    <t>Isle of WightFishbourne</t>
  </si>
  <si>
    <t>E2101P010</t>
  </si>
  <si>
    <t>Fishbourne</t>
  </si>
  <si>
    <t>Isle of WightFreshwater</t>
  </si>
  <si>
    <t>E2101P011</t>
  </si>
  <si>
    <t>Freshwater</t>
  </si>
  <si>
    <t>Isle of WightGodshill</t>
  </si>
  <si>
    <t>E2101P012</t>
  </si>
  <si>
    <t>Isle of WightGurnard</t>
  </si>
  <si>
    <t>E2101P013</t>
  </si>
  <si>
    <t>Gurnard</t>
  </si>
  <si>
    <t>Isle of WightHavenstreet and Ashey</t>
  </si>
  <si>
    <t>E2101P014</t>
  </si>
  <si>
    <t>Havenstreet and Ashey</t>
  </si>
  <si>
    <t>Isle of WightLake</t>
  </si>
  <si>
    <t>E2101P015</t>
  </si>
  <si>
    <t>Lake</t>
  </si>
  <si>
    <t>Isle of WightNettlestone and Seaview</t>
  </si>
  <si>
    <t>E2101P016</t>
  </si>
  <si>
    <t>Nettlestone and Seaview</t>
  </si>
  <si>
    <t>Isle of WightNewchurch</t>
  </si>
  <si>
    <t>E2101P017</t>
  </si>
  <si>
    <t>Newchurch</t>
  </si>
  <si>
    <t>Isle of WightNewport</t>
  </si>
  <si>
    <t>E2101P018</t>
  </si>
  <si>
    <t>Isle of WightNiton and Whitwell</t>
  </si>
  <si>
    <t>E2101P019</t>
  </si>
  <si>
    <t>Niton and Whitwell</t>
  </si>
  <si>
    <t>Isle of WightNorthwood</t>
  </si>
  <si>
    <t>E2101P020</t>
  </si>
  <si>
    <t>Northwood</t>
  </si>
  <si>
    <t>Isle of WightRookley</t>
  </si>
  <si>
    <t>E2101P021</t>
  </si>
  <si>
    <t>Rookley</t>
  </si>
  <si>
    <t>Isle of WightRyde</t>
  </si>
  <si>
    <t>E2101P022</t>
  </si>
  <si>
    <t>Ryde</t>
  </si>
  <si>
    <t>Isle of WightSandown</t>
  </si>
  <si>
    <t>E2101P023</t>
  </si>
  <si>
    <t>Sandown</t>
  </si>
  <si>
    <t>Isle of WightShalfleet</t>
  </si>
  <si>
    <t>E2101P024</t>
  </si>
  <si>
    <t>Shalfleet</t>
  </si>
  <si>
    <t>Isle of WightShanklin</t>
  </si>
  <si>
    <t>E2101P025</t>
  </si>
  <si>
    <t>Shanklin</t>
  </si>
  <si>
    <t>Isle of WightShorwell</t>
  </si>
  <si>
    <t>E2101P026</t>
  </si>
  <si>
    <t>Shorwell</t>
  </si>
  <si>
    <t>Isle of WightSt Helens</t>
  </si>
  <si>
    <t>E2101P027</t>
  </si>
  <si>
    <t>Isle of WightTotland</t>
  </si>
  <si>
    <t>E2101P028</t>
  </si>
  <si>
    <t>Totland</t>
  </si>
  <si>
    <t>Isle of WightVentnor</t>
  </si>
  <si>
    <t>E2101P029</t>
  </si>
  <si>
    <t>Ventnor</t>
  </si>
  <si>
    <t>Isle of WightWhippingham</t>
  </si>
  <si>
    <t>E2101P030</t>
  </si>
  <si>
    <t>Whippingham</t>
  </si>
  <si>
    <t>Isle of WightWootton Bridge</t>
  </si>
  <si>
    <t>E2101P031</t>
  </si>
  <si>
    <t>Wootton Bridge</t>
  </si>
  <si>
    <t>Isle of WightWroxall</t>
  </si>
  <si>
    <t>E2101P032</t>
  </si>
  <si>
    <t>Wroxall</t>
  </si>
  <si>
    <t>Isle of WightYarmouth</t>
  </si>
  <si>
    <t>E2101P033</t>
  </si>
  <si>
    <t>Yarmouth</t>
  </si>
  <si>
    <t>MedwayAllhallows</t>
  </si>
  <si>
    <t>E2201P001</t>
  </si>
  <si>
    <t>MedwayCliffe and Cliffe Woods</t>
  </si>
  <si>
    <t>E2201P002</t>
  </si>
  <si>
    <t>Cliffe and Cliffe Woods</t>
  </si>
  <si>
    <t>MedwayCooling</t>
  </si>
  <si>
    <t>E2201P003</t>
  </si>
  <si>
    <t>Cooling</t>
  </si>
  <si>
    <t>MedwayCuxton</t>
  </si>
  <si>
    <t>E2201P004</t>
  </si>
  <si>
    <t>Cuxton</t>
  </si>
  <si>
    <t>MedwayFrindsbury Extra</t>
  </si>
  <si>
    <t>E2201P005</t>
  </si>
  <si>
    <t>Frindsbury Extra</t>
  </si>
  <si>
    <t>MedwayHalling</t>
  </si>
  <si>
    <t>E2201P006</t>
  </si>
  <si>
    <t>Halling</t>
  </si>
  <si>
    <t>MedwayHigh Halstow</t>
  </si>
  <si>
    <t>E2201P007</t>
  </si>
  <si>
    <t>High Halstow</t>
  </si>
  <si>
    <t>MedwayHoo St. Werburgh &amp; Chattenden</t>
  </si>
  <si>
    <t>E2201P008</t>
  </si>
  <si>
    <t>Hoo St. Werburgh &amp; Chattenden</t>
  </si>
  <si>
    <t>MedwayIsle of Grain</t>
  </si>
  <si>
    <t>E2201P009</t>
  </si>
  <si>
    <t>Isle of Grain</t>
  </si>
  <si>
    <t>MedwaySt. Mary Hoo</t>
  </si>
  <si>
    <t>E2201P010</t>
  </si>
  <si>
    <t>St. Mary Hoo</t>
  </si>
  <si>
    <t>MedwayStoke</t>
  </si>
  <si>
    <t>E2201P011</t>
  </si>
  <si>
    <t>AshfordAldington &amp; Bonnigton</t>
  </si>
  <si>
    <t>E2231P001</t>
  </si>
  <si>
    <t>Aldington &amp; Bonnigton</t>
  </si>
  <si>
    <t>AshfordAppledore</t>
  </si>
  <si>
    <t>E2231P002</t>
  </si>
  <si>
    <t>Appledore</t>
  </si>
  <si>
    <t>AshfordBethersden</t>
  </si>
  <si>
    <t>E2231P003</t>
  </si>
  <si>
    <t>Bethersden</t>
  </si>
  <si>
    <t>AshfordBiddenden</t>
  </si>
  <si>
    <t>E2231P004</t>
  </si>
  <si>
    <t>Biddenden</t>
  </si>
  <si>
    <t>AshfordBilsington</t>
  </si>
  <si>
    <t>E2231P005</t>
  </si>
  <si>
    <t>Bilsington</t>
  </si>
  <si>
    <t>AshfordBoughton Aluph &amp; Eastwell</t>
  </si>
  <si>
    <t>E2231P006</t>
  </si>
  <si>
    <t>Boughton Aluph &amp; Eastwell</t>
  </si>
  <si>
    <t>AshfordBrabourne</t>
  </si>
  <si>
    <t>E2231P007</t>
  </si>
  <si>
    <t>Brabourne</t>
  </si>
  <si>
    <t>AshfordBrook</t>
  </si>
  <si>
    <t>E2231P008</t>
  </si>
  <si>
    <t>Brook</t>
  </si>
  <si>
    <t>AshfordChallock</t>
  </si>
  <si>
    <t>E2231P009</t>
  </si>
  <si>
    <t>Challock</t>
  </si>
  <si>
    <t>AshfordCharing</t>
  </si>
  <si>
    <t>E2231P010</t>
  </si>
  <si>
    <t>Charing</t>
  </si>
  <si>
    <t>AshfordChilham</t>
  </si>
  <si>
    <t>E2231P011</t>
  </si>
  <si>
    <t>Chilham</t>
  </si>
  <si>
    <t>AshfordCrundale</t>
  </si>
  <si>
    <t>E2231P012</t>
  </si>
  <si>
    <t>Crundale</t>
  </si>
  <si>
    <t>AshfordEgerton</t>
  </si>
  <si>
    <t>E2231P013</t>
  </si>
  <si>
    <t>Egerton</t>
  </si>
  <si>
    <t>AshfordGodmersham</t>
  </si>
  <si>
    <t>E2231P014</t>
  </si>
  <si>
    <t>Godmersham</t>
  </si>
  <si>
    <t>AshfordGreat Chart with Singleton</t>
  </si>
  <si>
    <t>E2231P015</t>
  </si>
  <si>
    <t>Great Chart with Singleton</t>
  </si>
  <si>
    <t>AshfordHastingleigh</t>
  </si>
  <si>
    <t>E2231P016</t>
  </si>
  <si>
    <t>Hastingleigh</t>
  </si>
  <si>
    <t>AshfordHigh Halden</t>
  </si>
  <si>
    <t>E2231P017</t>
  </si>
  <si>
    <t>High Halden</t>
  </si>
  <si>
    <t>AshfordHothfield</t>
  </si>
  <si>
    <t>E2231P018</t>
  </si>
  <si>
    <t>Hothfield</t>
  </si>
  <si>
    <t>AshfordKenardington</t>
  </si>
  <si>
    <t>E2231P019</t>
  </si>
  <si>
    <t>Kenardington</t>
  </si>
  <si>
    <t>AshfordKennington</t>
  </si>
  <si>
    <t>E2231P020</t>
  </si>
  <si>
    <t>Kennington</t>
  </si>
  <si>
    <t>AshfordKingsnorth</t>
  </si>
  <si>
    <t>E2231P021</t>
  </si>
  <si>
    <t>Kingsnorth</t>
  </si>
  <si>
    <t>AshfordLittle Chart</t>
  </si>
  <si>
    <t>E2231P022</t>
  </si>
  <si>
    <t>Little Chart</t>
  </si>
  <si>
    <t>AshfordMolash</t>
  </si>
  <si>
    <t>E2231P024</t>
  </si>
  <si>
    <t>Molash</t>
  </si>
  <si>
    <t>AshfordNewenden</t>
  </si>
  <si>
    <t>E2231P025</t>
  </si>
  <si>
    <t>Newenden</t>
  </si>
  <si>
    <t>AshfordOrlestone</t>
  </si>
  <si>
    <t>E2231P026</t>
  </si>
  <si>
    <t>Orlestone</t>
  </si>
  <si>
    <t>AshfordPluckley</t>
  </si>
  <si>
    <t>E2231P027</t>
  </si>
  <si>
    <t>Pluckley</t>
  </si>
  <si>
    <t>AshfordRolvenden</t>
  </si>
  <si>
    <t>E2231P028</t>
  </si>
  <si>
    <t>Rolvenden</t>
  </si>
  <si>
    <t>AshfordRuckinge</t>
  </si>
  <si>
    <t>E2231P029</t>
  </si>
  <si>
    <t>Ruckinge</t>
  </si>
  <si>
    <t>AshfordShadoxhurst</t>
  </si>
  <si>
    <t>E2231P030</t>
  </si>
  <si>
    <t>Shadoxhurst</t>
  </si>
  <si>
    <t>AshfordSmarden</t>
  </si>
  <si>
    <t>E2231P031</t>
  </si>
  <si>
    <t>Smarden</t>
  </si>
  <si>
    <t>AshfordSmeeth</t>
  </si>
  <si>
    <t>E2231P032</t>
  </si>
  <si>
    <t>Smeeth</t>
  </si>
  <si>
    <t>AshfordSouth Willesborough and Newtown</t>
  </si>
  <si>
    <t>E2231P033</t>
  </si>
  <si>
    <t>South Willesborough and Newtown</t>
  </si>
  <si>
    <t>AshfordStanhope</t>
  </si>
  <si>
    <t>E2231P034</t>
  </si>
  <si>
    <t>AshfordStone cum Ebony</t>
  </si>
  <si>
    <t>E2231P035</t>
  </si>
  <si>
    <t>Stone cum Ebony</t>
  </si>
  <si>
    <t>AshfordTenterden</t>
  </si>
  <si>
    <t>E2231P036</t>
  </si>
  <si>
    <t>Tenterden</t>
  </si>
  <si>
    <t>AshfordWarehorne</t>
  </si>
  <si>
    <t>E2231P037</t>
  </si>
  <si>
    <t>Warehorne</t>
  </si>
  <si>
    <t>AshfordWestwell</t>
  </si>
  <si>
    <t>E2231P038</t>
  </si>
  <si>
    <t>Westwell</t>
  </si>
  <si>
    <t>AshfordWittersham</t>
  </si>
  <si>
    <t>E2231P039</t>
  </si>
  <si>
    <t>Wittersham</t>
  </si>
  <si>
    <t>AshfordWoodchurch</t>
  </si>
  <si>
    <t>E2231P040</t>
  </si>
  <si>
    <t>Woodchurch</t>
  </si>
  <si>
    <t>AshfordWye with Hinxhill</t>
  </si>
  <si>
    <t>E2231P041</t>
  </si>
  <si>
    <t>Wye with Hinxhill</t>
  </si>
  <si>
    <t>AshfordMersham</t>
  </si>
  <si>
    <t>E2231P042</t>
  </si>
  <si>
    <t>Mersham</t>
  </si>
  <si>
    <t>AshfordSevington</t>
  </si>
  <si>
    <t>E2231P043</t>
  </si>
  <si>
    <t>Sevington</t>
  </si>
  <si>
    <t>CanterburyAdisham</t>
  </si>
  <si>
    <t>E2232P001</t>
  </si>
  <si>
    <t>Adisham</t>
  </si>
  <si>
    <t>CanterburyBarham</t>
  </si>
  <si>
    <t>E2232P002</t>
  </si>
  <si>
    <t>Barham</t>
  </si>
  <si>
    <t>CanterburyBekesbourne with Patrixbourne</t>
  </si>
  <si>
    <t>E2232P003</t>
  </si>
  <si>
    <t>Bekesbourne with Patrixbourne</t>
  </si>
  <si>
    <t>CanterburyBishopsbourne</t>
  </si>
  <si>
    <t>E2232P004</t>
  </si>
  <si>
    <t>Bishopsbourne</t>
  </si>
  <si>
    <t>CanterburyBridge</t>
  </si>
  <si>
    <t>E2232P005</t>
  </si>
  <si>
    <t>Bridge</t>
  </si>
  <si>
    <t>CanterburyChartham</t>
  </si>
  <si>
    <t>E2232P006</t>
  </si>
  <si>
    <t>Chartham</t>
  </si>
  <si>
    <t>CanterburyChestfield</t>
  </si>
  <si>
    <t>E2232P007</t>
  </si>
  <si>
    <t>Chestfield</t>
  </si>
  <si>
    <t>CanterburyChislet</t>
  </si>
  <si>
    <t>E2232P008</t>
  </si>
  <si>
    <t>Chislet</t>
  </si>
  <si>
    <t>CanterburyFordwich</t>
  </si>
  <si>
    <t>E2232P009</t>
  </si>
  <si>
    <t>Fordwich</t>
  </si>
  <si>
    <t>CanterburyHackington</t>
  </si>
  <si>
    <t>E2232P010</t>
  </si>
  <si>
    <t>Hackington</t>
  </si>
  <si>
    <t>CanterburyHarbledown and Rough Common</t>
  </si>
  <si>
    <t>E2232P011</t>
  </si>
  <si>
    <t>Harbledown and Rough Common</t>
  </si>
  <si>
    <t>CanterburyHerne and Broomfield</t>
  </si>
  <si>
    <t>E2232P012</t>
  </si>
  <si>
    <t>Herne and Broomfield</t>
  </si>
  <si>
    <t>CanterburyHersden</t>
  </si>
  <si>
    <t>E2232P013</t>
  </si>
  <si>
    <t>Hersden</t>
  </si>
  <si>
    <t>CanterburyHoath</t>
  </si>
  <si>
    <t>E2232P014</t>
  </si>
  <si>
    <t>Hoath</t>
  </si>
  <si>
    <t>CanterburyIckham</t>
  </si>
  <si>
    <t>E2232P015</t>
  </si>
  <si>
    <t>Ickham</t>
  </si>
  <si>
    <t>CanterburyKingston</t>
  </si>
  <si>
    <t>E2232P016</t>
  </si>
  <si>
    <t>CanterburyLittlebourne</t>
  </si>
  <si>
    <t>E2232P017</t>
  </si>
  <si>
    <t>Littlebourne</t>
  </si>
  <si>
    <t>CanterburyLower Hardres</t>
  </si>
  <si>
    <t>E2232P018</t>
  </si>
  <si>
    <t>Lower Hardres</t>
  </si>
  <si>
    <t>CanterburyPetham</t>
  </si>
  <si>
    <t>E2232P019</t>
  </si>
  <si>
    <t>Petham</t>
  </si>
  <si>
    <t>CanterburySt. Cosmus and St. Damian in the Blean</t>
  </si>
  <si>
    <t>E2232P020</t>
  </si>
  <si>
    <t>St. Cosmus and St. Damian in the Blean</t>
  </si>
  <si>
    <t>CanterburySturry</t>
  </si>
  <si>
    <t>E2232P021</t>
  </si>
  <si>
    <t>Sturry</t>
  </si>
  <si>
    <t>CanterburyThanington Without</t>
  </si>
  <si>
    <t>E2232P022</t>
  </si>
  <si>
    <t>Thanington Without</t>
  </si>
  <si>
    <t>CanterburyUpper Hardres</t>
  </si>
  <si>
    <t>E2232P023</t>
  </si>
  <si>
    <t>Upper Hardres</t>
  </si>
  <si>
    <t>CanterburyWaltham</t>
  </si>
  <si>
    <t>E2232P024</t>
  </si>
  <si>
    <t>CanterburyWestbere</t>
  </si>
  <si>
    <t>E2232P025</t>
  </si>
  <si>
    <t>Westbere</t>
  </si>
  <si>
    <t>CanterburyWickhambreaux</t>
  </si>
  <si>
    <t>E2232P026</t>
  </si>
  <si>
    <t>Wickhambreaux</t>
  </si>
  <si>
    <t>CanterburyWomenswold</t>
  </si>
  <si>
    <t>E2232P027</t>
  </si>
  <si>
    <t>Womenswold</t>
  </si>
  <si>
    <t>CanterburyCanterbury</t>
  </si>
  <si>
    <t>E2232P028</t>
  </si>
  <si>
    <t>CanterburyElliot College</t>
  </si>
  <si>
    <t>E2232P029</t>
  </si>
  <si>
    <t>Elliot College</t>
  </si>
  <si>
    <t>CanterburyFransiscan Study Centre</t>
  </si>
  <si>
    <t>E2232P030</t>
  </si>
  <si>
    <t>Fransiscan Study Centre</t>
  </si>
  <si>
    <t>CanterburyHerne Bay</t>
  </si>
  <si>
    <t>E2232P031</t>
  </si>
  <si>
    <t>Herne Bay</t>
  </si>
  <si>
    <t>CanterburyHowe Barracks</t>
  </si>
  <si>
    <t>E2232P032</t>
  </si>
  <si>
    <t>Howe Barracks</t>
  </si>
  <si>
    <t>CanterburyPark Wood Courts</t>
  </si>
  <si>
    <t>E2232P033</t>
  </si>
  <si>
    <t>Park Wood Courts</t>
  </si>
  <si>
    <t>CanterburyWhitstable</t>
  </si>
  <si>
    <t>E2232P034</t>
  </si>
  <si>
    <t>Whitstable</t>
  </si>
  <si>
    <t>DartfordBean</t>
  </si>
  <si>
    <t>E2233P001</t>
  </si>
  <si>
    <t>Bean</t>
  </si>
  <si>
    <t>DartfordDarenth</t>
  </si>
  <si>
    <t>E2233P002</t>
  </si>
  <si>
    <t>Darenth</t>
  </si>
  <si>
    <t>DartfordLongfield and New Barn</t>
  </si>
  <si>
    <t>E2233P003</t>
  </si>
  <si>
    <t>Longfield and New Barn</t>
  </si>
  <si>
    <t>DartfordSouthfleet</t>
  </si>
  <si>
    <t>E2233P004</t>
  </si>
  <si>
    <t>Southfleet</t>
  </si>
  <si>
    <t>DartfordStone</t>
  </si>
  <si>
    <t>E2233P005</t>
  </si>
  <si>
    <t>DartfordSutton at Hone and Hawley</t>
  </si>
  <si>
    <t>E2233P006</t>
  </si>
  <si>
    <t>Sutton at Hone and Hawley</t>
  </si>
  <si>
    <t>DartfordSwanscombe and Greenhithe</t>
  </si>
  <si>
    <t>E2233P007</t>
  </si>
  <si>
    <t>Swanscombe and Greenhithe</t>
  </si>
  <si>
    <t>DartfordWilmington</t>
  </si>
  <si>
    <t>E2233P008</t>
  </si>
  <si>
    <t>Wilmington</t>
  </si>
  <si>
    <t>DoverAlkham</t>
  </si>
  <si>
    <t>E2234P001</t>
  </si>
  <si>
    <t>Alkham</t>
  </si>
  <si>
    <t>DoverAsh</t>
  </si>
  <si>
    <t>E2234P002</t>
  </si>
  <si>
    <t>DoverAylesham</t>
  </si>
  <si>
    <t>E2234P003</t>
  </si>
  <si>
    <t>Aylesham</t>
  </si>
  <si>
    <t>DoverCapel le Ferne</t>
  </si>
  <si>
    <t>E2234P004</t>
  </si>
  <si>
    <t>Capel le Ferne</t>
  </si>
  <si>
    <t>DoverDeal</t>
  </si>
  <si>
    <t>E2234P005</t>
  </si>
  <si>
    <t>Deal</t>
  </si>
  <si>
    <t>DoverDenton with Wootton</t>
  </si>
  <si>
    <t>E2234P006</t>
  </si>
  <si>
    <t>Denton with Wootton</t>
  </si>
  <si>
    <t>DoverDover</t>
  </si>
  <si>
    <t>E2234P007</t>
  </si>
  <si>
    <t>DoverEastry</t>
  </si>
  <si>
    <t>E2234P008</t>
  </si>
  <si>
    <t>Eastry</t>
  </si>
  <si>
    <t>DoverEythorne</t>
  </si>
  <si>
    <t>E2234P009</t>
  </si>
  <si>
    <t>Eythorne</t>
  </si>
  <si>
    <t>DoverGoodnestone</t>
  </si>
  <si>
    <t>E2234P010</t>
  </si>
  <si>
    <t>Goodnestone</t>
  </si>
  <si>
    <t>DoverGreat Mongeham</t>
  </si>
  <si>
    <t>E2234P011</t>
  </si>
  <si>
    <t>Great Mongeham</t>
  </si>
  <si>
    <t>DoverGuston</t>
  </si>
  <si>
    <t>E2234P012</t>
  </si>
  <si>
    <t>Guston</t>
  </si>
  <si>
    <t>DoverHougham Without</t>
  </si>
  <si>
    <t>E2234P013</t>
  </si>
  <si>
    <t>Hougham Without</t>
  </si>
  <si>
    <t>DoverLangdon</t>
  </si>
  <si>
    <t>E2234P014</t>
  </si>
  <si>
    <t>Langdon</t>
  </si>
  <si>
    <t>DoverLydden</t>
  </si>
  <si>
    <t>E2234P015</t>
  </si>
  <si>
    <t>Lydden</t>
  </si>
  <si>
    <t>DoverNonington</t>
  </si>
  <si>
    <t>E2234P016</t>
  </si>
  <si>
    <t>Nonington</t>
  </si>
  <si>
    <t>DoverNorthbourne</t>
  </si>
  <si>
    <t>E2234P017</t>
  </si>
  <si>
    <t>Northbourne</t>
  </si>
  <si>
    <t>DoverPreston</t>
  </si>
  <si>
    <t>E2234P018</t>
  </si>
  <si>
    <t>DoverRingwould with Kingsdown</t>
  </si>
  <si>
    <t>E2234P019</t>
  </si>
  <si>
    <t>Ringwould with Kingsdown</t>
  </si>
  <si>
    <t>DoverRipple</t>
  </si>
  <si>
    <t>E2234P020</t>
  </si>
  <si>
    <t>DoverRiver</t>
  </si>
  <si>
    <t>E2234P021</t>
  </si>
  <si>
    <t>River</t>
  </si>
  <si>
    <t>DoverSandwich</t>
  </si>
  <si>
    <t>E2234P022</t>
  </si>
  <si>
    <t>Sandwich</t>
  </si>
  <si>
    <t>DoverShepherdswell with Coldred</t>
  </si>
  <si>
    <t>E2234P023</t>
  </si>
  <si>
    <t>Shepherdswell with Coldred</t>
  </si>
  <si>
    <t>DoverSholden</t>
  </si>
  <si>
    <t>E2234P024</t>
  </si>
  <si>
    <t>Sholden</t>
  </si>
  <si>
    <t>DoverSt. Margaret's at Cliffe</t>
  </si>
  <si>
    <t>E2234P025</t>
  </si>
  <si>
    <t>St. Margaret's at Cliffe</t>
  </si>
  <si>
    <t>DoverStaple</t>
  </si>
  <si>
    <t>E2234P026</t>
  </si>
  <si>
    <t>Staple</t>
  </si>
  <si>
    <t>DoverStourmouth</t>
  </si>
  <si>
    <t>E2234P027</t>
  </si>
  <si>
    <t>Stourmouth</t>
  </si>
  <si>
    <t>DoverSutton</t>
  </si>
  <si>
    <t>E2234P028</t>
  </si>
  <si>
    <t>DoverTemple Ewell</t>
  </si>
  <si>
    <t>E2234P029</t>
  </si>
  <si>
    <t>Temple Ewell</t>
  </si>
  <si>
    <t>DoverTilmanstone</t>
  </si>
  <si>
    <t>E2234P030</t>
  </si>
  <si>
    <t>Tilmanstone</t>
  </si>
  <si>
    <t>DoverWalmer</t>
  </si>
  <si>
    <t>E2234P031</t>
  </si>
  <si>
    <t>Walmer</t>
  </si>
  <si>
    <t>DoverWhitfield</t>
  </si>
  <si>
    <t>E2234P032</t>
  </si>
  <si>
    <t>Whitfield</t>
  </si>
  <si>
    <t>DoverWingham</t>
  </si>
  <si>
    <t>E2234P033</t>
  </si>
  <si>
    <t>Wingham</t>
  </si>
  <si>
    <t>DoverWoodnesborough</t>
  </si>
  <si>
    <t>E2234P034</t>
  </si>
  <si>
    <t>Woodnesborough</t>
  </si>
  <si>
    <t>DoverWorth</t>
  </si>
  <si>
    <t>E2234P035</t>
  </si>
  <si>
    <t>Worth</t>
  </si>
  <si>
    <t>GraveshamCobham</t>
  </si>
  <si>
    <t>E2236P001</t>
  </si>
  <si>
    <t>Cobham</t>
  </si>
  <si>
    <t>GraveshamHigham</t>
  </si>
  <si>
    <t>E2236P002</t>
  </si>
  <si>
    <t>Higham</t>
  </si>
  <si>
    <t>GraveshamLuddesdown</t>
  </si>
  <si>
    <t>E2236P003</t>
  </si>
  <si>
    <t>Luddesdown</t>
  </si>
  <si>
    <t>GraveshamMeopham</t>
  </si>
  <si>
    <t>E2236P004</t>
  </si>
  <si>
    <t>Meopham</t>
  </si>
  <si>
    <t>GraveshamShorne</t>
  </si>
  <si>
    <t>E2236P005</t>
  </si>
  <si>
    <t>Shorne</t>
  </si>
  <si>
    <t>GraveshamVigo</t>
  </si>
  <si>
    <t>E2236P006</t>
  </si>
  <si>
    <t>Vigo</t>
  </si>
  <si>
    <t>MaidstoneBarming</t>
  </si>
  <si>
    <t>E2237P001</t>
  </si>
  <si>
    <t>Barming</t>
  </si>
  <si>
    <t>MaidstoneBearsted</t>
  </si>
  <si>
    <t>E2237P002</t>
  </si>
  <si>
    <t>Bearsted</t>
  </si>
  <si>
    <t>MaidstoneBicknor</t>
  </si>
  <si>
    <t>E2237P003</t>
  </si>
  <si>
    <t>Bicknor</t>
  </si>
  <si>
    <t>MaidstoneBoughton Malherbe</t>
  </si>
  <si>
    <t>E2237P004</t>
  </si>
  <si>
    <t>Boughton Malherbe</t>
  </si>
  <si>
    <t>MaidstoneBoughton Monchelsea</t>
  </si>
  <si>
    <t>E2237P005</t>
  </si>
  <si>
    <t>Boughton Monchelsea</t>
  </si>
  <si>
    <t>MaidstoneBoxley</t>
  </si>
  <si>
    <t>E2237P006</t>
  </si>
  <si>
    <t>Boxley</t>
  </si>
  <si>
    <t>MaidstoneBredhurst</t>
  </si>
  <si>
    <t>E2237P007</t>
  </si>
  <si>
    <t>Bredhurst</t>
  </si>
  <si>
    <t>MaidstoneBroomfield and Kingswood</t>
  </si>
  <si>
    <t>E2237P008</t>
  </si>
  <si>
    <t>Broomfield and Kingswood</t>
  </si>
  <si>
    <t>MaidstoneChart Sutton</t>
  </si>
  <si>
    <t>E2237P009</t>
  </si>
  <si>
    <t>Chart Sutton</t>
  </si>
  <si>
    <t>MaidstoneCollier Street</t>
  </si>
  <si>
    <t>E2237P010</t>
  </si>
  <si>
    <t>Collier Street</t>
  </si>
  <si>
    <t>MaidstoneCoxheath</t>
  </si>
  <si>
    <t>E2237P011</t>
  </si>
  <si>
    <t>Coxheath</t>
  </si>
  <si>
    <t>MaidstoneDetling</t>
  </si>
  <si>
    <t>E2237P012</t>
  </si>
  <si>
    <t>Detling</t>
  </si>
  <si>
    <t>MaidstoneDownswood</t>
  </si>
  <si>
    <t>E2237P013</t>
  </si>
  <si>
    <t>Downswood</t>
  </si>
  <si>
    <t>MaidstoneEast Farleigh</t>
  </si>
  <si>
    <t>E2237P014</t>
  </si>
  <si>
    <t>East Farleigh</t>
  </si>
  <si>
    <t>MaidstoneEast Sutton</t>
  </si>
  <si>
    <t>E2237P015</t>
  </si>
  <si>
    <t>East Sutton</t>
  </si>
  <si>
    <t>MaidstoneFrinsted</t>
  </si>
  <si>
    <t>E2237P016</t>
  </si>
  <si>
    <t>Frinsted</t>
  </si>
  <si>
    <t>MaidstoneHarrietsham</t>
  </si>
  <si>
    <t>E2237P017</t>
  </si>
  <si>
    <t>Harrietsham</t>
  </si>
  <si>
    <t>MaidstoneHeadcorn</t>
  </si>
  <si>
    <t>E2237P018</t>
  </si>
  <si>
    <t>Headcorn</t>
  </si>
  <si>
    <t>MaidstoneHollingbourne</t>
  </si>
  <si>
    <t>E2237P019</t>
  </si>
  <si>
    <t>Hollingbourne</t>
  </si>
  <si>
    <t>MaidstoneHucking</t>
  </si>
  <si>
    <t>E2237P020</t>
  </si>
  <si>
    <t>Hucking</t>
  </si>
  <si>
    <t>MaidstoneHunton</t>
  </si>
  <si>
    <t>E2237P021</t>
  </si>
  <si>
    <t>Hunton</t>
  </si>
  <si>
    <t>MaidstoneLangley</t>
  </si>
  <si>
    <t>E2237P022</t>
  </si>
  <si>
    <t>MaidstoneLeeds</t>
  </si>
  <si>
    <t>E2237P023</t>
  </si>
  <si>
    <t>MaidstoneLenham</t>
  </si>
  <si>
    <t>E2237P024</t>
  </si>
  <si>
    <t>Lenham</t>
  </si>
  <si>
    <t>MaidstoneLinton</t>
  </si>
  <si>
    <t>E2237P025</t>
  </si>
  <si>
    <t>MaidstoneLoose</t>
  </si>
  <si>
    <t>E2237P026</t>
  </si>
  <si>
    <t>Loose</t>
  </si>
  <si>
    <t>MaidstoneMarden</t>
  </si>
  <si>
    <t>E2237P027</t>
  </si>
  <si>
    <t>MaidstoneNettlestead</t>
  </si>
  <si>
    <t>E2237P028</t>
  </si>
  <si>
    <t>Nettlestead</t>
  </si>
  <si>
    <t>MaidstoneOtham</t>
  </si>
  <si>
    <t>E2237P029</t>
  </si>
  <si>
    <t>Otham</t>
  </si>
  <si>
    <t>MaidstoneOtterden</t>
  </si>
  <si>
    <t>E2237P030</t>
  </si>
  <si>
    <t>Otterden</t>
  </si>
  <si>
    <t>MaidstoneStaplehurst</t>
  </si>
  <si>
    <t>E2237P031</t>
  </si>
  <si>
    <t>Staplehurst</t>
  </si>
  <si>
    <t>MaidstoneStockbury</t>
  </si>
  <si>
    <t>E2237P032</t>
  </si>
  <si>
    <t>Stockbury</t>
  </si>
  <si>
    <t>MaidstoneSutton Valence</t>
  </si>
  <si>
    <t>E2237P033</t>
  </si>
  <si>
    <t>Sutton Valence</t>
  </si>
  <si>
    <t>MaidstoneTeston</t>
  </si>
  <si>
    <t>E2237P034</t>
  </si>
  <si>
    <t>Teston</t>
  </si>
  <si>
    <t>MaidstoneThurnham</t>
  </si>
  <si>
    <t>E2237P035</t>
  </si>
  <si>
    <t>Thurnham</t>
  </si>
  <si>
    <t>MaidstoneTovil</t>
  </si>
  <si>
    <t>E2237P036</t>
  </si>
  <si>
    <t>Tovil</t>
  </si>
  <si>
    <t>MaidstoneUlcombe</t>
  </si>
  <si>
    <t>E2237P037</t>
  </si>
  <si>
    <t>Ulcombe</t>
  </si>
  <si>
    <t>MaidstoneWest Farleigh</t>
  </si>
  <si>
    <t>E2237P038</t>
  </si>
  <si>
    <t>West Farleigh</t>
  </si>
  <si>
    <t>MaidstoneWichling</t>
  </si>
  <si>
    <t>E2237P039</t>
  </si>
  <si>
    <t>Wichling</t>
  </si>
  <si>
    <t>MaidstoneWormshill</t>
  </si>
  <si>
    <t>E2237P040</t>
  </si>
  <si>
    <t>Wormshill</t>
  </si>
  <si>
    <t>MaidstoneYalding</t>
  </si>
  <si>
    <t>E2237P041</t>
  </si>
  <si>
    <t>Yalding</t>
  </si>
  <si>
    <t>SevenoaksAsh cum Ridley</t>
  </si>
  <si>
    <t>E2239P001</t>
  </si>
  <si>
    <t>Ash cum Ridley</t>
  </si>
  <si>
    <t>SevenoaksBrasted</t>
  </si>
  <si>
    <t>E2239P002</t>
  </si>
  <si>
    <t>Brasted</t>
  </si>
  <si>
    <t>SevenoaksChevening</t>
  </si>
  <si>
    <t>E2239P003</t>
  </si>
  <si>
    <t>Chevening</t>
  </si>
  <si>
    <t>SevenoaksChiddingstone</t>
  </si>
  <si>
    <t>E2239P004</t>
  </si>
  <si>
    <t>Chiddingstone</t>
  </si>
  <si>
    <t>SevenoaksCowden</t>
  </si>
  <si>
    <t>E2239P005</t>
  </si>
  <si>
    <t>Cowden</t>
  </si>
  <si>
    <t>SevenoaksCrockenhill</t>
  </si>
  <si>
    <t>E2239P006</t>
  </si>
  <si>
    <t>Crockenhill</t>
  </si>
  <si>
    <t>SevenoaksDunton Green</t>
  </si>
  <si>
    <t>E2239P007</t>
  </si>
  <si>
    <t>Dunton Green</t>
  </si>
  <si>
    <t>SevenoaksEdenbridge</t>
  </si>
  <si>
    <t>E2239P008</t>
  </si>
  <si>
    <t>Edenbridge</t>
  </si>
  <si>
    <t>SevenoaksEynsford</t>
  </si>
  <si>
    <t>E2239P009</t>
  </si>
  <si>
    <t>Eynsford</t>
  </si>
  <si>
    <t>SevenoaksFarningham</t>
  </si>
  <si>
    <t>E2239P010</t>
  </si>
  <si>
    <t>Farningham</t>
  </si>
  <si>
    <t>SevenoaksFawkham</t>
  </si>
  <si>
    <t>E2239P011</t>
  </si>
  <si>
    <t>Fawkham</t>
  </si>
  <si>
    <t>SevenoaksHalstead</t>
  </si>
  <si>
    <t>E2239P012</t>
  </si>
  <si>
    <t>SevenoaksHartley</t>
  </si>
  <si>
    <t>E2239P013</t>
  </si>
  <si>
    <t>SevenoaksHever</t>
  </si>
  <si>
    <t>E2239P014</t>
  </si>
  <si>
    <t>Hever</t>
  </si>
  <si>
    <t>SevenoaksHextable</t>
  </si>
  <si>
    <t>E2239P015</t>
  </si>
  <si>
    <t>Hextable</t>
  </si>
  <si>
    <t>SevenoaksHorton Kirby and South Darenth</t>
  </si>
  <si>
    <t>E2239P016</t>
  </si>
  <si>
    <t>Horton Kirby and South Darenth</t>
  </si>
  <si>
    <t>SevenoaksKemsing</t>
  </si>
  <si>
    <t>E2239P017</t>
  </si>
  <si>
    <t>Kemsing</t>
  </si>
  <si>
    <t>SevenoaksKnockholt</t>
  </si>
  <si>
    <t>E2239P018</t>
  </si>
  <si>
    <t>Knockholt</t>
  </si>
  <si>
    <t>SevenoaksLeigh</t>
  </si>
  <si>
    <t>E2239P019</t>
  </si>
  <si>
    <t>SevenoaksOtford</t>
  </si>
  <si>
    <t>E2239P020</t>
  </si>
  <si>
    <t>Otford</t>
  </si>
  <si>
    <t>SevenoaksPenshurst</t>
  </si>
  <si>
    <t>E2239P021</t>
  </si>
  <si>
    <t>Penshurst</t>
  </si>
  <si>
    <t>SevenoaksRiverhead</t>
  </si>
  <si>
    <t>E2239P022</t>
  </si>
  <si>
    <t>Riverhead</t>
  </si>
  <si>
    <t>SevenoaksSeal</t>
  </si>
  <si>
    <t>E2239P023</t>
  </si>
  <si>
    <t>Seal</t>
  </si>
  <si>
    <t>SevenoaksSevenoaks</t>
  </si>
  <si>
    <t>E2239P024</t>
  </si>
  <si>
    <t>SevenoaksSevenoaks Weald</t>
  </si>
  <si>
    <t>E2239P025</t>
  </si>
  <si>
    <t>Sevenoaks Weald</t>
  </si>
  <si>
    <t>SevenoaksShoreham</t>
  </si>
  <si>
    <t>E2239P026</t>
  </si>
  <si>
    <t>Shoreham</t>
  </si>
  <si>
    <t>SevenoaksSundridge with Ide Hill</t>
  </si>
  <si>
    <t>E2239P027</t>
  </si>
  <si>
    <t>Sundridge with Ide Hill</t>
  </si>
  <si>
    <t>SevenoaksSwanley</t>
  </si>
  <si>
    <t>E2239P028</t>
  </si>
  <si>
    <t>Swanley</t>
  </si>
  <si>
    <t>SevenoaksWest Kingsdown</t>
  </si>
  <si>
    <t>E2239P029</t>
  </si>
  <si>
    <t>West Kingsdown</t>
  </si>
  <si>
    <t>SevenoaksWesterham</t>
  </si>
  <si>
    <t>E2239P030</t>
  </si>
  <si>
    <t>Westerham</t>
  </si>
  <si>
    <t>SevenoaksBadgers Mount</t>
  </si>
  <si>
    <t>E2239P031</t>
  </si>
  <si>
    <t>Badgers Mount</t>
  </si>
  <si>
    <t>Folkestone and HytheAcrise</t>
  </si>
  <si>
    <t>E2240P001</t>
  </si>
  <si>
    <t>Acrise</t>
  </si>
  <si>
    <t>Folkestone and HytheBrenzett</t>
  </si>
  <si>
    <t>E2240P002</t>
  </si>
  <si>
    <t>Brenzett</t>
  </si>
  <si>
    <t>Folkestone and HytheBrookland</t>
  </si>
  <si>
    <t>E2240P003</t>
  </si>
  <si>
    <t>Brookland</t>
  </si>
  <si>
    <t>Folkestone and HytheBurmash</t>
  </si>
  <si>
    <t>E2240P004</t>
  </si>
  <si>
    <t>Burmash</t>
  </si>
  <si>
    <t>Folkestone and HytheDymchurch</t>
  </si>
  <si>
    <t>E2240P005</t>
  </si>
  <si>
    <t>Dymchurch</t>
  </si>
  <si>
    <t>Folkestone and HytheElham</t>
  </si>
  <si>
    <t>E2240P006</t>
  </si>
  <si>
    <t>Elham</t>
  </si>
  <si>
    <t>Folkestone and HytheElmsted</t>
  </si>
  <si>
    <t>E2240P007</t>
  </si>
  <si>
    <t>Elmsted</t>
  </si>
  <si>
    <t>Folkestone and HytheFolkestone</t>
  </si>
  <si>
    <t>E2240P008</t>
  </si>
  <si>
    <t>Folkestone</t>
  </si>
  <si>
    <t>Folkestone and HytheHawkinge</t>
  </si>
  <si>
    <t>E2240P009</t>
  </si>
  <si>
    <t>Hawkinge</t>
  </si>
  <si>
    <t>Folkestone and HytheHythe</t>
  </si>
  <si>
    <t>E2240P010</t>
  </si>
  <si>
    <t>Hythe</t>
  </si>
  <si>
    <t>Folkestone and HytheIvychurch</t>
  </si>
  <si>
    <t>E2240P011</t>
  </si>
  <si>
    <t>Ivychurch</t>
  </si>
  <si>
    <t>Folkestone and HytheLydd</t>
  </si>
  <si>
    <t>E2240P012</t>
  </si>
  <si>
    <t>Lydd</t>
  </si>
  <si>
    <t>Folkestone and HytheLyminge</t>
  </si>
  <si>
    <t>E2240P013</t>
  </si>
  <si>
    <t>Lyminge</t>
  </si>
  <si>
    <t>Folkestone and HytheLympne</t>
  </si>
  <si>
    <t>E2240P014</t>
  </si>
  <si>
    <t>Lympne</t>
  </si>
  <si>
    <t>Folkestone and HytheMonks Horton</t>
  </si>
  <si>
    <t>E2240P015</t>
  </si>
  <si>
    <t>Monks Horton</t>
  </si>
  <si>
    <t>Folkestone and HytheNew Romney</t>
  </si>
  <si>
    <t>E2240P016</t>
  </si>
  <si>
    <t>New Romney</t>
  </si>
  <si>
    <t>Folkestone and HytheNewchurch</t>
  </si>
  <si>
    <t>E2240P017</t>
  </si>
  <si>
    <t>Folkestone and HytheNewington</t>
  </si>
  <si>
    <t>E2240P018</t>
  </si>
  <si>
    <t>Newington</t>
  </si>
  <si>
    <t>Folkestone and HytheOld Romney</t>
  </si>
  <si>
    <t>E2240P019</t>
  </si>
  <si>
    <t>Old Romney</t>
  </si>
  <si>
    <t>Folkestone and HythePaddlesworth</t>
  </si>
  <si>
    <t>E2240P020</t>
  </si>
  <si>
    <t>Paddlesworth</t>
  </si>
  <si>
    <t>Folkestone and HythePostling</t>
  </si>
  <si>
    <t>E2240P021</t>
  </si>
  <si>
    <t>Postling</t>
  </si>
  <si>
    <t>Folkestone and HytheSaltwood</t>
  </si>
  <si>
    <t>E2240P022</t>
  </si>
  <si>
    <t>Saltwood</t>
  </si>
  <si>
    <t>Folkestone and HytheSandgate</t>
  </si>
  <si>
    <t>E2240P023</t>
  </si>
  <si>
    <t>Sandgate</t>
  </si>
  <si>
    <t>Folkestone and HytheSellindge</t>
  </si>
  <si>
    <t>E2240P024</t>
  </si>
  <si>
    <t>Sellindge</t>
  </si>
  <si>
    <t>Folkestone and HytheSnargate</t>
  </si>
  <si>
    <t>E2240P025</t>
  </si>
  <si>
    <t>Snargate</t>
  </si>
  <si>
    <t>Folkestone and HytheSt Mary in the Marsh</t>
  </si>
  <si>
    <t>E2240P026</t>
  </si>
  <si>
    <t>St Mary in the Marsh</t>
  </si>
  <si>
    <t>Folkestone and HytheStanford</t>
  </si>
  <si>
    <t>E2240P027</t>
  </si>
  <si>
    <t>Stanford</t>
  </si>
  <si>
    <t>Folkestone and HytheStelling Minnis</t>
  </si>
  <si>
    <t>E2240P028</t>
  </si>
  <si>
    <t>Stelling Minnis</t>
  </si>
  <si>
    <t>Folkestone and HytheStowting</t>
  </si>
  <si>
    <t>E2240P029</t>
  </si>
  <si>
    <t>Stowting</t>
  </si>
  <si>
    <t>Folkestone and HytheSwingfield</t>
  </si>
  <si>
    <t>E2240P030</t>
  </si>
  <si>
    <t>Swingfield</t>
  </si>
  <si>
    <t>SwaleBadlesmere (grouped with Leaveland and Sheldwich Parishes)</t>
  </si>
  <si>
    <t>E2241P001</t>
  </si>
  <si>
    <t>Badlesmere (grouped with Leaveland and Sheldwich Parishes)</t>
  </si>
  <si>
    <t>SwaleBapchild</t>
  </si>
  <si>
    <t>E2241P002</t>
  </si>
  <si>
    <t>Bapchild</t>
  </si>
  <si>
    <t>SwaleBobbing</t>
  </si>
  <si>
    <t>E2241P003</t>
  </si>
  <si>
    <t>Bobbing</t>
  </si>
  <si>
    <t>SwaleBorden</t>
  </si>
  <si>
    <t>E2241P004</t>
  </si>
  <si>
    <t>Borden</t>
  </si>
  <si>
    <t>SwaleBoughton under Blean</t>
  </si>
  <si>
    <t>E2241P005</t>
  </si>
  <si>
    <t>Boughton under Blean</t>
  </si>
  <si>
    <t>SwaleBredgar</t>
  </si>
  <si>
    <t>E2241P006</t>
  </si>
  <si>
    <t>Bredgar</t>
  </si>
  <si>
    <t>SwaleDoddington</t>
  </si>
  <si>
    <t>E2241P007</t>
  </si>
  <si>
    <t>SwaleDunkirk</t>
  </si>
  <si>
    <t>E2241P008</t>
  </si>
  <si>
    <t>Dunkirk</t>
  </si>
  <si>
    <t>SwaleEastchurch</t>
  </si>
  <si>
    <t>E2241P009</t>
  </si>
  <si>
    <t>Eastchurch</t>
  </si>
  <si>
    <t>SwaleEastling</t>
  </si>
  <si>
    <t>E2241P010</t>
  </si>
  <si>
    <t>Eastling</t>
  </si>
  <si>
    <t>SwaleFaversham</t>
  </si>
  <si>
    <t>E2241P011</t>
  </si>
  <si>
    <t>Faversham</t>
  </si>
  <si>
    <t>SwaleGraveney with Goodnestone</t>
  </si>
  <si>
    <t>E2241P012</t>
  </si>
  <si>
    <t>Graveney with Goodnestone</t>
  </si>
  <si>
    <t>SwaleHartlip</t>
  </si>
  <si>
    <t>E2241P013</t>
  </si>
  <si>
    <t>Hartlip</t>
  </si>
  <si>
    <t>SwaleHernhill</t>
  </si>
  <si>
    <t>E2241P014</t>
  </si>
  <si>
    <t>Hernhill</t>
  </si>
  <si>
    <t>SwaleIwade</t>
  </si>
  <si>
    <t>E2241P015</t>
  </si>
  <si>
    <t>Iwade</t>
  </si>
  <si>
    <t>SwaleLeaveland (grouped with Badlesmere and Sheldwich Parishes)</t>
  </si>
  <si>
    <t>E2241P016</t>
  </si>
  <si>
    <t>Leaveland (grouped with Badlesmere and Sheldwich Parishes)</t>
  </si>
  <si>
    <t>SwaleLeysdown</t>
  </si>
  <si>
    <t>E2241P017</t>
  </si>
  <si>
    <t>Leysdown</t>
  </si>
  <si>
    <t>SwaleLower Halstow</t>
  </si>
  <si>
    <t>E2241P018</t>
  </si>
  <si>
    <t>Lower Halstow</t>
  </si>
  <si>
    <t>SwaleLuddenham</t>
  </si>
  <si>
    <t>E2241P019</t>
  </si>
  <si>
    <t>Luddenham</t>
  </si>
  <si>
    <t>SwaleLynsted with Kingsdown</t>
  </si>
  <si>
    <t>E2241P020</t>
  </si>
  <si>
    <t>Lynsted with Kingsdown</t>
  </si>
  <si>
    <t>SwaleMilstead</t>
  </si>
  <si>
    <t>E2241P021</t>
  </si>
  <si>
    <t>Milstead</t>
  </si>
  <si>
    <t>SwaleMinster on Sea</t>
  </si>
  <si>
    <t>E2241P022</t>
  </si>
  <si>
    <t>Minster on Sea</t>
  </si>
  <si>
    <t>SwaleNewington</t>
  </si>
  <si>
    <t>E2241P023</t>
  </si>
  <si>
    <t>SwaleNewnham</t>
  </si>
  <si>
    <t>E2241P024</t>
  </si>
  <si>
    <t>SwaleNorton (grouped with Buckland and Stone Parishes)</t>
  </si>
  <si>
    <t>E2241P025</t>
  </si>
  <si>
    <t>Norton (grouped with Buckland and Stone Parishes)</t>
  </si>
  <si>
    <t>SwaleOare</t>
  </si>
  <si>
    <t>E2241P026</t>
  </si>
  <si>
    <t>Oare</t>
  </si>
  <si>
    <t>SwaleOspringe</t>
  </si>
  <si>
    <t>E2241P027</t>
  </si>
  <si>
    <t>Ospringe</t>
  </si>
  <si>
    <t>SwaleQueenborough</t>
  </si>
  <si>
    <t>E2241P028</t>
  </si>
  <si>
    <t>Queenborough</t>
  </si>
  <si>
    <t>SwaleRodmersham</t>
  </si>
  <si>
    <t>E2241P029</t>
  </si>
  <si>
    <t>Rodmersham</t>
  </si>
  <si>
    <t>SwaleSelling</t>
  </si>
  <si>
    <t>E2241P030</t>
  </si>
  <si>
    <t>Selling</t>
  </si>
  <si>
    <t>SwaleSheerness Town Council</t>
  </si>
  <si>
    <t>E2241P031</t>
  </si>
  <si>
    <t>Sheerness Town Council</t>
  </si>
  <si>
    <t>SwaleStalisfield</t>
  </si>
  <si>
    <t>E2241P032</t>
  </si>
  <si>
    <t>Stalisfield</t>
  </si>
  <si>
    <t>SwaleTeynham</t>
  </si>
  <si>
    <t>E2241P033</t>
  </si>
  <si>
    <t>Teynham</t>
  </si>
  <si>
    <t>SwaleThrowley</t>
  </si>
  <si>
    <t>E2241P034</t>
  </si>
  <si>
    <t>Throwley</t>
  </si>
  <si>
    <t>SwaleTonge</t>
  </si>
  <si>
    <t>E2241P035</t>
  </si>
  <si>
    <t>Tonge</t>
  </si>
  <si>
    <t>SwaleTunstall</t>
  </si>
  <si>
    <t>E2241P036</t>
  </si>
  <si>
    <t>Tunstall</t>
  </si>
  <si>
    <t>SwaleUpchurch</t>
  </si>
  <si>
    <t>E2241P037</t>
  </si>
  <si>
    <t>Upchurch</t>
  </si>
  <si>
    <t>SwaleWarden</t>
  </si>
  <si>
    <t>E2241P038</t>
  </si>
  <si>
    <t>Warden</t>
  </si>
  <si>
    <t>SwaleBuckland (grouped with Norton and Stone Parishes)</t>
  </si>
  <si>
    <t>E2241P039</t>
  </si>
  <si>
    <t>Buckland (grouped with Norton and Stone Parishes)</t>
  </si>
  <si>
    <t>SwaleStone (grouped with Buckland and Norton Parishes)</t>
  </si>
  <si>
    <t>E2241P042</t>
  </si>
  <si>
    <t>Stone (grouped with Buckland and Norton Parishes)</t>
  </si>
  <si>
    <t>SwaleSheldwich (grouped with Badlesmere and Leaveland Parishes)</t>
  </si>
  <si>
    <t>E2241P043</t>
  </si>
  <si>
    <t>Sheldwich (grouped with Badlesmere and Leaveland Parishes)</t>
  </si>
  <si>
    <t>ThanetAcol</t>
  </si>
  <si>
    <t>E2242P001</t>
  </si>
  <si>
    <t>Acol</t>
  </si>
  <si>
    <t>ThanetBirchington</t>
  </si>
  <si>
    <t>E2242P002</t>
  </si>
  <si>
    <t>Birchington</t>
  </si>
  <si>
    <t>ThanetBroadstairs and St. Peters</t>
  </si>
  <si>
    <t>E2242P003</t>
  </si>
  <si>
    <t>Broadstairs and St. Peters</t>
  </si>
  <si>
    <t>ThanetCliffsend</t>
  </si>
  <si>
    <t>E2242P004</t>
  </si>
  <si>
    <t>Cliffsend</t>
  </si>
  <si>
    <t>ThanetManston</t>
  </si>
  <si>
    <t>E2242P005</t>
  </si>
  <si>
    <t>ThanetMinster</t>
  </si>
  <si>
    <t>E2242P006</t>
  </si>
  <si>
    <t>Minster</t>
  </si>
  <si>
    <t>ThanetMonkton</t>
  </si>
  <si>
    <t>E2242P007</t>
  </si>
  <si>
    <t>ThanetRamsgate</t>
  </si>
  <si>
    <t>E2242P008</t>
  </si>
  <si>
    <t>Ramsgate</t>
  </si>
  <si>
    <t>ThanetMargate Charter Trustees</t>
  </si>
  <si>
    <t>E2242P009</t>
  </si>
  <si>
    <t>Margate Charter Trustees</t>
  </si>
  <si>
    <t>ThanetSt Nicolas at Wade and Sarre</t>
  </si>
  <si>
    <t>E2242P010</t>
  </si>
  <si>
    <t>St Nicolas at Wade and Sarre</t>
  </si>
  <si>
    <t>ThanetWestgate</t>
  </si>
  <si>
    <t>E2242P011</t>
  </si>
  <si>
    <t>Westgate</t>
  </si>
  <si>
    <t>Tonbridge and MallingAddington</t>
  </si>
  <si>
    <t>E2243P001</t>
  </si>
  <si>
    <t>Tonbridge and MallingAylesford</t>
  </si>
  <si>
    <t>E2243P002</t>
  </si>
  <si>
    <t>Aylesford</t>
  </si>
  <si>
    <t>Tonbridge and MallingBirling</t>
  </si>
  <si>
    <t>E2243P003</t>
  </si>
  <si>
    <t>Birling</t>
  </si>
  <si>
    <t>Tonbridge and MallingBorough Green</t>
  </si>
  <si>
    <t>E2243P004</t>
  </si>
  <si>
    <t>Borough Green</t>
  </si>
  <si>
    <t>Tonbridge and MallingBurham</t>
  </si>
  <si>
    <t>E2243P005</t>
  </si>
  <si>
    <t>Burham</t>
  </si>
  <si>
    <t>Tonbridge and MallingDitton</t>
  </si>
  <si>
    <t>E2243P006</t>
  </si>
  <si>
    <t>Ditton</t>
  </si>
  <si>
    <t>Tonbridge and MallingE. Malling &amp; Larkfield</t>
  </si>
  <si>
    <t>E2243P007</t>
  </si>
  <si>
    <t>E. Malling &amp; Larkfield</t>
  </si>
  <si>
    <t>Tonbridge and MallingEast Peckham</t>
  </si>
  <si>
    <t>E2243P008</t>
  </si>
  <si>
    <t>East Peckham</t>
  </si>
  <si>
    <t>Tonbridge and MallingHadlow</t>
  </si>
  <si>
    <t>E2243P009</t>
  </si>
  <si>
    <t>Hadlow</t>
  </si>
  <si>
    <t>Tonbridge and MallingHildenborough</t>
  </si>
  <si>
    <t>E2243P010</t>
  </si>
  <si>
    <t>Hildenborough</t>
  </si>
  <si>
    <t>Tonbridge and MallingIghtham</t>
  </si>
  <si>
    <t>E2243P011</t>
  </si>
  <si>
    <t>Ightham</t>
  </si>
  <si>
    <t>Tonbridge and MallingKings Hill</t>
  </si>
  <si>
    <t>E2243P012</t>
  </si>
  <si>
    <t>Kings Hill</t>
  </si>
  <si>
    <t>Tonbridge and MallingLeybourne</t>
  </si>
  <si>
    <t>E2243P013</t>
  </si>
  <si>
    <t>Leybourne</t>
  </si>
  <si>
    <t>Tonbridge and MallingMereworth</t>
  </si>
  <si>
    <t>E2243P014</t>
  </si>
  <si>
    <t>Mereworth</t>
  </si>
  <si>
    <t>Tonbridge and MallingOffham</t>
  </si>
  <si>
    <t>E2243P015</t>
  </si>
  <si>
    <t>Offham</t>
  </si>
  <si>
    <t>Tonbridge and MallingPlatt</t>
  </si>
  <si>
    <t>E2243P016</t>
  </si>
  <si>
    <t>Platt</t>
  </si>
  <si>
    <t>Tonbridge and MallingPlaxtol</t>
  </si>
  <si>
    <t>E2243P017</t>
  </si>
  <si>
    <t>Plaxtol</t>
  </si>
  <si>
    <t>Tonbridge and MallingRyarsh</t>
  </si>
  <si>
    <t>E2243P018</t>
  </si>
  <si>
    <t>Ryarsh</t>
  </si>
  <si>
    <t>Tonbridge and MallingShipbourne</t>
  </si>
  <si>
    <t>E2243P019</t>
  </si>
  <si>
    <t>Shipbourne</t>
  </si>
  <si>
    <t>Tonbridge and MallingSnodland</t>
  </si>
  <si>
    <t>E2243P020</t>
  </si>
  <si>
    <t>Snodland</t>
  </si>
  <si>
    <t>Tonbridge and MallingStansted</t>
  </si>
  <si>
    <t>E2243P021</t>
  </si>
  <si>
    <t>Stansted</t>
  </si>
  <si>
    <t>Tonbridge and MallingTrottiscliffe</t>
  </si>
  <si>
    <t>E2243P022</t>
  </si>
  <si>
    <t>Trottiscliffe</t>
  </si>
  <si>
    <t>Tonbridge and MallingWateringbury</t>
  </si>
  <si>
    <t>E2243P023</t>
  </si>
  <si>
    <t>Wateringbury</t>
  </si>
  <si>
    <t>Tonbridge and MallingWest Malling</t>
  </si>
  <si>
    <t>E2243P024</t>
  </si>
  <si>
    <t>West Malling</t>
  </si>
  <si>
    <t>Tonbridge and MallingWest Peckham</t>
  </si>
  <si>
    <t>E2243P025</t>
  </si>
  <si>
    <t>West Peckham</t>
  </si>
  <si>
    <t>Tonbridge and MallingWouldham</t>
  </si>
  <si>
    <t>E2243P026</t>
  </si>
  <si>
    <t>Wouldham</t>
  </si>
  <si>
    <t>Tonbridge and MallingWrotham</t>
  </si>
  <si>
    <t>E2243P027</t>
  </si>
  <si>
    <t>Wrotham</t>
  </si>
  <si>
    <t>Tunbridge WellsBenenden</t>
  </si>
  <si>
    <t>E2244P001</t>
  </si>
  <si>
    <t>Benenden</t>
  </si>
  <si>
    <t>Tunbridge WellsBidborough</t>
  </si>
  <si>
    <t>E2244P002</t>
  </si>
  <si>
    <t>Bidborough</t>
  </si>
  <si>
    <t>Tunbridge WellsBrenchley</t>
  </si>
  <si>
    <t>E2244P003</t>
  </si>
  <si>
    <t>Brenchley</t>
  </si>
  <si>
    <t>Tunbridge WellsCapel</t>
  </si>
  <si>
    <t>E2244P004</t>
  </si>
  <si>
    <t>Capel</t>
  </si>
  <si>
    <t>Tunbridge WellsCranbrook</t>
  </si>
  <si>
    <t>E2244P005</t>
  </si>
  <si>
    <t>Tunbridge WellsFrittenden</t>
  </si>
  <si>
    <t>E2244P006</t>
  </si>
  <si>
    <t>Frittenden</t>
  </si>
  <si>
    <t>Tunbridge WellsGoudhurst</t>
  </si>
  <si>
    <t>E2244P007</t>
  </si>
  <si>
    <t>Goudhurst</t>
  </si>
  <si>
    <t>Tunbridge WellsHawkhurst</t>
  </si>
  <si>
    <t>E2244P008</t>
  </si>
  <si>
    <t>Hawkhurst</t>
  </si>
  <si>
    <t>Tunbridge WellsHorsmonden</t>
  </si>
  <si>
    <t>E2244P009</t>
  </si>
  <si>
    <t>Horsmonden</t>
  </si>
  <si>
    <t>Tunbridge WellsLamberhurst</t>
  </si>
  <si>
    <t>E2244P010</t>
  </si>
  <si>
    <t>Lamberhurst</t>
  </si>
  <si>
    <t>Tunbridge WellsPaddock Wood</t>
  </si>
  <si>
    <t>E2244P011</t>
  </si>
  <si>
    <t>Paddock Wood</t>
  </si>
  <si>
    <t>Tunbridge WellsPembury</t>
  </si>
  <si>
    <t>E2244P012</t>
  </si>
  <si>
    <t>Pembury</t>
  </si>
  <si>
    <t>Tunbridge WellsRusthall</t>
  </si>
  <si>
    <t>E2244P013</t>
  </si>
  <si>
    <t>Rusthall</t>
  </si>
  <si>
    <t>Tunbridge WellsSandhurst</t>
  </si>
  <si>
    <t>E2244P014</t>
  </si>
  <si>
    <t>Tunbridge WellsSouthborough</t>
  </si>
  <si>
    <t>E2244P015</t>
  </si>
  <si>
    <t>Southborough</t>
  </si>
  <si>
    <t>Tunbridge WellsSpeldhurst</t>
  </si>
  <si>
    <t>E2244P016</t>
  </si>
  <si>
    <t>Speldhurst</t>
  </si>
  <si>
    <t>Blackburn with DarwenDarwen</t>
  </si>
  <si>
    <t>E2301P001</t>
  </si>
  <si>
    <t>Darwen</t>
  </si>
  <si>
    <t>Blackburn with DarwenEccleshill</t>
  </si>
  <si>
    <t>E2301P002</t>
  </si>
  <si>
    <t>Eccleshill</t>
  </si>
  <si>
    <t>Blackburn with DarwenLivesey</t>
  </si>
  <si>
    <t>E2301P003</t>
  </si>
  <si>
    <t>Livesey</t>
  </si>
  <si>
    <t>Blackburn with DarwenNorth Turton</t>
  </si>
  <si>
    <t>E2301P004</t>
  </si>
  <si>
    <t>North Turton</t>
  </si>
  <si>
    <t>Blackburn with DarwenPleasington</t>
  </si>
  <si>
    <t>E2301P005</t>
  </si>
  <si>
    <t>Pleasington</t>
  </si>
  <si>
    <t>Blackburn with DarwenTockholes</t>
  </si>
  <si>
    <t>E2301P006</t>
  </si>
  <si>
    <t>Tockholes</t>
  </si>
  <si>
    <t>Blackburn with DarwenYate and Pickup Bank</t>
  </si>
  <si>
    <t>E2301P007</t>
  </si>
  <si>
    <t>Yate and Pickup Bank</t>
  </si>
  <si>
    <t>BurnleyBriercliffe</t>
  </si>
  <si>
    <t>E2333P001</t>
  </si>
  <si>
    <t>Briercliffe</t>
  </si>
  <si>
    <t>BurnleyCliviger</t>
  </si>
  <si>
    <t>E2333P002</t>
  </si>
  <si>
    <t>Cliviger</t>
  </si>
  <si>
    <t>BurnleyDunnockshaw</t>
  </si>
  <si>
    <t>E2333P003</t>
  </si>
  <si>
    <t>Dunnockshaw</t>
  </si>
  <si>
    <t>BurnleyHabergham Eaves</t>
  </si>
  <si>
    <t>E2333P004</t>
  </si>
  <si>
    <t>Habergham Eaves</t>
  </si>
  <si>
    <t>BurnleyHapton</t>
  </si>
  <si>
    <t>E2333P005</t>
  </si>
  <si>
    <t>Hapton</t>
  </si>
  <si>
    <t>BurnleyIghtenhill</t>
  </si>
  <si>
    <t>E2333P006</t>
  </si>
  <si>
    <t>Ightenhill</t>
  </si>
  <si>
    <t>BurnleyPadiham</t>
  </si>
  <si>
    <t>E2333P007</t>
  </si>
  <si>
    <t>Padiham</t>
  </si>
  <si>
    <t>BurnleyWorsthorne with Hurstwood</t>
  </si>
  <si>
    <t>E2333P008</t>
  </si>
  <si>
    <t>Worsthorne with Hurstwood</t>
  </si>
  <si>
    <t>ChorleyAdlington</t>
  </si>
  <si>
    <t>E2334P001</t>
  </si>
  <si>
    <t>ChorleyAnderton</t>
  </si>
  <si>
    <t>E2334P002</t>
  </si>
  <si>
    <t>Anderton</t>
  </si>
  <si>
    <t>ChorleyAnglezarke</t>
  </si>
  <si>
    <t>E2334P003</t>
  </si>
  <si>
    <t>Anglezarke</t>
  </si>
  <si>
    <t>ChorleyAstley Village</t>
  </si>
  <si>
    <t>E2334P004</t>
  </si>
  <si>
    <t>Astley Village</t>
  </si>
  <si>
    <t>ChorleyBretherton</t>
  </si>
  <si>
    <t>E2334P005</t>
  </si>
  <si>
    <t>Bretherton</t>
  </si>
  <si>
    <t>ChorleyBrindle</t>
  </si>
  <si>
    <t>E2334P006</t>
  </si>
  <si>
    <t>Brindle</t>
  </si>
  <si>
    <t>ChorleyCharnock Richard</t>
  </si>
  <si>
    <t>E2334P007</t>
  </si>
  <si>
    <t>Charnock Richard</t>
  </si>
  <si>
    <t>ChorleyClayton le Woods</t>
  </si>
  <si>
    <t>E2334P008</t>
  </si>
  <si>
    <t>Clayton le Woods</t>
  </si>
  <si>
    <t>ChorleyCoppull</t>
  </si>
  <si>
    <t>E2334P009</t>
  </si>
  <si>
    <t>Coppull</t>
  </si>
  <si>
    <t>ChorleyCroston</t>
  </si>
  <si>
    <t>E2334P010</t>
  </si>
  <si>
    <t>Croston</t>
  </si>
  <si>
    <t>ChorleyCuerden</t>
  </si>
  <si>
    <t>E2334P011</t>
  </si>
  <si>
    <t>Cuerden</t>
  </si>
  <si>
    <t>ChorleyEccleston</t>
  </si>
  <si>
    <t>E2334P012</t>
  </si>
  <si>
    <t>Eccleston</t>
  </si>
  <si>
    <t>ChorleyEuxton</t>
  </si>
  <si>
    <t>E2334P013</t>
  </si>
  <si>
    <t>Euxton</t>
  </si>
  <si>
    <t>ChorleyHeapey</t>
  </si>
  <si>
    <t>E2334P014</t>
  </si>
  <si>
    <t>Heapey</t>
  </si>
  <si>
    <t>ChorleyHeath Charnock</t>
  </si>
  <si>
    <t>E2334P015</t>
  </si>
  <si>
    <t>Heath Charnock</t>
  </si>
  <si>
    <t>ChorleyHeskin</t>
  </si>
  <si>
    <t>E2334P016</t>
  </si>
  <si>
    <t>Heskin</t>
  </si>
  <si>
    <t>ChorleyHoghton</t>
  </si>
  <si>
    <t>E2334P017</t>
  </si>
  <si>
    <t>Hoghton</t>
  </si>
  <si>
    <t>ChorleyMawdesley</t>
  </si>
  <si>
    <t>E2334P018</t>
  </si>
  <si>
    <t>Mawdesley</t>
  </si>
  <si>
    <t>ChorleyRivington</t>
  </si>
  <si>
    <t>E2334P019</t>
  </si>
  <si>
    <t>Rivington</t>
  </si>
  <si>
    <t>ChorleyUlnes Walton</t>
  </si>
  <si>
    <t>E2334P020</t>
  </si>
  <si>
    <t>Ulnes Walton</t>
  </si>
  <si>
    <t>ChorleyWheelton</t>
  </si>
  <si>
    <t>E2334P021</t>
  </si>
  <si>
    <t>Wheelton</t>
  </si>
  <si>
    <t>ChorleyWhittle le Woods</t>
  </si>
  <si>
    <t>E2334P022</t>
  </si>
  <si>
    <t>Whittle le Woods</t>
  </si>
  <si>
    <t>ChorleyWithnell</t>
  </si>
  <si>
    <t>E2334P023</t>
  </si>
  <si>
    <t>Withnell</t>
  </si>
  <si>
    <t>FyldeBryning with Warton</t>
  </si>
  <si>
    <t>E2335P001</t>
  </si>
  <si>
    <t>Bryning with Warton</t>
  </si>
  <si>
    <t>FyldeElswick</t>
  </si>
  <si>
    <t>E2335P002</t>
  </si>
  <si>
    <t>Elswick</t>
  </si>
  <si>
    <t>FyldeFreckleton</t>
  </si>
  <si>
    <t>E2335P003</t>
  </si>
  <si>
    <t>Freckleton</t>
  </si>
  <si>
    <t>FyldeGreenhalgh with Thistleton</t>
  </si>
  <si>
    <t>E2335P004</t>
  </si>
  <si>
    <t>Greenhalgh with Thistleton</t>
  </si>
  <si>
    <t>FyldeKirkham</t>
  </si>
  <si>
    <t>E2335P005</t>
  </si>
  <si>
    <t>Kirkham</t>
  </si>
  <si>
    <t>FyldeLittle Eccleston with Larbreck</t>
  </si>
  <si>
    <t>E2335P006</t>
  </si>
  <si>
    <t>Little Eccleston with Larbreck</t>
  </si>
  <si>
    <t>FyldeMedlar with Wesham</t>
  </si>
  <si>
    <t>E2335P007</t>
  </si>
  <si>
    <t>Medlar with Wesham</t>
  </si>
  <si>
    <t>FyldeNewton with Clifton</t>
  </si>
  <si>
    <t>E2335P008</t>
  </si>
  <si>
    <t>Newton with Clifton</t>
  </si>
  <si>
    <t>FyldeRibby with Wrea</t>
  </si>
  <si>
    <t>E2335P009</t>
  </si>
  <si>
    <t>Ribby with Wrea</t>
  </si>
  <si>
    <t>FyldeSaint Anne's on the Sea</t>
  </si>
  <si>
    <t>E2335P010</t>
  </si>
  <si>
    <t>Saint Anne's on the Sea</t>
  </si>
  <si>
    <t>FyldeSingleton</t>
  </si>
  <si>
    <t>E2335P011</t>
  </si>
  <si>
    <t>Singleton</t>
  </si>
  <si>
    <t>FyldeStaining</t>
  </si>
  <si>
    <t>E2335P012</t>
  </si>
  <si>
    <t>Staining</t>
  </si>
  <si>
    <t>FyldeTreales Roseacre and Wharles</t>
  </si>
  <si>
    <t>E2335P013</t>
  </si>
  <si>
    <t>Treales Roseacre and Wharles</t>
  </si>
  <si>
    <t>FyldeWeeton with Preese</t>
  </si>
  <si>
    <t>E2335P014</t>
  </si>
  <si>
    <t>Weeton with Preese</t>
  </si>
  <si>
    <t>FyldeWestby with Plumptons</t>
  </si>
  <si>
    <t>E2335P015</t>
  </si>
  <si>
    <t>Westby with Plumptons</t>
  </si>
  <si>
    <t>FyldeAnsdell</t>
  </si>
  <si>
    <t>E2335P016</t>
  </si>
  <si>
    <t>Ansdell</t>
  </si>
  <si>
    <t>FyldeLytham</t>
  </si>
  <si>
    <t>E2335P017</t>
  </si>
  <si>
    <t>Lytham</t>
  </si>
  <si>
    <t>HyndburnAltham</t>
  </si>
  <si>
    <t>E2336P001</t>
  </si>
  <si>
    <t>Altham</t>
  </si>
  <si>
    <t>LancasterArkholme with Cawood</t>
  </si>
  <si>
    <t>E2337P001</t>
  </si>
  <si>
    <t>Arkholme with Cawood</t>
  </si>
  <si>
    <t>LancasterBolton le Sands</t>
  </si>
  <si>
    <t>E2337P002</t>
  </si>
  <si>
    <t>Bolton le Sands</t>
  </si>
  <si>
    <t>LancasterBorwick</t>
  </si>
  <si>
    <t>E2337P003</t>
  </si>
  <si>
    <t>Borwick</t>
  </si>
  <si>
    <t>LancasterBurrow with Burrow</t>
  </si>
  <si>
    <t>E2337P004</t>
  </si>
  <si>
    <t>Burrow with Burrow</t>
  </si>
  <si>
    <t>LancasterCantsfield</t>
  </si>
  <si>
    <t>E2337P005</t>
  </si>
  <si>
    <t>Cantsfield</t>
  </si>
  <si>
    <t>LancasterCarnforth</t>
  </si>
  <si>
    <t>E2337P006</t>
  </si>
  <si>
    <t>Carnforth</t>
  </si>
  <si>
    <t>LancasterCaton with Littledale</t>
  </si>
  <si>
    <t>E2337P007</t>
  </si>
  <si>
    <t>Caton with Littledale</t>
  </si>
  <si>
    <t>LancasterClaughton</t>
  </si>
  <si>
    <t>E2337P008</t>
  </si>
  <si>
    <t>Claughton</t>
  </si>
  <si>
    <t>LancasterCockerham</t>
  </si>
  <si>
    <t>E2337P009</t>
  </si>
  <si>
    <t>Cockerham</t>
  </si>
  <si>
    <t>LancasterEllel</t>
  </si>
  <si>
    <t>E2337P010</t>
  </si>
  <si>
    <t>Ellel</t>
  </si>
  <si>
    <t>LancasterGressingham</t>
  </si>
  <si>
    <t>E2337P011</t>
  </si>
  <si>
    <t>Gressingham</t>
  </si>
  <si>
    <t>LancasterHalton with Aughton</t>
  </si>
  <si>
    <t>E2337P012</t>
  </si>
  <si>
    <t>Halton with Aughton</t>
  </si>
  <si>
    <t>LancasterHeaton with Oxcliffe</t>
  </si>
  <si>
    <t>E2337P013</t>
  </si>
  <si>
    <t>Heaton with Oxcliffe</t>
  </si>
  <si>
    <t>LancasterHornby with Farleton</t>
  </si>
  <si>
    <t>E2337P014</t>
  </si>
  <si>
    <t>Hornby with Farleton</t>
  </si>
  <si>
    <t>LancasterIreby and Leck</t>
  </si>
  <si>
    <t>E2337P015</t>
  </si>
  <si>
    <t>Ireby and Leck</t>
  </si>
  <si>
    <t>LancasterMelling with Wrayton</t>
  </si>
  <si>
    <t>E2337P017</t>
  </si>
  <si>
    <t>Melling with Wrayton</t>
  </si>
  <si>
    <t>LancasterMiddleton</t>
  </si>
  <si>
    <t>E2337P018</t>
  </si>
  <si>
    <t>LancasterMorecambe</t>
  </si>
  <si>
    <t>E2337P019</t>
  </si>
  <si>
    <t>Morecambe</t>
  </si>
  <si>
    <t>LancasterNether Kellet</t>
  </si>
  <si>
    <t>E2337P020</t>
  </si>
  <si>
    <t>Nether Kellet</t>
  </si>
  <si>
    <t>LancasterOver Kellet</t>
  </si>
  <si>
    <t>E2337P021</t>
  </si>
  <si>
    <t>Over Kellet</t>
  </si>
  <si>
    <t>LancasterOver Wyresdale</t>
  </si>
  <si>
    <t>E2337P022</t>
  </si>
  <si>
    <t>Over Wyresdale</t>
  </si>
  <si>
    <t>LancasterOverton</t>
  </si>
  <si>
    <t>E2337P023</t>
  </si>
  <si>
    <t>LancasterPriest Hutton</t>
  </si>
  <si>
    <t>E2337P024</t>
  </si>
  <si>
    <t>Priest Hutton</t>
  </si>
  <si>
    <t>LancasterQuernmore</t>
  </si>
  <si>
    <t>E2337P025</t>
  </si>
  <si>
    <t>Quernmore</t>
  </si>
  <si>
    <t>LancasterRoeburndale</t>
  </si>
  <si>
    <t>E2337P026</t>
  </si>
  <si>
    <t>Roeburndale</t>
  </si>
  <si>
    <t>LancasterScotforth</t>
  </si>
  <si>
    <t>E2337P027</t>
  </si>
  <si>
    <t>Scotforth</t>
  </si>
  <si>
    <t>LancasterSilverdale</t>
  </si>
  <si>
    <t>E2337P028</t>
  </si>
  <si>
    <t>Silverdale</t>
  </si>
  <si>
    <t>LancasterSlyne with Hest</t>
  </si>
  <si>
    <t>E2337P029</t>
  </si>
  <si>
    <t>Slyne with Hest</t>
  </si>
  <si>
    <t>LancasterTatham</t>
  </si>
  <si>
    <t>E2337P030</t>
  </si>
  <si>
    <t>Tatham</t>
  </si>
  <si>
    <t>LancasterThurnham</t>
  </si>
  <si>
    <t>E2337P031</t>
  </si>
  <si>
    <t>LancasterTunstall</t>
  </si>
  <si>
    <t>E2337P032</t>
  </si>
  <si>
    <t>LancasterWarton</t>
  </si>
  <si>
    <t>E2337P033</t>
  </si>
  <si>
    <t>Warton</t>
  </si>
  <si>
    <t>LancasterWennington</t>
  </si>
  <si>
    <t>E2337P034</t>
  </si>
  <si>
    <t>Wennington</t>
  </si>
  <si>
    <t>LancasterWhittington</t>
  </si>
  <si>
    <t>E2337P035</t>
  </si>
  <si>
    <t>LancasterWray with Botton</t>
  </si>
  <si>
    <t>E2337P036</t>
  </si>
  <si>
    <t>Wray with Botton</t>
  </si>
  <si>
    <t>LancasterAldcliffe with Stodday</t>
  </si>
  <si>
    <t>E2337P039</t>
  </si>
  <si>
    <t>Aldcliffe with Stodday</t>
  </si>
  <si>
    <t>LancasterThe Yealands</t>
  </si>
  <si>
    <t>E2337P040</t>
  </si>
  <si>
    <t>The Yealands</t>
  </si>
  <si>
    <t>PendleBarley with Wheatley Booth</t>
  </si>
  <si>
    <t>E2338P001</t>
  </si>
  <si>
    <t>Barley with Wheatley Booth</t>
  </si>
  <si>
    <t>PendleBarnoldswick</t>
  </si>
  <si>
    <t>E2338P002</t>
  </si>
  <si>
    <t>Barnoldswick</t>
  </si>
  <si>
    <t>PendleBarrowford</t>
  </si>
  <si>
    <t>E2338P003</t>
  </si>
  <si>
    <t>Barrowford</t>
  </si>
  <si>
    <t>PendleBlacko</t>
  </si>
  <si>
    <t>E2338P004</t>
  </si>
  <si>
    <t>Blacko</t>
  </si>
  <si>
    <t>PendleBrierfield</t>
  </si>
  <si>
    <t>E2338P006</t>
  </si>
  <si>
    <t>Brierfield</t>
  </si>
  <si>
    <t>PendleColne</t>
  </si>
  <si>
    <t>E2338P007</t>
  </si>
  <si>
    <t>PendleEarby</t>
  </si>
  <si>
    <t>E2338P008</t>
  </si>
  <si>
    <t>Earby</t>
  </si>
  <si>
    <t>PendleFoulridge</t>
  </si>
  <si>
    <t>E2338P009</t>
  </si>
  <si>
    <t>Foulridge</t>
  </si>
  <si>
    <t>PendleGoldshaw Booth</t>
  </si>
  <si>
    <t>E2338P010</t>
  </si>
  <si>
    <t>Goldshaw Booth</t>
  </si>
  <si>
    <t>PendleHigham with West Close Booth</t>
  </si>
  <si>
    <t>E2338P011</t>
  </si>
  <si>
    <t>Higham with West Close Booth</t>
  </si>
  <si>
    <t>PendleKelbrook and Sough</t>
  </si>
  <si>
    <t>E2338P012</t>
  </si>
  <si>
    <t>Kelbrook and Sough</t>
  </si>
  <si>
    <t>PendleLaneshaw Bridge</t>
  </si>
  <si>
    <t>E2338P013</t>
  </si>
  <si>
    <t>Laneshaw Bridge</t>
  </si>
  <si>
    <t>PendleNelson</t>
  </si>
  <si>
    <t>E2338P014</t>
  </si>
  <si>
    <t>Nelson</t>
  </si>
  <si>
    <t>PendleOld Laund Booth</t>
  </si>
  <si>
    <t>E2338P015</t>
  </si>
  <si>
    <t>Old Laund Booth</t>
  </si>
  <si>
    <t>PendleReedley Hallows</t>
  </si>
  <si>
    <t>E2338P016</t>
  </si>
  <si>
    <t>Reedley Hallows</t>
  </si>
  <si>
    <t>PendleRoughlee Booth</t>
  </si>
  <si>
    <t>E2338P017</t>
  </si>
  <si>
    <t>Roughlee Booth</t>
  </si>
  <si>
    <t>PendleSalterforth</t>
  </si>
  <si>
    <t>E2338P018</t>
  </si>
  <si>
    <t>Salterforth</t>
  </si>
  <si>
    <t>PendleTrawden Forest</t>
  </si>
  <si>
    <t>E2338P019</t>
  </si>
  <si>
    <t>Trawden Forest</t>
  </si>
  <si>
    <t>PrestonBarton</t>
  </si>
  <si>
    <t>E2339P001</t>
  </si>
  <si>
    <t>PrestonBroughton</t>
  </si>
  <si>
    <t>E2339P002</t>
  </si>
  <si>
    <t>PrestonGoosnargh</t>
  </si>
  <si>
    <t>E2339P003</t>
  </si>
  <si>
    <t>Goosnargh</t>
  </si>
  <si>
    <t>PrestonGrimsargh</t>
  </si>
  <si>
    <t>E2339P004</t>
  </si>
  <si>
    <t>Grimsargh</t>
  </si>
  <si>
    <t>PrestonHaighton</t>
  </si>
  <si>
    <t>E2339P005</t>
  </si>
  <si>
    <t>Haighton</t>
  </si>
  <si>
    <t>PrestonLea</t>
  </si>
  <si>
    <t>E2339P006</t>
  </si>
  <si>
    <t>PrestonWhittingham</t>
  </si>
  <si>
    <t>E2339P007</t>
  </si>
  <si>
    <t>Whittingham</t>
  </si>
  <si>
    <t>PrestonWoodplumpton</t>
  </si>
  <si>
    <t>E2339P008</t>
  </si>
  <si>
    <t>Woodplumpton</t>
  </si>
  <si>
    <t>PrestonIngol &amp; Tanterton</t>
  </si>
  <si>
    <t>E2339P009</t>
  </si>
  <si>
    <t>Ingol &amp; Tanterton</t>
  </si>
  <si>
    <t>Ribble ValleyAighton Bailey and Chaigley</t>
  </si>
  <si>
    <t>E2340P001</t>
  </si>
  <si>
    <t>Aighton Bailey and Chaigley</t>
  </si>
  <si>
    <t>Ribble ValleyBalderstone</t>
  </si>
  <si>
    <t>E2340P002</t>
  </si>
  <si>
    <t>Balderstone</t>
  </si>
  <si>
    <t>Ribble ValleyBashall Eaves (grouped with Great Mitton and Little Mitton)</t>
  </si>
  <si>
    <t>E2340P003</t>
  </si>
  <si>
    <t>Bashall Eaves (grouped with Great Mitton and Little Mitton)</t>
  </si>
  <si>
    <t>Ribble ValleyBillington and Langho</t>
  </si>
  <si>
    <t>E2340P004</t>
  </si>
  <si>
    <t>Billington and Langho</t>
  </si>
  <si>
    <t>Ribble ValleyBolton by Bowland (grouped with Gisburn Forest and Sawley)</t>
  </si>
  <si>
    <t>E2340P005</t>
  </si>
  <si>
    <t>Bolton by Bowland (grouped with Gisburn Forest and Sawley)</t>
  </si>
  <si>
    <t>Ribble ValleyBowland Forest High</t>
  </si>
  <si>
    <t>E2340P006</t>
  </si>
  <si>
    <t>Bowland Forest High</t>
  </si>
  <si>
    <t>Ribble ValleyBowland Forest Low</t>
  </si>
  <si>
    <t>E2340P007</t>
  </si>
  <si>
    <t>Bowland Forest Low</t>
  </si>
  <si>
    <t>Ribble ValleyBowland with Leagram</t>
  </si>
  <si>
    <t>E2340P008</t>
  </si>
  <si>
    <t>Bowland with Leagram</t>
  </si>
  <si>
    <t>Ribble ValleyChatburn</t>
  </si>
  <si>
    <t>E2340P009</t>
  </si>
  <si>
    <t>Chatburn</t>
  </si>
  <si>
    <t>Ribble ValleyChipping</t>
  </si>
  <si>
    <t>E2340P010</t>
  </si>
  <si>
    <t>Chipping</t>
  </si>
  <si>
    <t>Ribble ValleyClayton le Dale</t>
  </si>
  <si>
    <t>E2340P011</t>
  </si>
  <si>
    <t>Clayton le Dale</t>
  </si>
  <si>
    <t>Ribble ValleyClitheroe</t>
  </si>
  <si>
    <t>E2340P012</t>
  </si>
  <si>
    <t>Clitheroe</t>
  </si>
  <si>
    <t>Ribble ValleyDinckley</t>
  </si>
  <si>
    <t>E2340P013</t>
  </si>
  <si>
    <t>Dinckley</t>
  </si>
  <si>
    <t>Ribble ValleyDownham</t>
  </si>
  <si>
    <t>E2340P014</t>
  </si>
  <si>
    <t>Ribble ValleyDutton</t>
  </si>
  <si>
    <t>E2340P015</t>
  </si>
  <si>
    <t>Ribble ValleyEasington (grouped with Slaidburn)</t>
  </si>
  <si>
    <t>E2340P016</t>
  </si>
  <si>
    <t>Easington (grouped with Slaidburn)</t>
  </si>
  <si>
    <t>Ribble ValleyGisburn</t>
  </si>
  <si>
    <t>E2340P017</t>
  </si>
  <si>
    <t>Gisburn</t>
  </si>
  <si>
    <t>Ribble ValleyGisburn Forest (grouped with Bolton by Bowland and Sawley)</t>
  </si>
  <si>
    <t>E2340P018</t>
  </si>
  <si>
    <t>Gisburn Forest (grouped with Bolton by Bowland and Sawley)</t>
  </si>
  <si>
    <t>Ribble ValleyGreat Mitton (grouped with Bashall Eaves and Little Mitton)</t>
  </si>
  <si>
    <t>E2340P019</t>
  </si>
  <si>
    <t>Great Mitton (grouped with Bashall Eaves and Little Mitton)</t>
  </si>
  <si>
    <t>Ribble ValleyGrindleton</t>
  </si>
  <si>
    <t>E2340P020</t>
  </si>
  <si>
    <t>Grindleton</t>
  </si>
  <si>
    <t>Ribble ValleyHorton</t>
  </si>
  <si>
    <t>E2340P021</t>
  </si>
  <si>
    <t>Ribble ValleyHothersall</t>
  </si>
  <si>
    <t>E2340P022</t>
  </si>
  <si>
    <t>Hothersall</t>
  </si>
  <si>
    <t>Ribble ValleyLittle Mitton (grouped with Bashall Eaves and Great Mitton)</t>
  </si>
  <si>
    <t>E2340P023</t>
  </si>
  <si>
    <t>Little Mitton (grouped with Bashall Eaves and Great Mitton)</t>
  </si>
  <si>
    <t>Ribble ValleyLongridge</t>
  </si>
  <si>
    <t>E2340P024</t>
  </si>
  <si>
    <t>Longridge</t>
  </si>
  <si>
    <t>Ribble ValleyMearley</t>
  </si>
  <si>
    <t>E2340P025</t>
  </si>
  <si>
    <t>Mearley</t>
  </si>
  <si>
    <t>Ribble ValleyMellor</t>
  </si>
  <si>
    <t>E2340P026</t>
  </si>
  <si>
    <t>Mellor</t>
  </si>
  <si>
    <t>Ribble ValleyMiddop (grouped with Rimington)</t>
  </si>
  <si>
    <t>E2340P027</t>
  </si>
  <si>
    <t>Middop (grouped with Rimington)</t>
  </si>
  <si>
    <t>Ribble ValleyNewsholme</t>
  </si>
  <si>
    <t>E2340P028</t>
  </si>
  <si>
    <t>Newsholme</t>
  </si>
  <si>
    <t>Ribble ValleyNewton</t>
  </si>
  <si>
    <t>E2340P029</t>
  </si>
  <si>
    <t>Ribble ValleyOsbaldeston</t>
  </si>
  <si>
    <t>E2340P030</t>
  </si>
  <si>
    <t>Osbaldeston</t>
  </si>
  <si>
    <t>Ribble ValleyPaythorne</t>
  </si>
  <si>
    <t>E2340P031</t>
  </si>
  <si>
    <t>Paythorne</t>
  </si>
  <si>
    <t>Ribble ValleyPendleton</t>
  </si>
  <si>
    <t>E2340P032</t>
  </si>
  <si>
    <t>Pendleton</t>
  </si>
  <si>
    <t>Ribble ValleyRamsgreave</t>
  </si>
  <si>
    <t>E2340P033</t>
  </si>
  <si>
    <t>Ramsgreave</t>
  </si>
  <si>
    <t>Ribble ValleyRead</t>
  </si>
  <si>
    <t>E2340P034</t>
  </si>
  <si>
    <t>Read</t>
  </si>
  <si>
    <t>Ribble ValleyRibchester</t>
  </si>
  <si>
    <t>E2340P035</t>
  </si>
  <si>
    <t>Ribchester</t>
  </si>
  <si>
    <t>Ribble ValleyRimington (grouped with Middop)</t>
  </si>
  <si>
    <t>E2340P036</t>
  </si>
  <si>
    <t>Rimington (grouped with Middop)</t>
  </si>
  <si>
    <t>Ribble ValleySabden</t>
  </si>
  <si>
    <t>E2340P037</t>
  </si>
  <si>
    <t>Sabden</t>
  </si>
  <si>
    <t>Ribble ValleySalesbury</t>
  </si>
  <si>
    <t>E2340P038</t>
  </si>
  <si>
    <t>Salesbury</t>
  </si>
  <si>
    <t>Ribble ValleySawley (grouped with Bolton by Bowland and Gisburn Forest)</t>
  </si>
  <si>
    <t>E2340P039</t>
  </si>
  <si>
    <t>Sawley (grouped with Bolton by Bowland and Gisburn Forest)</t>
  </si>
  <si>
    <t>Ribble ValleySimonstone</t>
  </si>
  <si>
    <t>E2340P040</t>
  </si>
  <si>
    <t>Simonstone</t>
  </si>
  <si>
    <t>Ribble ValleySlaidburn (grouped with Easington)</t>
  </si>
  <si>
    <t>E2340P041</t>
  </si>
  <si>
    <t>Slaidburn (grouped with Easington)</t>
  </si>
  <si>
    <t>Ribble ValleyThornley with Wheatley</t>
  </si>
  <si>
    <t>E2340P042</t>
  </si>
  <si>
    <t>Thornley with Wheatley</t>
  </si>
  <si>
    <t>Ribble ValleyTwiston</t>
  </si>
  <si>
    <t>E2340P043</t>
  </si>
  <si>
    <t>Twiston</t>
  </si>
  <si>
    <t>Ribble ValleyWaddington</t>
  </si>
  <si>
    <t>E2340P044</t>
  </si>
  <si>
    <t>Waddington</t>
  </si>
  <si>
    <t>Ribble ValleyWest Bradford</t>
  </si>
  <si>
    <t>E2340P045</t>
  </si>
  <si>
    <t>West Bradford</t>
  </si>
  <si>
    <t>Ribble ValleyWhalley</t>
  </si>
  <si>
    <t>E2340P046</t>
  </si>
  <si>
    <t>Whalley</t>
  </si>
  <si>
    <t>Ribble ValleyWilpshire</t>
  </si>
  <si>
    <t>E2340P047</t>
  </si>
  <si>
    <t>Wilpshire</t>
  </si>
  <si>
    <t>Ribble ValleyWiswell</t>
  </si>
  <si>
    <t>E2340P048</t>
  </si>
  <si>
    <t>Wiswell</t>
  </si>
  <si>
    <t>Ribble ValleyWorston</t>
  </si>
  <si>
    <t>E2340P049</t>
  </si>
  <si>
    <t>Worston</t>
  </si>
  <si>
    <t>Ribble ValleyBarrow (previously part of Wiswell)</t>
  </si>
  <si>
    <t>E2340P050</t>
  </si>
  <si>
    <t>Barrow (previously part of Wiswell)</t>
  </si>
  <si>
    <t>RossendaleWhitworth</t>
  </si>
  <si>
    <t>E2341P001</t>
  </si>
  <si>
    <t>Whitworth</t>
  </si>
  <si>
    <t>South RibbleFarington</t>
  </si>
  <si>
    <t>E2342P002</t>
  </si>
  <si>
    <t>Farington</t>
  </si>
  <si>
    <t>South RibbleHutton</t>
  </si>
  <si>
    <t>E2342P003</t>
  </si>
  <si>
    <t>South RibbleLittle Hoole</t>
  </si>
  <si>
    <t>E2342P004</t>
  </si>
  <si>
    <t>Little Hoole</t>
  </si>
  <si>
    <t>South RibbleLongton</t>
  </si>
  <si>
    <t>E2342P005</t>
  </si>
  <si>
    <t>Longton</t>
  </si>
  <si>
    <t>South RibbleMuch Hoole</t>
  </si>
  <si>
    <t>E2342P006</t>
  </si>
  <si>
    <t>Much Hoole</t>
  </si>
  <si>
    <t>South RibblePenwortham</t>
  </si>
  <si>
    <t>E2342P007</t>
  </si>
  <si>
    <t>Penwortham</t>
  </si>
  <si>
    <t>South RibbleSamlesbury</t>
  </si>
  <si>
    <t>E2342P008</t>
  </si>
  <si>
    <t>Samlesbury</t>
  </si>
  <si>
    <t>West LancashireAughton</t>
  </si>
  <si>
    <t>E2343P001</t>
  </si>
  <si>
    <t>Aughton</t>
  </si>
  <si>
    <t>West LancashireBickerstaffe</t>
  </si>
  <si>
    <t>E2343P002</t>
  </si>
  <si>
    <t>Bickerstaffe</t>
  </si>
  <si>
    <t>West LancashireBispham</t>
  </si>
  <si>
    <t>E2343P003</t>
  </si>
  <si>
    <t>Bispham</t>
  </si>
  <si>
    <t>West LancashireBurscough</t>
  </si>
  <si>
    <t>E2343P004</t>
  </si>
  <si>
    <t>Burscough</t>
  </si>
  <si>
    <t>West LancashireDalton</t>
  </si>
  <si>
    <t>E2343P005</t>
  </si>
  <si>
    <t>Dalton</t>
  </si>
  <si>
    <t>West LancashireDownholland</t>
  </si>
  <si>
    <t>E2343P006</t>
  </si>
  <si>
    <t>Downholland</t>
  </si>
  <si>
    <t>West LancashireGreat Altcar</t>
  </si>
  <si>
    <t>E2343P007</t>
  </si>
  <si>
    <t>Great Altcar</t>
  </si>
  <si>
    <t>West LancashireHalsall</t>
  </si>
  <si>
    <t>E2343P008</t>
  </si>
  <si>
    <t>Halsall</t>
  </si>
  <si>
    <t>West LancashireHesketh with Becconsall</t>
  </si>
  <si>
    <t>E2343P009</t>
  </si>
  <si>
    <t>Hesketh with Becconsall</t>
  </si>
  <si>
    <t>West LancashireHilldale</t>
  </si>
  <si>
    <t>E2343P010</t>
  </si>
  <si>
    <t>Hilldale</t>
  </si>
  <si>
    <t>West LancashireLathom</t>
  </si>
  <si>
    <t>E2343P011</t>
  </si>
  <si>
    <t>Lathom</t>
  </si>
  <si>
    <t>West LancashireLathom South</t>
  </si>
  <si>
    <t>E2343P012</t>
  </si>
  <si>
    <t>Lathom South</t>
  </si>
  <si>
    <t>West LancashireNewburgh</t>
  </si>
  <si>
    <t>E2343P013</t>
  </si>
  <si>
    <t>Newburgh</t>
  </si>
  <si>
    <t>West LancashireNorth Meols</t>
  </si>
  <si>
    <t>E2343P014</t>
  </si>
  <si>
    <t>North Meols</t>
  </si>
  <si>
    <t>West LancashireParbold</t>
  </si>
  <si>
    <t>E2343P015</t>
  </si>
  <si>
    <t>Parbold</t>
  </si>
  <si>
    <t>West LancashireRufford</t>
  </si>
  <si>
    <t>E2343P016</t>
  </si>
  <si>
    <t>Rufford</t>
  </si>
  <si>
    <t>West LancashireScarisbrick</t>
  </si>
  <si>
    <t>E2343P017</t>
  </si>
  <si>
    <t>Scarisbrick</t>
  </si>
  <si>
    <t>West LancashireSimonswood</t>
  </si>
  <si>
    <t>E2343P018</t>
  </si>
  <si>
    <t>Simonswood</t>
  </si>
  <si>
    <t>West LancashireTarleton</t>
  </si>
  <si>
    <t>E2343P019</t>
  </si>
  <si>
    <t>Tarleton</t>
  </si>
  <si>
    <t>West LancashireUp Holland</t>
  </si>
  <si>
    <t>E2343P020</t>
  </si>
  <si>
    <t>Up Holland</t>
  </si>
  <si>
    <t>West LancashireWrightington</t>
  </si>
  <si>
    <t>E2343P021</t>
  </si>
  <si>
    <t>Wrightington</t>
  </si>
  <si>
    <t>WyreBarnacre with Bonds</t>
  </si>
  <si>
    <t>E2344P001</t>
  </si>
  <si>
    <t>Barnacre with Bonds</t>
  </si>
  <si>
    <t>WyreBleasdale</t>
  </si>
  <si>
    <t>E2344P002</t>
  </si>
  <si>
    <t>Bleasdale</t>
  </si>
  <si>
    <t>WyreCabus</t>
  </si>
  <si>
    <t>E2344P003</t>
  </si>
  <si>
    <t>Cabus</t>
  </si>
  <si>
    <t>WyreCatterall</t>
  </si>
  <si>
    <t>E2344P004</t>
  </si>
  <si>
    <t>Catterall</t>
  </si>
  <si>
    <t>WyreClaughton</t>
  </si>
  <si>
    <t>E2344P005</t>
  </si>
  <si>
    <t>WyreFleetwood</t>
  </si>
  <si>
    <t>E2344P006</t>
  </si>
  <si>
    <t>Fleetwood</t>
  </si>
  <si>
    <t>WyreForton</t>
  </si>
  <si>
    <t>E2344P007</t>
  </si>
  <si>
    <t>Forton</t>
  </si>
  <si>
    <t>WyreGarstang</t>
  </si>
  <si>
    <t>E2344P008</t>
  </si>
  <si>
    <t>Garstang</t>
  </si>
  <si>
    <t>WyreGreat Eccleston</t>
  </si>
  <si>
    <t>E2344P009</t>
  </si>
  <si>
    <t>Great Eccleston</t>
  </si>
  <si>
    <t>WyreHambleton</t>
  </si>
  <si>
    <t>E2344P010</t>
  </si>
  <si>
    <t>WyreInskip with Sowerby</t>
  </si>
  <si>
    <t>E2344P011</t>
  </si>
  <si>
    <t>Inskip with Sowerby</t>
  </si>
  <si>
    <t>WyreKirkland</t>
  </si>
  <si>
    <t>E2344P012</t>
  </si>
  <si>
    <t>Kirkland</t>
  </si>
  <si>
    <t>WyreMyerscough and Bilsborrow</t>
  </si>
  <si>
    <t>E2344P013</t>
  </si>
  <si>
    <t>Myerscough and Bilsborrow</t>
  </si>
  <si>
    <t>WyreNateby</t>
  </si>
  <si>
    <t>E2344P014</t>
  </si>
  <si>
    <t>WyreNether Wyresdale</t>
  </si>
  <si>
    <t>E2344P015</t>
  </si>
  <si>
    <t>Nether Wyresdale</t>
  </si>
  <si>
    <t>WyreOut Rawcliffe</t>
  </si>
  <si>
    <t>E2344P016</t>
  </si>
  <si>
    <t>Out Rawcliffe</t>
  </si>
  <si>
    <t>WyrePilling</t>
  </si>
  <si>
    <t>E2344P017</t>
  </si>
  <si>
    <t>Pilling</t>
  </si>
  <si>
    <t>WyrePreesall</t>
  </si>
  <si>
    <t>E2344P018</t>
  </si>
  <si>
    <t>Preesall</t>
  </si>
  <si>
    <t>WyreStalmine with Staynall</t>
  </si>
  <si>
    <t>E2344P019</t>
  </si>
  <si>
    <t>Stalmine with Staynall</t>
  </si>
  <si>
    <t>WyreUpper Rawcliffe with Tarnacre</t>
  </si>
  <si>
    <t>E2344P020</t>
  </si>
  <si>
    <t>Upper Rawcliffe with Tarnacre</t>
  </si>
  <si>
    <t>WyreWinmarleigh</t>
  </si>
  <si>
    <t>E2344P021</t>
  </si>
  <si>
    <t>Winmarleigh</t>
  </si>
  <si>
    <t>RutlandAshwell</t>
  </si>
  <si>
    <t>E2402P001</t>
  </si>
  <si>
    <t>RutlandAyston</t>
  </si>
  <si>
    <t>E2402P002</t>
  </si>
  <si>
    <t>Ayston</t>
  </si>
  <si>
    <t>RutlandBarleythorpe</t>
  </si>
  <si>
    <t>E2402P003</t>
  </si>
  <si>
    <t>Barleythorpe</t>
  </si>
  <si>
    <t>RutlandBarrow</t>
  </si>
  <si>
    <t>E2402P004</t>
  </si>
  <si>
    <t>RutlandBarrowden</t>
  </si>
  <si>
    <t>E2402P005</t>
  </si>
  <si>
    <t>Barrowden</t>
  </si>
  <si>
    <t>RutlandBeaumont Chase</t>
  </si>
  <si>
    <t>E2402P006</t>
  </si>
  <si>
    <t>Beaumont Chase</t>
  </si>
  <si>
    <t>RutlandBelton in Rutland</t>
  </si>
  <si>
    <t>E2402P007</t>
  </si>
  <si>
    <t>Belton in Rutland</t>
  </si>
  <si>
    <t>RutlandBisbrooke</t>
  </si>
  <si>
    <t>E2402P008</t>
  </si>
  <si>
    <t>Bisbrooke</t>
  </si>
  <si>
    <t>RutlandBraunston in Rutland</t>
  </si>
  <si>
    <t>E2402P009</t>
  </si>
  <si>
    <t>Braunston in Rutland</t>
  </si>
  <si>
    <t>RutlandBrooke</t>
  </si>
  <si>
    <t>E2402P010</t>
  </si>
  <si>
    <t>Brooke</t>
  </si>
  <si>
    <t>RutlandBurley</t>
  </si>
  <si>
    <t>E2402P011</t>
  </si>
  <si>
    <t>RutlandCaldecott</t>
  </si>
  <si>
    <t>E2402P012</t>
  </si>
  <si>
    <t>Caldecott</t>
  </si>
  <si>
    <t>RutlandClipsham</t>
  </si>
  <si>
    <t>E2402P013</t>
  </si>
  <si>
    <t>Clipsham</t>
  </si>
  <si>
    <t>RutlandCottesmore</t>
  </si>
  <si>
    <t>E2402P014</t>
  </si>
  <si>
    <t>Cottesmore</t>
  </si>
  <si>
    <t>RutlandEdith Weston</t>
  </si>
  <si>
    <t>E2402P015</t>
  </si>
  <si>
    <t>Edith Weston</t>
  </si>
  <si>
    <t>RutlandEgleton</t>
  </si>
  <si>
    <t>E2402P016</t>
  </si>
  <si>
    <t>Egleton</t>
  </si>
  <si>
    <t>RutlandEmpingham</t>
  </si>
  <si>
    <t>E2402P017</t>
  </si>
  <si>
    <t>Empingham</t>
  </si>
  <si>
    <t>RutlandEssendine</t>
  </si>
  <si>
    <t>E2402P018</t>
  </si>
  <si>
    <t>Essendine</t>
  </si>
  <si>
    <t>RutlandGlaston</t>
  </si>
  <si>
    <t>E2402P020</t>
  </si>
  <si>
    <t>Glaston</t>
  </si>
  <si>
    <t>RutlandGreat Casterton</t>
  </si>
  <si>
    <t>E2402P021</t>
  </si>
  <si>
    <t>Great Casterton</t>
  </si>
  <si>
    <t>RutlandGreetham</t>
  </si>
  <si>
    <t>E2402P022</t>
  </si>
  <si>
    <t>Greetham</t>
  </si>
  <si>
    <t>RutlandGunthorpe</t>
  </si>
  <si>
    <t>E2402P023</t>
  </si>
  <si>
    <t>Gunthorpe</t>
  </si>
  <si>
    <t>RutlandHambleton</t>
  </si>
  <si>
    <t>E2402P024</t>
  </si>
  <si>
    <t>RutlandKetton</t>
  </si>
  <si>
    <t>E2402P026</t>
  </si>
  <si>
    <t>Ketton</t>
  </si>
  <si>
    <t>RutlandLangham</t>
  </si>
  <si>
    <t>E2402P027</t>
  </si>
  <si>
    <t>RutlandLeighfield</t>
  </si>
  <si>
    <t>E2402P028</t>
  </si>
  <si>
    <t>Leighfield</t>
  </si>
  <si>
    <t>RutlandLittle Casterton</t>
  </si>
  <si>
    <t>E2402P029</t>
  </si>
  <si>
    <t>Little Casterton</t>
  </si>
  <si>
    <t>RutlandLyddington</t>
  </si>
  <si>
    <t>E2402P030</t>
  </si>
  <si>
    <t>Lyddington</t>
  </si>
  <si>
    <t>RutlandLyndon</t>
  </si>
  <si>
    <t>E2402P031</t>
  </si>
  <si>
    <t>Lyndon</t>
  </si>
  <si>
    <t>RutlandManton</t>
  </si>
  <si>
    <t>E2402P032</t>
  </si>
  <si>
    <t>RutlandMarket Overton</t>
  </si>
  <si>
    <t>E2402P033</t>
  </si>
  <si>
    <t>Market Overton</t>
  </si>
  <si>
    <t>RutlandMartinsthorpe</t>
  </si>
  <si>
    <t>E2402P034</t>
  </si>
  <si>
    <t>Martinsthorpe</t>
  </si>
  <si>
    <t>RutlandMorcott</t>
  </si>
  <si>
    <t>E2402P035</t>
  </si>
  <si>
    <t>Morcott</t>
  </si>
  <si>
    <t>RutlandNormanton</t>
  </si>
  <si>
    <t>E2402P036</t>
  </si>
  <si>
    <t>Normanton</t>
  </si>
  <si>
    <t>RutlandNorth Luffenham</t>
  </si>
  <si>
    <t>E2402P037</t>
  </si>
  <si>
    <t>North Luffenham</t>
  </si>
  <si>
    <t>RutlandOakham</t>
  </si>
  <si>
    <t>E2402P038</t>
  </si>
  <si>
    <t>Oakham</t>
  </si>
  <si>
    <t>RutlandPickworth</t>
  </si>
  <si>
    <t>E2402P039</t>
  </si>
  <si>
    <t>Pickworth</t>
  </si>
  <si>
    <t>RutlandPilton</t>
  </si>
  <si>
    <t>E2402P040</t>
  </si>
  <si>
    <t>Pilton</t>
  </si>
  <si>
    <t>RutlandPreston</t>
  </si>
  <si>
    <t>E2402P041</t>
  </si>
  <si>
    <t>RutlandRidlington</t>
  </si>
  <si>
    <t>E2402P042</t>
  </si>
  <si>
    <t>Ridlington</t>
  </si>
  <si>
    <t>RutlandRyhall</t>
  </si>
  <si>
    <t>E2402P043</t>
  </si>
  <si>
    <t>Ryhall</t>
  </si>
  <si>
    <t>RutlandSeaton</t>
  </si>
  <si>
    <t>E2402P044</t>
  </si>
  <si>
    <t>RutlandSouth Luffenham</t>
  </si>
  <si>
    <t>E2402P045</t>
  </si>
  <si>
    <t>South Luffenham</t>
  </si>
  <si>
    <t>RutlandStoke Dry</t>
  </si>
  <si>
    <t>E2402P046</t>
  </si>
  <si>
    <t>Stoke Dry</t>
  </si>
  <si>
    <t>RutlandStretton</t>
  </si>
  <si>
    <t>E2402P047</t>
  </si>
  <si>
    <t>RutlandTeigh</t>
  </si>
  <si>
    <t>E2402P048</t>
  </si>
  <si>
    <t>Teigh</t>
  </si>
  <si>
    <t>RutlandThistleton</t>
  </si>
  <si>
    <t>E2402P049</t>
  </si>
  <si>
    <t>Thistleton</t>
  </si>
  <si>
    <t>RutlandThorpe by Water</t>
  </si>
  <si>
    <t>E2402P050</t>
  </si>
  <si>
    <t>Thorpe by Water</t>
  </si>
  <si>
    <t>RutlandTickencote</t>
  </si>
  <si>
    <t>E2402P051</t>
  </si>
  <si>
    <t>Tickencote</t>
  </si>
  <si>
    <t>RutlandTinwell</t>
  </si>
  <si>
    <t>E2402P052</t>
  </si>
  <si>
    <t>Tinwell</t>
  </si>
  <si>
    <t>RutlandTixover</t>
  </si>
  <si>
    <t>E2402P053</t>
  </si>
  <si>
    <t>Tixover</t>
  </si>
  <si>
    <t>RutlandUppingham</t>
  </si>
  <si>
    <t>E2402P054</t>
  </si>
  <si>
    <t>Uppingham</t>
  </si>
  <si>
    <t>RutlandWardley</t>
  </si>
  <si>
    <t>E2402P055</t>
  </si>
  <si>
    <t>Wardley</t>
  </si>
  <si>
    <t>RutlandWhissendine</t>
  </si>
  <si>
    <t>E2402P056</t>
  </si>
  <si>
    <t>Whissendine</t>
  </si>
  <si>
    <t>RutlandWhitwell</t>
  </si>
  <si>
    <t>E2402P057</t>
  </si>
  <si>
    <t>RutlandWing</t>
  </si>
  <si>
    <t>E2402P058</t>
  </si>
  <si>
    <t>RutlandExton and Horn</t>
  </si>
  <si>
    <t>E2402P059</t>
  </si>
  <si>
    <t>Exton and Horn</t>
  </si>
  <si>
    <t>BlabyAston Flamville</t>
  </si>
  <si>
    <t>E2431P001</t>
  </si>
  <si>
    <t>Aston Flamville</t>
  </si>
  <si>
    <t>BlabyBlaby</t>
  </si>
  <si>
    <t>E2431P002</t>
  </si>
  <si>
    <t>BlabyBraunstone Town</t>
  </si>
  <si>
    <t>E2431P003</t>
  </si>
  <si>
    <t>Braunstone Town</t>
  </si>
  <si>
    <t>BlabyCosby</t>
  </si>
  <si>
    <t>E2431P004</t>
  </si>
  <si>
    <t>Cosby</t>
  </si>
  <si>
    <t>BlabyCountesthorpe</t>
  </si>
  <si>
    <t>E2431P005</t>
  </si>
  <si>
    <t>Countesthorpe</t>
  </si>
  <si>
    <t>BlabyCroft</t>
  </si>
  <si>
    <t>E2431P006</t>
  </si>
  <si>
    <t>BlabyElmesthorpe</t>
  </si>
  <si>
    <t>E2431P007</t>
  </si>
  <si>
    <t>Elmesthorpe</t>
  </si>
  <si>
    <t>BlabyEnderby</t>
  </si>
  <si>
    <t>E2431P008</t>
  </si>
  <si>
    <t>Enderby</t>
  </si>
  <si>
    <t>BlabyGlen Parva</t>
  </si>
  <si>
    <t>E2431P009</t>
  </si>
  <si>
    <t>Glen Parva</t>
  </si>
  <si>
    <t>BlabyGlenfield</t>
  </si>
  <si>
    <t>E2431P010</t>
  </si>
  <si>
    <t>Glenfield</t>
  </si>
  <si>
    <t>BlabyHuncote</t>
  </si>
  <si>
    <t>E2431P011</t>
  </si>
  <si>
    <t>Huncote</t>
  </si>
  <si>
    <t>BlabyKilby</t>
  </si>
  <si>
    <t>E2431P012</t>
  </si>
  <si>
    <t>Kilby</t>
  </si>
  <si>
    <t>BlabyKirby Muxloe</t>
  </si>
  <si>
    <t>E2431P013</t>
  </si>
  <si>
    <t>Kirby Muxloe</t>
  </si>
  <si>
    <t>BlabyLeicester Forest East</t>
  </si>
  <si>
    <t>E2431P014</t>
  </si>
  <si>
    <t>Leicester Forest East</t>
  </si>
  <si>
    <t>BlabyLeicester Forest West</t>
  </si>
  <si>
    <t>E2431P015</t>
  </si>
  <si>
    <t>Leicester Forest West</t>
  </si>
  <si>
    <t>BlabyLubbesthorpe</t>
  </si>
  <si>
    <t>E2431P016</t>
  </si>
  <si>
    <t>Lubbesthorpe</t>
  </si>
  <si>
    <t>BlabyNarborough</t>
  </si>
  <si>
    <t>E2431P017</t>
  </si>
  <si>
    <t>Narborough</t>
  </si>
  <si>
    <t>BlabyPotters Marston</t>
  </si>
  <si>
    <t>E2431P018</t>
  </si>
  <si>
    <t>Potters Marston</t>
  </si>
  <si>
    <t>BlabySapcote</t>
  </si>
  <si>
    <t>E2431P019</t>
  </si>
  <si>
    <t>Sapcote</t>
  </si>
  <si>
    <t>BlabySharnford</t>
  </si>
  <si>
    <t>E2431P020</t>
  </si>
  <si>
    <t>Sharnford</t>
  </si>
  <si>
    <t>BlabyStoney Stanton</t>
  </si>
  <si>
    <t>E2431P021</t>
  </si>
  <si>
    <t>Stoney Stanton</t>
  </si>
  <si>
    <t>BlabyThurlaston</t>
  </si>
  <si>
    <t>E2431P022</t>
  </si>
  <si>
    <t>Thurlaston</t>
  </si>
  <si>
    <t>BlabyWhetstone</t>
  </si>
  <si>
    <t>E2431P023</t>
  </si>
  <si>
    <t>Whetstone</t>
  </si>
  <si>
    <t>BlabyWigston Parva</t>
  </si>
  <si>
    <t>E2431P024</t>
  </si>
  <si>
    <t>Wigston Parva</t>
  </si>
  <si>
    <t>CharnwoodAnstey</t>
  </si>
  <si>
    <t>E2432P001</t>
  </si>
  <si>
    <t>CharnwoodBarkby</t>
  </si>
  <si>
    <t>E2432P002</t>
  </si>
  <si>
    <t>Barkby</t>
  </si>
  <si>
    <t>CharnwoodBarkby Thorpe</t>
  </si>
  <si>
    <t>E2432P003</t>
  </si>
  <si>
    <t>Barkby Thorpe</t>
  </si>
  <si>
    <t>CharnwoodBarrow upon Soar</t>
  </si>
  <si>
    <t>E2432P004</t>
  </si>
  <si>
    <t>Barrow upon Soar</t>
  </si>
  <si>
    <t>CharnwoodBeeby</t>
  </si>
  <si>
    <t>E2432P005</t>
  </si>
  <si>
    <t>Beeby</t>
  </si>
  <si>
    <t>CharnwoodBirstall</t>
  </si>
  <si>
    <t>E2432P006</t>
  </si>
  <si>
    <t>Birstall</t>
  </si>
  <si>
    <t>CharnwoodBurton on the Wolds</t>
  </si>
  <si>
    <t>E2432P007</t>
  </si>
  <si>
    <t>Burton on the Wolds</t>
  </si>
  <si>
    <t>CharnwoodCossington</t>
  </si>
  <si>
    <t>E2432P008</t>
  </si>
  <si>
    <t>Cossington</t>
  </si>
  <si>
    <t>CharnwoodCotes</t>
  </si>
  <si>
    <t>E2432P009</t>
  </si>
  <si>
    <t>Cotes</t>
  </si>
  <si>
    <t>CharnwoodEast Goscote</t>
  </si>
  <si>
    <t>E2432P010</t>
  </si>
  <si>
    <t>East Goscote</t>
  </si>
  <si>
    <t>CharnwoodHamilton Lea</t>
  </si>
  <si>
    <t>E2432P011</t>
  </si>
  <si>
    <t>Hamilton Lea</t>
  </si>
  <si>
    <t>CharnwoodHathern</t>
  </si>
  <si>
    <t>E2432P012</t>
  </si>
  <si>
    <t>Hathern</t>
  </si>
  <si>
    <t>CharnwoodHoton</t>
  </si>
  <si>
    <t>E2432P013</t>
  </si>
  <si>
    <t>Hoton</t>
  </si>
  <si>
    <t>CharnwoodMountsorrel</t>
  </si>
  <si>
    <t>E2432P014</t>
  </si>
  <si>
    <t>Mountsorrel</t>
  </si>
  <si>
    <t>CharnwoodNewtown Linford</t>
  </si>
  <si>
    <t>E2432P015</t>
  </si>
  <si>
    <t>Newtown Linford</t>
  </si>
  <si>
    <t>CharnwoodPrestwold</t>
  </si>
  <si>
    <t>E2432P016</t>
  </si>
  <si>
    <t>Prestwold</t>
  </si>
  <si>
    <t>CharnwoodQueniborough</t>
  </si>
  <si>
    <t>E2432P017</t>
  </si>
  <si>
    <t>Queniborough</t>
  </si>
  <si>
    <t>CharnwoodQuorndon</t>
  </si>
  <si>
    <t>E2432P018</t>
  </si>
  <si>
    <t>Quorndon</t>
  </si>
  <si>
    <t>CharnwoodRatcliffe on the Wreake</t>
  </si>
  <si>
    <t>E2432P019</t>
  </si>
  <si>
    <t>Ratcliffe on the Wreake</t>
  </si>
  <si>
    <t>CharnwoodRearsby</t>
  </si>
  <si>
    <t>E2432P020</t>
  </si>
  <si>
    <t>Rearsby</t>
  </si>
  <si>
    <t>CharnwoodRothley</t>
  </si>
  <si>
    <t>E2432P021</t>
  </si>
  <si>
    <t>Rothley</t>
  </si>
  <si>
    <t>CharnwoodSeagrave</t>
  </si>
  <si>
    <t>E2432P022</t>
  </si>
  <si>
    <t>Seagrave</t>
  </si>
  <si>
    <t>CharnwoodShepshed</t>
  </si>
  <si>
    <t>E2432P023</t>
  </si>
  <si>
    <t>Shepshed</t>
  </si>
  <si>
    <t>CharnwoodSileby</t>
  </si>
  <si>
    <t>E2432P024</t>
  </si>
  <si>
    <t>Sileby</t>
  </si>
  <si>
    <t>CharnwoodSouth Croxton</t>
  </si>
  <si>
    <t>E2432P025</t>
  </si>
  <si>
    <t>South Croxton</t>
  </si>
  <si>
    <t>CharnwoodStonebow Village</t>
  </si>
  <si>
    <t>E2432P026</t>
  </si>
  <si>
    <t>Stonebow Village</t>
  </si>
  <si>
    <t>CharnwoodSwithland</t>
  </si>
  <si>
    <t>E2432P027</t>
  </si>
  <si>
    <t>Swithland</t>
  </si>
  <si>
    <t>CharnwoodSyston</t>
  </si>
  <si>
    <t>E2432P028</t>
  </si>
  <si>
    <t>Syston</t>
  </si>
  <si>
    <t>CharnwoodThrussington</t>
  </si>
  <si>
    <t>E2432P029</t>
  </si>
  <si>
    <t>Thrussington</t>
  </si>
  <si>
    <t>CharnwoodThurcaston and Cropston</t>
  </si>
  <si>
    <t>E2432P030</t>
  </si>
  <si>
    <t>Thurcaston and Cropston</t>
  </si>
  <si>
    <t>CharnwoodThurmaston</t>
  </si>
  <si>
    <t>E2432P031</t>
  </si>
  <si>
    <t>Thurmaston</t>
  </si>
  <si>
    <t>CharnwoodUlverscroft</t>
  </si>
  <si>
    <t>E2432P032</t>
  </si>
  <si>
    <t>Ulverscroft</t>
  </si>
  <si>
    <t>CharnwoodWalton on the Wolds</t>
  </si>
  <si>
    <t>E2432P033</t>
  </si>
  <si>
    <t>Walton on the Wolds</t>
  </si>
  <si>
    <t>CharnwoodWanlip</t>
  </si>
  <si>
    <t>E2432P034</t>
  </si>
  <si>
    <t>Wanlip</t>
  </si>
  <si>
    <t>CharnwoodWoodhouse</t>
  </si>
  <si>
    <t>E2432P035</t>
  </si>
  <si>
    <t>Woodhouse</t>
  </si>
  <si>
    <t>CharnwoodWymeswold</t>
  </si>
  <si>
    <t>E2432P036</t>
  </si>
  <si>
    <t>Wymeswold</t>
  </si>
  <si>
    <t>HarboroughAllexton</t>
  </si>
  <si>
    <t>E2433P001</t>
  </si>
  <si>
    <t>Allexton</t>
  </si>
  <si>
    <t>HarboroughArnesby</t>
  </si>
  <si>
    <t>E2433P002</t>
  </si>
  <si>
    <t>Arnesby</t>
  </si>
  <si>
    <t>HarboroughAshby Magna</t>
  </si>
  <si>
    <t>E2433P003</t>
  </si>
  <si>
    <t>Ashby Magna</t>
  </si>
  <si>
    <t>HarboroughAshby Parva</t>
  </si>
  <si>
    <t>E2433P004</t>
  </si>
  <si>
    <t>Ashby Parva</t>
  </si>
  <si>
    <t>HarboroughBillesdon</t>
  </si>
  <si>
    <t>E2433P005</t>
  </si>
  <si>
    <t>Billesdon</t>
  </si>
  <si>
    <t>HarboroughBlaston</t>
  </si>
  <si>
    <t>E2433P008</t>
  </si>
  <si>
    <t>Blaston</t>
  </si>
  <si>
    <t>HarboroughBringhurst</t>
  </si>
  <si>
    <t>E2433P009</t>
  </si>
  <si>
    <t>Bringhurst</t>
  </si>
  <si>
    <t>HarboroughBroughton Astley</t>
  </si>
  <si>
    <t>E2433P010</t>
  </si>
  <si>
    <t>Broughton Astley</t>
  </si>
  <si>
    <t>HarboroughBruntingthorpe</t>
  </si>
  <si>
    <t>E2433P011</t>
  </si>
  <si>
    <t>Bruntingthorpe</t>
  </si>
  <si>
    <t>HarboroughBurton Overy</t>
  </si>
  <si>
    <t>E2433P012</t>
  </si>
  <si>
    <t>Burton Overy</t>
  </si>
  <si>
    <t>HarboroughCarlton Curlieu</t>
  </si>
  <si>
    <t>E2433P013</t>
  </si>
  <si>
    <t>Carlton Curlieu</t>
  </si>
  <si>
    <t>HarboroughCatthorpe</t>
  </si>
  <si>
    <t>E2433P014</t>
  </si>
  <si>
    <t>Catthorpe</t>
  </si>
  <si>
    <t>HarboroughClaybrooke Magna</t>
  </si>
  <si>
    <t>E2433P015</t>
  </si>
  <si>
    <t>Claybrooke Magna</t>
  </si>
  <si>
    <t>HarboroughClaybrooke Parva</t>
  </si>
  <si>
    <t>E2433P016</t>
  </si>
  <si>
    <t>Claybrooke Parva</t>
  </si>
  <si>
    <t>HarboroughCold Newton</t>
  </si>
  <si>
    <t>E2433P017</t>
  </si>
  <si>
    <t>Cold Newton</t>
  </si>
  <si>
    <t>HarboroughCotesbach</t>
  </si>
  <si>
    <t>E2433P018</t>
  </si>
  <si>
    <t>Cotesbach</t>
  </si>
  <si>
    <t>HarboroughCranoe</t>
  </si>
  <si>
    <t>E2433P019</t>
  </si>
  <si>
    <t>Cranoe</t>
  </si>
  <si>
    <t>HarboroughDrayton</t>
  </si>
  <si>
    <t>E2433P020</t>
  </si>
  <si>
    <t>Drayton</t>
  </si>
  <si>
    <t>HarboroughDunton Bassett</t>
  </si>
  <si>
    <t>E2433P021</t>
  </si>
  <si>
    <t>Dunton Bassett</t>
  </si>
  <si>
    <t>HarboroughEast Langton</t>
  </si>
  <si>
    <t>E2433P022</t>
  </si>
  <si>
    <t>East Langton</t>
  </si>
  <si>
    <t>HarboroughEast Norton</t>
  </si>
  <si>
    <t>E2433P023</t>
  </si>
  <si>
    <t>East Norton</t>
  </si>
  <si>
    <t>HarboroughFleckney</t>
  </si>
  <si>
    <t>E2433P024</t>
  </si>
  <si>
    <t>Fleckney</t>
  </si>
  <si>
    <t>HarboroughFoxton</t>
  </si>
  <si>
    <t>E2433P025</t>
  </si>
  <si>
    <t>HarboroughFrisby</t>
  </si>
  <si>
    <t>E2433P026</t>
  </si>
  <si>
    <t>Frisby</t>
  </si>
  <si>
    <t>HarboroughFrolesworth</t>
  </si>
  <si>
    <t>E2433P027</t>
  </si>
  <si>
    <t>Frolesworth</t>
  </si>
  <si>
    <t>HarboroughGaulby</t>
  </si>
  <si>
    <t>E2433P028</t>
  </si>
  <si>
    <t>Gaulby</t>
  </si>
  <si>
    <t>HarboroughGilmorton</t>
  </si>
  <si>
    <t>E2433P029</t>
  </si>
  <si>
    <t>Gilmorton</t>
  </si>
  <si>
    <t>HarboroughGlooston</t>
  </si>
  <si>
    <t>E2433P030</t>
  </si>
  <si>
    <t>Glooston</t>
  </si>
  <si>
    <t>HarboroughGoadby</t>
  </si>
  <si>
    <t>E2433P031</t>
  </si>
  <si>
    <t>Goadby</t>
  </si>
  <si>
    <t>HarboroughGreat Bowden</t>
  </si>
  <si>
    <t>E2433P032</t>
  </si>
  <si>
    <t>Great Bowden</t>
  </si>
  <si>
    <t>HarboroughGreat Easton</t>
  </si>
  <si>
    <t>E2433P033</t>
  </si>
  <si>
    <t>Great Easton</t>
  </si>
  <si>
    <t>HarboroughGreat Glen</t>
  </si>
  <si>
    <t>E2433P034</t>
  </si>
  <si>
    <t>Great Glen</t>
  </si>
  <si>
    <t>HarboroughGumley</t>
  </si>
  <si>
    <t>E2433P035</t>
  </si>
  <si>
    <t>Gumley</t>
  </si>
  <si>
    <t>HarboroughHallaton</t>
  </si>
  <si>
    <t>E2433P036</t>
  </si>
  <si>
    <t>Hallaton</t>
  </si>
  <si>
    <t>HarboroughHorninghold</t>
  </si>
  <si>
    <t>E2433P037</t>
  </si>
  <si>
    <t>Horninghold</t>
  </si>
  <si>
    <t>HarboroughHoughton on the Hill</t>
  </si>
  <si>
    <t>E2433P038</t>
  </si>
  <si>
    <t>Houghton on the Hill</t>
  </si>
  <si>
    <t>HarboroughHungarton</t>
  </si>
  <si>
    <t>E2433P039</t>
  </si>
  <si>
    <t>Hungarton</t>
  </si>
  <si>
    <t>HarboroughHusbands Bosworth</t>
  </si>
  <si>
    <t>E2433P040</t>
  </si>
  <si>
    <t>Husbands Bosworth</t>
  </si>
  <si>
    <t>HarboroughIllston on the Hill</t>
  </si>
  <si>
    <t>E2433P041</t>
  </si>
  <si>
    <t>Illston on the Hill</t>
  </si>
  <si>
    <t>HarboroughKeyham</t>
  </si>
  <si>
    <t>E2433P042</t>
  </si>
  <si>
    <t>Keyham</t>
  </si>
  <si>
    <t>HarboroughKibworth Beauchamp</t>
  </si>
  <si>
    <t>E2433P043</t>
  </si>
  <si>
    <t>Kibworth Beauchamp</t>
  </si>
  <si>
    <t>HarboroughKibworth Harcourt</t>
  </si>
  <si>
    <t>E2433P044</t>
  </si>
  <si>
    <t>Kibworth Harcourt</t>
  </si>
  <si>
    <t>HarboroughKimcote and Walton</t>
  </si>
  <si>
    <t>E2433P045</t>
  </si>
  <si>
    <t>Kimcote and Walton</t>
  </si>
  <si>
    <t>HarboroughKing's Norton</t>
  </si>
  <si>
    <t>E2433P046</t>
  </si>
  <si>
    <t>King's Norton</t>
  </si>
  <si>
    <t>HarboroughKnaptoft</t>
  </si>
  <si>
    <t>E2433P047</t>
  </si>
  <si>
    <t>Knaptoft</t>
  </si>
  <si>
    <t>HarboroughLaughton</t>
  </si>
  <si>
    <t>E2433P048</t>
  </si>
  <si>
    <t>HarboroughLaunde</t>
  </si>
  <si>
    <t>E2433P049</t>
  </si>
  <si>
    <t>Launde</t>
  </si>
  <si>
    <t>HarboroughLeire</t>
  </si>
  <si>
    <t>E2433P050</t>
  </si>
  <si>
    <t>Leire</t>
  </si>
  <si>
    <t>HarboroughLittle Stretton</t>
  </si>
  <si>
    <t>E2433P051</t>
  </si>
  <si>
    <t>Little Stretton</t>
  </si>
  <si>
    <t>HarboroughLoddington</t>
  </si>
  <si>
    <t>E2433P052</t>
  </si>
  <si>
    <t>Loddington</t>
  </si>
  <si>
    <t>HarboroughLowesby</t>
  </si>
  <si>
    <t>E2433P053</t>
  </si>
  <si>
    <t>Lowesby</t>
  </si>
  <si>
    <t>HarboroughLubenham</t>
  </si>
  <si>
    <t>E2433P054</t>
  </si>
  <si>
    <t>Lubenham</t>
  </si>
  <si>
    <t>HarboroughLutterworth</t>
  </si>
  <si>
    <t>E2433P055</t>
  </si>
  <si>
    <t>Lutterworth</t>
  </si>
  <si>
    <t>HarboroughMarefield</t>
  </si>
  <si>
    <t>E2433P056</t>
  </si>
  <si>
    <t>Marefield</t>
  </si>
  <si>
    <t>HarboroughMedbourne</t>
  </si>
  <si>
    <t>E2433P057</t>
  </si>
  <si>
    <t>Medbourne</t>
  </si>
  <si>
    <t>HarboroughMisterton with Walcote</t>
  </si>
  <si>
    <t>E2433P058</t>
  </si>
  <si>
    <t>Misterton with Walcote</t>
  </si>
  <si>
    <t>HarboroughMowsley</t>
  </si>
  <si>
    <t>E2433P059</t>
  </si>
  <si>
    <t>Mowsley</t>
  </si>
  <si>
    <t>HarboroughNevill Holt</t>
  </si>
  <si>
    <t>E2433P060</t>
  </si>
  <si>
    <t>Nevill Holt</t>
  </si>
  <si>
    <t>HarboroughNorth Kilworth</t>
  </si>
  <si>
    <t>E2433P061</t>
  </si>
  <si>
    <t>North Kilworth</t>
  </si>
  <si>
    <t>HarboroughNoseley</t>
  </si>
  <si>
    <t>E2433P062</t>
  </si>
  <si>
    <t>Noseley</t>
  </si>
  <si>
    <t>HarboroughOwston and Newbold</t>
  </si>
  <si>
    <t>E2433P063</t>
  </si>
  <si>
    <t>Owston and Newbold</t>
  </si>
  <si>
    <t>HarboroughPeatling Magna</t>
  </si>
  <si>
    <t>E2433P064</t>
  </si>
  <si>
    <t>Peatling Magna</t>
  </si>
  <si>
    <t>HarboroughPeatling Parva</t>
  </si>
  <si>
    <t>E2433P065</t>
  </si>
  <si>
    <t>Peatling Parva</t>
  </si>
  <si>
    <t>HarboroughRolleston</t>
  </si>
  <si>
    <t>E2433P066</t>
  </si>
  <si>
    <t>Rolleston</t>
  </si>
  <si>
    <t>HarboroughSaddington</t>
  </si>
  <si>
    <t>E2433P067</t>
  </si>
  <si>
    <t>Saddington</t>
  </si>
  <si>
    <t>HarboroughScraptoft</t>
  </si>
  <si>
    <t>E2433P068</t>
  </si>
  <si>
    <t>Scraptoft</t>
  </si>
  <si>
    <t>HarboroughShangton</t>
  </si>
  <si>
    <t>E2433P069</t>
  </si>
  <si>
    <t>Shangton</t>
  </si>
  <si>
    <t>HarboroughShawell</t>
  </si>
  <si>
    <t>E2433P070</t>
  </si>
  <si>
    <t>Shawell</t>
  </si>
  <si>
    <t>HarboroughShearsby</t>
  </si>
  <si>
    <t>E2433P071</t>
  </si>
  <si>
    <t>Shearsby</t>
  </si>
  <si>
    <t>HarboroughSkeffington</t>
  </si>
  <si>
    <t>E2433P072</t>
  </si>
  <si>
    <t>Skeffington</t>
  </si>
  <si>
    <t>HarboroughSlawston</t>
  </si>
  <si>
    <t>E2433P073</t>
  </si>
  <si>
    <t>Slawston</t>
  </si>
  <si>
    <t>HarboroughSmeeton Westerby</t>
  </si>
  <si>
    <t>E2433P074</t>
  </si>
  <si>
    <t>Smeeton Westerby</t>
  </si>
  <si>
    <t>HarboroughSouth Kilworth</t>
  </si>
  <si>
    <t>E2433P075</t>
  </si>
  <si>
    <t>South Kilworth</t>
  </si>
  <si>
    <t>HarboroughStockerston</t>
  </si>
  <si>
    <t>E2433P076</t>
  </si>
  <si>
    <t>Stockerston</t>
  </si>
  <si>
    <t>HarboroughStonton Wyville</t>
  </si>
  <si>
    <t>E2433P077</t>
  </si>
  <si>
    <t>Stonton Wyville</t>
  </si>
  <si>
    <t>HarboroughStoughton</t>
  </si>
  <si>
    <t>E2433P078</t>
  </si>
  <si>
    <t>Stoughton</t>
  </si>
  <si>
    <t>HarboroughSwinford</t>
  </si>
  <si>
    <t>E2433P079</t>
  </si>
  <si>
    <t>Swinford</t>
  </si>
  <si>
    <t>HarboroughTheddingworth</t>
  </si>
  <si>
    <t>E2433P080</t>
  </si>
  <si>
    <t>Theddingworth</t>
  </si>
  <si>
    <t>HarboroughThorpe Langton</t>
  </si>
  <si>
    <t>E2433P081</t>
  </si>
  <si>
    <t>Thorpe Langton</t>
  </si>
  <si>
    <t>HarboroughThurnby and Bushby</t>
  </si>
  <si>
    <t>E2433P082</t>
  </si>
  <si>
    <t>Thurnby and Bushby</t>
  </si>
  <si>
    <t>HarboroughTilton</t>
  </si>
  <si>
    <t>E2433P083</t>
  </si>
  <si>
    <t>Tilton</t>
  </si>
  <si>
    <t>HarboroughTugby and Keythorpe</t>
  </si>
  <si>
    <t>E2433P084</t>
  </si>
  <si>
    <t>Tugby and Keythorpe</t>
  </si>
  <si>
    <t>HarboroughTur Langton</t>
  </si>
  <si>
    <t>E2433P085</t>
  </si>
  <si>
    <t>Tur Langton</t>
  </si>
  <si>
    <t>HarboroughUllesthorpe</t>
  </si>
  <si>
    <t>E2433P086</t>
  </si>
  <si>
    <t>Ullesthorpe</t>
  </si>
  <si>
    <t>HarboroughWelham</t>
  </si>
  <si>
    <t>E2433P087</t>
  </si>
  <si>
    <t>Welham</t>
  </si>
  <si>
    <t>HarboroughWest Langton</t>
  </si>
  <si>
    <t>E2433P088</t>
  </si>
  <si>
    <t>West Langton</t>
  </si>
  <si>
    <t>HarboroughWestrill and Starmore</t>
  </si>
  <si>
    <t>E2433P089</t>
  </si>
  <si>
    <t>Westrill and Starmore</t>
  </si>
  <si>
    <t>HarboroughWilloughby Waterleys</t>
  </si>
  <si>
    <t>E2433P090</t>
  </si>
  <si>
    <t>Willoughby Waterleys</t>
  </si>
  <si>
    <t>HarboroughWistow</t>
  </si>
  <si>
    <t>E2433P091</t>
  </si>
  <si>
    <t>HarboroughWithcote</t>
  </si>
  <si>
    <t>E2433P092</t>
  </si>
  <si>
    <t>Withcote</t>
  </si>
  <si>
    <t>HarboroughBitteswell with Bittesby</t>
  </si>
  <si>
    <t>E2433P095</t>
  </si>
  <si>
    <t>Bitteswell with Bittesby</t>
  </si>
  <si>
    <t>Hinckley and BosworthBagworth &amp; Thornton</t>
  </si>
  <si>
    <t>E2434P001</t>
  </si>
  <si>
    <t>Bagworth &amp; Thornton</t>
  </si>
  <si>
    <t>Hinckley and BosworthBarlestone</t>
  </si>
  <si>
    <t>E2434P002</t>
  </si>
  <si>
    <t>Barlestone</t>
  </si>
  <si>
    <t>Hinckley and BosworthBarwell</t>
  </si>
  <si>
    <t>E2434P003</t>
  </si>
  <si>
    <t>Barwell</t>
  </si>
  <si>
    <t>Hinckley and BosworthBurbage</t>
  </si>
  <si>
    <t>E2434P004</t>
  </si>
  <si>
    <t>Burbage</t>
  </si>
  <si>
    <t>Hinckley and BosworthCadeby</t>
  </si>
  <si>
    <t>E2434P005</t>
  </si>
  <si>
    <t>Cadeby</t>
  </si>
  <si>
    <t>Hinckley and BosworthCarlton</t>
  </si>
  <si>
    <t>E2434P006</t>
  </si>
  <si>
    <t>Hinckley and BosworthDesford</t>
  </si>
  <si>
    <t>E2434P007</t>
  </si>
  <si>
    <t>Desford</t>
  </si>
  <si>
    <t>Hinckley and BosworthEarl Shilton</t>
  </si>
  <si>
    <t>E2434P008</t>
  </si>
  <si>
    <t>Earl Shilton</t>
  </si>
  <si>
    <t>Hinckley and BosworthGroby</t>
  </si>
  <si>
    <t>E2434P009</t>
  </si>
  <si>
    <t>Groby</t>
  </si>
  <si>
    <t>Hinckley and BosworthHigham on the Hill</t>
  </si>
  <si>
    <t>E2434P010</t>
  </si>
  <si>
    <t>Higham on the Hill</t>
  </si>
  <si>
    <t>Hinckley and BosworthMarket Bosworth</t>
  </si>
  <si>
    <t>E2434P011</t>
  </si>
  <si>
    <t>Market Bosworth</t>
  </si>
  <si>
    <t>Hinckley and BosworthMarkfield</t>
  </si>
  <si>
    <t>E2434P012</t>
  </si>
  <si>
    <t>Markfield</t>
  </si>
  <si>
    <t>Hinckley and BosworthNailstone</t>
  </si>
  <si>
    <t>E2434P013</t>
  </si>
  <si>
    <t>Nailstone</t>
  </si>
  <si>
    <t>Hinckley and BosworthNewbold Verdon</t>
  </si>
  <si>
    <t>E2434P014</t>
  </si>
  <si>
    <t>Newbold Verdon</t>
  </si>
  <si>
    <t>Hinckley and BosworthOsbaston</t>
  </si>
  <si>
    <t>E2434P015</t>
  </si>
  <si>
    <t>Osbaston</t>
  </si>
  <si>
    <t>Hinckley and BosworthPeckleton</t>
  </si>
  <si>
    <t>E2434P016</t>
  </si>
  <si>
    <t>Peckleton</t>
  </si>
  <si>
    <t>Hinckley and BosworthRatby</t>
  </si>
  <si>
    <t>E2434P017</t>
  </si>
  <si>
    <t>Ratby</t>
  </si>
  <si>
    <t>Hinckley and BosworthShackerstone</t>
  </si>
  <si>
    <t>E2434P018</t>
  </si>
  <si>
    <t>Shackerstone</t>
  </si>
  <si>
    <t>Hinckley and BosworthSheepy</t>
  </si>
  <si>
    <t>E2434P019</t>
  </si>
  <si>
    <t>Sheepy</t>
  </si>
  <si>
    <t>Hinckley and BosworthStanton under Bardon</t>
  </si>
  <si>
    <t>E2434P020</t>
  </si>
  <si>
    <t>Stanton under Bardon</t>
  </si>
  <si>
    <t>Hinckley and BosworthStoke Golding</t>
  </si>
  <si>
    <t>E2434P021</t>
  </si>
  <si>
    <t>Stoke Golding</t>
  </si>
  <si>
    <t>Hinckley and BosworthSutton Cheney</t>
  </si>
  <si>
    <t>E2434P022</t>
  </si>
  <si>
    <t>Sutton Cheney</t>
  </si>
  <si>
    <t>Hinckley and BosworthTwycross</t>
  </si>
  <si>
    <t>E2434P023</t>
  </si>
  <si>
    <t>Twycross</t>
  </si>
  <si>
    <t>Hinckley and BosworthWitherley</t>
  </si>
  <si>
    <t>E2434P024</t>
  </si>
  <si>
    <t>Witherley</t>
  </si>
  <si>
    <t>MeltonAb Kettleby</t>
  </si>
  <si>
    <t>E2436P001</t>
  </si>
  <si>
    <t>Ab Kettleby</t>
  </si>
  <si>
    <t>MeltonAsfordby</t>
  </si>
  <si>
    <t>E2436P002</t>
  </si>
  <si>
    <t>Asfordby</t>
  </si>
  <si>
    <t>MeltonBelvoir</t>
  </si>
  <si>
    <t>E2436P003</t>
  </si>
  <si>
    <t>Belvoir</t>
  </si>
  <si>
    <t>MeltonBottesford</t>
  </si>
  <si>
    <t>E2436P004</t>
  </si>
  <si>
    <t>MeltonBroughton and Old Dalby</t>
  </si>
  <si>
    <t>E2436P005</t>
  </si>
  <si>
    <t>Broughton and Old Dalby</t>
  </si>
  <si>
    <t>MeltonBuckminster</t>
  </si>
  <si>
    <t>E2436P006</t>
  </si>
  <si>
    <t>Buckminster</t>
  </si>
  <si>
    <t>MeltonBurton and Dalby</t>
  </si>
  <si>
    <t>E2436P007</t>
  </si>
  <si>
    <t>Burton and Dalby</t>
  </si>
  <si>
    <t>MeltonClawson Hose and Harby</t>
  </si>
  <si>
    <t>E2436P008</t>
  </si>
  <si>
    <t>Clawson Hose and Harby</t>
  </si>
  <si>
    <t>MeltonCroxton Kerrial</t>
  </si>
  <si>
    <t>E2436P009</t>
  </si>
  <si>
    <t>Croxton Kerrial</t>
  </si>
  <si>
    <t>MeltonEaton</t>
  </si>
  <si>
    <t>E2436P010</t>
  </si>
  <si>
    <t>MeltonFreeby</t>
  </si>
  <si>
    <t>E2436P011</t>
  </si>
  <si>
    <t>Freeby</t>
  </si>
  <si>
    <t>MeltonFrisby on the Wreake</t>
  </si>
  <si>
    <t>E2436P012</t>
  </si>
  <si>
    <t>Frisby on the Wreake</t>
  </si>
  <si>
    <t>MeltonGaddesby</t>
  </si>
  <si>
    <t>E2436P013</t>
  </si>
  <si>
    <t>Gaddesby</t>
  </si>
  <si>
    <t>MeltonGarthorpe</t>
  </si>
  <si>
    <t>E2436P014</t>
  </si>
  <si>
    <t>Garthorpe</t>
  </si>
  <si>
    <t>MeltonGrimston</t>
  </si>
  <si>
    <t>E2436P015</t>
  </si>
  <si>
    <t>Grimston</t>
  </si>
  <si>
    <t>MeltonHoby with Rotherby</t>
  </si>
  <si>
    <t>E2436P016</t>
  </si>
  <si>
    <t>Hoby with Rotherby</t>
  </si>
  <si>
    <t>MeltonKirby Bellars</t>
  </si>
  <si>
    <t>E2436P017</t>
  </si>
  <si>
    <t>Kirby Bellars</t>
  </si>
  <si>
    <t>MeltonKnossington and Cold Overton</t>
  </si>
  <si>
    <t>E2436P018</t>
  </si>
  <si>
    <t>Knossington and Cold Overton</t>
  </si>
  <si>
    <t>MeltonRedmile</t>
  </si>
  <si>
    <t>E2436P019</t>
  </si>
  <si>
    <t>Redmile</t>
  </si>
  <si>
    <t>MeltonScalford</t>
  </si>
  <si>
    <t>E2436P020</t>
  </si>
  <si>
    <t>Scalford</t>
  </si>
  <si>
    <t>MeltonSomerby</t>
  </si>
  <si>
    <t>E2436P021</t>
  </si>
  <si>
    <t>Somerby</t>
  </si>
  <si>
    <t>MeltonSproxton</t>
  </si>
  <si>
    <t>E2436P022</t>
  </si>
  <si>
    <t>Sproxton</t>
  </si>
  <si>
    <t>MeltonStathern</t>
  </si>
  <si>
    <t>E2436P023</t>
  </si>
  <si>
    <t>Stathern</t>
  </si>
  <si>
    <t>MeltonTwyford and Thorpe</t>
  </si>
  <si>
    <t>E2436P024</t>
  </si>
  <si>
    <t>Twyford and Thorpe</t>
  </si>
  <si>
    <t>MeltonWaltham on the Wolds and Thorpe Arnold</t>
  </si>
  <si>
    <t>E2436P025</t>
  </si>
  <si>
    <t>Waltham on the Wolds and Thorpe Arnold</t>
  </si>
  <si>
    <t>MeltonWymondham</t>
  </si>
  <si>
    <t>E2436P026</t>
  </si>
  <si>
    <t>Wymondham</t>
  </si>
  <si>
    <t>North West LeicestershireAppleby Magna</t>
  </si>
  <si>
    <t>E2437P001</t>
  </si>
  <si>
    <t>Appleby Magna</t>
  </si>
  <si>
    <t>North West LeicestershireAshby Woulds</t>
  </si>
  <si>
    <t>E2437P002</t>
  </si>
  <si>
    <t>Ashby Woulds</t>
  </si>
  <si>
    <t>North West LeicestershireAshby de la Zouch</t>
  </si>
  <si>
    <t>E2437P003</t>
  </si>
  <si>
    <t>Ashby de la Zouch</t>
  </si>
  <si>
    <t>North West LeicestershireBelton</t>
  </si>
  <si>
    <t>E2437P005</t>
  </si>
  <si>
    <t>North West LeicestershireBreedon on the Hill</t>
  </si>
  <si>
    <t>E2437P006</t>
  </si>
  <si>
    <t>Breedon on the Hill</t>
  </si>
  <si>
    <t>North West LeicestershireCastle Donington</t>
  </si>
  <si>
    <t>E2437P007</t>
  </si>
  <si>
    <t>Castle Donington</t>
  </si>
  <si>
    <t>North West LeicestershireCharley</t>
  </si>
  <si>
    <t>E2437P008</t>
  </si>
  <si>
    <t>Charley</t>
  </si>
  <si>
    <t>North West LeicestershireChilcote</t>
  </si>
  <si>
    <t>E2437P009</t>
  </si>
  <si>
    <t>Chilcote</t>
  </si>
  <si>
    <t>North West LeicestershireColeorton</t>
  </si>
  <si>
    <t>E2437P010</t>
  </si>
  <si>
    <t>Coleorton</t>
  </si>
  <si>
    <t>North West LeicestershireEllistown and Battleflat</t>
  </si>
  <si>
    <t>E2437P011</t>
  </si>
  <si>
    <t>Ellistown and Battleflat</t>
  </si>
  <si>
    <t>North West LeicestershireHeather</t>
  </si>
  <si>
    <t>E2437P012</t>
  </si>
  <si>
    <t>Heather</t>
  </si>
  <si>
    <t>North West LeicestershireHugglescote and Donington le Heath</t>
  </si>
  <si>
    <t>E2437P013</t>
  </si>
  <si>
    <t>Hugglescote and Donington le Heath</t>
  </si>
  <si>
    <t>North West LeicestershireIbstock</t>
  </si>
  <si>
    <t>E2437P014</t>
  </si>
  <si>
    <t>Ibstock</t>
  </si>
  <si>
    <t>North West LeicestershireIsley cum Langley</t>
  </si>
  <si>
    <t>E2437P015</t>
  </si>
  <si>
    <t>Isley cum Langley</t>
  </si>
  <si>
    <t>North West LeicestershireKegworth</t>
  </si>
  <si>
    <t>E2437P016</t>
  </si>
  <si>
    <t>Kegworth</t>
  </si>
  <si>
    <t>North West LeicestershireLockington Hemington</t>
  </si>
  <si>
    <t>E2437P017</t>
  </si>
  <si>
    <t>Lockington Hemington</t>
  </si>
  <si>
    <t>North West LeicestershireLong Whatton and Diseworth</t>
  </si>
  <si>
    <t>E2437P018</t>
  </si>
  <si>
    <t>Long Whatton and Diseworth</t>
  </si>
  <si>
    <t>North West LeicestershireMeasham</t>
  </si>
  <si>
    <t>E2437P019</t>
  </si>
  <si>
    <t>Measham</t>
  </si>
  <si>
    <t>North West LeicestershireNormanton le Heath</t>
  </si>
  <si>
    <t>E2437P020</t>
  </si>
  <si>
    <t>Normanton le Heath</t>
  </si>
  <si>
    <t>North West LeicestershireOakthorpe and Donisthorpe</t>
  </si>
  <si>
    <t>E2437P021</t>
  </si>
  <si>
    <t>Oakthorpe and Donisthorpe</t>
  </si>
  <si>
    <t>North West LeicestershireOsgathorpe</t>
  </si>
  <si>
    <t>E2437P022</t>
  </si>
  <si>
    <t>Osgathorpe</t>
  </si>
  <si>
    <t>North West LeicestershirePackington</t>
  </si>
  <si>
    <t>E2437P023</t>
  </si>
  <si>
    <t>Packington</t>
  </si>
  <si>
    <t>North West LeicestershireRavenstone with Snibstone</t>
  </si>
  <si>
    <t>E2437P024</t>
  </si>
  <si>
    <t>Ravenstone with Snibstone</t>
  </si>
  <si>
    <t>North West LeicestershireSnarestone</t>
  </si>
  <si>
    <t>E2437P025</t>
  </si>
  <si>
    <t>Snarestone</t>
  </si>
  <si>
    <t>North West LeicestershireStaunton Harold</t>
  </si>
  <si>
    <t>E2437P026</t>
  </si>
  <si>
    <t>Staunton Harold</t>
  </si>
  <si>
    <t>North West LeicestershireStretton en le Field</t>
  </si>
  <si>
    <t>E2437P027</t>
  </si>
  <si>
    <t>Stretton en le Field</t>
  </si>
  <si>
    <t>North West LeicestershireSwannington</t>
  </si>
  <si>
    <t>E2437P028</t>
  </si>
  <si>
    <t>Swannington</t>
  </si>
  <si>
    <t>North West LeicestershireSwepstone</t>
  </si>
  <si>
    <t>E2437P029</t>
  </si>
  <si>
    <t>Swepstone</t>
  </si>
  <si>
    <t>North West LeicestershireWhitwick</t>
  </si>
  <si>
    <t>E2437P030</t>
  </si>
  <si>
    <t>Whitwick</t>
  </si>
  <si>
    <t>North West LeicestershireWorthington</t>
  </si>
  <si>
    <t>E2437P031</t>
  </si>
  <si>
    <t>Worthington</t>
  </si>
  <si>
    <t>BostonAlgarkirk</t>
  </si>
  <si>
    <t>E2531P001</t>
  </si>
  <si>
    <t>Algarkirk</t>
  </si>
  <si>
    <t>BostonAmber Hill</t>
  </si>
  <si>
    <t>E2531P002</t>
  </si>
  <si>
    <t>Amber Hill</t>
  </si>
  <si>
    <t>BostonBenington</t>
  </si>
  <si>
    <t>E2531P003</t>
  </si>
  <si>
    <t>BostonBicker</t>
  </si>
  <si>
    <t>E2531P004</t>
  </si>
  <si>
    <t>Bicker</t>
  </si>
  <si>
    <t>BostonButterwick</t>
  </si>
  <si>
    <t>E2531P005</t>
  </si>
  <si>
    <t>Butterwick</t>
  </si>
  <si>
    <t>BostonFishtoft</t>
  </si>
  <si>
    <t>E2531P006</t>
  </si>
  <si>
    <t>Fishtoft</t>
  </si>
  <si>
    <t>BostonFosdyke</t>
  </si>
  <si>
    <t>E2531P007</t>
  </si>
  <si>
    <t>Fosdyke</t>
  </si>
  <si>
    <t>BostonFrampton</t>
  </si>
  <si>
    <t>E2531P008</t>
  </si>
  <si>
    <t>BostonFreiston</t>
  </si>
  <si>
    <t>E2531P009</t>
  </si>
  <si>
    <t>Freiston</t>
  </si>
  <si>
    <t>BostonHolland Fen with Brothertoft</t>
  </si>
  <si>
    <t>E2531P010</t>
  </si>
  <si>
    <t>Holland Fen with Brothertoft</t>
  </si>
  <si>
    <t>BostonKirton</t>
  </si>
  <si>
    <t>E2531P011</t>
  </si>
  <si>
    <t>Kirton</t>
  </si>
  <si>
    <t>BostonLeverton</t>
  </si>
  <si>
    <t>E2531P012</t>
  </si>
  <si>
    <t>Leverton</t>
  </si>
  <si>
    <t>BostonOld Leake</t>
  </si>
  <si>
    <t>E2531P013</t>
  </si>
  <si>
    <t>Old Leake</t>
  </si>
  <si>
    <t>BostonSutterton</t>
  </si>
  <si>
    <t>E2531P014</t>
  </si>
  <si>
    <t>Sutterton</t>
  </si>
  <si>
    <t>BostonSwineshead</t>
  </si>
  <si>
    <t>E2531P015</t>
  </si>
  <si>
    <t>Swineshead</t>
  </si>
  <si>
    <t>BostonWigtoft</t>
  </si>
  <si>
    <t>E2531P016</t>
  </si>
  <si>
    <t>Wigtoft</t>
  </si>
  <si>
    <t>BostonWrangle</t>
  </si>
  <si>
    <t>E2531P017</t>
  </si>
  <si>
    <t>Wrangle</t>
  </si>
  <si>
    <t>BostonWyberton</t>
  </si>
  <si>
    <t>E2531P018</t>
  </si>
  <si>
    <t>Wyberton</t>
  </si>
  <si>
    <t>East LindseyAby with Greenfield</t>
  </si>
  <si>
    <t>E2532P001</t>
  </si>
  <si>
    <t>Aby with Greenfield</t>
  </si>
  <si>
    <t>East LindseyAddlethorpe</t>
  </si>
  <si>
    <t>E2532P002</t>
  </si>
  <si>
    <t>Addlethorpe</t>
  </si>
  <si>
    <t>East LindseyAlford</t>
  </si>
  <si>
    <t>E2532P003</t>
  </si>
  <si>
    <t>Alford</t>
  </si>
  <si>
    <t>East LindseyAlvingham</t>
  </si>
  <si>
    <t>E2532P004</t>
  </si>
  <si>
    <t>Alvingham</t>
  </si>
  <si>
    <t>East LindseyAnderby</t>
  </si>
  <si>
    <t>E2532P005</t>
  </si>
  <si>
    <t>Anderby</t>
  </si>
  <si>
    <t>East LindseyAshby with Scremby</t>
  </si>
  <si>
    <t>E2532P006</t>
  </si>
  <si>
    <t>Ashby with Scremby</t>
  </si>
  <si>
    <t>East LindseyAsterby</t>
  </si>
  <si>
    <t>E2532P007</t>
  </si>
  <si>
    <t>Asterby</t>
  </si>
  <si>
    <t>East LindseyAswardby</t>
  </si>
  <si>
    <t>E2532P008</t>
  </si>
  <si>
    <t>Aswardby</t>
  </si>
  <si>
    <t>East LindseyAuthorpe</t>
  </si>
  <si>
    <t>E2532P009</t>
  </si>
  <si>
    <t>Authorpe</t>
  </si>
  <si>
    <t>East LindseyBaumber</t>
  </si>
  <si>
    <t>E2532P010</t>
  </si>
  <si>
    <t>Baumber</t>
  </si>
  <si>
    <t>East LindseyBeesby with Saleby</t>
  </si>
  <si>
    <t>E2532P011</t>
  </si>
  <si>
    <t>Beesby with Saleby</t>
  </si>
  <si>
    <t>East LindseyBelchford</t>
  </si>
  <si>
    <t>E2532P012</t>
  </si>
  <si>
    <t>Belchford</t>
  </si>
  <si>
    <t>East LindseyBelleau</t>
  </si>
  <si>
    <t>E2532P013</t>
  </si>
  <si>
    <t>Belleau</t>
  </si>
  <si>
    <t>East LindseyBenniworth</t>
  </si>
  <si>
    <t>E2532P014</t>
  </si>
  <si>
    <t>Benniworth</t>
  </si>
  <si>
    <t>East LindseyBilsby</t>
  </si>
  <si>
    <t>E2532P015</t>
  </si>
  <si>
    <t>Bilsby</t>
  </si>
  <si>
    <t>East LindseyBinbrook</t>
  </si>
  <si>
    <t>E2532P016</t>
  </si>
  <si>
    <t>Binbrook</t>
  </si>
  <si>
    <t>East LindseyBolingbroke</t>
  </si>
  <si>
    <t>E2532P017</t>
  </si>
  <si>
    <t>Bolingbroke</t>
  </si>
  <si>
    <t>East LindseyBrackenborough with Little Grimsby</t>
  </si>
  <si>
    <t>E2532P018</t>
  </si>
  <si>
    <t>Brackenborough with Little Grimsby</t>
  </si>
  <si>
    <t>East LindseyBrinkhill</t>
  </si>
  <si>
    <t>E2532P020</t>
  </si>
  <si>
    <t>Brinkhill</t>
  </si>
  <si>
    <t>East LindseyBucknall</t>
  </si>
  <si>
    <t>E2532P021</t>
  </si>
  <si>
    <t>Bucknall</t>
  </si>
  <si>
    <t>East LindseyBurgh le Marsh</t>
  </si>
  <si>
    <t>E2532P022</t>
  </si>
  <si>
    <t>Burgh le Marsh</t>
  </si>
  <si>
    <t>East LindseyBurgh on Bain</t>
  </si>
  <si>
    <t>E2532P023</t>
  </si>
  <si>
    <t>Burgh on Bain</t>
  </si>
  <si>
    <t>East LindseyBurwell</t>
  </si>
  <si>
    <t>E2532P024</t>
  </si>
  <si>
    <t>East LindseyCalcethorpe with Kelstern</t>
  </si>
  <si>
    <t>E2532P025</t>
  </si>
  <si>
    <t>Calcethorpe with Kelstern</t>
  </si>
  <si>
    <t>East LindseyCandlesby with Gunby</t>
  </si>
  <si>
    <t>E2532P026</t>
  </si>
  <si>
    <t>Candlesby with Gunby</t>
  </si>
  <si>
    <t>East LindseyCarrington</t>
  </si>
  <si>
    <t>E2532P027</t>
  </si>
  <si>
    <t>Carrington</t>
  </si>
  <si>
    <t>East LindseyChapel St. Leonards</t>
  </si>
  <si>
    <t>E2532P028</t>
  </si>
  <si>
    <t>Chapel St. Leonards</t>
  </si>
  <si>
    <t>East LindseyClaxby with Moorby</t>
  </si>
  <si>
    <t>E2532P030</t>
  </si>
  <si>
    <t>Claxby with Moorby</t>
  </si>
  <si>
    <t>East LindseyClaythorpe</t>
  </si>
  <si>
    <t>E2532P031</t>
  </si>
  <si>
    <t>Claythorpe</t>
  </si>
  <si>
    <t>East LindseyConingsby</t>
  </si>
  <si>
    <t>E2532P032</t>
  </si>
  <si>
    <t>Coningsby</t>
  </si>
  <si>
    <t>East LindseyConisholme</t>
  </si>
  <si>
    <t>E2532P033</t>
  </si>
  <si>
    <t>Conisholme</t>
  </si>
  <si>
    <t>East LindseyCovenham Group</t>
  </si>
  <si>
    <t>E2532P034</t>
  </si>
  <si>
    <t>Covenham Group</t>
  </si>
  <si>
    <t>East LindseyCroft</t>
  </si>
  <si>
    <t>E2532P036</t>
  </si>
  <si>
    <t>East LindseyCumberworth</t>
  </si>
  <si>
    <t>E2532P037</t>
  </si>
  <si>
    <t>Cumberworth</t>
  </si>
  <si>
    <t>East LindseyDonington on Bain</t>
  </si>
  <si>
    <t>E2532P039</t>
  </si>
  <si>
    <t>Donington on Bain</t>
  </si>
  <si>
    <t>East LindseyEast and West Barkwith</t>
  </si>
  <si>
    <t>E2532P040</t>
  </si>
  <si>
    <t>East and West Barkwith</t>
  </si>
  <si>
    <t>East LindseyEast Keal</t>
  </si>
  <si>
    <t>E2532P041</t>
  </si>
  <si>
    <t>East Keal</t>
  </si>
  <si>
    <t>East LindseyEast Kirkby</t>
  </si>
  <si>
    <t>E2532P042</t>
  </si>
  <si>
    <t>East Kirkby</t>
  </si>
  <si>
    <t>East LindseyEastville Midville and New Leak</t>
  </si>
  <si>
    <t>E2532P043</t>
  </si>
  <si>
    <t>Eastville Midville and New Leak</t>
  </si>
  <si>
    <t>East LindseyEdlington Group</t>
  </si>
  <si>
    <t>E2532P044</t>
  </si>
  <si>
    <t>Edlington Group</t>
  </si>
  <si>
    <t>East LindseyElkington</t>
  </si>
  <si>
    <t>E2532P045</t>
  </si>
  <si>
    <t>Elkington</t>
  </si>
  <si>
    <t>East LindseyFirsby</t>
  </si>
  <si>
    <t>E2532P047</t>
  </si>
  <si>
    <t>Firsby</t>
  </si>
  <si>
    <t>East LindseyFotherby</t>
  </si>
  <si>
    <t>E2532P048</t>
  </si>
  <si>
    <t>Fotherby</t>
  </si>
  <si>
    <t>East LindseyFriskney</t>
  </si>
  <si>
    <t>E2532P049</t>
  </si>
  <si>
    <t>Friskney</t>
  </si>
  <si>
    <t>East LindseyFrithville and Westville</t>
  </si>
  <si>
    <t>E2532P050</t>
  </si>
  <si>
    <t>Frithville and Westville</t>
  </si>
  <si>
    <t>East LindseyFulstow</t>
  </si>
  <si>
    <t>E2532P052</t>
  </si>
  <si>
    <t>Fulstow</t>
  </si>
  <si>
    <t>East LindseyGayton le Marsh</t>
  </si>
  <si>
    <t>E2532P054</t>
  </si>
  <si>
    <t>Gayton le Marsh</t>
  </si>
  <si>
    <t>East LindseyGayton le Wold</t>
  </si>
  <si>
    <t>E2532P055</t>
  </si>
  <si>
    <t>Gayton le Wold</t>
  </si>
  <si>
    <t>East LindseyGrainthorpe</t>
  </si>
  <si>
    <t>E2532P058</t>
  </si>
  <si>
    <t>Grainthorpe</t>
  </si>
  <si>
    <t>East LindseyGreat and Little Carlton</t>
  </si>
  <si>
    <t>E2532P059</t>
  </si>
  <si>
    <t>Great and Little Carlton</t>
  </si>
  <si>
    <t>East LindseyGreat Sturton</t>
  </si>
  <si>
    <t>E2532P061</t>
  </si>
  <si>
    <t>Great Sturton</t>
  </si>
  <si>
    <t>East LindseyGreetham with Somersby</t>
  </si>
  <si>
    <t>E2532P062</t>
  </si>
  <si>
    <t>Greetham with Somersby</t>
  </si>
  <si>
    <t>East LindseyGrimoldby and Manby</t>
  </si>
  <si>
    <t>E2532P063</t>
  </si>
  <si>
    <t>Grimoldby and Manby</t>
  </si>
  <si>
    <t>East LindseyHagworthingham</t>
  </si>
  <si>
    <t>E2532P064</t>
  </si>
  <si>
    <t>Hagworthingham</t>
  </si>
  <si>
    <t>East LindseyHainton</t>
  </si>
  <si>
    <t>E2532P065</t>
  </si>
  <si>
    <t>Hainton</t>
  </si>
  <si>
    <t>East LindseyHallington</t>
  </si>
  <si>
    <t>E2532P066</t>
  </si>
  <si>
    <t>Hallington</t>
  </si>
  <si>
    <t>East LindseyHaltham</t>
  </si>
  <si>
    <t>E2532P067</t>
  </si>
  <si>
    <t>Haltham</t>
  </si>
  <si>
    <t>East LindseyHalton Holegate</t>
  </si>
  <si>
    <t>E2532P068</t>
  </si>
  <si>
    <t>Halton Holegate</t>
  </si>
  <si>
    <t>East LindseyHameringham</t>
  </si>
  <si>
    <t>E2532P069</t>
  </si>
  <si>
    <t>Hameringham</t>
  </si>
  <si>
    <t>East LindseyHannah cum Hagnaby</t>
  </si>
  <si>
    <t>E2532P070</t>
  </si>
  <si>
    <t>Hannah cum Hagnaby</t>
  </si>
  <si>
    <t>East LindseyHarrington</t>
  </si>
  <si>
    <t>E2532P071</t>
  </si>
  <si>
    <t>Harrington</t>
  </si>
  <si>
    <t>East LindseyHatton</t>
  </si>
  <si>
    <t>E2532P072</t>
  </si>
  <si>
    <t>East LindseyHemingby</t>
  </si>
  <si>
    <t>E2532P075</t>
  </si>
  <si>
    <t>Hemingby</t>
  </si>
  <si>
    <t>East LindseyHigh Toynton</t>
  </si>
  <si>
    <t>E2532P076</t>
  </si>
  <si>
    <t>High Toynton</t>
  </si>
  <si>
    <t>East LindseyHogsthorpe</t>
  </si>
  <si>
    <t>E2532P077</t>
  </si>
  <si>
    <t>Hogsthorpe</t>
  </si>
  <si>
    <t>East LindseyHolton le Clay</t>
  </si>
  <si>
    <t>E2532P078</t>
  </si>
  <si>
    <t>Holton le Clay</t>
  </si>
  <si>
    <t>East LindseyHorncastle</t>
  </si>
  <si>
    <t>E2532P079</t>
  </si>
  <si>
    <t>Horncastle</t>
  </si>
  <si>
    <t>East LindseyHorsington</t>
  </si>
  <si>
    <t>E2532P080</t>
  </si>
  <si>
    <t>Horsington</t>
  </si>
  <si>
    <t>East LindseyHundleby</t>
  </si>
  <si>
    <t>E2532P081</t>
  </si>
  <si>
    <t>Hundleby</t>
  </si>
  <si>
    <t>East LindseyHuttoft</t>
  </si>
  <si>
    <t>E2532P082</t>
  </si>
  <si>
    <t>Huttoft</t>
  </si>
  <si>
    <t>East LindseyIngoldmells</t>
  </si>
  <si>
    <t>E2532P083</t>
  </si>
  <si>
    <t>Ingoldmells</t>
  </si>
  <si>
    <t>East LindseyKeddington</t>
  </si>
  <si>
    <t>E2532P085</t>
  </si>
  <si>
    <t>Keddington</t>
  </si>
  <si>
    <t>East LindseyKirkby on Bain</t>
  </si>
  <si>
    <t>E2532P086</t>
  </si>
  <si>
    <t>Kirkby on Bain</t>
  </si>
  <si>
    <t>East LindseyLangriville</t>
  </si>
  <si>
    <t>E2532P087</t>
  </si>
  <si>
    <t>Langriville</t>
  </si>
  <si>
    <t>East LindseyLegbourne</t>
  </si>
  <si>
    <t>E2532P091</t>
  </si>
  <si>
    <t>Legbourne</t>
  </si>
  <si>
    <t>East LindseyLittle Cawthorpe</t>
  </si>
  <si>
    <t>E2532P093</t>
  </si>
  <si>
    <t>Little Cawthorpe</t>
  </si>
  <si>
    <t>East LindseyLouth</t>
  </si>
  <si>
    <t>E2532P095</t>
  </si>
  <si>
    <t>Louth</t>
  </si>
  <si>
    <t>East LindseyLow Toynton</t>
  </si>
  <si>
    <t>E2532P096</t>
  </si>
  <si>
    <t>Low Toynton</t>
  </si>
  <si>
    <t>East LindseyLudborough</t>
  </si>
  <si>
    <t>E2532P097</t>
  </si>
  <si>
    <t>Ludborough</t>
  </si>
  <si>
    <t>East LindseyLudford</t>
  </si>
  <si>
    <t>E2532P098</t>
  </si>
  <si>
    <t>Ludford</t>
  </si>
  <si>
    <t>East LindseyLusby with Winceby</t>
  </si>
  <si>
    <t>E2532P099</t>
  </si>
  <si>
    <t>Lusby with Winceby</t>
  </si>
  <si>
    <t>East LindseyMablethorpe and Sutton</t>
  </si>
  <si>
    <t>E2532P100</t>
  </si>
  <si>
    <t>Mablethorpe and Sutton</t>
  </si>
  <si>
    <t>East LindseyMaidenwell</t>
  </si>
  <si>
    <t>E2532P101</t>
  </si>
  <si>
    <t>Maidenwell</t>
  </si>
  <si>
    <t>East LindseyMaltby le Marsh</t>
  </si>
  <si>
    <t>E2532P102</t>
  </si>
  <si>
    <t>Maltby le Marsh</t>
  </si>
  <si>
    <t>East LindseyMareham le Fen</t>
  </si>
  <si>
    <t>E2532P104</t>
  </si>
  <si>
    <t>Mareham le Fen</t>
  </si>
  <si>
    <t>East LindseyMareham on the Hill</t>
  </si>
  <si>
    <t>E2532P105</t>
  </si>
  <si>
    <t>Mareham on the Hill</t>
  </si>
  <si>
    <t>East LindseyMarkby</t>
  </si>
  <si>
    <t>E2532P106</t>
  </si>
  <si>
    <t>Markby</t>
  </si>
  <si>
    <t>East LindseyMarket Stainton</t>
  </si>
  <si>
    <t>E2532P107</t>
  </si>
  <si>
    <t>Market Stainton</t>
  </si>
  <si>
    <t>East LindseyMarshchapel</t>
  </si>
  <si>
    <t>E2532P108</t>
  </si>
  <si>
    <t>Marshchapel</t>
  </si>
  <si>
    <t>East LindseyMavis Enderby</t>
  </si>
  <si>
    <t>E2532P109</t>
  </si>
  <si>
    <t>Mavis Enderby</t>
  </si>
  <si>
    <t>East LindseyMinting and Gautby</t>
  </si>
  <si>
    <t>E2532P111</t>
  </si>
  <si>
    <t>Minting and Gautby</t>
  </si>
  <si>
    <t>East LindseyMuckton</t>
  </si>
  <si>
    <t>E2532P112</t>
  </si>
  <si>
    <t>Muckton</t>
  </si>
  <si>
    <t>East LindseyMumby</t>
  </si>
  <si>
    <t>E2532P113</t>
  </si>
  <si>
    <t>Mumby</t>
  </si>
  <si>
    <t>East LindseyNorth Cockerington</t>
  </si>
  <si>
    <t>E2532P115</t>
  </si>
  <si>
    <t>North Cockerington</t>
  </si>
  <si>
    <t>East LindseyNorth Cotes</t>
  </si>
  <si>
    <t>E2532P116</t>
  </si>
  <si>
    <t>North Cotes</t>
  </si>
  <si>
    <t>East LindseyNorth Ormsby</t>
  </si>
  <si>
    <t>E2532P117</t>
  </si>
  <si>
    <t>North Ormsby</t>
  </si>
  <si>
    <t>East LindseyNorth Somercotes</t>
  </si>
  <si>
    <t>E2532P118</t>
  </si>
  <si>
    <t>North Somercotes</t>
  </si>
  <si>
    <t>East LindseyNorth Thoresby</t>
  </si>
  <si>
    <t>E2532P119</t>
  </si>
  <si>
    <t>North Thoresby</t>
  </si>
  <si>
    <t>East LindseyOrby</t>
  </si>
  <si>
    <t>E2532P120</t>
  </si>
  <si>
    <t>Orby</t>
  </si>
  <si>
    <t>East LindseyPartney</t>
  </si>
  <si>
    <t>E2532P121</t>
  </si>
  <si>
    <t>Partney</t>
  </si>
  <si>
    <t>East LindseyRaithby</t>
  </si>
  <si>
    <t>E2532P122</t>
  </si>
  <si>
    <t>Raithby</t>
  </si>
  <si>
    <t>East LindseyRaithby cum Maltby</t>
  </si>
  <si>
    <t>E2532P123</t>
  </si>
  <si>
    <t>Raithby cum Maltby</t>
  </si>
  <si>
    <t>East LindseyReston</t>
  </si>
  <si>
    <t>E2532P125</t>
  </si>
  <si>
    <t>Reston</t>
  </si>
  <si>
    <t>East LindseyRevesby</t>
  </si>
  <si>
    <t>E2532P126</t>
  </si>
  <si>
    <t>Revesby</t>
  </si>
  <si>
    <t>East LindseyRigsby with Ailby</t>
  </si>
  <si>
    <t>E2532P127</t>
  </si>
  <si>
    <t>Rigsby with Ailby</t>
  </si>
  <si>
    <t>East LindseyRoughton</t>
  </si>
  <si>
    <t>E2532P128</t>
  </si>
  <si>
    <t>Roughton</t>
  </si>
  <si>
    <t>East LindseySaltfleetby</t>
  </si>
  <si>
    <t>E2532P129</t>
  </si>
  <si>
    <t>Saltfleetby</t>
  </si>
  <si>
    <t>East LindseySausthorpe</t>
  </si>
  <si>
    <t>E2532P130</t>
  </si>
  <si>
    <t>Sausthorpe</t>
  </si>
  <si>
    <t>East LindseyScamblesby</t>
  </si>
  <si>
    <t>E2532P131</t>
  </si>
  <si>
    <t>Scamblesby</t>
  </si>
  <si>
    <t>East LindseyScrivelsby</t>
  </si>
  <si>
    <t>E2532P132</t>
  </si>
  <si>
    <t>Scrivelsby</t>
  </si>
  <si>
    <t>East LindseySibsey</t>
  </si>
  <si>
    <t>E2532P133</t>
  </si>
  <si>
    <t>Sibsey</t>
  </si>
  <si>
    <t>East LindseySkegness</t>
  </si>
  <si>
    <t>E2532P134</t>
  </si>
  <si>
    <t>Skegness</t>
  </si>
  <si>
    <t>East LindseySkendleby</t>
  </si>
  <si>
    <t>E2532P135</t>
  </si>
  <si>
    <t>Skendleby</t>
  </si>
  <si>
    <t>East LindseySkidbrooke with Saltfleet Haven</t>
  </si>
  <si>
    <t>E2532P136</t>
  </si>
  <si>
    <t>Skidbrooke with Saltfleet Haven</t>
  </si>
  <si>
    <t>East LindseySotby</t>
  </si>
  <si>
    <t>E2532P137</t>
  </si>
  <si>
    <t>Sotby</t>
  </si>
  <si>
    <t>East LindseySouth Cockerington</t>
  </si>
  <si>
    <t>E2532P138</t>
  </si>
  <si>
    <t>South Cockerington</t>
  </si>
  <si>
    <t>East LindseySouth Ormsby cum Ketsby</t>
  </si>
  <si>
    <t>E2532P139</t>
  </si>
  <si>
    <t>South Ormsby cum Ketsby</t>
  </si>
  <si>
    <t>East LindseySouth Somercotes</t>
  </si>
  <si>
    <t>E2532P140</t>
  </si>
  <si>
    <t>South Somercotes</t>
  </si>
  <si>
    <t>East LindseySouth Willingham</t>
  </si>
  <si>
    <t>E2532P142</t>
  </si>
  <si>
    <t>South Willingham</t>
  </si>
  <si>
    <t>East LindseySpilsby</t>
  </si>
  <si>
    <t>E2532P143</t>
  </si>
  <si>
    <t>Spilsby</t>
  </si>
  <si>
    <t>East LindseyStenigot</t>
  </si>
  <si>
    <t>E2532P144</t>
  </si>
  <si>
    <t>Stenigot</t>
  </si>
  <si>
    <t>East LindseyStewton</t>
  </si>
  <si>
    <t>E2532P145</t>
  </si>
  <si>
    <t>Stewton</t>
  </si>
  <si>
    <t>East LindseyStickford</t>
  </si>
  <si>
    <t>E2532P146</t>
  </si>
  <si>
    <t>Stickford</t>
  </si>
  <si>
    <t>East LindseyStickney</t>
  </si>
  <si>
    <t>E2532P147</t>
  </si>
  <si>
    <t>Stickney</t>
  </si>
  <si>
    <t>East LindseyStrubby with Woodthorpe</t>
  </si>
  <si>
    <t>E2532P149</t>
  </si>
  <si>
    <t>Strubby with Woodthorpe</t>
  </si>
  <si>
    <t>East LindseySwaby</t>
  </si>
  <si>
    <t>E2532P150</t>
  </si>
  <si>
    <t>Swaby</t>
  </si>
  <si>
    <t>East LindseyTathwell</t>
  </si>
  <si>
    <t>E2532P151</t>
  </si>
  <si>
    <t>Tathwell</t>
  </si>
  <si>
    <t>East LindseyTattershall with Thorpe</t>
  </si>
  <si>
    <t>E2532P152</t>
  </si>
  <si>
    <t>Tattershall with Thorpe</t>
  </si>
  <si>
    <t>East LindseyTetford</t>
  </si>
  <si>
    <t>E2532P154</t>
  </si>
  <si>
    <t>Tetford</t>
  </si>
  <si>
    <t>East LindseyTetney</t>
  </si>
  <si>
    <t>E2532P155</t>
  </si>
  <si>
    <t>Tetney</t>
  </si>
  <si>
    <t>East LindseyThedldlethorpe</t>
  </si>
  <si>
    <t>E2532P156</t>
  </si>
  <si>
    <t>Thedldlethorpe</t>
  </si>
  <si>
    <t>East LindseyThimbleby</t>
  </si>
  <si>
    <t>E2532P158</t>
  </si>
  <si>
    <t>Thimbleby</t>
  </si>
  <si>
    <t>East LindseyThornton le Fen</t>
  </si>
  <si>
    <t>E2532P159</t>
  </si>
  <si>
    <t>Thornton le Fen</t>
  </si>
  <si>
    <t>East LindseyThorpe St. Peter</t>
  </si>
  <si>
    <t>E2532P160</t>
  </si>
  <si>
    <t>Thorpe St. Peter</t>
  </si>
  <si>
    <t>East LindseyToynton All Saints</t>
  </si>
  <si>
    <t>E2532P161</t>
  </si>
  <si>
    <t>Toynton All Saints</t>
  </si>
  <si>
    <t>East LindseyToynton St Peter</t>
  </si>
  <si>
    <t>E2532P162</t>
  </si>
  <si>
    <t>Toynton St Peter</t>
  </si>
  <si>
    <t>East LindseyTumby</t>
  </si>
  <si>
    <t>E2532P163</t>
  </si>
  <si>
    <t>Tumby</t>
  </si>
  <si>
    <t>East LindseyUlceby with Fordington</t>
  </si>
  <si>
    <t>E2532P165</t>
  </si>
  <si>
    <t>Ulceby with Fordington</t>
  </si>
  <si>
    <t>East LindseyUtterby</t>
  </si>
  <si>
    <t>E2532P166</t>
  </si>
  <si>
    <t>Utterby</t>
  </si>
  <si>
    <t>East LindseyWainfleet All Saints</t>
  </si>
  <si>
    <t>E2532P168</t>
  </si>
  <si>
    <t>Wainfleet All Saints</t>
  </si>
  <si>
    <t>East LindseyWainfleet St Mary</t>
  </si>
  <si>
    <t>E2532P169</t>
  </si>
  <si>
    <t>Wainfleet St Mary</t>
  </si>
  <si>
    <t>East LindseyWalmsgate</t>
  </si>
  <si>
    <t>E2532P171</t>
  </si>
  <si>
    <t>Walmsgate</t>
  </si>
  <si>
    <t>East LindseyWell</t>
  </si>
  <si>
    <t>E2532P172</t>
  </si>
  <si>
    <t>Well</t>
  </si>
  <si>
    <t>East LindseyWelton le Marsh</t>
  </si>
  <si>
    <t>E2532P173</t>
  </si>
  <si>
    <t>Welton le Marsh</t>
  </si>
  <si>
    <t>East LindseyWelton le Wold</t>
  </si>
  <si>
    <t>E2532P174</t>
  </si>
  <si>
    <t>Welton le Wold</t>
  </si>
  <si>
    <t>East LindseyWest Ashby</t>
  </si>
  <si>
    <t>E2532P175</t>
  </si>
  <si>
    <t>West Ashby</t>
  </si>
  <si>
    <t>East LindseyWest Fen</t>
  </si>
  <si>
    <t>E2532P177</t>
  </si>
  <si>
    <t>West Fen</t>
  </si>
  <si>
    <t>East LindseyWest Keal</t>
  </si>
  <si>
    <t>E2532P178</t>
  </si>
  <si>
    <t>West Keal</t>
  </si>
  <si>
    <t>East LindseyWest Torrington</t>
  </si>
  <si>
    <t>E2532P179</t>
  </si>
  <si>
    <t>West Torrington</t>
  </si>
  <si>
    <t>East LindseyWildmore</t>
  </si>
  <si>
    <t>E2532P180</t>
  </si>
  <si>
    <t>Wildmore</t>
  </si>
  <si>
    <t>East LindseyWilloughby with Sloothby</t>
  </si>
  <si>
    <t>E2532P181</t>
  </si>
  <si>
    <t>Willoughby with Sloothby</t>
  </si>
  <si>
    <t>East LindseyWithcall</t>
  </si>
  <si>
    <t>E2532P182</t>
  </si>
  <si>
    <t>Withcall</t>
  </si>
  <si>
    <t>East LindseyWithern with Stain</t>
  </si>
  <si>
    <t>E2532P183</t>
  </si>
  <si>
    <t>Withern with Stain</t>
  </si>
  <si>
    <t>East LindseyWood Enderby</t>
  </si>
  <si>
    <t>E2532P184</t>
  </si>
  <si>
    <t>Wood Enderby</t>
  </si>
  <si>
    <t>East LindseyWoodhall Spa</t>
  </si>
  <si>
    <t>E2532P185</t>
  </si>
  <si>
    <t>Woodhall Spa</t>
  </si>
  <si>
    <t>East LindseyWragby</t>
  </si>
  <si>
    <t>E2532P186</t>
  </si>
  <si>
    <t>Wragby</t>
  </si>
  <si>
    <t>East LindseyWyham cum Cadeby</t>
  </si>
  <si>
    <t>E2532P187</t>
  </si>
  <si>
    <t>Wyham cum Cadeby</t>
  </si>
  <si>
    <t>East LindseyYarburgh</t>
  </si>
  <si>
    <t>E2532P188</t>
  </si>
  <si>
    <t>Yarburgh</t>
  </si>
  <si>
    <t>East LindseyLangton by Horncastle</t>
  </si>
  <si>
    <t>E2532P189</t>
  </si>
  <si>
    <t>Langton by Horncastle</t>
  </si>
  <si>
    <t>East LindseyLangton by Wragby</t>
  </si>
  <si>
    <t>E2532P190</t>
  </si>
  <si>
    <t>Langton by Wragby</t>
  </si>
  <si>
    <t>East LindseyLangton/Sutterby</t>
  </si>
  <si>
    <t>E2532P191</t>
  </si>
  <si>
    <t>Langton/Sutterby</t>
  </si>
  <si>
    <t>East LindseyWoodhall/Stixwould</t>
  </si>
  <si>
    <t>E2532P192</t>
  </si>
  <si>
    <t>Woodhall/Stixwould</t>
  </si>
  <si>
    <t>East LindseyRanby</t>
  </si>
  <si>
    <t>E2532P193</t>
  </si>
  <si>
    <t>Ranby</t>
  </si>
  <si>
    <t>North KestevenAnwick</t>
  </si>
  <si>
    <t>E2534P001</t>
  </si>
  <si>
    <t>Anwick</t>
  </si>
  <si>
    <t>North KestevenAsgarby and Howell</t>
  </si>
  <si>
    <t>E2534P002</t>
  </si>
  <si>
    <t>Asgarby and Howell</t>
  </si>
  <si>
    <t>North KestevenAshby Bloxholm Temple Bruer with Temple High Grange</t>
  </si>
  <si>
    <t>E2534P003</t>
  </si>
  <si>
    <t>Ashby Bloxholm Temple Bruer with Temple High Grange</t>
  </si>
  <si>
    <t>North KestevenAswarby and Swarby</t>
  </si>
  <si>
    <t>E2534P004</t>
  </si>
  <si>
    <t>Aswarby and Swarby</t>
  </si>
  <si>
    <t>North KestevenAubourn with Haddington</t>
  </si>
  <si>
    <t>E2534P005</t>
  </si>
  <si>
    <t>Aubourn with Haddington</t>
  </si>
  <si>
    <t>North KestevenAunsby and Dembleby</t>
  </si>
  <si>
    <t>E2534P006</t>
  </si>
  <si>
    <t>Aunsby and Dembleby</t>
  </si>
  <si>
    <t>North KestevenBassingham</t>
  </si>
  <si>
    <t>E2534P007</t>
  </si>
  <si>
    <t>Bassingham</t>
  </si>
  <si>
    <t>North KestevenBeckingham</t>
  </si>
  <si>
    <t>E2534P008</t>
  </si>
  <si>
    <t>Beckingham</t>
  </si>
  <si>
    <t>North KestevenBillinghay</t>
  </si>
  <si>
    <t>E2534P009</t>
  </si>
  <si>
    <t>Billinghay</t>
  </si>
  <si>
    <t>North KestevenBlankney</t>
  </si>
  <si>
    <t>E2534P010</t>
  </si>
  <si>
    <t>Blankney</t>
  </si>
  <si>
    <t>North KestevenBoothby Graffoe</t>
  </si>
  <si>
    <t>E2534P011</t>
  </si>
  <si>
    <t>Boothby Graffoe</t>
  </si>
  <si>
    <t>North KestevenBracebridge Heath</t>
  </si>
  <si>
    <t>E2534P012</t>
  </si>
  <si>
    <t>Bracebridge Heath</t>
  </si>
  <si>
    <t>North KestevenBranston and Mere</t>
  </si>
  <si>
    <t>E2534P013</t>
  </si>
  <si>
    <t>Branston and Mere</t>
  </si>
  <si>
    <t>North KestevenBrant Broughton and Stragglethorpe</t>
  </si>
  <si>
    <t>E2534P014</t>
  </si>
  <si>
    <t>Brant Broughton and Stragglethorpe</t>
  </si>
  <si>
    <t>North KestevenBurton Pedwardine</t>
  </si>
  <si>
    <t>E2534P015</t>
  </si>
  <si>
    <t>Burton Pedwardine</t>
  </si>
  <si>
    <t>North KestevenCanwick</t>
  </si>
  <si>
    <t>E2534P016</t>
  </si>
  <si>
    <t>Canwick</t>
  </si>
  <si>
    <t>North KestevenCarlton le Moorland</t>
  </si>
  <si>
    <t>E2534P017</t>
  </si>
  <si>
    <t>Carlton le Moorland</t>
  </si>
  <si>
    <t>North KestevenColeby</t>
  </si>
  <si>
    <t>E2534P018</t>
  </si>
  <si>
    <t>Coleby</t>
  </si>
  <si>
    <t>North KestevenCranwell Brauncewell and Byard's Leap</t>
  </si>
  <si>
    <t>E2534P019</t>
  </si>
  <si>
    <t>Cranwell Brauncewell and Byard's Leap</t>
  </si>
  <si>
    <t>North KestevenCulverthorpe and Kelby</t>
  </si>
  <si>
    <t>E2534P020</t>
  </si>
  <si>
    <t>Culverthorpe and Kelby</t>
  </si>
  <si>
    <t>North KestevenDigby</t>
  </si>
  <si>
    <t>E2534P021</t>
  </si>
  <si>
    <t>Digby</t>
  </si>
  <si>
    <t>North KestevenDoddington and Whisby</t>
  </si>
  <si>
    <t>E2534P022</t>
  </si>
  <si>
    <t>Doddington and Whisby</t>
  </si>
  <si>
    <t>North KestevenDogdyke</t>
  </si>
  <si>
    <t>E2534P023</t>
  </si>
  <si>
    <t>Dogdyke</t>
  </si>
  <si>
    <t>North KestevenDorrington</t>
  </si>
  <si>
    <t>E2534P024</t>
  </si>
  <si>
    <t>Dorrington</t>
  </si>
  <si>
    <t>North KestevenDunston</t>
  </si>
  <si>
    <t>E2534P025</t>
  </si>
  <si>
    <t>Dunston</t>
  </si>
  <si>
    <t>North KestevenEagle and Swinethorpe</t>
  </si>
  <si>
    <t>E2534P026</t>
  </si>
  <si>
    <t>Eagle and Swinethorpe</t>
  </si>
  <si>
    <t>North KestevenEwerby and Evedon</t>
  </si>
  <si>
    <t>E2534P027</t>
  </si>
  <si>
    <t>Ewerby and Evedon</t>
  </si>
  <si>
    <t>North KestevenGreat Hale</t>
  </si>
  <si>
    <t>E2534P028</t>
  </si>
  <si>
    <t>Great Hale</t>
  </si>
  <si>
    <t>North KestevenHarmston</t>
  </si>
  <si>
    <t>E2534P029</t>
  </si>
  <si>
    <t>Harmston</t>
  </si>
  <si>
    <t>North KestevenHeckington</t>
  </si>
  <si>
    <t>E2534P030</t>
  </si>
  <si>
    <t>Heckington</t>
  </si>
  <si>
    <t>North KestevenHeighington</t>
  </si>
  <si>
    <t>E2534P031</t>
  </si>
  <si>
    <t>North KestevenHelpringham</t>
  </si>
  <si>
    <t>E2534P032</t>
  </si>
  <si>
    <t>Helpringham</t>
  </si>
  <si>
    <t>North KestevenKirkby la Thorpe</t>
  </si>
  <si>
    <t>E2534P033</t>
  </si>
  <si>
    <t>Kirkby la Thorpe</t>
  </si>
  <si>
    <t>North KestevenLeadenham</t>
  </si>
  <si>
    <t>E2534P034</t>
  </si>
  <si>
    <t>Leadenham</t>
  </si>
  <si>
    <t>North KestevenLeasingham and Roxholm</t>
  </si>
  <si>
    <t>E2534P035</t>
  </si>
  <si>
    <t>Leasingham and Roxholm</t>
  </si>
  <si>
    <t>North KestevenLittle Hale</t>
  </si>
  <si>
    <t>E2534P036</t>
  </si>
  <si>
    <t>Little Hale</t>
  </si>
  <si>
    <t>North KestevenMartin</t>
  </si>
  <si>
    <t>E2534P037</t>
  </si>
  <si>
    <t>North KestevenMetheringham</t>
  </si>
  <si>
    <t>E2534P038</t>
  </si>
  <si>
    <t>Metheringham</t>
  </si>
  <si>
    <t>North KestevenNavenby</t>
  </si>
  <si>
    <t>E2534P039</t>
  </si>
  <si>
    <t>Navenby</t>
  </si>
  <si>
    <t>North KestevenNewton Haceby and Walcot</t>
  </si>
  <si>
    <t>E2534P040</t>
  </si>
  <si>
    <t>Newton Haceby and Walcot</t>
  </si>
  <si>
    <t>North KestevenNocton</t>
  </si>
  <si>
    <t>E2534P041</t>
  </si>
  <si>
    <t>Nocton</t>
  </si>
  <si>
    <t>North KestevenNorth Hykeham</t>
  </si>
  <si>
    <t>E2534P042</t>
  </si>
  <si>
    <t>North Hykeham</t>
  </si>
  <si>
    <t>North KestevenNorth Kyme</t>
  </si>
  <si>
    <t>E2534P043</t>
  </si>
  <si>
    <t>North Kyme</t>
  </si>
  <si>
    <t>North KestevenNorth Scarle</t>
  </si>
  <si>
    <t>E2534P045</t>
  </si>
  <si>
    <t>North Scarle</t>
  </si>
  <si>
    <t>North KestevenNorton Disney</t>
  </si>
  <si>
    <t>E2534P046</t>
  </si>
  <si>
    <t>Norton Disney</t>
  </si>
  <si>
    <t>North KestevenOsbournby</t>
  </si>
  <si>
    <t>E2534P047</t>
  </si>
  <si>
    <t>Osbournby</t>
  </si>
  <si>
    <t>North KestevenPotter Hanworth</t>
  </si>
  <si>
    <t>E2534P048</t>
  </si>
  <si>
    <t>Potter Hanworth</t>
  </si>
  <si>
    <t>North KestevenRowston</t>
  </si>
  <si>
    <t>E2534P049</t>
  </si>
  <si>
    <t>Rowston</t>
  </si>
  <si>
    <t>North KestevenRuskington</t>
  </si>
  <si>
    <t>E2534P051</t>
  </si>
  <si>
    <t>Ruskington</t>
  </si>
  <si>
    <t>North KestevenScopwick</t>
  </si>
  <si>
    <t>E2534P052</t>
  </si>
  <si>
    <t>Scopwick</t>
  </si>
  <si>
    <t>North KestevenScredington</t>
  </si>
  <si>
    <t>E2534P053</t>
  </si>
  <si>
    <t>Scredington</t>
  </si>
  <si>
    <t>North KestevenSilk Willoughby</t>
  </si>
  <si>
    <t>E2534P054</t>
  </si>
  <si>
    <t>Silk Willoughby</t>
  </si>
  <si>
    <t>North KestevenSkellingthorpe</t>
  </si>
  <si>
    <t>E2534P055</t>
  </si>
  <si>
    <t>Skellingthorpe</t>
  </si>
  <si>
    <t>North KestevenSleaford</t>
  </si>
  <si>
    <t>E2534P056</t>
  </si>
  <si>
    <t>Sleaford</t>
  </si>
  <si>
    <t>North KestevenSouth Hykeham</t>
  </si>
  <si>
    <t>E2534P057</t>
  </si>
  <si>
    <t>South Hykeham</t>
  </si>
  <si>
    <t>North KestevenSouth Kyme</t>
  </si>
  <si>
    <t>E2534P058</t>
  </si>
  <si>
    <t>South Kyme</t>
  </si>
  <si>
    <t>North KestevenRauceby</t>
  </si>
  <si>
    <t>E2534P059</t>
  </si>
  <si>
    <t>Rauceby</t>
  </si>
  <si>
    <t>North KestevenStapleford</t>
  </si>
  <si>
    <t>E2534P060</t>
  </si>
  <si>
    <t>North KestevenSwaton</t>
  </si>
  <si>
    <t>E2534P061</t>
  </si>
  <si>
    <t>Swaton</t>
  </si>
  <si>
    <t>North KestevenSwinderby</t>
  </si>
  <si>
    <t>E2534P062</t>
  </si>
  <si>
    <t>Swinderby</t>
  </si>
  <si>
    <t>North KestevenThorpe on the Hill</t>
  </si>
  <si>
    <t>E2534P064</t>
  </si>
  <si>
    <t>Thorpe on the Hill</t>
  </si>
  <si>
    <t>North KestevenThreekingham</t>
  </si>
  <si>
    <t>E2534P065</t>
  </si>
  <si>
    <t>Threekingham</t>
  </si>
  <si>
    <t>North KestevenThurlby</t>
  </si>
  <si>
    <t>E2534P066</t>
  </si>
  <si>
    <t>Thurlby</t>
  </si>
  <si>
    <t>North KestevenTimberland</t>
  </si>
  <si>
    <t>E2534P067</t>
  </si>
  <si>
    <t>Timberland</t>
  </si>
  <si>
    <t>North KestevenWaddington</t>
  </si>
  <si>
    <t>E2534P068</t>
  </si>
  <si>
    <t>North KestevenWalcott</t>
  </si>
  <si>
    <t>E2534P070</t>
  </si>
  <si>
    <t>Walcott</t>
  </si>
  <si>
    <t>North KestevenWashingborough</t>
  </si>
  <si>
    <t>E2534P071</t>
  </si>
  <si>
    <t>Washingborough</t>
  </si>
  <si>
    <t>North KestevenWelbourn</t>
  </si>
  <si>
    <t>E2534P072</t>
  </si>
  <si>
    <t>Welbourn</t>
  </si>
  <si>
    <t>North KestevenWellingore</t>
  </si>
  <si>
    <t>E2534P073</t>
  </si>
  <si>
    <t>Wellingore</t>
  </si>
  <si>
    <t>North KestevenWilsford</t>
  </si>
  <si>
    <t>E2534P074</t>
  </si>
  <si>
    <t>Wilsford</t>
  </si>
  <si>
    <t>North KestevenWitham St. Hughs</t>
  </si>
  <si>
    <t>E2534P075</t>
  </si>
  <si>
    <t>Witham St. Hughs</t>
  </si>
  <si>
    <t>South HollandCowbit</t>
  </si>
  <si>
    <t>E2535P001</t>
  </si>
  <si>
    <t>Cowbit</t>
  </si>
  <si>
    <t>South HollandCrowland</t>
  </si>
  <si>
    <t>E2535P002</t>
  </si>
  <si>
    <t>Crowland</t>
  </si>
  <si>
    <t>South HollandDeeping St Nicholas</t>
  </si>
  <si>
    <t>E2535P003</t>
  </si>
  <si>
    <t>Deeping St Nicholas</t>
  </si>
  <si>
    <t>South HollandDonington</t>
  </si>
  <si>
    <t>E2535P004</t>
  </si>
  <si>
    <t>Donington</t>
  </si>
  <si>
    <t>South HollandFleet</t>
  </si>
  <si>
    <t>E2535P005</t>
  </si>
  <si>
    <t>South HollandGedney</t>
  </si>
  <si>
    <t>E2535P006</t>
  </si>
  <si>
    <t>Gedney</t>
  </si>
  <si>
    <t>South HollandGedney Hill</t>
  </si>
  <si>
    <t>E2535P007</t>
  </si>
  <si>
    <t>Gedney Hill</t>
  </si>
  <si>
    <t>South HollandGosberton</t>
  </si>
  <si>
    <t>E2535P008</t>
  </si>
  <si>
    <t>Gosberton</t>
  </si>
  <si>
    <t>South HollandHolbeach</t>
  </si>
  <si>
    <t>E2535P009</t>
  </si>
  <si>
    <t>Holbeach</t>
  </si>
  <si>
    <t>South HollandLittle Sutton</t>
  </si>
  <si>
    <t>E2535P010</t>
  </si>
  <si>
    <t>Little Sutton</t>
  </si>
  <si>
    <t>South HollandLong Sutton</t>
  </si>
  <si>
    <t>E2535P011</t>
  </si>
  <si>
    <t>South HollandLutton</t>
  </si>
  <si>
    <t>E2535P012</t>
  </si>
  <si>
    <t>Lutton</t>
  </si>
  <si>
    <t>South HollandMoulton</t>
  </si>
  <si>
    <t>E2535P013</t>
  </si>
  <si>
    <t>South HollandPinchbeck</t>
  </si>
  <si>
    <t>E2535P014</t>
  </si>
  <si>
    <t>Pinchbeck</t>
  </si>
  <si>
    <t>South HollandQuadring</t>
  </si>
  <si>
    <t>E2535P015</t>
  </si>
  <si>
    <t>Quadring</t>
  </si>
  <si>
    <t>South HollandSurfleet</t>
  </si>
  <si>
    <t>E2535P016</t>
  </si>
  <si>
    <t>Surfleet</t>
  </si>
  <si>
    <t>South HollandSutton Bridge</t>
  </si>
  <si>
    <t>E2535P017</t>
  </si>
  <si>
    <t>Sutton Bridge</t>
  </si>
  <si>
    <t>South HollandSutton St Edmund</t>
  </si>
  <si>
    <t>E2535P018</t>
  </si>
  <si>
    <t>Sutton St Edmund</t>
  </si>
  <si>
    <t>South HollandSutton St James</t>
  </si>
  <si>
    <t>E2535P019</t>
  </si>
  <si>
    <t>Sutton St James</t>
  </si>
  <si>
    <t>South HollandTydd St Mary</t>
  </si>
  <si>
    <t>E2535P020</t>
  </si>
  <si>
    <t>Tydd St Mary</t>
  </si>
  <si>
    <t>South HollandWeston</t>
  </si>
  <si>
    <t>E2535P021</t>
  </si>
  <si>
    <t>South HollandWhaplode</t>
  </si>
  <si>
    <t>E2535P022</t>
  </si>
  <si>
    <t>Whaplode</t>
  </si>
  <si>
    <t>South KestevenAllington</t>
  </si>
  <si>
    <t>E2536P001</t>
  </si>
  <si>
    <t>Allington</t>
  </si>
  <si>
    <t>South KestevenAncaster</t>
  </si>
  <si>
    <t>E2536P002</t>
  </si>
  <si>
    <t>Ancaster</t>
  </si>
  <si>
    <t>South KestevenAslackby and Laughton</t>
  </si>
  <si>
    <t>E2536P003</t>
  </si>
  <si>
    <t>Aslackby and Laughton</t>
  </si>
  <si>
    <t>South KestevenBarholm and Stowe</t>
  </si>
  <si>
    <t>E2536P004</t>
  </si>
  <si>
    <t>Barholm and Stowe</t>
  </si>
  <si>
    <t>South KestevenBarkston (grouped with Syston)</t>
  </si>
  <si>
    <t>E2536P005</t>
  </si>
  <si>
    <t>Barkston (grouped with Syston)</t>
  </si>
  <si>
    <t>South KestevenBarrowby</t>
  </si>
  <si>
    <t>E2536P006</t>
  </si>
  <si>
    <t>Barrowby</t>
  </si>
  <si>
    <t>South KestevenBaston</t>
  </si>
  <si>
    <t>E2536P007</t>
  </si>
  <si>
    <t>Baston</t>
  </si>
  <si>
    <t>South KestevenBelton and Manthorpe</t>
  </si>
  <si>
    <t>E2536P008</t>
  </si>
  <si>
    <t>Belton and Manthorpe</t>
  </si>
  <si>
    <t>South KestevenBillingborough</t>
  </si>
  <si>
    <t>E2536P009</t>
  </si>
  <si>
    <t>Billingborough</t>
  </si>
  <si>
    <t>South KestevenBitchfield and Bassingthorpe</t>
  </si>
  <si>
    <t>E2536P010</t>
  </si>
  <si>
    <t>Bitchfield and Bassingthorpe</t>
  </si>
  <si>
    <t>South KestevenBoothby Pagnell</t>
  </si>
  <si>
    <t>E2536P011</t>
  </si>
  <si>
    <t>Boothby Pagnell</t>
  </si>
  <si>
    <t>South KestevenBourne</t>
  </si>
  <si>
    <t>E2536P012</t>
  </si>
  <si>
    <t>Bourne</t>
  </si>
  <si>
    <t>South KestevenBraceborough and Wilsthorpe</t>
  </si>
  <si>
    <t>E2536P013</t>
  </si>
  <si>
    <t>Braceborough and Wilsthorpe</t>
  </si>
  <si>
    <t>South KestevenBraceby and Sapperton (grouped with Ropsley)</t>
  </si>
  <si>
    <t>E2536P014</t>
  </si>
  <si>
    <t>Braceby and Sapperton (grouped with Ropsley)</t>
  </si>
  <si>
    <t>South KestevenBurton Coggles</t>
  </si>
  <si>
    <t>E2536P015</t>
  </si>
  <si>
    <t>Burton Coggles</t>
  </si>
  <si>
    <t>South KestevenCareby Aunby and Holywell</t>
  </si>
  <si>
    <t>E2536P016</t>
  </si>
  <si>
    <t>Careby Aunby and Holywell</t>
  </si>
  <si>
    <t>South KestevenCarlby</t>
  </si>
  <si>
    <t>E2536P017</t>
  </si>
  <si>
    <t>Carlby</t>
  </si>
  <si>
    <t>South KestevenCarlton Scroop (grouped with Normanton)</t>
  </si>
  <si>
    <t>E2536P018</t>
  </si>
  <si>
    <t>Carlton Scroop (grouped with Normanton)</t>
  </si>
  <si>
    <t>South KestevenCastle Bytham</t>
  </si>
  <si>
    <t>E2536P019</t>
  </si>
  <si>
    <t>Castle Bytham</t>
  </si>
  <si>
    <t>South KestevenCaythorpe</t>
  </si>
  <si>
    <t>E2536P020</t>
  </si>
  <si>
    <t>Caythorpe</t>
  </si>
  <si>
    <t>South KestevenClaypole</t>
  </si>
  <si>
    <t>E2536P021</t>
  </si>
  <si>
    <t>Claypole</t>
  </si>
  <si>
    <t>South KestevenColsterworth (grouped with North Witham Gunby and Stainby)</t>
  </si>
  <si>
    <t>E2536P022</t>
  </si>
  <si>
    <t>Colsterworth (grouped with North Witham Gunby and Stainby)</t>
  </si>
  <si>
    <t>South KestevenCorby Glen</t>
  </si>
  <si>
    <t>E2536P023</t>
  </si>
  <si>
    <t>Corby Glen</t>
  </si>
  <si>
    <t>South KestevenCounthorpe and Creeton</t>
  </si>
  <si>
    <t>E2536P024</t>
  </si>
  <si>
    <t>Counthorpe and Creeton</t>
  </si>
  <si>
    <t>South KestevenDeeping St James</t>
  </si>
  <si>
    <t>E2536P025</t>
  </si>
  <si>
    <t>Deeping St James</t>
  </si>
  <si>
    <t>South KestevenDenton</t>
  </si>
  <si>
    <t>E2536P026</t>
  </si>
  <si>
    <t>South KestevenDowsby</t>
  </si>
  <si>
    <t>E2536P027</t>
  </si>
  <si>
    <t>Dowsby</t>
  </si>
  <si>
    <t>South KestevenDunsby</t>
  </si>
  <si>
    <t>E2536P028</t>
  </si>
  <si>
    <t>Dunsby</t>
  </si>
  <si>
    <t>South KestevenEaston (grouped with Stoke Rochford)</t>
  </si>
  <si>
    <t>E2536P029</t>
  </si>
  <si>
    <t>Easton (grouped with Stoke Rochford)</t>
  </si>
  <si>
    <t>South KestevenEdenham</t>
  </si>
  <si>
    <t>E2536P030</t>
  </si>
  <si>
    <t>Edenham</t>
  </si>
  <si>
    <t>South KestevenFenton</t>
  </si>
  <si>
    <t>E2536P031</t>
  </si>
  <si>
    <t>Fenton</t>
  </si>
  <si>
    <t>South KestevenFolkingham</t>
  </si>
  <si>
    <t>E2536P032</t>
  </si>
  <si>
    <t>Folkingham</t>
  </si>
  <si>
    <t>South KestevenFoston</t>
  </si>
  <si>
    <t>E2536P033</t>
  </si>
  <si>
    <t>South KestevenFulbeck</t>
  </si>
  <si>
    <t>E2536P034</t>
  </si>
  <si>
    <t>Fulbeck</t>
  </si>
  <si>
    <t>South KestevenGreat Gonerby</t>
  </si>
  <si>
    <t>E2536P035</t>
  </si>
  <si>
    <t>Great Gonerby</t>
  </si>
  <si>
    <t>South KestevenGreat Ponton</t>
  </si>
  <si>
    <t>E2536P036</t>
  </si>
  <si>
    <t>Great Ponton</t>
  </si>
  <si>
    <t>South KestevenGreatford</t>
  </si>
  <si>
    <t>E2536P037</t>
  </si>
  <si>
    <t>Greatford</t>
  </si>
  <si>
    <t>South KestevenGunby and Stainby (grouped with Colsterworth)</t>
  </si>
  <si>
    <t>E2536P038</t>
  </si>
  <si>
    <t>Gunby and Stainby (grouped with Colsterworth)</t>
  </si>
  <si>
    <t>South KestevenHaconby</t>
  </si>
  <si>
    <t>E2536P039</t>
  </si>
  <si>
    <t>Haconby</t>
  </si>
  <si>
    <t>South KestevenHarlaxton</t>
  </si>
  <si>
    <t>E2536P040</t>
  </si>
  <si>
    <t>Harlaxton</t>
  </si>
  <si>
    <t>South KestevenHeydour</t>
  </si>
  <si>
    <t>E2536P041</t>
  </si>
  <si>
    <t>Heydour</t>
  </si>
  <si>
    <t>South KestevenHonington</t>
  </si>
  <si>
    <t>E2536P042</t>
  </si>
  <si>
    <t>Honington</t>
  </si>
  <si>
    <t>South KestevenHorbling</t>
  </si>
  <si>
    <t>E2536P043</t>
  </si>
  <si>
    <t>Horbling</t>
  </si>
  <si>
    <t>South KestevenHougham</t>
  </si>
  <si>
    <t>E2536P044</t>
  </si>
  <si>
    <t>Hougham</t>
  </si>
  <si>
    <t>South KestevenHough on the Hill</t>
  </si>
  <si>
    <t>E2536P045</t>
  </si>
  <si>
    <t>Hough on the Hill</t>
  </si>
  <si>
    <t>South KestevenIngoldsby</t>
  </si>
  <si>
    <t>E2536P046</t>
  </si>
  <si>
    <t>Ingoldsby</t>
  </si>
  <si>
    <t>South KestevenIrnham</t>
  </si>
  <si>
    <t>E2536P047</t>
  </si>
  <si>
    <t>Irnham</t>
  </si>
  <si>
    <t>South KestevenKirkby Underwood</t>
  </si>
  <si>
    <t>E2536P048</t>
  </si>
  <si>
    <t>Kirkby Underwood</t>
  </si>
  <si>
    <t>South KestevenLangtoft</t>
  </si>
  <si>
    <t>E2536P049</t>
  </si>
  <si>
    <t>South KestevenLenton Keisby and Osgodby</t>
  </si>
  <si>
    <t>E2536P050</t>
  </si>
  <si>
    <t>Lenton Keisby and Osgodby</t>
  </si>
  <si>
    <t>South KestevenLittle Bytham</t>
  </si>
  <si>
    <t>E2536P051</t>
  </si>
  <si>
    <t>Little Bytham</t>
  </si>
  <si>
    <t>South KestevenLittle Ponton and Stroxton</t>
  </si>
  <si>
    <t>E2536P052</t>
  </si>
  <si>
    <t>Little Ponton and Stroxton</t>
  </si>
  <si>
    <t>South KestevenLondonthorpe and Harrowby Without</t>
  </si>
  <si>
    <t>E2536P053</t>
  </si>
  <si>
    <t>Londonthorpe and Harrowby Without</t>
  </si>
  <si>
    <t>South KestevenLong Bennington</t>
  </si>
  <si>
    <t>E2536P054</t>
  </si>
  <si>
    <t>Long Bennington</t>
  </si>
  <si>
    <t>South KestevenMarket Deeping</t>
  </si>
  <si>
    <t>E2536P055</t>
  </si>
  <si>
    <t>Market Deeping</t>
  </si>
  <si>
    <t>South KestevenMarston</t>
  </si>
  <si>
    <t>E2536P056</t>
  </si>
  <si>
    <t>South KestevenMorton &amp; Hanthorpe</t>
  </si>
  <si>
    <t>E2536P057</t>
  </si>
  <si>
    <t>Morton &amp; Hanthorpe</t>
  </si>
  <si>
    <t>South KestevenNormanton (grouped with Carlton Scroop)</t>
  </si>
  <si>
    <t>E2536P058</t>
  </si>
  <si>
    <t>Normanton (grouped with Carlton Scroop)</t>
  </si>
  <si>
    <t>South KestevenNorth Witham (grouped with Colsterworth)</t>
  </si>
  <si>
    <t>E2536P059</t>
  </si>
  <si>
    <t>North Witham (grouped with Colsterworth)</t>
  </si>
  <si>
    <t>South KestevenOld Somerby</t>
  </si>
  <si>
    <t>E2536P060</t>
  </si>
  <si>
    <t>Old Somerby</t>
  </si>
  <si>
    <t>South KestevenPickworth</t>
  </si>
  <si>
    <t>E2536P061</t>
  </si>
  <si>
    <t>South KestevenPointon and Sempringham</t>
  </si>
  <si>
    <t>E2536P062</t>
  </si>
  <si>
    <t>Pointon and Sempringham</t>
  </si>
  <si>
    <t>South KestevenRippingale</t>
  </si>
  <si>
    <t>E2536P063</t>
  </si>
  <si>
    <t>Rippingale</t>
  </si>
  <si>
    <t>South KestevenRopsley Humby (grouped with Braceby &amp; Sapperton)</t>
  </si>
  <si>
    <t>E2536P064</t>
  </si>
  <si>
    <t>Ropsley Humby (grouped with Braceby &amp; Sapperton)</t>
  </si>
  <si>
    <t>South KestevenSedgebrook</t>
  </si>
  <si>
    <t>E2536P065</t>
  </si>
  <si>
    <t>Sedgebrook</t>
  </si>
  <si>
    <t>South KestevenSkillington</t>
  </si>
  <si>
    <t>E2536P066</t>
  </si>
  <si>
    <t>Skillington</t>
  </si>
  <si>
    <t>South KestevenSouth Witham</t>
  </si>
  <si>
    <t>E2536P067</t>
  </si>
  <si>
    <t>South Witham</t>
  </si>
  <si>
    <t>South KestevenStamford</t>
  </si>
  <si>
    <t>E2536P068</t>
  </si>
  <si>
    <t>Stamford</t>
  </si>
  <si>
    <t>South KestevenStoke Rochford (grouped with Easton)</t>
  </si>
  <si>
    <t>E2536P069</t>
  </si>
  <si>
    <t>Stoke Rochford (grouped with Easton)</t>
  </si>
  <si>
    <t>South KestevenStubton</t>
  </si>
  <si>
    <t>E2536P070</t>
  </si>
  <si>
    <t>Stubton</t>
  </si>
  <si>
    <t>South KestevenSwayfield</t>
  </si>
  <si>
    <t>E2536P071</t>
  </si>
  <si>
    <t>Swayfield</t>
  </si>
  <si>
    <t>South KestevenSwinstead</t>
  </si>
  <si>
    <t>E2536P072</t>
  </si>
  <si>
    <t>Swinstead</t>
  </si>
  <si>
    <t>South KestevenSyston (grouped with Barkston)</t>
  </si>
  <si>
    <t>E2536P073</t>
  </si>
  <si>
    <t>Syston (grouped with Barkston)</t>
  </si>
  <si>
    <t>South KestevenTallington</t>
  </si>
  <si>
    <t>E2536P074</t>
  </si>
  <si>
    <t>Tallington</t>
  </si>
  <si>
    <t>South KestevenThurlby</t>
  </si>
  <si>
    <t>E2536P075</t>
  </si>
  <si>
    <t>South KestevenToft with Lound and Manthorpe</t>
  </si>
  <si>
    <t>E2536P076</t>
  </si>
  <si>
    <t>Toft with Lound and Manthorpe</t>
  </si>
  <si>
    <t>South KestevenUffington</t>
  </si>
  <si>
    <t>E2536P077</t>
  </si>
  <si>
    <t>Uffington</t>
  </si>
  <si>
    <t>South KestevenWelby</t>
  </si>
  <si>
    <t>E2536P078</t>
  </si>
  <si>
    <t>Welby</t>
  </si>
  <si>
    <t>South KestevenWest Deeping</t>
  </si>
  <si>
    <t>E2536P079</t>
  </si>
  <si>
    <t>West Deeping</t>
  </si>
  <si>
    <t>South KestevenWestborough and Dry Doddington</t>
  </si>
  <si>
    <t>E2536P080</t>
  </si>
  <si>
    <t>Westborough and Dry Doddington</t>
  </si>
  <si>
    <t>South KestevenWitham on the Hill</t>
  </si>
  <si>
    <t>E2536P081</t>
  </si>
  <si>
    <t>Witham on the Hill</t>
  </si>
  <si>
    <t>South KestevenWoolsthorpe By Belvoir</t>
  </si>
  <si>
    <t>E2536P082</t>
  </si>
  <si>
    <t>Woolsthorpe By Belvoir</t>
  </si>
  <si>
    <t>South KestevenWyville cum Hungerton</t>
  </si>
  <si>
    <t>E2536P083</t>
  </si>
  <si>
    <t>Wyville cum Hungerton</t>
  </si>
  <si>
    <t>South KestevenGrantham Parish Council</t>
  </si>
  <si>
    <t>E2536P085</t>
  </si>
  <si>
    <t>Grantham Parish Council</t>
  </si>
  <si>
    <t>West LindseyAisthorpe</t>
  </si>
  <si>
    <t>E2537P001</t>
  </si>
  <si>
    <t>Aisthorpe</t>
  </si>
  <si>
    <t>West LindseyApley (grouped with Bardney and Stainfield)</t>
  </si>
  <si>
    <t>E2537P002</t>
  </si>
  <si>
    <t>Apley (grouped with Bardney and Stainfield)</t>
  </si>
  <si>
    <t>West LindseyBardney (grouped with Apley and Stainfield)</t>
  </si>
  <si>
    <t>E2537P003</t>
  </si>
  <si>
    <t>Bardney (grouped with Apley and Stainfield)</t>
  </si>
  <si>
    <t>West LindseyBarlings (grouped with Langworth and Newball)</t>
  </si>
  <si>
    <t>E2537P004</t>
  </si>
  <si>
    <t>Barlings (grouped with Langworth and Newball)</t>
  </si>
  <si>
    <t>West LindseyBigby</t>
  </si>
  <si>
    <t>E2537P005</t>
  </si>
  <si>
    <t>Bigby</t>
  </si>
  <si>
    <t>West LindseyBishop Norton</t>
  </si>
  <si>
    <t>E2537P006</t>
  </si>
  <si>
    <t>Bishop Norton</t>
  </si>
  <si>
    <t>West LindseyBlyborough</t>
  </si>
  <si>
    <t>E2537P007</t>
  </si>
  <si>
    <t>Blyborough</t>
  </si>
  <si>
    <t>West LindseyBlyton</t>
  </si>
  <si>
    <t>E2537P008</t>
  </si>
  <si>
    <t>Blyton</t>
  </si>
  <si>
    <t>West LindseyBrampton</t>
  </si>
  <si>
    <t>E2537P009</t>
  </si>
  <si>
    <t>West LindseyBrattleby</t>
  </si>
  <si>
    <t>E2537P010</t>
  </si>
  <si>
    <t>Brattleby</t>
  </si>
  <si>
    <t>West LindseyBroadholme</t>
  </si>
  <si>
    <t>E2537P011</t>
  </si>
  <si>
    <t>Broadholme</t>
  </si>
  <si>
    <t>West LindseyBrocklesby</t>
  </si>
  <si>
    <t>E2537P012</t>
  </si>
  <si>
    <t>Brocklesby</t>
  </si>
  <si>
    <t>West LindseyBrookenby</t>
  </si>
  <si>
    <t>E2537P013</t>
  </si>
  <si>
    <t>Brookenby</t>
  </si>
  <si>
    <t>West LindseyBroxholme</t>
  </si>
  <si>
    <t>E2537P014</t>
  </si>
  <si>
    <t>Broxholme</t>
  </si>
  <si>
    <t>West LindseyBullington</t>
  </si>
  <si>
    <t>E2537P015</t>
  </si>
  <si>
    <t>West LindseyBurton</t>
  </si>
  <si>
    <t>E2537P016</t>
  </si>
  <si>
    <t>West LindseyBuslingthorpe</t>
  </si>
  <si>
    <t>E2537P017</t>
  </si>
  <si>
    <t>Buslingthorpe</t>
  </si>
  <si>
    <t>West LindseyCabourne</t>
  </si>
  <si>
    <t>E2537P018</t>
  </si>
  <si>
    <t>Cabourne</t>
  </si>
  <si>
    <t>West LindseyCaenby</t>
  </si>
  <si>
    <t>E2537P019</t>
  </si>
  <si>
    <t>Caenby</t>
  </si>
  <si>
    <t>West LindseyCaistor</t>
  </si>
  <si>
    <t>E2537P020</t>
  </si>
  <si>
    <t>Caistor</t>
  </si>
  <si>
    <t>West LindseyCammeringham</t>
  </si>
  <si>
    <t>E2537P021</t>
  </si>
  <si>
    <t>Cammeringham</t>
  </si>
  <si>
    <t>West LindseyCherry Willingham</t>
  </si>
  <si>
    <t>E2537P022</t>
  </si>
  <si>
    <t>Cherry Willingham</t>
  </si>
  <si>
    <t>West LindseyClaxby</t>
  </si>
  <si>
    <t>E2537P023</t>
  </si>
  <si>
    <t>Claxby</t>
  </si>
  <si>
    <t>West LindseyCold Hanworth (grouped with Hackthorn)</t>
  </si>
  <si>
    <t>E2537P024</t>
  </si>
  <si>
    <t>Cold Hanworth (grouped with Hackthorn)</t>
  </si>
  <si>
    <t>West LindseyCorringham</t>
  </si>
  <si>
    <t>E2537P025</t>
  </si>
  <si>
    <t>Corringham</t>
  </si>
  <si>
    <t>West LindseyDunholme</t>
  </si>
  <si>
    <t>E2537P026</t>
  </si>
  <si>
    <t>Dunholme</t>
  </si>
  <si>
    <t>West LindseyEast Ferry</t>
  </si>
  <si>
    <t>E2537P027</t>
  </si>
  <si>
    <t>East Ferry</t>
  </si>
  <si>
    <t>West LindseyEast Stockwith</t>
  </si>
  <si>
    <t>E2537P028</t>
  </si>
  <si>
    <t>East Stockwith</t>
  </si>
  <si>
    <t>West LindseyFaldingworth</t>
  </si>
  <si>
    <t>E2537P029</t>
  </si>
  <si>
    <t>Faldingworth</t>
  </si>
  <si>
    <t>West LindseyFenton</t>
  </si>
  <si>
    <t>E2537P030</t>
  </si>
  <si>
    <t>West LindseyFillingham</t>
  </si>
  <si>
    <t>E2537P031</t>
  </si>
  <si>
    <t>Fillingham</t>
  </si>
  <si>
    <t>West LindseyFiskerton</t>
  </si>
  <si>
    <t>E2537P032</t>
  </si>
  <si>
    <t>Fiskerton</t>
  </si>
  <si>
    <t>West LindseyFriesthorpe</t>
  </si>
  <si>
    <t>E2537P033</t>
  </si>
  <si>
    <t>Friesthorpe</t>
  </si>
  <si>
    <t>West LindseyFulnetby</t>
  </si>
  <si>
    <t>E2537P034</t>
  </si>
  <si>
    <t>Fulnetby</t>
  </si>
  <si>
    <t>West LindseyGainsborough</t>
  </si>
  <si>
    <t>E2537P035</t>
  </si>
  <si>
    <t>Gainsborough</t>
  </si>
  <si>
    <t>West LindseyGate Burton (grouped with Marton)</t>
  </si>
  <si>
    <t>E2537P036</t>
  </si>
  <si>
    <t>Gate Burton (grouped with Marton)</t>
  </si>
  <si>
    <t>West LindseyGlentham</t>
  </si>
  <si>
    <t>E2537P037</t>
  </si>
  <si>
    <t>Glentham</t>
  </si>
  <si>
    <t>West LindseyGlentworth</t>
  </si>
  <si>
    <t>E2537P038</t>
  </si>
  <si>
    <t>Glentworth</t>
  </si>
  <si>
    <t>West LindseyGoltho</t>
  </si>
  <si>
    <t>E2537P039</t>
  </si>
  <si>
    <t>Goltho</t>
  </si>
  <si>
    <t>West LindseyGrange de Lings</t>
  </si>
  <si>
    <t>E2537P040</t>
  </si>
  <si>
    <t>Grange de Lings</t>
  </si>
  <si>
    <t>West LindseyGrasby</t>
  </si>
  <si>
    <t>E2537P041</t>
  </si>
  <si>
    <t>Grasby</t>
  </si>
  <si>
    <t>West LindseyGrayingham</t>
  </si>
  <si>
    <t>E2537P042</t>
  </si>
  <si>
    <t>Grayingham</t>
  </si>
  <si>
    <t>West LindseyGreat Limber</t>
  </si>
  <si>
    <t>E2537P043</t>
  </si>
  <si>
    <t>Great Limber</t>
  </si>
  <si>
    <t>West LindseyGreetwell</t>
  </si>
  <si>
    <t>E2537P044</t>
  </si>
  <si>
    <t>Greetwell</t>
  </si>
  <si>
    <t>West LindseyHackthorn (grouped with Cold Hanworth)</t>
  </si>
  <si>
    <t>E2537P045</t>
  </si>
  <si>
    <t>Hackthorn (grouped with Cold Hanworth)</t>
  </si>
  <si>
    <t>West LindseyHardwick</t>
  </si>
  <si>
    <t>E2537P046</t>
  </si>
  <si>
    <t>West LindseyHarpswell</t>
  </si>
  <si>
    <t>E2537P047</t>
  </si>
  <si>
    <t>Harpswell</t>
  </si>
  <si>
    <t>West LindseyHeapham</t>
  </si>
  <si>
    <t>E2537P048</t>
  </si>
  <si>
    <t>Heapham</t>
  </si>
  <si>
    <t>West LindseyHemswell</t>
  </si>
  <si>
    <t>E2537P049</t>
  </si>
  <si>
    <t>Hemswell</t>
  </si>
  <si>
    <t>West LindseyHemswell Cliff</t>
  </si>
  <si>
    <t>E2537P050</t>
  </si>
  <si>
    <t>Hemswell Cliff</t>
  </si>
  <si>
    <t>West LindseyHolton cum Beckering</t>
  </si>
  <si>
    <t>E2537P051</t>
  </si>
  <si>
    <t>Holton cum Beckering</t>
  </si>
  <si>
    <t>West LindseyHolton le Moor</t>
  </si>
  <si>
    <t>E2537P052</t>
  </si>
  <si>
    <t>Holton le Moor</t>
  </si>
  <si>
    <t>West LindseyIngham</t>
  </si>
  <si>
    <t>E2537P053</t>
  </si>
  <si>
    <t>Ingham</t>
  </si>
  <si>
    <t>West LindseyKeelby</t>
  </si>
  <si>
    <t>E2537P054</t>
  </si>
  <si>
    <t>Keelby</t>
  </si>
  <si>
    <t>West LindseyKettlethorpe</t>
  </si>
  <si>
    <t>E2537P055</t>
  </si>
  <si>
    <t>Kettlethorpe</t>
  </si>
  <si>
    <t>West LindseyKexby</t>
  </si>
  <si>
    <t>E2537P056</t>
  </si>
  <si>
    <t>Kexby</t>
  </si>
  <si>
    <t>West LindseyKirmond le Mire</t>
  </si>
  <si>
    <t>E2537P057</t>
  </si>
  <si>
    <t>Kirmond le Mire</t>
  </si>
  <si>
    <t>West LindseyKnaith</t>
  </si>
  <si>
    <t>E2537P058</t>
  </si>
  <si>
    <t>Knaith</t>
  </si>
  <si>
    <t>West LindseyLaughton</t>
  </si>
  <si>
    <t>E2537P059</t>
  </si>
  <si>
    <t>West LindseyLea</t>
  </si>
  <si>
    <t>E2537P060</t>
  </si>
  <si>
    <t>West LindseyLegsby</t>
  </si>
  <si>
    <t>E2537P061</t>
  </si>
  <si>
    <t>Legsby</t>
  </si>
  <si>
    <t>West LindseyLinwood</t>
  </si>
  <si>
    <t>E2537P062</t>
  </si>
  <si>
    <t>Linwood</t>
  </si>
  <si>
    <t>West LindseyLissington</t>
  </si>
  <si>
    <t>E2537P063</t>
  </si>
  <si>
    <t>Lissington</t>
  </si>
  <si>
    <t>West LindseyMarket Rasen</t>
  </si>
  <si>
    <t>E2537P064</t>
  </si>
  <si>
    <t>Market Rasen</t>
  </si>
  <si>
    <t>West LindseyMarton (grouped with Gate Burton)</t>
  </si>
  <si>
    <t>E2537P065</t>
  </si>
  <si>
    <t>Marton (grouped with Gate Burton)</t>
  </si>
  <si>
    <t>West LindseyMiddle Rasen</t>
  </si>
  <si>
    <t>E2537P066</t>
  </si>
  <si>
    <t>Middle Rasen</t>
  </si>
  <si>
    <t>West LindseyMorton</t>
  </si>
  <si>
    <t>E2537P067</t>
  </si>
  <si>
    <t>West LindseyNettleham</t>
  </si>
  <si>
    <t>E2537P068</t>
  </si>
  <si>
    <t>Nettleham</t>
  </si>
  <si>
    <t>West LindseyNettleton</t>
  </si>
  <si>
    <t>E2537P069</t>
  </si>
  <si>
    <t>Nettleton</t>
  </si>
  <si>
    <t>West LindseyNewball (grouped with Barlings and Langworth)</t>
  </si>
  <si>
    <t>E2537P070</t>
  </si>
  <si>
    <t>Newball (grouped with Barlings and Langworth)</t>
  </si>
  <si>
    <t>West LindseyNewton on Trent</t>
  </si>
  <si>
    <t>E2537P071</t>
  </si>
  <si>
    <t>Newton on Trent</t>
  </si>
  <si>
    <t>West LindseyNormanby by Spital</t>
  </si>
  <si>
    <t>E2537P072</t>
  </si>
  <si>
    <t>Normanby by Spital</t>
  </si>
  <si>
    <t>West LindseyNormanby le Wold</t>
  </si>
  <si>
    <t>E2537P073</t>
  </si>
  <si>
    <t>Normanby le Wold</t>
  </si>
  <si>
    <t>West LindseyNorth Carlton</t>
  </si>
  <si>
    <t>E2537P074</t>
  </si>
  <si>
    <t>North Carlton</t>
  </si>
  <si>
    <t>West LindseyNorth Kelsey</t>
  </si>
  <si>
    <t>E2537P075</t>
  </si>
  <si>
    <t>North Kelsey</t>
  </si>
  <si>
    <t>West LindseyNorth Willingham</t>
  </si>
  <si>
    <t>E2537P076</t>
  </si>
  <si>
    <t>North Willingham</t>
  </si>
  <si>
    <t>West LindseyNorthorpe</t>
  </si>
  <si>
    <t>E2537P077</t>
  </si>
  <si>
    <t>Northorpe</t>
  </si>
  <si>
    <t>West LindseyOsgodby</t>
  </si>
  <si>
    <t>E2537P078</t>
  </si>
  <si>
    <t>Osgodby</t>
  </si>
  <si>
    <t>West LindseyOwersby</t>
  </si>
  <si>
    <t>E2537P079</t>
  </si>
  <si>
    <t>Owersby</t>
  </si>
  <si>
    <t>West LindseyOwmby</t>
  </si>
  <si>
    <t>E2537P080</t>
  </si>
  <si>
    <t>Owmby</t>
  </si>
  <si>
    <t>West LindseyPilham</t>
  </si>
  <si>
    <t>E2537P081</t>
  </si>
  <si>
    <t>Pilham</t>
  </si>
  <si>
    <t>West LindseyRand</t>
  </si>
  <si>
    <t>E2537P082</t>
  </si>
  <si>
    <t>Rand</t>
  </si>
  <si>
    <t>West LindseyReepham</t>
  </si>
  <si>
    <t>E2537P083</t>
  </si>
  <si>
    <t>Reepham</t>
  </si>
  <si>
    <t>West LindseyRiby</t>
  </si>
  <si>
    <t>E2537P084</t>
  </si>
  <si>
    <t>Riby</t>
  </si>
  <si>
    <t>West LindseyRiseholme</t>
  </si>
  <si>
    <t>E2537P085</t>
  </si>
  <si>
    <t>Riseholme</t>
  </si>
  <si>
    <t>West LindseyRothwell</t>
  </si>
  <si>
    <t>E2537P086</t>
  </si>
  <si>
    <t>Rothwell</t>
  </si>
  <si>
    <t>West LindseySaxby</t>
  </si>
  <si>
    <t>E2537P087</t>
  </si>
  <si>
    <t>Saxby</t>
  </si>
  <si>
    <t>West LindseySaxilby with Ingleby</t>
  </si>
  <si>
    <t>E2537P088</t>
  </si>
  <si>
    <t>Saxilby with Ingleby</t>
  </si>
  <si>
    <t>West LindseyScampton</t>
  </si>
  <si>
    <t>E2537P089</t>
  </si>
  <si>
    <t>Scampton</t>
  </si>
  <si>
    <t>West LindseyScothern</t>
  </si>
  <si>
    <t>E2537P090</t>
  </si>
  <si>
    <t>Scothern</t>
  </si>
  <si>
    <t>West LindseyScotter</t>
  </si>
  <si>
    <t>E2537P091</t>
  </si>
  <si>
    <t>Scotter</t>
  </si>
  <si>
    <t>West LindseyScotton</t>
  </si>
  <si>
    <t>E2537P092</t>
  </si>
  <si>
    <t>Scotton</t>
  </si>
  <si>
    <t>West LindseySearby cum Owmby</t>
  </si>
  <si>
    <t>E2537P093</t>
  </si>
  <si>
    <t>Searby cum Owmby</t>
  </si>
  <si>
    <t>West LindseySixhills</t>
  </si>
  <si>
    <t>E2537P094</t>
  </si>
  <si>
    <t>Sixhills</t>
  </si>
  <si>
    <t>West LindseySnarford</t>
  </si>
  <si>
    <t>E2537P095</t>
  </si>
  <si>
    <t>Snarford</t>
  </si>
  <si>
    <t>West LindseySnelland</t>
  </si>
  <si>
    <t>E2537P096</t>
  </si>
  <si>
    <t>Snelland</t>
  </si>
  <si>
    <t>West LindseySnitterby</t>
  </si>
  <si>
    <t>E2537P097</t>
  </si>
  <si>
    <t>Snitterby</t>
  </si>
  <si>
    <t>West LindseySomerby</t>
  </si>
  <si>
    <t>E2537P098</t>
  </si>
  <si>
    <t>West LindseySouth Carlton</t>
  </si>
  <si>
    <t>E2537P099</t>
  </si>
  <si>
    <t>South Carlton</t>
  </si>
  <si>
    <t>West LindseySouth Kelsey</t>
  </si>
  <si>
    <t>E2537P100</t>
  </si>
  <si>
    <t>South Kelsey</t>
  </si>
  <si>
    <t>West LindseySpridlington</t>
  </si>
  <si>
    <t>E2537P101</t>
  </si>
  <si>
    <t>Spridlington</t>
  </si>
  <si>
    <t>West LindseySpringthorpe</t>
  </si>
  <si>
    <t>E2537P102</t>
  </si>
  <si>
    <t>Springthorpe</t>
  </si>
  <si>
    <t>West LindseyStainfield (grouped with Apley and Bardney)</t>
  </si>
  <si>
    <t>E2537P103</t>
  </si>
  <si>
    <t>Stainfield (grouped with Apley and Bardney)</t>
  </si>
  <si>
    <t>West LindseyStainton le Vale</t>
  </si>
  <si>
    <t>E2537P105</t>
  </si>
  <si>
    <t>Stainton le Vale</t>
  </si>
  <si>
    <t>West LindseyStow</t>
  </si>
  <si>
    <t>E2537P106</t>
  </si>
  <si>
    <t>Stow</t>
  </si>
  <si>
    <t>West LindseySturton by Stow</t>
  </si>
  <si>
    <t>E2537P107</t>
  </si>
  <si>
    <t>Sturton by Stow</t>
  </si>
  <si>
    <t>West LindseySudbrooke</t>
  </si>
  <si>
    <t>E2537P108</t>
  </si>
  <si>
    <t>Sudbrooke</t>
  </si>
  <si>
    <t>West LindseySwallow</t>
  </si>
  <si>
    <t>E2537P109</t>
  </si>
  <si>
    <t>Swallow</t>
  </si>
  <si>
    <t>West LindseySwinhope</t>
  </si>
  <si>
    <t>E2537P110</t>
  </si>
  <si>
    <t>Swinhope</t>
  </si>
  <si>
    <t>West LindseyTealby</t>
  </si>
  <si>
    <t>E2537P111</t>
  </si>
  <si>
    <t>Tealby</t>
  </si>
  <si>
    <t>West LindseyThonock</t>
  </si>
  <si>
    <t>E2537P112</t>
  </si>
  <si>
    <t>Thonock</t>
  </si>
  <si>
    <t>West LindseyThoresway</t>
  </si>
  <si>
    <t>E2537P113</t>
  </si>
  <si>
    <t>Thoresway</t>
  </si>
  <si>
    <t>West LindseyThorganby</t>
  </si>
  <si>
    <t>E2537P114</t>
  </si>
  <si>
    <t>Thorganby</t>
  </si>
  <si>
    <t>West LindseyThorpe in the Fallows</t>
  </si>
  <si>
    <t>E2537P115</t>
  </si>
  <si>
    <t>Thorpe in the Fallows</t>
  </si>
  <si>
    <t>West LindseyToft Newton</t>
  </si>
  <si>
    <t>E2537P116</t>
  </si>
  <si>
    <t>Toft Newton</t>
  </si>
  <si>
    <t>West LindseyTorksey</t>
  </si>
  <si>
    <t>E2537P117</t>
  </si>
  <si>
    <t>Torksey</t>
  </si>
  <si>
    <t>West LindseyUpton</t>
  </si>
  <si>
    <t>E2537P118</t>
  </si>
  <si>
    <t>West LindseyWaddingham</t>
  </si>
  <si>
    <t>E2537P119</t>
  </si>
  <si>
    <t>Waddingham</t>
  </si>
  <si>
    <t>West LindseyWalesby</t>
  </si>
  <si>
    <t>E2537P120</t>
  </si>
  <si>
    <t>Walesby</t>
  </si>
  <si>
    <t>West LindseyWalkerith</t>
  </si>
  <si>
    <t>E2537P121</t>
  </si>
  <si>
    <t>Walkerith</t>
  </si>
  <si>
    <t>West LindseyWelton</t>
  </si>
  <si>
    <t>E2537P122</t>
  </si>
  <si>
    <t>West LindseyWest Firsby</t>
  </si>
  <si>
    <t>E2537P123</t>
  </si>
  <si>
    <t>West Firsby</t>
  </si>
  <si>
    <t>West LindseyWest Rasen</t>
  </si>
  <si>
    <t>E2537P124</t>
  </si>
  <si>
    <t>West Rasen</t>
  </si>
  <si>
    <t>West LindseyWickenby</t>
  </si>
  <si>
    <t>E2537P125</t>
  </si>
  <si>
    <t>Wickenby</t>
  </si>
  <si>
    <t>West LindseyWildsworth</t>
  </si>
  <si>
    <t>E2537P126</t>
  </si>
  <si>
    <t>Wildsworth</t>
  </si>
  <si>
    <t>West LindseyWillingham</t>
  </si>
  <si>
    <t>E2537P127</t>
  </si>
  <si>
    <t>West LindseyWilloughton</t>
  </si>
  <si>
    <t>E2537P128</t>
  </si>
  <si>
    <t>Willoughton</t>
  </si>
  <si>
    <t>West LindseyLangworth (grouped with Barlings and Newball)</t>
  </si>
  <si>
    <t>E2537P129</t>
  </si>
  <si>
    <t>Langworth (grouped with Barlings and Newball)</t>
  </si>
  <si>
    <t>BrecklandAshill</t>
  </si>
  <si>
    <t>E2631P001</t>
  </si>
  <si>
    <t>Ashill</t>
  </si>
  <si>
    <t>BrecklandAttleborough</t>
  </si>
  <si>
    <t>E2631P002</t>
  </si>
  <si>
    <t>Attleborough</t>
  </si>
  <si>
    <t>BrecklandBanham</t>
  </si>
  <si>
    <t>E2631P003</t>
  </si>
  <si>
    <t>Banham</t>
  </si>
  <si>
    <t>BrecklandBawdeswell</t>
  </si>
  <si>
    <t>E2631P004</t>
  </si>
  <si>
    <t>Bawdeswell</t>
  </si>
  <si>
    <t>BrecklandBeachamwell</t>
  </si>
  <si>
    <t>E2631P005</t>
  </si>
  <si>
    <t>Beachamwell</t>
  </si>
  <si>
    <t>BrecklandBeeston with Bittering</t>
  </si>
  <si>
    <t>E2631P006</t>
  </si>
  <si>
    <t>Beeston with Bittering</t>
  </si>
  <si>
    <t>BrecklandBeetley</t>
  </si>
  <si>
    <t>E2631P007</t>
  </si>
  <si>
    <t>Beetley</t>
  </si>
  <si>
    <t>BrecklandBesthorpe</t>
  </si>
  <si>
    <t>E2631P008</t>
  </si>
  <si>
    <t>Besthorpe</t>
  </si>
  <si>
    <t>BrecklandBillingford</t>
  </si>
  <si>
    <t>E2631P009</t>
  </si>
  <si>
    <t>Billingford</t>
  </si>
  <si>
    <t>BrecklandBintree</t>
  </si>
  <si>
    <t>E2631P010</t>
  </si>
  <si>
    <t>Bintree</t>
  </si>
  <si>
    <t>BrecklandBlo' Norton</t>
  </si>
  <si>
    <t>E2631P011</t>
  </si>
  <si>
    <t>Blo' Norton</t>
  </si>
  <si>
    <t>BrecklandBradenham</t>
  </si>
  <si>
    <t>E2631P012</t>
  </si>
  <si>
    <t>BrecklandBrettenham</t>
  </si>
  <si>
    <t>E2631P013</t>
  </si>
  <si>
    <t>Brettenham</t>
  </si>
  <si>
    <t>BrecklandBridgham</t>
  </si>
  <si>
    <t>E2631P014</t>
  </si>
  <si>
    <t>Bridgham</t>
  </si>
  <si>
    <t>BrecklandBrisley</t>
  </si>
  <si>
    <t>E2631P015</t>
  </si>
  <si>
    <t>Brisley</t>
  </si>
  <si>
    <t>BrecklandBylaugh</t>
  </si>
  <si>
    <t>E2631P016</t>
  </si>
  <si>
    <t>Bylaugh</t>
  </si>
  <si>
    <t>BrecklandCarbrooke</t>
  </si>
  <si>
    <t>E2631P017</t>
  </si>
  <si>
    <t>Carbrooke</t>
  </si>
  <si>
    <t>BrecklandCaston</t>
  </si>
  <si>
    <t>E2631P018</t>
  </si>
  <si>
    <t>Caston</t>
  </si>
  <si>
    <t>BrecklandCockley Cley</t>
  </si>
  <si>
    <t>E2631P019</t>
  </si>
  <si>
    <t>Cockley Cley</t>
  </si>
  <si>
    <t>BrecklandColkirk</t>
  </si>
  <si>
    <t>E2631P020</t>
  </si>
  <si>
    <t>Colkirk</t>
  </si>
  <si>
    <t>BrecklandCranwich</t>
  </si>
  <si>
    <t>E2631P021</t>
  </si>
  <si>
    <t>Cranwich</t>
  </si>
  <si>
    <t>BrecklandCranworth</t>
  </si>
  <si>
    <t>E2631P022</t>
  </si>
  <si>
    <t>Cranworth</t>
  </si>
  <si>
    <t>BrecklandCroxton</t>
  </si>
  <si>
    <t>E2631P023</t>
  </si>
  <si>
    <t>BrecklandDereham</t>
  </si>
  <si>
    <t>E2631P024</t>
  </si>
  <si>
    <t>Dereham</t>
  </si>
  <si>
    <t>BrecklandDidlington</t>
  </si>
  <si>
    <t>E2631P025</t>
  </si>
  <si>
    <t>Didlington</t>
  </si>
  <si>
    <t>BrecklandEast Tuddenham</t>
  </si>
  <si>
    <t>E2631P026</t>
  </si>
  <si>
    <t>East Tuddenham</t>
  </si>
  <si>
    <t>BrecklandElsing</t>
  </si>
  <si>
    <t>E2631P027</t>
  </si>
  <si>
    <t>Elsing</t>
  </si>
  <si>
    <t>BrecklandFoulden</t>
  </si>
  <si>
    <t>E2631P028</t>
  </si>
  <si>
    <t>Foulden</t>
  </si>
  <si>
    <t>BrecklandFoxley</t>
  </si>
  <si>
    <t>E2631P029</t>
  </si>
  <si>
    <t>Foxley</t>
  </si>
  <si>
    <t>BrecklandFransham</t>
  </si>
  <si>
    <t>E2631P030</t>
  </si>
  <si>
    <t>Fransham</t>
  </si>
  <si>
    <t>BrecklandGarboldisham</t>
  </si>
  <si>
    <t>E2631P031</t>
  </si>
  <si>
    <t>Garboldisham</t>
  </si>
  <si>
    <t>BrecklandGarvestone</t>
  </si>
  <si>
    <t>E2631P032</t>
  </si>
  <si>
    <t>Garvestone</t>
  </si>
  <si>
    <t>BrecklandGateley</t>
  </si>
  <si>
    <t>E2631P033</t>
  </si>
  <si>
    <t>Gateley</t>
  </si>
  <si>
    <t>BrecklandGooderstone</t>
  </si>
  <si>
    <t>E2631P034</t>
  </si>
  <si>
    <t>Gooderstone</t>
  </si>
  <si>
    <t>BrecklandGreat Cressingham</t>
  </si>
  <si>
    <t>E2631P035</t>
  </si>
  <si>
    <t>Great Cressingham</t>
  </si>
  <si>
    <t>BrecklandGreat Dunham</t>
  </si>
  <si>
    <t>E2631P036</t>
  </si>
  <si>
    <t>Great Dunham</t>
  </si>
  <si>
    <t>BrecklandGreat Ellingham</t>
  </si>
  <si>
    <t>E2631P037</t>
  </si>
  <si>
    <t>Great Ellingham</t>
  </si>
  <si>
    <t>BrecklandGressenhall</t>
  </si>
  <si>
    <t>E2631P038</t>
  </si>
  <si>
    <t>Gressenhall</t>
  </si>
  <si>
    <t>BrecklandGriston</t>
  </si>
  <si>
    <t>E2631P039</t>
  </si>
  <si>
    <t>Griston</t>
  </si>
  <si>
    <t>BrecklandGuist</t>
  </si>
  <si>
    <t>E2631P040</t>
  </si>
  <si>
    <t>Guist</t>
  </si>
  <si>
    <t>BrecklandHardingham</t>
  </si>
  <si>
    <t>E2631P041</t>
  </si>
  <si>
    <t>Hardingham</t>
  </si>
  <si>
    <t>BrecklandHarling</t>
  </si>
  <si>
    <t>E2631P042</t>
  </si>
  <si>
    <t>Harling</t>
  </si>
  <si>
    <t>BrecklandHilborough</t>
  </si>
  <si>
    <t>E2631P043</t>
  </si>
  <si>
    <t>Hilborough</t>
  </si>
  <si>
    <t>BrecklandHockering</t>
  </si>
  <si>
    <t>E2631P044</t>
  </si>
  <si>
    <t>Hockering</t>
  </si>
  <si>
    <t>BrecklandHockham</t>
  </si>
  <si>
    <t>E2631P045</t>
  </si>
  <si>
    <t>Hockham</t>
  </si>
  <si>
    <t>BrecklandHoe</t>
  </si>
  <si>
    <t>E2631P046</t>
  </si>
  <si>
    <t>Hoe</t>
  </si>
  <si>
    <t>BrecklandHolme Hale</t>
  </si>
  <si>
    <t>E2631P047</t>
  </si>
  <si>
    <t>Holme Hale</t>
  </si>
  <si>
    <t>BrecklandHorningtoft</t>
  </si>
  <si>
    <t>E2631P048</t>
  </si>
  <si>
    <t>Horningtoft</t>
  </si>
  <si>
    <t>BrecklandIckburgh</t>
  </si>
  <si>
    <t>E2631P049</t>
  </si>
  <si>
    <t>Ickburgh</t>
  </si>
  <si>
    <t>BrecklandKempstone</t>
  </si>
  <si>
    <t>E2631P050</t>
  </si>
  <si>
    <t>Kempstone</t>
  </si>
  <si>
    <t>BrecklandKenninghall</t>
  </si>
  <si>
    <t>E2631P051</t>
  </si>
  <si>
    <t>Kenninghall</t>
  </si>
  <si>
    <t>BrecklandLexham</t>
  </si>
  <si>
    <t>E2631P053</t>
  </si>
  <si>
    <t>Lexham</t>
  </si>
  <si>
    <t>BrecklandLitcham</t>
  </si>
  <si>
    <t>E2631P054</t>
  </si>
  <si>
    <t>Litcham</t>
  </si>
  <si>
    <t>BrecklandLittle Cressingham</t>
  </si>
  <si>
    <t>E2631P055</t>
  </si>
  <si>
    <t>Little Cressingham</t>
  </si>
  <si>
    <t>BrecklandLittle Dunham</t>
  </si>
  <si>
    <t>E2631P056</t>
  </si>
  <si>
    <t>Little Dunham</t>
  </si>
  <si>
    <t>BrecklandLittle Ellingham</t>
  </si>
  <si>
    <t>E2631P057</t>
  </si>
  <si>
    <t>Little Ellingham</t>
  </si>
  <si>
    <t>BrecklandLongham</t>
  </si>
  <si>
    <t>E2631P058</t>
  </si>
  <si>
    <t>Longham</t>
  </si>
  <si>
    <t>BrecklandLynford</t>
  </si>
  <si>
    <t>E2631P059</t>
  </si>
  <si>
    <t>Lynford</t>
  </si>
  <si>
    <t>BrecklandLyng</t>
  </si>
  <si>
    <t>E2631P060</t>
  </si>
  <si>
    <t>Lyng</t>
  </si>
  <si>
    <t>BrecklandMattishall</t>
  </si>
  <si>
    <t>E2631P061</t>
  </si>
  <si>
    <t>Mattishall</t>
  </si>
  <si>
    <t>BrecklandMerton</t>
  </si>
  <si>
    <t>E2631P062</t>
  </si>
  <si>
    <t>BrecklandMileham</t>
  </si>
  <si>
    <t>E2631P063</t>
  </si>
  <si>
    <t>Mileham</t>
  </si>
  <si>
    <t>BrecklandMundford</t>
  </si>
  <si>
    <t>E2631P064</t>
  </si>
  <si>
    <t>Mundford</t>
  </si>
  <si>
    <t>BrecklandNarborough</t>
  </si>
  <si>
    <t>E2631P065</t>
  </si>
  <si>
    <t>BrecklandNarford</t>
  </si>
  <si>
    <t>E2631P066</t>
  </si>
  <si>
    <t>Narford</t>
  </si>
  <si>
    <t>BrecklandNecton</t>
  </si>
  <si>
    <t>E2631P067</t>
  </si>
  <si>
    <t>Necton</t>
  </si>
  <si>
    <t>BrecklandNew Buckenham</t>
  </si>
  <si>
    <t>E2631P068</t>
  </si>
  <si>
    <t>New Buckenham</t>
  </si>
  <si>
    <t>BrecklandNewton by Castle Acre</t>
  </si>
  <si>
    <t>E2631P069</t>
  </si>
  <si>
    <t>Newton by Castle Acre</t>
  </si>
  <si>
    <t>BrecklandNorth Elmham</t>
  </si>
  <si>
    <t>E2631P070</t>
  </si>
  <si>
    <t>North Elmham</t>
  </si>
  <si>
    <t>BrecklandNorth Lopham</t>
  </si>
  <si>
    <t>E2631P071</t>
  </si>
  <si>
    <t>North Lopham</t>
  </si>
  <si>
    <t>BrecklandNorth Pickenham</t>
  </si>
  <si>
    <t>E2631P072</t>
  </si>
  <si>
    <t>North Pickenham</t>
  </si>
  <si>
    <t>BrecklandNorth Tuddenham</t>
  </si>
  <si>
    <t>E2631P073</t>
  </si>
  <si>
    <t>North Tuddenham</t>
  </si>
  <si>
    <t>BrecklandOld Buckenham</t>
  </si>
  <si>
    <t>E2631P074</t>
  </si>
  <si>
    <t>Old Buckenham</t>
  </si>
  <si>
    <t>BrecklandOvington</t>
  </si>
  <si>
    <t>E2631P075</t>
  </si>
  <si>
    <t>BrecklandOxborough</t>
  </si>
  <si>
    <t>E2631P076</t>
  </si>
  <si>
    <t>Oxborough</t>
  </si>
  <si>
    <t>BrecklandQuidenham</t>
  </si>
  <si>
    <t>E2631P077</t>
  </si>
  <si>
    <t>Quidenham</t>
  </si>
  <si>
    <t>BrecklandRiddlesworth</t>
  </si>
  <si>
    <t>E2631P078</t>
  </si>
  <si>
    <t>Riddlesworth</t>
  </si>
  <si>
    <t>BrecklandRocklands</t>
  </si>
  <si>
    <t>E2631P079</t>
  </si>
  <si>
    <t>Rocklands</t>
  </si>
  <si>
    <t>BrecklandRoudham and Larling</t>
  </si>
  <si>
    <t>E2631P080</t>
  </si>
  <si>
    <t>Roudham and Larling</t>
  </si>
  <si>
    <t>BrecklandRougham</t>
  </si>
  <si>
    <t>E2631P081</t>
  </si>
  <si>
    <t>Rougham</t>
  </si>
  <si>
    <t>BrecklandSaham Toney</t>
  </si>
  <si>
    <t>E2631P082</t>
  </si>
  <si>
    <t>Saham Toney</t>
  </si>
  <si>
    <t>BrecklandScarning</t>
  </si>
  <si>
    <t>E2631P083</t>
  </si>
  <si>
    <t>Scarning</t>
  </si>
  <si>
    <t>BrecklandScoulton</t>
  </si>
  <si>
    <t>E2631P084</t>
  </si>
  <si>
    <t>Scoulton</t>
  </si>
  <si>
    <t>BrecklandShipdham</t>
  </si>
  <si>
    <t>E2631P085</t>
  </si>
  <si>
    <t>Shipdham</t>
  </si>
  <si>
    <t>BrecklandShropham</t>
  </si>
  <si>
    <t>E2631P086</t>
  </si>
  <si>
    <t>Shropham</t>
  </si>
  <si>
    <t>BrecklandSnetterton</t>
  </si>
  <si>
    <t>E2631P087</t>
  </si>
  <si>
    <t>Snetterton</t>
  </si>
  <si>
    <t>BrecklandSouth Acre</t>
  </si>
  <si>
    <t>E2631P088</t>
  </si>
  <si>
    <t>South Acre</t>
  </si>
  <si>
    <t>BrecklandSouth Lopham</t>
  </si>
  <si>
    <t>E2631P089</t>
  </si>
  <si>
    <t>South Lopham</t>
  </si>
  <si>
    <t>BrecklandSouth Pickenham</t>
  </si>
  <si>
    <t>E2631P090</t>
  </si>
  <si>
    <t>South Pickenham</t>
  </si>
  <si>
    <t>BrecklandSparham</t>
  </si>
  <si>
    <t>E2631P091</t>
  </si>
  <si>
    <t>Sparham</t>
  </si>
  <si>
    <t>BrecklandSporle with Palgrave</t>
  </si>
  <si>
    <t>E2631P092</t>
  </si>
  <si>
    <t>Sporle with Palgrave</t>
  </si>
  <si>
    <t>BrecklandStanfield</t>
  </si>
  <si>
    <t>E2631P093</t>
  </si>
  <si>
    <t>Stanfield</t>
  </si>
  <si>
    <t>BrecklandStanford</t>
  </si>
  <si>
    <t>E2631P094</t>
  </si>
  <si>
    <t>BrecklandStow Bedon</t>
  </si>
  <si>
    <t>E2631P095</t>
  </si>
  <si>
    <t>Stow Bedon</t>
  </si>
  <si>
    <t>BrecklandSwaffham</t>
  </si>
  <si>
    <t>E2631P097</t>
  </si>
  <si>
    <t>Swaffham</t>
  </si>
  <si>
    <t>BrecklandSwanton Morley</t>
  </si>
  <si>
    <t>E2631P098</t>
  </si>
  <si>
    <t>Swanton Morley</t>
  </si>
  <si>
    <t>BrecklandThetford</t>
  </si>
  <si>
    <t>E2631P099</t>
  </si>
  <si>
    <t>BrecklandThompson</t>
  </si>
  <si>
    <t>E2631P100</t>
  </si>
  <si>
    <t>Thompson</t>
  </si>
  <si>
    <t>BrecklandTittleshall</t>
  </si>
  <si>
    <t>E2631P101</t>
  </si>
  <si>
    <t>Tittleshall</t>
  </si>
  <si>
    <t>BrecklandTwyford</t>
  </si>
  <si>
    <t>E2631P103</t>
  </si>
  <si>
    <t>BrecklandWatton</t>
  </si>
  <si>
    <t>E2631P104</t>
  </si>
  <si>
    <t>BrecklandWeasenham All Saints</t>
  </si>
  <si>
    <t>E2631P105</t>
  </si>
  <si>
    <t>Weasenham All Saints</t>
  </si>
  <si>
    <t>BrecklandWeasenham St. Peter</t>
  </si>
  <si>
    <t>E2631P106</t>
  </si>
  <si>
    <t>Weasenham St. Peter</t>
  </si>
  <si>
    <t>BrecklandWeeting with Broomhill</t>
  </si>
  <si>
    <t>E2631P107</t>
  </si>
  <si>
    <t>Weeting with Broomhill</t>
  </si>
  <si>
    <t>BrecklandWellingham</t>
  </si>
  <si>
    <t>E2631P108</t>
  </si>
  <si>
    <t>Wellingham</t>
  </si>
  <si>
    <t>BrecklandWendling</t>
  </si>
  <si>
    <t>E2631P109</t>
  </si>
  <si>
    <t>Wendling</t>
  </si>
  <si>
    <t>BrecklandWhinburgh and Westfield</t>
  </si>
  <si>
    <t>E2631P110</t>
  </si>
  <si>
    <t>Whinburgh and Westfield</t>
  </si>
  <si>
    <t>BrecklandWhissonsett</t>
  </si>
  <si>
    <t>E2631P111</t>
  </si>
  <si>
    <t>Whissonsett</t>
  </si>
  <si>
    <t>BrecklandWretham</t>
  </si>
  <si>
    <t>E2631P112</t>
  </si>
  <si>
    <t>Wretham</t>
  </si>
  <si>
    <t>BrecklandYaxham</t>
  </si>
  <si>
    <t>E2631P113</t>
  </si>
  <si>
    <t>Yaxham</t>
  </si>
  <si>
    <t>BroadlandAcle</t>
  </si>
  <si>
    <t>E2632P001</t>
  </si>
  <si>
    <t>Acle</t>
  </si>
  <si>
    <t>BroadlandAlderford (grouped with Swannington)</t>
  </si>
  <si>
    <t>E2632P002</t>
  </si>
  <si>
    <t>Alderford (grouped with Swannington)</t>
  </si>
  <si>
    <t>BroadlandAttlebridge</t>
  </si>
  <si>
    <t>E2632P003</t>
  </si>
  <si>
    <t>Attlebridge</t>
  </si>
  <si>
    <t>BroadlandAylsham</t>
  </si>
  <si>
    <t>E2632P004</t>
  </si>
  <si>
    <t>Aylsham</t>
  </si>
  <si>
    <t>BroadlandBeeston St. Andrew</t>
  </si>
  <si>
    <t>E2632P005</t>
  </si>
  <si>
    <t>Beeston St. Andrew</t>
  </si>
  <si>
    <t>BroadlandBeighton</t>
  </si>
  <si>
    <t>E2632P006</t>
  </si>
  <si>
    <t>Beighton</t>
  </si>
  <si>
    <t>BroadlandBelaugh</t>
  </si>
  <si>
    <t>E2632P007</t>
  </si>
  <si>
    <t>Belaugh</t>
  </si>
  <si>
    <t>BroadlandBlickling</t>
  </si>
  <si>
    <t>E2632P008</t>
  </si>
  <si>
    <t>Blickling</t>
  </si>
  <si>
    <t>BroadlandBlofield</t>
  </si>
  <si>
    <t>E2632P009</t>
  </si>
  <si>
    <t>Blofield</t>
  </si>
  <si>
    <t>BroadlandBooton</t>
  </si>
  <si>
    <t>E2632P010</t>
  </si>
  <si>
    <t>Booton</t>
  </si>
  <si>
    <t>BroadlandBrampton</t>
  </si>
  <si>
    <t>E2632P011</t>
  </si>
  <si>
    <t>BroadlandBrandiston</t>
  </si>
  <si>
    <t>E2632P012</t>
  </si>
  <si>
    <t>Brandiston</t>
  </si>
  <si>
    <t>BroadlandBrundall</t>
  </si>
  <si>
    <t>E2632P013</t>
  </si>
  <si>
    <t>Brundall</t>
  </si>
  <si>
    <t>BroadlandBurgh and Tuttington</t>
  </si>
  <si>
    <t>E2632P014</t>
  </si>
  <si>
    <t>Burgh and Tuttington</t>
  </si>
  <si>
    <t>BroadlandBuxton with Lammas</t>
  </si>
  <si>
    <t>E2632P015</t>
  </si>
  <si>
    <t>Buxton with Lammas</t>
  </si>
  <si>
    <t>BroadlandCantley</t>
  </si>
  <si>
    <t>E2632P016</t>
  </si>
  <si>
    <t>Cantley</t>
  </si>
  <si>
    <t>BroadlandCawston</t>
  </si>
  <si>
    <t>E2632P017</t>
  </si>
  <si>
    <t>Cawston</t>
  </si>
  <si>
    <t>BroadlandColtishall</t>
  </si>
  <si>
    <t>E2632P018</t>
  </si>
  <si>
    <t>Coltishall</t>
  </si>
  <si>
    <t>BroadlandCrostwick</t>
  </si>
  <si>
    <t>E2632P019</t>
  </si>
  <si>
    <t>Crostwick</t>
  </si>
  <si>
    <t>BroadlandDrayton</t>
  </si>
  <si>
    <t>E2632P020</t>
  </si>
  <si>
    <t>BroadlandFelthorpe</t>
  </si>
  <si>
    <t>E2632P021</t>
  </si>
  <si>
    <t>Felthorpe</t>
  </si>
  <si>
    <t>BroadlandFoulsham</t>
  </si>
  <si>
    <t>E2632P022</t>
  </si>
  <si>
    <t>Foulsham</t>
  </si>
  <si>
    <t>BroadlandFreethorpe</t>
  </si>
  <si>
    <t>E2632P023</t>
  </si>
  <si>
    <t>Freethorpe</t>
  </si>
  <si>
    <t>BroadlandFrettenham</t>
  </si>
  <si>
    <t>E2632P024</t>
  </si>
  <si>
    <t>Frettenham</t>
  </si>
  <si>
    <t>BroadlandGreat and Little Plumstead</t>
  </si>
  <si>
    <t>E2632P025</t>
  </si>
  <si>
    <t>Great and Little Plumstead</t>
  </si>
  <si>
    <t>BroadlandGreat Witchingham</t>
  </si>
  <si>
    <t>E2632P026</t>
  </si>
  <si>
    <t>Great Witchingham</t>
  </si>
  <si>
    <t>BroadlandGuestwick</t>
  </si>
  <si>
    <t>E2632P027</t>
  </si>
  <si>
    <t>Guestwick</t>
  </si>
  <si>
    <t>BroadlandHainford</t>
  </si>
  <si>
    <t>E2632P028</t>
  </si>
  <si>
    <t>Hainford</t>
  </si>
  <si>
    <t>BroadlandHalvergate</t>
  </si>
  <si>
    <t>E2632P029</t>
  </si>
  <si>
    <t>Halvergate</t>
  </si>
  <si>
    <t>BroadlandHaveringland</t>
  </si>
  <si>
    <t>E2632P030</t>
  </si>
  <si>
    <t>Haveringland</t>
  </si>
  <si>
    <t>BroadlandHellesdon</t>
  </si>
  <si>
    <t>E2632P031</t>
  </si>
  <si>
    <t>Hellesdon</t>
  </si>
  <si>
    <t>BroadlandHemblington</t>
  </si>
  <si>
    <t>E2632P032</t>
  </si>
  <si>
    <t>Hemblington</t>
  </si>
  <si>
    <t>BroadlandHevingham</t>
  </si>
  <si>
    <t>E2632P033</t>
  </si>
  <si>
    <t>Hevingham</t>
  </si>
  <si>
    <t>BroadlandHeydon</t>
  </si>
  <si>
    <t>E2632P034</t>
  </si>
  <si>
    <t>BroadlandHoningham</t>
  </si>
  <si>
    <t>E2632P035</t>
  </si>
  <si>
    <t>Honingham</t>
  </si>
  <si>
    <t>BroadlandHorsford</t>
  </si>
  <si>
    <t>E2632P036</t>
  </si>
  <si>
    <t>Horsford</t>
  </si>
  <si>
    <t>BroadlandHorsham St. Faith and Newton St. Faith</t>
  </si>
  <si>
    <t>E2632P037</t>
  </si>
  <si>
    <t>Horsham St. Faith and Newton St. Faith</t>
  </si>
  <si>
    <t>BroadlandHorstead with Stanninghall</t>
  </si>
  <si>
    <t>E2632P038</t>
  </si>
  <si>
    <t>Horstead with Stanninghall</t>
  </si>
  <si>
    <t>BroadlandLingwood and Burlingham</t>
  </si>
  <si>
    <t>E2632P039</t>
  </si>
  <si>
    <t>Lingwood and Burlingham</t>
  </si>
  <si>
    <t>BroadlandLittle Witchingham (grouped with Swannington)</t>
  </si>
  <si>
    <t>E2632P040</t>
  </si>
  <si>
    <t>Little Witchingham (grouped with Swannington)</t>
  </si>
  <si>
    <t>BroadlandMarsham</t>
  </si>
  <si>
    <t>E2632P041</t>
  </si>
  <si>
    <t>Marsham</t>
  </si>
  <si>
    <t>BroadlandMorton on the Hill</t>
  </si>
  <si>
    <t>E2632P042</t>
  </si>
  <si>
    <t>Morton on the Hill</t>
  </si>
  <si>
    <t>BroadlandOld Catton</t>
  </si>
  <si>
    <t>E2632P043</t>
  </si>
  <si>
    <t>Old Catton</t>
  </si>
  <si>
    <t>BroadlandOulton</t>
  </si>
  <si>
    <t>E2632P044</t>
  </si>
  <si>
    <t>Oulton</t>
  </si>
  <si>
    <t>BroadlandPostwick with Witton</t>
  </si>
  <si>
    <t>E2632P045</t>
  </si>
  <si>
    <t>Postwick with Witton</t>
  </si>
  <si>
    <t>BroadlandRackheath</t>
  </si>
  <si>
    <t>E2632P046</t>
  </si>
  <si>
    <t>Rackheath</t>
  </si>
  <si>
    <t>BroadlandReedham</t>
  </si>
  <si>
    <t>E2632P047</t>
  </si>
  <si>
    <t>Reedham</t>
  </si>
  <si>
    <t>BroadlandReepham</t>
  </si>
  <si>
    <t>E2632P048</t>
  </si>
  <si>
    <t>BroadlandRingland</t>
  </si>
  <si>
    <t>E2632P049</t>
  </si>
  <si>
    <t>Ringland</t>
  </si>
  <si>
    <t>BroadlandSalhouse</t>
  </si>
  <si>
    <t>E2632P050</t>
  </si>
  <si>
    <t>Salhouse</t>
  </si>
  <si>
    <t>BroadlandSalle</t>
  </si>
  <si>
    <t>E2632P051</t>
  </si>
  <si>
    <t>Salle</t>
  </si>
  <si>
    <t>BroadlandSouth Walsham</t>
  </si>
  <si>
    <t>E2632P052</t>
  </si>
  <si>
    <t>South Walsham</t>
  </si>
  <si>
    <t>BroadlandSpixworth</t>
  </si>
  <si>
    <t>E2632P053</t>
  </si>
  <si>
    <t>Spixworth</t>
  </si>
  <si>
    <t>BroadlandSprowston</t>
  </si>
  <si>
    <t>E2632P054</t>
  </si>
  <si>
    <t>Sprowston</t>
  </si>
  <si>
    <t>BroadlandStratton Strawless</t>
  </si>
  <si>
    <t>E2632P055</t>
  </si>
  <si>
    <t>Stratton Strawless</t>
  </si>
  <si>
    <t>BroadlandStrumpshaw</t>
  </si>
  <si>
    <t>E2632P056</t>
  </si>
  <si>
    <t>Strumpshaw</t>
  </si>
  <si>
    <t>BroadlandSwannington (grouped with Alderford and Little Witchingham)</t>
  </si>
  <si>
    <t>E2632P057</t>
  </si>
  <si>
    <t>Swannington (grouped with Alderford and Little Witchingham)</t>
  </si>
  <si>
    <t>BroadlandTaverham</t>
  </si>
  <si>
    <t>E2632P058</t>
  </si>
  <si>
    <t>Taverham</t>
  </si>
  <si>
    <t>BroadlandThemelthorpe</t>
  </si>
  <si>
    <t>E2632P059</t>
  </si>
  <si>
    <t>Themelthorpe</t>
  </si>
  <si>
    <t>BroadlandThorpe St. Andrew</t>
  </si>
  <si>
    <t>E2632P060</t>
  </si>
  <si>
    <t>Thorpe St. Andrew</t>
  </si>
  <si>
    <t>BroadlandUpton with Fishley</t>
  </si>
  <si>
    <t>E2632P061</t>
  </si>
  <si>
    <t>Upton with Fishley</t>
  </si>
  <si>
    <t>BroadlandWeston Longville</t>
  </si>
  <si>
    <t>E2632P062</t>
  </si>
  <si>
    <t>Weston Longville</t>
  </si>
  <si>
    <t>BroadlandWood Dalling</t>
  </si>
  <si>
    <t>E2632P063</t>
  </si>
  <si>
    <t>Wood Dalling</t>
  </si>
  <si>
    <t>BroadlandWoodbastwick</t>
  </si>
  <si>
    <t>E2632P064</t>
  </si>
  <si>
    <t>Woodbastwick</t>
  </si>
  <si>
    <t>BroadlandWroxham</t>
  </si>
  <si>
    <t>E2632P065</t>
  </si>
  <si>
    <t>Wroxham</t>
  </si>
  <si>
    <t>Great YarmouthAshby with Oby</t>
  </si>
  <si>
    <t>E2633P001</t>
  </si>
  <si>
    <t>Ashby with Oby</t>
  </si>
  <si>
    <t>Great YarmouthBelton with Browston</t>
  </si>
  <si>
    <t>E2633P002</t>
  </si>
  <si>
    <t>Belton with Browston</t>
  </si>
  <si>
    <t>Great YarmouthBradwell</t>
  </si>
  <si>
    <t>E2633P003</t>
  </si>
  <si>
    <t>Great YarmouthBurgh Castle</t>
  </si>
  <si>
    <t>E2633P004</t>
  </si>
  <si>
    <t>Burgh Castle</t>
  </si>
  <si>
    <t>Great YarmouthCaister on Sea</t>
  </si>
  <si>
    <t>E2633P005</t>
  </si>
  <si>
    <t>Caister on Sea</t>
  </si>
  <si>
    <t>Great YarmouthFilby</t>
  </si>
  <si>
    <t>E2633P006</t>
  </si>
  <si>
    <t>Filby</t>
  </si>
  <si>
    <t>Great YarmouthFleggburgh</t>
  </si>
  <si>
    <t>E2633P007</t>
  </si>
  <si>
    <t>Fleggburgh</t>
  </si>
  <si>
    <t>Great YarmouthFritton and St. Olaves</t>
  </si>
  <si>
    <t>E2633P008</t>
  </si>
  <si>
    <t>Fritton and St. Olaves</t>
  </si>
  <si>
    <t>Great YarmouthHemsby</t>
  </si>
  <si>
    <t>E2633P009</t>
  </si>
  <si>
    <t>Hemsby</t>
  </si>
  <si>
    <t>Great YarmouthHopton on Sea</t>
  </si>
  <si>
    <t>E2633P010</t>
  </si>
  <si>
    <t>Hopton on Sea</t>
  </si>
  <si>
    <t>Great YarmouthMartham</t>
  </si>
  <si>
    <t>E2633P011</t>
  </si>
  <si>
    <t>Martham</t>
  </si>
  <si>
    <t>Great YarmouthMautby</t>
  </si>
  <si>
    <t>E2633P012</t>
  </si>
  <si>
    <t>Mautby</t>
  </si>
  <si>
    <t>Great YarmouthOrmesby St. Margaret with Scratby</t>
  </si>
  <si>
    <t>E2633P013</t>
  </si>
  <si>
    <t>Ormesby St. Margaret with Scratby</t>
  </si>
  <si>
    <t>Great YarmouthOrmesby St. Michael</t>
  </si>
  <si>
    <t>E2633P014</t>
  </si>
  <si>
    <t>Ormesby St. Michael</t>
  </si>
  <si>
    <t>Great YarmouthRepps with Bastwick</t>
  </si>
  <si>
    <t>E2633P015</t>
  </si>
  <si>
    <t>Repps with Bastwick</t>
  </si>
  <si>
    <t>Great YarmouthRollesby</t>
  </si>
  <si>
    <t>E2633P016</t>
  </si>
  <si>
    <t>Rollesby</t>
  </si>
  <si>
    <t>Great YarmouthSomerton</t>
  </si>
  <si>
    <t>E2633P017</t>
  </si>
  <si>
    <t>Somerton</t>
  </si>
  <si>
    <t>Great YarmouthStokesby with Herringby</t>
  </si>
  <si>
    <t>E2633P018</t>
  </si>
  <si>
    <t>Stokesby with Herringby</t>
  </si>
  <si>
    <t>Great YarmouthThurne</t>
  </si>
  <si>
    <t>E2633P019</t>
  </si>
  <si>
    <t>Thurne</t>
  </si>
  <si>
    <t>Great YarmouthWest Caister</t>
  </si>
  <si>
    <t>E2633P020</t>
  </si>
  <si>
    <t>West Caister</t>
  </si>
  <si>
    <t>Great YarmouthWinterton on Sea</t>
  </si>
  <si>
    <t>E2633P021</t>
  </si>
  <si>
    <t>Winterton on Sea</t>
  </si>
  <si>
    <t>Kings Lynn and West NorfolkAnmer</t>
  </si>
  <si>
    <t>E2634P001</t>
  </si>
  <si>
    <t>Anmer</t>
  </si>
  <si>
    <t>Kings Lynn and West NorfolkBagthorpe with Barmer</t>
  </si>
  <si>
    <t>E2634P002</t>
  </si>
  <si>
    <t>Bagthorpe with Barmer</t>
  </si>
  <si>
    <t>Kings Lynn and West NorfolkBarton Bendish</t>
  </si>
  <si>
    <t>E2634P003</t>
  </si>
  <si>
    <t>Barton Bendish</t>
  </si>
  <si>
    <t>Kings Lynn and West NorfolkBarwick</t>
  </si>
  <si>
    <t>E2634P004</t>
  </si>
  <si>
    <t>Barwick</t>
  </si>
  <si>
    <t>Kings Lynn and West NorfolkBawsey</t>
  </si>
  <si>
    <t>E2634P005</t>
  </si>
  <si>
    <t>Bawsey</t>
  </si>
  <si>
    <t>Kings Lynn and West NorfolkBircham</t>
  </si>
  <si>
    <t>E2634P006</t>
  </si>
  <si>
    <t>Bircham</t>
  </si>
  <si>
    <t>Kings Lynn and West NorfolkBoughton</t>
  </si>
  <si>
    <t>E2634P007</t>
  </si>
  <si>
    <t>Boughton</t>
  </si>
  <si>
    <t>Kings Lynn and West NorfolkBrancaster</t>
  </si>
  <si>
    <t>E2634P008</t>
  </si>
  <si>
    <t>Brancaster</t>
  </si>
  <si>
    <t>Kings Lynn and West NorfolkBurnham Market</t>
  </si>
  <si>
    <t>E2634P009</t>
  </si>
  <si>
    <t>Burnham Market</t>
  </si>
  <si>
    <t>Kings Lynn and West NorfolkBurnham Norton</t>
  </si>
  <si>
    <t>E2634P010</t>
  </si>
  <si>
    <t>Burnham Norton</t>
  </si>
  <si>
    <t>Kings Lynn and West NorfolkBurnham Overy</t>
  </si>
  <si>
    <t>E2634P011</t>
  </si>
  <si>
    <t>Burnham Overy</t>
  </si>
  <si>
    <t>Kings Lynn and West NorfolkBurnham Thorpe</t>
  </si>
  <si>
    <t>E2634P012</t>
  </si>
  <si>
    <t>Burnham Thorpe</t>
  </si>
  <si>
    <t>Kings Lynn and West NorfolkCastle Acre</t>
  </si>
  <si>
    <t>E2634P013</t>
  </si>
  <si>
    <t>Castle Acre</t>
  </si>
  <si>
    <t>Kings Lynn and West NorfolkCastle Rising</t>
  </si>
  <si>
    <t>E2634P014</t>
  </si>
  <si>
    <t>Castle Rising</t>
  </si>
  <si>
    <t>Kings Lynn and West NorfolkChoseley</t>
  </si>
  <si>
    <t>E2634P015</t>
  </si>
  <si>
    <t>Choseley</t>
  </si>
  <si>
    <t>Kings Lynn and West NorfolkClenchwarton</t>
  </si>
  <si>
    <t>E2634P016</t>
  </si>
  <si>
    <t>Clenchwarton</t>
  </si>
  <si>
    <t>Kings Lynn and West NorfolkCongham</t>
  </si>
  <si>
    <t>E2634P017</t>
  </si>
  <si>
    <t>Congham</t>
  </si>
  <si>
    <t>Kings Lynn and West NorfolkCrimplesham</t>
  </si>
  <si>
    <t>E2634P018</t>
  </si>
  <si>
    <t>Crimplesham</t>
  </si>
  <si>
    <t>Kings Lynn and West NorfolkDenver</t>
  </si>
  <si>
    <t>E2634P019</t>
  </si>
  <si>
    <t>Denver</t>
  </si>
  <si>
    <t>Kings Lynn and West NorfolkDersingham</t>
  </si>
  <si>
    <t>E2634P020</t>
  </si>
  <si>
    <t>Dersingham</t>
  </si>
  <si>
    <t>Kings Lynn and West NorfolkDocking</t>
  </si>
  <si>
    <t>E2634P021</t>
  </si>
  <si>
    <t>Docking</t>
  </si>
  <si>
    <t>Kings Lynn and West NorfolkDownham Market</t>
  </si>
  <si>
    <t>E2634P022</t>
  </si>
  <si>
    <t>Downham Market</t>
  </si>
  <si>
    <t>Kings Lynn and West NorfolkDownham West</t>
  </si>
  <si>
    <t>E2634P023</t>
  </si>
  <si>
    <t>Downham West</t>
  </si>
  <si>
    <t>Kings Lynn and West NorfolkEast Rudham</t>
  </si>
  <si>
    <t>E2634P024</t>
  </si>
  <si>
    <t>East Rudham</t>
  </si>
  <si>
    <t>Kings Lynn and West NorfolkEast Walton</t>
  </si>
  <si>
    <t>E2634P025</t>
  </si>
  <si>
    <t>East Walton</t>
  </si>
  <si>
    <t>Kings Lynn and West NorfolkEast Winch</t>
  </si>
  <si>
    <t>E2634P026</t>
  </si>
  <si>
    <t>East Winch</t>
  </si>
  <si>
    <t>Kings Lynn and West NorfolkEmneth</t>
  </si>
  <si>
    <t>E2634P027</t>
  </si>
  <si>
    <t>Emneth</t>
  </si>
  <si>
    <t>Kings Lynn and West NorfolkFeltwell</t>
  </si>
  <si>
    <t>E2634P028</t>
  </si>
  <si>
    <t>Feltwell</t>
  </si>
  <si>
    <t>Kings Lynn and West NorfolkFincham</t>
  </si>
  <si>
    <t>E2634P029</t>
  </si>
  <si>
    <t>Fincham</t>
  </si>
  <si>
    <t>Kings Lynn and West NorfolkFlitcham with Appleton</t>
  </si>
  <si>
    <t>E2634P030</t>
  </si>
  <si>
    <t>Flitcham with Appleton</t>
  </si>
  <si>
    <t>Kings Lynn and West NorfolkFordham</t>
  </si>
  <si>
    <t>E2634P031</t>
  </si>
  <si>
    <t>Kings Lynn and West NorfolkFring</t>
  </si>
  <si>
    <t>E2634P032</t>
  </si>
  <si>
    <t>Fring</t>
  </si>
  <si>
    <t>Kings Lynn and West NorfolkGayton</t>
  </si>
  <si>
    <t>E2634P033</t>
  </si>
  <si>
    <t>Gayton</t>
  </si>
  <si>
    <t>Kings Lynn and West NorfolkGreat Massingham</t>
  </si>
  <si>
    <t>E2634P034</t>
  </si>
  <si>
    <t>Great Massingham</t>
  </si>
  <si>
    <t>Kings Lynn and West NorfolkGrimston</t>
  </si>
  <si>
    <t>E2634P035</t>
  </si>
  <si>
    <t>Kings Lynn and West NorfolkHarpley</t>
  </si>
  <si>
    <t>E2634P036</t>
  </si>
  <si>
    <t>Harpley</t>
  </si>
  <si>
    <t>Kings Lynn and West NorfolkHeacham</t>
  </si>
  <si>
    <t>E2634P037</t>
  </si>
  <si>
    <t>Heacham</t>
  </si>
  <si>
    <t>Kings Lynn and West NorfolkHilgay</t>
  </si>
  <si>
    <t>E2634P038</t>
  </si>
  <si>
    <t>Hilgay</t>
  </si>
  <si>
    <t>Kings Lynn and West NorfolkHillington</t>
  </si>
  <si>
    <t>E2634P039</t>
  </si>
  <si>
    <t>Hillington</t>
  </si>
  <si>
    <t>Kings Lynn and West NorfolkHockwold cum Wilton</t>
  </si>
  <si>
    <t>E2634P040</t>
  </si>
  <si>
    <t>Hockwold cum Wilton</t>
  </si>
  <si>
    <t>Kings Lynn and West NorfolkHolme next the Sea</t>
  </si>
  <si>
    <t>E2634P041</t>
  </si>
  <si>
    <t>Holme next the Sea</t>
  </si>
  <si>
    <t>Kings Lynn and West NorfolkHoughton</t>
  </si>
  <si>
    <t>E2634P042</t>
  </si>
  <si>
    <t>Kings Lynn and West NorfolkHunstanton</t>
  </si>
  <si>
    <t>E2634P043</t>
  </si>
  <si>
    <t>Hunstanton</t>
  </si>
  <si>
    <t>Kings Lynn and West NorfolkIngoldisthorpe</t>
  </si>
  <si>
    <t>E2634P044</t>
  </si>
  <si>
    <t>Ingoldisthorpe</t>
  </si>
  <si>
    <t>Kings Lynn and West NorfolkLeziate</t>
  </si>
  <si>
    <t>E2634P045</t>
  </si>
  <si>
    <t>Leziate</t>
  </si>
  <si>
    <t>Kings Lynn and West NorfolkLittle Massingham</t>
  </si>
  <si>
    <t>E2634P046</t>
  </si>
  <si>
    <t>Little Massingham</t>
  </si>
  <si>
    <t>Kings Lynn and West NorfolkMarham</t>
  </si>
  <si>
    <t>E2634P047</t>
  </si>
  <si>
    <t>Marham</t>
  </si>
  <si>
    <t>Kings Lynn and West NorfolkMarshland St. James</t>
  </si>
  <si>
    <t>E2634P048</t>
  </si>
  <si>
    <t>Marshland St. James</t>
  </si>
  <si>
    <t>Kings Lynn and West NorfolkMethwold</t>
  </si>
  <si>
    <t>E2634P049</t>
  </si>
  <si>
    <t>Methwold</t>
  </si>
  <si>
    <t>Kings Lynn and West NorfolkMiddleton</t>
  </si>
  <si>
    <t>E2634P050</t>
  </si>
  <si>
    <t>Kings Lynn and West NorfolkNordelph</t>
  </si>
  <si>
    <t>E2634P051</t>
  </si>
  <si>
    <t>Nordelph</t>
  </si>
  <si>
    <t>Kings Lynn and West NorfolkNorth Creake</t>
  </si>
  <si>
    <t>E2634P052</t>
  </si>
  <si>
    <t>North Creake</t>
  </si>
  <si>
    <t>Kings Lynn and West NorfolkNorth Runcton</t>
  </si>
  <si>
    <t>E2634P053</t>
  </si>
  <si>
    <t>North Runcton</t>
  </si>
  <si>
    <t>Kings Lynn and West NorfolkNorth Wootton</t>
  </si>
  <si>
    <t>E2634P054</t>
  </si>
  <si>
    <t>North Wootton</t>
  </si>
  <si>
    <t>Kings Lynn and West NorfolkNorthwold</t>
  </si>
  <si>
    <t>E2634P055</t>
  </si>
  <si>
    <t>Northwold</t>
  </si>
  <si>
    <t>Kings Lynn and West NorfolkOld Hunstanton</t>
  </si>
  <si>
    <t>E2634P056</t>
  </si>
  <si>
    <t>Old Hunstanton</t>
  </si>
  <si>
    <t>Kings Lynn and West NorfolkOutwell</t>
  </si>
  <si>
    <t>E2634P057</t>
  </si>
  <si>
    <t>Outwell</t>
  </si>
  <si>
    <t>Kings Lynn and West NorfolkPentney</t>
  </si>
  <si>
    <t>E2634P058</t>
  </si>
  <si>
    <t>Pentney</t>
  </si>
  <si>
    <t>Kings Lynn and West NorfolkRingstead</t>
  </si>
  <si>
    <t>E2634P059</t>
  </si>
  <si>
    <t>Ringstead</t>
  </si>
  <si>
    <t>Kings Lynn and West NorfolkRoydon</t>
  </si>
  <si>
    <t>E2634P060</t>
  </si>
  <si>
    <t>Kings Lynn and West NorfolkRuncton Holme</t>
  </si>
  <si>
    <t>E2634P061</t>
  </si>
  <si>
    <t>Runcton Holme</t>
  </si>
  <si>
    <t>Kings Lynn and West NorfolkRyston</t>
  </si>
  <si>
    <t>E2634P062</t>
  </si>
  <si>
    <t>Ryston</t>
  </si>
  <si>
    <t>Kings Lynn and West NorfolkSandringham</t>
  </si>
  <si>
    <t>E2634P063</t>
  </si>
  <si>
    <t>Sandringham</t>
  </si>
  <si>
    <t>Kings Lynn and West NorfolkSedgeford</t>
  </si>
  <si>
    <t>E2634P064</t>
  </si>
  <si>
    <t>Sedgeford</t>
  </si>
  <si>
    <t>Kings Lynn and West NorfolkShernborne</t>
  </si>
  <si>
    <t>E2634P065</t>
  </si>
  <si>
    <t>Shernborne</t>
  </si>
  <si>
    <t>Kings Lynn and West NorfolkShouldham</t>
  </si>
  <si>
    <t>E2634P066</t>
  </si>
  <si>
    <t>Shouldham</t>
  </si>
  <si>
    <t>Kings Lynn and West NorfolkShouldham Thorpe</t>
  </si>
  <si>
    <t>E2634P067</t>
  </si>
  <si>
    <t>Shouldham Thorpe</t>
  </si>
  <si>
    <t>Kings Lynn and West NorfolkSnettisham</t>
  </si>
  <si>
    <t>E2634P068</t>
  </si>
  <si>
    <t>Snettisham</t>
  </si>
  <si>
    <t>Kings Lynn and West NorfolkSouth Creake</t>
  </si>
  <si>
    <t>E2634P069</t>
  </si>
  <si>
    <t>South Creake</t>
  </si>
  <si>
    <t>Kings Lynn and West NorfolkSouth Wootton</t>
  </si>
  <si>
    <t>E2634P070</t>
  </si>
  <si>
    <t>South Wootton</t>
  </si>
  <si>
    <t>Kings Lynn and West NorfolkSouthery</t>
  </si>
  <si>
    <t>E2634P071</t>
  </si>
  <si>
    <t>Southery</t>
  </si>
  <si>
    <t>Kings Lynn and West NorfolkStanhoe</t>
  </si>
  <si>
    <t>E2634P072</t>
  </si>
  <si>
    <t>Stanhoe</t>
  </si>
  <si>
    <t>Kings Lynn and West NorfolkStoke Ferry</t>
  </si>
  <si>
    <t>E2634P073</t>
  </si>
  <si>
    <t>Stoke Ferry</t>
  </si>
  <si>
    <t>Kings Lynn and West NorfolkStow Bardolph</t>
  </si>
  <si>
    <t>E2634P074</t>
  </si>
  <si>
    <t>Stow Bardolph</t>
  </si>
  <si>
    <t>Kings Lynn and West NorfolkStradsett</t>
  </si>
  <si>
    <t>E2634P075</t>
  </si>
  <si>
    <t>Stradsett</t>
  </si>
  <si>
    <t>Kings Lynn and West NorfolkSyderstone</t>
  </si>
  <si>
    <t>E2634P076</t>
  </si>
  <si>
    <t>Syderstone</t>
  </si>
  <si>
    <t>Kings Lynn and West NorfolkTerrington St. Clement</t>
  </si>
  <si>
    <t>E2634P077</t>
  </si>
  <si>
    <t>Terrington St. Clement</t>
  </si>
  <si>
    <t>Kings Lynn and West NorfolkTerrington St. John</t>
  </si>
  <si>
    <t>E2634P078</t>
  </si>
  <si>
    <t>Terrington St. John</t>
  </si>
  <si>
    <t>Kings Lynn and West NorfolkThornham</t>
  </si>
  <si>
    <t>E2634P079</t>
  </si>
  <si>
    <t>Thornham</t>
  </si>
  <si>
    <t>Kings Lynn and West NorfolkTilney All Saints</t>
  </si>
  <si>
    <t>E2634P080</t>
  </si>
  <si>
    <t>Tilney All Saints</t>
  </si>
  <si>
    <t>Kings Lynn and West NorfolkTilney St. Lawrence</t>
  </si>
  <si>
    <t>E2634P081</t>
  </si>
  <si>
    <t>Tilney St. Lawrence</t>
  </si>
  <si>
    <t>Kings Lynn and West NorfolkTitchwell</t>
  </si>
  <si>
    <t>E2634P082</t>
  </si>
  <si>
    <t>Titchwell</t>
  </si>
  <si>
    <t>Kings Lynn and West NorfolkTottenhill</t>
  </si>
  <si>
    <t>E2634P083</t>
  </si>
  <si>
    <t>Tottenhill</t>
  </si>
  <si>
    <t>Kings Lynn and West NorfolkUpwell</t>
  </si>
  <si>
    <t>E2634P084</t>
  </si>
  <si>
    <t>Upwell</t>
  </si>
  <si>
    <t>Kings Lynn and West NorfolkWalpole</t>
  </si>
  <si>
    <t>E2634P085</t>
  </si>
  <si>
    <t>Walpole</t>
  </si>
  <si>
    <t>Kings Lynn and West NorfolkWalpole Cross Keys</t>
  </si>
  <si>
    <t>E2634P086</t>
  </si>
  <si>
    <t>Walpole Cross Keys</t>
  </si>
  <si>
    <t>Kings Lynn and West NorfolkWalpole Highway</t>
  </si>
  <si>
    <t>E2634P087</t>
  </si>
  <si>
    <t>Walpole Highway</t>
  </si>
  <si>
    <t>Kings Lynn and West NorfolkWalsoken</t>
  </si>
  <si>
    <t>E2634P088</t>
  </si>
  <si>
    <t>Walsoken</t>
  </si>
  <si>
    <t>Kings Lynn and West NorfolkWatlington</t>
  </si>
  <si>
    <t>E2634P089</t>
  </si>
  <si>
    <t>Watlington</t>
  </si>
  <si>
    <t>Kings Lynn and West NorfolkWelney</t>
  </si>
  <si>
    <t>E2634P090</t>
  </si>
  <si>
    <t>Welney</t>
  </si>
  <si>
    <t>Kings Lynn and West NorfolkWereham</t>
  </si>
  <si>
    <t>E2634P091</t>
  </si>
  <si>
    <t>Wereham</t>
  </si>
  <si>
    <t>Kings Lynn and West NorfolkWest Acre</t>
  </si>
  <si>
    <t>E2634P092</t>
  </si>
  <si>
    <t>West Acre</t>
  </si>
  <si>
    <t>Kings Lynn and West NorfolkWest Dereham</t>
  </si>
  <si>
    <t>E2634P093</t>
  </si>
  <si>
    <t>West Dereham</t>
  </si>
  <si>
    <t>Kings Lynn and West NorfolkWest Rudham</t>
  </si>
  <si>
    <t>E2634P094</t>
  </si>
  <si>
    <t>West Rudham</t>
  </si>
  <si>
    <t>Kings Lynn and West NorfolkWest Walton</t>
  </si>
  <si>
    <t>E2634P095</t>
  </si>
  <si>
    <t>West Walton</t>
  </si>
  <si>
    <t>Kings Lynn and West NorfolkWest Winch</t>
  </si>
  <si>
    <t>E2634P096</t>
  </si>
  <si>
    <t>West Winch</t>
  </si>
  <si>
    <t>Kings Lynn and West NorfolkWiggenhall St. Germans</t>
  </si>
  <si>
    <t>E2634P097</t>
  </si>
  <si>
    <t>Wiggenhall St. Germans</t>
  </si>
  <si>
    <t>Kings Lynn and West NorfolkWiggenhall St. Mary Magdalen</t>
  </si>
  <si>
    <t>E2634P098</t>
  </si>
  <si>
    <t>Wiggenhall St. Mary Magdalen</t>
  </si>
  <si>
    <t>Kings Lynn and West NorfolkWimbotsham</t>
  </si>
  <si>
    <t>E2634P099</t>
  </si>
  <si>
    <t>Wimbotsham</t>
  </si>
  <si>
    <t>Kings Lynn and West NorfolkWormegay</t>
  </si>
  <si>
    <t>E2634P100</t>
  </si>
  <si>
    <t>Wormegay</t>
  </si>
  <si>
    <t>Kings Lynn and West NorfolkWretton</t>
  </si>
  <si>
    <t>E2634P101</t>
  </si>
  <si>
    <t>Wretton</t>
  </si>
  <si>
    <t>North NorfolkAlby with Thwaite</t>
  </si>
  <si>
    <t>E2635P001</t>
  </si>
  <si>
    <t>Alby with Thwaite</t>
  </si>
  <si>
    <t>North NorfolkAldborough &amp; Thurgarton</t>
  </si>
  <si>
    <t>E2635P002</t>
  </si>
  <si>
    <t>Aldborough &amp; Thurgarton</t>
  </si>
  <si>
    <t>North NorfolkAntingham</t>
  </si>
  <si>
    <t>E2635P003</t>
  </si>
  <si>
    <t>Antingham</t>
  </si>
  <si>
    <t>North NorfolkAshmanhaugh</t>
  </si>
  <si>
    <t>E2635P004</t>
  </si>
  <si>
    <t>Ashmanhaugh</t>
  </si>
  <si>
    <t>North NorfolkAylmerton</t>
  </si>
  <si>
    <t>E2635P005</t>
  </si>
  <si>
    <t>Aylmerton</t>
  </si>
  <si>
    <t>North NorfolkBaconsthorpe</t>
  </si>
  <si>
    <t>E2635P006</t>
  </si>
  <si>
    <t>Baconsthorpe</t>
  </si>
  <si>
    <t>North NorfolkBacton</t>
  </si>
  <si>
    <t>E2635P007</t>
  </si>
  <si>
    <t>Bacton</t>
  </si>
  <si>
    <t>North NorfolkBarsham</t>
  </si>
  <si>
    <t>E2635P008</t>
  </si>
  <si>
    <t>Barsham</t>
  </si>
  <si>
    <t>North NorfolkBarton Turf</t>
  </si>
  <si>
    <t>E2635P009</t>
  </si>
  <si>
    <t>Barton Turf</t>
  </si>
  <si>
    <t>North NorfolkBeeston Regis</t>
  </si>
  <si>
    <t>E2635P010</t>
  </si>
  <si>
    <t>Beeston Regis</t>
  </si>
  <si>
    <t>North NorfolkBinham</t>
  </si>
  <si>
    <t>E2635P011</t>
  </si>
  <si>
    <t>Binham</t>
  </si>
  <si>
    <t>North NorfolkBlakeney</t>
  </si>
  <si>
    <t>E2635P012</t>
  </si>
  <si>
    <t>Blakeney</t>
  </si>
  <si>
    <t>North NorfolkBodham</t>
  </si>
  <si>
    <t>E2635P013</t>
  </si>
  <si>
    <t>Bodham</t>
  </si>
  <si>
    <t>North NorfolkBriningham</t>
  </si>
  <si>
    <t>E2635P014</t>
  </si>
  <si>
    <t>Briningham</t>
  </si>
  <si>
    <t>North NorfolkBrinton</t>
  </si>
  <si>
    <t>E2635P015</t>
  </si>
  <si>
    <t>Brinton</t>
  </si>
  <si>
    <t>North NorfolkBriston</t>
  </si>
  <si>
    <t>E2635P016</t>
  </si>
  <si>
    <t>Briston</t>
  </si>
  <si>
    <t>North NorfolkBrumstead</t>
  </si>
  <si>
    <t>E2635P017</t>
  </si>
  <si>
    <t>Brumstead</t>
  </si>
  <si>
    <t>North NorfolkCatfield</t>
  </si>
  <si>
    <t>E2635P018</t>
  </si>
  <si>
    <t>Catfield</t>
  </si>
  <si>
    <t>North NorfolkCley Next The Sea</t>
  </si>
  <si>
    <t>E2635P019</t>
  </si>
  <si>
    <t>Cley Next The Sea</t>
  </si>
  <si>
    <t>North NorfolkColby</t>
  </si>
  <si>
    <t>E2635P020</t>
  </si>
  <si>
    <t>Colby</t>
  </si>
  <si>
    <t>North NorfolkCorpusty and Saxthorpe</t>
  </si>
  <si>
    <t>E2635P021</t>
  </si>
  <si>
    <t>Corpusty and Saxthorpe</t>
  </si>
  <si>
    <t>North NorfolkCromer</t>
  </si>
  <si>
    <t>E2635P022</t>
  </si>
  <si>
    <t>Cromer</t>
  </si>
  <si>
    <t>North NorfolkDilham</t>
  </si>
  <si>
    <t>E2635P023</t>
  </si>
  <si>
    <t>Dilham</t>
  </si>
  <si>
    <t>North NorfolkDunton</t>
  </si>
  <si>
    <t>E2635P024</t>
  </si>
  <si>
    <t>North NorfolkBeckham East/West</t>
  </si>
  <si>
    <t>E2635P025</t>
  </si>
  <si>
    <t>Beckham East/West</t>
  </si>
  <si>
    <t>North NorfolkEast Ruston</t>
  </si>
  <si>
    <t>E2635P026</t>
  </si>
  <si>
    <t>East Ruston</t>
  </si>
  <si>
    <t>North NorfolkEdgefield</t>
  </si>
  <si>
    <t>E2635P027</t>
  </si>
  <si>
    <t>Edgefield</t>
  </si>
  <si>
    <t>North NorfolkErpingham</t>
  </si>
  <si>
    <t>E2635P028</t>
  </si>
  <si>
    <t>Erpingham</t>
  </si>
  <si>
    <t>North NorfolkFakenham</t>
  </si>
  <si>
    <t>E2635P029</t>
  </si>
  <si>
    <t>Fakenham</t>
  </si>
  <si>
    <t>North NorfolkFelbrigg</t>
  </si>
  <si>
    <t>E2635P030</t>
  </si>
  <si>
    <t>Felbrigg</t>
  </si>
  <si>
    <t>North NorfolkFelmingham</t>
  </si>
  <si>
    <t>E2635P031</t>
  </si>
  <si>
    <t>Felmingham</t>
  </si>
  <si>
    <t>North NorfolkField Dalling</t>
  </si>
  <si>
    <t>E2635P032</t>
  </si>
  <si>
    <t>Field Dalling</t>
  </si>
  <si>
    <t>North NorfolkFulmodeston</t>
  </si>
  <si>
    <t>E2635P033</t>
  </si>
  <si>
    <t>Fulmodeston</t>
  </si>
  <si>
    <t>North NorfolkGimingham</t>
  </si>
  <si>
    <t>E2635P034</t>
  </si>
  <si>
    <t>Gimingham</t>
  </si>
  <si>
    <t>North NorfolkGreat Snoring</t>
  </si>
  <si>
    <t>E2635P035</t>
  </si>
  <si>
    <t>Great Snoring</t>
  </si>
  <si>
    <t>North NorfolkGresham</t>
  </si>
  <si>
    <t>E2635P036</t>
  </si>
  <si>
    <t>Gresham</t>
  </si>
  <si>
    <t>North NorfolkGunthorpe</t>
  </si>
  <si>
    <t>E2635P037</t>
  </si>
  <si>
    <t>North NorfolkHanworth</t>
  </si>
  <si>
    <t>E2635P038</t>
  </si>
  <si>
    <t>Hanworth</t>
  </si>
  <si>
    <t>North NorfolkHappisburgh</t>
  </si>
  <si>
    <t>E2635P039</t>
  </si>
  <si>
    <t>Happisburgh</t>
  </si>
  <si>
    <t>North NorfolkHelhoughton</t>
  </si>
  <si>
    <t>E2635P040</t>
  </si>
  <si>
    <t>Helhoughton</t>
  </si>
  <si>
    <t>North NorfolkHempstead</t>
  </si>
  <si>
    <t>E2635P041</t>
  </si>
  <si>
    <t>North NorfolkHickling</t>
  </si>
  <si>
    <t>E2635P043</t>
  </si>
  <si>
    <t>Hickling</t>
  </si>
  <si>
    <t>North NorfolkHigh Kelling</t>
  </si>
  <si>
    <t>E2635P044</t>
  </si>
  <si>
    <t>High Kelling</t>
  </si>
  <si>
    <t>North NorfolkHindolveston</t>
  </si>
  <si>
    <t>E2635P045</t>
  </si>
  <si>
    <t>Hindolveston</t>
  </si>
  <si>
    <t>North NorfolkHindringham</t>
  </si>
  <si>
    <t>E2635P046</t>
  </si>
  <si>
    <t>Hindringham</t>
  </si>
  <si>
    <t>North NorfolkHolkham</t>
  </si>
  <si>
    <t>E2635P047</t>
  </si>
  <si>
    <t>Holkham</t>
  </si>
  <si>
    <t>North NorfolkHolt</t>
  </si>
  <si>
    <t>E2635P048</t>
  </si>
  <si>
    <t>North NorfolkHoning</t>
  </si>
  <si>
    <t>E2635P049</t>
  </si>
  <si>
    <t>Honing</t>
  </si>
  <si>
    <t>North NorfolkHorning</t>
  </si>
  <si>
    <t>E2635P050</t>
  </si>
  <si>
    <t>Horning</t>
  </si>
  <si>
    <t>North NorfolkHorsey</t>
  </si>
  <si>
    <t>E2635P051</t>
  </si>
  <si>
    <t>Horsey</t>
  </si>
  <si>
    <t>North NorfolkHoveton</t>
  </si>
  <si>
    <t>E2635P052</t>
  </si>
  <si>
    <t>Hoveton</t>
  </si>
  <si>
    <t>North NorfolkIngham</t>
  </si>
  <si>
    <t>E2635P053</t>
  </si>
  <si>
    <t>North NorfolkIngworth</t>
  </si>
  <si>
    <t>E2635P054</t>
  </si>
  <si>
    <t>Ingworth</t>
  </si>
  <si>
    <t>North NorfolkItteringham</t>
  </si>
  <si>
    <t>E2635P055</t>
  </si>
  <si>
    <t>Itteringham</t>
  </si>
  <si>
    <t>North NorfolkKelling</t>
  </si>
  <si>
    <t>E2635P056</t>
  </si>
  <si>
    <t>Kelling</t>
  </si>
  <si>
    <t>North NorfolkKettlestone</t>
  </si>
  <si>
    <t>E2635P057</t>
  </si>
  <si>
    <t>Kettlestone</t>
  </si>
  <si>
    <t>North NorfolkKnapton</t>
  </si>
  <si>
    <t>E2635P058</t>
  </si>
  <si>
    <t>Knapton</t>
  </si>
  <si>
    <t>North NorfolkLangham</t>
  </si>
  <si>
    <t>E2635P059</t>
  </si>
  <si>
    <t>North NorfolkLessingham</t>
  </si>
  <si>
    <t>E2635P060</t>
  </si>
  <si>
    <t>Lessingham</t>
  </si>
  <si>
    <t>North NorfolkLetheringsett with Glandford</t>
  </si>
  <si>
    <t>E2635P061</t>
  </si>
  <si>
    <t>Letheringsett with Glandford</t>
  </si>
  <si>
    <t>North NorfolkLittle Barningham</t>
  </si>
  <si>
    <t>E2635P062</t>
  </si>
  <si>
    <t>Little Barningham</t>
  </si>
  <si>
    <t>North NorfolkLittle Snoring</t>
  </si>
  <si>
    <t>E2635P063</t>
  </si>
  <si>
    <t>Little Snoring</t>
  </si>
  <si>
    <t>North NorfolkLudham</t>
  </si>
  <si>
    <t>E2635P064</t>
  </si>
  <si>
    <t>Ludham</t>
  </si>
  <si>
    <t>North NorfolkMatlaske</t>
  </si>
  <si>
    <t>E2635P065</t>
  </si>
  <si>
    <t>Matlaske</t>
  </si>
  <si>
    <t>North NorfolkMelton Constable</t>
  </si>
  <si>
    <t>E2635P066</t>
  </si>
  <si>
    <t>Melton Constable</t>
  </si>
  <si>
    <t>North NorfolkMorston</t>
  </si>
  <si>
    <t>E2635P067</t>
  </si>
  <si>
    <t>Morston</t>
  </si>
  <si>
    <t>North NorfolkMundesley</t>
  </si>
  <si>
    <t>E2635P068</t>
  </si>
  <si>
    <t>Mundesley</t>
  </si>
  <si>
    <t>North NorfolkNeatishead</t>
  </si>
  <si>
    <t>E2635P069</t>
  </si>
  <si>
    <t>Neatishead</t>
  </si>
  <si>
    <t>North NorfolkNorth Walsham</t>
  </si>
  <si>
    <t>E2635P070</t>
  </si>
  <si>
    <t>North Walsham</t>
  </si>
  <si>
    <t>North NorfolkNorthrepps</t>
  </si>
  <si>
    <t>E2635P071</t>
  </si>
  <si>
    <t>Northrepps</t>
  </si>
  <si>
    <t>North NorfolkOverstrand</t>
  </si>
  <si>
    <t>E2635P072</t>
  </si>
  <si>
    <t>Overstrand</t>
  </si>
  <si>
    <t>North NorfolkPaston</t>
  </si>
  <si>
    <t>E2635P073</t>
  </si>
  <si>
    <t>Paston</t>
  </si>
  <si>
    <t>North NorfolkPlumstead</t>
  </si>
  <si>
    <t>E2635P074</t>
  </si>
  <si>
    <t>Plumstead</t>
  </si>
  <si>
    <t>North NorfolkPotter Heigham</t>
  </si>
  <si>
    <t>E2635P075</t>
  </si>
  <si>
    <t>Potter Heigham</t>
  </si>
  <si>
    <t>North NorfolkRaynham</t>
  </si>
  <si>
    <t>E2635P077</t>
  </si>
  <si>
    <t>Raynham</t>
  </si>
  <si>
    <t>North NorfolkRoughton</t>
  </si>
  <si>
    <t>E2635P078</t>
  </si>
  <si>
    <t>North NorfolkRunton</t>
  </si>
  <si>
    <t>E2635P079</t>
  </si>
  <si>
    <t>Runton</t>
  </si>
  <si>
    <t>North NorfolkRyburgh</t>
  </si>
  <si>
    <t>E2635P080</t>
  </si>
  <si>
    <t>Ryburgh</t>
  </si>
  <si>
    <t>North NorfolkSalthouse</t>
  </si>
  <si>
    <t>E2635P081</t>
  </si>
  <si>
    <t>Salthouse</t>
  </si>
  <si>
    <t>North NorfolkScottow</t>
  </si>
  <si>
    <t>E2635P082</t>
  </si>
  <si>
    <t>Scottow</t>
  </si>
  <si>
    <t>North NorfolkSculthorpe</t>
  </si>
  <si>
    <t>E2635P083</t>
  </si>
  <si>
    <t>Sculthorpe</t>
  </si>
  <si>
    <t>North NorfolkSea Palling</t>
  </si>
  <si>
    <t>E2635P084</t>
  </si>
  <si>
    <t>Sea Palling</t>
  </si>
  <si>
    <t>North NorfolkSheringham</t>
  </si>
  <si>
    <t>E2635P085</t>
  </si>
  <si>
    <t>Sheringham</t>
  </si>
  <si>
    <t>North NorfolkSidestrand</t>
  </si>
  <si>
    <t>E2635P086</t>
  </si>
  <si>
    <t>Sidestrand</t>
  </si>
  <si>
    <t>North NorfolkSkeyton</t>
  </si>
  <si>
    <t>E2635P087</t>
  </si>
  <si>
    <t>Skeyton</t>
  </si>
  <si>
    <t>North NorfolkSloley</t>
  </si>
  <si>
    <t>E2635P088</t>
  </si>
  <si>
    <t>Sloley</t>
  </si>
  <si>
    <t>North NorfolkSmallburgh</t>
  </si>
  <si>
    <t>E2635P089</t>
  </si>
  <si>
    <t>Smallburgh</t>
  </si>
  <si>
    <t>North NorfolkSouthrepps</t>
  </si>
  <si>
    <t>E2635P090</t>
  </si>
  <si>
    <t>Southrepps</t>
  </si>
  <si>
    <t>North NorfolkStalham</t>
  </si>
  <si>
    <t>E2635P091</t>
  </si>
  <si>
    <t>Stalham</t>
  </si>
  <si>
    <t>North NorfolkStibbard</t>
  </si>
  <si>
    <t>E2635P092</t>
  </si>
  <si>
    <t>Stibbard</t>
  </si>
  <si>
    <t>North NorfolkStiffkey</t>
  </si>
  <si>
    <t>E2635P093</t>
  </si>
  <si>
    <t>Stiffkey</t>
  </si>
  <si>
    <t>North NorfolkStody</t>
  </si>
  <si>
    <t>E2635P094</t>
  </si>
  <si>
    <t>Stody</t>
  </si>
  <si>
    <t>North NorfolkSuffield</t>
  </si>
  <si>
    <t>E2635P095</t>
  </si>
  <si>
    <t>Suffield</t>
  </si>
  <si>
    <t>North NorfolkSustead</t>
  </si>
  <si>
    <t>E2635P096</t>
  </si>
  <si>
    <t>Sustead</t>
  </si>
  <si>
    <t>North NorfolkSutton</t>
  </si>
  <si>
    <t>E2635P097</t>
  </si>
  <si>
    <t>North NorfolkSwafield</t>
  </si>
  <si>
    <t>E2635P098</t>
  </si>
  <si>
    <t>Swafield</t>
  </si>
  <si>
    <t>North NorfolkSwanton Abbott</t>
  </si>
  <si>
    <t>E2635P099</t>
  </si>
  <si>
    <t>Swanton Abbott</t>
  </si>
  <si>
    <t>North NorfolkSwanton Novers</t>
  </si>
  <si>
    <t>E2635P100</t>
  </si>
  <si>
    <t>Swanton Novers</t>
  </si>
  <si>
    <t>North NorfolkTattersett</t>
  </si>
  <si>
    <t>E2635P101</t>
  </si>
  <si>
    <t>Tattersett</t>
  </si>
  <si>
    <t>North NorfolkThornage</t>
  </si>
  <si>
    <t>E2635P102</t>
  </si>
  <si>
    <t>Thornage</t>
  </si>
  <si>
    <t>North NorfolkThorpe Market</t>
  </si>
  <si>
    <t>E2635P103</t>
  </si>
  <si>
    <t>Thorpe Market</t>
  </si>
  <si>
    <t>North NorfolkThurning</t>
  </si>
  <si>
    <t>E2635P104</t>
  </si>
  <si>
    <t>Thurning</t>
  </si>
  <si>
    <t>North NorfolkThursford</t>
  </si>
  <si>
    <t>E2635P105</t>
  </si>
  <si>
    <t>Thursford</t>
  </si>
  <si>
    <t>North NorfolkTrimingham</t>
  </si>
  <si>
    <t>E2635P106</t>
  </si>
  <si>
    <t>Trimingham</t>
  </si>
  <si>
    <t>North NorfolkTrunch</t>
  </si>
  <si>
    <t>E2635P107</t>
  </si>
  <si>
    <t>Trunch</t>
  </si>
  <si>
    <t>North NorfolkTunstead</t>
  </si>
  <si>
    <t>E2635P108</t>
  </si>
  <si>
    <t>Tunstead</t>
  </si>
  <si>
    <t>North NorfolkUpper Sheringham</t>
  </si>
  <si>
    <t>E2635P109</t>
  </si>
  <si>
    <t>Upper Sheringham</t>
  </si>
  <si>
    <t>North NorfolkWalcott</t>
  </si>
  <si>
    <t>E2635P110</t>
  </si>
  <si>
    <t>North NorfolkWalsingham</t>
  </si>
  <si>
    <t>E2635P111</t>
  </si>
  <si>
    <t>Walsingham</t>
  </si>
  <si>
    <t>North NorfolkWarham</t>
  </si>
  <si>
    <t>E2635P112</t>
  </si>
  <si>
    <t>Warham</t>
  </si>
  <si>
    <t>North NorfolkWells next the Sea</t>
  </si>
  <si>
    <t>E2635P113</t>
  </si>
  <si>
    <t>Wells next the Sea</t>
  </si>
  <si>
    <t>North NorfolkWestwick</t>
  </si>
  <si>
    <t>E2635P115</t>
  </si>
  <si>
    <t>Westwick</t>
  </si>
  <si>
    <t>North NorfolkWeybourne</t>
  </si>
  <si>
    <t>E2635P116</t>
  </si>
  <si>
    <t>Weybourne</t>
  </si>
  <si>
    <t>North NorfolkWickmere</t>
  </si>
  <si>
    <t>E2635P117</t>
  </si>
  <si>
    <t>Wickmere</t>
  </si>
  <si>
    <t>North NorfolkWighton</t>
  </si>
  <si>
    <t>E2635P118</t>
  </si>
  <si>
    <t>Wighton</t>
  </si>
  <si>
    <t>North NorfolkWitton</t>
  </si>
  <si>
    <t>E2635P119</t>
  </si>
  <si>
    <t>Witton</t>
  </si>
  <si>
    <t>North NorfolkWiveton</t>
  </si>
  <si>
    <t>E2635P120</t>
  </si>
  <si>
    <t>Wiveton</t>
  </si>
  <si>
    <t>North NorfolkWood Norton</t>
  </si>
  <si>
    <t>E2635P121</t>
  </si>
  <si>
    <t>Wood Norton</t>
  </si>
  <si>
    <t>North NorfolkWorstead</t>
  </si>
  <si>
    <t>E2635P122</t>
  </si>
  <si>
    <t>Worstead</t>
  </si>
  <si>
    <t>North NorfolkHempton &amp; Pudding Norton</t>
  </si>
  <si>
    <t>E2635P123</t>
  </si>
  <si>
    <t>Hempton &amp; Pudding Norton</t>
  </si>
  <si>
    <t>South NorfolkAlburgh</t>
  </si>
  <si>
    <t>E2637P001</t>
  </si>
  <si>
    <t>Alburgh</t>
  </si>
  <si>
    <t>South NorfolkAldeby</t>
  </si>
  <si>
    <t>E2637P002</t>
  </si>
  <si>
    <t>Aldeby</t>
  </si>
  <si>
    <t>South NorfolkAlpington (with Yelverton)</t>
  </si>
  <si>
    <t>E2637P003</t>
  </si>
  <si>
    <t>Alpington (with Yelverton)</t>
  </si>
  <si>
    <t>South NorfolkAshby St. Mary</t>
  </si>
  <si>
    <t>E2637P004</t>
  </si>
  <si>
    <t>Ashby St. Mary</t>
  </si>
  <si>
    <t>South NorfolkAshwellthorpe and Fundenhall</t>
  </si>
  <si>
    <t>E2637P005</t>
  </si>
  <si>
    <t>Ashwellthorpe and Fundenhall</t>
  </si>
  <si>
    <t>South NorfolkAslacton</t>
  </si>
  <si>
    <t>E2637P006</t>
  </si>
  <si>
    <t>Aslacton</t>
  </si>
  <si>
    <t>South NorfolkBarford (with Wramplingham)</t>
  </si>
  <si>
    <t>E2637P007</t>
  </si>
  <si>
    <t>Barford (with Wramplingham)</t>
  </si>
  <si>
    <t>South NorfolkBarnham Broom</t>
  </si>
  <si>
    <t>E2637P008</t>
  </si>
  <si>
    <t>Barnham Broom</t>
  </si>
  <si>
    <t>South NorfolkBawburgh</t>
  </si>
  <si>
    <t>E2637P009</t>
  </si>
  <si>
    <t>Bawburgh</t>
  </si>
  <si>
    <t>South NorfolkBedingham</t>
  </si>
  <si>
    <t>E2637P010</t>
  </si>
  <si>
    <t>Bedingham</t>
  </si>
  <si>
    <t>South NorfolkBergh Apton</t>
  </si>
  <si>
    <t>E2637P011</t>
  </si>
  <si>
    <t>Bergh Apton</t>
  </si>
  <si>
    <t>South NorfolkBracon Ash</t>
  </si>
  <si>
    <t>E2637P012</t>
  </si>
  <si>
    <t>Bracon Ash</t>
  </si>
  <si>
    <t>South NorfolkBramerton</t>
  </si>
  <si>
    <t>E2637P013</t>
  </si>
  <si>
    <t>Bramerton</t>
  </si>
  <si>
    <t>South NorfolkBrandon Parva Coston Runhall and Welborne</t>
  </si>
  <si>
    <t>E2637P014</t>
  </si>
  <si>
    <t>Brandon Parva Coston Runhall and Welborne</t>
  </si>
  <si>
    <t>South NorfolkBressingham</t>
  </si>
  <si>
    <t>E2637P015</t>
  </si>
  <si>
    <t>Bressingham</t>
  </si>
  <si>
    <t>South NorfolkBrockdish</t>
  </si>
  <si>
    <t>E2637P016</t>
  </si>
  <si>
    <t>Brockdish</t>
  </si>
  <si>
    <t>South NorfolkBrooke</t>
  </si>
  <si>
    <t>E2637P017</t>
  </si>
  <si>
    <t>South NorfolkBroome</t>
  </si>
  <si>
    <t>E2637P018</t>
  </si>
  <si>
    <t>South NorfolkBunwell</t>
  </si>
  <si>
    <t>E2637P019</t>
  </si>
  <si>
    <t>Bunwell</t>
  </si>
  <si>
    <t>South NorfolkBurgh St. Peter (with Wheatacre)</t>
  </si>
  <si>
    <t>E2637P020</t>
  </si>
  <si>
    <t>Burgh St. Peter (with Wheatacre)</t>
  </si>
  <si>
    <t>South NorfolkBurston and Shimpling</t>
  </si>
  <si>
    <t>E2637P021</t>
  </si>
  <si>
    <t>Burston and Shimpling</t>
  </si>
  <si>
    <t>South NorfolkCaistor and Bixley</t>
  </si>
  <si>
    <t>E2637P022</t>
  </si>
  <si>
    <t>Caistor and Bixley</t>
  </si>
  <si>
    <t>South NorfolkCarleton Rode</t>
  </si>
  <si>
    <t>E2637P023</t>
  </si>
  <si>
    <t>Carleton Rode</t>
  </si>
  <si>
    <t>South NorfolkCarleton St. Peter</t>
  </si>
  <si>
    <t>E2637P024</t>
  </si>
  <si>
    <t>Carleton St. Peter</t>
  </si>
  <si>
    <t>South NorfolkChedgrave</t>
  </si>
  <si>
    <t>E2637P025</t>
  </si>
  <si>
    <t>Chedgrave</t>
  </si>
  <si>
    <t>South NorfolkClaxton</t>
  </si>
  <si>
    <t>E2637P026</t>
  </si>
  <si>
    <t>South NorfolkColney</t>
  </si>
  <si>
    <t>E2637P027</t>
  </si>
  <si>
    <t>Colney</t>
  </si>
  <si>
    <t>South NorfolkCostessey</t>
  </si>
  <si>
    <t>E2637P028</t>
  </si>
  <si>
    <t>Costessey</t>
  </si>
  <si>
    <t>South NorfolkCringleford</t>
  </si>
  <si>
    <t>E2637P029</t>
  </si>
  <si>
    <t>Cringleford</t>
  </si>
  <si>
    <t>South NorfolkDenton</t>
  </si>
  <si>
    <t>E2637P030</t>
  </si>
  <si>
    <t>South NorfolkDeopham</t>
  </si>
  <si>
    <t>E2637P031</t>
  </si>
  <si>
    <t>Deopham</t>
  </si>
  <si>
    <t>South NorfolkDickleburgh and Rushall</t>
  </si>
  <si>
    <t>E2637P032</t>
  </si>
  <si>
    <t>Dickleburgh and Rushall</t>
  </si>
  <si>
    <t>South NorfolkDiss</t>
  </si>
  <si>
    <t>E2637P033</t>
  </si>
  <si>
    <t>Diss</t>
  </si>
  <si>
    <t>South NorfolkDitchingham</t>
  </si>
  <si>
    <t>E2637P034</t>
  </si>
  <si>
    <t>Ditchingham</t>
  </si>
  <si>
    <t>South NorfolkEarsham</t>
  </si>
  <si>
    <t>E2637P035</t>
  </si>
  <si>
    <t>Earsham</t>
  </si>
  <si>
    <t>South NorfolkEast Carleton (with Ketteringham)</t>
  </si>
  <si>
    <t>E2637P036</t>
  </si>
  <si>
    <t>East Carleton (with Ketteringham)</t>
  </si>
  <si>
    <t>South NorfolkEaston</t>
  </si>
  <si>
    <t>E2637P037</t>
  </si>
  <si>
    <t>South NorfolkEllingham (with Kirby Cane)</t>
  </si>
  <si>
    <t>E2637P038</t>
  </si>
  <si>
    <t>Ellingham (with Kirby Cane)</t>
  </si>
  <si>
    <t>South NorfolkFlordon</t>
  </si>
  <si>
    <t>E2637P039</t>
  </si>
  <si>
    <t>Flordon</t>
  </si>
  <si>
    <t>South NorfolkForncett</t>
  </si>
  <si>
    <t>E2637P040</t>
  </si>
  <si>
    <t>Forncett</t>
  </si>
  <si>
    <t>South NorfolkFramingham Earl</t>
  </si>
  <si>
    <t>E2637P041</t>
  </si>
  <si>
    <t>Framingham Earl</t>
  </si>
  <si>
    <t>South NorfolkFramingham Pigot</t>
  </si>
  <si>
    <t>E2637P042</t>
  </si>
  <si>
    <t>Framingham Pigot</t>
  </si>
  <si>
    <t>South NorfolkGeldeston</t>
  </si>
  <si>
    <t>E2637P043</t>
  </si>
  <si>
    <t>Geldeston</t>
  </si>
  <si>
    <t>South NorfolkGillingham</t>
  </si>
  <si>
    <t>E2637P044</t>
  </si>
  <si>
    <t>South NorfolkGissing</t>
  </si>
  <si>
    <t>E2637P045</t>
  </si>
  <si>
    <t>Gissing</t>
  </si>
  <si>
    <t>South NorfolkGreat Melton</t>
  </si>
  <si>
    <t>E2637P046</t>
  </si>
  <si>
    <t>Great Melton</t>
  </si>
  <si>
    <t>South NorfolkGreat Moulton</t>
  </si>
  <si>
    <t>E2637P047</t>
  </si>
  <si>
    <t>Great Moulton</t>
  </si>
  <si>
    <t>South NorfolkHaddiscoe</t>
  </si>
  <si>
    <t>E2637P048</t>
  </si>
  <si>
    <t>Haddiscoe</t>
  </si>
  <si>
    <t>South NorfolkHales (with Heckingham)</t>
  </si>
  <si>
    <t>E2637P049</t>
  </si>
  <si>
    <t>Hales (with Heckingham)</t>
  </si>
  <si>
    <t>South NorfolkHeckingham (with Hales)</t>
  </si>
  <si>
    <t>E2637P050</t>
  </si>
  <si>
    <t>Heckingham (with Hales)</t>
  </si>
  <si>
    <t>South NorfolkHedenham</t>
  </si>
  <si>
    <t>E2637P051</t>
  </si>
  <si>
    <t>Hedenham</t>
  </si>
  <si>
    <t>South NorfolkHellington (with Rockland St. Mary)</t>
  </si>
  <si>
    <t>E2637P052</t>
  </si>
  <si>
    <t>Hellington (with Rockland St. Mary)</t>
  </si>
  <si>
    <t>South NorfolkHempnall</t>
  </si>
  <si>
    <t>E2637P053</t>
  </si>
  <si>
    <t>Hempnall</t>
  </si>
  <si>
    <t>South NorfolkHethersett</t>
  </si>
  <si>
    <t>E2637P054</t>
  </si>
  <si>
    <t>Hethersett</t>
  </si>
  <si>
    <t>South NorfolkHeywood</t>
  </si>
  <si>
    <t>E2637P055</t>
  </si>
  <si>
    <t>Heywood</t>
  </si>
  <si>
    <t>South NorfolkHingham</t>
  </si>
  <si>
    <t>E2637P056</t>
  </si>
  <si>
    <t>Hingham</t>
  </si>
  <si>
    <t>South NorfolkHolverston</t>
  </si>
  <si>
    <t>E2637P057</t>
  </si>
  <si>
    <t>Holverston</t>
  </si>
  <si>
    <t>South NorfolkHowe</t>
  </si>
  <si>
    <t>E2637P058</t>
  </si>
  <si>
    <t>Howe</t>
  </si>
  <si>
    <t>South NorfolkKeswick and Intwood</t>
  </si>
  <si>
    <t>E2637P059</t>
  </si>
  <si>
    <t>Keswick and Intwood</t>
  </si>
  <si>
    <t>South NorfolkKetteringham (with East Carleton)</t>
  </si>
  <si>
    <t>E2637P060</t>
  </si>
  <si>
    <t>Ketteringham (with East Carleton)</t>
  </si>
  <si>
    <t>South NorfolkKimberley</t>
  </si>
  <si>
    <t>E2637P061</t>
  </si>
  <si>
    <t>Kimberley</t>
  </si>
  <si>
    <t>South NorfolkKirby Bedon</t>
  </si>
  <si>
    <t>E2637P062</t>
  </si>
  <si>
    <t>Kirby Bedon</t>
  </si>
  <si>
    <t>South NorfolkKirby Cane (with Ellingham)</t>
  </si>
  <si>
    <t>E2637P063</t>
  </si>
  <si>
    <t>Kirby Cane (with Ellingham)</t>
  </si>
  <si>
    <t>South NorfolkKirstead</t>
  </si>
  <si>
    <t>E2637P064</t>
  </si>
  <si>
    <t>Kirstead</t>
  </si>
  <si>
    <t>South NorfolkLangley with Hardley</t>
  </si>
  <si>
    <t>E2637P065</t>
  </si>
  <si>
    <t>Langley with Hardley</t>
  </si>
  <si>
    <t>South NorfolkLittle Melton</t>
  </si>
  <si>
    <t>E2637P066</t>
  </si>
  <si>
    <t>Little Melton</t>
  </si>
  <si>
    <t>South NorfolkLoddon</t>
  </si>
  <si>
    <t>E2637P067</t>
  </si>
  <si>
    <t>Loddon</t>
  </si>
  <si>
    <t>South NorfolkLong Stratton</t>
  </si>
  <si>
    <t>E2637P068</t>
  </si>
  <si>
    <t>Long Stratton</t>
  </si>
  <si>
    <t>South NorfolkMarlingford and Colton</t>
  </si>
  <si>
    <t>E2637P069</t>
  </si>
  <si>
    <t>Marlingford and Colton</t>
  </si>
  <si>
    <t>South NorfolkMorley</t>
  </si>
  <si>
    <t>E2637P070</t>
  </si>
  <si>
    <t>South NorfolkMorningthorpe and Fritton</t>
  </si>
  <si>
    <t>E2637P071</t>
  </si>
  <si>
    <t>Morningthorpe and Fritton</t>
  </si>
  <si>
    <t>South NorfolkMulbarton</t>
  </si>
  <si>
    <t>E2637P072</t>
  </si>
  <si>
    <t>Mulbarton</t>
  </si>
  <si>
    <t>South NorfolkMundham</t>
  </si>
  <si>
    <t>E2637P073</t>
  </si>
  <si>
    <t>Mundham</t>
  </si>
  <si>
    <t>South NorfolkNeedham</t>
  </si>
  <si>
    <t>E2637P074</t>
  </si>
  <si>
    <t>Needham</t>
  </si>
  <si>
    <t>South NorfolkNewton Flotman</t>
  </si>
  <si>
    <t>E2637P075</t>
  </si>
  <si>
    <t>Newton Flotman</t>
  </si>
  <si>
    <t>South NorfolkNorton Subcourse</t>
  </si>
  <si>
    <t>E2637P076</t>
  </si>
  <si>
    <t>Norton Subcourse</t>
  </si>
  <si>
    <t>South NorfolkPoringland</t>
  </si>
  <si>
    <t>E2637P077</t>
  </si>
  <si>
    <t>Poringland</t>
  </si>
  <si>
    <t>South NorfolkPulham Market</t>
  </si>
  <si>
    <t>E2637P078</t>
  </si>
  <si>
    <t>Pulham Market</t>
  </si>
  <si>
    <t>South NorfolkPulham St. Mary</t>
  </si>
  <si>
    <t>E2637P079</t>
  </si>
  <si>
    <t>Pulham St. Mary</t>
  </si>
  <si>
    <t>South NorfolkRaveningham</t>
  </si>
  <si>
    <t>E2637P080</t>
  </si>
  <si>
    <t>Raveningham</t>
  </si>
  <si>
    <t>South NorfolkRedenhall with Harleston</t>
  </si>
  <si>
    <t>E2637P081</t>
  </si>
  <si>
    <t>Redenhall with Harleston</t>
  </si>
  <si>
    <t>South NorfolkRockland St. Mary (with Hellington)</t>
  </si>
  <si>
    <t>E2637P082</t>
  </si>
  <si>
    <t>Rockland St. Mary (with Hellington)</t>
  </si>
  <si>
    <t>South NorfolkRoydon</t>
  </si>
  <si>
    <t>E2637P083</t>
  </si>
  <si>
    <t>South NorfolkSaxlingham Nethergate</t>
  </si>
  <si>
    <t>E2637P084</t>
  </si>
  <si>
    <t>Saxlingham Nethergate</t>
  </si>
  <si>
    <t>South NorfolkScole</t>
  </si>
  <si>
    <t>E2637P085</t>
  </si>
  <si>
    <t>Scole</t>
  </si>
  <si>
    <t>South NorfolkSeething</t>
  </si>
  <si>
    <t>E2637P086</t>
  </si>
  <si>
    <t>Seething</t>
  </si>
  <si>
    <t>South NorfolkShelfanger</t>
  </si>
  <si>
    <t>E2637P087</t>
  </si>
  <si>
    <t>Shelfanger</t>
  </si>
  <si>
    <t>South NorfolkShelton and Hardwick</t>
  </si>
  <si>
    <t>E2637P088</t>
  </si>
  <si>
    <t>Shelton and Hardwick</t>
  </si>
  <si>
    <t>South NorfolkShotesham</t>
  </si>
  <si>
    <t>E2637P089</t>
  </si>
  <si>
    <t>Shotesham</t>
  </si>
  <si>
    <t>South NorfolkSisland</t>
  </si>
  <si>
    <t>E2637P090</t>
  </si>
  <si>
    <t>Sisland</t>
  </si>
  <si>
    <t>South NorfolkSpooner Row</t>
  </si>
  <si>
    <t>E2637P091</t>
  </si>
  <si>
    <t>Spooner Row</t>
  </si>
  <si>
    <t>South NorfolkStarston</t>
  </si>
  <si>
    <t>E2637P092</t>
  </si>
  <si>
    <t>Starston</t>
  </si>
  <si>
    <t>South NorfolkStockton</t>
  </si>
  <si>
    <t>E2637P093</t>
  </si>
  <si>
    <t>Stockton</t>
  </si>
  <si>
    <t>South NorfolkStoke Holy Cross</t>
  </si>
  <si>
    <t>E2637P094</t>
  </si>
  <si>
    <t>Stoke Holy Cross</t>
  </si>
  <si>
    <t>South NorfolkSurlingham</t>
  </si>
  <si>
    <t>E2637P095</t>
  </si>
  <si>
    <t>Surlingham</t>
  </si>
  <si>
    <t>South NorfolkSwainsthorpe</t>
  </si>
  <si>
    <t>E2637P096</t>
  </si>
  <si>
    <t>Swainsthorpe</t>
  </si>
  <si>
    <t>South NorfolkSwardeston</t>
  </si>
  <si>
    <t>E2637P097</t>
  </si>
  <si>
    <t>Swardeston</t>
  </si>
  <si>
    <t>South NorfolkTacolneston</t>
  </si>
  <si>
    <t>E2637P098</t>
  </si>
  <si>
    <t>Tacolneston</t>
  </si>
  <si>
    <t>South NorfolkTasburgh</t>
  </si>
  <si>
    <t>E2637P099</t>
  </si>
  <si>
    <t>Tasburgh</t>
  </si>
  <si>
    <t>South NorfolkTharston and Hapton</t>
  </si>
  <si>
    <t>E2637P100</t>
  </si>
  <si>
    <t>Tharston and Hapton</t>
  </si>
  <si>
    <t>South NorfolkThurlton</t>
  </si>
  <si>
    <t>E2637P101</t>
  </si>
  <si>
    <t>Thurlton</t>
  </si>
  <si>
    <t>South NorfolkThurton</t>
  </si>
  <si>
    <t>E2637P102</t>
  </si>
  <si>
    <t>Thurton</t>
  </si>
  <si>
    <t>South NorfolkThwaite</t>
  </si>
  <si>
    <t>E2637P103</t>
  </si>
  <si>
    <t>Thwaite</t>
  </si>
  <si>
    <t>South NorfolkTibenham</t>
  </si>
  <si>
    <t>E2637P104</t>
  </si>
  <si>
    <t>Tibenham</t>
  </si>
  <si>
    <t>South NorfolkTivetshall</t>
  </si>
  <si>
    <t>E2637P105</t>
  </si>
  <si>
    <t>Tivetshall</t>
  </si>
  <si>
    <t>South NorfolkToft Monks</t>
  </si>
  <si>
    <t>E2637P106</t>
  </si>
  <si>
    <t>Toft Monks</t>
  </si>
  <si>
    <t>South NorfolkTopcroft</t>
  </si>
  <si>
    <t>E2637P107</t>
  </si>
  <si>
    <t>Topcroft</t>
  </si>
  <si>
    <t>South NorfolkTrowse with Newton</t>
  </si>
  <si>
    <t>E2637P108</t>
  </si>
  <si>
    <t>Trowse with Newton</t>
  </si>
  <si>
    <t>South NorfolkWacton</t>
  </si>
  <si>
    <t>E2637P109</t>
  </si>
  <si>
    <t>Wacton</t>
  </si>
  <si>
    <t>South NorfolkWheatacre (with Burgh St. Peter)</t>
  </si>
  <si>
    <t>E2637P110</t>
  </si>
  <si>
    <t>Wheatacre (with Burgh St. Peter)</t>
  </si>
  <si>
    <t>South NorfolkWicklewood</t>
  </si>
  <si>
    <t>E2637P111</t>
  </si>
  <si>
    <t>Wicklewood</t>
  </si>
  <si>
    <t>South NorfolkWinfarthing</t>
  </si>
  <si>
    <t>E2637P112</t>
  </si>
  <si>
    <t>Winfarthing</t>
  </si>
  <si>
    <t>South NorfolkWoodton</t>
  </si>
  <si>
    <t>E2637P113</t>
  </si>
  <si>
    <t>Woodton</t>
  </si>
  <si>
    <t>South NorfolkWortwell</t>
  </si>
  <si>
    <t>E2637P114</t>
  </si>
  <si>
    <t>Wortwell</t>
  </si>
  <si>
    <t>South NorfolkWramplingham (with Barford)</t>
  </si>
  <si>
    <t>E2637P115</t>
  </si>
  <si>
    <t>Wramplingham (with Barford)</t>
  </si>
  <si>
    <t>South NorfolkWreningham</t>
  </si>
  <si>
    <t>E2637P116</t>
  </si>
  <si>
    <t>Wreningham</t>
  </si>
  <si>
    <t>South NorfolkWymondham</t>
  </si>
  <si>
    <t>E2637P117</t>
  </si>
  <si>
    <t>South NorfolkYelverton (with Alpington)</t>
  </si>
  <si>
    <t>E2637P118</t>
  </si>
  <si>
    <t>Yelverton (with Alpington)</t>
  </si>
  <si>
    <t>YorkAcaster Malbis</t>
  </si>
  <si>
    <t>E2701P001</t>
  </si>
  <si>
    <t>Acaster Malbis</t>
  </si>
  <si>
    <t>YorkAskham Bryan</t>
  </si>
  <si>
    <t>E2701P002</t>
  </si>
  <si>
    <t>Askham Bryan</t>
  </si>
  <si>
    <t>YorkAskham Richard</t>
  </si>
  <si>
    <t>E2701P003</t>
  </si>
  <si>
    <t>Askham Richard</t>
  </si>
  <si>
    <t>YorkBishopthorpe</t>
  </si>
  <si>
    <t>E2701P004</t>
  </si>
  <si>
    <t>Bishopthorpe</t>
  </si>
  <si>
    <t>YorkClifton Without</t>
  </si>
  <si>
    <t>E2701P005</t>
  </si>
  <si>
    <t>Clifton Without</t>
  </si>
  <si>
    <t>YorkCopmanthorpe</t>
  </si>
  <si>
    <t>E2701P006</t>
  </si>
  <si>
    <t>Copmanthorpe</t>
  </si>
  <si>
    <t>YorkDeighton</t>
  </si>
  <si>
    <t>E2701P007</t>
  </si>
  <si>
    <t>Deighton</t>
  </si>
  <si>
    <t>YorkDunnington</t>
  </si>
  <si>
    <t>E2701P008</t>
  </si>
  <si>
    <t>Dunnington</t>
  </si>
  <si>
    <t>YorkEarswick</t>
  </si>
  <si>
    <t>E2701P009</t>
  </si>
  <si>
    <t>Earswick</t>
  </si>
  <si>
    <t>YorkElvington</t>
  </si>
  <si>
    <t>E2701P010</t>
  </si>
  <si>
    <t>Elvington</t>
  </si>
  <si>
    <t>YorkFulford</t>
  </si>
  <si>
    <t>E2701P011</t>
  </si>
  <si>
    <t>Fulford</t>
  </si>
  <si>
    <t>YorkHaxby</t>
  </si>
  <si>
    <t>E2701P012</t>
  </si>
  <si>
    <t>Haxby</t>
  </si>
  <si>
    <t>YorkHeslington</t>
  </si>
  <si>
    <t>E2701P013</t>
  </si>
  <si>
    <t>Heslington</t>
  </si>
  <si>
    <t>YorkHessay</t>
  </si>
  <si>
    <t>E2701P014</t>
  </si>
  <si>
    <t>Hessay</t>
  </si>
  <si>
    <t>YorkHeworth Without</t>
  </si>
  <si>
    <t>E2701P015</t>
  </si>
  <si>
    <t>Heworth Without</t>
  </si>
  <si>
    <t>YorkHoltby</t>
  </si>
  <si>
    <t>E2701P016</t>
  </si>
  <si>
    <t>Holtby</t>
  </si>
  <si>
    <t>YorkHuntington</t>
  </si>
  <si>
    <t>E2701P017</t>
  </si>
  <si>
    <t>YorkKexby</t>
  </si>
  <si>
    <t>E2701P018</t>
  </si>
  <si>
    <t>YorkMurton</t>
  </si>
  <si>
    <t>E2701P019</t>
  </si>
  <si>
    <t>YorkNaburn</t>
  </si>
  <si>
    <t>E2701P020</t>
  </si>
  <si>
    <t>Naburn</t>
  </si>
  <si>
    <t>YorkNether Poppleton</t>
  </si>
  <si>
    <t>E2701P021</t>
  </si>
  <si>
    <t>Nether Poppleton</t>
  </si>
  <si>
    <t>YorkNew Earswick</t>
  </si>
  <si>
    <t>E2701P022</t>
  </si>
  <si>
    <t>New Earswick</t>
  </si>
  <si>
    <t>YorkOsbaldwick</t>
  </si>
  <si>
    <t>E2701P023</t>
  </si>
  <si>
    <t>Osbaldwick</t>
  </si>
  <si>
    <t>YorkRawcliffe</t>
  </si>
  <si>
    <t>E2701P024</t>
  </si>
  <si>
    <t>YorkRufforth with Knapton</t>
  </si>
  <si>
    <t>E2701P025</t>
  </si>
  <si>
    <t>Rufforth with Knapton</t>
  </si>
  <si>
    <t>YorkSkelton</t>
  </si>
  <si>
    <t>E2701P026</t>
  </si>
  <si>
    <t>YorkStockton on the Forest</t>
  </si>
  <si>
    <t>E2701P027</t>
  </si>
  <si>
    <t>Stockton on the Forest</t>
  </si>
  <si>
    <t>YorkStrensall with Towthorpe</t>
  </si>
  <si>
    <t>E2701P028</t>
  </si>
  <si>
    <t>Strensall with Towthorpe</t>
  </si>
  <si>
    <t>YorkUpper Poppleton</t>
  </si>
  <si>
    <t>E2701P029</t>
  </si>
  <si>
    <t>Upper Poppleton</t>
  </si>
  <si>
    <t>YorkWheldrake</t>
  </si>
  <si>
    <t>E2701P030</t>
  </si>
  <si>
    <t>Wheldrake</t>
  </si>
  <si>
    <t>YorkWigginton</t>
  </si>
  <si>
    <t>E2701P031</t>
  </si>
  <si>
    <t>North YorkshireAcaster Selby (group name Appleton Roebuck and Acaster Selby)</t>
  </si>
  <si>
    <t>E2702P001</t>
  </si>
  <si>
    <t>Acaster Selby (group name Appleton Roebuck and Acaster Selby)</t>
  </si>
  <si>
    <t>North YorkshireAcklam</t>
  </si>
  <si>
    <t>E2702P002</t>
  </si>
  <si>
    <t>Acklam</t>
  </si>
  <si>
    <t>North YorkshireAinderby Miers with Holtby</t>
  </si>
  <si>
    <t>E2702P003</t>
  </si>
  <si>
    <t>Ainderby Miers with Holtby</t>
  </si>
  <si>
    <t>North YorkshireAinderby Quernhow</t>
  </si>
  <si>
    <t>E2702P004</t>
  </si>
  <si>
    <t>Ainderby Quernhow</t>
  </si>
  <si>
    <t>North YorkshireAinderby Steeple</t>
  </si>
  <si>
    <t>E2702P005</t>
  </si>
  <si>
    <t>Ainderby Steeple</t>
  </si>
  <si>
    <t>North YorkshireAirton</t>
  </si>
  <si>
    <t>E2702P006</t>
  </si>
  <si>
    <t>Airton</t>
  </si>
  <si>
    <t>North YorkshireAiskew</t>
  </si>
  <si>
    <t>E2702P007</t>
  </si>
  <si>
    <t>Aiskew</t>
  </si>
  <si>
    <t>North YorkshireAislaby</t>
  </si>
  <si>
    <t>E2702P008</t>
  </si>
  <si>
    <t>Aislaby</t>
  </si>
  <si>
    <t>North YorkshireAislaby with Middleton &amp; Wrelton</t>
  </si>
  <si>
    <t>E2702P009</t>
  </si>
  <si>
    <t>Aislaby with Middleton &amp; Wrelton</t>
  </si>
  <si>
    <t>North YorkshireAkebar</t>
  </si>
  <si>
    <t>E2702P010</t>
  </si>
  <si>
    <t>Akebar</t>
  </si>
  <si>
    <t>North YorkshireAldbrough</t>
  </si>
  <si>
    <t>E2702P011</t>
  </si>
  <si>
    <t>North YorkshireAldwark</t>
  </si>
  <si>
    <t>E2702P012</t>
  </si>
  <si>
    <t>North YorkshireAllerston &amp; Wilton</t>
  </si>
  <si>
    <t>E2702P013</t>
  </si>
  <si>
    <t>Allerston &amp; Wilton</t>
  </si>
  <si>
    <t>North YorkshireAllerton Mauleverer with Hopperton</t>
  </si>
  <si>
    <t>E2702P014</t>
  </si>
  <si>
    <t>Allerton Mauleverer with Hopperton</t>
  </si>
  <si>
    <t>North YorkshireAlne</t>
  </si>
  <si>
    <t>E2702P015</t>
  </si>
  <si>
    <t>Alne</t>
  </si>
  <si>
    <t>North YorkshireAmotherby</t>
  </si>
  <si>
    <t>E2702P016</t>
  </si>
  <si>
    <t>Amotherby</t>
  </si>
  <si>
    <t>North YorkshireAmpleforth</t>
  </si>
  <si>
    <t>E2702P017</t>
  </si>
  <si>
    <t>Ampleforth</t>
  </si>
  <si>
    <t>North YorkshireAngram Grange</t>
  </si>
  <si>
    <t>E2702P018</t>
  </si>
  <si>
    <t>Angram Grange</t>
  </si>
  <si>
    <t>North YorkshireAppleton East and West</t>
  </si>
  <si>
    <t>E2702P019</t>
  </si>
  <si>
    <t>Appleton East and West</t>
  </si>
  <si>
    <t>North YorkshireAppleton le Moors</t>
  </si>
  <si>
    <t>E2702P020</t>
  </si>
  <si>
    <t>Appleton le Moors</t>
  </si>
  <si>
    <t>North YorkshireAppleton le Street with Easthorpe</t>
  </si>
  <si>
    <t>E2702P021</t>
  </si>
  <si>
    <t>Appleton le Street with Easthorpe</t>
  </si>
  <si>
    <t>North YorkshireAppleton Roebuck (group name Appleton Roebuck and Acaster Selby)</t>
  </si>
  <si>
    <t>E2702P022</t>
  </si>
  <si>
    <t>Appleton Roebuck (group name Appleton Roebuck and Acaster Selby)</t>
  </si>
  <si>
    <t>North YorkshireAppleton Wiske</t>
  </si>
  <si>
    <t>E2702P023</t>
  </si>
  <si>
    <t>Appleton Wiske</t>
  </si>
  <si>
    <t>North YorkshireAppletreewick</t>
  </si>
  <si>
    <t>E2702P024</t>
  </si>
  <si>
    <t>Appletreewick</t>
  </si>
  <si>
    <t>North YorkshireArkendale</t>
  </si>
  <si>
    <t>E2702P025</t>
  </si>
  <si>
    <t>Arkendale</t>
  </si>
  <si>
    <t>North YorkshireArkengarthdale</t>
  </si>
  <si>
    <t>E2702P026</t>
  </si>
  <si>
    <t>Arkengarthdale</t>
  </si>
  <si>
    <t>North YorkshireArncliffe</t>
  </si>
  <si>
    <t>E2702P027</t>
  </si>
  <si>
    <t>Arncliffe</t>
  </si>
  <si>
    <t>North YorkshireArrathorne</t>
  </si>
  <si>
    <t>E2702P028</t>
  </si>
  <si>
    <t>Arrathorne</t>
  </si>
  <si>
    <t>North YorkshireAsenby</t>
  </si>
  <si>
    <t>E2702P029</t>
  </si>
  <si>
    <t>Asenby</t>
  </si>
  <si>
    <t>North YorkshireAske</t>
  </si>
  <si>
    <t>E2702P030</t>
  </si>
  <si>
    <t>Aske</t>
  </si>
  <si>
    <t>North YorkshireAskrigg</t>
  </si>
  <si>
    <t>E2702P031</t>
  </si>
  <si>
    <t>Askrigg</t>
  </si>
  <si>
    <t>North YorkshireAustwick</t>
  </si>
  <si>
    <t>E2702P032</t>
  </si>
  <si>
    <t>Austwick</t>
  </si>
  <si>
    <t>North YorkshireAysgarth</t>
  </si>
  <si>
    <t>E2702P033</t>
  </si>
  <si>
    <t>Aysgarth</t>
  </si>
  <si>
    <t>North YorkshireAzerley &amp; Winksley</t>
  </si>
  <si>
    <t>E2702P034</t>
  </si>
  <si>
    <t>Azerley &amp; Winksley</t>
  </si>
  <si>
    <t>North YorkshireBagby</t>
  </si>
  <si>
    <t>E2702P035</t>
  </si>
  <si>
    <t>Bagby</t>
  </si>
  <si>
    <t>North YorkshireBainbridge</t>
  </si>
  <si>
    <t>E2702P036</t>
  </si>
  <si>
    <t>Bainbridge</t>
  </si>
  <si>
    <t>North YorkshireBaldersby</t>
  </si>
  <si>
    <t>E2702P037</t>
  </si>
  <si>
    <t>Baldersby</t>
  </si>
  <si>
    <t>North YorkshireBalk</t>
  </si>
  <si>
    <t>E2702P038</t>
  </si>
  <si>
    <t>Balk</t>
  </si>
  <si>
    <t>North YorkshireBalne</t>
  </si>
  <si>
    <t>E2702P039</t>
  </si>
  <si>
    <t>Balne</t>
  </si>
  <si>
    <t>North YorkshireBank Newton</t>
  </si>
  <si>
    <t>E2702P040</t>
  </si>
  <si>
    <t>Bank Newton</t>
  </si>
  <si>
    <t>North YorkshireBarden (Craven)</t>
  </si>
  <si>
    <t>E2702P041</t>
  </si>
  <si>
    <t>Barden (Craven)</t>
  </si>
  <si>
    <t>North YorkshireBarden (Richmondshire)</t>
  </si>
  <si>
    <t>E2702P042</t>
  </si>
  <si>
    <t>Barden (Richmondshire)</t>
  </si>
  <si>
    <t>North YorkshireBarkston Ash</t>
  </si>
  <si>
    <t>E2702P043</t>
  </si>
  <si>
    <t>Barkston Ash</t>
  </si>
  <si>
    <t>North YorkshireBarlby with Osgodby</t>
  </si>
  <si>
    <t>E2702P044</t>
  </si>
  <si>
    <t>Barlby with Osgodby</t>
  </si>
  <si>
    <t>North YorkshireBarlow</t>
  </si>
  <si>
    <t>E2702P045</t>
  </si>
  <si>
    <t>North YorkshireBarnby (grouped with Ellerby and Mickleby)</t>
  </si>
  <si>
    <t>E2702P046</t>
  </si>
  <si>
    <t>Barnby (grouped with Ellerby and Mickleby)</t>
  </si>
  <si>
    <t>North YorkshireBarton</t>
  </si>
  <si>
    <t>E2702P047</t>
  </si>
  <si>
    <t>North YorkshireBarton le Street</t>
  </si>
  <si>
    <t>E2702P048</t>
  </si>
  <si>
    <t>Barton le Street</t>
  </si>
  <si>
    <t>North YorkshireBarton le Willows</t>
  </si>
  <si>
    <t>E2702P049</t>
  </si>
  <si>
    <t>Barton le Willows</t>
  </si>
  <si>
    <t>North YorkshireBarugh (Great and Little)</t>
  </si>
  <si>
    <t>E2702P050</t>
  </si>
  <si>
    <t>Barugh (Great and Little)</t>
  </si>
  <si>
    <t>North YorkshireBeadlam</t>
  </si>
  <si>
    <t>E2702P051</t>
  </si>
  <si>
    <t>Beadlam</t>
  </si>
  <si>
    <t>North YorkshireBeal</t>
  </si>
  <si>
    <t>E2702P052</t>
  </si>
  <si>
    <t>Beal</t>
  </si>
  <si>
    <t>North YorkshireBeamsley</t>
  </si>
  <si>
    <t>E2702P053</t>
  </si>
  <si>
    <t>Beamsley</t>
  </si>
  <si>
    <t>North YorkshireBedale</t>
  </si>
  <si>
    <t>E2702P054</t>
  </si>
  <si>
    <t>Bedale</t>
  </si>
  <si>
    <t>North YorkshireBellerby</t>
  </si>
  <si>
    <t>E2702P055</t>
  </si>
  <si>
    <t>Bellerby</t>
  </si>
  <si>
    <t>North YorkshireBeningbrough</t>
  </si>
  <si>
    <t>E2702P056</t>
  </si>
  <si>
    <t>Beningbrough</t>
  </si>
  <si>
    <t>North YorkshireBentham</t>
  </si>
  <si>
    <t>E2702P057</t>
  </si>
  <si>
    <t>Bentham</t>
  </si>
  <si>
    <t>North YorkshireBewerley</t>
  </si>
  <si>
    <t>E2702P058</t>
  </si>
  <si>
    <t>Bewerley</t>
  </si>
  <si>
    <t>North YorkshireBiggin</t>
  </si>
  <si>
    <t>E2702P059</t>
  </si>
  <si>
    <t>Biggin</t>
  </si>
  <si>
    <t>North YorkshireBilbrough</t>
  </si>
  <si>
    <t>E2702P060</t>
  </si>
  <si>
    <t>Bilbrough</t>
  </si>
  <si>
    <t>North YorkshireBilsdale Midcable</t>
  </si>
  <si>
    <t>E2702P061</t>
  </si>
  <si>
    <t>Bilsdale Midcable</t>
  </si>
  <si>
    <t>North YorkshireBilton in Ainsty with Bickerton</t>
  </si>
  <si>
    <t>E2702P062</t>
  </si>
  <si>
    <t>Bilton in Ainsty with Bickerton</t>
  </si>
  <si>
    <t>North YorkshireBirdforth</t>
  </si>
  <si>
    <t>E2702P063</t>
  </si>
  <si>
    <t>Birdforth</t>
  </si>
  <si>
    <t>North YorkshireBirdsall</t>
  </si>
  <si>
    <t>E2702P064</t>
  </si>
  <si>
    <t>Birdsall</t>
  </si>
  <si>
    <t>North YorkshireBirkby</t>
  </si>
  <si>
    <t>E2702P065</t>
  </si>
  <si>
    <t>Birkby</t>
  </si>
  <si>
    <t>North YorkshireBirkin</t>
  </si>
  <si>
    <t>E2702P066</t>
  </si>
  <si>
    <t>Birkin</t>
  </si>
  <si>
    <t>North YorkshireBirstwith</t>
  </si>
  <si>
    <t>E2702P067</t>
  </si>
  <si>
    <t>Birstwith</t>
  </si>
  <si>
    <t>North YorkshireBishop Monkton</t>
  </si>
  <si>
    <t>E2702P068</t>
  </si>
  <si>
    <t>Bishop Monkton</t>
  </si>
  <si>
    <t>North YorkshireBishop Thornton &amp; Warsill</t>
  </si>
  <si>
    <t>E2702P069</t>
  </si>
  <si>
    <t>Bishop Thornton &amp; Warsill</t>
  </si>
  <si>
    <t>North YorkshireBishopdale</t>
  </si>
  <si>
    <t>E2702P070</t>
  </si>
  <si>
    <t>Bishopdale</t>
  </si>
  <si>
    <t>North YorkshireBoltby</t>
  </si>
  <si>
    <t>E2702P071</t>
  </si>
  <si>
    <t>Boltby</t>
  </si>
  <si>
    <t>North YorkshireBolton Abbey</t>
  </si>
  <si>
    <t>E2702P072</t>
  </si>
  <si>
    <t>Bolton Abbey</t>
  </si>
  <si>
    <t>North YorkshireBolton on Swale</t>
  </si>
  <si>
    <t>E2702P073</t>
  </si>
  <si>
    <t>Bolton on Swale</t>
  </si>
  <si>
    <t>North YorkshireBolton Percy (group name Bolton Percy Colton &amp; Steeton)</t>
  </si>
  <si>
    <t>E2702P074</t>
  </si>
  <si>
    <t>Bolton Percy (group name Bolton Percy Colton &amp; Steeton)</t>
  </si>
  <si>
    <t>North YorkshireBoroughbridge</t>
  </si>
  <si>
    <t>E2702P075</t>
  </si>
  <si>
    <t>Boroughbridge</t>
  </si>
  <si>
    <t>North YorkshireBorrowby</t>
  </si>
  <si>
    <t>E2702P076</t>
  </si>
  <si>
    <t>Borrowby</t>
  </si>
  <si>
    <t>North YorkshireBorrowby (grouped with Newton Mulgrave and Roxby)</t>
  </si>
  <si>
    <t>E2702P077</t>
  </si>
  <si>
    <t>Borrowby (grouped with Newton Mulgrave and Roxby)</t>
  </si>
  <si>
    <t>North YorkshireBradleys Both</t>
  </si>
  <si>
    <t>E2702P078</t>
  </si>
  <si>
    <t>Bradleys Both</t>
  </si>
  <si>
    <t>North YorkshireBrafferton</t>
  </si>
  <si>
    <t>E2702P079</t>
  </si>
  <si>
    <t>North YorkshireBrandsby cum Stearsby</t>
  </si>
  <si>
    <t>E2702P080</t>
  </si>
  <si>
    <t>Brandsby cum Stearsby</t>
  </si>
  <si>
    <t>North YorkshireBransdale</t>
  </si>
  <si>
    <t>E2702P081</t>
  </si>
  <si>
    <t>Bransdale</t>
  </si>
  <si>
    <t>North YorkshireBrawby</t>
  </si>
  <si>
    <t>E2702P082</t>
  </si>
  <si>
    <t>Brawby</t>
  </si>
  <si>
    <t>North YorkshireBrayton</t>
  </si>
  <si>
    <t>E2702P083</t>
  </si>
  <si>
    <t>Brayton</t>
  </si>
  <si>
    <t>North YorkshireBrearton</t>
  </si>
  <si>
    <t>E2702P084</t>
  </si>
  <si>
    <t>Brearton</t>
  </si>
  <si>
    <t>North YorkshireBrompton (Hambleton)</t>
  </si>
  <si>
    <t>E2702P085</t>
  </si>
  <si>
    <t>Brompton (Hambleton)</t>
  </si>
  <si>
    <t>North YorkshireBrompton (Scarborough)</t>
  </si>
  <si>
    <t>E2702P086</t>
  </si>
  <si>
    <t>Brompton (Scarborough)</t>
  </si>
  <si>
    <t>North YorkshireBrompton on Swale</t>
  </si>
  <si>
    <t>E2702P087</t>
  </si>
  <si>
    <t>Brompton on Swale</t>
  </si>
  <si>
    <t>North YorkshireBrotherton</t>
  </si>
  <si>
    <t>E2702P088</t>
  </si>
  <si>
    <t>Brotherton</t>
  </si>
  <si>
    <t>North YorkshireBrough with St. Giles</t>
  </si>
  <si>
    <t>E2702P089</t>
  </si>
  <si>
    <t>Brough with St. Giles</t>
  </si>
  <si>
    <t>North YorkshireBroughton (Craven)</t>
  </si>
  <si>
    <t>E2702P090</t>
  </si>
  <si>
    <t>Broughton (Craven)</t>
  </si>
  <si>
    <t>North YorkshireBroughton (Ryedale)</t>
  </si>
  <si>
    <t>E2702P091</t>
  </si>
  <si>
    <t>Broughton (Ryedale)</t>
  </si>
  <si>
    <t>North YorkshireBroxa cum Troutsdale (grouped with Hackness)</t>
  </si>
  <si>
    <t>E2702P092</t>
  </si>
  <si>
    <t>Broxa cum Troutsdale (grouped with Hackness)</t>
  </si>
  <si>
    <t>North YorkshireBuckden</t>
  </si>
  <si>
    <t>E2702P093</t>
  </si>
  <si>
    <t>North YorkshireBulmer</t>
  </si>
  <si>
    <t>E2702P094</t>
  </si>
  <si>
    <t>North YorkshireBurn</t>
  </si>
  <si>
    <t>E2702P095</t>
  </si>
  <si>
    <t>Burn</t>
  </si>
  <si>
    <t>North YorkshireBurneston</t>
  </si>
  <si>
    <t>E2702P096</t>
  </si>
  <si>
    <t>Burneston</t>
  </si>
  <si>
    <t>North YorkshireBurniston</t>
  </si>
  <si>
    <t>E2702P097</t>
  </si>
  <si>
    <t>Burniston</t>
  </si>
  <si>
    <t>North YorkshireBurnsall</t>
  </si>
  <si>
    <t>E2702P098</t>
  </si>
  <si>
    <t>Burnsall</t>
  </si>
  <si>
    <t>North YorkshireBurrill with Cowling</t>
  </si>
  <si>
    <t>E2702P099</t>
  </si>
  <si>
    <t>Burrill with Cowling</t>
  </si>
  <si>
    <t>North YorkshireBurton cum Walden</t>
  </si>
  <si>
    <t>E2702P100</t>
  </si>
  <si>
    <t>Burton cum Walden</t>
  </si>
  <si>
    <t>North YorkshireBurton in Lonsdale</t>
  </si>
  <si>
    <t>E2702P101</t>
  </si>
  <si>
    <t>Burton in Lonsdale</t>
  </si>
  <si>
    <t>North YorkshireBurton Leonard</t>
  </si>
  <si>
    <t>E2702P102</t>
  </si>
  <si>
    <t>Burton Leonard</t>
  </si>
  <si>
    <t>North YorkshireBurton Salmon</t>
  </si>
  <si>
    <t>E2702P103</t>
  </si>
  <si>
    <t>Burton Salmon</t>
  </si>
  <si>
    <t>North YorkshireBurythorpe</t>
  </si>
  <si>
    <t>E2702P104</t>
  </si>
  <si>
    <t>Burythorpe</t>
  </si>
  <si>
    <t>North YorkshireButtercrambe with Bossall</t>
  </si>
  <si>
    <t>E2702P105</t>
  </si>
  <si>
    <t>Buttercrambe with Bossall</t>
  </si>
  <si>
    <t>North YorkshireByland with Wass &amp; Oldstead</t>
  </si>
  <si>
    <t>E2702P106</t>
  </si>
  <si>
    <t>Byland with Wass &amp; Oldstead</t>
  </si>
  <si>
    <t>North YorkshireByram cum Sutton</t>
  </si>
  <si>
    <t>E2702P107</t>
  </si>
  <si>
    <t>Byram cum Sutton</t>
  </si>
  <si>
    <t>North YorkshireCaldbergh with East Scrafton</t>
  </si>
  <si>
    <t>E2702P108</t>
  </si>
  <si>
    <t>Caldbergh with East Scrafton</t>
  </si>
  <si>
    <t>North YorkshireCaldwell</t>
  </si>
  <si>
    <t>E2702P109</t>
  </si>
  <si>
    <t>Caldwell</t>
  </si>
  <si>
    <t>North YorkshireCalton</t>
  </si>
  <si>
    <t>E2702P110</t>
  </si>
  <si>
    <t>Calton</t>
  </si>
  <si>
    <t>North YorkshireCamblesforth</t>
  </si>
  <si>
    <t>E2702P111</t>
  </si>
  <si>
    <t>Camblesforth</t>
  </si>
  <si>
    <t>North YorkshireCarleton</t>
  </si>
  <si>
    <t>E2702P112</t>
  </si>
  <si>
    <t>Carleton</t>
  </si>
  <si>
    <t>North YorkshireCarlton (Hambleton)</t>
  </si>
  <si>
    <t>E2702P113</t>
  </si>
  <si>
    <t>Carlton (Hambleton)</t>
  </si>
  <si>
    <t>North YorkshireCarlton (Richmondshire)</t>
  </si>
  <si>
    <t>E2702P114</t>
  </si>
  <si>
    <t>Carlton (Richmondshire)</t>
  </si>
  <si>
    <t>North YorkshireCarlton (Selby)</t>
  </si>
  <si>
    <t>E2702P115</t>
  </si>
  <si>
    <t>Carlton (Selby)</t>
  </si>
  <si>
    <t>North YorkshireCarlton Highdale</t>
  </si>
  <si>
    <t>E2702P116</t>
  </si>
  <si>
    <t>Carlton Highdale</t>
  </si>
  <si>
    <t>North YorkshireCarlton Husthwaite</t>
  </si>
  <si>
    <t>E2702P117</t>
  </si>
  <si>
    <t>Carlton Husthwaite</t>
  </si>
  <si>
    <t>North YorkshireCarlton Miniott</t>
  </si>
  <si>
    <t>E2702P118</t>
  </si>
  <si>
    <t>Carlton Miniott</t>
  </si>
  <si>
    <t>North YorkshireCarperby cum Thoresby</t>
  </si>
  <si>
    <t>E2702P119</t>
  </si>
  <si>
    <t>Carperby cum Thoresby</t>
  </si>
  <si>
    <t>North YorkshireCarthorpe</t>
  </si>
  <si>
    <t>E2702P120</t>
  </si>
  <si>
    <t>Carthorpe</t>
  </si>
  <si>
    <t>North YorkshireCastle Bolton with East and West Bolton</t>
  </si>
  <si>
    <t>E2702P121</t>
  </si>
  <si>
    <t>Castle Bolton with East and West Bolton</t>
  </si>
  <si>
    <t>North YorkshireCattall Hunsingore &amp; Walshford</t>
  </si>
  <si>
    <t>E2702P122</t>
  </si>
  <si>
    <t>Cattall Hunsingore &amp; Walshford</t>
  </si>
  <si>
    <t>North YorkshireCatterick</t>
  </si>
  <si>
    <t>E2702P123</t>
  </si>
  <si>
    <t>Catterick</t>
  </si>
  <si>
    <t>North YorkshireCatterton (group name Healaugh &amp; Catterton)</t>
  </si>
  <si>
    <t>E2702P124</t>
  </si>
  <si>
    <t>Catterton (group name Healaugh &amp; Catterton)</t>
  </si>
  <si>
    <t>North YorkshireCatton</t>
  </si>
  <si>
    <t>E2702P125</t>
  </si>
  <si>
    <t>North YorkshireCawood</t>
  </si>
  <si>
    <t>E2702P126</t>
  </si>
  <si>
    <t>Cawood</t>
  </si>
  <si>
    <t>North YorkshireCawton Coulton &amp; Grimstone</t>
  </si>
  <si>
    <t>E2702P127</t>
  </si>
  <si>
    <t>Cawton Coulton &amp; Grimstone</t>
  </si>
  <si>
    <t>North YorkshireCayton</t>
  </si>
  <si>
    <t>E2702P128</t>
  </si>
  <si>
    <t>Cayton</t>
  </si>
  <si>
    <t>North YorkshireChapel Haddlesey</t>
  </si>
  <si>
    <t>E2702P129</t>
  </si>
  <si>
    <t>Chapel Haddlesey</t>
  </si>
  <si>
    <t>North YorkshireChurch Fenton</t>
  </si>
  <si>
    <t>E2702P130</t>
  </si>
  <si>
    <t>Church Fenton</t>
  </si>
  <si>
    <t>North YorkshireClapham cum Newby</t>
  </si>
  <si>
    <t>E2702P131</t>
  </si>
  <si>
    <t>Clapham cum Newby</t>
  </si>
  <si>
    <t>North YorkshireClaxton &amp; Sand Hutton</t>
  </si>
  <si>
    <t>E2702P132</t>
  </si>
  <si>
    <t>Claxton &amp; Sand Hutton</t>
  </si>
  <si>
    <t>North YorkshireCleasby</t>
  </si>
  <si>
    <t>E2702P133</t>
  </si>
  <si>
    <t>Cleasby</t>
  </si>
  <si>
    <t>North YorkshireCliffe (Richmondshire)</t>
  </si>
  <si>
    <t>E2702P134</t>
  </si>
  <si>
    <t>Cliffe (Richmondshire)</t>
  </si>
  <si>
    <t>North YorkshireCliffe (Selby)</t>
  </si>
  <si>
    <t>E2702P135</t>
  </si>
  <si>
    <t>Cliffe (Selby)</t>
  </si>
  <si>
    <t>North YorkshireClifton on Yore</t>
  </si>
  <si>
    <t>E2702P136</t>
  </si>
  <si>
    <t>Clifton on Yore</t>
  </si>
  <si>
    <t>North YorkshireClint cum Hamlets</t>
  </si>
  <si>
    <t>E2702P137</t>
  </si>
  <si>
    <t>Clint cum Hamlets</t>
  </si>
  <si>
    <t>North YorkshireCloughton</t>
  </si>
  <si>
    <t>E2702P138</t>
  </si>
  <si>
    <t>Cloughton</t>
  </si>
  <si>
    <t>North YorkshireColburn</t>
  </si>
  <si>
    <t>E2702P139</t>
  </si>
  <si>
    <t>Colburn</t>
  </si>
  <si>
    <t>North YorkshireCold Kirby</t>
  </si>
  <si>
    <t>E2702P140</t>
  </si>
  <si>
    <t>Cold Kirby</t>
  </si>
  <si>
    <t>North YorkshireColton (group name Bolton Percy Colton &amp; Steeton)</t>
  </si>
  <si>
    <t>E2702P141</t>
  </si>
  <si>
    <t>Colton (group name Bolton Percy Colton &amp; Steeton)</t>
  </si>
  <si>
    <t>North YorkshireCommondale (grouped with Danby and Westerdale)</t>
  </si>
  <si>
    <t>E2702P142</t>
  </si>
  <si>
    <t>Commondale (grouped with Danby and Westerdale)</t>
  </si>
  <si>
    <t>North YorkshireConeysthorpe</t>
  </si>
  <si>
    <t>E2702P143</t>
  </si>
  <si>
    <t>Coneysthorpe</t>
  </si>
  <si>
    <t>North YorkshireConiston Cold</t>
  </si>
  <si>
    <t>E2702P144</t>
  </si>
  <si>
    <t>Coniston Cold</t>
  </si>
  <si>
    <t>North YorkshireConistone with Kilnsey</t>
  </si>
  <si>
    <t>E2702P145</t>
  </si>
  <si>
    <t>Conistone with Kilnsey</t>
  </si>
  <si>
    <t>North YorkshireCononley</t>
  </si>
  <si>
    <t>E2702P146</t>
  </si>
  <si>
    <t>Cononley</t>
  </si>
  <si>
    <t>North YorkshireConstable Burton</t>
  </si>
  <si>
    <t>E2702P147</t>
  </si>
  <si>
    <t>Constable Burton</t>
  </si>
  <si>
    <t>North YorkshireCotcliffe</t>
  </si>
  <si>
    <t>E2702P148</t>
  </si>
  <si>
    <t>Cotcliffe</t>
  </si>
  <si>
    <t>North YorkshireCoverham with Agglethorpe</t>
  </si>
  <si>
    <t>E2702P149</t>
  </si>
  <si>
    <t>Coverham with Agglethorpe</t>
  </si>
  <si>
    <t>North YorkshireCowesby</t>
  </si>
  <si>
    <t>E2702P150</t>
  </si>
  <si>
    <t>Cowesby</t>
  </si>
  <si>
    <t>North YorkshireCowling</t>
  </si>
  <si>
    <t>E2702P151</t>
  </si>
  <si>
    <t>Cowling</t>
  </si>
  <si>
    <t>North YorkshireCoxwold</t>
  </si>
  <si>
    <t>E2702P152</t>
  </si>
  <si>
    <t>Coxwold</t>
  </si>
  <si>
    <t>North YorkshireCracoe</t>
  </si>
  <si>
    <t>E2702P153</t>
  </si>
  <si>
    <t>Cracoe</t>
  </si>
  <si>
    <t>North YorkshireCrakehall</t>
  </si>
  <si>
    <t>E2702P154</t>
  </si>
  <si>
    <t>Crakehall</t>
  </si>
  <si>
    <t>North YorkshireCrathorne</t>
  </si>
  <si>
    <t>E2702P155</t>
  </si>
  <si>
    <t>Crathorne</t>
  </si>
  <si>
    <t>North YorkshireCrayke</t>
  </si>
  <si>
    <t>E2702P156</t>
  </si>
  <si>
    <t>Crayke</t>
  </si>
  <si>
    <t>North YorkshireCridling Stubbs</t>
  </si>
  <si>
    <t>E2702P157</t>
  </si>
  <si>
    <t>Cridling Stubbs</t>
  </si>
  <si>
    <t>North YorkshireCroft on Tees</t>
  </si>
  <si>
    <t>E2702P158</t>
  </si>
  <si>
    <t>Croft on Tees</t>
  </si>
  <si>
    <t>North YorkshireCropton</t>
  </si>
  <si>
    <t>E2702P159</t>
  </si>
  <si>
    <t>Cropton</t>
  </si>
  <si>
    <t>North YorkshireCrosby</t>
  </si>
  <si>
    <t>E2702P160</t>
  </si>
  <si>
    <t>Crosby</t>
  </si>
  <si>
    <t>North YorkshireCundall and Norton le clay</t>
  </si>
  <si>
    <t>E2702P161</t>
  </si>
  <si>
    <t>Cundall and Norton le clay</t>
  </si>
  <si>
    <t>North YorkshireDacre</t>
  </si>
  <si>
    <t>E2702P162</t>
  </si>
  <si>
    <t>North YorkshireDalby cum Skewsby</t>
  </si>
  <si>
    <t>E2702P163</t>
  </si>
  <si>
    <t>Dalby cum Skewsby</t>
  </si>
  <si>
    <t>North YorkshireDalton (Hambleton)</t>
  </si>
  <si>
    <t>E2702P164</t>
  </si>
  <si>
    <t>Dalton (Hambleton)</t>
  </si>
  <si>
    <t>North YorkshireDalton (Richmondshire)</t>
  </si>
  <si>
    <t>E2702P165</t>
  </si>
  <si>
    <t>Dalton (Richmondshire)</t>
  </si>
  <si>
    <t>North YorkshireDalton on Tees</t>
  </si>
  <si>
    <t>E2702P166</t>
  </si>
  <si>
    <t>Dalton on Tees</t>
  </si>
  <si>
    <t>North YorkshireDanby (grouped with Commondale and Westerdale)</t>
  </si>
  <si>
    <t>E2702P167</t>
  </si>
  <si>
    <t>Danby (grouped with Commondale and Westerdale)</t>
  </si>
  <si>
    <t>North YorkshireDanby Wiske with Lazenby</t>
  </si>
  <si>
    <t>E2702P168</t>
  </si>
  <si>
    <t>Danby Wiske with Lazenby</t>
  </si>
  <si>
    <t>North YorkshireDarley &amp; Menwith</t>
  </si>
  <si>
    <t>E2702P169</t>
  </si>
  <si>
    <t>Darley &amp; Menwith</t>
  </si>
  <si>
    <t>North YorkshireDarncombe cum Langdale End (grouped with Hackness)</t>
  </si>
  <si>
    <t>E2702P170</t>
  </si>
  <si>
    <t>Darncombe cum Langdale End (grouped with Hackness)</t>
  </si>
  <si>
    <t>North YorkshireDeighton</t>
  </si>
  <si>
    <t>E2702P171</t>
  </si>
  <si>
    <t>North YorkshireDishforth</t>
  </si>
  <si>
    <t>E2702P172</t>
  </si>
  <si>
    <t>Dishforth</t>
  </si>
  <si>
    <t>North YorkshireDownholme</t>
  </si>
  <si>
    <t>E2702P173</t>
  </si>
  <si>
    <t>Downholme</t>
  </si>
  <si>
    <t>North YorkshireDraughton</t>
  </si>
  <si>
    <t>E2702P174</t>
  </si>
  <si>
    <t>Draughton</t>
  </si>
  <si>
    <t>North YorkshireDrax</t>
  </si>
  <si>
    <t>E2702P175</t>
  </si>
  <si>
    <t>Drax</t>
  </si>
  <si>
    <t>North YorkshireDunsforths</t>
  </si>
  <si>
    <t>E2702P176</t>
  </si>
  <si>
    <t>Dunsforths</t>
  </si>
  <si>
    <t>North YorkshireEasby (Hambleton)</t>
  </si>
  <si>
    <t>E2702P177</t>
  </si>
  <si>
    <t>Easby (Hambleton)</t>
  </si>
  <si>
    <t>North YorkshireEasby (Richmondshire)</t>
  </si>
  <si>
    <t>E2702P178</t>
  </si>
  <si>
    <t>Easby (Richmondshire)</t>
  </si>
  <si>
    <t>North YorkshireEasingwold</t>
  </si>
  <si>
    <t>E2702P179</t>
  </si>
  <si>
    <t>Easingwold</t>
  </si>
  <si>
    <t>North YorkshireEast Ayton</t>
  </si>
  <si>
    <t>E2702P180</t>
  </si>
  <si>
    <t>East Ayton</t>
  </si>
  <si>
    <t>North YorkshireEast Cowton</t>
  </si>
  <si>
    <t>E2702P181</t>
  </si>
  <si>
    <t>East Cowton</t>
  </si>
  <si>
    <t>North YorkshireEast Harlsey</t>
  </si>
  <si>
    <t>E2702P182</t>
  </si>
  <si>
    <t>East Harlsey</t>
  </si>
  <si>
    <t>North YorkshireEast Hauxwell</t>
  </si>
  <si>
    <t>E2702P183</t>
  </si>
  <si>
    <t>East Hauxwell</t>
  </si>
  <si>
    <t>North YorkshireEast Layton</t>
  </si>
  <si>
    <t>E2702P184</t>
  </si>
  <si>
    <t>East Layton</t>
  </si>
  <si>
    <t>North YorkshireEast Rounton</t>
  </si>
  <si>
    <t>E2702P185</t>
  </si>
  <si>
    <t>East Rounton</t>
  </si>
  <si>
    <t>North YorkshireEast Tanfield</t>
  </si>
  <si>
    <t>E2702P186</t>
  </si>
  <si>
    <t>East Tanfield</t>
  </si>
  <si>
    <t>North YorkshireEast Witton</t>
  </si>
  <si>
    <t>E2702P187</t>
  </si>
  <si>
    <t>East Witton</t>
  </si>
  <si>
    <t>North YorkshireEastfield</t>
  </si>
  <si>
    <t>E2702P188</t>
  </si>
  <si>
    <t>Eastfield</t>
  </si>
  <si>
    <t>North YorkshireEbberston and Yedingham</t>
  </si>
  <si>
    <t>E2702P189</t>
  </si>
  <si>
    <t>Ebberston and Yedingham</t>
  </si>
  <si>
    <t>North YorkshireEdstone</t>
  </si>
  <si>
    <t>E2702P190</t>
  </si>
  <si>
    <t>Edstone</t>
  </si>
  <si>
    <t>North YorkshireEggborough</t>
  </si>
  <si>
    <t>E2702P191</t>
  </si>
  <si>
    <t>Eggborough</t>
  </si>
  <si>
    <t>North YorkshireEgton</t>
  </si>
  <si>
    <t>E2702P192</t>
  </si>
  <si>
    <t>Egton</t>
  </si>
  <si>
    <t>North YorkshireEldmire with Crakehill</t>
  </si>
  <si>
    <t>E2702P193</t>
  </si>
  <si>
    <t>Eldmire with Crakehill</t>
  </si>
  <si>
    <t>North YorkshireEllerbeck</t>
  </si>
  <si>
    <t>E2702P194</t>
  </si>
  <si>
    <t>Ellerbeck</t>
  </si>
  <si>
    <t>North YorkshireEllerby (grouped with Barnby and Mickleby)</t>
  </si>
  <si>
    <t>E2702P195</t>
  </si>
  <si>
    <t>Ellerby (grouped with Barnby and Mickleby)</t>
  </si>
  <si>
    <t>North YorkshireEllerton Abbey</t>
  </si>
  <si>
    <t>E2702P196</t>
  </si>
  <si>
    <t>Ellerton Abbey</t>
  </si>
  <si>
    <t>North YorkshireEllerton on Swale</t>
  </si>
  <si>
    <t>E2702P197</t>
  </si>
  <si>
    <t>Ellerton on Swale</t>
  </si>
  <si>
    <t>North YorkshireElslack</t>
  </si>
  <si>
    <t>E2702P198</t>
  </si>
  <si>
    <t>Elslack</t>
  </si>
  <si>
    <t>North YorkshireEmbsay with Eastby</t>
  </si>
  <si>
    <t>E2702P199</t>
  </si>
  <si>
    <t>Embsay with Eastby</t>
  </si>
  <si>
    <t>North YorkshireEppleby</t>
  </si>
  <si>
    <t>E2702P200</t>
  </si>
  <si>
    <t>Eppleby</t>
  </si>
  <si>
    <t>North YorkshireEryholme</t>
  </si>
  <si>
    <t>E2702P201</t>
  </si>
  <si>
    <t>Eryholme</t>
  </si>
  <si>
    <t>North YorkshireEscrick</t>
  </si>
  <si>
    <t>E2702P202</t>
  </si>
  <si>
    <t>Escrick</t>
  </si>
  <si>
    <t>North YorkshireEshton</t>
  </si>
  <si>
    <t>E2702P203</t>
  </si>
  <si>
    <t>Eshton</t>
  </si>
  <si>
    <t>North YorkshireEskdaleside cum Ugglebarnby</t>
  </si>
  <si>
    <t>E2702P204</t>
  </si>
  <si>
    <t>Eskdaleside cum Ugglebarnby</t>
  </si>
  <si>
    <t>North YorkshireExelby Leeming and Newton</t>
  </si>
  <si>
    <t>E2702P205</t>
  </si>
  <si>
    <t>Exelby Leeming and Newton</t>
  </si>
  <si>
    <t>North YorkshireFaceby</t>
  </si>
  <si>
    <t>E2702P206</t>
  </si>
  <si>
    <t>Faceby</t>
  </si>
  <si>
    <t>North YorkshireFadmoor</t>
  </si>
  <si>
    <t>E2702P207</t>
  </si>
  <si>
    <t>Fadmoor</t>
  </si>
  <si>
    <t>North YorkshireFairburn</t>
  </si>
  <si>
    <t>E2702P208</t>
  </si>
  <si>
    <t>Fairburn</t>
  </si>
  <si>
    <t>North YorkshireFarlington</t>
  </si>
  <si>
    <t>E2702P209</t>
  </si>
  <si>
    <t>Farlington</t>
  </si>
  <si>
    <t>North YorkshireFarndale East</t>
  </si>
  <si>
    <t>E2702P210</t>
  </si>
  <si>
    <t>Farndale East</t>
  </si>
  <si>
    <t>North YorkshireFarndale West</t>
  </si>
  <si>
    <t>E2702P211</t>
  </si>
  <si>
    <t>Farndale West</t>
  </si>
  <si>
    <t>North YorkshireFarnham</t>
  </si>
  <si>
    <t>E2702P212</t>
  </si>
  <si>
    <t>North YorkshireFarnhill</t>
  </si>
  <si>
    <t>E2702P213</t>
  </si>
  <si>
    <t>Farnhill</t>
  </si>
  <si>
    <t>North YorkshireFawdington</t>
  </si>
  <si>
    <t>E2702P214</t>
  </si>
  <si>
    <t>Fawdington</t>
  </si>
  <si>
    <t>North YorkshireFearby Healey &amp; District</t>
  </si>
  <si>
    <t>E2702P215</t>
  </si>
  <si>
    <t>Fearby Healey &amp; District</t>
  </si>
  <si>
    <t>North YorkshireFelixkirk</t>
  </si>
  <si>
    <t>E2702P216</t>
  </si>
  <si>
    <t>Felixkirk</t>
  </si>
  <si>
    <t>North YorkshireFelliscliffe</t>
  </si>
  <si>
    <t>E2702P217</t>
  </si>
  <si>
    <t>Felliscliffe</t>
  </si>
  <si>
    <t>North YorkshireFerrensby</t>
  </si>
  <si>
    <t>E2702P218</t>
  </si>
  <si>
    <t>Ferrensby</t>
  </si>
  <si>
    <t>North YorkshireFiley</t>
  </si>
  <si>
    <t>E2702P219</t>
  </si>
  <si>
    <t>Filey</t>
  </si>
  <si>
    <t>North YorkshireFinghall</t>
  </si>
  <si>
    <t>E2702P220</t>
  </si>
  <si>
    <t>Finghall</t>
  </si>
  <si>
    <t>North YorkshireFirby</t>
  </si>
  <si>
    <t>E2702P221</t>
  </si>
  <si>
    <t>Firby</t>
  </si>
  <si>
    <t>North YorkshireFlasby with Winterburn</t>
  </si>
  <si>
    <t>E2702P222</t>
  </si>
  <si>
    <t>Flasby with Winterburn</t>
  </si>
  <si>
    <t>North YorkshireFlawith</t>
  </si>
  <si>
    <t>E2702P223</t>
  </si>
  <si>
    <t>Flawith</t>
  </si>
  <si>
    <t>North YorkshireFlaxton</t>
  </si>
  <si>
    <t>E2702P224</t>
  </si>
  <si>
    <t>Flaxton</t>
  </si>
  <si>
    <t>North YorkshireFolkton</t>
  </si>
  <si>
    <t>E2702P225</t>
  </si>
  <si>
    <t>Folkton</t>
  </si>
  <si>
    <t>North YorkshireFollifoot</t>
  </si>
  <si>
    <t>E2702P226</t>
  </si>
  <si>
    <t>Follifoot</t>
  </si>
  <si>
    <t>North YorkshireForcett and Carkin</t>
  </si>
  <si>
    <t>E2702P227</t>
  </si>
  <si>
    <t>Forcett and Carkin</t>
  </si>
  <si>
    <t>North YorkshireFoston &amp; Thornton le Clay</t>
  </si>
  <si>
    <t>E2702P228</t>
  </si>
  <si>
    <t>Foston &amp; Thornton le Clay</t>
  </si>
  <si>
    <t>North YorkshireFountains Abbey</t>
  </si>
  <si>
    <t>E2702P229</t>
  </si>
  <si>
    <t>Fountains Abbey</t>
  </si>
  <si>
    <t>North YorkshireFoxholes</t>
  </si>
  <si>
    <t>E2702P230</t>
  </si>
  <si>
    <t>Foxholes</t>
  </si>
  <si>
    <t>North YorkshireFylingdales (grouped with Lands common to Fylingdales and Hawsker cum Stainsacre)</t>
  </si>
  <si>
    <t>E2702P231</t>
  </si>
  <si>
    <t>Fylingdales (grouped with Lands common to Fylingdales and Hawsker cum Stainsacre)</t>
  </si>
  <si>
    <t>North YorkshireGanton</t>
  </si>
  <si>
    <t>E2702P232</t>
  </si>
  <si>
    <t>Ganton</t>
  </si>
  <si>
    <t>North YorkshireGargrave</t>
  </si>
  <si>
    <t>E2702P233</t>
  </si>
  <si>
    <t>Gargrave</t>
  </si>
  <si>
    <t>North YorkshireGarriston</t>
  </si>
  <si>
    <t>E2702P234</t>
  </si>
  <si>
    <t>Garriston</t>
  </si>
  <si>
    <t>North YorkshireGate Helmsley &amp; Upper Helmsley</t>
  </si>
  <si>
    <t>E2702P235</t>
  </si>
  <si>
    <t>Gate Helmsley &amp; Upper Helmsley</t>
  </si>
  <si>
    <t>North YorkshireGateforth</t>
  </si>
  <si>
    <t>E2702P236</t>
  </si>
  <si>
    <t>Gateforth</t>
  </si>
  <si>
    <t>North YorkshireGatenby</t>
  </si>
  <si>
    <t>E2702P237</t>
  </si>
  <si>
    <t>Gatenby</t>
  </si>
  <si>
    <t>North YorkshireGayles</t>
  </si>
  <si>
    <t>E2702P238</t>
  </si>
  <si>
    <t>Gayles</t>
  </si>
  <si>
    <t>North YorkshireGiggleswick</t>
  </si>
  <si>
    <t>E2702P239</t>
  </si>
  <si>
    <t>Giggleswick</t>
  </si>
  <si>
    <t>North YorkshireGillamoor</t>
  </si>
  <si>
    <t>E2702P240</t>
  </si>
  <si>
    <t>Gillamoor</t>
  </si>
  <si>
    <t>North YorkshireGilling East</t>
  </si>
  <si>
    <t>E2702P241</t>
  </si>
  <si>
    <t>Gilling East</t>
  </si>
  <si>
    <t>North YorkshireGilling with Hartforth and Sedbury</t>
  </si>
  <si>
    <t>E2702P242</t>
  </si>
  <si>
    <t>Gilling with Hartforth and Sedbury</t>
  </si>
  <si>
    <t>North YorkshireGirsby</t>
  </si>
  <si>
    <t>E2702P243</t>
  </si>
  <si>
    <t>Girsby</t>
  </si>
  <si>
    <t>North YorkshireGlaisdale</t>
  </si>
  <si>
    <t>E2702P244</t>
  </si>
  <si>
    <t>Glaisdale</t>
  </si>
  <si>
    <t>North YorkshireGlusburn and Cross Hills</t>
  </si>
  <si>
    <t>E2702P245</t>
  </si>
  <si>
    <t>Glusburn and Cross Hills</t>
  </si>
  <si>
    <t>North YorkshireGoathland</t>
  </si>
  <si>
    <t>E2702P246</t>
  </si>
  <si>
    <t>Goathland</t>
  </si>
  <si>
    <t>North YorkshireGolsborough &amp; Flaxby</t>
  </si>
  <si>
    <t>E2702P247</t>
  </si>
  <si>
    <t>Golsborough &amp; Flaxby</t>
  </si>
  <si>
    <t>North YorkshireGrantley &amp; Sawley</t>
  </si>
  <si>
    <t>E2702P248</t>
  </si>
  <si>
    <t>Grantley &amp; Sawley</t>
  </si>
  <si>
    <t>North YorkshireGrassington</t>
  </si>
  <si>
    <t>E2702P249</t>
  </si>
  <si>
    <t>Grassington</t>
  </si>
  <si>
    <t>North YorkshireGreat and Little Broughton</t>
  </si>
  <si>
    <t>E2702P250</t>
  </si>
  <si>
    <t>Great and Little Broughton</t>
  </si>
  <si>
    <t>North YorkshireGreat Ayton</t>
  </si>
  <si>
    <t>E2702P251</t>
  </si>
  <si>
    <t>Great Ayton</t>
  </si>
  <si>
    <t>North YorkshireGreat Busby</t>
  </si>
  <si>
    <t>E2702P252</t>
  </si>
  <si>
    <t>Great Busby</t>
  </si>
  <si>
    <t>North YorkshireGreat Langton</t>
  </si>
  <si>
    <t>E2702P253</t>
  </si>
  <si>
    <t>Great Langton</t>
  </si>
  <si>
    <t>North YorkshireGreat Ouseburn</t>
  </si>
  <si>
    <t>E2702P254</t>
  </si>
  <si>
    <t>Great Ouseburn</t>
  </si>
  <si>
    <t>North YorkshireGreat Smeaton</t>
  </si>
  <si>
    <t>E2702P255</t>
  </si>
  <si>
    <t>Great Smeaton</t>
  </si>
  <si>
    <t>North YorkshireGreen Hammerton</t>
  </si>
  <si>
    <t>E2702P256</t>
  </si>
  <si>
    <t>Green Hammerton</t>
  </si>
  <si>
    <t>North YorkshireGrewelthorpe</t>
  </si>
  <si>
    <t>E2702P257</t>
  </si>
  <si>
    <t>Grewelthorpe</t>
  </si>
  <si>
    <t>North YorkshireGrimston (group name Grimston Kirby Wharfe &amp; Towton)</t>
  </si>
  <si>
    <t>E2702P258</t>
  </si>
  <si>
    <t>Grimston (group name Grimston Kirby Wharfe &amp; Towton)</t>
  </si>
  <si>
    <t>North YorkshireGrinton</t>
  </si>
  <si>
    <t>E2702P259</t>
  </si>
  <si>
    <t>Grinton</t>
  </si>
  <si>
    <t>North YorkshireGristhorpe (grouped with Lebberston)</t>
  </si>
  <si>
    <t>E2702P260</t>
  </si>
  <si>
    <t>Gristhorpe (grouped with Lebberston)</t>
  </si>
  <si>
    <t>North YorkshireGrosmont</t>
  </si>
  <si>
    <t>E2702P261</t>
  </si>
  <si>
    <t>Grosmont</t>
  </si>
  <si>
    <t>North YorkshireHabton</t>
  </si>
  <si>
    <t>E2702P262</t>
  </si>
  <si>
    <t>Habton</t>
  </si>
  <si>
    <t>North YorkshireHackforth</t>
  </si>
  <si>
    <t>E2702P263</t>
  </si>
  <si>
    <t>Hackforth</t>
  </si>
  <si>
    <t>North YorkshireHackness (grouped with Harwood Dale)</t>
  </si>
  <si>
    <t>E2702P264</t>
  </si>
  <si>
    <t>Hackness (grouped with Harwood Dale)</t>
  </si>
  <si>
    <t>North YorkshireHalton East</t>
  </si>
  <si>
    <t>E2702P265</t>
  </si>
  <si>
    <t>Halton East</t>
  </si>
  <si>
    <t>North YorkshireHalton Gill</t>
  </si>
  <si>
    <t>E2702P266</t>
  </si>
  <si>
    <t>Halton Gill</t>
  </si>
  <si>
    <t>North YorkshireHalton West (Ribble Banks Group)</t>
  </si>
  <si>
    <t>E2702P267</t>
  </si>
  <si>
    <t>Halton West (Ribble Banks Group)</t>
  </si>
  <si>
    <t>North YorkshireHampsthwaite</t>
  </si>
  <si>
    <t>E2702P268</t>
  </si>
  <si>
    <t>Hampsthwaite</t>
  </si>
  <si>
    <t>North YorkshireHanlith (Kirkby Malhamdale Group)</t>
  </si>
  <si>
    <t>E2702P269</t>
  </si>
  <si>
    <t>Hanlith (Kirkby Malhamdale Group)</t>
  </si>
  <si>
    <t>North YorkshireHarmby</t>
  </si>
  <si>
    <t>E2702P270</t>
  </si>
  <si>
    <t>Harmby</t>
  </si>
  <si>
    <t>North YorkshireHarome</t>
  </si>
  <si>
    <t>E2702P271</t>
  </si>
  <si>
    <t>Harome</t>
  </si>
  <si>
    <t>North YorkshireHartlington</t>
  </si>
  <si>
    <t>E2702P272</t>
  </si>
  <si>
    <t>Hartlington</t>
  </si>
  <si>
    <t>North YorkshireHartoft</t>
  </si>
  <si>
    <t>E2702P273</t>
  </si>
  <si>
    <t>Hartoft</t>
  </si>
  <si>
    <t>North YorkshireHarton</t>
  </si>
  <si>
    <t>E2702P274</t>
  </si>
  <si>
    <t>Harton</t>
  </si>
  <si>
    <t>North YorkshireHartwith cum Winsley</t>
  </si>
  <si>
    <t>E2702P275</t>
  </si>
  <si>
    <t>Hartwith cum Winsley</t>
  </si>
  <si>
    <t>North YorkshireHarwood Dale (grouped with Hackness)</t>
  </si>
  <si>
    <t>E2702P276</t>
  </si>
  <si>
    <t>Harwood Dale (grouped with Hackness)</t>
  </si>
  <si>
    <t>North YorkshireHaverah Park</t>
  </si>
  <si>
    <t>E2702P277</t>
  </si>
  <si>
    <t>Haverah Park</t>
  </si>
  <si>
    <t>North YorkshireHawes</t>
  </si>
  <si>
    <t>E2702P278</t>
  </si>
  <si>
    <t>Hawes</t>
  </si>
  <si>
    <t>North YorkshireHawkswick</t>
  </si>
  <si>
    <t>E2702P279</t>
  </si>
  <si>
    <t>Hawkswick</t>
  </si>
  <si>
    <t>North YorkshireHawnby</t>
  </si>
  <si>
    <t>E2702P280</t>
  </si>
  <si>
    <t>Hawnby</t>
  </si>
  <si>
    <t>North YorkshireHawsker cum Stainsacre</t>
  </si>
  <si>
    <t>E2702P281</t>
  </si>
  <si>
    <t>Hawsker cum Stainsacre</t>
  </si>
  <si>
    <t>North YorkshireHazlewood with Storiths</t>
  </si>
  <si>
    <t>E2702P282</t>
  </si>
  <si>
    <t>Hazlewood with Storiths</t>
  </si>
  <si>
    <t>North YorkshireHealaugh (group name Healaugh &amp; Catterton)</t>
  </si>
  <si>
    <t>E2702P283</t>
  </si>
  <si>
    <t>Healaugh (group name Healaugh &amp; Catterton)</t>
  </si>
  <si>
    <t>North YorkshireHebden</t>
  </si>
  <si>
    <t>E2702P284</t>
  </si>
  <si>
    <t>Hebden</t>
  </si>
  <si>
    <t>North YorkshireHeck</t>
  </si>
  <si>
    <t>E2702P285</t>
  </si>
  <si>
    <t>Heck</t>
  </si>
  <si>
    <t>North YorkshireHellifield</t>
  </si>
  <si>
    <t>E2702P286</t>
  </si>
  <si>
    <t>Hellifield</t>
  </si>
  <si>
    <t>North YorkshireHelmsley</t>
  </si>
  <si>
    <t>E2702P287</t>
  </si>
  <si>
    <t>Helmsley</t>
  </si>
  <si>
    <t>North YorkshireHelperby</t>
  </si>
  <si>
    <t>E2702P288</t>
  </si>
  <si>
    <t>Helperby</t>
  </si>
  <si>
    <t>North YorkshireHemingbrough</t>
  </si>
  <si>
    <t>E2702P289</t>
  </si>
  <si>
    <t>Hemingbrough</t>
  </si>
  <si>
    <t>North YorkshireHenderskelfe</t>
  </si>
  <si>
    <t>E2702P290</t>
  </si>
  <si>
    <t>Henderskelfe</t>
  </si>
  <si>
    <t>North YorkshireHensall</t>
  </si>
  <si>
    <t>E2702P291</t>
  </si>
  <si>
    <t>Hensall</t>
  </si>
  <si>
    <t>North YorkshireHeslerton</t>
  </si>
  <si>
    <t>E2702P292</t>
  </si>
  <si>
    <t>Heslerton</t>
  </si>
  <si>
    <t>North YorkshireHetton cum Bordley</t>
  </si>
  <si>
    <t>E2702P293</t>
  </si>
  <si>
    <t>Hetton cum Bordley</t>
  </si>
  <si>
    <t>North YorkshireHewick &amp; Hutton</t>
  </si>
  <si>
    <t>E2702P294</t>
  </si>
  <si>
    <t>Hewick &amp; Hutton</t>
  </si>
  <si>
    <t>North YorkshireHigh Abbotside</t>
  </si>
  <si>
    <t>E2702P295</t>
  </si>
  <si>
    <t>High Abbotside</t>
  </si>
  <si>
    <t>North YorkshireHigh and Low Bishopside</t>
  </si>
  <si>
    <t>E2702P296</t>
  </si>
  <si>
    <t>High and Low Bishopside</t>
  </si>
  <si>
    <t>North YorkshireHigh Worsall</t>
  </si>
  <si>
    <t>E2702P297</t>
  </si>
  <si>
    <t>High Worsall</t>
  </si>
  <si>
    <t>North YorkshireHillam</t>
  </si>
  <si>
    <t>E2702P298</t>
  </si>
  <si>
    <t>Hillam</t>
  </si>
  <si>
    <t>North YorkshireHinderwell</t>
  </si>
  <si>
    <t>E2702P299</t>
  </si>
  <si>
    <t>Hinderwell</t>
  </si>
  <si>
    <t>North YorkshireHipswell</t>
  </si>
  <si>
    <t>E2702P300</t>
  </si>
  <si>
    <t>Hipswell</t>
  </si>
  <si>
    <t>North YorkshireHirst Courtney</t>
  </si>
  <si>
    <t>E2702P301</t>
  </si>
  <si>
    <t>Hirst Courtney</t>
  </si>
  <si>
    <t>North YorkshireHolme</t>
  </si>
  <si>
    <t>E2702P302</t>
  </si>
  <si>
    <t>North YorkshireHood Grange</t>
  </si>
  <si>
    <t>E2702P303</t>
  </si>
  <si>
    <t>Hood Grange</t>
  </si>
  <si>
    <t>North YorkshireHornby (Hambleton)</t>
  </si>
  <si>
    <t>E2702P304</t>
  </si>
  <si>
    <t>Hornby (Hambleton)</t>
  </si>
  <si>
    <t>North YorkshireHornby (Richmondshire)</t>
  </si>
  <si>
    <t>E2702P305</t>
  </si>
  <si>
    <t>Hornby (Richmondshire)</t>
  </si>
  <si>
    <t>North YorkshireHorton in Ribblesdale</t>
  </si>
  <si>
    <t>E2702P306</t>
  </si>
  <si>
    <t>Horton in Ribblesdale</t>
  </si>
  <si>
    <t>North YorkshireHovingham &amp; Scackleton</t>
  </si>
  <si>
    <t>E2702P307</t>
  </si>
  <si>
    <t>Hovingham &amp; Scackleton</t>
  </si>
  <si>
    <t>North YorkshireHowe</t>
  </si>
  <si>
    <t>E2702P308</t>
  </si>
  <si>
    <t>North YorkshireHowgrave</t>
  </si>
  <si>
    <t>E2702P309</t>
  </si>
  <si>
    <t>Howgrave</t>
  </si>
  <si>
    <t>North YorkshireHowsham</t>
  </si>
  <si>
    <t>E2702P310</t>
  </si>
  <si>
    <t>Howsham</t>
  </si>
  <si>
    <t>North YorkshireHuby</t>
  </si>
  <si>
    <t>E2702P311</t>
  </si>
  <si>
    <t>Huby</t>
  </si>
  <si>
    <t>North YorkshireHuddleston with Newthorpe</t>
  </si>
  <si>
    <t>E2702P312</t>
  </si>
  <si>
    <t>Huddleston with Newthorpe</t>
  </si>
  <si>
    <t>North YorkshireHudswell</t>
  </si>
  <si>
    <t>E2702P313</t>
  </si>
  <si>
    <t>Hudswell</t>
  </si>
  <si>
    <t>North YorkshireHunmanby</t>
  </si>
  <si>
    <t>E2702P314</t>
  </si>
  <si>
    <t>Hunmanby</t>
  </si>
  <si>
    <t>North YorkshireHunton</t>
  </si>
  <si>
    <t>E2702P315</t>
  </si>
  <si>
    <t>North YorkshireHusthwaite</t>
  </si>
  <si>
    <t>E2702P316</t>
  </si>
  <si>
    <t>Husthwaite</t>
  </si>
  <si>
    <t>North YorkshireHutton Bonville</t>
  </si>
  <si>
    <t>E2702P317</t>
  </si>
  <si>
    <t>Hutton Bonville</t>
  </si>
  <si>
    <t>North YorkshireHutton Buscel</t>
  </si>
  <si>
    <t>E2702P318</t>
  </si>
  <si>
    <t>Hutton Buscel</t>
  </si>
  <si>
    <t>North YorkshireHutton Hang</t>
  </si>
  <si>
    <t>E2702P319</t>
  </si>
  <si>
    <t>Hutton Hang</t>
  </si>
  <si>
    <t>North YorkshireHutton le Hole</t>
  </si>
  <si>
    <t>E2702P320</t>
  </si>
  <si>
    <t>Hutton le Hole</t>
  </si>
  <si>
    <t>North YorkshireHutton Mulgrave (grouped with Ugthorpe)</t>
  </si>
  <si>
    <t>E2702P321</t>
  </si>
  <si>
    <t>Hutton Mulgrave (grouped with Ugthorpe)</t>
  </si>
  <si>
    <t>North YorkshireHutton Rudby</t>
  </si>
  <si>
    <t>E2702P322</t>
  </si>
  <si>
    <t>Hutton Rudby</t>
  </si>
  <si>
    <t>North YorkshireHutton Sessay</t>
  </si>
  <si>
    <t>E2702P323</t>
  </si>
  <si>
    <t>Hutton Sessay</t>
  </si>
  <si>
    <t>North YorkshireHuttons Ambo</t>
  </si>
  <si>
    <t>E2702P324</t>
  </si>
  <si>
    <t>Huttons Ambo</t>
  </si>
  <si>
    <t>North YorkshireIngleby Arncliffe</t>
  </si>
  <si>
    <t>E2702P325</t>
  </si>
  <si>
    <t>Ingleby Arncliffe</t>
  </si>
  <si>
    <t>North YorkshireIngleby Greenhow</t>
  </si>
  <si>
    <t>E2702P326</t>
  </si>
  <si>
    <t>Ingleby Greenhow</t>
  </si>
  <si>
    <t>North YorkshireIngleton</t>
  </si>
  <si>
    <t>E2702P327</t>
  </si>
  <si>
    <t>North YorkshireIrton</t>
  </si>
  <si>
    <t>E2702P328</t>
  </si>
  <si>
    <t>Irton</t>
  </si>
  <si>
    <t>North YorkshireKearby with Netherby</t>
  </si>
  <si>
    <t>E2702P329</t>
  </si>
  <si>
    <t>Kearby with Netherby</t>
  </si>
  <si>
    <t>North YorkshireKelfield</t>
  </si>
  <si>
    <t>E2702P330</t>
  </si>
  <si>
    <t>Kelfield</t>
  </si>
  <si>
    <t>North YorkshireKellington</t>
  </si>
  <si>
    <t>E2702P331</t>
  </si>
  <si>
    <t>Kellington</t>
  </si>
  <si>
    <t>North YorkshireKepwick</t>
  </si>
  <si>
    <t>E2702P332</t>
  </si>
  <si>
    <t>Kepwick</t>
  </si>
  <si>
    <t>North YorkshireKettlewell with Starbotton</t>
  </si>
  <si>
    <t>E2702P333</t>
  </si>
  <si>
    <t>Kettlewell with Starbotton</t>
  </si>
  <si>
    <t>North YorkshireKilburn High and Low</t>
  </si>
  <si>
    <t>E2702P334</t>
  </si>
  <si>
    <t>Kilburn High and Low</t>
  </si>
  <si>
    <t>North YorkshireKildale</t>
  </si>
  <si>
    <t>E2702P335</t>
  </si>
  <si>
    <t>Kildale</t>
  </si>
  <si>
    <t>North YorkshireKildwick</t>
  </si>
  <si>
    <t>E2702P336</t>
  </si>
  <si>
    <t>Kildwick</t>
  </si>
  <si>
    <t>North YorkshireKillerby</t>
  </si>
  <si>
    <t>E2702P337</t>
  </si>
  <si>
    <t>North YorkshireKillinghall</t>
  </si>
  <si>
    <t>E2702P338</t>
  </si>
  <si>
    <t>Killinghall</t>
  </si>
  <si>
    <t>North YorkshireKiplin</t>
  </si>
  <si>
    <t>E2702P339</t>
  </si>
  <si>
    <t>Kiplin</t>
  </si>
  <si>
    <t>North YorkshireKirby Grindalythe</t>
  </si>
  <si>
    <t>E2702P340</t>
  </si>
  <si>
    <t>Kirby Grindalythe</t>
  </si>
  <si>
    <t>North YorkshireKirby Hill (Richmondshire)</t>
  </si>
  <si>
    <t>E2702P341</t>
  </si>
  <si>
    <t>Kirby Hill (Richmondshire)</t>
  </si>
  <si>
    <t>North YorkshireKirby Hill (Harrogate)</t>
  </si>
  <si>
    <t>E2702P342</t>
  </si>
  <si>
    <t>Kirby Hill (Harrogate)</t>
  </si>
  <si>
    <t>North YorkshireKirby Knowle</t>
  </si>
  <si>
    <t>E2702P343</t>
  </si>
  <si>
    <t>Kirby Knowle</t>
  </si>
  <si>
    <t>North YorkshireKirby Misperton</t>
  </si>
  <si>
    <t>E2702P344</t>
  </si>
  <si>
    <t>Kirby Misperton</t>
  </si>
  <si>
    <t>North YorkshireKirby Sigston</t>
  </si>
  <si>
    <t>E2702P345</t>
  </si>
  <si>
    <t>Kirby Sigston</t>
  </si>
  <si>
    <t>North YorkshireKirby Wiske</t>
  </si>
  <si>
    <t>E2702P346</t>
  </si>
  <si>
    <t>Kirby Wiske</t>
  </si>
  <si>
    <t>North YorkshireKirk Deighton</t>
  </si>
  <si>
    <t>E2702P347</t>
  </si>
  <si>
    <t>Kirk Deighton</t>
  </si>
  <si>
    <t>North YorkshireKirk Hammerton</t>
  </si>
  <si>
    <t>E2702P348</t>
  </si>
  <si>
    <t>Kirk Hammerton</t>
  </si>
  <si>
    <t>North YorkshireKirk Smeaton</t>
  </si>
  <si>
    <t>E2702P349</t>
  </si>
  <si>
    <t>Kirk Smeaton</t>
  </si>
  <si>
    <t>North YorkshireKirkby</t>
  </si>
  <si>
    <t>E2702P350</t>
  </si>
  <si>
    <t>Kirkby</t>
  </si>
  <si>
    <t>North YorkshireKirkby Fleetham with Fencote</t>
  </si>
  <si>
    <t>E2702P351</t>
  </si>
  <si>
    <t>Kirkby Fleetham with Fencote</t>
  </si>
  <si>
    <t>North YorkshireKirkby Malham (Kirkby Malhamdale Group)</t>
  </si>
  <si>
    <t>E2702P352</t>
  </si>
  <si>
    <t>Kirkby Malham (Kirkby Malhamdale Group)</t>
  </si>
  <si>
    <t>North YorkshireKirkby Malzeard</t>
  </si>
  <si>
    <t>E2702P353</t>
  </si>
  <si>
    <t>Kirkby Malzeard</t>
  </si>
  <si>
    <t>North YorkshireKirkby Overblow</t>
  </si>
  <si>
    <t>E2702P354</t>
  </si>
  <si>
    <t>Kirkby Overblow</t>
  </si>
  <si>
    <t>North YorkshireKirkby Wharfe with North Milford (group name Grimston Kirby Wharfe &amp; Towton)</t>
  </si>
  <si>
    <t>E2702P355</t>
  </si>
  <si>
    <t>Kirkby Wharfe with North Milford (group name Grimston Kirby Wharfe &amp; Towton)</t>
  </si>
  <si>
    <t>North YorkshireKirkbymoorside</t>
  </si>
  <si>
    <t>E2702P356</t>
  </si>
  <si>
    <t>Kirkbymoorside</t>
  </si>
  <si>
    <t>North YorkshireKirklington cum Upsland</t>
  </si>
  <si>
    <t>E2702P357</t>
  </si>
  <si>
    <t>Kirklington cum Upsland</t>
  </si>
  <si>
    <t>North YorkshireKnaresborough</t>
  </si>
  <si>
    <t>E2702P358</t>
  </si>
  <si>
    <t>Knaresborough</t>
  </si>
  <si>
    <t>North YorkshireKnayton with Brawith</t>
  </si>
  <si>
    <t>E2702P359</t>
  </si>
  <si>
    <t>Knayton with Brawith</t>
  </si>
  <si>
    <t>North YorkshireLandmoth cum Catto</t>
  </si>
  <si>
    <t>E2702P360</t>
  </si>
  <si>
    <t>Landmoth cum Catto</t>
  </si>
  <si>
    <t>North YorkshireLangcliffe</t>
  </si>
  <si>
    <t>E2702P362</t>
  </si>
  <si>
    <t>Langcliffe</t>
  </si>
  <si>
    <t>North YorkshireLangthorne</t>
  </si>
  <si>
    <t>E2702P363</t>
  </si>
  <si>
    <t>Langthorne</t>
  </si>
  <si>
    <t>North YorkshireLangthorpe</t>
  </si>
  <si>
    <t>E2702P364</t>
  </si>
  <si>
    <t>Langthorpe</t>
  </si>
  <si>
    <t>North YorkshireLangton</t>
  </si>
  <si>
    <t>E2702P365</t>
  </si>
  <si>
    <t>Langton</t>
  </si>
  <si>
    <t>North YorkshireLastingham</t>
  </si>
  <si>
    <t>E2702P366</t>
  </si>
  <si>
    <t>Lastingham</t>
  </si>
  <si>
    <t>North YorkshireLawkland</t>
  </si>
  <si>
    <t>E2702P367</t>
  </si>
  <si>
    <t>Lawkland</t>
  </si>
  <si>
    <t>North YorkshireLazenby</t>
  </si>
  <si>
    <t>E2702P368</t>
  </si>
  <si>
    <t>Lazenby</t>
  </si>
  <si>
    <t>North YorkshireLead (group name Saxton with Scarthingwell &amp; Lead)</t>
  </si>
  <si>
    <t>E2702P369</t>
  </si>
  <si>
    <t>Lead (group name Saxton with Scarthingwell &amp; Lead)</t>
  </si>
  <si>
    <t>North YorkshireLeake</t>
  </si>
  <si>
    <t>E2702P370</t>
  </si>
  <si>
    <t>Leake</t>
  </si>
  <si>
    <t>North YorkshireLeavening</t>
  </si>
  <si>
    <t>E2702P371</t>
  </si>
  <si>
    <t>Leavening</t>
  </si>
  <si>
    <t>North YorkshireLebberston (grouped with Gristhorpe)</t>
  </si>
  <si>
    <t>E2702P372</t>
  </si>
  <si>
    <t>Lebberston (grouped with Gristhorpe)</t>
  </si>
  <si>
    <t>North YorkshireLevisham</t>
  </si>
  <si>
    <t>E2702P373</t>
  </si>
  <si>
    <t>Levisham</t>
  </si>
  <si>
    <t>North YorkshireLeyburn</t>
  </si>
  <si>
    <t>E2702P374</t>
  </si>
  <si>
    <t>Leyburn</t>
  </si>
  <si>
    <t>North YorkshireLillings Ambo</t>
  </si>
  <si>
    <t>E2702P375</t>
  </si>
  <si>
    <t>Lillings Ambo</t>
  </si>
  <si>
    <t>North YorkshireLinton</t>
  </si>
  <si>
    <t>E2702P376</t>
  </si>
  <si>
    <t>North YorkshireLinton on Ouse</t>
  </si>
  <si>
    <t>E2702P377</t>
  </si>
  <si>
    <t>Linton on Ouse</t>
  </si>
  <si>
    <t>North YorkshireLittle Ayton</t>
  </si>
  <si>
    <t>E2702P378</t>
  </si>
  <si>
    <t>Little Ayton</t>
  </si>
  <si>
    <t>North YorkshireLittle Busby</t>
  </si>
  <si>
    <t>E2702P379</t>
  </si>
  <si>
    <t>Little Busby</t>
  </si>
  <si>
    <t>North YorkshireLittle Fenton</t>
  </si>
  <si>
    <t>E2702P380</t>
  </si>
  <si>
    <t>Little Fenton</t>
  </si>
  <si>
    <t>North YorkshireLittle Langton</t>
  </si>
  <si>
    <t>E2702P381</t>
  </si>
  <si>
    <t>Little Langton</t>
  </si>
  <si>
    <t>North YorkshireLittle Ouseburn</t>
  </si>
  <si>
    <t>E2702P382</t>
  </si>
  <si>
    <t>Little Ouseburn</t>
  </si>
  <si>
    <t>North YorkshireLittle Ribston</t>
  </si>
  <si>
    <t>E2702P383</t>
  </si>
  <si>
    <t>Little Ribston</t>
  </si>
  <si>
    <t>North YorkshireLittle Smeaton (Hambleton)</t>
  </si>
  <si>
    <t>E2702P384</t>
  </si>
  <si>
    <t>Little Smeaton (Hambleton)</t>
  </si>
  <si>
    <t>North YorkshireLittle Smeaton (Selby)</t>
  </si>
  <si>
    <t>E2702P385</t>
  </si>
  <si>
    <t>Little Smeaton (Selby)</t>
  </si>
  <si>
    <t>North YorkshireLittlethorpe</t>
  </si>
  <si>
    <t>E2702P386</t>
  </si>
  <si>
    <t>Littlethorpe</t>
  </si>
  <si>
    <t>North YorkshireLitton</t>
  </si>
  <si>
    <t>E2702P387</t>
  </si>
  <si>
    <t>North YorkshireLockton</t>
  </si>
  <si>
    <t>E2702P388</t>
  </si>
  <si>
    <t>Lockton</t>
  </si>
  <si>
    <t>North YorkshireLong Drax</t>
  </si>
  <si>
    <t>E2702P389</t>
  </si>
  <si>
    <t>Long Drax</t>
  </si>
  <si>
    <t>North YorkshireLong Marston</t>
  </si>
  <si>
    <t>E2702P390</t>
  </si>
  <si>
    <t>Long Marston</t>
  </si>
  <si>
    <t>North YorkshireLong Preston</t>
  </si>
  <si>
    <t>E2702P391</t>
  </si>
  <si>
    <t>Long Preston</t>
  </si>
  <si>
    <t>North YorkshireLothersdale</t>
  </si>
  <si>
    <t>E2702P392</t>
  </si>
  <si>
    <t>Lothersdale</t>
  </si>
  <si>
    <t>North YorkshireLow Abbotside</t>
  </si>
  <si>
    <t>E2702P393</t>
  </si>
  <si>
    <t>Low Abbotside</t>
  </si>
  <si>
    <t>North YorkshireLow Worsall</t>
  </si>
  <si>
    <t>E2702P394</t>
  </si>
  <si>
    <t>Low Worsall</t>
  </si>
  <si>
    <t>North YorkshireLower Washburn</t>
  </si>
  <si>
    <t>E2702P395</t>
  </si>
  <si>
    <t>Lower Washburn</t>
  </si>
  <si>
    <t>North YorkshireLuttons</t>
  </si>
  <si>
    <t>E2702P396</t>
  </si>
  <si>
    <t>Luttons</t>
  </si>
  <si>
    <t>North YorkshireLythe</t>
  </si>
  <si>
    <t>E2702P397</t>
  </si>
  <si>
    <t>Lythe</t>
  </si>
  <si>
    <t>North YorkshireMalham (Kirkby Malhamdale Group)</t>
  </si>
  <si>
    <t>E2702P398</t>
  </si>
  <si>
    <t>Malham (Kirkby Malhamdale Group)</t>
  </si>
  <si>
    <t>North YorkshireMalham Moor (Kirkby Malhamdale Group)</t>
  </si>
  <si>
    <t>E2702P399</t>
  </si>
  <si>
    <t>Malham Moor (Kirkby Malhamdale Group)</t>
  </si>
  <si>
    <t>North YorkshireMalton</t>
  </si>
  <si>
    <t>E2702P400</t>
  </si>
  <si>
    <t>Malton</t>
  </si>
  <si>
    <t>North YorkshireManfield</t>
  </si>
  <si>
    <t>E2702P401</t>
  </si>
  <si>
    <t>Manfield</t>
  </si>
  <si>
    <t>North YorkshireMarishes</t>
  </si>
  <si>
    <t>E2702P402</t>
  </si>
  <si>
    <t>Marishes</t>
  </si>
  <si>
    <t>North YorkshireMarkenfield Hall</t>
  </si>
  <si>
    <t>E2702P403</t>
  </si>
  <si>
    <t>Markenfield Hall</t>
  </si>
  <si>
    <t>North YorkshireMarkington with Wallerthwaite</t>
  </si>
  <si>
    <t>E2702P404</t>
  </si>
  <si>
    <t>Markington with Wallerthwaite</t>
  </si>
  <si>
    <t>North YorkshireMarrick</t>
  </si>
  <si>
    <t>E2702P405</t>
  </si>
  <si>
    <t>Marrick</t>
  </si>
  <si>
    <t>North YorkshireMarske</t>
  </si>
  <si>
    <t>E2702P406</t>
  </si>
  <si>
    <t>Marske</t>
  </si>
  <si>
    <t>North YorkshireMarton</t>
  </si>
  <si>
    <t>E2702P407</t>
  </si>
  <si>
    <t>North YorkshireMarton cum Grafton</t>
  </si>
  <si>
    <t>E2702P408</t>
  </si>
  <si>
    <t>Marton cum Grafton</t>
  </si>
  <si>
    <t>North YorkshireMarton cum Moxby</t>
  </si>
  <si>
    <t>E2702P409</t>
  </si>
  <si>
    <t>Marton cum Moxby</t>
  </si>
  <si>
    <t>North YorkshireMarton le Moor</t>
  </si>
  <si>
    <t>E2702P410</t>
  </si>
  <si>
    <t>Marton le Moor</t>
  </si>
  <si>
    <t>North YorkshireMartons Both</t>
  </si>
  <si>
    <t>E2702P411</t>
  </si>
  <si>
    <t>Martons Both</t>
  </si>
  <si>
    <t>North YorkshireMasham</t>
  </si>
  <si>
    <t>E2702P412</t>
  </si>
  <si>
    <t>Masham</t>
  </si>
  <si>
    <t>North YorkshireMaunby</t>
  </si>
  <si>
    <t>E2702P413</t>
  </si>
  <si>
    <t>Maunby</t>
  </si>
  <si>
    <t>North YorkshireMelbecks</t>
  </si>
  <si>
    <t>E2702P414</t>
  </si>
  <si>
    <t>Melbecks</t>
  </si>
  <si>
    <t>North YorkshireMelmerby</t>
  </si>
  <si>
    <t>E2702P415</t>
  </si>
  <si>
    <t>North YorkshireMelsonby</t>
  </si>
  <si>
    <t>E2702P416</t>
  </si>
  <si>
    <t>Melsonby</t>
  </si>
  <si>
    <t>North YorkshireMemerby &amp; Middleton</t>
  </si>
  <si>
    <t>E2702P417</t>
  </si>
  <si>
    <t>Memerby &amp; Middleton</t>
  </si>
  <si>
    <t>North YorkshireMickleby (grouped with Barnby and Ellerby)</t>
  </si>
  <si>
    <t>E2702P418</t>
  </si>
  <si>
    <t>Mickleby (grouped with Barnby and Ellerby)</t>
  </si>
  <si>
    <t>North YorkshireMid Wharfedale</t>
  </si>
  <si>
    <t>E2702P419</t>
  </si>
  <si>
    <t>Mid Wharfedale</t>
  </si>
  <si>
    <t>North YorkshireMiddleham</t>
  </si>
  <si>
    <t>E2702P420</t>
  </si>
  <si>
    <t>Middleham</t>
  </si>
  <si>
    <t>North YorkshireMiddleton on Leven</t>
  </si>
  <si>
    <t>E2702P421</t>
  </si>
  <si>
    <t>Middleton on Leven</t>
  </si>
  <si>
    <t>North YorkshireMiddleton Tyas</t>
  </si>
  <si>
    <t>E2702P422</t>
  </si>
  <si>
    <t>Middleton Tyas</t>
  </si>
  <si>
    <t>North YorkshireMonk Fryston</t>
  </si>
  <si>
    <t>E2702P423</t>
  </si>
  <si>
    <t>Monk Fryston</t>
  </si>
  <si>
    <t>North YorkshireMoor Monkton</t>
  </si>
  <si>
    <t>E2702P424</t>
  </si>
  <si>
    <t>Moor Monkton</t>
  </si>
  <si>
    <t>North YorkshireMorton on Swale</t>
  </si>
  <si>
    <t>E2702P425</t>
  </si>
  <si>
    <t>Morton on Swale</t>
  </si>
  <si>
    <t>North YorkshireMoulton</t>
  </si>
  <si>
    <t>E2702P426</t>
  </si>
  <si>
    <t>North YorkshireMuker</t>
  </si>
  <si>
    <t>E2702P427</t>
  </si>
  <si>
    <t>Muker</t>
  </si>
  <si>
    <t>North YorkshireMuston</t>
  </si>
  <si>
    <t>E2702P428</t>
  </si>
  <si>
    <t>Muston</t>
  </si>
  <si>
    <t>North YorkshireMyton on Swale</t>
  </si>
  <si>
    <t>E2702P429</t>
  </si>
  <si>
    <t>Myton on Swale</t>
  </si>
  <si>
    <t>North YorkshireNawton</t>
  </si>
  <si>
    <t>E2702P430</t>
  </si>
  <si>
    <t>Nawton</t>
  </si>
  <si>
    <t>North YorkshireNether Silton</t>
  </si>
  <si>
    <t>E2702P431</t>
  </si>
  <si>
    <t>Nether Silton</t>
  </si>
  <si>
    <t>North YorkshireNew Forest</t>
  </si>
  <si>
    <t>E2702P432</t>
  </si>
  <si>
    <t>North YorkshireNewall with Clifton</t>
  </si>
  <si>
    <t>E2702P433</t>
  </si>
  <si>
    <t>Newall with Clifton</t>
  </si>
  <si>
    <t>North YorkshireNewbiggin</t>
  </si>
  <si>
    <t>E2702P434</t>
  </si>
  <si>
    <t>North YorkshireNewburgh</t>
  </si>
  <si>
    <t>E2702P435</t>
  </si>
  <si>
    <t>North YorkshireNewby</t>
  </si>
  <si>
    <t>E2702P436</t>
  </si>
  <si>
    <t>North YorkshireNewby and Scalby</t>
  </si>
  <si>
    <t>E2702P437</t>
  </si>
  <si>
    <t>Newby and Scalby</t>
  </si>
  <si>
    <t>North YorkshireNewby Wiske</t>
  </si>
  <si>
    <t>E2702P438</t>
  </si>
  <si>
    <t>Newby Wiske</t>
  </si>
  <si>
    <t>North YorkshireNewholm cum Dunsley</t>
  </si>
  <si>
    <t>E2702P439</t>
  </si>
  <si>
    <t>Newholm cum Dunsley</t>
  </si>
  <si>
    <t>North YorkshireNewland</t>
  </si>
  <si>
    <t>E2702P440</t>
  </si>
  <si>
    <t>North YorkshireNewsham</t>
  </si>
  <si>
    <t>E2702P441</t>
  </si>
  <si>
    <t>Newsham</t>
  </si>
  <si>
    <t>North YorkshireNewsham with Breckenbrough</t>
  </si>
  <si>
    <t>E2702P442</t>
  </si>
  <si>
    <t>Newsham with Breckenbrough</t>
  </si>
  <si>
    <t>North YorkshireNewton Kyme cum Toulston</t>
  </si>
  <si>
    <t>E2702P443</t>
  </si>
  <si>
    <t>Newton Kyme cum Toulston</t>
  </si>
  <si>
    <t>North YorkshireNewton le Willows</t>
  </si>
  <si>
    <t>E2702P444</t>
  </si>
  <si>
    <t>Newton le Willows</t>
  </si>
  <si>
    <t>North YorkshireNewton Morrell</t>
  </si>
  <si>
    <t>E2702P445</t>
  </si>
  <si>
    <t>Newton Morrell</t>
  </si>
  <si>
    <t>North YorkshireNewton Mulgrave (grouped with Borrowby and Roxby)</t>
  </si>
  <si>
    <t>E2702P446</t>
  </si>
  <si>
    <t>Newton Mulgrave (grouped with Borrowby and Roxby)</t>
  </si>
  <si>
    <t>North YorkshireNewton on Ouse</t>
  </si>
  <si>
    <t>E2702P447</t>
  </si>
  <si>
    <t>Newton on Ouse</t>
  </si>
  <si>
    <t>North YorkshireNewton on Rawcliffe &amp; Stape</t>
  </si>
  <si>
    <t>E2702P448</t>
  </si>
  <si>
    <t>Newton on Rawcliffe &amp; Stape</t>
  </si>
  <si>
    <t>North YorkshireNidd</t>
  </si>
  <si>
    <t>E2702P449</t>
  </si>
  <si>
    <t>Nidd</t>
  </si>
  <si>
    <t>North YorkshireNormanby</t>
  </si>
  <si>
    <t>E2702P450</t>
  </si>
  <si>
    <t>Normanby</t>
  </si>
  <si>
    <t>North YorkshireNorth Cowton</t>
  </si>
  <si>
    <t>E2702P451</t>
  </si>
  <si>
    <t>North Cowton</t>
  </si>
  <si>
    <t>North YorkshireNorth Deighton</t>
  </si>
  <si>
    <t>E2702P452</t>
  </si>
  <si>
    <t>North Deighton</t>
  </si>
  <si>
    <t>North YorkshireNorth Duffield</t>
  </si>
  <si>
    <t>E2702P453</t>
  </si>
  <si>
    <t>North Duffield</t>
  </si>
  <si>
    <t>North YorkshireNorth Kilvington</t>
  </si>
  <si>
    <t>E2702P454</t>
  </si>
  <si>
    <t>North Kilvington</t>
  </si>
  <si>
    <t>North YorkshireNorth Otterington</t>
  </si>
  <si>
    <t>E2702P455</t>
  </si>
  <si>
    <t>North Otterington</t>
  </si>
  <si>
    <t>North YorkshireNorth Rigton</t>
  </si>
  <si>
    <t>E2702P456</t>
  </si>
  <si>
    <t>North Rigton</t>
  </si>
  <si>
    <t>North YorkshireNorth Stainley with Sleningford</t>
  </si>
  <si>
    <t>E2702P457</t>
  </si>
  <si>
    <t>North Stainley with Sleningford</t>
  </si>
  <si>
    <t>North YorkshireHambleton</t>
  </si>
  <si>
    <t>E2702P458</t>
  </si>
  <si>
    <t>North YorkshireSelby</t>
  </si>
  <si>
    <t>E2702P459</t>
  </si>
  <si>
    <t>North YorkshireNorthallerton</t>
  </si>
  <si>
    <t>E2702P460</t>
  </si>
  <si>
    <t>Northallerton</t>
  </si>
  <si>
    <t>North YorkshireNorton on Derwent</t>
  </si>
  <si>
    <t>E2702P461</t>
  </si>
  <si>
    <t>Norton on Derwent</t>
  </si>
  <si>
    <t>North YorkshireNun Monkton</t>
  </si>
  <si>
    <t>E2702P462</t>
  </si>
  <si>
    <t>Nun Monkton</t>
  </si>
  <si>
    <t>North YorkshireNunnington</t>
  </si>
  <si>
    <t>E2702P463</t>
  </si>
  <si>
    <t>Nunnington</t>
  </si>
  <si>
    <t>North YorkshireOld Byland and Scawton</t>
  </si>
  <si>
    <t>E2702P464</t>
  </si>
  <si>
    <t>Old Byland and Scawton</t>
  </si>
  <si>
    <t>North YorkshireOsgodby</t>
  </si>
  <si>
    <t>E2702P465</t>
  </si>
  <si>
    <t>North YorkshireOsmotherley</t>
  </si>
  <si>
    <t>E2702P466</t>
  </si>
  <si>
    <t>Osmotherley</t>
  </si>
  <si>
    <t>North YorkshireOswaldkirk</t>
  </si>
  <si>
    <t>E2702P467</t>
  </si>
  <si>
    <t>Oswaldkirk</t>
  </si>
  <si>
    <t>North YorkshireOtterburn</t>
  </si>
  <si>
    <t>E2702P468</t>
  </si>
  <si>
    <t>Otterburn</t>
  </si>
  <si>
    <t>North YorkshireOulston</t>
  </si>
  <si>
    <t>E2702P469</t>
  </si>
  <si>
    <t>Oulston</t>
  </si>
  <si>
    <t>North YorkshireOver Dinsdale</t>
  </si>
  <si>
    <t>E2702P470</t>
  </si>
  <si>
    <t>Over Dinsdale</t>
  </si>
  <si>
    <t>North YorkshireOver Silton</t>
  </si>
  <si>
    <t>E2702P471</t>
  </si>
  <si>
    <t>Over Silton</t>
  </si>
  <si>
    <t>North YorkshireOverton</t>
  </si>
  <si>
    <t>E2702P472</t>
  </si>
  <si>
    <t>North YorkshireOxton</t>
  </si>
  <si>
    <t>E2702P473</t>
  </si>
  <si>
    <t>Oxton</t>
  </si>
  <si>
    <t>North YorkshirePannal with Burn Bridge</t>
  </si>
  <si>
    <t>E2702P474</t>
  </si>
  <si>
    <t>Pannal with Burn Bridge</t>
  </si>
  <si>
    <t>North YorkshirePatrick Brompton</t>
  </si>
  <si>
    <t>E2702P475</t>
  </si>
  <si>
    <t>Patrick Brompton</t>
  </si>
  <si>
    <t>North YorkshirePickering</t>
  </si>
  <si>
    <t>E2702P476</t>
  </si>
  <si>
    <t>Pickering</t>
  </si>
  <si>
    <t>North YorkshirePickhill with Roxby</t>
  </si>
  <si>
    <t>E2702P477</t>
  </si>
  <si>
    <t>Pickhill with Roxby</t>
  </si>
  <si>
    <t>North YorkshirePicton</t>
  </si>
  <si>
    <t>E2702P478</t>
  </si>
  <si>
    <t>Picton</t>
  </si>
  <si>
    <t>North YorkshirePockley</t>
  </si>
  <si>
    <t>E2702P479</t>
  </si>
  <si>
    <t>Pockley</t>
  </si>
  <si>
    <t>North YorkshirePotto</t>
  </si>
  <si>
    <t>E2702P480</t>
  </si>
  <si>
    <t>Potto</t>
  </si>
  <si>
    <t>North YorkshirePreston under Scar</t>
  </si>
  <si>
    <t>E2702P481</t>
  </si>
  <si>
    <t>Preston under Scar</t>
  </si>
  <si>
    <t>North YorkshireRainton with Newby</t>
  </si>
  <si>
    <t>E2702P482</t>
  </si>
  <si>
    <t>Rainton with Newby</t>
  </si>
  <si>
    <t>North YorkshireRand Grange</t>
  </si>
  <si>
    <t>E2702P483</t>
  </si>
  <si>
    <t>Rand Grange</t>
  </si>
  <si>
    <t>North YorkshireRaskelf</t>
  </si>
  <si>
    <t>E2702P484</t>
  </si>
  <si>
    <t>Raskelf</t>
  </si>
  <si>
    <t>North YorkshireRathmell (Ribble Banks Group)</t>
  </si>
  <si>
    <t>E2702P485</t>
  </si>
  <si>
    <t>Rathmell (Ribble Banks Group)</t>
  </si>
  <si>
    <t>North YorkshireRavensworth</t>
  </si>
  <si>
    <t>E2702P486</t>
  </si>
  <si>
    <t>Ravensworth</t>
  </si>
  <si>
    <t>North YorkshireRedmire</t>
  </si>
  <si>
    <t>E2702P487</t>
  </si>
  <si>
    <t>Redmire</t>
  </si>
  <si>
    <t>North YorkshireReeth Fremington and Healaugh</t>
  </si>
  <si>
    <t>E2702P488</t>
  </si>
  <si>
    <t>Reeth Fremington and Healaugh</t>
  </si>
  <si>
    <t>North YorkshireReighton</t>
  </si>
  <si>
    <t>E2702P489</t>
  </si>
  <si>
    <t>Reighton</t>
  </si>
  <si>
    <t>North YorkshireRiccall</t>
  </si>
  <si>
    <t>E2702P490</t>
  </si>
  <si>
    <t>Riccall</t>
  </si>
  <si>
    <t>North YorkshireRichmond</t>
  </si>
  <si>
    <t>E2702P491</t>
  </si>
  <si>
    <t>Richmond</t>
  </si>
  <si>
    <t>North YorkshireRievaulx</t>
  </si>
  <si>
    <t>E2702P492</t>
  </si>
  <si>
    <t>Rievaulx</t>
  </si>
  <si>
    <t>North YorkshireRillington</t>
  </si>
  <si>
    <t>E2702P493</t>
  </si>
  <si>
    <t>Rillington</t>
  </si>
  <si>
    <t>North YorkshireRipley</t>
  </si>
  <si>
    <t>E2702P494</t>
  </si>
  <si>
    <t>North YorkshireRipon</t>
  </si>
  <si>
    <t>E2702P495</t>
  </si>
  <si>
    <t>Ripon</t>
  </si>
  <si>
    <t>North YorkshireRoecliffe &amp; Westwick</t>
  </si>
  <si>
    <t>E2702P496</t>
  </si>
  <si>
    <t>Roecliffe &amp; Westwick</t>
  </si>
  <si>
    <t>North YorkshireRomanby</t>
  </si>
  <si>
    <t>E2702P497</t>
  </si>
  <si>
    <t>Romanby</t>
  </si>
  <si>
    <t>North YorkshireRookwith</t>
  </si>
  <si>
    <t>E2702P498</t>
  </si>
  <si>
    <t>Rookwith</t>
  </si>
  <si>
    <t>North YorkshireRosedale East &amp; West</t>
  </si>
  <si>
    <t>E2702P499</t>
  </si>
  <si>
    <t>Rosedale East &amp; West</t>
  </si>
  <si>
    <t>North YorkshireRoxby (grouped with Borrowby and Newton Mulgrave</t>
  </si>
  <si>
    <t>E2702P500</t>
  </si>
  <si>
    <t>Roxby (grouped with Borrowby and Newton Mulgrave</t>
  </si>
  <si>
    <t>North YorkshireRudby</t>
  </si>
  <si>
    <t>E2702P501</t>
  </si>
  <si>
    <t>Rudby</t>
  </si>
  <si>
    <t>North YorkshireRylstone</t>
  </si>
  <si>
    <t>E2702P502</t>
  </si>
  <si>
    <t>Rylstone</t>
  </si>
  <si>
    <t>North YorkshireRyther cum Ossendyke</t>
  </si>
  <si>
    <t>E2702P503</t>
  </si>
  <si>
    <t>Ryther cum Ossendyke</t>
  </si>
  <si>
    <t>North YorkshireSalton</t>
  </si>
  <si>
    <t>E2702P504</t>
  </si>
  <si>
    <t>Salton</t>
  </si>
  <si>
    <t>North YorkshireSandhutton</t>
  </si>
  <si>
    <t>E2702P505</t>
  </si>
  <si>
    <t>Sandhutton</t>
  </si>
  <si>
    <t>North YorkshireSaxton with Scarthingwell (group name Saxton with Scarthingwell &amp; Lead)</t>
  </si>
  <si>
    <t>E2702P506</t>
  </si>
  <si>
    <t>Saxton with Scarthingwell (group name Saxton with Scarthingwell &amp; Lead)</t>
  </si>
  <si>
    <t>North YorkshireScagglethorpe</t>
  </si>
  <si>
    <t>E2702P507</t>
  </si>
  <si>
    <t>Scagglethorpe</t>
  </si>
  <si>
    <t>North YorkshireScampston</t>
  </si>
  <si>
    <t>E2702P508</t>
  </si>
  <si>
    <t>Scampston</t>
  </si>
  <si>
    <t>North YorkshireScorton</t>
  </si>
  <si>
    <t>E2702P509</t>
  </si>
  <si>
    <t>Scorton</t>
  </si>
  <si>
    <t>North YorkshireScosthrop</t>
  </si>
  <si>
    <t>E2702P510</t>
  </si>
  <si>
    <t>Scosthrop</t>
  </si>
  <si>
    <t>North YorkshireScotton (Richmondshire)</t>
  </si>
  <si>
    <t>E2702P511</t>
  </si>
  <si>
    <t>Scotton (Richmondshire)</t>
  </si>
  <si>
    <t>North YorkshireScotton (Harrogate)</t>
  </si>
  <si>
    <t>E2702P512</t>
  </si>
  <si>
    <t>Scotton (Harrogate)</t>
  </si>
  <si>
    <t>North YorkshireScrayingham</t>
  </si>
  <si>
    <t>E2702P513</t>
  </si>
  <si>
    <t>Scrayingham</t>
  </si>
  <si>
    <t>North YorkshireScriven</t>
  </si>
  <si>
    <t>E2702P514</t>
  </si>
  <si>
    <t>Scriven</t>
  </si>
  <si>
    <t>North YorkshireScruton</t>
  </si>
  <si>
    <t>E2702P515</t>
  </si>
  <si>
    <t>Scruton</t>
  </si>
  <si>
    <t>North YorkshireSeamer (Hambleton)</t>
  </si>
  <si>
    <t>E2702P516</t>
  </si>
  <si>
    <t>Seamer (Hambleton)</t>
  </si>
  <si>
    <t>North YorkshireSeamer (Scarborough)</t>
  </si>
  <si>
    <t>E2702P517</t>
  </si>
  <si>
    <t>Seamer (Scarborough)</t>
  </si>
  <si>
    <t>North YorkshireSessay</t>
  </si>
  <si>
    <t>E2702P518</t>
  </si>
  <si>
    <t>Sessay</t>
  </si>
  <si>
    <t>North YorkshireSettle</t>
  </si>
  <si>
    <t>E2702P519</t>
  </si>
  <si>
    <t>Settle</t>
  </si>
  <si>
    <t>North YorkshireSettrington</t>
  </si>
  <si>
    <t>E2702P520</t>
  </si>
  <si>
    <t>Settrington</t>
  </si>
  <si>
    <t>North YorkshireSexhow</t>
  </si>
  <si>
    <t>E2702P521</t>
  </si>
  <si>
    <t>Sexhow</t>
  </si>
  <si>
    <t>North YorkshireSharow</t>
  </si>
  <si>
    <t>E2702P522</t>
  </si>
  <si>
    <t>Sharow</t>
  </si>
  <si>
    <t>North YorkshireSherburn</t>
  </si>
  <si>
    <t>E2702P523</t>
  </si>
  <si>
    <t>Sherburn</t>
  </si>
  <si>
    <t>North YorkshireSherburn in Elmet</t>
  </si>
  <si>
    <t>E2702P524</t>
  </si>
  <si>
    <t>Sherburn in Elmet</t>
  </si>
  <si>
    <t>North YorkshireSheriff Hutton</t>
  </si>
  <si>
    <t>E2702P525</t>
  </si>
  <si>
    <t>Sheriff Hutton</t>
  </si>
  <si>
    <t>North YorkshireShipton</t>
  </si>
  <si>
    <t>E2702P526</t>
  </si>
  <si>
    <t>North YorkshireSicklinghall</t>
  </si>
  <si>
    <t>E2702P527</t>
  </si>
  <si>
    <t>Sicklinghall</t>
  </si>
  <si>
    <t>North YorkshireSilpho (grouped with Hackness)</t>
  </si>
  <si>
    <t>E2702P528</t>
  </si>
  <si>
    <t>Silpho (grouped with Hackness)</t>
  </si>
  <si>
    <t>North YorkshireSinderby</t>
  </si>
  <si>
    <t>E2702P529</t>
  </si>
  <si>
    <t>Sinderby</t>
  </si>
  <si>
    <t>North YorkshireSinnington</t>
  </si>
  <si>
    <t>E2702P530</t>
  </si>
  <si>
    <t>Sinnington</t>
  </si>
  <si>
    <t>North YorkshireSkeeby</t>
  </si>
  <si>
    <t>E2702P531</t>
  </si>
  <si>
    <t>Skeeby</t>
  </si>
  <si>
    <t>North YorkshireSkelton</t>
  </si>
  <si>
    <t>E2702P532</t>
  </si>
  <si>
    <t>North YorkshireSkipton</t>
  </si>
  <si>
    <t>E2702P533</t>
  </si>
  <si>
    <t>Skipton</t>
  </si>
  <si>
    <t>North YorkshireSkipton on Swale</t>
  </si>
  <si>
    <t>E2702P534</t>
  </si>
  <si>
    <t>Skipton on Swale</t>
  </si>
  <si>
    <t>North YorkshireSkipwith</t>
  </si>
  <si>
    <t>E2702P535</t>
  </si>
  <si>
    <t>Skipwith</t>
  </si>
  <si>
    <t>North YorkshireSkutterskelfe</t>
  </si>
  <si>
    <t>E2702P536</t>
  </si>
  <si>
    <t>Skutterskelfe</t>
  </si>
  <si>
    <t>North YorkshireSlingsby</t>
  </si>
  <si>
    <t>E2702P537</t>
  </si>
  <si>
    <t>Slingsby</t>
  </si>
  <si>
    <t>North YorkshireSnainton</t>
  </si>
  <si>
    <t>E2702P538</t>
  </si>
  <si>
    <t>Snainton</t>
  </si>
  <si>
    <t>North YorkshireSnape with Thorp</t>
  </si>
  <si>
    <t>E2702P539</t>
  </si>
  <si>
    <t>Snape with Thorp</t>
  </si>
  <si>
    <t>North YorkshireSneaton</t>
  </si>
  <si>
    <t>E2702P540</t>
  </si>
  <si>
    <t>Sneaton</t>
  </si>
  <si>
    <t>North YorkshireSouth Cowton</t>
  </si>
  <si>
    <t>E2702P541</t>
  </si>
  <si>
    <t>South Cowton</t>
  </si>
  <si>
    <t>North YorkshireSouth Holme &amp; Fryton</t>
  </si>
  <si>
    <t>E2702P542</t>
  </si>
  <si>
    <t>South Holme &amp; Fryton</t>
  </si>
  <si>
    <t>North YorkshireSouth Kilvington</t>
  </si>
  <si>
    <t>E2702P543</t>
  </si>
  <si>
    <t>South Kilvington</t>
  </si>
  <si>
    <t>North YorkshireSouth Milford</t>
  </si>
  <si>
    <t>E2702P544</t>
  </si>
  <si>
    <t>South Milford</t>
  </si>
  <si>
    <t>North YorkshireSouth Otterington</t>
  </si>
  <si>
    <t>E2702P545</t>
  </si>
  <si>
    <t>South Otterington</t>
  </si>
  <si>
    <t>North YorkshireSouth Stainley with Cayton</t>
  </si>
  <si>
    <t>E2702P546</t>
  </si>
  <si>
    <t>South Stainley with Cayton</t>
  </si>
  <si>
    <t>North YorkshireSowerby</t>
  </si>
  <si>
    <t>E2702P547</t>
  </si>
  <si>
    <t>Sowerby</t>
  </si>
  <si>
    <t>North YorkshireSowerby under Cotcliffe</t>
  </si>
  <si>
    <t>E2702P548</t>
  </si>
  <si>
    <t>Sowerby under Cotcliffe</t>
  </si>
  <si>
    <t>North YorkshireSpaunton</t>
  </si>
  <si>
    <t>E2702P549</t>
  </si>
  <si>
    <t>Spaunton</t>
  </si>
  <si>
    <t>North YorkshireSpennithorne</t>
  </si>
  <si>
    <t>E2702P550</t>
  </si>
  <si>
    <t>Spennithorne</t>
  </si>
  <si>
    <t>North YorkshireSpofforth with Stockeld</t>
  </si>
  <si>
    <t>E2702P551</t>
  </si>
  <si>
    <t>Spofforth with Stockeld</t>
  </si>
  <si>
    <t>North YorkshireSproxton</t>
  </si>
  <si>
    <t>E2702P552</t>
  </si>
  <si>
    <t>North YorkshireSt. Martin's</t>
  </si>
  <si>
    <t>E2702P553</t>
  </si>
  <si>
    <t>St. Martin's</t>
  </si>
  <si>
    <t>North YorkshireStainforth</t>
  </si>
  <si>
    <t>E2702P554</t>
  </si>
  <si>
    <t>Stainforth</t>
  </si>
  <si>
    <t>North YorkshireStainton</t>
  </si>
  <si>
    <t>E2702P555</t>
  </si>
  <si>
    <t>North YorkshireStainton Dale</t>
  </si>
  <si>
    <t>E2702P556</t>
  </si>
  <si>
    <t>Stainton Dale</t>
  </si>
  <si>
    <t>North YorkshireStanwick St. John</t>
  </si>
  <si>
    <t>E2702P557</t>
  </si>
  <si>
    <t>Stanwick St. John</t>
  </si>
  <si>
    <t>North YorkshireStapleton (Richmondshire)</t>
  </si>
  <si>
    <t>E2702P558</t>
  </si>
  <si>
    <t>Stapleton (Richmondshire)</t>
  </si>
  <si>
    <t>North YorkshireStapleton (Selby)</t>
  </si>
  <si>
    <t>E2702P559</t>
  </si>
  <si>
    <t>Stapleton (Selby)</t>
  </si>
  <si>
    <t>North YorkshireStaveley</t>
  </si>
  <si>
    <t>E2702P560</t>
  </si>
  <si>
    <t>North YorkshireSteeton (group name Bolton Percy Colton &amp; Steeton)</t>
  </si>
  <si>
    <t>E2702P561</t>
  </si>
  <si>
    <t>Steeton (group name Bolton Percy Colton &amp; Steeton)</t>
  </si>
  <si>
    <t>North YorkshireStillingfleet</t>
  </si>
  <si>
    <t>E2702P562</t>
  </si>
  <si>
    <t>Stillingfleet</t>
  </si>
  <si>
    <t>North YorkshireStillington</t>
  </si>
  <si>
    <t>E2702P563</t>
  </si>
  <si>
    <t>Stillington</t>
  </si>
  <si>
    <t>North YorkshireStirton with Thorlby</t>
  </si>
  <si>
    <t>E2702P564</t>
  </si>
  <si>
    <t>Stirton with Thorlby</t>
  </si>
  <si>
    <t>North YorkshireStokesley</t>
  </si>
  <si>
    <t>E2702P565</t>
  </si>
  <si>
    <t>Stokesley</t>
  </si>
  <si>
    <t>North YorkshireStonegrave</t>
  </si>
  <si>
    <t>E2702P566</t>
  </si>
  <si>
    <t>Stonegrave</t>
  </si>
  <si>
    <t>North YorkshireStutton with Hazlewood</t>
  </si>
  <si>
    <t>E2702P567</t>
  </si>
  <si>
    <t>Stutton with Hazlewood</t>
  </si>
  <si>
    <t>North YorkshireSuffield cum Everley (grouped with Hackness)</t>
  </si>
  <si>
    <t>E2702P568</t>
  </si>
  <si>
    <t>Suffield cum Everley (grouped with Hackness)</t>
  </si>
  <si>
    <t>North YorkshireSutton</t>
  </si>
  <si>
    <t>E2702P569</t>
  </si>
  <si>
    <t>North YorkshireSutton on the Forest</t>
  </si>
  <si>
    <t>E2702P570</t>
  </si>
  <si>
    <t>Sutton on the Forest</t>
  </si>
  <si>
    <t>North YorkshireSutton under Whitestonecliffe</t>
  </si>
  <si>
    <t>E2702P571</t>
  </si>
  <si>
    <t>Sutton under Whitestonecliffe</t>
  </si>
  <si>
    <t>North YorkshireSutton with Howgrave</t>
  </si>
  <si>
    <t>E2702P572</t>
  </si>
  <si>
    <t>Sutton with Howgrave</t>
  </si>
  <si>
    <t>North YorkshireSwainby with Allerthorpe</t>
  </si>
  <si>
    <t>E2702P573</t>
  </si>
  <si>
    <t>Swainby with Allerthorpe</t>
  </si>
  <si>
    <t>North YorkshireSwinton</t>
  </si>
  <si>
    <t>E2702P574</t>
  </si>
  <si>
    <t>Swinton</t>
  </si>
  <si>
    <t>North YorkshireTadcaster</t>
  </si>
  <si>
    <t>E2702P575</t>
  </si>
  <si>
    <t>Tadcaster</t>
  </si>
  <si>
    <t>North YorkshireTemple Hirst</t>
  </si>
  <si>
    <t>E2702P576</t>
  </si>
  <si>
    <t>Temple Hirst</t>
  </si>
  <si>
    <t>North YorkshireTerrington</t>
  </si>
  <si>
    <t>E2702P577</t>
  </si>
  <si>
    <t>Terrington</t>
  </si>
  <si>
    <t>North YorkshireTheakston</t>
  </si>
  <si>
    <t>E2702P578</t>
  </si>
  <si>
    <t>Theakston</t>
  </si>
  <si>
    <t>North YorkshireThimbleby</t>
  </si>
  <si>
    <t>E2702P579</t>
  </si>
  <si>
    <t>North YorkshireThirkleby High and Low with Osgodby</t>
  </si>
  <si>
    <t>E2702P580</t>
  </si>
  <si>
    <t>Thirkleby High and Low with Osgodby</t>
  </si>
  <si>
    <t>North YorkshireThirlby</t>
  </si>
  <si>
    <t>E2702P581</t>
  </si>
  <si>
    <t>Thirlby</t>
  </si>
  <si>
    <t>North YorkshireThirn</t>
  </si>
  <si>
    <t>E2702P582</t>
  </si>
  <si>
    <t>Thirn</t>
  </si>
  <si>
    <t>North YorkshireThirsk</t>
  </si>
  <si>
    <t>E2702P583</t>
  </si>
  <si>
    <t>Thirsk</t>
  </si>
  <si>
    <t>North YorkshireThixendale</t>
  </si>
  <si>
    <t>E2702P584</t>
  </si>
  <si>
    <t>Thixendale</t>
  </si>
  <si>
    <t>North YorkshireTholthorpe</t>
  </si>
  <si>
    <t>E2702P585</t>
  </si>
  <si>
    <t>Tholthorpe</t>
  </si>
  <si>
    <t>North YorkshireThoralby</t>
  </si>
  <si>
    <t>E2702P586</t>
  </si>
  <si>
    <t>Thoralby</t>
  </si>
  <si>
    <t>North YorkshireThorganby</t>
  </si>
  <si>
    <t>E2702P587</t>
  </si>
  <si>
    <t>North YorkshireThormanby</t>
  </si>
  <si>
    <t>E2702P588</t>
  </si>
  <si>
    <t>Thormanby</t>
  </si>
  <si>
    <t>North YorkshireThornbrough</t>
  </si>
  <si>
    <t>E2702P589</t>
  </si>
  <si>
    <t>Thornbrough</t>
  </si>
  <si>
    <t>North YorkshireThornthwaite with Padside</t>
  </si>
  <si>
    <t>E2702P590</t>
  </si>
  <si>
    <t>Thornthwaite with Padside</t>
  </si>
  <si>
    <t>North YorkshireThornton in Lonsdale</t>
  </si>
  <si>
    <t>E2702P591</t>
  </si>
  <si>
    <t>Thornton in Lonsdale</t>
  </si>
  <si>
    <t>North YorkshireThornton in Craven</t>
  </si>
  <si>
    <t>E2702P592</t>
  </si>
  <si>
    <t>Thornton in Craven</t>
  </si>
  <si>
    <t>North YorkshireThornton le Beans</t>
  </si>
  <si>
    <t>E2702P593</t>
  </si>
  <si>
    <t>Thornton le Beans</t>
  </si>
  <si>
    <t>North YorkshireThornton le Dale</t>
  </si>
  <si>
    <t>E2702P594</t>
  </si>
  <si>
    <t>Thornton le Dale</t>
  </si>
  <si>
    <t>North YorkshireThornton le Moor</t>
  </si>
  <si>
    <t>E2702P595</t>
  </si>
  <si>
    <t>Thornton le Moor</t>
  </si>
  <si>
    <t>North YorkshireThornton le Street</t>
  </si>
  <si>
    <t>E2702P596</t>
  </si>
  <si>
    <t>Thornton le Street</t>
  </si>
  <si>
    <t>North YorkshireThornton on the Hill</t>
  </si>
  <si>
    <t>E2702P597</t>
  </si>
  <si>
    <t>Thornton on the Hill</t>
  </si>
  <si>
    <t>North YorkshireThornton Rust</t>
  </si>
  <si>
    <t>E2702P598</t>
  </si>
  <si>
    <t>Thornton Rust</t>
  </si>
  <si>
    <t>North YorkshireThornton Steward</t>
  </si>
  <si>
    <t>E2702P599</t>
  </si>
  <si>
    <t>Thornton Steward</t>
  </si>
  <si>
    <t>North YorkshireThornton Watlass</t>
  </si>
  <si>
    <t>E2702P600</t>
  </si>
  <si>
    <t>Thornton Watlass</t>
  </si>
  <si>
    <t>North YorkshireThornville</t>
  </si>
  <si>
    <t>E2702P601</t>
  </si>
  <si>
    <t>Thornville</t>
  </si>
  <si>
    <t>North YorkshireThorpe</t>
  </si>
  <si>
    <t>E2702P602</t>
  </si>
  <si>
    <t>North YorkshireThorpe Bassett</t>
  </si>
  <si>
    <t>E2702P603</t>
  </si>
  <si>
    <t>Thorpe Bassett</t>
  </si>
  <si>
    <t>North YorkshireThorpe Willoughby</t>
  </si>
  <si>
    <t>E2702P604</t>
  </si>
  <si>
    <t>Thorpe Willoughby</t>
  </si>
  <si>
    <t>North YorkshireThreshfield</t>
  </si>
  <si>
    <t>E2702P605</t>
  </si>
  <si>
    <t>Threshfield</t>
  </si>
  <si>
    <t>North YorkshireThrintoft</t>
  </si>
  <si>
    <t>E2702P606</t>
  </si>
  <si>
    <t>Thrintoft</t>
  </si>
  <si>
    <t>North YorkshireThruscross</t>
  </si>
  <si>
    <t>E2702P607</t>
  </si>
  <si>
    <t>Thruscross</t>
  </si>
  <si>
    <t>North YorkshireTockwith &amp; Wilstrop</t>
  </si>
  <si>
    <t>E2702P608</t>
  </si>
  <si>
    <t>Tockwith &amp; Wilstrop</t>
  </si>
  <si>
    <t>North YorkshireTollerton</t>
  </si>
  <si>
    <t>E2702P609</t>
  </si>
  <si>
    <t>Tollerton</t>
  </si>
  <si>
    <t>North YorkshireTopcliffe</t>
  </si>
  <si>
    <t>E2702P610</t>
  </si>
  <si>
    <t>Topcliffe</t>
  </si>
  <si>
    <t>North YorkshireTowton (group name Grimston Kirby Wharfe &amp; Towton)</t>
  </si>
  <si>
    <t>E2702P611</t>
  </si>
  <si>
    <t>Towton (group name Grimston Kirby Wharfe &amp; Towton)</t>
  </si>
  <si>
    <t>North YorkshireTunstall</t>
  </si>
  <si>
    <t>E2702P612</t>
  </si>
  <si>
    <t>North YorkshireUckerby</t>
  </si>
  <si>
    <t>E2702P613</t>
  </si>
  <si>
    <t>Uckerby</t>
  </si>
  <si>
    <t>North YorkshireUgthorpe (grouped with Hutton Mulgrave)</t>
  </si>
  <si>
    <t>E2702P614</t>
  </si>
  <si>
    <t>Ugthorpe (grouped with Hutton Mulgrave)</t>
  </si>
  <si>
    <t>North YorkshireUlleskelf</t>
  </si>
  <si>
    <t>E2702P615</t>
  </si>
  <si>
    <t>Ulleskelf</t>
  </si>
  <si>
    <t>North YorkshireUpper Nidderdale</t>
  </si>
  <si>
    <t>E2702P616</t>
  </si>
  <si>
    <t>Upper Nidderdale</t>
  </si>
  <si>
    <t>North YorkshireUpsall</t>
  </si>
  <si>
    <t>E2702P617</t>
  </si>
  <si>
    <t>Upsall</t>
  </si>
  <si>
    <t>North YorkshireWalburn</t>
  </si>
  <si>
    <t>E2702P618</t>
  </si>
  <si>
    <t>Walburn</t>
  </si>
  <si>
    <t>North YorkshireWalden Stubbs</t>
  </si>
  <si>
    <t>E2702P619</t>
  </si>
  <si>
    <t>Walden Stubbs</t>
  </si>
  <si>
    <t>North YorkshireWalkingham Hill with Occaney</t>
  </si>
  <si>
    <t>E2702P620</t>
  </si>
  <si>
    <t>Walkingham Hill with Occaney</t>
  </si>
  <si>
    <t>North YorkshireWarlaby</t>
  </si>
  <si>
    <t>E2702P621</t>
  </si>
  <si>
    <t>Warlaby</t>
  </si>
  <si>
    <t>North YorkshireWarthill</t>
  </si>
  <si>
    <t>E2702P622</t>
  </si>
  <si>
    <t>Warthill</t>
  </si>
  <si>
    <t>North YorkshireWashburn grouped Parish Council</t>
  </si>
  <si>
    <t>E2702P623</t>
  </si>
  <si>
    <t>Washburn grouped Parish Council</t>
  </si>
  <si>
    <t>North YorkshireWath &amp; Norton Conyers</t>
  </si>
  <si>
    <t>E2702P624</t>
  </si>
  <si>
    <t>Wath &amp; Norton Conyers</t>
  </si>
  <si>
    <t>North YorkshireWeaverthorpe</t>
  </si>
  <si>
    <t>E2702P625</t>
  </si>
  <si>
    <t>Weaverthorpe</t>
  </si>
  <si>
    <t>North YorkshireWeeton</t>
  </si>
  <si>
    <t>E2702P626</t>
  </si>
  <si>
    <t>Weeton</t>
  </si>
  <si>
    <t>North YorkshireWelburn (Amotherby Ward)</t>
  </si>
  <si>
    <t>E2702P627</t>
  </si>
  <si>
    <t>Welburn (Amotherby Ward)</t>
  </si>
  <si>
    <t>North YorkshireWelburn (Kirkbymoorside Ward)</t>
  </si>
  <si>
    <t>E2702P628</t>
  </si>
  <si>
    <t>Welburn (Kirkbymoorside Ward)</t>
  </si>
  <si>
    <t>North YorkshireWelbury</t>
  </si>
  <si>
    <t>E2702P629</t>
  </si>
  <si>
    <t>Welbury</t>
  </si>
  <si>
    <t>North YorkshireWell</t>
  </si>
  <si>
    <t>E2702P630</t>
  </si>
  <si>
    <t>North YorkshireWensley</t>
  </si>
  <si>
    <t>E2702P631</t>
  </si>
  <si>
    <t>Wensley</t>
  </si>
  <si>
    <t>North YorkshireWest Ayton</t>
  </si>
  <si>
    <t>E2702P632</t>
  </si>
  <si>
    <t>West Ayton</t>
  </si>
  <si>
    <t>North YorkshireWest Haddlesey</t>
  </si>
  <si>
    <t>E2702P633</t>
  </si>
  <si>
    <t>West Haddlesey</t>
  </si>
  <si>
    <t>North YorkshireWest Harlsey</t>
  </si>
  <si>
    <t>E2702P634</t>
  </si>
  <si>
    <t>West Harlsey</t>
  </si>
  <si>
    <t>North YorkshireWest Hauxwell</t>
  </si>
  <si>
    <t>E2702P635</t>
  </si>
  <si>
    <t>West Hauxwell</t>
  </si>
  <si>
    <t>North YorkshireWest Layton</t>
  </si>
  <si>
    <t>E2702P636</t>
  </si>
  <si>
    <t>West Layton</t>
  </si>
  <si>
    <t>North YorkshireWest Rounton</t>
  </si>
  <si>
    <t>E2702P637</t>
  </si>
  <si>
    <t>West Rounton</t>
  </si>
  <si>
    <t>North YorkshireWest Scrafton</t>
  </si>
  <si>
    <t>E2702P638</t>
  </si>
  <si>
    <t>West Scrafton</t>
  </si>
  <si>
    <t>North YorkshireWest Tanfield</t>
  </si>
  <si>
    <t>E2702P639</t>
  </si>
  <si>
    <t>West Tanfield</t>
  </si>
  <si>
    <t>North YorkshireWest Witton</t>
  </si>
  <si>
    <t>E2702P640</t>
  </si>
  <si>
    <t>West Witton</t>
  </si>
  <si>
    <t>North YorkshireWesterdale (grouped with Commondale and Danby)</t>
  </si>
  <si>
    <t>E2702P641</t>
  </si>
  <si>
    <t>Westerdale (grouped with Commondale and Danby)</t>
  </si>
  <si>
    <t>North YorkshireWestow</t>
  </si>
  <si>
    <t>E2702P642</t>
  </si>
  <si>
    <t>Westow</t>
  </si>
  <si>
    <t>North YorkshireWharram</t>
  </si>
  <si>
    <t>E2702P643</t>
  </si>
  <si>
    <t>Wharram</t>
  </si>
  <si>
    <t>North YorkshireWhashton</t>
  </si>
  <si>
    <t>E2702P644</t>
  </si>
  <si>
    <t>Whashton</t>
  </si>
  <si>
    <t>North YorkshireWhenby</t>
  </si>
  <si>
    <t>E2702P645</t>
  </si>
  <si>
    <t>Whenby</t>
  </si>
  <si>
    <t>North YorkshireWhitby</t>
  </si>
  <si>
    <t>E2702P646</t>
  </si>
  <si>
    <t>Whitby</t>
  </si>
  <si>
    <t>North YorkshireWhitley</t>
  </si>
  <si>
    <t>E2702P647</t>
  </si>
  <si>
    <t>North YorkshireWhitwell</t>
  </si>
  <si>
    <t>E2702P648</t>
  </si>
  <si>
    <t>North YorkshireWhitwell on the Hill &amp; Crambe</t>
  </si>
  <si>
    <t>E2702P649</t>
  </si>
  <si>
    <t>Whitwell on the Hill &amp; Crambe</t>
  </si>
  <si>
    <t>North YorkshireWhixley</t>
  </si>
  <si>
    <t>E2702P650</t>
  </si>
  <si>
    <t>Whixley</t>
  </si>
  <si>
    <t>North YorkshireWhorlton</t>
  </si>
  <si>
    <t>E2702P651</t>
  </si>
  <si>
    <t>Whorlton</t>
  </si>
  <si>
    <t>North YorkshireWigglesworth (Ribble Banks Group)</t>
  </si>
  <si>
    <t>E2702P652</t>
  </si>
  <si>
    <t>Wigglesworth (Ribble Banks Group)</t>
  </si>
  <si>
    <t>North YorkshireWighill</t>
  </si>
  <si>
    <t>E2702P653</t>
  </si>
  <si>
    <t>Wighill</t>
  </si>
  <si>
    <t>North YorkshireWildon Grange</t>
  </si>
  <si>
    <t>E2702P654</t>
  </si>
  <si>
    <t>Wildon Grange</t>
  </si>
  <si>
    <t>North YorkshireWillerby</t>
  </si>
  <si>
    <t>E2702P655</t>
  </si>
  <si>
    <t>North YorkshireWinton Stank and Hallikeld</t>
  </si>
  <si>
    <t>E2702P656</t>
  </si>
  <si>
    <t>Winton Stank and Hallikeld</t>
  </si>
  <si>
    <t>North YorkshireWintringham</t>
  </si>
  <si>
    <t>E2702P657</t>
  </si>
  <si>
    <t>Wintringham</t>
  </si>
  <si>
    <t>North YorkshireWistow</t>
  </si>
  <si>
    <t>E2702P658</t>
  </si>
  <si>
    <t>North YorkshireWombleton</t>
  </si>
  <si>
    <t>E2702P659</t>
  </si>
  <si>
    <t>Wombleton</t>
  </si>
  <si>
    <t>North YorkshireWomersley</t>
  </si>
  <si>
    <t>E2702P660</t>
  </si>
  <si>
    <t>Womersley</t>
  </si>
  <si>
    <t>North YorkshireWykeham</t>
  </si>
  <si>
    <t>E2702P661</t>
  </si>
  <si>
    <t>Wykeham</t>
  </si>
  <si>
    <t>North YorkshireYafforth</t>
  </si>
  <si>
    <t>E2702P662</t>
  </si>
  <si>
    <t>Yafforth</t>
  </si>
  <si>
    <t>North YorkshireYearsley</t>
  </si>
  <si>
    <t>E2702P663</t>
  </si>
  <si>
    <t>Yearsley</t>
  </si>
  <si>
    <t>North YorkshireYoulton</t>
  </si>
  <si>
    <t>E2702P664</t>
  </si>
  <si>
    <t>Youlton</t>
  </si>
  <si>
    <t>North YorkshireHarrogate</t>
  </si>
  <si>
    <t>E2702P665</t>
  </si>
  <si>
    <t>North YorkshireScarborough</t>
  </si>
  <si>
    <t>E2702P666</t>
  </si>
  <si>
    <t>North NorthamptonshireAldwincle</t>
  </si>
  <si>
    <t>E2801P001</t>
  </si>
  <si>
    <t>Aldwincle</t>
  </si>
  <si>
    <t>North NorthamptonshireApethorpe</t>
  </si>
  <si>
    <t>E2801P002</t>
  </si>
  <si>
    <t>Apethorpe</t>
  </si>
  <si>
    <t>North NorthamptonshireAshley</t>
  </si>
  <si>
    <t>E2801P003</t>
  </si>
  <si>
    <t>North NorthamptonshireAshton</t>
  </si>
  <si>
    <t>E2801P004</t>
  </si>
  <si>
    <t>North NorthamptonshireBarnwell</t>
  </si>
  <si>
    <t>E2801P005</t>
  </si>
  <si>
    <t>Barnwell</t>
  </si>
  <si>
    <t>North NorthamptonshireBarton Seagrave</t>
  </si>
  <si>
    <t>E2801P006</t>
  </si>
  <si>
    <t>Barton Seagrave</t>
  </si>
  <si>
    <t>North NorthamptonshireBenefield</t>
  </si>
  <si>
    <t>E2801P007</t>
  </si>
  <si>
    <t>Benefield</t>
  </si>
  <si>
    <t>North NorthamptonshireBlatherwycke</t>
  </si>
  <si>
    <t>E2801P008</t>
  </si>
  <si>
    <t>Blatherwycke</t>
  </si>
  <si>
    <t>North NorthamptonshireBozeat</t>
  </si>
  <si>
    <t>E2801P009</t>
  </si>
  <si>
    <t>Bozeat</t>
  </si>
  <si>
    <t>North NorthamptonshireBrampton Ash</t>
  </si>
  <si>
    <t>E2801P010</t>
  </si>
  <si>
    <t>Brampton Ash</t>
  </si>
  <si>
    <t>North NorthamptonshireBraybrooke</t>
  </si>
  <si>
    <t>E2801P011</t>
  </si>
  <si>
    <t>Braybrooke</t>
  </si>
  <si>
    <t>North NorthamptonshireBrigstock</t>
  </si>
  <si>
    <t>E2801P012</t>
  </si>
  <si>
    <t>Brigstock</t>
  </si>
  <si>
    <t>North NorthamptonshireBroughton</t>
  </si>
  <si>
    <t>E2801P013</t>
  </si>
  <si>
    <t>North NorthamptonshireBulwick</t>
  </si>
  <si>
    <t>E2801P014</t>
  </si>
  <si>
    <t>Bulwick</t>
  </si>
  <si>
    <t>North NorthamptonshireBurton Latimer</t>
  </si>
  <si>
    <t>E2801P015</t>
  </si>
  <si>
    <t>Burton Latimer</t>
  </si>
  <si>
    <t>North NorthamptonshireChelveston cum Caldecott</t>
  </si>
  <si>
    <t>E2801P016</t>
  </si>
  <si>
    <t>Chelveston cum Caldecott</t>
  </si>
  <si>
    <t>North NorthamptonshireClopton</t>
  </si>
  <si>
    <t>E2801P017</t>
  </si>
  <si>
    <t>Clopton</t>
  </si>
  <si>
    <t>North NorthamptonshireCollyweston</t>
  </si>
  <si>
    <t>E2801P018</t>
  </si>
  <si>
    <t>Collyweston</t>
  </si>
  <si>
    <t>North NorthamptonshireCotterstock</t>
  </si>
  <si>
    <t>E2801P019</t>
  </si>
  <si>
    <t>Cotterstock</t>
  </si>
  <si>
    <t>North NorthamptonshireCottingham</t>
  </si>
  <si>
    <t>E2801P020</t>
  </si>
  <si>
    <t>North NorthamptonshireCranford</t>
  </si>
  <si>
    <t>E2801P021</t>
  </si>
  <si>
    <t>Cranford</t>
  </si>
  <si>
    <t>North NorthamptonshireCransley</t>
  </si>
  <si>
    <t>E2801P022</t>
  </si>
  <si>
    <t>Cransley</t>
  </si>
  <si>
    <t>North NorthamptonshireDeene (grouped with Deenethorpe)</t>
  </si>
  <si>
    <t>E2801P023</t>
  </si>
  <si>
    <t>Deene (grouped with Deenethorpe)</t>
  </si>
  <si>
    <t>North NorthamptonshireDeenethorpe (grouped with Deene)</t>
  </si>
  <si>
    <t>E2801P024</t>
  </si>
  <si>
    <t>Deenethorpe (grouped with Deene)</t>
  </si>
  <si>
    <t>North NorthamptonshireDenford</t>
  </si>
  <si>
    <t>E2801P025</t>
  </si>
  <si>
    <t>Denford</t>
  </si>
  <si>
    <t>North NorthamptonshireDesborough</t>
  </si>
  <si>
    <t>E2801P026</t>
  </si>
  <si>
    <t>Desborough</t>
  </si>
  <si>
    <t>North NorthamptonshireDingley</t>
  </si>
  <si>
    <t>E2801P027</t>
  </si>
  <si>
    <t>Dingley</t>
  </si>
  <si>
    <t>North NorthamptonshireDuddington with Fineshade</t>
  </si>
  <si>
    <t>E2801P028</t>
  </si>
  <si>
    <t>Duddington with Fineshade</t>
  </si>
  <si>
    <t>North NorthamptonshireEarls Barton</t>
  </si>
  <si>
    <t>E2801P029</t>
  </si>
  <si>
    <t>Earls Barton</t>
  </si>
  <si>
    <t>North NorthamptonshireEast Carlton</t>
  </si>
  <si>
    <t>E2801P030</t>
  </si>
  <si>
    <t>East Carlton</t>
  </si>
  <si>
    <t>North NorthamptonshireEaston Maudit</t>
  </si>
  <si>
    <t>E2801P031</t>
  </si>
  <si>
    <t>Easton Maudit</t>
  </si>
  <si>
    <t>North NorthamptonshireEaston on the Hill</t>
  </si>
  <si>
    <t>E2801P032</t>
  </si>
  <si>
    <t>Easton on the Hill</t>
  </si>
  <si>
    <t>North NorthamptonshireEcton</t>
  </si>
  <si>
    <t>E2801P033</t>
  </si>
  <si>
    <t>Ecton</t>
  </si>
  <si>
    <t>North NorthamptonshireFinedon</t>
  </si>
  <si>
    <t>E2801P034</t>
  </si>
  <si>
    <t>Finedon</t>
  </si>
  <si>
    <t>North NorthamptonshireFotheringhay</t>
  </si>
  <si>
    <t>E2801P035</t>
  </si>
  <si>
    <t>Fotheringhay</t>
  </si>
  <si>
    <t>North NorthamptonshireGeddington Newton and Little Oakley</t>
  </si>
  <si>
    <t>E2801P036</t>
  </si>
  <si>
    <t>Geddington Newton and Little Oakley</t>
  </si>
  <si>
    <t>North NorthamptonshireGlapthorn</t>
  </si>
  <si>
    <t>E2801P037</t>
  </si>
  <si>
    <t>Glapthorn</t>
  </si>
  <si>
    <t>North NorthamptonshireGrafton Underwood</t>
  </si>
  <si>
    <t>E2801P038</t>
  </si>
  <si>
    <t>Grafton Underwood</t>
  </si>
  <si>
    <t>North NorthamptonshireGreat Addington</t>
  </si>
  <si>
    <t>E2801P039</t>
  </si>
  <si>
    <t>Great Addington</t>
  </si>
  <si>
    <t>North NorthamptonshireGreat Doddington</t>
  </si>
  <si>
    <t>E2801P040</t>
  </si>
  <si>
    <t>Great Doddington</t>
  </si>
  <si>
    <t>North NorthamptonshireGreat Harrowden</t>
  </si>
  <si>
    <t>E2801P041</t>
  </si>
  <si>
    <t>Great Harrowden</t>
  </si>
  <si>
    <t>North NorthamptonshireGrendon</t>
  </si>
  <si>
    <t>E2801P042</t>
  </si>
  <si>
    <t>Grendon</t>
  </si>
  <si>
    <t>North NorthamptonshireGretton</t>
  </si>
  <si>
    <t>E2801P043</t>
  </si>
  <si>
    <t>North NorthamptonshireHardwick</t>
  </si>
  <si>
    <t>E2801P044</t>
  </si>
  <si>
    <t>North NorthamptonshireHargrave</t>
  </si>
  <si>
    <t>E2801P045</t>
  </si>
  <si>
    <t>Hargrave</t>
  </si>
  <si>
    <t>North NorthamptonshireHarrington</t>
  </si>
  <si>
    <t>E2801P046</t>
  </si>
  <si>
    <t>North NorthamptonshireHarringworth</t>
  </si>
  <si>
    <t>E2801P047</t>
  </si>
  <si>
    <t>Harringworth</t>
  </si>
  <si>
    <t>North NorthamptonshireHemington (grouped with Luddington &amp; Thurning)</t>
  </si>
  <si>
    <t>E2801P048</t>
  </si>
  <si>
    <t>Hemington (grouped with Luddington &amp; Thurning)</t>
  </si>
  <si>
    <t>North NorthamptonshireHigham Ferrers</t>
  </si>
  <si>
    <t>E2801P049</t>
  </si>
  <si>
    <t>Higham Ferrers</t>
  </si>
  <si>
    <t>North NorthamptonshireIrchester</t>
  </si>
  <si>
    <t>E2801P050</t>
  </si>
  <si>
    <t>Irchester</t>
  </si>
  <si>
    <t>North NorthamptonshireIrthlingborough</t>
  </si>
  <si>
    <t>E2801P051</t>
  </si>
  <si>
    <t>Irthlingborough</t>
  </si>
  <si>
    <t>North NorthamptonshireIsham</t>
  </si>
  <si>
    <t>E2801P052</t>
  </si>
  <si>
    <t>Isham</t>
  </si>
  <si>
    <t>North NorthamptonshireIslip</t>
  </si>
  <si>
    <t>E2801P053</t>
  </si>
  <si>
    <t>Islip</t>
  </si>
  <si>
    <t>North NorthamptonshireKing's Cliffe</t>
  </si>
  <si>
    <t>E2801P054</t>
  </si>
  <si>
    <t>King's Cliffe</t>
  </si>
  <si>
    <t>North NorthamptonshireLaxton</t>
  </si>
  <si>
    <t>E2801P055</t>
  </si>
  <si>
    <t>North NorthamptonshireLilford cum Wigsthorpe (grouped with Thorpe Achurch)</t>
  </si>
  <si>
    <t>E2801P056</t>
  </si>
  <si>
    <t>Lilford cum Wigsthorpe (grouped with Thorpe Achurch)</t>
  </si>
  <si>
    <t>North NorthamptonshireLittle Addington</t>
  </si>
  <si>
    <t>E2801P057</t>
  </si>
  <si>
    <t>Little Addington</t>
  </si>
  <si>
    <t>North NorthamptonshireLittle Harrowden</t>
  </si>
  <si>
    <t>E2801P058</t>
  </si>
  <si>
    <t>Little Harrowden</t>
  </si>
  <si>
    <t>North NorthamptonshireLittle Stanion</t>
  </si>
  <si>
    <t>E2801P059</t>
  </si>
  <si>
    <t>Little Stanion</t>
  </si>
  <si>
    <t>North NorthamptonshireLoddington</t>
  </si>
  <si>
    <t>E2801P060</t>
  </si>
  <si>
    <t>North NorthamptonshireLowick</t>
  </si>
  <si>
    <t>E2801P061</t>
  </si>
  <si>
    <t>North NorthamptonshireLuddington (grouped with Hemington &amp; Thurning)</t>
  </si>
  <si>
    <t>E2801P062</t>
  </si>
  <si>
    <t>Luddington (grouped with Hemington &amp; Thurning)</t>
  </si>
  <si>
    <t>North NorthamptonshireLutton</t>
  </si>
  <si>
    <t>E2801P063</t>
  </si>
  <si>
    <t>North NorthamptonshireMawsley</t>
  </si>
  <si>
    <t>E2801P064</t>
  </si>
  <si>
    <t>Mawsley</t>
  </si>
  <si>
    <t>North NorthamptonshireMears Ashby</t>
  </si>
  <si>
    <t>E2801P065</t>
  </si>
  <si>
    <t>Mears Ashby</t>
  </si>
  <si>
    <t>North NorthamptonshireMiddleton</t>
  </si>
  <si>
    <t>E2801P066</t>
  </si>
  <si>
    <t>North NorthamptonshireNassington</t>
  </si>
  <si>
    <t>E2801P067</t>
  </si>
  <si>
    <t>Nassington</t>
  </si>
  <si>
    <t>North NorthamptonshireNewton Bromswold</t>
  </si>
  <si>
    <t>E2801P068</t>
  </si>
  <si>
    <t>Newton Bromswold</t>
  </si>
  <si>
    <t>North NorthamptonshireOrlingbury</t>
  </si>
  <si>
    <t>E2801P069</t>
  </si>
  <si>
    <t>Orlingbury</t>
  </si>
  <si>
    <t>North NorthamptonshireOrton</t>
  </si>
  <si>
    <t>E2801P070</t>
  </si>
  <si>
    <t>North NorthamptonshireOundle</t>
  </si>
  <si>
    <t>E2801P071</t>
  </si>
  <si>
    <t>Oundle</t>
  </si>
  <si>
    <t>North NorthamptonshirePilton (grouped with Stoke Doyle &amp; Wadenhoe)</t>
  </si>
  <si>
    <t>E2801P072</t>
  </si>
  <si>
    <t>Pilton (grouped with Stoke Doyle &amp; Wadenhoe)</t>
  </si>
  <si>
    <t>North NorthamptonshirePolebrook</t>
  </si>
  <si>
    <t>E2801P073</t>
  </si>
  <si>
    <t>Polebrook</t>
  </si>
  <si>
    <t>North NorthamptonshirePytchley</t>
  </si>
  <si>
    <t>E2801P074</t>
  </si>
  <si>
    <t>Pytchley</t>
  </si>
  <si>
    <t>North NorthamptonshireRaunds</t>
  </si>
  <si>
    <t>E2801P075</t>
  </si>
  <si>
    <t>Raunds</t>
  </si>
  <si>
    <t>North NorthamptonshireRingstead</t>
  </si>
  <si>
    <t>E2801P076</t>
  </si>
  <si>
    <t>North NorthamptonshireRockingham</t>
  </si>
  <si>
    <t>E2801P077</t>
  </si>
  <si>
    <t>Rockingham</t>
  </si>
  <si>
    <t>North NorthamptonshireRothwell</t>
  </si>
  <si>
    <t>E2801P078</t>
  </si>
  <si>
    <t>North NorthamptonshireRushden</t>
  </si>
  <si>
    <t>E2801P079</t>
  </si>
  <si>
    <t>Rushden</t>
  </si>
  <si>
    <t>North NorthamptonshireRushton</t>
  </si>
  <si>
    <t>E2801P080</t>
  </si>
  <si>
    <t>North NorthamptonshireSouthwick</t>
  </si>
  <si>
    <t>E2801P081</t>
  </si>
  <si>
    <t>Southwick</t>
  </si>
  <si>
    <t>North NorthamptonshireStanion</t>
  </si>
  <si>
    <t>E2801P082</t>
  </si>
  <si>
    <t>Stanion</t>
  </si>
  <si>
    <t>North NorthamptonshireStanwick</t>
  </si>
  <si>
    <t>E2801P083</t>
  </si>
  <si>
    <t>Stanwick</t>
  </si>
  <si>
    <t>North NorthamptonshireStoke Albany</t>
  </si>
  <si>
    <t>E2801P084</t>
  </si>
  <si>
    <t>Stoke Albany</t>
  </si>
  <si>
    <t>North NorthamptonshireStoke Doyle (grouped with Pilton &amp; Wadenhoe)</t>
  </si>
  <si>
    <t>E2801P085</t>
  </si>
  <si>
    <t>Stoke Doyle (grouped with Pilton &amp; Wadenhoe)</t>
  </si>
  <si>
    <t>North NorthamptonshireStrixton</t>
  </si>
  <si>
    <t>E2801P086</t>
  </si>
  <si>
    <t>Strixton</t>
  </si>
  <si>
    <t>North NorthamptonshireSudborough</t>
  </si>
  <si>
    <t>E2801P087</t>
  </si>
  <si>
    <t>Sudborough</t>
  </si>
  <si>
    <t>North NorthamptonshireSutton Bassett</t>
  </si>
  <si>
    <t>E2801P088</t>
  </si>
  <si>
    <t>Sutton Bassett</t>
  </si>
  <si>
    <t>North NorthamptonshireSywell</t>
  </si>
  <si>
    <t>E2801P089</t>
  </si>
  <si>
    <t>Sywell</t>
  </si>
  <si>
    <t>North NorthamptonshireTansor</t>
  </si>
  <si>
    <t>E2801P090</t>
  </si>
  <si>
    <t>Tansor</t>
  </si>
  <si>
    <t>North NorthamptonshireThorpe Achurch (grouped with Lilford cum Wigsthorpe)</t>
  </si>
  <si>
    <t>E2801P091</t>
  </si>
  <si>
    <t>Thorpe Achurch (grouped with Lilford cum Wigsthorpe)</t>
  </si>
  <si>
    <t>North NorthamptonshireThorpe Malsor</t>
  </si>
  <si>
    <t>E2801P092</t>
  </si>
  <si>
    <t>Thorpe Malsor</t>
  </si>
  <si>
    <t>North NorthamptonshireThrapston</t>
  </si>
  <si>
    <t>E2801P093</t>
  </si>
  <si>
    <t>Thrapston</t>
  </si>
  <si>
    <t>North NorthamptonshireThurning (grouped with Hemington &amp; Luddington)</t>
  </si>
  <si>
    <t>E2801P094</t>
  </si>
  <si>
    <t>Thurning (grouped with Hemington &amp; Luddington)</t>
  </si>
  <si>
    <t>North NorthamptonshireTitchmarsh</t>
  </si>
  <si>
    <t>E2801P095</t>
  </si>
  <si>
    <t>Titchmarsh</t>
  </si>
  <si>
    <t>North NorthamptonshireTwywell</t>
  </si>
  <si>
    <t>E2801P096</t>
  </si>
  <si>
    <t>Twywell</t>
  </si>
  <si>
    <t>North NorthamptonshireWadenhoe (grouped with Pilton &amp; Stoke Doyle)</t>
  </si>
  <si>
    <t>E2801P097</t>
  </si>
  <si>
    <t>Wadenhoe (grouped with Pilton &amp; Stoke Doyle)</t>
  </si>
  <si>
    <t>North NorthamptonshireWakerley</t>
  </si>
  <si>
    <t>E2801P098</t>
  </si>
  <si>
    <t>Wakerley</t>
  </si>
  <si>
    <t>North NorthamptonshireWarkton</t>
  </si>
  <si>
    <t>E2801P099</t>
  </si>
  <si>
    <t>Warkton</t>
  </si>
  <si>
    <t>North NorthamptonshireWarmington</t>
  </si>
  <si>
    <t>E2801P100</t>
  </si>
  <si>
    <t>Warmington</t>
  </si>
  <si>
    <t>North NorthamptonshireWeekley</t>
  </si>
  <si>
    <t>E2801P101</t>
  </si>
  <si>
    <t>Weekley</t>
  </si>
  <si>
    <t>North NorthamptonshireWeldon</t>
  </si>
  <si>
    <t>E2801P102</t>
  </si>
  <si>
    <t>Weldon</t>
  </si>
  <si>
    <t>North NorthamptonshireWellingborough</t>
  </si>
  <si>
    <t>E2801P103</t>
  </si>
  <si>
    <t>Wellingborough</t>
  </si>
  <si>
    <t>North NorthamptonshireWeston by Welland</t>
  </si>
  <si>
    <t>E2801P104</t>
  </si>
  <si>
    <t>Weston by Welland</t>
  </si>
  <si>
    <t>North NorthamptonshireWilbarston</t>
  </si>
  <si>
    <t>E2801P105</t>
  </si>
  <si>
    <t>Wilbarston</t>
  </si>
  <si>
    <t>North NorthamptonshireWilby</t>
  </si>
  <si>
    <t>E2801P106</t>
  </si>
  <si>
    <t>Wilby</t>
  </si>
  <si>
    <t>North NorthamptonshireWollaston</t>
  </si>
  <si>
    <t>E2801P107</t>
  </si>
  <si>
    <t>Wollaston</t>
  </si>
  <si>
    <t>North NorthamptonshireWoodford</t>
  </si>
  <si>
    <t>E2801P108</t>
  </si>
  <si>
    <t>Woodford</t>
  </si>
  <si>
    <t>North NorthamptonshireWoodnewton</t>
  </si>
  <si>
    <t>E2801P109</t>
  </si>
  <si>
    <t>Woodnewton</t>
  </si>
  <si>
    <t>North NorthamptonshireYarwell</t>
  </si>
  <si>
    <t>E2801P110</t>
  </si>
  <si>
    <t>Yarwell</t>
  </si>
  <si>
    <t>North NorthamptonshireCorby</t>
  </si>
  <si>
    <t>E2801P111</t>
  </si>
  <si>
    <t>Corby</t>
  </si>
  <si>
    <t>North NorthamptonshireKettering</t>
  </si>
  <si>
    <t>E2801P112</t>
  </si>
  <si>
    <t>Kettering</t>
  </si>
  <si>
    <t>West NorthamptonshireAlthorp</t>
  </si>
  <si>
    <t>E2802P001</t>
  </si>
  <si>
    <t>Althorp</t>
  </si>
  <si>
    <t>West NorthamptonshireArthingworth</t>
  </si>
  <si>
    <t>E2802P002</t>
  </si>
  <si>
    <t>Arthingworth</t>
  </si>
  <si>
    <t>West NorthamptonshireAbthorpe</t>
  </si>
  <si>
    <t>E2802P003</t>
  </si>
  <si>
    <t>Abthorpe</t>
  </si>
  <si>
    <t>West NorthamptonshireAdstone</t>
  </si>
  <si>
    <t>E2802P004</t>
  </si>
  <si>
    <t>Adstone</t>
  </si>
  <si>
    <t>West NorthamptonshireAlderton</t>
  </si>
  <si>
    <t>E2802P005</t>
  </si>
  <si>
    <t>West NorthamptonshireAshby St Ledgers</t>
  </si>
  <si>
    <t>E2802P006</t>
  </si>
  <si>
    <t>Ashby St Ledgers</t>
  </si>
  <si>
    <t>West NorthamptonshireAshton</t>
  </si>
  <si>
    <t>E2802P007</t>
  </si>
  <si>
    <t>West NorthamptonshireAston le Walls</t>
  </si>
  <si>
    <t>E2802P008</t>
  </si>
  <si>
    <t>Aston le Walls</t>
  </si>
  <si>
    <t>West NorthamptonshireAynho</t>
  </si>
  <si>
    <t>E2802P009</t>
  </si>
  <si>
    <t>Aynho</t>
  </si>
  <si>
    <t>West NorthamptonshireBadby</t>
  </si>
  <si>
    <t>E2802P010</t>
  </si>
  <si>
    <t>Badby</t>
  </si>
  <si>
    <t>West NorthamptonshireBarby</t>
  </si>
  <si>
    <t>E2802P011</t>
  </si>
  <si>
    <t>Barby</t>
  </si>
  <si>
    <t>West NorthamptonshireBilling</t>
  </si>
  <si>
    <t>E2802P012</t>
  </si>
  <si>
    <t>Billing</t>
  </si>
  <si>
    <t>West NorthamptonshireBlakesley</t>
  </si>
  <si>
    <t>E2802P013</t>
  </si>
  <si>
    <t>Blakesley</t>
  </si>
  <si>
    <t>West NorthamptonshireBlisworth</t>
  </si>
  <si>
    <t>E2802P014</t>
  </si>
  <si>
    <t>Blisworth</t>
  </si>
  <si>
    <t>West NorthamptonshireBoddington</t>
  </si>
  <si>
    <t>E2802P015</t>
  </si>
  <si>
    <t>West NorthamptonshireBoughton</t>
  </si>
  <si>
    <t>E2802P016</t>
  </si>
  <si>
    <t>West NorthamptonshireBrackley</t>
  </si>
  <si>
    <t>E2802P017</t>
  </si>
  <si>
    <t>Brackley</t>
  </si>
  <si>
    <t>West NorthamptonshireBradden</t>
  </si>
  <si>
    <t>E2802P018</t>
  </si>
  <si>
    <t>Bradden</t>
  </si>
  <si>
    <t>West NorthamptonshireBrafield on the Green</t>
  </si>
  <si>
    <t>E2802P019</t>
  </si>
  <si>
    <t>Brafield on the Green</t>
  </si>
  <si>
    <t>West NorthamptonshireBraunston</t>
  </si>
  <si>
    <t>E2802P020</t>
  </si>
  <si>
    <t>Braunston</t>
  </si>
  <si>
    <t>West NorthamptonshireBrington</t>
  </si>
  <si>
    <t>E2802P021</t>
  </si>
  <si>
    <t>Brington</t>
  </si>
  <si>
    <t>West NorthamptonshireBrixworth</t>
  </si>
  <si>
    <t>E2802P022</t>
  </si>
  <si>
    <t>Brixworth</t>
  </si>
  <si>
    <t>West NorthamptonshireBrockhall</t>
  </si>
  <si>
    <t>E2802P023</t>
  </si>
  <si>
    <t>Brockhall</t>
  </si>
  <si>
    <t>West NorthamptonshireBugbrooke</t>
  </si>
  <si>
    <t>E2802P024</t>
  </si>
  <si>
    <t>Bugbrooke</t>
  </si>
  <si>
    <t>West NorthamptonshireByfield</t>
  </si>
  <si>
    <t>E2802P025</t>
  </si>
  <si>
    <t>Byfield</t>
  </si>
  <si>
    <t>West NorthamptonshireCanons Ashby</t>
  </si>
  <si>
    <t>E2802P026</t>
  </si>
  <si>
    <t>Canons Ashby</t>
  </si>
  <si>
    <t>West NorthamptonshireCastle Ashby</t>
  </si>
  <si>
    <t>E2802P027</t>
  </si>
  <si>
    <t>Castle Ashby</t>
  </si>
  <si>
    <t>West NorthamptonshireCatesby</t>
  </si>
  <si>
    <t>E2802P028</t>
  </si>
  <si>
    <t>Catesby</t>
  </si>
  <si>
    <t>West NorthamptonshireChacombe</t>
  </si>
  <si>
    <t>E2802P029</t>
  </si>
  <si>
    <t>Chacombe</t>
  </si>
  <si>
    <t>West NorthamptonshireCharwelton</t>
  </si>
  <si>
    <t>E2802P030</t>
  </si>
  <si>
    <t>Charwelton</t>
  </si>
  <si>
    <t>West NorthamptonshireChipping Warden and Edgcote</t>
  </si>
  <si>
    <t>E2802P031</t>
  </si>
  <si>
    <t>Chipping Warden and Edgcote</t>
  </si>
  <si>
    <t>West NorthamptonshireChurch with Chapel Brampton</t>
  </si>
  <si>
    <t>E2802P032</t>
  </si>
  <si>
    <t>Church with Chapel Brampton</t>
  </si>
  <si>
    <t>West NorthamptonshireClay Coton</t>
  </si>
  <si>
    <t>E2802P033</t>
  </si>
  <si>
    <t>Clay Coton</t>
  </si>
  <si>
    <t>West NorthamptonshireClipston</t>
  </si>
  <si>
    <t>E2802P034</t>
  </si>
  <si>
    <t>Clipston</t>
  </si>
  <si>
    <t>West NorthamptonshireCogenhoe and Whiston</t>
  </si>
  <si>
    <t>E2802P035</t>
  </si>
  <si>
    <t>Cogenhoe and Whiston</t>
  </si>
  <si>
    <t>West NorthamptonshireCold Ashby</t>
  </si>
  <si>
    <t>E2802P036</t>
  </si>
  <si>
    <t>Cold Ashby</t>
  </si>
  <si>
    <t>West NorthamptonshireCold Higham</t>
  </si>
  <si>
    <t>E2802P037</t>
  </si>
  <si>
    <t>Cold Higham</t>
  </si>
  <si>
    <t>West NorthamptonshireCollingtree</t>
  </si>
  <si>
    <t>E2802P038</t>
  </si>
  <si>
    <t>Collingtree</t>
  </si>
  <si>
    <t>West NorthamptonshireCosgrove</t>
  </si>
  <si>
    <t>E2802P039</t>
  </si>
  <si>
    <t>Cosgrove</t>
  </si>
  <si>
    <t>West NorthamptonshireCottesbrooke</t>
  </si>
  <si>
    <t>E2802P040</t>
  </si>
  <si>
    <t>Cottesbrooke</t>
  </si>
  <si>
    <t>West NorthamptonshireCourteenhall</t>
  </si>
  <si>
    <t>E2802P041</t>
  </si>
  <si>
    <t>Courteenhall</t>
  </si>
  <si>
    <t>West NorthamptonshireCreaton</t>
  </si>
  <si>
    <t>E2802P042</t>
  </si>
  <si>
    <t>Creaton</t>
  </si>
  <si>
    <t>West NorthamptonshireCrick</t>
  </si>
  <si>
    <t>E2802P043</t>
  </si>
  <si>
    <t>Crick</t>
  </si>
  <si>
    <t>West NorthamptonshireCroughton</t>
  </si>
  <si>
    <t>E2802P044</t>
  </si>
  <si>
    <t>Croughton</t>
  </si>
  <si>
    <t>West NorthamptonshireCulworth</t>
  </si>
  <si>
    <t>E2802P045</t>
  </si>
  <si>
    <t>Culworth</t>
  </si>
  <si>
    <t>West NorthamptonshireDaventry</t>
  </si>
  <si>
    <t>E2802P046</t>
  </si>
  <si>
    <t>Daventry</t>
  </si>
  <si>
    <t>West NorthamptonshireDeanshanger</t>
  </si>
  <si>
    <t>E2802P047</t>
  </si>
  <si>
    <t>Deanshanger</t>
  </si>
  <si>
    <t>West NorthamptonshireDenton</t>
  </si>
  <si>
    <t>E2802P048</t>
  </si>
  <si>
    <t>West NorthamptonshireDodford</t>
  </si>
  <si>
    <t>E2802P049</t>
  </si>
  <si>
    <t>Dodford</t>
  </si>
  <si>
    <t>West NorthamptonshireDuston</t>
  </si>
  <si>
    <t>E2802P050</t>
  </si>
  <si>
    <t>Duston</t>
  </si>
  <si>
    <t>West NorthamptonshireEast Farndon</t>
  </si>
  <si>
    <t>E2802P051</t>
  </si>
  <si>
    <t>East Farndon</t>
  </si>
  <si>
    <t>West NorthamptonshireEast Haddon</t>
  </si>
  <si>
    <t>E2802P052</t>
  </si>
  <si>
    <t>East Haddon</t>
  </si>
  <si>
    <t>West NorthamptonshireEast Hunsbury</t>
  </si>
  <si>
    <t>E2802P053</t>
  </si>
  <si>
    <t>East Hunsbury</t>
  </si>
  <si>
    <t>West NorthamptonshireEaston Neston</t>
  </si>
  <si>
    <t>E2802P054</t>
  </si>
  <si>
    <t>Easton Neston</t>
  </si>
  <si>
    <t>West NorthamptonshireElkington</t>
  </si>
  <si>
    <t>E2802P055</t>
  </si>
  <si>
    <t>West NorthamptonshireEvenley</t>
  </si>
  <si>
    <t>E2802P056</t>
  </si>
  <si>
    <t>Evenley</t>
  </si>
  <si>
    <t>West NorthamptonshireEverdon</t>
  </si>
  <si>
    <t>E2802P057</t>
  </si>
  <si>
    <t>Everdon</t>
  </si>
  <si>
    <t>West NorthamptonshireEydon</t>
  </si>
  <si>
    <t>E2802P058</t>
  </si>
  <si>
    <t>Eydon</t>
  </si>
  <si>
    <t>West NorthamptonshireFarthinghoe</t>
  </si>
  <si>
    <t>E2802P059</t>
  </si>
  <si>
    <t>Farthinghoe</t>
  </si>
  <si>
    <t>West NorthamptonshireFarthingstone</t>
  </si>
  <si>
    <t>E2802P060</t>
  </si>
  <si>
    <t>Farthingstone</t>
  </si>
  <si>
    <t>West NorthamptonshireFawsley</t>
  </si>
  <si>
    <t>E2802P061</t>
  </si>
  <si>
    <t>Fawsley</t>
  </si>
  <si>
    <t>West NorthamptonshireFlore</t>
  </si>
  <si>
    <t>E2802P062</t>
  </si>
  <si>
    <t>Flore</t>
  </si>
  <si>
    <t>West NorthamptonshireGayton</t>
  </si>
  <si>
    <t>E2802P063</t>
  </si>
  <si>
    <t>West NorthamptonshireGrafton Regis</t>
  </si>
  <si>
    <t>E2802P064</t>
  </si>
  <si>
    <t>Grafton Regis</t>
  </si>
  <si>
    <t>West NorthamptonshireGrange Park</t>
  </si>
  <si>
    <t>E2802P065</t>
  </si>
  <si>
    <t>Grange Park</t>
  </si>
  <si>
    <t>West NorthamptonshireGreat Houghton</t>
  </si>
  <si>
    <t>E2802P066</t>
  </si>
  <si>
    <t>Great Houghton</t>
  </si>
  <si>
    <t>West NorthamptonshireGreat Oxendon</t>
  </si>
  <si>
    <t>E2802P067</t>
  </si>
  <si>
    <t>Great Oxendon</t>
  </si>
  <si>
    <t>West NorthamptonshireGreatworth</t>
  </si>
  <si>
    <t>E2802P068</t>
  </si>
  <si>
    <t>Greatworth</t>
  </si>
  <si>
    <t>West NorthamptonshireGreens Norton</t>
  </si>
  <si>
    <t>E2802P069</t>
  </si>
  <si>
    <t>Greens Norton</t>
  </si>
  <si>
    <t>West NorthamptonshireGuilsborough</t>
  </si>
  <si>
    <t>E2802P070</t>
  </si>
  <si>
    <t>Guilsborough</t>
  </si>
  <si>
    <t>West NorthamptonshireHackleton</t>
  </si>
  <si>
    <t>E2802P071</t>
  </si>
  <si>
    <t>Hackleton</t>
  </si>
  <si>
    <t>West NorthamptonshireHannington</t>
  </si>
  <si>
    <t>E2802P072</t>
  </si>
  <si>
    <t>West NorthamptonshireHardingstone</t>
  </si>
  <si>
    <t>E2802P073</t>
  </si>
  <si>
    <t>Hardingstone</t>
  </si>
  <si>
    <t>West NorthamptonshireHarlestone</t>
  </si>
  <si>
    <t>E2802P074</t>
  </si>
  <si>
    <t>Harlestone</t>
  </si>
  <si>
    <t>West NorthamptonshireHarlestone Manor</t>
  </si>
  <si>
    <t>E2802P075</t>
  </si>
  <si>
    <t>Harlestone Manor</t>
  </si>
  <si>
    <t>West NorthamptonshireHarpole</t>
  </si>
  <si>
    <t>E2802P076</t>
  </si>
  <si>
    <t>Harpole</t>
  </si>
  <si>
    <t>West NorthamptonshireHartwell</t>
  </si>
  <si>
    <t>E2802P077</t>
  </si>
  <si>
    <t>Hartwell</t>
  </si>
  <si>
    <t>West NorthamptonshireHaselbech</t>
  </si>
  <si>
    <t>E2802P078</t>
  </si>
  <si>
    <t>Haselbech</t>
  </si>
  <si>
    <t>West NorthamptonshireHellidon</t>
  </si>
  <si>
    <t>E2802P079</t>
  </si>
  <si>
    <t>Hellidon</t>
  </si>
  <si>
    <t>West NorthamptonshireHelmdon</t>
  </si>
  <si>
    <t>E2802P080</t>
  </si>
  <si>
    <t>Helmdon</t>
  </si>
  <si>
    <t>West NorthamptonshireHinton in the Hedges</t>
  </si>
  <si>
    <t>E2802P081</t>
  </si>
  <si>
    <t>Hinton in the Hedges</t>
  </si>
  <si>
    <t>West NorthamptonshireHolcot</t>
  </si>
  <si>
    <t>E2802P082</t>
  </si>
  <si>
    <t>Holcot</t>
  </si>
  <si>
    <t>West NorthamptonshireHoldenby</t>
  </si>
  <si>
    <t>E2802P083</t>
  </si>
  <si>
    <t>Holdenby</t>
  </si>
  <si>
    <t>West NorthamptonshireHollowell</t>
  </si>
  <si>
    <t>E2802P084</t>
  </si>
  <si>
    <t>Hollowell</t>
  </si>
  <si>
    <t>West NorthamptonshireHunsbury Meadow</t>
  </si>
  <si>
    <t>E2802P085</t>
  </si>
  <si>
    <t>Hunsbury Meadow</t>
  </si>
  <si>
    <t>West NorthamptonshireKelmarsh</t>
  </si>
  <si>
    <t>E2802P086</t>
  </si>
  <si>
    <t>Kelmarsh</t>
  </si>
  <si>
    <t>West NorthamptonshireKilsby</t>
  </si>
  <si>
    <t>E2802P087</t>
  </si>
  <si>
    <t>Kilsby</t>
  </si>
  <si>
    <t>West NorthamptonshireKings Sutton</t>
  </si>
  <si>
    <t>E2802P088</t>
  </si>
  <si>
    <t>Kings Sutton</t>
  </si>
  <si>
    <t>West NorthamptonshireKislingbury</t>
  </si>
  <si>
    <t>E2802P089</t>
  </si>
  <si>
    <t>Kislingbury</t>
  </si>
  <si>
    <t>West NorthamptonshireLamport</t>
  </si>
  <si>
    <t>E2802P090</t>
  </si>
  <si>
    <t>Lamport</t>
  </si>
  <si>
    <t>West NorthamptonshireLilbourne</t>
  </si>
  <si>
    <t>E2802P091</t>
  </si>
  <si>
    <t>Lilbourne</t>
  </si>
  <si>
    <t>West NorthamptonshireLitchborough</t>
  </si>
  <si>
    <t>E2802P092</t>
  </si>
  <si>
    <t>Litchborough</t>
  </si>
  <si>
    <t>West NorthamptonshireLittle Houghton</t>
  </si>
  <si>
    <t>E2802P093</t>
  </si>
  <si>
    <t>Little Houghton</t>
  </si>
  <si>
    <t>West NorthamptonshireLong Buckby</t>
  </si>
  <si>
    <t>E2802P094</t>
  </si>
  <si>
    <t>Long Buckby</t>
  </si>
  <si>
    <t>West NorthamptonshireMaidford</t>
  </si>
  <si>
    <t>E2802P095</t>
  </si>
  <si>
    <t>Maidford</t>
  </si>
  <si>
    <t>West NorthamptonshireMaidwell with Draughton</t>
  </si>
  <si>
    <t>E2802P096</t>
  </si>
  <si>
    <t>Maidwell with Draughton</t>
  </si>
  <si>
    <t>West NorthamptonshireMarston St Lawrence</t>
  </si>
  <si>
    <t>E2802P097</t>
  </si>
  <si>
    <t>Marston St Lawrence</t>
  </si>
  <si>
    <t>West NorthamptonshireMarston Trussell</t>
  </si>
  <si>
    <t>E2802P098</t>
  </si>
  <si>
    <t>Marston Trussell</t>
  </si>
  <si>
    <t>West NorthamptonshireMiddleton Cheney</t>
  </si>
  <si>
    <t>E2802P099</t>
  </si>
  <si>
    <t>Middleton Cheney</t>
  </si>
  <si>
    <t>West NorthamptonshireMilton Malsor</t>
  </si>
  <si>
    <t>E2802P100</t>
  </si>
  <si>
    <t>Milton Malsor</t>
  </si>
  <si>
    <t>West NorthamptonshireMoreton Pinkney</t>
  </si>
  <si>
    <t>E2802P101</t>
  </si>
  <si>
    <t>Moreton Pinkney</t>
  </si>
  <si>
    <t>West NorthamptonshireMoulton</t>
  </si>
  <si>
    <t>E2802P102</t>
  </si>
  <si>
    <t>West NorthamptonshireNaseby</t>
  </si>
  <si>
    <t>E2802P103</t>
  </si>
  <si>
    <t>Naseby</t>
  </si>
  <si>
    <t>West NorthamptonshireNether Heyford</t>
  </si>
  <si>
    <t>E2802P104</t>
  </si>
  <si>
    <t>Nether Heyford</t>
  </si>
  <si>
    <t>West NorthamptonshireNewbottle</t>
  </si>
  <si>
    <t>E2802P105</t>
  </si>
  <si>
    <t>Newbottle</t>
  </si>
  <si>
    <t>West NorthamptonshireNewnham</t>
  </si>
  <si>
    <t>E2802P106</t>
  </si>
  <si>
    <t>West NorthamptonshireNorton</t>
  </si>
  <si>
    <t>E2802P107</t>
  </si>
  <si>
    <t>West NorthamptonshireOld</t>
  </si>
  <si>
    <t>E2802P108</t>
  </si>
  <si>
    <t>Old</t>
  </si>
  <si>
    <t>West NorthamptonshireOld Stratford</t>
  </si>
  <si>
    <t>E2802P109</t>
  </si>
  <si>
    <t>Old Stratford</t>
  </si>
  <si>
    <t>West NorthamptonshireOverstone</t>
  </si>
  <si>
    <t>E2802P110</t>
  </si>
  <si>
    <t>Overstone</t>
  </si>
  <si>
    <t>West NorthamptonshireOverthorpe</t>
  </si>
  <si>
    <t>E2802P111</t>
  </si>
  <si>
    <t>Overthorpe</t>
  </si>
  <si>
    <t>West NorthamptonshirePattishall</t>
  </si>
  <si>
    <t>E2802P112</t>
  </si>
  <si>
    <t>Pattishall</t>
  </si>
  <si>
    <t>West NorthamptonshirePaulerspury</t>
  </si>
  <si>
    <t>E2802P113</t>
  </si>
  <si>
    <t>Paulerspury</t>
  </si>
  <si>
    <t>West NorthamptonshirePitsford</t>
  </si>
  <si>
    <t>E2802P114</t>
  </si>
  <si>
    <t>Pitsford</t>
  </si>
  <si>
    <t>West NorthamptonshirePotterspury</t>
  </si>
  <si>
    <t>E2802P115</t>
  </si>
  <si>
    <t>Potterspury</t>
  </si>
  <si>
    <t>West NorthamptonshirePreston Capes</t>
  </si>
  <si>
    <t>E2802P116</t>
  </si>
  <si>
    <t>Preston Capes</t>
  </si>
  <si>
    <t>West NorthamptonshireQuinton</t>
  </si>
  <si>
    <t>E2802P117</t>
  </si>
  <si>
    <t>Quinton</t>
  </si>
  <si>
    <t>West NorthamptonshireRadstone</t>
  </si>
  <si>
    <t>E2802P118</t>
  </si>
  <si>
    <t>Radstone</t>
  </si>
  <si>
    <t>West NorthamptonshireRavensthorpe</t>
  </si>
  <si>
    <t>E2802P119</t>
  </si>
  <si>
    <t>Ravensthorpe</t>
  </si>
  <si>
    <t>West NorthamptonshireRoade</t>
  </si>
  <si>
    <t>E2802P120</t>
  </si>
  <si>
    <t>Roade</t>
  </si>
  <si>
    <t>West NorthamptonshireRothersthorpe</t>
  </si>
  <si>
    <t>E2802P121</t>
  </si>
  <si>
    <t>Rothersthorpe</t>
  </si>
  <si>
    <t>West NorthamptonshireScaldwell</t>
  </si>
  <si>
    <t>E2802P122</t>
  </si>
  <si>
    <t>Scaldwell</t>
  </si>
  <si>
    <t>West NorthamptonshireShutlanger</t>
  </si>
  <si>
    <t>E2802P123</t>
  </si>
  <si>
    <t>Shutlanger</t>
  </si>
  <si>
    <t>West NorthamptonshireSibbertoft</t>
  </si>
  <si>
    <t>E2802P124</t>
  </si>
  <si>
    <t>Sibbertoft</t>
  </si>
  <si>
    <t>West NorthamptonshireSilverstone</t>
  </si>
  <si>
    <t>E2802P125</t>
  </si>
  <si>
    <t>Silverstone</t>
  </si>
  <si>
    <t>West NorthamptonshireSlapton</t>
  </si>
  <si>
    <t>E2802P126</t>
  </si>
  <si>
    <t>West NorthamptonshireSpratton</t>
  </si>
  <si>
    <t>E2802P127</t>
  </si>
  <si>
    <t>Spratton</t>
  </si>
  <si>
    <t>West NorthamptonshireStanford</t>
  </si>
  <si>
    <t>E2802P128</t>
  </si>
  <si>
    <t>West NorthamptonshireStaverton</t>
  </si>
  <si>
    <t>E2802P129</t>
  </si>
  <si>
    <t>West NorthamptonshireStoke Bruerne</t>
  </si>
  <si>
    <t>E2802P130</t>
  </si>
  <si>
    <t>Stoke Bruerne</t>
  </si>
  <si>
    <t>West NorthamptonshireStowe IX Churches</t>
  </si>
  <si>
    <t>E2802P131</t>
  </si>
  <si>
    <t>Stowe IX Churches</t>
  </si>
  <si>
    <t>West NorthamptonshireSulby</t>
  </si>
  <si>
    <t>E2802P132</t>
  </si>
  <si>
    <t>Sulby</t>
  </si>
  <si>
    <t>West NorthamptonshireSulgrave</t>
  </si>
  <si>
    <t>E2802P133</t>
  </si>
  <si>
    <t>Sulgrave</t>
  </si>
  <si>
    <t>West NorthamptonshireSyresham</t>
  </si>
  <si>
    <t>E2802P134</t>
  </si>
  <si>
    <t>Syresham</t>
  </si>
  <si>
    <t>West NorthamptonshireThenford</t>
  </si>
  <si>
    <t>E2802P135</t>
  </si>
  <si>
    <t>Thenford</t>
  </si>
  <si>
    <t>West NorthamptonshireThornby</t>
  </si>
  <si>
    <t>E2802P136</t>
  </si>
  <si>
    <t>Thornby</t>
  </si>
  <si>
    <t>West NorthamptonshireThorpe Mandeville</t>
  </si>
  <si>
    <t>E2802P137</t>
  </si>
  <si>
    <t>Thorpe Mandeville</t>
  </si>
  <si>
    <t>West NorthamptonshireTiffield</t>
  </si>
  <si>
    <t>E2802P138</t>
  </si>
  <si>
    <t>Tiffield</t>
  </si>
  <si>
    <t>West NorthamptonshireTowcester</t>
  </si>
  <si>
    <t>E2802P139</t>
  </si>
  <si>
    <t>Towcester</t>
  </si>
  <si>
    <t>West NorthamptonshireUpper Heyford</t>
  </si>
  <si>
    <t>E2802P140</t>
  </si>
  <si>
    <t>Upper Heyford</t>
  </si>
  <si>
    <t>West NorthamptonshireUpton</t>
  </si>
  <si>
    <t>E2802P141</t>
  </si>
  <si>
    <t>West NorthamptonshireWalgrave</t>
  </si>
  <si>
    <t>E2802P142</t>
  </si>
  <si>
    <t>Walgrave</t>
  </si>
  <si>
    <t>West NorthamptonshireWappenham</t>
  </si>
  <si>
    <t>E2802P143</t>
  </si>
  <si>
    <t>Wappenham</t>
  </si>
  <si>
    <t>West NorthamptonshireWarkworth</t>
  </si>
  <si>
    <t>E2802P144</t>
  </si>
  <si>
    <t>Warkworth</t>
  </si>
  <si>
    <t>West NorthamptonshireWatford</t>
  </si>
  <si>
    <t>E2802P145</t>
  </si>
  <si>
    <t>West NorthamptonshireWeedon Bec</t>
  </si>
  <si>
    <t>E2802P146</t>
  </si>
  <si>
    <t>Weedon Bec</t>
  </si>
  <si>
    <t>West NorthamptonshireWelford</t>
  </si>
  <si>
    <t>E2802P147</t>
  </si>
  <si>
    <t>West NorthamptonshireWelton</t>
  </si>
  <si>
    <t>E2802P148</t>
  </si>
  <si>
    <t>West NorthamptonshireWest Haddon</t>
  </si>
  <si>
    <t>E2802P149</t>
  </si>
  <si>
    <t>West Haddon</t>
  </si>
  <si>
    <t>West NorthamptonshireWest Hunsbury</t>
  </si>
  <si>
    <t>E2802P150</t>
  </si>
  <si>
    <t>West Hunsbury</t>
  </si>
  <si>
    <t>West NorthamptonshireWeston and Weedon</t>
  </si>
  <si>
    <t>E2802P151</t>
  </si>
  <si>
    <t>Weston and Weedon</t>
  </si>
  <si>
    <t>West NorthamptonshireWhilton</t>
  </si>
  <si>
    <t>E2802P152</t>
  </si>
  <si>
    <t>Whilton</t>
  </si>
  <si>
    <t>West NorthamptonshireWhitfield</t>
  </si>
  <si>
    <t>E2802P153</t>
  </si>
  <si>
    <t>West NorthamptonshireWhittlebury</t>
  </si>
  <si>
    <t>E2802P154</t>
  </si>
  <si>
    <t>Whittlebury</t>
  </si>
  <si>
    <t>West NorthamptonshireWicken</t>
  </si>
  <si>
    <t>E2802P155</t>
  </si>
  <si>
    <t>West NorthamptonshireWinwick</t>
  </si>
  <si>
    <t>E2802P156</t>
  </si>
  <si>
    <t>West NorthamptonshireWoodend</t>
  </si>
  <si>
    <t>E2802P157</t>
  </si>
  <si>
    <t>Woodend</t>
  </si>
  <si>
    <t>West NorthamptonshireWoodford cum Membris</t>
  </si>
  <si>
    <t>E2802P158</t>
  </si>
  <si>
    <t>Woodford cum Membris</t>
  </si>
  <si>
    <t>West NorthamptonshireWootton</t>
  </si>
  <si>
    <t>E2802P159</t>
  </si>
  <si>
    <t>West NorthamptonshireYardley Gobion</t>
  </si>
  <si>
    <t>E2802P160</t>
  </si>
  <si>
    <t>Yardley Gobion</t>
  </si>
  <si>
    <t>West NorthamptonshireYardley Hastings</t>
  </si>
  <si>
    <t>E2802P161</t>
  </si>
  <si>
    <t>Yardley Hastings</t>
  </si>
  <si>
    <t>West NorthamptonshireYelvertoft</t>
  </si>
  <si>
    <t>E2802P162</t>
  </si>
  <si>
    <t>Yelvertoft</t>
  </si>
  <si>
    <t>West NorthamptonshireFar Cotton</t>
  </si>
  <si>
    <t>E2802P163</t>
  </si>
  <si>
    <t>Far Cotton</t>
  </si>
  <si>
    <t>West NorthamptonshireKingsthorpe</t>
  </si>
  <si>
    <t>E2802P164</t>
  </si>
  <si>
    <t>Kingsthorpe</t>
  </si>
  <si>
    <t>West NorthamptonshireNorthampton Town</t>
  </si>
  <si>
    <t>E2802P165</t>
  </si>
  <si>
    <t>Northampton Town</t>
  </si>
  <si>
    <t>NorthumberlandAcklington</t>
  </si>
  <si>
    <t>E2901P001</t>
  </si>
  <si>
    <t>Acklington</t>
  </si>
  <si>
    <t>NorthumberlandAcomb</t>
  </si>
  <si>
    <t>E2901P002</t>
  </si>
  <si>
    <t>Acomb</t>
  </si>
  <si>
    <t>NorthumberlandAdderstone with Lucker</t>
  </si>
  <si>
    <t>E2901P003</t>
  </si>
  <si>
    <t>Adderstone with Lucker</t>
  </si>
  <si>
    <t>NorthumberlandAkeld</t>
  </si>
  <si>
    <t>E2901P004</t>
  </si>
  <si>
    <t>Akeld</t>
  </si>
  <si>
    <t>NorthumberlandAllendale</t>
  </si>
  <si>
    <t>E2901P005</t>
  </si>
  <si>
    <t>Allendale</t>
  </si>
  <si>
    <t>NorthumberlandAlnmouth</t>
  </si>
  <si>
    <t>E2901P007</t>
  </si>
  <si>
    <t>Alnmouth</t>
  </si>
  <si>
    <t>NorthumberlandAlnwick</t>
  </si>
  <si>
    <t>E2901P008</t>
  </si>
  <si>
    <t>Alnwick</t>
  </si>
  <si>
    <t>NorthumberlandAlwinton</t>
  </si>
  <si>
    <t>E2901P009</t>
  </si>
  <si>
    <t>Alwinton</t>
  </si>
  <si>
    <t>NorthumberlandAmble by the Sea</t>
  </si>
  <si>
    <t>E2901P010</t>
  </si>
  <si>
    <t>Amble by the Sea</t>
  </si>
  <si>
    <t>NorthumberlandAncroft</t>
  </si>
  <si>
    <t>E2901P011</t>
  </si>
  <si>
    <t>Ancroft</t>
  </si>
  <si>
    <t>NorthumberlandAshington</t>
  </si>
  <si>
    <t>E2901P012</t>
  </si>
  <si>
    <t>Ashington</t>
  </si>
  <si>
    <t>NorthumberlandBamburgh</t>
  </si>
  <si>
    <t>E2901P013</t>
  </si>
  <si>
    <t>Bamburgh</t>
  </si>
  <si>
    <t>NorthumberlandBardon Mill</t>
  </si>
  <si>
    <t>E2901P014</t>
  </si>
  <si>
    <t>Bardon Mill</t>
  </si>
  <si>
    <t>NorthumberlandBavington</t>
  </si>
  <si>
    <t>E2901P015</t>
  </si>
  <si>
    <t>Bavington</t>
  </si>
  <si>
    <t>NorthumberlandBeadnell</t>
  </si>
  <si>
    <t>E2901P016</t>
  </si>
  <si>
    <t>Beadnell</t>
  </si>
  <si>
    <t>NorthumberlandBelford with Middleton</t>
  </si>
  <si>
    <t>E2901P017</t>
  </si>
  <si>
    <t>Belford with Middleton</t>
  </si>
  <si>
    <t>NorthumberlandBellingham</t>
  </si>
  <si>
    <t>E2901P018</t>
  </si>
  <si>
    <t>Bellingham</t>
  </si>
  <si>
    <t>NorthumberlandBelsay</t>
  </si>
  <si>
    <t>E2901P019</t>
  </si>
  <si>
    <t>Belsay</t>
  </si>
  <si>
    <t>NorthumberlandBerwick upon Tweed</t>
  </si>
  <si>
    <t>E2901P020</t>
  </si>
  <si>
    <t>Berwick upon Tweed</t>
  </si>
  <si>
    <t>NorthumberlandBewick</t>
  </si>
  <si>
    <t>E2901P021</t>
  </si>
  <si>
    <t>Bewick</t>
  </si>
  <si>
    <t>NorthumberlandBirtley</t>
  </si>
  <si>
    <t>E2901P023</t>
  </si>
  <si>
    <t>Birtley</t>
  </si>
  <si>
    <t>NorthumberlandBlanchland</t>
  </si>
  <si>
    <t>E2901P024</t>
  </si>
  <si>
    <t>Blanchland</t>
  </si>
  <si>
    <t>NorthumberlandBlyth</t>
  </si>
  <si>
    <t>E2901P025</t>
  </si>
  <si>
    <t>Blyth</t>
  </si>
  <si>
    <t>NorthumberlandBowsden</t>
  </si>
  <si>
    <t>E2901P026</t>
  </si>
  <si>
    <t>Bowsden</t>
  </si>
  <si>
    <t>NorthumberlandBranxton</t>
  </si>
  <si>
    <t>E2901P027</t>
  </si>
  <si>
    <t>Branxton</t>
  </si>
  <si>
    <t>NorthumberlandStocksfield</t>
  </si>
  <si>
    <t>E2901P028</t>
  </si>
  <si>
    <t>Stocksfield</t>
  </si>
  <si>
    <t>NorthumberlandBroomhaugh and Riding</t>
  </si>
  <si>
    <t>E2901P029</t>
  </si>
  <si>
    <t>Broomhaugh and Riding</t>
  </si>
  <si>
    <t>NorthumberlandBywell</t>
  </si>
  <si>
    <t>E2901P031</t>
  </si>
  <si>
    <t>Bywell</t>
  </si>
  <si>
    <t>NorthumberlandCapheaton</t>
  </si>
  <si>
    <t>E2901P033</t>
  </si>
  <si>
    <t>Capheaton</t>
  </si>
  <si>
    <t>NorthumberlandCarham</t>
  </si>
  <si>
    <t>E2901P034</t>
  </si>
  <si>
    <t>Carham</t>
  </si>
  <si>
    <t>NorthumberlandChollerton</t>
  </si>
  <si>
    <t>E2901P038</t>
  </si>
  <si>
    <t>Chollerton</t>
  </si>
  <si>
    <t>NorthumberlandChoppington</t>
  </si>
  <si>
    <t>E2901P039</t>
  </si>
  <si>
    <t>Choppington</t>
  </si>
  <si>
    <t>NorthumberlandCoanwood</t>
  </si>
  <si>
    <t>E2901P040</t>
  </si>
  <si>
    <t>Coanwood</t>
  </si>
  <si>
    <t>NorthumberlandCorbridge</t>
  </si>
  <si>
    <t>E2901P041</t>
  </si>
  <si>
    <t>Corbridge</t>
  </si>
  <si>
    <t>NorthumberlandCornhill on Tweed</t>
  </si>
  <si>
    <t>E2901P042</t>
  </si>
  <si>
    <t>Cornhill on Tweed</t>
  </si>
  <si>
    <t>NorthumberlandCorsenside</t>
  </si>
  <si>
    <t>E2901P043</t>
  </si>
  <si>
    <t>Corsenside</t>
  </si>
  <si>
    <t>NorthumberlandCramlington</t>
  </si>
  <si>
    <t>E2901P044</t>
  </si>
  <si>
    <t>Cramlington</t>
  </si>
  <si>
    <t>NorthumberlandCraster</t>
  </si>
  <si>
    <t>E2901P045</t>
  </si>
  <si>
    <t>Craster</t>
  </si>
  <si>
    <t>NorthumberlandCresswell</t>
  </si>
  <si>
    <t>E2901P046</t>
  </si>
  <si>
    <t>Cresswell</t>
  </si>
  <si>
    <t>NorthumberlandDenwick</t>
  </si>
  <si>
    <t>E2901P047</t>
  </si>
  <si>
    <t>Denwick</t>
  </si>
  <si>
    <t>NorthumberlandDoddington</t>
  </si>
  <si>
    <t>E2901P048</t>
  </si>
  <si>
    <t>NorthumberlandDuddo</t>
  </si>
  <si>
    <t>E2901P049</t>
  </si>
  <si>
    <t>Duddo</t>
  </si>
  <si>
    <t>NorthumberlandEarle</t>
  </si>
  <si>
    <t>E2901P050</t>
  </si>
  <si>
    <t>Earle</t>
  </si>
  <si>
    <t>NorthumberlandEast Bedlington</t>
  </si>
  <si>
    <t>E2901P052</t>
  </si>
  <si>
    <t>East Bedlington</t>
  </si>
  <si>
    <t>NorthumberlandEast Chevington</t>
  </si>
  <si>
    <t>E2901P053</t>
  </si>
  <si>
    <t>East Chevington</t>
  </si>
  <si>
    <t>NorthumberlandEdlingham</t>
  </si>
  <si>
    <t>E2901P054</t>
  </si>
  <si>
    <t>Edlingham</t>
  </si>
  <si>
    <t>NorthumberlandEglingham</t>
  </si>
  <si>
    <t>E2901P055</t>
  </si>
  <si>
    <t>Eglingham</t>
  </si>
  <si>
    <t>NorthumberlandEllingham</t>
  </si>
  <si>
    <t>E2901P056</t>
  </si>
  <si>
    <t>Ellingham</t>
  </si>
  <si>
    <t>NorthumberlandEllington and Linton</t>
  </si>
  <si>
    <t>E2901P057</t>
  </si>
  <si>
    <t>Ellington and Linton</t>
  </si>
  <si>
    <t>NorthumberlandElsdon</t>
  </si>
  <si>
    <t>E2901P058</t>
  </si>
  <si>
    <t>Elsdon</t>
  </si>
  <si>
    <t>NorthumberlandEmbleton</t>
  </si>
  <si>
    <t>E2901P059</t>
  </si>
  <si>
    <t>NorthumberlandEwart</t>
  </si>
  <si>
    <t>E2901P060</t>
  </si>
  <si>
    <t>Ewart</t>
  </si>
  <si>
    <t>NorthumberlandFalstone</t>
  </si>
  <si>
    <t>E2901P061</t>
  </si>
  <si>
    <t>Falstone</t>
  </si>
  <si>
    <t>NorthumberlandFeatherstone</t>
  </si>
  <si>
    <t>E2901P062</t>
  </si>
  <si>
    <t>Featherstone</t>
  </si>
  <si>
    <t>NorthumberlandFelton</t>
  </si>
  <si>
    <t>E2901P063</t>
  </si>
  <si>
    <t>Felton</t>
  </si>
  <si>
    <t>NorthumberlandFord</t>
  </si>
  <si>
    <t>E2901P064</t>
  </si>
  <si>
    <t>Ford</t>
  </si>
  <si>
    <t>NorthumberlandGlanton</t>
  </si>
  <si>
    <t>E2901P065</t>
  </si>
  <si>
    <t>Glanton</t>
  </si>
  <si>
    <t>NorthumberlandGreenhead</t>
  </si>
  <si>
    <t>E2901P066</t>
  </si>
  <si>
    <t>Greenhead</t>
  </si>
  <si>
    <t>NorthumberlandHaltwhistle</t>
  </si>
  <si>
    <t>E2901P068</t>
  </si>
  <si>
    <t>Haltwhistle</t>
  </si>
  <si>
    <t>NorthumberlandHarbottle</t>
  </si>
  <si>
    <t>E2901P069</t>
  </si>
  <si>
    <t>Harbottle</t>
  </si>
  <si>
    <t>NorthumberlandHartburn</t>
  </si>
  <si>
    <t>E2901P070</t>
  </si>
  <si>
    <t>Hartburn</t>
  </si>
  <si>
    <t>NorthumberlandHartleyburn</t>
  </si>
  <si>
    <t>E2901P071</t>
  </si>
  <si>
    <t>Hartleyburn</t>
  </si>
  <si>
    <t>NorthumberlandHauxley</t>
  </si>
  <si>
    <t>E2901P072</t>
  </si>
  <si>
    <t>Hauxley</t>
  </si>
  <si>
    <t>NorthumberlandHaydon</t>
  </si>
  <si>
    <t>E2901P073</t>
  </si>
  <si>
    <t>NorthumberlandHealey</t>
  </si>
  <si>
    <t>E2901P074</t>
  </si>
  <si>
    <t>Healey</t>
  </si>
  <si>
    <t>NorthumberlandHebron</t>
  </si>
  <si>
    <t>E2901P075</t>
  </si>
  <si>
    <t>Hebron</t>
  </si>
  <si>
    <t>NorthumberlandHeddon on the Wall</t>
  </si>
  <si>
    <t>E2901P076</t>
  </si>
  <si>
    <t>Heddon on the Wall</t>
  </si>
  <si>
    <t>NorthumberlandHedgeley</t>
  </si>
  <si>
    <t>E2901P077</t>
  </si>
  <si>
    <t>Hedgeley</t>
  </si>
  <si>
    <t>NorthumberlandHedley</t>
  </si>
  <si>
    <t>E2901P078</t>
  </si>
  <si>
    <t>Hedley</t>
  </si>
  <si>
    <t>NorthumberlandHenshaw</t>
  </si>
  <si>
    <t>E2901P079</t>
  </si>
  <si>
    <t>Henshaw</t>
  </si>
  <si>
    <t>NorthumberlandHepple</t>
  </si>
  <si>
    <t>E2901P080</t>
  </si>
  <si>
    <t>Hepple</t>
  </si>
  <si>
    <t>NorthumberlandHepscott</t>
  </si>
  <si>
    <t>E2901P081</t>
  </si>
  <si>
    <t>Hepscott</t>
  </si>
  <si>
    <t>NorthumberlandHexham</t>
  </si>
  <si>
    <t>E2901P083</t>
  </si>
  <si>
    <t>Hexham</t>
  </si>
  <si>
    <t>NorthumberlandHexhamshire</t>
  </si>
  <si>
    <t>E2901P084</t>
  </si>
  <si>
    <t>Hexhamshire</t>
  </si>
  <si>
    <t>NorthumberlandHoly Island</t>
  </si>
  <si>
    <t>E2901P086</t>
  </si>
  <si>
    <t>Holy Island</t>
  </si>
  <si>
    <t>NorthumberlandHorncliffe</t>
  </si>
  <si>
    <t>E2901P087</t>
  </si>
  <si>
    <t>Horncliffe</t>
  </si>
  <si>
    <t>NorthumberlandHorsley</t>
  </si>
  <si>
    <t>E2901P088</t>
  </si>
  <si>
    <t>NorthumberlandHumshaugh</t>
  </si>
  <si>
    <t>E2901P089</t>
  </si>
  <si>
    <t>Humshaugh</t>
  </si>
  <si>
    <t>NorthumberlandIngram</t>
  </si>
  <si>
    <t>E2901P091</t>
  </si>
  <si>
    <t>Ingram</t>
  </si>
  <si>
    <t>NorthumberlandKielder</t>
  </si>
  <si>
    <t>E2901P092</t>
  </si>
  <si>
    <t>Kielder</t>
  </si>
  <si>
    <t>NorthumberlandKilham</t>
  </si>
  <si>
    <t>E2901P093</t>
  </si>
  <si>
    <t>NorthumberlandKirknewton</t>
  </si>
  <si>
    <t>E2901P094</t>
  </si>
  <si>
    <t>Kirknewton</t>
  </si>
  <si>
    <t>NorthumberlandKirkwhelpington</t>
  </si>
  <si>
    <t>E2901P095</t>
  </si>
  <si>
    <t>Kirkwhelpington</t>
  </si>
  <si>
    <t>NorthumberlandKnaresdale with Kirkhaugh</t>
  </si>
  <si>
    <t>E2901P096</t>
  </si>
  <si>
    <t>Knaresdale with Kirkhaugh</t>
  </si>
  <si>
    <t>NorthumberlandKyloe</t>
  </si>
  <si>
    <t>E2901P097</t>
  </si>
  <si>
    <t>Kyloe</t>
  </si>
  <si>
    <t>NorthumberlandLesbury</t>
  </si>
  <si>
    <t>E2901P098</t>
  </si>
  <si>
    <t>Lesbury</t>
  </si>
  <si>
    <t>NorthumberlandLongframlington</t>
  </si>
  <si>
    <t>E2901P100</t>
  </si>
  <si>
    <t>Longframlington</t>
  </si>
  <si>
    <t>NorthumberlandLonghirst</t>
  </si>
  <si>
    <t>E2901P101</t>
  </si>
  <si>
    <t>Longhirst</t>
  </si>
  <si>
    <t>NorthumberlandLonghorsley</t>
  </si>
  <si>
    <t>E2901P102</t>
  </si>
  <si>
    <t>Longhorsley</t>
  </si>
  <si>
    <t>NorthumberlandLonghoughton</t>
  </si>
  <si>
    <t>E2901P103</t>
  </si>
  <si>
    <t>Longhoughton</t>
  </si>
  <si>
    <t>NorthumberlandLowick</t>
  </si>
  <si>
    <t>E2901P104</t>
  </si>
  <si>
    <t>NorthumberlandLynemouth</t>
  </si>
  <si>
    <t>E2901P105</t>
  </si>
  <si>
    <t>Lynemouth</t>
  </si>
  <si>
    <t>NorthumberlandMatfen</t>
  </si>
  <si>
    <t>E2901P106</t>
  </si>
  <si>
    <t>Matfen</t>
  </si>
  <si>
    <t>NorthumberlandMeldon</t>
  </si>
  <si>
    <t>E2901P107</t>
  </si>
  <si>
    <t>Meldon</t>
  </si>
  <si>
    <t>NorthumberlandMelkridge</t>
  </si>
  <si>
    <t>E2901P108</t>
  </si>
  <si>
    <t>Melkridge</t>
  </si>
  <si>
    <t>NorthumberlandMilfield</t>
  </si>
  <si>
    <t>E2901P110</t>
  </si>
  <si>
    <t>Milfield</t>
  </si>
  <si>
    <t>NorthumberlandMitford</t>
  </si>
  <si>
    <t>E2901P111</t>
  </si>
  <si>
    <t>Mitford</t>
  </si>
  <si>
    <t>NorthumberlandMorpeth</t>
  </si>
  <si>
    <t>E2901P112</t>
  </si>
  <si>
    <t>Morpeth</t>
  </si>
  <si>
    <t>NorthumberlandNetherton &amp; Biddlestone</t>
  </si>
  <si>
    <t>E2901P113</t>
  </si>
  <si>
    <t>Netherton &amp; Biddlestone</t>
  </si>
  <si>
    <t>NorthumberlandNetherwitton</t>
  </si>
  <si>
    <t>E2901P114</t>
  </si>
  <si>
    <t>Netherwitton</t>
  </si>
  <si>
    <t>NorthumberlandNewbiggin by the Sea</t>
  </si>
  <si>
    <t>E2901P115</t>
  </si>
  <si>
    <t>Newbiggin by the Sea</t>
  </si>
  <si>
    <t>NorthumberlandNewbrough</t>
  </si>
  <si>
    <t>E2901P116</t>
  </si>
  <si>
    <t>Newbrough</t>
  </si>
  <si>
    <t>NorthumberlandNewton by the Sea</t>
  </si>
  <si>
    <t>E2901P117</t>
  </si>
  <si>
    <t>Newton by the Sea</t>
  </si>
  <si>
    <t>NorthumberlandNewton on the Moor and Swarland</t>
  </si>
  <si>
    <t>E2901P118</t>
  </si>
  <si>
    <t>Newton on the Moor and Swarland</t>
  </si>
  <si>
    <t>NorthumberlandNorham</t>
  </si>
  <si>
    <t>E2901P119</t>
  </si>
  <si>
    <t>Norham</t>
  </si>
  <si>
    <t>NorthumberlandNorth Sunderland</t>
  </si>
  <si>
    <t>E2901P120</t>
  </si>
  <si>
    <t>North Sunderland</t>
  </si>
  <si>
    <t>NorthumberlandNunnykirk</t>
  </si>
  <si>
    <t>E2901P121</t>
  </si>
  <si>
    <t>Nunnykirk</t>
  </si>
  <si>
    <t>NorthumberlandOrd</t>
  </si>
  <si>
    <t>E2901P122</t>
  </si>
  <si>
    <t>Ord</t>
  </si>
  <si>
    <t>NorthumberlandOtterburn</t>
  </si>
  <si>
    <t>E2901P123</t>
  </si>
  <si>
    <t>NorthumberlandOvingham</t>
  </si>
  <si>
    <t>E2901P124</t>
  </si>
  <si>
    <t>Ovingham</t>
  </si>
  <si>
    <t>NorthumberlandOvington</t>
  </si>
  <si>
    <t>E2901P125</t>
  </si>
  <si>
    <t>NorthumberlandPegswood</t>
  </si>
  <si>
    <t>E2901P126</t>
  </si>
  <si>
    <t>Pegswood</t>
  </si>
  <si>
    <t>NorthumberlandPlenmeller with Whitfield</t>
  </si>
  <si>
    <t>E2901P127</t>
  </si>
  <si>
    <t>Plenmeller with Whitfield</t>
  </si>
  <si>
    <t>NorthumberlandPonteland</t>
  </si>
  <si>
    <t>E2901P128</t>
  </si>
  <si>
    <t>Ponteland</t>
  </si>
  <si>
    <t>NorthumberlandPrudhoe</t>
  </si>
  <si>
    <t>E2901P129</t>
  </si>
  <si>
    <t>Prudhoe</t>
  </si>
  <si>
    <t>NorthumberlandRennington</t>
  </si>
  <si>
    <t>E2901P130</t>
  </si>
  <si>
    <t>Rennington</t>
  </si>
  <si>
    <t>NorthumberlandRochester</t>
  </si>
  <si>
    <t>E2901P131</t>
  </si>
  <si>
    <t>Rochester</t>
  </si>
  <si>
    <t>NorthumberlandRothbury</t>
  </si>
  <si>
    <t>E2901P133</t>
  </si>
  <si>
    <t>Rothbury</t>
  </si>
  <si>
    <t>NorthumberlandSandhoe</t>
  </si>
  <si>
    <t>E2901P135</t>
  </si>
  <si>
    <t>Sandhoe</t>
  </si>
  <si>
    <t>NorthumberlandSeaton Valley</t>
  </si>
  <si>
    <t>E2901P136</t>
  </si>
  <si>
    <t>Seaton Valley</t>
  </si>
  <si>
    <t>NorthumberlandShilbottle</t>
  </si>
  <si>
    <t>E2901P137</t>
  </si>
  <si>
    <t>Shilbottle</t>
  </si>
  <si>
    <t>NorthumberlandShoreswood</t>
  </si>
  <si>
    <t>E2901P138</t>
  </si>
  <si>
    <t>Shoreswood</t>
  </si>
  <si>
    <t>NorthumberlandShotley Low Quarter</t>
  </si>
  <si>
    <t>E2901P139</t>
  </si>
  <si>
    <t>Shotley Low Quarter</t>
  </si>
  <si>
    <t>NorthumberlandSimonburn</t>
  </si>
  <si>
    <t>E2901P140</t>
  </si>
  <si>
    <t>Simonburn</t>
  </si>
  <si>
    <t>NorthumberlandSlaley</t>
  </si>
  <si>
    <t>E2901P141</t>
  </si>
  <si>
    <t>Slaley</t>
  </si>
  <si>
    <t>NorthumberlandSnitter</t>
  </si>
  <si>
    <t>E2901P142</t>
  </si>
  <si>
    <t>Snitter</t>
  </si>
  <si>
    <t>NorthumberlandStamfordham</t>
  </si>
  <si>
    <t>E2901P143</t>
  </si>
  <si>
    <t>Stamfordham</t>
  </si>
  <si>
    <t>NorthumberlandStannington</t>
  </si>
  <si>
    <t>E2901P144</t>
  </si>
  <si>
    <t>Stannington</t>
  </si>
  <si>
    <t>NorthumberlandTarset with Greystead</t>
  </si>
  <si>
    <t>E2901P145</t>
  </si>
  <si>
    <t>Tarset with Greystead</t>
  </si>
  <si>
    <t>NorthumberlandThirlwall</t>
  </si>
  <si>
    <t>E2901P146</t>
  </si>
  <si>
    <t>Thirlwall</t>
  </si>
  <si>
    <t>NorthumberlandThirston</t>
  </si>
  <si>
    <t>E2901P147</t>
  </si>
  <si>
    <t>Thirston</t>
  </si>
  <si>
    <t>NorthumberlandThropton</t>
  </si>
  <si>
    <t>E2901P148</t>
  </si>
  <si>
    <t>Thropton</t>
  </si>
  <si>
    <t>NorthumberlandTogston</t>
  </si>
  <si>
    <t>E2901P149</t>
  </si>
  <si>
    <t>Togston</t>
  </si>
  <si>
    <t>NorthumberlandTritlington and West Chevington</t>
  </si>
  <si>
    <t>E2901P150</t>
  </si>
  <si>
    <t>Tritlington and West Chevington</t>
  </si>
  <si>
    <t>NorthumberlandUlgham</t>
  </si>
  <si>
    <t>E2901P151</t>
  </si>
  <si>
    <t>Ulgham</t>
  </si>
  <si>
    <t>NorthumberlandWall</t>
  </si>
  <si>
    <t>E2901P152</t>
  </si>
  <si>
    <t>Wall</t>
  </si>
  <si>
    <t>NorthumberlandWallington Demesne</t>
  </si>
  <si>
    <t>E2901P153</t>
  </si>
  <si>
    <t>Wallington Demesne</t>
  </si>
  <si>
    <t>NorthumberlandWarden</t>
  </si>
  <si>
    <t>E2901P154</t>
  </si>
  <si>
    <t>NorthumberlandWark</t>
  </si>
  <si>
    <t>E2901P155</t>
  </si>
  <si>
    <t>Wark</t>
  </si>
  <si>
    <t>NorthumberlandWarkworth</t>
  </si>
  <si>
    <t>E2901P156</t>
  </si>
  <si>
    <t>NorthumberlandWest Allen</t>
  </si>
  <si>
    <t>E2901P157</t>
  </si>
  <si>
    <t>West Allen</t>
  </si>
  <si>
    <t>NorthumberlandWest Bedlington</t>
  </si>
  <si>
    <t>E2901P158</t>
  </si>
  <si>
    <t>West Bedlington</t>
  </si>
  <si>
    <t>NorthumberlandWhalton</t>
  </si>
  <si>
    <t>E2901P159</t>
  </si>
  <si>
    <t>Whalton</t>
  </si>
  <si>
    <t>NorthumberlandWhittingham Callaly &amp; Alnham</t>
  </si>
  <si>
    <t>E2901P160</t>
  </si>
  <si>
    <t>Whittingham Callaly &amp; Alnham</t>
  </si>
  <si>
    <t>NorthumberlandWhittington</t>
  </si>
  <si>
    <t>E2901P161</t>
  </si>
  <si>
    <t>NorthumberlandWhitton and Tosson</t>
  </si>
  <si>
    <t>E2901P162</t>
  </si>
  <si>
    <t>Whitton and Tosson</t>
  </si>
  <si>
    <t>NorthumberlandWiddrington Station and Stobswood</t>
  </si>
  <si>
    <t>E2901P163</t>
  </si>
  <si>
    <t>Widdrington Station and Stobswood</t>
  </si>
  <si>
    <t>NorthumberlandWiddrington Village</t>
  </si>
  <si>
    <t>E2901P164</t>
  </si>
  <si>
    <t>Widdrington Village</t>
  </si>
  <si>
    <t>NorthumberlandWooler</t>
  </si>
  <si>
    <t>E2901P165</t>
  </si>
  <si>
    <t>Wooler</t>
  </si>
  <si>
    <t>NorthumberlandWylam</t>
  </si>
  <si>
    <t>E2901P166</t>
  </si>
  <si>
    <t>Wylam</t>
  </si>
  <si>
    <t>NorthumberlandCheviotside</t>
  </si>
  <si>
    <t>E2901P167</t>
  </si>
  <si>
    <t>Cheviotside</t>
  </si>
  <si>
    <t>NorthumberlandTillside</t>
  </si>
  <si>
    <t>E2901P168</t>
  </si>
  <si>
    <t>Tillside</t>
  </si>
  <si>
    <t>NorthumberlandHollinghill &amp; Rothley (Hollinghill)</t>
  </si>
  <si>
    <t>E2901P169</t>
  </si>
  <si>
    <t>Hollinghill &amp; Rothley (Hollinghill)</t>
  </si>
  <si>
    <t>NorthumberlandHollinghill &amp; Rothley (Rothley)</t>
  </si>
  <si>
    <t>E2901P170</t>
  </si>
  <si>
    <t>Hollinghill &amp; Rothley (Rothley)</t>
  </si>
  <si>
    <t>NorthumberlandBrinkburn &amp; Hesleyhurst (Brinkburn)</t>
  </si>
  <si>
    <t>E2901P171</t>
  </si>
  <si>
    <t>Brinkburn &amp; Hesleyhurst (Brinkburn)</t>
  </si>
  <si>
    <t>NorthumberlandBrinkburn &amp; Hesleyhurst (Hesleyhurst)</t>
  </si>
  <si>
    <t>E2901P172</t>
  </si>
  <si>
    <t>Brinkburn &amp; Hesleyhurst (Hesleyhurst)</t>
  </si>
  <si>
    <t>AshfieldAnnesley &amp; Felley</t>
  </si>
  <si>
    <t>E3031P001</t>
  </si>
  <si>
    <t>Annesley &amp; Felley</t>
  </si>
  <si>
    <t>AshfieldSelston</t>
  </si>
  <si>
    <t>E3031P003</t>
  </si>
  <si>
    <t>Selston</t>
  </si>
  <si>
    <t>BassetlawAskham</t>
  </si>
  <si>
    <t>E3032P001</t>
  </si>
  <si>
    <t>BassetlawBabworth</t>
  </si>
  <si>
    <t>E3032P002</t>
  </si>
  <si>
    <t>Babworth</t>
  </si>
  <si>
    <t>BassetlawBarnby Moor</t>
  </si>
  <si>
    <t>E3032P003</t>
  </si>
  <si>
    <t>Barnby Moor</t>
  </si>
  <si>
    <t>BassetlawBeckingham</t>
  </si>
  <si>
    <t>E3032P004</t>
  </si>
  <si>
    <t>BassetlawBlyth</t>
  </si>
  <si>
    <t>E3032P006</t>
  </si>
  <si>
    <t>BassetlawBole</t>
  </si>
  <si>
    <t>E3032P007</t>
  </si>
  <si>
    <t>Bole</t>
  </si>
  <si>
    <t>BassetlawBothamsall</t>
  </si>
  <si>
    <t>E3032P008</t>
  </si>
  <si>
    <t>Bothamsall</t>
  </si>
  <si>
    <t>BassetlawCarburton</t>
  </si>
  <si>
    <t>E3032P009</t>
  </si>
  <si>
    <t>Carburton</t>
  </si>
  <si>
    <t>BassetlawCarlton in Lindrick</t>
  </si>
  <si>
    <t>E3032P010</t>
  </si>
  <si>
    <t>Carlton in Lindrick</t>
  </si>
  <si>
    <t>BassetlawClarborough and Welham</t>
  </si>
  <si>
    <t>E3032P011</t>
  </si>
  <si>
    <t>Clarborough and Welham</t>
  </si>
  <si>
    <t>BassetlawClayworth</t>
  </si>
  <si>
    <t>E3032P012</t>
  </si>
  <si>
    <t>Clayworth</t>
  </si>
  <si>
    <t>BassetlawClumber and Hardwick</t>
  </si>
  <si>
    <t>E3032P013</t>
  </si>
  <si>
    <t>Clumber and Hardwick</t>
  </si>
  <si>
    <t>BassetlawDunham on Trent</t>
  </si>
  <si>
    <t>E3032P017</t>
  </si>
  <si>
    <t>Dunham on Trent</t>
  </si>
  <si>
    <t>BassetlawEast Drayton</t>
  </si>
  <si>
    <t>E3032P018</t>
  </si>
  <si>
    <t>East Drayton</t>
  </si>
  <si>
    <t>BassetlawEast Markham</t>
  </si>
  <si>
    <t>E3032P019</t>
  </si>
  <si>
    <t>East Markham</t>
  </si>
  <si>
    <t>BassetlawElkesley</t>
  </si>
  <si>
    <t>E3032P021</t>
  </si>
  <si>
    <t>Elkesley</t>
  </si>
  <si>
    <t>BassetlawEverton</t>
  </si>
  <si>
    <t>E3032P022</t>
  </si>
  <si>
    <t>BassetlawGamston</t>
  </si>
  <si>
    <t>E3032P024</t>
  </si>
  <si>
    <t>Gamston</t>
  </si>
  <si>
    <t>BassetlawGringley on the Hill</t>
  </si>
  <si>
    <t>E3032P025</t>
  </si>
  <si>
    <t>Gringley on the Hill</t>
  </si>
  <si>
    <t>BassetlawHarworth Bircotes</t>
  </si>
  <si>
    <t>E3032P027</t>
  </si>
  <si>
    <t>Harworth Bircotes</t>
  </si>
  <si>
    <t>BassetlawHaughton</t>
  </si>
  <si>
    <t>E3032P028</t>
  </si>
  <si>
    <t>BassetlawHayton</t>
  </si>
  <si>
    <t>E3032P029</t>
  </si>
  <si>
    <t>BassetlawHeadon cum Upton</t>
  </si>
  <si>
    <t>E3032P030</t>
  </si>
  <si>
    <t>Headon cum Upton</t>
  </si>
  <si>
    <t>BassetlawHodsock</t>
  </si>
  <si>
    <t>E3032P031</t>
  </si>
  <si>
    <t>Hodsock</t>
  </si>
  <si>
    <t>BassetlawLaneham</t>
  </si>
  <si>
    <t>E3032P033</t>
  </si>
  <si>
    <t>Laneham</t>
  </si>
  <si>
    <t>BassetlawLound</t>
  </si>
  <si>
    <t>E3032P034</t>
  </si>
  <si>
    <t>Lound</t>
  </si>
  <si>
    <t>BassetlawMattersey</t>
  </si>
  <si>
    <t>E3032P036</t>
  </si>
  <si>
    <t>Mattersey</t>
  </si>
  <si>
    <t>BassetlawMisson</t>
  </si>
  <si>
    <t>E3032P037</t>
  </si>
  <si>
    <t>Misson</t>
  </si>
  <si>
    <t>BassetlawMisterton</t>
  </si>
  <si>
    <t>E3032P038</t>
  </si>
  <si>
    <t>Misterton</t>
  </si>
  <si>
    <t>BassetlawNether Langwith</t>
  </si>
  <si>
    <t>E3032P039</t>
  </si>
  <si>
    <t>Nether Langwith</t>
  </si>
  <si>
    <t>BassetlawNormanton on Trent</t>
  </si>
  <si>
    <t>E3032P040</t>
  </si>
  <si>
    <t>Normanton on Trent</t>
  </si>
  <si>
    <t>BassetlawNorth Leverton with Habblesthorpe</t>
  </si>
  <si>
    <t>E3032P041</t>
  </si>
  <si>
    <t>North Leverton with Habblesthorpe</t>
  </si>
  <si>
    <t>BassetlawNorth &amp; South Wheatley</t>
  </si>
  <si>
    <t>E3032P042</t>
  </si>
  <si>
    <t>North &amp; South Wheatley</t>
  </si>
  <si>
    <t>BassetlawRampton</t>
  </si>
  <si>
    <t>E3032P045</t>
  </si>
  <si>
    <t>BassetlawRanskill</t>
  </si>
  <si>
    <t>E3032P046</t>
  </si>
  <si>
    <t>Ranskill</t>
  </si>
  <si>
    <t>BassetlawRhodesia</t>
  </si>
  <si>
    <t>E3032P047</t>
  </si>
  <si>
    <t>Rhodesia</t>
  </si>
  <si>
    <t>BassetlawScaftworth</t>
  </si>
  <si>
    <t>E3032P049</t>
  </si>
  <si>
    <t>Scaftworth</t>
  </si>
  <si>
    <t>BassetlawScrooby</t>
  </si>
  <si>
    <t>E3032P050</t>
  </si>
  <si>
    <t>Scrooby</t>
  </si>
  <si>
    <t>BassetlawShireoaks</t>
  </si>
  <si>
    <t>E3032P051</t>
  </si>
  <si>
    <t>Shireoaks</t>
  </si>
  <si>
    <t>BassetlawSouth Leverton</t>
  </si>
  <si>
    <t>E3032P052</t>
  </si>
  <si>
    <t>South Leverton</t>
  </si>
  <si>
    <t>BassetlawSturton le Steeple</t>
  </si>
  <si>
    <t>E3032P055</t>
  </si>
  <si>
    <t>Sturton le Steeple</t>
  </si>
  <si>
    <t>BassetlawStyrrup with Oldcotes</t>
  </si>
  <si>
    <t>E3032P056</t>
  </si>
  <si>
    <t>Styrrup with Oldcotes</t>
  </si>
  <si>
    <t>BassetlawSutton</t>
  </si>
  <si>
    <t>E3032P057</t>
  </si>
  <si>
    <t>BassetlawTorworth</t>
  </si>
  <si>
    <t>E3032P058</t>
  </si>
  <si>
    <t>Torworth</t>
  </si>
  <si>
    <t>BassetlawTreswell</t>
  </si>
  <si>
    <t>E3032P059</t>
  </si>
  <si>
    <t>Treswell</t>
  </si>
  <si>
    <t>BassetlawTuxford</t>
  </si>
  <si>
    <t>E3032P060</t>
  </si>
  <si>
    <t>Tuxford</t>
  </si>
  <si>
    <t>BassetlawWalkeringham</t>
  </si>
  <si>
    <t>E3032P061</t>
  </si>
  <si>
    <t>Walkeringham</t>
  </si>
  <si>
    <t>BassetlawWallingwells</t>
  </si>
  <si>
    <t>E3032P062</t>
  </si>
  <si>
    <t>Wallingwells</t>
  </si>
  <si>
    <t>BassetlawWest Burton</t>
  </si>
  <si>
    <t>E3032P064</t>
  </si>
  <si>
    <t>West Burton</t>
  </si>
  <si>
    <t>BassetlawWest Stockwith</t>
  </si>
  <si>
    <t>E3032P067</t>
  </si>
  <si>
    <t>West Stockwith</t>
  </si>
  <si>
    <t>BassetlawWiseton</t>
  </si>
  <si>
    <t>E3032P068</t>
  </si>
  <si>
    <t>Wiseton</t>
  </si>
  <si>
    <t>BassetlawMarkham Clinton</t>
  </si>
  <si>
    <t>E3032P069</t>
  </si>
  <si>
    <t>Markham Clinton</t>
  </si>
  <si>
    <t>BassetlawEast Retford Charter Trustees</t>
  </si>
  <si>
    <t>E3032P070</t>
  </si>
  <si>
    <t>East Retford Charter Trustees</t>
  </si>
  <si>
    <t>BassetlawWorksop Charter Trustees</t>
  </si>
  <si>
    <t>E3032P071</t>
  </si>
  <si>
    <t>Worksop Charter Trustees</t>
  </si>
  <si>
    <t>BassetlawNorton, Cuckney, Holbeck &amp; Welbeck</t>
  </si>
  <si>
    <t>E3032P073</t>
  </si>
  <si>
    <t>Norton, Cuckney, Holbeck &amp; Welbeck</t>
  </si>
  <si>
    <t>BroxtoweAwsworth</t>
  </si>
  <si>
    <t>E3033P001</t>
  </si>
  <si>
    <t>Awsworth</t>
  </si>
  <si>
    <t>BroxtoweBrinsley</t>
  </si>
  <si>
    <t>E3033P002</t>
  </si>
  <si>
    <t>Brinsley</t>
  </si>
  <si>
    <t>BroxtoweCossall</t>
  </si>
  <si>
    <t>E3033P003</t>
  </si>
  <si>
    <t>Cossall</t>
  </si>
  <si>
    <t>BroxtoweEastwood</t>
  </si>
  <si>
    <t>E3033P004</t>
  </si>
  <si>
    <t>Eastwood</t>
  </si>
  <si>
    <t>BroxtoweGreasley</t>
  </si>
  <si>
    <t>E3033P005</t>
  </si>
  <si>
    <t>Greasley</t>
  </si>
  <si>
    <t>BroxtoweKimberley</t>
  </si>
  <si>
    <t>E3033P006</t>
  </si>
  <si>
    <t>BroxtoweNuthall</t>
  </si>
  <si>
    <t>E3033P007</t>
  </si>
  <si>
    <t>Nuthall</t>
  </si>
  <si>
    <t>BroxtoweStapleford</t>
  </si>
  <si>
    <t>E3033P008</t>
  </si>
  <si>
    <t>BroxtoweStrelley</t>
  </si>
  <si>
    <t>E3033P009</t>
  </si>
  <si>
    <t>Strelley</t>
  </si>
  <si>
    <t>BroxtoweTrowell</t>
  </si>
  <si>
    <t>E3033P010</t>
  </si>
  <si>
    <t>Trowell</t>
  </si>
  <si>
    <t>GedlingBestwood Village</t>
  </si>
  <si>
    <t>E3034P001</t>
  </si>
  <si>
    <t>Bestwood Village</t>
  </si>
  <si>
    <t>GedlingBurton Joyce</t>
  </si>
  <si>
    <t>E3034P002</t>
  </si>
  <si>
    <t>Burton Joyce</t>
  </si>
  <si>
    <t>GedlingCalverton</t>
  </si>
  <si>
    <t>E3034P003</t>
  </si>
  <si>
    <t>GedlingColwick</t>
  </si>
  <si>
    <t>E3034P004</t>
  </si>
  <si>
    <t>Colwick</t>
  </si>
  <si>
    <t>GedlingLambley</t>
  </si>
  <si>
    <t>E3034P005</t>
  </si>
  <si>
    <t>Lambley</t>
  </si>
  <si>
    <t>GedlingLinby</t>
  </si>
  <si>
    <t>E3034P006</t>
  </si>
  <si>
    <t>Linby</t>
  </si>
  <si>
    <t>GedlingNewstead</t>
  </si>
  <si>
    <t>E3034P007</t>
  </si>
  <si>
    <t>Newstead</t>
  </si>
  <si>
    <t>GedlingPapplewick</t>
  </si>
  <si>
    <t>E3034P008</t>
  </si>
  <si>
    <t>Papplewick</t>
  </si>
  <si>
    <t>GedlingRavenshead</t>
  </si>
  <si>
    <t>E3034P009</t>
  </si>
  <si>
    <t>Ravenshead</t>
  </si>
  <si>
    <t>GedlingSt Albans</t>
  </si>
  <si>
    <t>E3034P010</t>
  </si>
  <si>
    <t>GedlingWoodborough</t>
  </si>
  <si>
    <t>E3034P011</t>
  </si>
  <si>
    <t>Woodborough</t>
  </si>
  <si>
    <t>GedlingStoke Bardolph</t>
  </si>
  <si>
    <t>E3034P012</t>
  </si>
  <si>
    <t>Stoke Bardolph</t>
  </si>
  <si>
    <t>MansfieldWarsop Parish Council</t>
  </si>
  <si>
    <t>E3035P001</t>
  </si>
  <si>
    <t>Warsop Parish Council</t>
  </si>
  <si>
    <t>MansfieldMansfield Charter Trustees</t>
  </si>
  <si>
    <t>E3035P002</t>
  </si>
  <si>
    <t>Mansfield Charter Trustees</t>
  </si>
  <si>
    <t>Newark and SherwoodAlverton</t>
  </si>
  <si>
    <t>E3036P001</t>
  </si>
  <si>
    <t>Alverton</t>
  </si>
  <si>
    <t>Newark and SherwoodAverham (Averham Kelham &amp; Staythorpe)</t>
  </si>
  <si>
    <t>E3036P002</t>
  </si>
  <si>
    <t>Averham (Averham Kelham &amp; Staythorpe)</t>
  </si>
  <si>
    <t>Newark and SherwoodBalderton</t>
  </si>
  <si>
    <t>E3036P003</t>
  </si>
  <si>
    <t>Balderton</t>
  </si>
  <si>
    <t>Newark and SherwoodBarnby in the Willows</t>
  </si>
  <si>
    <t>E3036P004</t>
  </si>
  <si>
    <t>Barnby in the Willows</t>
  </si>
  <si>
    <t>Newark and SherwoodBathley</t>
  </si>
  <si>
    <t>E3036P005</t>
  </si>
  <si>
    <t>Bathley</t>
  </si>
  <si>
    <t>Newark and SherwoodBesthorpe</t>
  </si>
  <si>
    <t>E3036P006</t>
  </si>
  <si>
    <t>Newark and SherwoodBilsthorpe</t>
  </si>
  <si>
    <t>E3036P007</t>
  </si>
  <si>
    <t>Bilsthorpe</t>
  </si>
  <si>
    <t>Newark and SherwoodBleasby</t>
  </si>
  <si>
    <t>E3036P008</t>
  </si>
  <si>
    <t>Bleasby</t>
  </si>
  <si>
    <t>Newark and SherwoodBlidworth</t>
  </si>
  <si>
    <t>E3036P009</t>
  </si>
  <si>
    <t>Blidworth</t>
  </si>
  <si>
    <t>Newark and SherwoodBulcote</t>
  </si>
  <si>
    <t>E3036P010</t>
  </si>
  <si>
    <t>Bulcote</t>
  </si>
  <si>
    <t>Newark and SherwoodCarlton on Trent</t>
  </si>
  <si>
    <t>E3036P011</t>
  </si>
  <si>
    <t>Carlton on Trent</t>
  </si>
  <si>
    <t>Newark and SherwoodCaunton</t>
  </si>
  <si>
    <t>E3036P012</t>
  </si>
  <si>
    <t>Caunton</t>
  </si>
  <si>
    <t>Newark and SherwoodCaythorpe</t>
  </si>
  <si>
    <t>E3036P013</t>
  </si>
  <si>
    <t>Newark and SherwoodClipstone</t>
  </si>
  <si>
    <t>E3036P014</t>
  </si>
  <si>
    <t>Clipstone</t>
  </si>
  <si>
    <t>Newark and SherwoodCoddington</t>
  </si>
  <si>
    <t>E3036P015</t>
  </si>
  <si>
    <t>Coddington</t>
  </si>
  <si>
    <t>Newark and SherwoodCollingham</t>
  </si>
  <si>
    <t>E3036P016</t>
  </si>
  <si>
    <t>Collingham</t>
  </si>
  <si>
    <t>Newark and SherwoodCotham</t>
  </si>
  <si>
    <t>E3036P017</t>
  </si>
  <si>
    <t>Cotham</t>
  </si>
  <si>
    <t>Newark and SherwoodCromwell</t>
  </si>
  <si>
    <t>E3036P018</t>
  </si>
  <si>
    <t>Cromwell</t>
  </si>
  <si>
    <t>Newark and SherwoodEakring</t>
  </si>
  <si>
    <t>E3036P019</t>
  </si>
  <si>
    <t>Eakring</t>
  </si>
  <si>
    <t>Newark and SherwoodEast Stoke (East Stoke &amp; Thorpe)</t>
  </si>
  <si>
    <t>E3036P020</t>
  </si>
  <si>
    <t>East Stoke (East Stoke &amp; Thorpe)</t>
  </si>
  <si>
    <t>Newark and SherwoodEdingley</t>
  </si>
  <si>
    <t>E3036P021</t>
  </si>
  <si>
    <t>Edingley</t>
  </si>
  <si>
    <t>Newark and SherwoodEdwinstowe</t>
  </si>
  <si>
    <t>E3036P022</t>
  </si>
  <si>
    <t>Edwinstowe</t>
  </si>
  <si>
    <t>Newark and SherwoodEgmanton</t>
  </si>
  <si>
    <t>E3036P023</t>
  </si>
  <si>
    <t>Egmanton</t>
  </si>
  <si>
    <t>Newark and SherwoodElston</t>
  </si>
  <si>
    <t>E3036P024</t>
  </si>
  <si>
    <t>Elston</t>
  </si>
  <si>
    <t>Newark and SherwoodEpperstone</t>
  </si>
  <si>
    <t>E3036P025</t>
  </si>
  <si>
    <t>Epperstone</t>
  </si>
  <si>
    <t>Newark and SherwoodFarndon</t>
  </si>
  <si>
    <t>E3036P026</t>
  </si>
  <si>
    <t>Newark and SherwoodFarnsfield</t>
  </si>
  <si>
    <t>E3036P027</t>
  </si>
  <si>
    <t>Farnsfield</t>
  </si>
  <si>
    <t>Newark and SherwoodFernwood</t>
  </si>
  <si>
    <t>E3036P028</t>
  </si>
  <si>
    <t>Fernwood</t>
  </si>
  <si>
    <t>Newark and SherwoodFiskerton cum Morton</t>
  </si>
  <si>
    <t>E3036P029</t>
  </si>
  <si>
    <t>Fiskerton cum Morton</t>
  </si>
  <si>
    <t>Newark and SherwoodGirton</t>
  </si>
  <si>
    <t>E3036P030</t>
  </si>
  <si>
    <t>Newark and SherwoodGonalston</t>
  </si>
  <si>
    <t>E3036P031</t>
  </si>
  <si>
    <t>Gonalston</t>
  </si>
  <si>
    <t>Newark and SherwoodGrassthorpe</t>
  </si>
  <si>
    <t>E3036P032</t>
  </si>
  <si>
    <t>Grassthorpe</t>
  </si>
  <si>
    <t>Newark and SherwoodGunthorpe</t>
  </si>
  <si>
    <t>E3036P033</t>
  </si>
  <si>
    <t>Newark and SherwoodHalam</t>
  </si>
  <si>
    <t>E3036P034</t>
  </si>
  <si>
    <t>Halam</t>
  </si>
  <si>
    <t>Newark and SherwoodHalloughton</t>
  </si>
  <si>
    <t>E3036P035</t>
  </si>
  <si>
    <t>Halloughton</t>
  </si>
  <si>
    <t>Newark and SherwoodHarby</t>
  </si>
  <si>
    <t>E3036P036</t>
  </si>
  <si>
    <t>Harby</t>
  </si>
  <si>
    <t>Newark and SherwoodHawton</t>
  </si>
  <si>
    <t>E3036P037</t>
  </si>
  <si>
    <t>Hawton</t>
  </si>
  <si>
    <t>Newark and SherwoodHockerton</t>
  </si>
  <si>
    <t>E3036P038</t>
  </si>
  <si>
    <t>Hockerton</t>
  </si>
  <si>
    <t>Newark and SherwoodHolme</t>
  </si>
  <si>
    <t>E3036P039</t>
  </si>
  <si>
    <t>Newark and SherwoodHoveringham</t>
  </si>
  <si>
    <t>E3036P040</t>
  </si>
  <si>
    <t>Hoveringham</t>
  </si>
  <si>
    <t>Newark and SherwoodKelham</t>
  </si>
  <si>
    <t>E3036P041</t>
  </si>
  <si>
    <t>Kelham</t>
  </si>
  <si>
    <t>Newark and SherwoodKersall</t>
  </si>
  <si>
    <t>E3036P042</t>
  </si>
  <si>
    <t>Kersall</t>
  </si>
  <si>
    <t>Newark and SherwoodKilvington</t>
  </si>
  <si>
    <t>E3036P043</t>
  </si>
  <si>
    <t>Kilvington</t>
  </si>
  <si>
    <t>Newark and SherwoodKirklington</t>
  </si>
  <si>
    <t>E3036P044</t>
  </si>
  <si>
    <t>Kirklington</t>
  </si>
  <si>
    <t>Newark and SherwoodKirton</t>
  </si>
  <si>
    <t>E3036P045</t>
  </si>
  <si>
    <t>Newark and SherwoodKneesall (Kneesall Kersall &amp; Ompton)</t>
  </si>
  <si>
    <t>E3036P046</t>
  </si>
  <si>
    <t>Kneesall (Kneesall Kersall &amp; Ompton)</t>
  </si>
  <si>
    <t>Newark and SherwoodLangford</t>
  </si>
  <si>
    <t>E3036P047</t>
  </si>
  <si>
    <t>Newark and SherwoodLaxton and Moorhouse</t>
  </si>
  <si>
    <t>E3036P048</t>
  </si>
  <si>
    <t>Laxton and Moorhouse</t>
  </si>
  <si>
    <t>Newark and SherwoodLindhurst</t>
  </si>
  <si>
    <t>E3036P049</t>
  </si>
  <si>
    <t>Lindhurst</t>
  </si>
  <si>
    <t>Newark and SherwoodLowdham</t>
  </si>
  <si>
    <t>E3036P050</t>
  </si>
  <si>
    <t>Lowdham</t>
  </si>
  <si>
    <t>Newark and SherwoodMaplebeck</t>
  </si>
  <si>
    <t>E3036P051</t>
  </si>
  <si>
    <t>Maplebeck</t>
  </si>
  <si>
    <t>Newark and SherwoodMeering</t>
  </si>
  <si>
    <t>E3036P052</t>
  </si>
  <si>
    <t>Meering</t>
  </si>
  <si>
    <t>Newark and SherwoodNewark</t>
  </si>
  <si>
    <t>E3036P053</t>
  </si>
  <si>
    <t>Newark</t>
  </si>
  <si>
    <t>Newark and SherwoodNorth Clifton</t>
  </si>
  <si>
    <t>E3036P054</t>
  </si>
  <si>
    <t>North Clifton</t>
  </si>
  <si>
    <t>Newark and SherwoodNorth Muskham</t>
  </si>
  <si>
    <t>E3036P055</t>
  </si>
  <si>
    <t>North Muskham</t>
  </si>
  <si>
    <t>Newark and SherwoodNorwell</t>
  </si>
  <si>
    <t>E3036P056</t>
  </si>
  <si>
    <t>Norwell</t>
  </si>
  <si>
    <t>Newark and SherwoodOllerton and Boughton</t>
  </si>
  <si>
    <t>E3036P057</t>
  </si>
  <si>
    <t>Ollerton and Boughton</t>
  </si>
  <si>
    <t>Newark and SherwoodOmpton</t>
  </si>
  <si>
    <t>E3036P058</t>
  </si>
  <si>
    <t>Ompton</t>
  </si>
  <si>
    <t>Newark and SherwoodOssington</t>
  </si>
  <si>
    <t>E3036P059</t>
  </si>
  <si>
    <t>Ossington</t>
  </si>
  <si>
    <t>Newark and SherwoodOxton</t>
  </si>
  <si>
    <t>E3036P060</t>
  </si>
  <si>
    <t>Newark and SherwoodPerlethorpe cum Budby</t>
  </si>
  <si>
    <t>E3036P061</t>
  </si>
  <si>
    <t>Perlethorpe cum Budby</t>
  </si>
  <si>
    <t>Newark and SherwoodRainworth</t>
  </si>
  <si>
    <t>E3036P062</t>
  </si>
  <si>
    <t>Rainworth</t>
  </si>
  <si>
    <t>Newark and SherwoodRolleston</t>
  </si>
  <si>
    <t>E3036P063</t>
  </si>
  <si>
    <t>Newark and SherwoodRufford</t>
  </si>
  <si>
    <t>E3036P064</t>
  </si>
  <si>
    <t>Newark and SherwoodSouth Clifton</t>
  </si>
  <si>
    <t>E3036P065</t>
  </si>
  <si>
    <t>South Clifton</t>
  </si>
  <si>
    <t>Newark and SherwoodSouth Muskham</t>
  </si>
  <si>
    <t>E3036P066</t>
  </si>
  <si>
    <t>South Muskham</t>
  </si>
  <si>
    <t>Newark and SherwoodSouth Scarle</t>
  </si>
  <si>
    <t>E3036P067</t>
  </si>
  <si>
    <t>South Scarle</t>
  </si>
  <si>
    <t>Newark and SherwoodSouthwell</t>
  </si>
  <si>
    <t>E3036P068</t>
  </si>
  <si>
    <t>Southwell</t>
  </si>
  <si>
    <t>Newark and SherwoodSpalford</t>
  </si>
  <si>
    <t>E3036P069</t>
  </si>
  <si>
    <t>Spalford</t>
  </si>
  <si>
    <t>Newark and SherwoodStaunton</t>
  </si>
  <si>
    <t>E3036P070</t>
  </si>
  <si>
    <t>Newark and SherwoodStaythorpe</t>
  </si>
  <si>
    <t>E3036P071</t>
  </si>
  <si>
    <t>Staythorpe</t>
  </si>
  <si>
    <t>Newark and SherwoodSutton on Trent</t>
  </si>
  <si>
    <t>E3036P072</t>
  </si>
  <si>
    <t>Sutton on Trent</t>
  </si>
  <si>
    <t>Newark and SherwoodSyerston</t>
  </si>
  <si>
    <t>E3036P073</t>
  </si>
  <si>
    <t>Syerston</t>
  </si>
  <si>
    <t>Newark and SherwoodThorney</t>
  </si>
  <si>
    <t>E3036P074</t>
  </si>
  <si>
    <t>Newark and SherwoodThorpe</t>
  </si>
  <si>
    <t>E3036P075</t>
  </si>
  <si>
    <t>Newark and SherwoodThurgarton</t>
  </si>
  <si>
    <t>E3036P076</t>
  </si>
  <si>
    <t>Thurgarton</t>
  </si>
  <si>
    <t>Newark and SherwoodUpton</t>
  </si>
  <si>
    <t>E3036P077</t>
  </si>
  <si>
    <t>Newark and SherwoodWalesby</t>
  </si>
  <si>
    <t>E3036P078</t>
  </si>
  <si>
    <t>Newark and SherwoodWellow</t>
  </si>
  <si>
    <t>E3036P079</t>
  </si>
  <si>
    <t>Newark and SherwoodWeston</t>
  </si>
  <si>
    <t>E3036P080</t>
  </si>
  <si>
    <t>Newark and SherwoodWigsley</t>
  </si>
  <si>
    <t>E3036P081</t>
  </si>
  <si>
    <t>Wigsley</t>
  </si>
  <si>
    <t>Newark and SherwoodWinkburn</t>
  </si>
  <si>
    <t>E3036P082</t>
  </si>
  <si>
    <t>Winkburn</t>
  </si>
  <si>
    <t>Newark and SherwoodWinthorpe (Winthorpe &amp; Langford)</t>
  </si>
  <si>
    <t>E3036P083</t>
  </si>
  <si>
    <t>Winthorpe (Winthorpe &amp; Langford)</t>
  </si>
  <si>
    <t>Newark and SherwoodKings Clipstone</t>
  </si>
  <si>
    <t>E3036P084</t>
  </si>
  <si>
    <t>Kings Clipstone</t>
  </si>
  <si>
    <t>RushcliffeAslockton</t>
  </si>
  <si>
    <t>E3038P001</t>
  </si>
  <si>
    <t>Aslockton</t>
  </si>
  <si>
    <t>RushcliffeBarton in Fabis</t>
  </si>
  <si>
    <t>E3038P002</t>
  </si>
  <si>
    <t>Barton in Fabis</t>
  </si>
  <si>
    <t>RushcliffeBingham</t>
  </si>
  <si>
    <t>E3038P003</t>
  </si>
  <si>
    <t>Bingham</t>
  </si>
  <si>
    <t>RushcliffeBradmore</t>
  </si>
  <si>
    <t>E3038P004</t>
  </si>
  <si>
    <t>Bradmore</t>
  </si>
  <si>
    <t>RushcliffeBunny</t>
  </si>
  <si>
    <t>E3038P005</t>
  </si>
  <si>
    <t>Bunny</t>
  </si>
  <si>
    <t>RushcliffeCar Colston</t>
  </si>
  <si>
    <t>E3038P006</t>
  </si>
  <si>
    <t>Car Colston</t>
  </si>
  <si>
    <t>RushcliffeClipston</t>
  </si>
  <si>
    <t>E3038P007</t>
  </si>
  <si>
    <t>RushcliffeColston Bassett</t>
  </si>
  <si>
    <t>E3038P008</t>
  </si>
  <si>
    <t>Colston Bassett</t>
  </si>
  <si>
    <t>RushcliffeCostock</t>
  </si>
  <si>
    <t>E3038P009</t>
  </si>
  <si>
    <t>Costock</t>
  </si>
  <si>
    <t>RushcliffeCotgrave</t>
  </si>
  <si>
    <t>E3038P010</t>
  </si>
  <si>
    <t>Cotgrave</t>
  </si>
  <si>
    <t>RushcliffeCropwell Bishop</t>
  </si>
  <si>
    <t>E3038P011</t>
  </si>
  <si>
    <t>Cropwell Bishop</t>
  </si>
  <si>
    <t>RushcliffeCropwell Butler</t>
  </si>
  <si>
    <t>E3038P012</t>
  </si>
  <si>
    <t>Cropwell Butler</t>
  </si>
  <si>
    <t>RushcliffeEast Bridgford</t>
  </si>
  <si>
    <t>E3038P013</t>
  </si>
  <si>
    <t>East Bridgford</t>
  </si>
  <si>
    <t>RushcliffeEast Leake</t>
  </si>
  <si>
    <t>E3038P014</t>
  </si>
  <si>
    <t>East Leake</t>
  </si>
  <si>
    <t>RushcliffeElton on the Hill</t>
  </si>
  <si>
    <t>E3038P015</t>
  </si>
  <si>
    <t>Elton on the Hill</t>
  </si>
  <si>
    <t>RushcliffeFlawborough</t>
  </si>
  <si>
    <t>E3038P016</t>
  </si>
  <si>
    <t>Flawborough</t>
  </si>
  <si>
    <t>RushcliffeFlintham</t>
  </si>
  <si>
    <t>E3038P017</t>
  </si>
  <si>
    <t>Flintham</t>
  </si>
  <si>
    <t>RushcliffeGotham</t>
  </si>
  <si>
    <t>E3038P019</t>
  </si>
  <si>
    <t>Gotham</t>
  </si>
  <si>
    <t>RushcliffeGranby</t>
  </si>
  <si>
    <t>E3038P020</t>
  </si>
  <si>
    <t>Granby</t>
  </si>
  <si>
    <t>RushcliffeHawksworth</t>
  </si>
  <si>
    <t>E3038P021</t>
  </si>
  <si>
    <t>Hawksworth</t>
  </si>
  <si>
    <t>RushcliffeHickling</t>
  </si>
  <si>
    <t>E3038P022</t>
  </si>
  <si>
    <t>RushcliffeHolme Pierrepont &amp; Gamston</t>
  </si>
  <si>
    <t>E3038P023</t>
  </si>
  <si>
    <t>Holme Pierrepont &amp; Gamston</t>
  </si>
  <si>
    <t>RushcliffeKeyworth</t>
  </si>
  <si>
    <t>E3038P024</t>
  </si>
  <si>
    <t>Keyworth</t>
  </si>
  <si>
    <t>RushcliffeKingston on Soar</t>
  </si>
  <si>
    <t>E3038P025</t>
  </si>
  <si>
    <t>Kingston on Soar</t>
  </si>
  <si>
    <t>RushcliffeKinoulton</t>
  </si>
  <si>
    <t>E3038P026</t>
  </si>
  <si>
    <t>Kinoulton</t>
  </si>
  <si>
    <t>RushcliffeKneeton</t>
  </si>
  <si>
    <t>E3038P027</t>
  </si>
  <si>
    <t>Kneeton</t>
  </si>
  <si>
    <t>RushcliffeLangar cum Barnstone</t>
  </si>
  <si>
    <t>E3038P028</t>
  </si>
  <si>
    <t>Langar cum Barnstone</t>
  </si>
  <si>
    <t>RushcliffeNormanton on Soar</t>
  </si>
  <si>
    <t>E3038P029</t>
  </si>
  <si>
    <t>Normanton on Soar</t>
  </si>
  <si>
    <t>RushcliffeNormanton on the Wolds</t>
  </si>
  <si>
    <t>E3038P030</t>
  </si>
  <si>
    <t>Normanton on the Wolds</t>
  </si>
  <si>
    <t>RushcliffeOrston</t>
  </si>
  <si>
    <t>E3038P031</t>
  </si>
  <si>
    <t>Orston</t>
  </si>
  <si>
    <t>RushcliffeOwthorpe</t>
  </si>
  <si>
    <t>E3038P032</t>
  </si>
  <si>
    <t>Owthorpe</t>
  </si>
  <si>
    <t>RushcliffePlumtree</t>
  </si>
  <si>
    <t>E3038P033</t>
  </si>
  <si>
    <t>Plumtree</t>
  </si>
  <si>
    <t>RushcliffeRadcliffe on Trent</t>
  </si>
  <si>
    <t>E3038P034</t>
  </si>
  <si>
    <t>Radcliffe on Trent</t>
  </si>
  <si>
    <t>RushcliffeRatcliffe on Soar</t>
  </si>
  <si>
    <t>E3038P035</t>
  </si>
  <si>
    <t>Ratcliffe on Soar</t>
  </si>
  <si>
    <t>RushcliffeRempstone</t>
  </si>
  <si>
    <t>E3038P036</t>
  </si>
  <si>
    <t>Rempstone</t>
  </si>
  <si>
    <t>RushcliffeRuddington</t>
  </si>
  <si>
    <t>E3038P037</t>
  </si>
  <si>
    <t>Ruddington</t>
  </si>
  <si>
    <t>RushcliffeSaxondale</t>
  </si>
  <si>
    <t>E3038P038</t>
  </si>
  <si>
    <t>Saxondale</t>
  </si>
  <si>
    <t>RushcliffeScarrington</t>
  </si>
  <si>
    <t>E3038P039</t>
  </si>
  <si>
    <t>Scarrington</t>
  </si>
  <si>
    <t>RushcliffeScreveton</t>
  </si>
  <si>
    <t>E3038P040</t>
  </si>
  <si>
    <t>Screveton</t>
  </si>
  <si>
    <t>RushcliffeShelton</t>
  </si>
  <si>
    <t>E3038P042</t>
  </si>
  <si>
    <t>Shelton</t>
  </si>
  <si>
    <t>RushcliffeSibthorpe</t>
  </si>
  <si>
    <t>E3038P043</t>
  </si>
  <si>
    <t>Sibthorpe</t>
  </si>
  <si>
    <t>RushcliffeStanford on Soar</t>
  </si>
  <si>
    <t>E3038P044</t>
  </si>
  <si>
    <t>Stanford on Soar</t>
  </si>
  <si>
    <t>RushcliffeStanton on the Wolds</t>
  </si>
  <si>
    <t>E3038P045</t>
  </si>
  <si>
    <t>Stanton on the Wolds</t>
  </si>
  <si>
    <t>RushcliffeSutton Bonington</t>
  </si>
  <si>
    <t>E3038P046</t>
  </si>
  <si>
    <t>Sutton Bonington</t>
  </si>
  <si>
    <t>RushcliffeThoroton</t>
  </si>
  <si>
    <t>E3038P047</t>
  </si>
  <si>
    <t>Thoroton</t>
  </si>
  <si>
    <t>RushcliffeWiverton &amp; Tithby</t>
  </si>
  <si>
    <t>E3038P048</t>
  </si>
  <si>
    <t>Wiverton &amp; Tithby</t>
  </si>
  <si>
    <t>RushcliffeThrumpton</t>
  </si>
  <si>
    <t>E3038P049</t>
  </si>
  <si>
    <t>Thrumpton</t>
  </si>
  <si>
    <t>RushcliffeTollerton</t>
  </si>
  <si>
    <t>E3038P051</t>
  </si>
  <si>
    <t>RushcliffeUpper Broughton</t>
  </si>
  <si>
    <t>E3038P052</t>
  </si>
  <si>
    <t>Upper Broughton</t>
  </si>
  <si>
    <t>RushcliffeWest Leake</t>
  </si>
  <si>
    <t>E3038P053</t>
  </si>
  <si>
    <t>West Leake</t>
  </si>
  <si>
    <t>RushcliffeWhatton in the Vale</t>
  </si>
  <si>
    <t>E3038P054</t>
  </si>
  <si>
    <t>Whatton in the Vale</t>
  </si>
  <si>
    <t>RushcliffeWidmerpool</t>
  </si>
  <si>
    <t>E3038P055</t>
  </si>
  <si>
    <t>Widmerpool</t>
  </si>
  <si>
    <t>RushcliffeWilloughby on the Wolds</t>
  </si>
  <si>
    <t>E3038P056</t>
  </si>
  <si>
    <t>Willoughby on the Wolds</t>
  </si>
  <si>
    <t>RushcliffeWysall &amp; Thorpe in the Glebe</t>
  </si>
  <si>
    <t>E3038P057</t>
  </si>
  <si>
    <t>Wysall &amp; Thorpe in the Glebe</t>
  </si>
  <si>
    <t>RushcliffeNewton</t>
  </si>
  <si>
    <t>E3038P058</t>
  </si>
  <si>
    <t>RushcliffeShelford</t>
  </si>
  <si>
    <t>E3038P059</t>
  </si>
  <si>
    <t>Shelford</t>
  </si>
  <si>
    <t>RushcliffeUpper Saxondale</t>
  </si>
  <si>
    <t>E3038P060</t>
  </si>
  <si>
    <t>Upper Saxondale</t>
  </si>
  <si>
    <t>CherwellAdderbury</t>
  </si>
  <si>
    <t>E3131P001</t>
  </si>
  <si>
    <t>Adderbury</t>
  </si>
  <si>
    <t>CherwellAmbrosden</t>
  </si>
  <si>
    <t>E3131P002</t>
  </si>
  <si>
    <t>Ambrosden</t>
  </si>
  <si>
    <t>CherwellArdley</t>
  </si>
  <si>
    <t>E3131P003</t>
  </si>
  <si>
    <t>Ardley</t>
  </si>
  <si>
    <t>CherwellArncott</t>
  </si>
  <si>
    <t>E3131P004</t>
  </si>
  <si>
    <t>Arncott</t>
  </si>
  <si>
    <t>CherwellBanbury</t>
  </si>
  <si>
    <t>E3131P005</t>
  </si>
  <si>
    <t>Banbury</t>
  </si>
  <si>
    <t>CherwellBarford St. John and St. Michael</t>
  </si>
  <si>
    <t>E3131P006</t>
  </si>
  <si>
    <t>Barford St. John and St. Michael</t>
  </si>
  <si>
    <t>CherwellBegbroke</t>
  </si>
  <si>
    <t>E3131P007</t>
  </si>
  <si>
    <t>Begbroke</t>
  </si>
  <si>
    <t>CherwellBicester</t>
  </si>
  <si>
    <t>E3131P008</t>
  </si>
  <si>
    <t>Bicester</t>
  </si>
  <si>
    <t>CherwellBlackthorn</t>
  </si>
  <si>
    <t>E3131P009</t>
  </si>
  <si>
    <t>Blackthorn</t>
  </si>
  <si>
    <t>CherwellBletchingdon</t>
  </si>
  <si>
    <t>E3131P010</t>
  </si>
  <si>
    <t>Bletchingdon</t>
  </si>
  <si>
    <t>CherwellBloxham</t>
  </si>
  <si>
    <t>E3131P011</t>
  </si>
  <si>
    <t>Bloxham</t>
  </si>
  <si>
    <t>CherwellBodicote</t>
  </si>
  <si>
    <t>E3131P012</t>
  </si>
  <si>
    <t>Bodicote</t>
  </si>
  <si>
    <t>CherwellBourton</t>
  </si>
  <si>
    <t>E3131P013</t>
  </si>
  <si>
    <t>CherwellBroughton</t>
  </si>
  <si>
    <t>E3131P014</t>
  </si>
  <si>
    <t>CherwellBucknell</t>
  </si>
  <si>
    <t>E3131P015</t>
  </si>
  <si>
    <t>Bucknell</t>
  </si>
  <si>
    <t>CherwellCaversfield</t>
  </si>
  <si>
    <t>E3131P016</t>
  </si>
  <si>
    <t>Caversfield</t>
  </si>
  <si>
    <t>CherwellCharlton on Otmoor</t>
  </si>
  <si>
    <t>E3131P017</t>
  </si>
  <si>
    <t>Charlton on Otmoor</t>
  </si>
  <si>
    <t>CherwellChesterton</t>
  </si>
  <si>
    <t>E3131P018</t>
  </si>
  <si>
    <t>CherwellClaydon with Clattercot</t>
  </si>
  <si>
    <t>E3131P019</t>
  </si>
  <si>
    <t>Claydon with Clattercot</t>
  </si>
  <si>
    <t>CherwellCottisford</t>
  </si>
  <si>
    <t>E3131P020</t>
  </si>
  <si>
    <t>Cottisford</t>
  </si>
  <si>
    <t>CherwellCropredy</t>
  </si>
  <si>
    <t>E3131P021</t>
  </si>
  <si>
    <t>Cropredy</t>
  </si>
  <si>
    <t>CherwellDeddington</t>
  </si>
  <si>
    <t>E3131P022</t>
  </si>
  <si>
    <t>Deddington</t>
  </si>
  <si>
    <t>CherwellDrayton</t>
  </si>
  <si>
    <t>E3131P023</t>
  </si>
  <si>
    <t>CherwellDuns Tew</t>
  </si>
  <si>
    <t>E3131P024</t>
  </si>
  <si>
    <t>Duns Tew</t>
  </si>
  <si>
    <t>CherwellEpwell</t>
  </si>
  <si>
    <t>E3131P025</t>
  </si>
  <si>
    <t>Epwell</t>
  </si>
  <si>
    <t>CherwellFencott and Murcott</t>
  </si>
  <si>
    <t>E3131P026</t>
  </si>
  <si>
    <t>Fencott and Murcott</t>
  </si>
  <si>
    <t>CherwellFinmere</t>
  </si>
  <si>
    <t>E3131P027</t>
  </si>
  <si>
    <t>Finmere</t>
  </si>
  <si>
    <t>CherwellFringford</t>
  </si>
  <si>
    <t>E3131P028</t>
  </si>
  <si>
    <t>Fringford</t>
  </si>
  <si>
    <t>CherwellFritwell</t>
  </si>
  <si>
    <t>E3131P029</t>
  </si>
  <si>
    <t>Fritwell</t>
  </si>
  <si>
    <t>CherwellGodington</t>
  </si>
  <si>
    <t>E3131P030</t>
  </si>
  <si>
    <t>Godington</t>
  </si>
  <si>
    <t>CherwellGosford and Water Eaton</t>
  </si>
  <si>
    <t>E3131P031</t>
  </si>
  <si>
    <t>Gosford and Water Eaton</t>
  </si>
  <si>
    <t>CherwellHampton Gay and Poyle</t>
  </si>
  <si>
    <t>E3131P032</t>
  </si>
  <si>
    <t>Hampton Gay and Poyle</t>
  </si>
  <si>
    <t>CherwellHanwell</t>
  </si>
  <si>
    <t>E3131P033</t>
  </si>
  <si>
    <t>Hanwell</t>
  </si>
  <si>
    <t>CherwellHardwick with Tusmore</t>
  </si>
  <si>
    <t>E3131P034</t>
  </si>
  <si>
    <t>Hardwick with Tusmore</t>
  </si>
  <si>
    <t>CherwellHethe</t>
  </si>
  <si>
    <t>E3131P035</t>
  </si>
  <si>
    <t>Hethe</t>
  </si>
  <si>
    <t>CherwellHeyford Park</t>
  </si>
  <si>
    <t>E3131P036</t>
  </si>
  <si>
    <t>Heyford Park</t>
  </si>
  <si>
    <t>CherwellHorley</t>
  </si>
  <si>
    <t>E3131P037</t>
  </si>
  <si>
    <t>Horley</t>
  </si>
  <si>
    <t>CherwellHornton</t>
  </si>
  <si>
    <t>E3131P038</t>
  </si>
  <si>
    <t>Hornton</t>
  </si>
  <si>
    <t>CherwellHorton cum Studley</t>
  </si>
  <si>
    <t>E3131P039</t>
  </si>
  <si>
    <t>Horton cum Studley</t>
  </si>
  <si>
    <t>CherwellIslip</t>
  </si>
  <si>
    <t>E3131P040</t>
  </si>
  <si>
    <t>CherwellKidlington</t>
  </si>
  <si>
    <t>E3131P041</t>
  </si>
  <si>
    <t>Kidlington</t>
  </si>
  <si>
    <t>CherwellKirtlington</t>
  </si>
  <si>
    <t>E3131P042</t>
  </si>
  <si>
    <t>Kirtlington</t>
  </si>
  <si>
    <t>CherwellLaunton</t>
  </si>
  <si>
    <t>E3131P043</t>
  </si>
  <si>
    <t>Launton</t>
  </si>
  <si>
    <t>CherwellLower Heyford</t>
  </si>
  <si>
    <t>E3131P044</t>
  </si>
  <si>
    <t>Lower Heyford</t>
  </si>
  <si>
    <t>CherwellMerton</t>
  </si>
  <si>
    <t>E3131P045</t>
  </si>
  <si>
    <t>CherwellMiddle Aston</t>
  </si>
  <si>
    <t>E3131P046</t>
  </si>
  <si>
    <t>Middle Aston</t>
  </si>
  <si>
    <t>CherwellMiddleton Stoney</t>
  </si>
  <si>
    <t>E3131P047</t>
  </si>
  <si>
    <t>Middleton Stoney</t>
  </si>
  <si>
    <t>CherwellMilcombe</t>
  </si>
  <si>
    <t>E3131P048</t>
  </si>
  <si>
    <t>Milcombe</t>
  </si>
  <si>
    <t>CherwellMilton</t>
  </si>
  <si>
    <t>E3131P049</t>
  </si>
  <si>
    <t>CherwellMixbury</t>
  </si>
  <si>
    <t>E3131P050</t>
  </si>
  <si>
    <t>Mixbury</t>
  </si>
  <si>
    <t>CherwellMollington</t>
  </si>
  <si>
    <t>E3131P051</t>
  </si>
  <si>
    <t>CherwellNewton Purcell with Shelswell</t>
  </si>
  <si>
    <t>E3131P052</t>
  </si>
  <si>
    <t>Newton Purcell with Shelswell</t>
  </si>
  <si>
    <t>CherwellNoke</t>
  </si>
  <si>
    <t>E3131P053</t>
  </si>
  <si>
    <t>Noke</t>
  </si>
  <si>
    <t>CherwellNorth Aston</t>
  </si>
  <si>
    <t>E3131P054</t>
  </si>
  <si>
    <t>North Aston</t>
  </si>
  <si>
    <t>CherwellNorth Newington</t>
  </si>
  <si>
    <t>E3131P055</t>
  </si>
  <si>
    <t>North Newington</t>
  </si>
  <si>
    <t>CherwellOddington</t>
  </si>
  <si>
    <t>E3131P056</t>
  </si>
  <si>
    <t>CherwellPiddington</t>
  </si>
  <si>
    <t>E3131P057</t>
  </si>
  <si>
    <t>Piddington</t>
  </si>
  <si>
    <t>CherwellPrescote</t>
  </si>
  <si>
    <t>E3131P058</t>
  </si>
  <si>
    <t>Prescote</t>
  </si>
  <si>
    <t>CherwellShenington with Alkerton</t>
  </si>
  <si>
    <t>E3131P059</t>
  </si>
  <si>
    <t>Shenington with Alkerton</t>
  </si>
  <si>
    <t>CherwellShipton on Cherwell and Thrupp</t>
  </si>
  <si>
    <t>E3131P060</t>
  </si>
  <si>
    <t>Shipton on Cherwell and Thrupp</t>
  </si>
  <si>
    <t>CherwellShutford</t>
  </si>
  <si>
    <t>E3131P061</t>
  </si>
  <si>
    <t>Shutford</t>
  </si>
  <si>
    <t>CherwellSibford Ferris</t>
  </si>
  <si>
    <t>E3131P062</t>
  </si>
  <si>
    <t>Sibford Ferris</t>
  </si>
  <si>
    <t>CherwellSibford Gower</t>
  </si>
  <si>
    <t>E3131P063</t>
  </si>
  <si>
    <t>Sibford Gower</t>
  </si>
  <si>
    <t>CherwellSomerton</t>
  </si>
  <si>
    <t>E3131P064</t>
  </si>
  <si>
    <t>CherwellSouldern</t>
  </si>
  <si>
    <t>E3131P065</t>
  </si>
  <si>
    <t>Souldern</t>
  </si>
  <si>
    <t>CherwellSouth Newington</t>
  </si>
  <si>
    <t>E3131P066</t>
  </si>
  <si>
    <t>South Newington</t>
  </si>
  <si>
    <t>CherwellSteeple Aston</t>
  </si>
  <si>
    <t>E3131P067</t>
  </si>
  <si>
    <t>Steeple Aston</t>
  </si>
  <si>
    <t>CherwellStoke Lyne</t>
  </si>
  <si>
    <t>E3131P068</t>
  </si>
  <si>
    <t>Stoke Lyne</t>
  </si>
  <si>
    <t>CherwellStratton Audley</t>
  </si>
  <si>
    <t>E3131P069</t>
  </si>
  <si>
    <t>Stratton Audley</t>
  </si>
  <si>
    <t>CherwellSwalcliffe</t>
  </si>
  <si>
    <t>E3131P070</t>
  </si>
  <si>
    <t>Swalcliffe</t>
  </si>
  <si>
    <t>CherwellTadmarton</t>
  </si>
  <si>
    <t>E3131P071</t>
  </si>
  <si>
    <t>Tadmarton</t>
  </si>
  <si>
    <t>CherwellUpper Heyford</t>
  </si>
  <si>
    <t>E3131P072</t>
  </si>
  <si>
    <t>CherwellWardington</t>
  </si>
  <si>
    <t>E3131P073</t>
  </si>
  <si>
    <t>Wardington</t>
  </si>
  <si>
    <t>CherwellWendlebury</t>
  </si>
  <si>
    <t>E3131P074</t>
  </si>
  <si>
    <t>Wendlebury</t>
  </si>
  <si>
    <t>CherwellWeston on the Green</t>
  </si>
  <si>
    <t>E3131P075</t>
  </si>
  <si>
    <t>Weston on the Green</t>
  </si>
  <si>
    <t>CherwellWigginton</t>
  </si>
  <si>
    <t>E3131P076</t>
  </si>
  <si>
    <t>CherwellWroxton</t>
  </si>
  <si>
    <t>E3131P077</t>
  </si>
  <si>
    <t>Wroxton</t>
  </si>
  <si>
    <t>CherwellYarnton</t>
  </si>
  <si>
    <t>E3131P078</t>
  </si>
  <si>
    <t>Yarnton</t>
  </si>
  <si>
    <t>CherwellHook Norton</t>
  </si>
  <si>
    <t>E3131P079</t>
  </si>
  <si>
    <t>Hook Norton</t>
  </si>
  <si>
    <t>OxfordBlackbird Leys</t>
  </si>
  <si>
    <t>E3132P001</t>
  </si>
  <si>
    <t>Blackbird Leys</t>
  </si>
  <si>
    <t>OxfordLittlemore</t>
  </si>
  <si>
    <t>E3132P002</t>
  </si>
  <si>
    <t>Littlemore</t>
  </si>
  <si>
    <t>OxfordOld Marston</t>
  </si>
  <si>
    <t>E3132P003</t>
  </si>
  <si>
    <t>Old Marston</t>
  </si>
  <si>
    <t>OxfordRisinghurst and Sandhills</t>
  </si>
  <si>
    <t>E3132P004</t>
  </si>
  <si>
    <t>Risinghurst and Sandhills</t>
  </si>
  <si>
    <t>South OxfordshireAdwell</t>
  </si>
  <si>
    <t>E3133P001</t>
  </si>
  <si>
    <t>Adwell</t>
  </si>
  <si>
    <t>South OxfordshireAston Rowant</t>
  </si>
  <si>
    <t>E3133P002</t>
  </si>
  <si>
    <t>Aston Rowant</t>
  </si>
  <si>
    <t>South OxfordshireBeckley and Stowood</t>
  </si>
  <si>
    <t>E3133P005</t>
  </si>
  <si>
    <t>Beckley and Stowood</t>
  </si>
  <si>
    <t>South OxfordshireBenson</t>
  </si>
  <si>
    <t>E3133P006</t>
  </si>
  <si>
    <t>Benson</t>
  </si>
  <si>
    <t>South OxfordshireBerinsfield</t>
  </si>
  <si>
    <t>E3133P007</t>
  </si>
  <si>
    <t>Berinsfield</t>
  </si>
  <si>
    <t>South OxfordshireBerrick Salome</t>
  </si>
  <si>
    <t>E3133P008</t>
  </si>
  <si>
    <t>Berrick Salome</t>
  </si>
  <si>
    <t>South OxfordshireBinfield Heath</t>
  </si>
  <si>
    <t>E3133P009</t>
  </si>
  <si>
    <t>Binfield Heath</t>
  </si>
  <si>
    <t>South OxfordshireBix and Assendon</t>
  </si>
  <si>
    <t>E3133P010</t>
  </si>
  <si>
    <t>Bix and Assendon</t>
  </si>
  <si>
    <t>South OxfordshireBrightwell Baldwin</t>
  </si>
  <si>
    <t>E3133P011</t>
  </si>
  <si>
    <t>Brightwell Baldwin</t>
  </si>
  <si>
    <t>South OxfordshireBrightwell cum Sotwell</t>
  </si>
  <si>
    <t>E3133P012</t>
  </si>
  <si>
    <t>Brightwell cum Sotwell</t>
  </si>
  <si>
    <t>South OxfordshireBritwell Salome</t>
  </si>
  <si>
    <t>E3133P013</t>
  </si>
  <si>
    <t>Britwell Salome</t>
  </si>
  <si>
    <t>South OxfordshireChalgrove</t>
  </si>
  <si>
    <t>E3133P014</t>
  </si>
  <si>
    <t>Chalgrove</t>
  </si>
  <si>
    <t>South OxfordshireCheckendon</t>
  </si>
  <si>
    <t>E3133P015</t>
  </si>
  <si>
    <t>Checkendon</t>
  </si>
  <si>
    <t>South OxfordshireChinnor</t>
  </si>
  <si>
    <t>E3133P016</t>
  </si>
  <si>
    <t>Chinnor</t>
  </si>
  <si>
    <t>South OxfordshireCholsey</t>
  </si>
  <si>
    <t>E3133P017</t>
  </si>
  <si>
    <t>Cholsey</t>
  </si>
  <si>
    <t>South OxfordshireClifton Hampden</t>
  </si>
  <si>
    <t>E3133P018</t>
  </si>
  <si>
    <t>Clifton Hampden</t>
  </si>
  <si>
    <t>South OxfordshireCrowell</t>
  </si>
  <si>
    <t>E3133P019</t>
  </si>
  <si>
    <t>Crowell</t>
  </si>
  <si>
    <t>South OxfordshireCrowmarsh</t>
  </si>
  <si>
    <t>E3133P020</t>
  </si>
  <si>
    <t>Crowmarsh</t>
  </si>
  <si>
    <t>South OxfordshireCuddesdon and Denton</t>
  </si>
  <si>
    <t>E3133P021</t>
  </si>
  <si>
    <t>Cuddesdon and Denton</t>
  </si>
  <si>
    <t>South OxfordshireCulham</t>
  </si>
  <si>
    <t>E3133P022</t>
  </si>
  <si>
    <t>Culham</t>
  </si>
  <si>
    <t>South OxfordshireCuxham with Easington</t>
  </si>
  <si>
    <t>E3133P023</t>
  </si>
  <si>
    <t>Cuxham with Easington</t>
  </si>
  <si>
    <t>South OxfordshireDidcot</t>
  </si>
  <si>
    <t>E3133P024</t>
  </si>
  <si>
    <t>Didcot</t>
  </si>
  <si>
    <t>South OxfordshireDorchester</t>
  </si>
  <si>
    <t>E3133P025</t>
  </si>
  <si>
    <t>South OxfordshireDrayton St. Leonard</t>
  </si>
  <si>
    <t>E3133P026</t>
  </si>
  <si>
    <t>Drayton St. Leonard</t>
  </si>
  <si>
    <t>South OxfordshireEast Hagbourne</t>
  </si>
  <si>
    <t>E3133P027</t>
  </si>
  <si>
    <t>East Hagbourne</t>
  </si>
  <si>
    <t>South OxfordshireElsfield</t>
  </si>
  <si>
    <t>E3133P028</t>
  </si>
  <si>
    <t>Elsfield</t>
  </si>
  <si>
    <t>South OxfordshireEwelme</t>
  </si>
  <si>
    <t>E3133P029</t>
  </si>
  <si>
    <t>Ewelme</t>
  </si>
  <si>
    <t>South OxfordshireEye and Dunsden</t>
  </si>
  <si>
    <t>E3133P030</t>
  </si>
  <si>
    <t>Eye and Dunsden</t>
  </si>
  <si>
    <t>South OxfordshireForest Hill with Shotover</t>
  </si>
  <si>
    <t>E3133P031</t>
  </si>
  <si>
    <t>Forest Hill with Shotover</t>
  </si>
  <si>
    <t>South OxfordshireGarsington</t>
  </si>
  <si>
    <t>E3133P032</t>
  </si>
  <si>
    <t>Garsington</t>
  </si>
  <si>
    <t>South OxfordshireGoring</t>
  </si>
  <si>
    <t>E3133P033</t>
  </si>
  <si>
    <t>Goring</t>
  </si>
  <si>
    <t>South OxfordshireGoring Heath</t>
  </si>
  <si>
    <t>E3133P034</t>
  </si>
  <si>
    <t>Goring Heath</t>
  </si>
  <si>
    <t>South OxfordshireGreat Haseley</t>
  </si>
  <si>
    <t>E3133P035</t>
  </si>
  <si>
    <t>Great Haseley</t>
  </si>
  <si>
    <t>South OxfordshireGreat Milton</t>
  </si>
  <si>
    <t>E3133P036</t>
  </si>
  <si>
    <t>Great Milton</t>
  </si>
  <si>
    <t>South OxfordshireHarpsden</t>
  </si>
  <si>
    <t>E3133P037</t>
  </si>
  <si>
    <t>Harpsden</t>
  </si>
  <si>
    <t>South OxfordshireHenley on Thames</t>
  </si>
  <si>
    <t>E3133P038</t>
  </si>
  <si>
    <t>Henley on Thames</t>
  </si>
  <si>
    <t>South OxfordshireHighmoor</t>
  </si>
  <si>
    <t>E3133P039</t>
  </si>
  <si>
    <t>Highmoor</t>
  </si>
  <si>
    <t>South OxfordshireHolton</t>
  </si>
  <si>
    <t>E3133P040</t>
  </si>
  <si>
    <t>Holton</t>
  </si>
  <si>
    <t>South OxfordshireHorspath</t>
  </si>
  <si>
    <t>E3133P041</t>
  </si>
  <si>
    <t>Horspath</t>
  </si>
  <si>
    <t>South OxfordshireIpsden</t>
  </si>
  <si>
    <t>E3133P042</t>
  </si>
  <si>
    <t>Ipsden</t>
  </si>
  <si>
    <t>South OxfordshireKidmore End</t>
  </si>
  <si>
    <t>E3133P043</t>
  </si>
  <si>
    <t>Kidmore End</t>
  </si>
  <si>
    <t>South OxfordshireLewknor</t>
  </si>
  <si>
    <t>E3133P044</t>
  </si>
  <si>
    <t>Lewknor</t>
  </si>
  <si>
    <t>South OxfordshireLittle Milton</t>
  </si>
  <si>
    <t>E3133P045</t>
  </si>
  <si>
    <t>Little Milton</t>
  </si>
  <si>
    <t>South OxfordshireLittle Wittenham</t>
  </si>
  <si>
    <t>E3133P046</t>
  </si>
  <si>
    <t>Little Wittenham</t>
  </si>
  <si>
    <t>South OxfordshireLong Wittenham</t>
  </si>
  <si>
    <t>E3133P047</t>
  </si>
  <si>
    <t>Long Wittenham</t>
  </si>
  <si>
    <t>South OxfordshireMapledurham</t>
  </si>
  <si>
    <t>E3133P048</t>
  </si>
  <si>
    <t>Mapledurham</t>
  </si>
  <si>
    <t>South OxfordshireMarsh Baldon</t>
  </si>
  <si>
    <t>E3133P049</t>
  </si>
  <si>
    <t>Marsh Baldon</t>
  </si>
  <si>
    <t>South OxfordshireMoulsford</t>
  </si>
  <si>
    <t>E3133P050</t>
  </si>
  <si>
    <t>Moulsford</t>
  </si>
  <si>
    <t>South OxfordshireNettlebed</t>
  </si>
  <si>
    <t>E3133P051</t>
  </si>
  <si>
    <t>Nettlebed</t>
  </si>
  <si>
    <t>South OxfordshireNewington</t>
  </si>
  <si>
    <t>E3133P052</t>
  </si>
  <si>
    <t>South OxfordshireNorth Moreton</t>
  </si>
  <si>
    <t>E3133P053</t>
  </si>
  <si>
    <t>North Moreton</t>
  </si>
  <si>
    <t>South OxfordshireNuffield</t>
  </si>
  <si>
    <t>E3133P054</t>
  </si>
  <si>
    <t>Nuffield</t>
  </si>
  <si>
    <t>South OxfordshireNuneham Courtenay</t>
  </si>
  <si>
    <t>E3133P055</t>
  </si>
  <si>
    <t>Nuneham Courtenay</t>
  </si>
  <si>
    <t>South OxfordshirePishill with Stonor</t>
  </si>
  <si>
    <t>E3133P056</t>
  </si>
  <si>
    <t>Pishill with Stonor</t>
  </si>
  <si>
    <t>South OxfordshirePyrton</t>
  </si>
  <si>
    <t>E3133P057</t>
  </si>
  <si>
    <t>Pyrton</t>
  </si>
  <si>
    <t>South OxfordshireRotherfield Greys</t>
  </si>
  <si>
    <t>E3133P058</t>
  </si>
  <si>
    <t>Rotherfield Greys</t>
  </si>
  <si>
    <t>South OxfordshireRotherfield Peppard</t>
  </si>
  <si>
    <t>E3133P059</t>
  </si>
  <si>
    <t>Rotherfield Peppard</t>
  </si>
  <si>
    <t>South OxfordshireSandford on Thames</t>
  </si>
  <si>
    <t>E3133P060</t>
  </si>
  <si>
    <t>Sandford on Thames</t>
  </si>
  <si>
    <t>South OxfordshireShiplake</t>
  </si>
  <si>
    <t>E3133P061</t>
  </si>
  <si>
    <t>Shiplake</t>
  </si>
  <si>
    <t>South OxfordshireShirburn</t>
  </si>
  <si>
    <t>E3133P062</t>
  </si>
  <si>
    <t>Shirburn</t>
  </si>
  <si>
    <t>South OxfordshireSonning Common</t>
  </si>
  <si>
    <t>E3133P063</t>
  </si>
  <si>
    <t>Sonning Common</t>
  </si>
  <si>
    <t>South OxfordshireSouth Moreton</t>
  </si>
  <si>
    <t>E3133P064</t>
  </si>
  <si>
    <t>South Moreton</t>
  </si>
  <si>
    <t>South OxfordshireSouth Stoke</t>
  </si>
  <si>
    <t>E3133P065</t>
  </si>
  <si>
    <t>South OxfordshireStadhampton</t>
  </si>
  <si>
    <t>E3133P066</t>
  </si>
  <si>
    <t>Stadhampton</t>
  </si>
  <si>
    <t>South OxfordshireStanton St. John</t>
  </si>
  <si>
    <t>E3133P067</t>
  </si>
  <si>
    <t>Stanton St. John</t>
  </si>
  <si>
    <t>South OxfordshireStoke Row</t>
  </si>
  <si>
    <t>E3133P068</t>
  </si>
  <si>
    <t>Stoke Row</t>
  </si>
  <si>
    <t>South OxfordshireStoke Talmage</t>
  </si>
  <si>
    <t>E3133P069</t>
  </si>
  <si>
    <t>Stoke Talmage</t>
  </si>
  <si>
    <t>South OxfordshireSwyncombe</t>
  </si>
  <si>
    <t>E3133P070</t>
  </si>
  <si>
    <t>Swyncombe</t>
  </si>
  <si>
    <t>South OxfordshireSydenham</t>
  </si>
  <si>
    <t>E3133P071</t>
  </si>
  <si>
    <t>Sydenham</t>
  </si>
  <si>
    <t>South OxfordshireTetsworth</t>
  </si>
  <si>
    <t>E3133P072</t>
  </si>
  <si>
    <t>Tetsworth</t>
  </si>
  <si>
    <t>South OxfordshireThame</t>
  </si>
  <si>
    <t>E3133P073</t>
  </si>
  <si>
    <t>Thame</t>
  </si>
  <si>
    <t>South OxfordshireTiddington with Albury</t>
  </si>
  <si>
    <t>E3133P074</t>
  </si>
  <si>
    <t>Tiddington with Albury</t>
  </si>
  <si>
    <t>South OxfordshireToot Baldon</t>
  </si>
  <si>
    <t>E3133P075</t>
  </si>
  <si>
    <t>Toot Baldon</t>
  </si>
  <si>
    <t>South OxfordshireTowersey</t>
  </si>
  <si>
    <t>E3133P076</t>
  </si>
  <si>
    <t>Towersey</t>
  </si>
  <si>
    <t>South OxfordshireWallingford</t>
  </si>
  <si>
    <t>E3133P077</t>
  </si>
  <si>
    <t>Wallingford</t>
  </si>
  <si>
    <t>South OxfordshireWarborough</t>
  </si>
  <si>
    <t>E3133P078</t>
  </si>
  <si>
    <t>Warborough</t>
  </si>
  <si>
    <t>South OxfordshireWaterperry with Thomley</t>
  </si>
  <si>
    <t>E3133P079</t>
  </si>
  <si>
    <t>Waterperry with Thomley</t>
  </si>
  <si>
    <t>South OxfordshireWaterstock</t>
  </si>
  <si>
    <t>E3133P080</t>
  </si>
  <si>
    <t>Waterstock</t>
  </si>
  <si>
    <t>South OxfordshireWatlington</t>
  </si>
  <si>
    <t>E3133P081</t>
  </si>
  <si>
    <t>South OxfordshireWest Hagbourne</t>
  </si>
  <si>
    <t>E3133P082</t>
  </si>
  <si>
    <t>West Hagbourne</t>
  </si>
  <si>
    <t>South OxfordshireWheatfield</t>
  </si>
  <si>
    <t>E3133P083</t>
  </si>
  <si>
    <t>Wheatfield</t>
  </si>
  <si>
    <t>South OxfordshireWheatley</t>
  </si>
  <si>
    <t>E3133P084</t>
  </si>
  <si>
    <t>Wheatley</t>
  </si>
  <si>
    <t>South OxfordshireWhitchurch on Thames</t>
  </si>
  <si>
    <t>E3133P085</t>
  </si>
  <si>
    <t>Whitchurch on Thames</t>
  </si>
  <si>
    <t>South OxfordshireWoodcote</t>
  </si>
  <si>
    <t>E3133P086</t>
  </si>
  <si>
    <t>Woodcote</t>
  </si>
  <si>
    <t>South OxfordshireWoodeaton</t>
  </si>
  <si>
    <t>E3133P087</t>
  </si>
  <si>
    <t>Woodeaton</t>
  </si>
  <si>
    <t>South OxfordshireAston Tirrold &amp; Upthorpe</t>
  </si>
  <si>
    <t>E3133P088</t>
  </si>
  <si>
    <t>Aston Tirrold &amp; Upthorpe</t>
  </si>
  <si>
    <t>Vale of White HorseAbingdon</t>
  </si>
  <si>
    <t>E3134P001</t>
  </si>
  <si>
    <t>Abingdon</t>
  </si>
  <si>
    <t>Vale of White HorseAppleford on Thames</t>
  </si>
  <si>
    <t>E3134P002</t>
  </si>
  <si>
    <t>Appleford on Thames</t>
  </si>
  <si>
    <t>Vale of White HorseAppleton with Eaton</t>
  </si>
  <si>
    <t>E3134P003</t>
  </si>
  <si>
    <t>Appleton with Eaton</t>
  </si>
  <si>
    <t>Vale of White HorseArdington with Lockinge</t>
  </si>
  <si>
    <t>E3134P004</t>
  </si>
  <si>
    <t>Ardington with Lockinge</t>
  </si>
  <si>
    <t>Vale of White HorseAshbury</t>
  </si>
  <si>
    <t>E3134P005</t>
  </si>
  <si>
    <t>Ashbury</t>
  </si>
  <si>
    <t>Vale of White HorseBaulking</t>
  </si>
  <si>
    <t>E3134P006</t>
  </si>
  <si>
    <t>Baulking</t>
  </si>
  <si>
    <t>Vale of White HorseBesselsleigh</t>
  </si>
  <si>
    <t>E3134P007</t>
  </si>
  <si>
    <t>Besselsleigh</t>
  </si>
  <si>
    <t>Vale of White HorseBlewbury</t>
  </si>
  <si>
    <t>E3134P008</t>
  </si>
  <si>
    <t>Blewbury</t>
  </si>
  <si>
    <t>Vale of White HorseBourton</t>
  </si>
  <si>
    <t>E3134P009</t>
  </si>
  <si>
    <t>Vale of White HorseBuckland</t>
  </si>
  <si>
    <t>E3134P010</t>
  </si>
  <si>
    <t>Vale of White HorseBuscot</t>
  </si>
  <si>
    <t>E3134P011</t>
  </si>
  <si>
    <t>Buscot</t>
  </si>
  <si>
    <t>Vale of White HorseCharney Bassett</t>
  </si>
  <si>
    <t>E3134P012</t>
  </si>
  <si>
    <t>Charney Bassett</t>
  </si>
  <si>
    <t>Vale of White HorseChildrey</t>
  </si>
  <si>
    <t>E3134P013</t>
  </si>
  <si>
    <t>Childrey</t>
  </si>
  <si>
    <t>Vale of White HorseChilton</t>
  </si>
  <si>
    <t>E3134P014</t>
  </si>
  <si>
    <t>Vale of White HorseColeshill</t>
  </si>
  <si>
    <t>E3134P015</t>
  </si>
  <si>
    <t>Vale of White HorseCompton Beauchamp</t>
  </si>
  <si>
    <t>E3134P016</t>
  </si>
  <si>
    <t>Compton Beauchamp</t>
  </si>
  <si>
    <t>Vale of White HorseCumnor</t>
  </si>
  <si>
    <t>E3134P017</t>
  </si>
  <si>
    <t>Cumnor</t>
  </si>
  <si>
    <t>Vale of White HorseDenchworth</t>
  </si>
  <si>
    <t>E3134P018</t>
  </si>
  <si>
    <t>Denchworth</t>
  </si>
  <si>
    <t>Vale of White HorseDrayton</t>
  </si>
  <si>
    <t>E3134P019</t>
  </si>
  <si>
    <t>Vale of White HorseEast Challow</t>
  </si>
  <si>
    <t>E3134P020</t>
  </si>
  <si>
    <t>East Challow</t>
  </si>
  <si>
    <t>Vale of White HorseEast Hanney</t>
  </si>
  <si>
    <t>E3134P021</t>
  </si>
  <si>
    <t>East Hanney</t>
  </si>
  <si>
    <t>Vale of White HorseEast Hendred</t>
  </si>
  <si>
    <t>E3134P022</t>
  </si>
  <si>
    <t>East Hendred</t>
  </si>
  <si>
    <t>Vale of White HorseEaton Hastings</t>
  </si>
  <si>
    <t>E3134P023</t>
  </si>
  <si>
    <t>Eaton Hastings</t>
  </si>
  <si>
    <t>Vale of White HorseFernham</t>
  </si>
  <si>
    <t>E3134P024</t>
  </si>
  <si>
    <t>Fernham</t>
  </si>
  <si>
    <t>Vale of White HorseFrilford</t>
  </si>
  <si>
    <t>E3134P025</t>
  </si>
  <si>
    <t>Frilford</t>
  </si>
  <si>
    <t>Vale of White HorseFyfield and Tubney</t>
  </si>
  <si>
    <t>E3134P026</t>
  </si>
  <si>
    <t>Fyfield and Tubney</t>
  </si>
  <si>
    <t>Vale of White HorseGarford</t>
  </si>
  <si>
    <t>E3134P027</t>
  </si>
  <si>
    <t>Garford</t>
  </si>
  <si>
    <t>Vale of White HorseGoosey</t>
  </si>
  <si>
    <t>E3134P028</t>
  </si>
  <si>
    <t>Goosey</t>
  </si>
  <si>
    <t>Vale of White HorseGreat Coxwell</t>
  </si>
  <si>
    <t>E3134P029</t>
  </si>
  <si>
    <t>Great Coxwell</t>
  </si>
  <si>
    <t>Vale of White HorseFaringdon</t>
  </si>
  <si>
    <t>E3134P030</t>
  </si>
  <si>
    <t>Faringdon</t>
  </si>
  <si>
    <t>Vale of White HorseGrove</t>
  </si>
  <si>
    <t>E3134P031</t>
  </si>
  <si>
    <t>Grove</t>
  </si>
  <si>
    <t>Vale of White HorseHarwell</t>
  </si>
  <si>
    <t>E3134P032</t>
  </si>
  <si>
    <t>Harwell</t>
  </si>
  <si>
    <t>Vale of White HorseHatford</t>
  </si>
  <si>
    <t>E3134P033</t>
  </si>
  <si>
    <t>Hatford</t>
  </si>
  <si>
    <t>Vale of White HorseHinton Waldrist</t>
  </si>
  <si>
    <t>E3134P034</t>
  </si>
  <si>
    <t>Hinton Waldrist</t>
  </si>
  <si>
    <t>Vale of White HorseKennington</t>
  </si>
  <si>
    <t>E3134P035</t>
  </si>
  <si>
    <t>Vale of White HorseKingston Bagpuize with Southmoor</t>
  </si>
  <si>
    <t>E3134P036</t>
  </si>
  <si>
    <t>Kingston Bagpuize with Southmoor</t>
  </si>
  <si>
    <t>Vale of White HorseKingston Lisle</t>
  </si>
  <si>
    <t>E3134P037</t>
  </si>
  <si>
    <t>Kingston Lisle</t>
  </si>
  <si>
    <t>Vale of White HorseLetcombe Bassett</t>
  </si>
  <si>
    <t>E3134P038</t>
  </si>
  <si>
    <t>Letcombe Bassett</t>
  </si>
  <si>
    <t>Vale of White HorseLetcombe Regis</t>
  </si>
  <si>
    <t>E3134P039</t>
  </si>
  <si>
    <t>Letcombe Regis</t>
  </si>
  <si>
    <t>Vale of White HorseLittle Coxwell</t>
  </si>
  <si>
    <t>E3134P040</t>
  </si>
  <si>
    <t>Little Coxwell</t>
  </si>
  <si>
    <t>Vale of White HorseLittleworth</t>
  </si>
  <si>
    <t>E3134P041</t>
  </si>
  <si>
    <t>Littleworth</t>
  </si>
  <si>
    <t>Vale of White HorseLongcot</t>
  </si>
  <si>
    <t>E3134P043</t>
  </si>
  <si>
    <t>Longcot</t>
  </si>
  <si>
    <t>Vale of White HorseLongworth</t>
  </si>
  <si>
    <t>E3134P044</t>
  </si>
  <si>
    <t>Longworth</t>
  </si>
  <si>
    <t>Vale of White HorseLyford</t>
  </si>
  <si>
    <t>E3134P045</t>
  </si>
  <si>
    <t>Lyford</t>
  </si>
  <si>
    <t>Vale of White HorseMarcham</t>
  </si>
  <si>
    <t>E3134P046</t>
  </si>
  <si>
    <t>Marcham</t>
  </si>
  <si>
    <t>Vale of White HorseMilton</t>
  </si>
  <si>
    <t>E3134P047</t>
  </si>
  <si>
    <t>Vale of White HorseBotley and North Hinksey</t>
  </si>
  <si>
    <t>E3134P048</t>
  </si>
  <si>
    <t>Botley and North Hinksey</t>
  </si>
  <si>
    <t>Vale of White HorsePusey</t>
  </si>
  <si>
    <t>E3134P049</t>
  </si>
  <si>
    <t>Pusey</t>
  </si>
  <si>
    <t>Vale of White HorseRadley</t>
  </si>
  <si>
    <t>E3134P050</t>
  </si>
  <si>
    <t>Radley</t>
  </si>
  <si>
    <t>Vale of White HorseShellingford</t>
  </si>
  <si>
    <t>E3134P051</t>
  </si>
  <si>
    <t>Shellingford</t>
  </si>
  <si>
    <t>Vale of White HorseShrivenham</t>
  </si>
  <si>
    <t>E3134P052</t>
  </si>
  <si>
    <t>Shrivenham</t>
  </si>
  <si>
    <t>Vale of White HorseSouth Hinksey</t>
  </si>
  <si>
    <t>E3134P053</t>
  </si>
  <si>
    <t>South Hinksey</t>
  </si>
  <si>
    <t>Vale of White HorseSparsholt</t>
  </si>
  <si>
    <t>E3134P054</t>
  </si>
  <si>
    <t>Vale of White HorseSt. Helen Without</t>
  </si>
  <si>
    <t>E3134P055</t>
  </si>
  <si>
    <t>St. Helen Without</t>
  </si>
  <si>
    <t>Vale of White HorseStanford in the Vale</t>
  </si>
  <si>
    <t>E3134P056</t>
  </si>
  <si>
    <t>Stanford in the Vale</t>
  </si>
  <si>
    <t>Vale of White HorseSteventon</t>
  </si>
  <si>
    <t>E3134P057</t>
  </si>
  <si>
    <t>Vale of White HorseSunningwell</t>
  </si>
  <si>
    <t>E3134P058</t>
  </si>
  <si>
    <t>Sunningwell</t>
  </si>
  <si>
    <t>Vale of White HorseSutton Courtenay</t>
  </si>
  <si>
    <t>E3134P059</t>
  </si>
  <si>
    <t>Sutton Courtenay</t>
  </si>
  <si>
    <t>Vale of White HorseUffington</t>
  </si>
  <si>
    <t>E3134P060</t>
  </si>
  <si>
    <t>Vale of White HorseUpton</t>
  </si>
  <si>
    <t>E3134P061</t>
  </si>
  <si>
    <t>Vale of White HorseWantage</t>
  </si>
  <si>
    <t>E3134P062</t>
  </si>
  <si>
    <t>Wantage</t>
  </si>
  <si>
    <t>Vale of White HorseWatchfield</t>
  </si>
  <si>
    <t>E3134P063</t>
  </si>
  <si>
    <t>Watchfield</t>
  </si>
  <si>
    <t>Vale of White HorseWest Challow</t>
  </si>
  <si>
    <t>E3134P064</t>
  </si>
  <si>
    <t>West Challow</t>
  </si>
  <si>
    <t>Vale of White HorseWest Hanney</t>
  </si>
  <si>
    <t>E3134P065</t>
  </si>
  <si>
    <t>West Hanney</t>
  </si>
  <si>
    <t>Vale of White HorseWest Hendred</t>
  </si>
  <si>
    <t>E3134P066</t>
  </si>
  <si>
    <t>West Hendred</t>
  </si>
  <si>
    <t>Vale of White HorseWoolstone</t>
  </si>
  <si>
    <t>E3134P067</t>
  </si>
  <si>
    <t>Woolstone</t>
  </si>
  <si>
    <t>Vale of White HorseWootton</t>
  </si>
  <si>
    <t>E3134P068</t>
  </si>
  <si>
    <t>Vale of White HorseWytham</t>
  </si>
  <si>
    <t>E3134P069</t>
  </si>
  <si>
    <t>Wytham</t>
  </si>
  <si>
    <t>Vale of White HorseWestern Valley</t>
  </si>
  <si>
    <t>E3134P070</t>
  </si>
  <si>
    <t>Western Valley</t>
  </si>
  <si>
    <t>West OxfordshireAlvescot</t>
  </si>
  <si>
    <t>E3135P001</t>
  </si>
  <si>
    <t>Alvescot</t>
  </si>
  <si>
    <t>West OxfordshireAscott under Wychwood</t>
  </si>
  <si>
    <t>E3135P002</t>
  </si>
  <si>
    <t>Ascott under Wychwood</t>
  </si>
  <si>
    <t>West OxfordshireAsthal</t>
  </si>
  <si>
    <t>E3135P003</t>
  </si>
  <si>
    <t>Asthal</t>
  </si>
  <si>
    <t>West OxfordshireAston Cote Shifford and Chimney</t>
  </si>
  <si>
    <t>E3135P004</t>
  </si>
  <si>
    <t>Aston Cote Shifford and Chimney</t>
  </si>
  <si>
    <t>West OxfordshireBampton</t>
  </si>
  <si>
    <t>E3135P005</t>
  </si>
  <si>
    <t>West OxfordshireBlack Bourton</t>
  </si>
  <si>
    <t>E3135P006</t>
  </si>
  <si>
    <t>Black Bourton</t>
  </si>
  <si>
    <t>West OxfordshireBladon</t>
  </si>
  <si>
    <t>E3135P007</t>
  </si>
  <si>
    <t>Bladon</t>
  </si>
  <si>
    <t>West OxfordshireBlenheim</t>
  </si>
  <si>
    <t>E3135P008</t>
  </si>
  <si>
    <t>Blenheim</t>
  </si>
  <si>
    <t>West OxfordshireBrize Norton</t>
  </si>
  <si>
    <t>E3135P009</t>
  </si>
  <si>
    <t>Brize Norton</t>
  </si>
  <si>
    <t>West OxfordshireBroadwell</t>
  </si>
  <si>
    <t>E3135P010</t>
  </si>
  <si>
    <t>West OxfordshireBruern</t>
  </si>
  <si>
    <t>E3135P011</t>
  </si>
  <si>
    <t>Bruern</t>
  </si>
  <si>
    <t>West OxfordshireBurford</t>
  </si>
  <si>
    <t>E3135P012</t>
  </si>
  <si>
    <t>Burford</t>
  </si>
  <si>
    <t>West OxfordshireCarterton</t>
  </si>
  <si>
    <t>E3135P013</t>
  </si>
  <si>
    <t>Carterton</t>
  </si>
  <si>
    <t>West OxfordshireCassington</t>
  </si>
  <si>
    <t>E3135P014</t>
  </si>
  <si>
    <t>Cassington</t>
  </si>
  <si>
    <t>West OxfordshireChadlington</t>
  </si>
  <si>
    <t>E3135P015</t>
  </si>
  <si>
    <t>Chadlington</t>
  </si>
  <si>
    <t>West OxfordshireCharlbury</t>
  </si>
  <si>
    <t>E3135P016</t>
  </si>
  <si>
    <t>Charlbury</t>
  </si>
  <si>
    <t>West OxfordshireChastleton</t>
  </si>
  <si>
    <t>E3135P017</t>
  </si>
  <si>
    <t>Chastleton</t>
  </si>
  <si>
    <t>West OxfordshireChilson</t>
  </si>
  <si>
    <t>E3135P018</t>
  </si>
  <si>
    <t>Chilson</t>
  </si>
  <si>
    <t>West OxfordshireChipping Norton</t>
  </si>
  <si>
    <t>E3135P019</t>
  </si>
  <si>
    <t>Chipping Norton</t>
  </si>
  <si>
    <t>West OxfordshireClanfield</t>
  </si>
  <si>
    <t>E3135P021</t>
  </si>
  <si>
    <t>West OxfordshireCombe</t>
  </si>
  <si>
    <t>E3135P022</t>
  </si>
  <si>
    <t>West OxfordshireCornbury and Wychwood</t>
  </si>
  <si>
    <t>E3135P023</t>
  </si>
  <si>
    <t>Cornbury and Wychwood</t>
  </si>
  <si>
    <t>West OxfordshireCornwell</t>
  </si>
  <si>
    <t>E3135P024</t>
  </si>
  <si>
    <t>Cornwell</t>
  </si>
  <si>
    <t>West OxfordshireCrawley</t>
  </si>
  <si>
    <t>E3135P025</t>
  </si>
  <si>
    <t>West OxfordshireDucklington</t>
  </si>
  <si>
    <t>E3135P027</t>
  </si>
  <si>
    <t>Ducklington</t>
  </si>
  <si>
    <t>West OxfordshireEnstone</t>
  </si>
  <si>
    <t>E3135P028</t>
  </si>
  <si>
    <t>Enstone</t>
  </si>
  <si>
    <t>West OxfordshireEynsham</t>
  </si>
  <si>
    <t>E3135P029</t>
  </si>
  <si>
    <t>Eynsham</t>
  </si>
  <si>
    <t>West OxfordshireFawler</t>
  </si>
  <si>
    <t>E3135P030</t>
  </si>
  <si>
    <t>Fawler</t>
  </si>
  <si>
    <t>West OxfordshireFifield</t>
  </si>
  <si>
    <t>E3135P031</t>
  </si>
  <si>
    <t>Fifield</t>
  </si>
  <si>
    <t>West OxfordshireFilkins and Broughton Poggs</t>
  </si>
  <si>
    <t>E3135P032</t>
  </si>
  <si>
    <t>Filkins and Broughton Poggs</t>
  </si>
  <si>
    <t>West OxfordshireFinstock</t>
  </si>
  <si>
    <t>E3135P033</t>
  </si>
  <si>
    <t>Finstock</t>
  </si>
  <si>
    <t>West OxfordshireFreeland</t>
  </si>
  <si>
    <t>E3135P034</t>
  </si>
  <si>
    <t>Freeland</t>
  </si>
  <si>
    <t>West OxfordshireFulbrook</t>
  </si>
  <si>
    <t>E3135P035</t>
  </si>
  <si>
    <t>Fulbrook</t>
  </si>
  <si>
    <t>West OxfordshireGlympton</t>
  </si>
  <si>
    <t>E3135P036</t>
  </si>
  <si>
    <t>Glympton</t>
  </si>
  <si>
    <t>West OxfordshireGrafton and Radcot</t>
  </si>
  <si>
    <t>E3135P037</t>
  </si>
  <si>
    <t>Grafton and Radcot</t>
  </si>
  <si>
    <t>West OxfordshireGreat Tew</t>
  </si>
  <si>
    <t>E3135P038</t>
  </si>
  <si>
    <t>Great Tew</t>
  </si>
  <si>
    <t>West OxfordshireHailey</t>
  </si>
  <si>
    <t>E3135P039</t>
  </si>
  <si>
    <t>Hailey</t>
  </si>
  <si>
    <t>West OxfordshireHanborough</t>
  </si>
  <si>
    <t>E3135P040</t>
  </si>
  <si>
    <t>Hanborough</t>
  </si>
  <si>
    <t>West OxfordshireHardwick with Yelford</t>
  </si>
  <si>
    <t>E3135P041</t>
  </si>
  <si>
    <t>Hardwick with Yelford</t>
  </si>
  <si>
    <t>West OxfordshireHeythrop</t>
  </si>
  <si>
    <t>E3135P042</t>
  </si>
  <si>
    <t>Heythrop</t>
  </si>
  <si>
    <t>West OxfordshireHolwell</t>
  </si>
  <si>
    <t>E3135P043</t>
  </si>
  <si>
    <t>West OxfordshireIdbury</t>
  </si>
  <si>
    <t>E3135P044</t>
  </si>
  <si>
    <t>Idbury</t>
  </si>
  <si>
    <t>West OxfordshireKelmscott</t>
  </si>
  <si>
    <t>E3135P045</t>
  </si>
  <si>
    <t>Kelmscott</t>
  </si>
  <si>
    <t>West OxfordshireKencot</t>
  </si>
  <si>
    <t>E3135P046</t>
  </si>
  <si>
    <t>Kencot</t>
  </si>
  <si>
    <t>West OxfordshireKiddington with Asterleigh</t>
  </si>
  <si>
    <t>E3135P047</t>
  </si>
  <si>
    <t>Kiddington with Asterleigh</t>
  </si>
  <si>
    <t>West OxfordshireKingham</t>
  </si>
  <si>
    <t>E3135P048</t>
  </si>
  <si>
    <t>Kingham</t>
  </si>
  <si>
    <t>West OxfordshireLangford</t>
  </si>
  <si>
    <t>E3135P049</t>
  </si>
  <si>
    <t>West OxfordshireLeafield</t>
  </si>
  <si>
    <t>E3135P050</t>
  </si>
  <si>
    <t>Leafield</t>
  </si>
  <si>
    <t>West OxfordshireLittle Faringdon</t>
  </si>
  <si>
    <t>E3135P052</t>
  </si>
  <si>
    <t>Little Faringdon</t>
  </si>
  <si>
    <t>West OxfordshireLittle Tew</t>
  </si>
  <si>
    <t>E3135P053</t>
  </si>
  <si>
    <t>Little Tew</t>
  </si>
  <si>
    <t>West OxfordshireLyneham</t>
  </si>
  <si>
    <t>E3135P054</t>
  </si>
  <si>
    <t>Lyneham</t>
  </si>
  <si>
    <t>West OxfordshireMilton under Wychwood</t>
  </si>
  <si>
    <t>E3135P055</t>
  </si>
  <si>
    <t>Milton under Wychwood</t>
  </si>
  <si>
    <t>West OxfordshireMinster Lovell</t>
  </si>
  <si>
    <t>E3135P056</t>
  </si>
  <si>
    <t>Minster Lovell</t>
  </si>
  <si>
    <t>West OxfordshireNorth Leigh</t>
  </si>
  <si>
    <t>E3135P057</t>
  </si>
  <si>
    <t>North Leigh</t>
  </si>
  <si>
    <t>West OxfordshireNorthmoor</t>
  </si>
  <si>
    <t>E3135P058</t>
  </si>
  <si>
    <t>Northmoor</t>
  </si>
  <si>
    <t>West OxfordshireOver Norton</t>
  </si>
  <si>
    <t>E3135P059</t>
  </si>
  <si>
    <t>Over Norton</t>
  </si>
  <si>
    <t>West OxfordshireRamsden</t>
  </si>
  <si>
    <t>E3135P060</t>
  </si>
  <si>
    <t>Ramsden</t>
  </si>
  <si>
    <t>West OxfordshireRollright</t>
  </si>
  <si>
    <t>E3135P061</t>
  </si>
  <si>
    <t>Rollright</t>
  </si>
  <si>
    <t>West OxfordshireRousham</t>
  </si>
  <si>
    <t>E3135P062</t>
  </si>
  <si>
    <t>Rousham</t>
  </si>
  <si>
    <t>West OxfordshireSalford</t>
  </si>
  <si>
    <t>E3135P063</t>
  </si>
  <si>
    <t>West OxfordshireSandford St. Martin</t>
  </si>
  <si>
    <t>E3135P064</t>
  </si>
  <si>
    <t>Sandford St. Martin</t>
  </si>
  <si>
    <t>West OxfordshireShilton</t>
  </si>
  <si>
    <t>E3135P066</t>
  </si>
  <si>
    <t>Shilton</t>
  </si>
  <si>
    <t>West OxfordshireShipton under Wychwood</t>
  </si>
  <si>
    <t>E3135P067</t>
  </si>
  <si>
    <t>Shipton under Wychwood</t>
  </si>
  <si>
    <t>West OxfordshireSouth Leigh</t>
  </si>
  <si>
    <t>E3135P068</t>
  </si>
  <si>
    <t>South Leigh</t>
  </si>
  <si>
    <t>West OxfordshireSpelsbury</t>
  </si>
  <si>
    <t>E3135P069</t>
  </si>
  <si>
    <t>Spelsbury</t>
  </si>
  <si>
    <t>West OxfordshireStandlake</t>
  </si>
  <si>
    <t>E3135P070</t>
  </si>
  <si>
    <t>Standlake</t>
  </si>
  <si>
    <t>West OxfordshireStanton Harcourt</t>
  </si>
  <si>
    <t>E3135P071</t>
  </si>
  <si>
    <t>Stanton Harcourt</t>
  </si>
  <si>
    <t>West OxfordshireSteeple Barton</t>
  </si>
  <si>
    <t>E3135P072</t>
  </si>
  <si>
    <t>Steeple Barton</t>
  </si>
  <si>
    <t>West OxfordshireStonesfield</t>
  </si>
  <si>
    <t>E3135P073</t>
  </si>
  <si>
    <t>Stonesfield</t>
  </si>
  <si>
    <t>West OxfordshireSwerford</t>
  </si>
  <si>
    <t>E3135P074</t>
  </si>
  <si>
    <t>Swerford</t>
  </si>
  <si>
    <t>West OxfordshireSwinbrook and Widford</t>
  </si>
  <si>
    <t>E3135P075</t>
  </si>
  <si>
    <t>Swinbrook and Widford</t>
  </si>
  <si>
    <t>West OxfordshireTackley</t>
  </si>
  <si>
    <t>E3135P076</t>
  </si>
  <si>
    <t>Tackley</t>
  </si>
  <si>
    <t>West OxfordshireTaynton</t>
  </si>
  <si>
    <t>E3135P077</t>
  </si>
  <si>
    <t>West OxfordshireWestcot Barton</t>
  </si>
  <si>
    <t>E3135P078</t>
  </si>
  <si>
    <t>Westcot Barton</t>
  </si>
  <si>
    <t>West OxfordshireWestwell</t>
  </si>
  <si>
    <t>E3135P079</t>
  </si>
  <si>
    <t>West OxfordshireWitney</t>
  </si>
  <si>
    <t>E3135P080</t>
  </si>
  <si>
    <t>Witney</t>
  </si>
  <si>
    <t>West OxfordshireWoodstock</t>
  </si>
  <si>
    <t>E3135P081</t>
  </si>
  <si>
    <t>Woodstock</t>
  </si>
  <si>
    <t>West OxfordshireWootton</t>
  </si>
  <si>
    <t>E3135P082</t>
  </si>
  <si>
    <t>West OxfordshireWorton</t>
  </si>
  <si>
    <t>E3135P083</t>
  </si>
  <si>
    <t>Worton</t>
  </si>
  <si>
    <t>West OxfordshireChurchill &amp; Sarsden</t>
  </si>
  <si>
    <t>E3135P084</t>
  </si>
  <si>
    <t>Churchill &amp; Sarsden</t>
  </si>
  <si>
    <t>West OxfordshireCurbridge &amp; Lew</t>
  </si>
  <si>
    <t>E3135P085</t>
  </si>
  <si>
    <t>Curbridge &amp; Lew</t>
  </si>
  <si>
    <t>Telford and WrekinChetwynd</t>
  </si>
  <si>
    <t>E3201P001</t>
  </si>
  <si>
    <t>Chetwynd</t>
  </si>
  <si>
    <t>Telford and WrekinChetwynd Aston and Woodcote</t>
  </si>
  <si>
    <t>E3201P002</t>
  </si>
  <si>
    <t>Chetwynd Aston and Woodcote</t>
  </si>
  <si>
    <t>Telford and WrekinChurch Aston</t>
  </si>
  <si>
    <t>E3201P003</t>
  </si>
  <si>
    <t>Church Aston</t>
  </si>
  <si>
    <t>Telford and WrekinDawley Hamlets</t>
  </si>
  <si>
    <t>E3201P004</t>
  </si>
  <si>
    <t>Dawley Hamlets</t>
  </si>
  <si>
    <t>Telford and WrekinEdgmond</t>
  </si>
  <si>
    <t>E3201P005</t>
  </si>
  <si>
    <t>Edgmond</t>
  </si>
  <si>
    <t>Telford and WrekinErcall Magna</t>
  </si>
  <si>
    <t>E3201P006</t>
  </si>
  <si>
    <t>Ercall Magna</t>
  </si>
  <si>
    <t>Telford and WrekinEyton Upon The Weald Moors</t>
  </si>
  <si>
    <t>E3201P007</t>
  </si>
  <si>
    <t>Eyton Upon The Weald Moors</t>
  </si>
  <si>
    <t>Telford and WrekinGreat Dawley</t>
  </si>
  <si>
    <t>E3201P008</t>
  </si>
  <si>
    <t>Great Dawley</t>
  </si>
  <si>
    <t>Telford and WrekinHadley &amp; Leegomery</t>
  </si>
  <si>
    <t>E3201P009</t>
  </si>
  <si>
    <t>Hadley &amp; Leegomery</t>
  </si>
  <si>
    <t>Telford and WrekinHollinswood and Randlay</t>
  </si>
  <si>
    <t>E3201P010</t>
  </si>
  <si>
    <t>Hollinswood and Randlay</t>
  </si>
  <si>
    <t>Telford and WrekinKetley</t>
  </si>
  <si>
    <t>E3201P011</t>
  </si>
  <si>
    <t>Ketley</t>
  </si>
  <si>
    <t>Telford and WrekinKynnersley</t>
  </si>
  <si>
    <t>E3201P012</t>
  </si>
  <si>
    <t>Kynnersley</t>
  </si>
  <si>
    <t>Telford and WrekinLawley and Overdale</t>
  </si>
  <si>
    <t>E3201P013</t>
  </si>
  <si>
    <t>Lawley and Overdale</t>
  </si>
  <si>
    <t>Telford and WrekinLittle Wenlock</t>
  </si>
  <si>
    <t>E3201P015</t>
  </si>
  <si>
    <t>Little Wenlock</t>
  </si>
  <si>
    <t>Telford and WrekinMadeley</t>
  </si>
  <si>
    <t>E3201P016</t>
  </si>
  <si>
    <t>Madeley</t>
  </si>
  <si>
    <t>Telford and WrekinNewport</t>
  </si>
  <si>
    <t>E3201P017</t>
  </si>
  <si>
    <t>Telford and WrekinOakengates</t>
  </si>
  <si>
    <t>E3201P018</t>
  </si>
  <si>
    <t>Oakengates</t>
  </si>
  <si>
    <t>Telford and WrekinPreston Upon The Weald Moors</t>
  </si>
  <si>
    <t>E3201P019</t>
  </si>
  <si>
    <t>Preston Upon The Weald Moors</t>
  </si>
  <si>
    <t>Telford and WrekinRodington</t>
  </si>
  <si>
    <t>E3201P020</t>
  </si>
  <si>
    <t>Rodington</t>
  </si>
  <si>
    <t>Telford and WrekinSt Georges and Priorslee</t>
  </si>
  <si>
    <t>E3201P021</t>
  </si>
  <si>
    <t>St Georges and Priorslee</t>
  </si>
  <si>
    <t>Telford and WrekinStirchley and Brookside</t>
  </si>
  <si>
    <t>E3201P022</t>
  </si>
  <si>
    <t>Stirchley and Brookside</t>
  </si>
  <si>
    <t>Telford and WrekinThe Gorge</t>
  </si>
  <si>
    <t>E3201P023</t>
  </si>
  <si>
    <t>The Gorge</t>
  </si>
  <si>
    <t>Telford and WrekinTibberton and Cherrington</t>
  </si>
  <si>
    <t>E3201P024</t>
  </si>
  <si>
    <t>Tibberton and Cherrington</t>
  </si>
  <si>
    <t>Telford and WrekinWaters Upton</t>
  </si>
  <si>
    <t>E3201P025</t>
  </si>
  <si>
    <t>Waters Upton</t>
  </si>
  <si>
    <t>Telford and WrekinWellington</t>
  </si>
  <si>
    <t>E3201P026</t>
  </si>
  <si>
    <t>Telford and WrekinWrockwardine</t>
  </si>
  <si>
    <t>E3201P027</t>
  </si>
  <si>
    <t>Wrockwardine</t>
  </si>
  <si>
    <t>Telford and WrekinWrockwardine Wood and Trench</t>
  </si>
  <si>
    <t>E3201P028</t>
  </si>
  <si>
    <t>Wrockwardine Wood and Trench</t>
  </si>
  <si>
    <t>Telford and WrekinDonnington &amp; Muxton</t>
  </si>
  <si>
    <t>E3201P029</t>
  </si>
  <si>
    <t>Donnington &amp; Muxton</t>
  </si>
  <si>
    <t>Telford and WrekinLilleshall</t>
  </si>
  <si>
    <t>E3201P030</t>
  </si>
  <si>
    <t>Lilleshall</t>
  </si>
  <si>
    <t>ShropshireAbdon (grouped with Heath)</t>
  </si>
  <si>
    <t>E3202P001</t>
  </si>
  <si>
    <t>Abdon (grouped with Heath)</t>
  </si>
  <si>
    <t>ShropshireActon Burnell Frodesley Pitchford &amp; Ruckley &amp; Langley</t>
  </si>
  <si>
    <t>E3202P002</t>
  </si>
  <si>
    <t>Acton Burnell Frodesley Pitchford &amp; Ruckley &amp; Langley</t>
  </si>
  <si>
    <t>ShropshireActon Round (grouped with Morville Aston Eyre Monkhopton &amp; Upton Cressett)</t>
  </si>
  <si>
    <t>E3202P003</t>
  </si>
  <si>
    <t>Acton Round (grouped with Morville Aston Eyre Monkhopton &amp; Upton Cressett)</t>
  </si>
  <si>
    <t>ShropshireActon Scott</t>
  </si>
  <si>
    <t>E3202P004</t>
  </si>
  <si>
    <t>Acton Scott</t>
  </si>
  <si>
    <t>ShropshireAdderley</t>
  </si>
  <si>
    <t>E3202P005</t>
  </si>
  <si>
    <t>Adderley</t>
  </si>
  <si>
    <t>ShropshireAlberbury with Cardeston</t>
  </si>
  <si>
    <t>E3202P006</t>
  </si>
  <si>
    <t>Alberbury with Cardeston</t>
  </si>
  <si>
    <t>ShropshireAll Stretton Smethcott &amp; Woolstaston</t>
  </si>
  <si>
    <t>E3202P008</t>
  </si>
  <si>
    <t>All Stretton Smethcott &amp; Woolstaston</t>
  </si>
  <si>
    <t>ShropshireAlveley (grouped with Romsley)</t>
  </si>
  <si>
    <t>E3202P009</t>
  </si>
  <si>
    <t>Alveley (grouped with Romsley)</t>
  </si>
  <si>
    <t>ShropshireAshford Bowdler</t>
  </si>
  <si>
    <t>E3202P010</t>
  </si>
  <si>
    <t>Ashford Bowdler</t>
  </si>
  <si>
    <t>ShropshireAshford Carbonel</t>
  </si>
  <si>
    <t>E3202P011</t>
  </si>
  <si>
    <t>Ashford Carbonel</t>
  </si>
  <si>
    <t>ShropshireAstley</t>
  </si>
  <si>
    <t>E3202P012</t>
  </si>
  <si>
    <t>Astley</t>
  </si>
  <si>
    <t>ShropshireAstley Abbotts</t>
  </si>
  <si>
    <t>E3202P013</t>
  </si>
  <si>
    <t>Astley Abbotts</t>
  </si>
  <si>
    <t>ShropshireAston Botterell (grouped with Burwarton &amp; Cleobury North)</t>
  </si>
  <si>
    <t>E3202P014</t>
  </si>
  <si>
    <t>Aston Botterell (grouped with Burwarton &amp; Cleobury North)</t>
  </si>
  <si>
    <t>ShropshireAston Eyre (grouped with Morville Acton Round Monkhopton &amp; Upton Cressett)</t>
  </si>
  <si>
    <t>E3202P015</t>
  </si>
  <si>
    <t>Aston Eyre (grouped with Morville Acton Round Monkhopton &amp; Upton Cressett)</t>
  </si>
  <si>
    <t>ShropshireAtcham</t>
  </si>
  <si>
    <t>E3202P016</t>
  </si>
  <si>
    <t>Atcham</t>
  </si>
  <si>
    <t>ShropshireBadger</t>
  </si>
  <si>
    <t>E3202P017</t>
  </si>
  <si>
    <t>Badger</t>
  </si>
  <si>
    <t>ShropshireBarrow</t>
  </si>
  <si>
    <t>E3202P018</t>
  </si>
  <si>
    <t>ShropshireBaschurch</t>
  </si>
  <si>
    <t>E3202P019</t>
  </si>
  <si>
    <t>Baschurch</t>
  </si>
  <si>
    <t>ShropshireBayston Hill</t>
  </si>
  <si>
    <t>E3202P020</t>
  </si>
  <si>
    <t>Bayston Hill</t>
  </si>
  <si>
    <t>ShropshireBeckbury</t>
  </si>
  <si>
    <t>E3202P021</t>
  </si>
  <si>
    <t>Beckbury</t>
  </si>
  <si>
    <t>ShropshireBedstone (grouped with Bucknell)</t>
  </si>
  <si>
    <t>E3202P022</t>
  </si>
  <si>
    <t>Bedstone (grouped with Bucknell)</t>
  </si>
  <si>
    <t>ShropshireBerrington</t>
  </si>
  <si>
    <t>E3202P023</t>
  </si>
  <si>
    <t>Berrington</t>
  </si>
  <si>
    <t>ShropshireBettws y Crwyn</t>
  </si>
  <si>
    <t>E3202P024</t>
  </si>
  <si>
    <t>Bettws y Crwyn</t>
  </si>
  <si>
    <t>ShropshireBicton</t>
  </si>
  <si>
    <t>E3202P025</t>
  </si>
  <si>
    <t>Bicton</t>
  </si>
  <si>
    <t>ShropshireBillinglsey (grouped with Deuxhill Glazeley &amp; Middleton Scriven)</t>
  </si>
  <si>
    <t>E3202P026</t>
  </si>
  <si>
    <t>Billinglsey (grouped with Deuxhill Glazeley &amp; Middleton Scriven)</t>
  </si>
  <si>
    <t>ShropshireBishop's Castle</t>
  </si>
  <si>
    <t>E3202P027</t>
  </si>
  <si>
    <t>Bishop's Castle</t>
  </si>
  <si>
    <t>ShropshireBitterley</t>
  </si>
  <si>
    <t>E3202P028</t>
  </si>
  <si>
    <t>Bitterley</t>
  </si>
  <si>
    <t>ShropshireBoningale</t>
  </si>
  <si>
    <t>E3202P029</t>
  </si>
  <si>
    <t>Boningale</t>
  </si>
  <si>
    <t>ShropshireBoraston</t>
  </si>
  <si>
    <t>E3202P030</t>
  </si>
  <si>
    <t>Boraston</t>
  </si>
  <si>
    <t>ShropshireBridgnorth</t>
  </si>
  <si>
    <t>E3202P032</t>
  </si>
  <si>
    <t>Bridgnorth</t>
  </si>
  <si>
    <t>ShropshireBromfield</t>
  </si>
  <si>
    <t>E3202P033</t>
  </si>
  <si>
    <t>ShropshireBroseley</t>
  </si>
  <si>
    <t>E3202P034</t>
  </si>
  <si>
    <t>Broseley</t>
  </si>
  <si>
    <t>ShropshireBucknell (grouped with Bedstone)</t>
  </si>
  <si>
    <t>E3202P035</t>
  </si>
  <si>
    <t>Bucknell (grouped with Bedstone)</t>
  </si>
  <si>
    <t>ShropshireBuildwas</t>
  </si>
  <si>
    <t>E3202P036</t>
  </si>
  <si>
    <t>Buildwas</t>
  </si>
  <si>
    <t>ShropshireBurford</t>
  </si>
  <si>
    <t>E3202P037</t>
  </si>
  <si>
    <t>ShropshireBurwarton (grouped with Aston Botterell &amp; Cleobury North)</t>
  </si>
  <si>
    <t>E3202P038</t>
  </si>
  <si>
    <t>Burwarton (grouped with Aston Botterell &amp; Cleobury North)</t>
  </si>
  <si>
    <t>ShropshireCardington</t>
  </si>
  <si>
    <t>E3202P039</t>
  </si>
  <si>
    <t>ShropshireCaynham</t>
  </si>
  <si>
    <t>E3202P040</t>
  </si>
  <si>
    <t>Caynham</t>
  </si>
  <si>
    <t>ShropshireChelmarsh</t>
  </si>
  <si>
    <t>E3202P041</t>
  </si>
  <si>
    <t>Chelmarsh</t>
  </si>
  <si>
    <t>ShropshireCheswardine</t>
  </si>
  <si>
    <t>E3202P042</t>
  </si>
  <si>
    <t>Cheswardine</t>
  </si>
  <si>
    <t>ShropshireChetton</t>
  </si>
  <si>
    <t>E3202P043</t>
  </si>
  <si>
    <t>Chetton</t>
  </si>
  <si>
    <t>ShropshireChild's Ercall</t>
  </si>
  <si>
    <t>E3202P044</t>
  </si>
  <si>
    <t>Child's Ercall</t>
  </si>
  <si>
    <t>ShropshireChirbury with Brompton</t>
  </si>
  <si>
    <t>E3202P045</t>
  </si>
  <si>
    <t>Chirbury with Brompton</t>
  </si>
  <si>
    <t>ShropshireChurch Preen Kenley &amp; Hughley</t>
  </si>
  <si>
    <t>E3202P046</t>
  </si>
  <si>
    <t>Church Preen Kenley &amp; Hughley</t>
  </si>
  <si>
    <t>ShropshireChurch Pulverbatch</t>
  </si>
  <si>
    <t>E3202P047</t>
  </si>
  <si>
    <t>Church Pulverbatch</t>
  </si>
  <si>
    <t>ShropshireChurch Stretton</t>
  </si>
  <si>
    <t>E3202P048</t>
  </si>
  <si>
    <t>Church Stretton</t>
  </si>
  <si>
    <t>ShropshireClaverley</t>
  </si>
  <si>
    <t>E3202P049</t>
  </si>
  <si>
    <t>Claverley</t>
  </si>
  <si>
    <t>ShropshireClee St. Margaret</t>
  </si>
  <si>
    <t>E3202P050</t>
  </si>
  <si>
    <t>Clee St. Margaret</t>
  </si>
  <si>
    <t>ShropshireCleobury Mortimer</t>
  </si>
  <si>
    <t>E3202P051</t>
  </si>
  <si>
    <t>Cleobury Mortimer</t>
  </si>
  <si>
    <t>ShropshireCleobury North (grouped with Aston Botterell &amp; Burwarton)</t>
  </si>
  <si>
    <t>E3202P052</t>
  </si>
  <si>
    <t>Cleobury North (grouped with Aston Botterell &amp; Burwarton)</t>
  </si>
  <si>
    <t>ShropshireClive</t>
  </si>
  <si>
    <t>E3202P053</t>
  </si>
  <si>
    <t>Clive</t>
  </si>
  <si>
    <t>ShropshireClun &amp; Chapel Lawn</t>
  </si>
  <si>
    <t>E3202P054</t>
  </si>
  <si>
    <t>Clun &amp; Chapel Lawn</t>
  </si>
  <si>
    <t>ShropshireClunbury</t>
  </si>
  <si>
    <t>E3202P055</t>
  </si>
  <si>
    <t>Clunbury</t>
  </si>
  <si>
    <t>ShropshireClungunford</t>
  </si>
  <si>
    <t>E3202P056</t>
  </si>
  <si>
    <t>Clungunford</t>
  </si>
  <si>
    <t>ShropshireCockshutt cum Petton</t>
  </si>
  <si>
    <t>E3202P057</t>
  </si>
  <si>
    <t>Cockshutt cum Petton</t>
  </si>
  <si>
    <t>ShropshireCondover</t>
  </si>
  <si>
    <t>E3202P059</t>
  </si>
  <si>
    <t>Condover</t>
  </si>
  <si>
    <t>ShropshireCoreley</t>
  </si>
  <si>
    <t>E3202P060</t>
  </si>
  <si>
    <t>Coreley</t>
  </si>
  <si>
    <t>ShropshireCound</t>
  </si>
  <si>
    <t>E3202P061</t>
  </si>
  <si>
    <t>Cound</t>
  </si>
  <si>
    <t>ShropshireCraven Arms</t>
  </si>
  <si>
    <t>E3202P062</t>
  </si>
  <si>
    <t>Craven Arms</t>
  </si>
  <si>
    <t>ShropshireCressage Harley &amp; Sheinton</t>
  </si>
  <si>
    <t>E3202P063</t>
  </si>
  <si>
    <t>Cressage Harley &amp; Sheinton</t>
  </si>
  <si>
    <t>ShropshireCulmington</t>
  </si>
  <si>
    <t>E3202P064</t>
  </si>
  <si>
    <t>Culmington</t>
  </si>
  <si>
    <t>ShropshireDeuxhill (grouped with Billingsley Glazeley &amp; Middleton Scriven)</t>
  </si>
  <si>
    <t>E3202P065</t>
  </si>
  <si>
    <t>Deuxhill (grouped with Billingsley Glazeley &amp; Middleton Scriven)</t>
  </si>
  <si>
    <t>ShropshireDiddlebury</t>
  </si>
  <si>
    <t>E3202P066</t>
  </si>
  <si>
    <t>Diddlebury</t>
  </si>
  <si>
    <t>ShropshireDitton Priors</t>
  </si>
  <si>
    <t>E3202P067</t>
  </si>
  <si>
    <t>Ditton Priors</t>
  </si>
  <si>
    <t>ShropshireEardington</t>
  </si>
  <si>
    <t>E3202P069</t>
  </si>
  <si>
    <t>Eardington</t>
  </si>
  <si>
    <t>ShropshireEasthope (grouped with Shipton &amp; Stanton Long)</t>
  </si>
  <si>
    <t>E3202P070</t>
  </si>
  <si>
    <t>Easthope (grouped with Shipton &amp; Stanton Long)</t>
  </si>
  <si>
    <t>ShropshireEaton under Heywood (grouped with Hope Bowdler)</t>
  </si>
  <si>
    <t>E3202P071</t>
  </si>
  <si>
    <t>Eaton under Heywood (grouped with Hope Bowdler)</t>
  </si>
  <si>
    <t>ShropshireEdgton</t>
  </si>
  <si>
    <t>E3202P072</t>
  </si>
  <si>
    <t>Edgton</t>
  </si>
  <si>
    <t>ShropshireEllesmere Rural</t>
  </si>
  <si>
    <t>E3202P073</t>
  </si>
  <si>
    <t>Ellesmere Rural</t>
  </si>
  <si>
    <t>ShropshireEllesmere Urban</t>
  </si>
  <si>
    <t>E3202P074</t>
  </si>
  <si>
    <t>Ellesmere Urban</t>
  </si>
  <si>
    <t>ShropshireFarlow</t>
  </si>
  <si>
    <t>E3202P075</t>
  </si>
  <si>
    <t>Farlow</t>
  </si>
  <si>
    <t>ShropshireFord</t>
  </si>
  <si>
    <t>E3202P076</t>
  </si>
  <si>
    <t>ShropshireGlazeley (grouped with Billingsley Deuxhill &amp; Middleton Scriven)</t>
  </si>
  <si>
    <t>E3202P078</t>
  </si>
  <si>
    <t>Glazeley (grouped with Billingsley Deuxhill &amp; Middleton Scriven)</t>
  </si>
  <si>
    <t>ShropshireGreat Hanwood</t>
  </si>
  <si>
    <t>E3202P079</t>
  </si>
  <si>
    <t>Great Hanwood</t>
  </si>
  <si>
    <t>ShropshireGreat Ness &amp; Little Ness</t>
  </si>
  <si>
    <t>E3202P080</t>
  </si>
  <si>
    <t>Great Ness &amp; Little Ness</t>
  </si>
  <si>
    <t>ShropshireGreete</t>
  </si>
  <si>
    <t>E3202P081</t>
  </si>
  <si>
    <t>Greete</t>
  </si>
  <si>
    <t>ShropshireGrinshill</t>
  </si>
  <si>
    <t>E3202P082</t>
  </si>
  <si>
    <t>Grinshill</t>
  </si>
  <si>
    <t>ShropshireHadnall</t>
  </si>
  <si>
    <t>E3202P083</t>
  </si>
  <si>
    <t>Hadnall</t>
  </si>
  <si>
    <t>ShropshireHighley</t>
  </si>
  <si>
    <t>E3202P086</t>
  </si>
  <si>
    <t>Highley</t>
  </si>
  <si>
    <t>ShropshireHinstock</t>
  </si>
  <si>
    <t>E3202P087</t>
  </si>
  <si>
    <t>Hinstock</t>
  </si>
  <si>
    <t>ShropshireHodnet</t>
  </si>
  <si>
    <t>E3202P088</t>
  </si>
  <si>
    <t>Hodnet</t>
  </si>
  <si>
    <t>ShropshireHope Bagot</t>
  </si>
  <si>
    <t>E3202P089</t>
  </si>
  <si>
    <t>Hope Bagot</t>
  </si>
  <si>
    <t>ShropshireHope Bowdler (grouped with Eaton under Heywood)</t>
  </si>
  <si>
    <t>E3202P090</t>
  </si>
  <si>
    <t>Hope Bowdler (grouped with Eaton under Heywood)</t>
  </si>
  <si>
    <t>ShropshireHopesay</t>
  </si>
  <si>
    <t>E3202P091</t>
  </si>
  <si>
    <t>Hopesay</t>
  </si>
  <si>
    <t>ShropshireHopton Cangeford (grouped with Stoke St. Milborough)</t>
  </si>
  <si>
    <t>E3202P092</t>
  </si>
  <si>
    <t>Hopton Cangeford (grouped with Stoke St. Milborough)</t>
  </si>
  <si>
    <t>ShropshireHopton Castle</t>
  </si>
  <si>
    <t>E3202P093</t>
  </si>
  <si>
    <t>Hopton Castle</t>
  </si>
  <si>
    <t>ShropshireHopton Wafers</t>
  </si>
  <si>
    <t>E3202P094</t>
  </si>
  <si>
    <t>Hopton Wafers</t>
  </si>
  <si>
    <t>ShropshireHordley</t>
  </si>
  <si>
    <t>E3202P095</t>
  </si>
  <si>
    <t>Hordley</t>
  </si>
  <si>
    <t>ShropshireIghtfield &amp; Calverhall</t>
  </si>
  <si>
    <t>E3202P097</t>
  </si>
  <si>
    <t>Ightfield &amp; Calverhall</t>
  </si>
  <si>
    <t>ShropshireKemberton</t>
  </si>
  <si>
    <t>E3202P098</t>
  </si>
  <si>
    <t>Kemberton</t>
  </si>
  <si>
    <t>ShropshireKinlet</t>
  </si>
  <si>
    <t>E3202P100</t>
  </si>
  <si>
    <t>Kinlet</t>
  </si>
  <si>
    <t>ShropshireKinnerley</t>
  </si>
  <si>
    <t>E3202P101</t>
  </si>
  <si>
    <t>Kinnerley</t>
  </si>
  <si>
    <t>ShropshireKnockin</t>
  </si>
  <si>
    <t>E3202P102</t>
  </si>
  <si>
    <t>Knockin</t>
  </si>
  <si>
    <t>ShropshireLeebotwood &amp; Longnor</t>
  </si>
  <si>
    <t>E3202P103</t>
  </si>
  <si>
    <t>Leebotwood &amp; Longnor</t>
  </si>
  <si>
    <t>ShropshireLeighton and Eaton Constantine</t>
  </si>
  <si>
    <t>E3202P104</t>
  </si>
  <si>
    <t>Leighton and Eaton Constantine</t>
  </si>
  <si>
    <t>ShropshireLlanfairwaterdine</t>
  </si>
  <si>
    <t>E3202P106</t>
  </si>
  <si>
    <t>Llanfairwaterdine</t>
  </si>
  <si>
    <t>ShropshireLlanyblodwel</t>
  </si>
  <si>
    <t>E3202P107</t>
  </si>
  <si>
    <t>Llanyblodwel</t>
  </si>
  <si>
    <t>ShropshireLlanymynech and Pant</t>
  </si>
  <si>
    <t>E3202P108</t>
  </si>
  <si>
    <t>Llanymynech and Pant</t>
  </si>
  <si>
    <t>ShropshireLongden</t>
  </si>
  <si>
    <t>E3202P109</t>
  </si>
  <si>
    <t>Longden</t>
  </si>
  <si>
    <t>ShropshireLoppington</t>
  </si>
  <si>
    <t>E3202P111</t>
  </si>
  <si>
    <t>Loppington</t>
  </si>
  <si>
    <t>ShropshireLudford</t>
  </si>
  <si>
    <t>E3202P112</t>
  </si>
  <si>
    <t>ShropshireLudlow</t>
  </si>
  <si>
    <t>E3202P113</t>
  </si>
  <si>
    <t>Ludlow</t>
  </si>
  <si>
    <t>ShropshireLydbury North</t>
  </si>
  <si>
    <t>E3202P114</t>
  </si>
  <si>
    <t>Lydbury North</t>
  </si>
  <si>
    <t>ShropshireLydham (grouped with More)</t>
  </si>
  <si>
    <t>E3202P115</t>
  </si>
  <si>
    <t>Lydham (grouped with More)</t>
  </si>
  <si>
    <t>ShropshireMainstone (grouped with Colebatch)</t>
  </si>
  <si>
    <t>E3202P116</t>
  </si>
  <si>
    <t>Mainstone (grouped with Colebatch)</t>
  </si>
  <si>
    <t>ShropshireMarket Drayton</t>
  </si>
  <si>
    <t>E3202P117</t>
  </si>
  <si>
    <t>Market Drayton</t>
  </si>
  <si>
    <t>ShropshireMelverley</t>
  </si>
  <si>
    <t>E3202P118</t>
  </si>
  <si>
    <t>Melverley</t>
  </si>
  <si>
    <t>ShropshireMiddleton Scriven (grouped with Billingsley Deuxhill &amp; Glazeley)</t>
  </si>
  <si>
    <t>E3202P119</t>
  </si>
  <si>
    <t>Middleton Scriven (grouped with Billingsley Deuxhill &amp; Glazeley)</t>
  </si>
  <si>
    <t>ShropshireMilson (grouped with Neen Sollars)</t>
  </si>
  <si>
    <t>E3202P120</t>
  </si>
  <si>
    <t>Milson (grouped with Neen Sollars)</t>
  </si>
  <si>
    <t>ShropshireMinsterley</t>
  </si>
  <si>
    <t>E3202P121</t>
  </si>
  <si>
    <t>Minsterley</t>
  </si>
  <si>
    <t>ShropshireMonkhopton (grouped with Morville Acton Round Aston Eyre &amp; Upton Cressett)</t>
  </si>
  <si>
    <t>E3202P122</t>
  </si>
  <si>
    <t>Monkhopton (grouped with Morville Acton Round Aston Eyre &amp; Upton Cressett)</t>
  </si>
  <si>
    <t>ShropshireMontford</t>
  </si>
  <si>
    <t>E3202P123</t>
  </si>
  <si>
    <t>Montford</t>
  </si>
  <si>
    <t>ShropshireMoreton Corbet and Lee Brockhurst</t>
  </si>
  <si>
    <t>E3202P125</t>
  </si>
  <si>
    <t>Moreton Corbet and Lee Brockhurst</t>
  </si>
  <si>
    <t>ShropshireMoreton Say</t>
  </si>
  <si>
    <t>E3202P126</t>
  </si>
  <si>
    <t>Moreton Say</t>
  </si>
  <si>
    <t>ShropshireMorville (grouped with Acton Round Aston Eyre Monkhopton &amp; Upton Cressett)</t>
  </si>
  <si>
    <t>E3202P127</t>
  </si>
  <si>
    <t>Morville (grouped with Acton Round Aston Eyre Monkhopton &amp; Upton Cressett)</t>
  </si>
  <si>
    <t>ShropshireMuch Wenlock</t>
  </si>
  <si>
    <t>E3202P128</t>
  </si>
  <si>
    <t>Much Wenlock</t>
  </si>
  <si>
    <t>ShropshireMunslow</t>
  </si>
  <si>
    <t>E3202P129</t>
  </si>
  <si>
    <t>Munslow</t>
  </si>
  <si>
    <t>ShropshireMyddle and Broughton</t>
  </si>
  <si>
    <t>E3202P130</t>
  </si>
  <si>
    <t>Myddle and Broughton</t>
  </si>
  <si>
    <t>ShropshireMyndtown (grouped with Norbury Ratlinghope &amp; Wentnor)</t>
  </si>
  <si>
    <t>E3202P131</t>
  </si>
  <si>
    <t>Myndtown (grouped with Norbury Ratlinghope &amp; Wentnor)</t>
  </si>
  <si>
    <t>ShropshireNash</t>
  </si>
  <si>
    <t>E3202P132</t>
  </si>
  <si>
    <t>ShropshireNeen Savage</t>
  </si>
  <si>
    <t>E3202P133</t>
  </si>
  <si>
    <t>Neen Savage</t>
  </si>
  <si>
    <t>ShropshireNeenton</t>
  </si>
  <si>
    <t>E3202P135</t>
  </si>
  <si>
    <t>Neenton</t>
  </si>
  <si>
    <t>ShropshireNewcastle on Clun</t>
  </si>
  <si>
    <t>E3202P136</t>
  </si>
  <si>
    <t>Newcastle on Clun</t>
  </si>
  <si>
    <t>ShropshireNorton in Hales</t>
  </si>
  <si>
    <t>E3202P138</t>
  </si>
  <si>
    <t>Norton in Hales</t>
  </si>
  <si>
    <t>ShropshireOnibury</t>
  </si>
  <si>
    <t>E3202P139</t>
  </si>
  <si>
    <t>Onibury</t>
  </si>
  <si>
    <t>ShropshireOswestry (grouped with Oswestry (Trefonen))</t>
  </si>
  <si>
    <t>E3202P140</t>
  </si>
  <si>
    <t>Oswestry (grouped with Oswestry (Trefonen))</t>
  </si>
  <si>
    <t>ShropshireOswestry Rural</t>
  </si>
  <si>
    <t>E3202P141</t>
  </si>
  <si>
    <t>Oswestry Rural</t>
  </si>
  <si>
    <t>ShropshirePontesbury</t>
  </si>
  <si>
    <t>E3202P145</t>
  </si>
  <si>
    <t>Pontesbury</t>
  </si>
  <si>
    <t>ShropshirePrees</t>
  </si>
  <si>
    <t>E3202P146</t>
  </si>
  <si>
    <t>Prees</t>
  </si>
  <si>
    <t>ShropshireQuatt Malvern</t>
  </si>
  <si>
    <t>E3202P147</t>
  </si>
  <si>
    <t>Quatt Malvern</t>
  </si>
  <si>
    <t>ShropshireRichards Castle (Shropshire)</t>
  </si>
  <si>
    <t>E3202P149</t>
  </si>
  <si>
    <t>Richards Castle (Shropshire)</t>
  </si>
  <si>
    <t>ShropshireRomsley (grouped with Alveley)</t>
  </si>
  <si>
    <t>E3202P150</t>
  </si>
  <si>
    <t>Romsley (grouped with Alveley)</t>
  </si>
  <si>
    <t>ShropshireRudge (grouped with Worfield)</t>
  </si>
  <si>
    <t>E3202P152</t>
  </si>
  <si>
    <t>Rudge (grouped with Worfield)</t>
  </si>
  <si>
    <t>ShropshireRushbury</t>
  </si>
  <si>
    <t>E3202P153</t>
  </si>
  <si>
    <t>Rushbury</t>
  </si>
  <si>
    <t>ShropshireRuyton XI Towns</t>
  </si>
  <si>
    <t>E3202P154</t>
  </si>
  <si>
    <t>Ruyton XI Towns</t>
  </si>
  <si>
    <t>ShropshireRyton &amp; Grindle</t>
  </si>
  <si>
    <t>E3202P155</t>
  </si>
  <si>
    <t>Ryton &amp; Grindle</t>
  </si>
  <si>
    <t>ShropshireSelattyn and Gobowen (grouped with Selattyn and Gobowen (2))</t>
  </si>
  <si>
    <t>E3202P156</t>
  </si>
  <si>
    <t>Selattyn and Gobowen (grouped with Selattyn and Gobowen (2))</t>
  </si>
  <si>
    <t>ShropshireShawbury</t>
  </si>
  <si>
    <t>E3202P157</t>
  </si>
  <si>
    <t>Shawbury</t>
  </si>
  <si>
    <t>ShropshireSheriffhales</t>
  </si>
  <si>
    <t>E3202P159</t>
  </si>
  <si>
    <t>Sheriffhales</t>
  </si>
  <si>
    <t>ShropshireShifnal</t>
  </si>
  <si>
    <t>E3202P160</t>
  </si>
  <si>
    <t>Shifnal</t>
  </si>
  <si>
    <t>ShropshireShipton (grouped with Easthope &amp; Stanton Long)</t>
  </si>
  <si>
    <t>E3202P161</t>
  </si>
  <si>
    <t>Shipton (grouped with Easthope &amp; Stanton Long)</t>
  </si>
  <si>
    <t>ShropshireShrewsbury</t>
  </si>
  <si>
    <t>E3202P162</t>
  </si>
  <si>
    <t>Shrewsbury</t>
  </si>
  <si>
    <t>ShropshireSibdon Carwood</t>
  </si>
  <si>
    <t>E3202P163</t>
  </si>
  <si>
    <t>Sibdon Carwood</t>
  </si>
  <si>
    <t>ShropshireSidbury (grouped with Stottesdon)</t>
  </si>
  <si>
    <t>E3202P164</t>
  </si>
  <si>
    <t>Sidbury (grouped with Stottesdon)</t>
  </si>
  <si>
    <t>ShropshireSt. Martin's</t>
  </si>
  <si>
    <t>E3202P166</t>
  </si>
  <si>
    <t>ShropshireStanton Lacy</t>
  </si>
  <si>
    <t>E3202P167</t>
  </si>
  <si>
    <t>Stanton Lacy</t>
  </si>
  <si>
    <t>ShropshireStanton Long (grouped with Easthope &amp; Shipton)</t>
  </si>
  <si>
    <t>E3202P168</t>
  </si>
  <si>
    <t>Stanton Long (grouped with Easthope &amp; Shipton)</t>
  </si>
  <si>
    <t>ShropshireStanton upon Hine Heath</t>
  </si>
  <si>
    <t>E3202P169</t>
  </si>
  <si>
    <t>Stanton upon Hine Heath</t>
  </si>
  <si>
    <t>ShropshireStockton</t>
  </si>
  <si>
    <t>E3202P170</t>
  </si>
  <si>
    <t>ShropshireStoke upon Tern</t>
  </si>
  <si>
    <t>E3202P172</t>
  </si>
  <si>
    <t>Stoke upon Tern</t>
  </si>
  <si>
    <t>ShropshireStottesdon (grouped with Sidbury)</t>
  </si>
  <si>
    <t>E3202P173</t>
  </si>
  <si>
    <t>Stottesdon (grouped with Sidbury)</t>
  </si>
  <si>
    <t>ShropshireStowe</t>
  </si>
  <si>
    <t>E3202P174</t>
  </si>
  <si>
    <t>ShropshireSutton Maddock</t>
  </si>
  <si>
    <t>E3202P175</t>
  </si>
  <si>
    <t>Sutton Maddock</t>
  </si>
  <si>
    <t>ShropshireSutton upon Tern</t>
  </si>
  <si>
    <t>E3202P176</t>
  </si>
  <si>
    <t>Sutton upon Tern</t>
  </si>
  <si>
    <t>ShropshireTasley</t>
  </si>
  <si>
    <t>E3202P177</t>
  </si>
  <si>
    <t>Tasley</t>
  </si>
  <si>
    <t>ShropshireTong</t>
  </si>
  <si>
    <t>E3202P178</t>
  </si>
  <si>
    <t>Tong</t>
  </si>
  <si>
    <t>ShropshireUffington</t>
  </si>
  <si>
    <t>E3202P179</t>
  </si>
  <si>
    <t>ShropshireUpton Cressett (grouped with Morville Acton Round Aston Eyre &amp; Monkhopton)</t>
  </si>
  <si>
    <t>E3202P180</t>
  </si>
  <si>
    <t>Upton Cressett (grouped with Morville Acton Round Aston Eyre &amp; Monkhopton)</t>
  </si>
  <si>
    <t>ShropshireUpton Magna</t>
  </si>
  <si>
    <t>E3202P181</t>
  </si>
  <si>
    <t>Upton Magna</t>
  </si>
  <si>
    <t>ShropshireWelshampton and Lyneal</t>
  </si>
  <si>
    <t>E3202P182</t>
  </si>
  <si>
    <t>Welshampton and Lyneal</t>
  </si>
  <si>
    <t>ShropshireWem Rural</t>
  </si>
  <si>
    <t>E3202P183</t>
  </si>
  <si>
    <t>Wem Rural</t>
  </si>
  <si>
    <t>ShropshireWem Urban</t>
  </si>
  <si>
    <t>E3202P184</t>
  </si>
  <si>
    <t>Wem Urban</t>
  </si>
  <si>
    <t>ShropshireWest Felton</t>
  </si>
  <si>
    <t>E3202P186</t>
  </si>
  <si>
    <t>West Felton</t>
  </si>
  <si>
    <t>ShropshireWestbury</t>
  </si>
  <si>
    <t>E3202P187</t>
  </si>
  <si>
    <t>ShropshireWeston Rhyn</t>
  </si>
  <si>
    <t>E3202P188</t>
  </si>
  <si>
    <t>Weston Rhyn</t>
  </si>
  <si>
    <t>ShropshireWeston under Redcastle</t>
  </si>
  <si>
    <t>E3202P189</t>
  </si>
  <si>
    <t>Weston under Redcastle</t>
  </si>
  <si>
    <t>ShropshireWheathill</t>
  </si>
  <si>
    <t>E3202P190</t>
  </si>
  <si>
    <t>Wheathill</t>
  </si>
  <si>
    <t>ShropshireWhitchurch Rural</t>
  </si>
  <si>
    <t>E3202P191</t>
  </si>
  <si>
    <t>Whitchurch Rural</t>
  </si>
  <si>
    <t>ShropshireWhitchurch Urban</t>
  </si>
  <si>
    <t>E3202P192</t>
  </si>
  <si>
    <t>Whitchurch Urban</t>
  </si>
  <si>
    <t>ShropshireWhittington</t>
  </si>
  <si>
    <t>E3202P193</t>
  </si>
  <si>
    <t>ShropshireWhitton</t>
  </si>
  <si>
    <t>E3202P194</t>
  </si>
  <si>
    <t>ShropshireWhixall</t>
  </si>
  <si>
    <t>E3202P195</t>
  </si>
  <si>
    <t>Whixall</t>
  </si>
  <si>
    <t>ShropshireWistanstow</t>
  </si>
  <si>
    <t>E3202P196</t>
  </si>
  <si>
    <t>Wistanstow</t>
  </si>
  <si>
    <t>ShropshireWithington</t>
  </si>
  <si>
    <t>E3202P197</t>
  </si>
  <si>
    <t>ShropshireWoore</t>
  </si>
  <si>
    <t>E3202P199</t>
  </si>
  <si>
    <t>Woore</t>
  </si>
  <si>
    <t>ShropshireWorfield (grouped with Rudge)</t>
  </si>
  <si>
    <t>E3202P200</t>
  </si>
  <si>
    <t>Worfield (grouped with Rudge)</t>
  </si>
  <si>
    <t>ShropshireWorthen with Shelve</t>
  </si>
  <si>
    <t>E3202P201</t>
  </si>
  <si>
    <t>Worthen with Shelve</t>
  </si>
  <si>
    <t>ShropshireRatlinghope (grouped with Myndtown Norbury &amp; Wentnor)</t>
  </si>
  <si>
    <t>E3202P2010</t>
  </si>
  <si>
    <t>Ratlinghope (grouped with Myndtown Norbury &amp; Wentnor)</t>
  </si>
  <si>
    <t>ShropshireSelattyn and Gobowen (2) (grouped with Selattyn &amp; Gobowen)</t>
  </si>
  <si>
    <t>E3202P2011</t>
  </si>
  <si>
    <t>Selattyn and Gobowen (2) (grouped with Selattyn &amp; Gobowen)</t>
  </si>
  <si>
    <t>ShropshireWentnor (grouped with Myndtown Norbury &amp; Ratlinghope)</t>
  </si>
  <si>
    <t>E3202P2012</t>
  </si>
  <si>
    <t>Wentnor (grouped with Myndtown Norbury &amp; Ratlinghope)</t>
  </si>
  <si>
    <t>ShropshireHeath (grouped with Abdon)</t>
  </si>
  <si>
    <t>E3202P2013</t>
  </si>
  <si>
    <t>Heath (grouped with Abdon)</t>
  </si>
  <si>
    <t>ShropshireWroxeter and Uppington</t>
  </si>
  <si>
    <t>E3202P202</t>
  </si>
  <si>
    <t>Wroxeter and Uppington</t>
  </si>
  <si>
    <t>ShropshireBomere Heath &amp; District Parish Council</t>
  </si>
  <si>
    <t>E3202P203</t>
  </si>
  <si>
    <t>Bomere Heath &amp; District Parish Council</t>
  </si>
  <si>
    <t>ShropshireStoke St. Milborough (grouped with Hopton Cangeford)</t>
  </si>
  <si>
    <t>E3202P204</t>
  </si>
  <si>
    <t>Stoke St. Milborough (grouped with Hopton Cangeford)</t>
  </si>
  <si>
    <t>ShropshireMore (grouped with Lydham)</t>
  </si>
  <si>
    <t>E3202P205</t>
  </si>
  <si>
    <t>More (grouped with Lydham)</t>
  </si>
  <si>
    <t>ShropshireColebatch (grouped with Mainstone)</t>
  </si>
  <si>
    <t>E3202P206</t>
  </si>
  <si>
    <t>Colebatch (grouped with Mainstone)</t>
  </si>
  <si>
    <t>ShropshireNeen Sollars (grouped with Milson)</t>
  </si>
  <si>
    <t>E3202P207</t>
  </si>
  <si>
    <t>Neen Sollars (grouped with Milson)</t>
  </si>
  <si>
    <t>ShropshireNorbury (grouped with Myndtown Ratlinghope &amp; Wentnor)</t>
  </si>
  <si>
    <t>E3202P208</t>
  </si>
  <si>
    <t>Norbury (grouped with Myndtown Ratlinghope &amp; Wentnor)</t>
  </si>
  <si>
    <t>ShropshireOswestry (Trefonen) (grouped with Oswestry)</t>
  </si>
  <si>
    <t>E3202P209</t>
  </si>
  <si>
    <t>Oswestry (Trefonen) (grouped with Oswestry)</t>
  </si>
  <si>
    <t>ShropshireAlbrighton &amp; Donington</t>
  </si>
  <si>
    <t>E3202P210</t>
  </si>
  <si>
    <t>Albrighton &amp; Donington</t>
  </si>
  <si>
    <t>SomersetAbbas &amp; Templecombe</t>
  </si>
  <si>
    <t>E3301P001</t>
  </si>
  <si>
    <t>Abbas &amp; Templecombe</t>
  </si>
  <si>
    <t>SomersetAlford</t>
  </si>
  <si>
    <t>E3301P002</t>
  </si>
  <si>
    <t>SomersetAller</t>
  </si>
  <si>
    <t>E3301P003</t>
  </si>
  <si>
    <t>Aller</t>
  </si>
  <si>
    <t>SomersetAnsford</t>
  </si>
  <si>
    <t>E3301P004</t>
  </si>
  <si>
    <t>Ansford</t>
  </si>
  <si>
    <t>SomersetAsh</t>
  </si>
  <si>
    <t>E3301P005</t>
  </si>
  <si>
    <t>SomersetAsh Priors</t>
  </si>
  <si>
    <t>E3301P006</t>
  </si>
  <si>
    <t>Ash Priors</t>
  </si>
  <si>
    <t>SomersetAshbrittle</t>
  </si>
  <si>
    <t>E3301P007</t>
  </si>
  <si>
    <t>Ashbrittle</t>
  </si>
  <si>
    <t>SomersetAshcott</t>
  </si>
  <si>
    <t>E3301P008</t>
  </si>
  <si>
    <t>Ashcott</t>
  </si>
  <si>
    <t>SomersetAshill</t>
  </si>
  <si>
    <t>E3301P009</t>
  </si>
  <si>
    <t>SomersetAshwick</t>
  </si>
  <si>
    <t>E3301P010</t>
  </si>
  <si>
    <t>Ashwick</t>
  </si>
  <si>
    <t>SomersetAxbridge</t>
  </si>
  <si>
    <t>E3301P011</t>
  </si>
  <si>
    <t>Axbridge</t>
  </si>
  <si>
    <t>SomersetBabcary</t>
  </si>
  <si>
    <t>E3301P012</t>
  </si>
  <si>
    <t>Babcary</t>
  </si>
  <si>
    <t>SomersetBadgworth</t>
  </si>
  <si>
    <t>E3301P013</t>
  </si>
  <si>
    <t>Badgworth</t>
  </si>
  <si>
    <t>SomersetBaltonsborough</t>
  </si>
  <si>
    <t>E3301P014</t>
  </si>
  <si>
    <t>Baltonsborough</t>
  </si>
  <si>
    <t>SomersetBarrington</t>
  </si>
  <si>
    <t>E3301P015</t>
  </si>
  <si>
    <t>SomersetBarton St. David</t>
  </si>
  <si>
    <t>E3301P016</t>
  </si>
  <si>
    <t>Barton St. David</t>
  </si>
  <si>
    <t>SomersetBarwick</t>
  </si>
  <si>
    <t>E3301P017</t>
  </si>
  <si>
    <t>SomersetBatcombe</t>
  </si>
  <si>
    <t>E3301P018</t>
  </si>
  <si>
    <t>Batcombe</t>
  </si>
  <si>
    <t>SomersetBathealton</t>
  </si>
  <si>
    <t>E3301P019</t>
  </si>
  <si>
    <t>Bathealton</t>
  </si>
  <si>
    <t>SomersetBawdrip</t>
  </si>
  <si>
    <t>E3301P020</t>
  </si>
  <si>
    <t>Bawdrip</t>
  </si>
  <si>
    <t>SomersetBeckington</t>
  </si>
  <si>
    <t>E3301P021</t>
  </si>
  <si>
    <t>Beckington</t>
  </si>
  <si>
    <t>SomersetBeercrocombe</t>
  </si>
  <si>
    <t>E3301P022</t>
  </si>
  <si>
    <t>Beercrocombe</t>
  </si>
  <si>
    <t>SomersetBerkley</t>
  </si>
  <si>
    <t>E3301P023</t>
  </si>
  <si>
    <t>Berkley</t>
  </si>
  <si>
    <t>SomersetBerrow</t>
  </si>
  <si>
    <t>E3301P024</t>
  </si>
  <si>
    <t>SomersetBickenhall (grouped with Curland Orchard Portman Staple Fitzpaine)</t>
  </si>
  <si>
    <t>E3301P025</t>
  </si>
  <si>
    <t>Bickenhall (grouped with Curland Orchard Portman Staple Fitzpaine)</t>
  </si>
  <si>
    <t>SomersetBicknoller</t>
  </si>
  <si>
    <t>E3301P026</t>
  </si>
  <si>
    <t>Bicknoller</t>
  </si>
  <si>
    <t>SomersetBinegar</t>
  </si>
  <si>
    <t>E3301P027</t>
  </si>
  <si>
    <t>Binegar</t>
  </si>
  <si>
    <t>SomersetBishop's Hull</t>
  </si>
  <si>
    <t>E3301P028</t>
  </si>
  <si>
    <t>Bishop's Hull</t>
  </si>
  <si>
    <t>SomersetBishops Lydeard (grouped with Cothelstone)</t>
  </si>
  <si>
    <t>E3301P029</t>
  </si>
  <si>
    <t>Bishops Lydeard (grouped with Cothelstone)</t>
  </si>
  <si>
    <t>SomersetBradford on Tone</t>
  </si>
  <si>
    <t>E3301P030</t>
  </si>
  <si>
    <t>Bradford on Tone</t>
  </si>
  <si>
    <t>SomersetBratton Seymour</t>
  </si>
  <si>
    <t>E3301P031</t>
  </si>
  <si>
    <t>Bratton Seymour</t>
  </si>
  <si>
    <t>SomersetBrean</t>
  </si>
  <si>
    <t>E3301P032</t>
  </si>
  <si>
    <t>Brean</t>
  </si>
  <si>
    <t>SomersetBrent Knoll</t>
  </si>
  <si>
    <t>E3301P033</t>
  </si>
  <si>
    <t>Brent Knoll</t>
  </si>
  <si>
    <t>SomersetBrewham</t>
  </si>
  <si>
    <t>E3301P034</t>
  </si>
  <si>
    <t>Brewham</t>
  </si>
  <si>
    <t>SomersetBridgwater</t>
  </si>
  <si>
    <t>E3301P035</t>
  </si>
  <si>
    <t>Bridgwater</t>
  </si>
  <si>
    <t>SomersetBridgwater Without</t>
  </si>
  <si>
    <t>E3301P036</t>
  </si>
  <si>
    <t>Bridgwater Without</t>
  </si>
  <si>
    <t>SomersetBroadway</t>
  </si>
  <si>
    <t>E3301P037</t>
  </si>
  <si>
    <t>SomersetBrompton Ralph</t>
  </si>
  <si>
    <t>E3301P038</t>
  </si>
  <si>
    <t>Brompton Ralph</t>
  </si>
  <si>
    <t>SomersetBrompton Regis</t>
  </si>
  <si>
    <t>E3301P039</t>
  </si>
  <si>
    <t>Brompton Regis</t>
  </si>
  <si>
    <t>SomersetBroomfield</t>
  </si>
  <si>
    <t>E3301P040</t>
  </si>
  <si>
    <t>SomersetBrushford</t>
  </si>
  <si>
    <t>E3301P041</t>
  </si>
  <si>
    <t>SomersetBruton</t>
  </si>
  <si>
    <t>E3301P042</t>
  </si>
  <si>
    <t>Bruton</t>
  </si>
  <si>
    <t>SomersetBrympton</t>
  </si>
  <si>
    <t>E3301P043</t>
  </si>
  <si>
    <t>Brympton</t>
  </si>
  <si>
    <t>SomersetBuckland Dinham</t>
  </si>
  <si>
    <t>E3301P044</t>
  </si>
  <si>
    <t>Buckland Dinham</t>
  </si>
  <si>
    <t>SomersetBuckland St Mary</t>
  </si>
  <si>
    <t>E3301P045</t>
  </si>
  <si>
    <t>Buckland St Mary</t>
  </si>
  <si>
    <t>SomersetBurnham on Sea and Highbridge</t>
  </si>
  <si>
    <t>E3301P046</t>
  </si>
  <si>
    <t>Burnham on Sea and Highbridge</t>
  </si>
  <si>
    <t>SomersetBurnham Without</t>
  </si>
  <si>
    <t>E3301P047</t>
  </si>
  <si>
    <t>Burnham Without</t>
  </si>
  <si>
    <t>SomersetBurrowbridge</t>
  </si>
  <si>
    <t>E3301P048</t>
  </si>
  <si>
    <t>Burrowbridge</t>
  </si>
  <si>
    <t>SomersetBurtle</t>
  </si>
  <si>
    <t>E3301P049</t>
  </si>
  <si>
    <t>Burtle</t>
  </si>
  <si>
    <t>SomersetButleigh</t>
  </si>
  <si>
    <t>E3301P050</t>
  </si>
  <si>
    <t>Butleigh</t>
  </si>
  <si>
    <t>SomersetCannington</t>
  </si>
  <si>
    <t>E3301P051</t>
  </si>
  <si>
    <t>Cannington</t>
  </si>
  <si>
    <t>SomersetCarhampton</t>
  </si>
  <si>
    <t>E3301P052</t>
  </si>
  <si>
    <t>Carhampton</t>
  </si>
  <si>
    <t>SomersetCastle Cary</t>
  </si>
  <si>
    <t>E3301P053</t>
  </si>
  <si>
    <t>Castle Cary</t>
  </si>
  <si>
    <t>SomersetCatcott</t>
  </si>
  <si>
    <t>E3301P054</t>
  </si>
  <si>
    <t>Catcott</t>
  </si>
  <si>
    <t>SomersetChaffcombe</t>
  </si>
  <si>
    <t>E3301P055</t>
  </si>
  <si>
    <t>Chaffcombe</t>
  </si>
  <si>
    <t>SomersetChapel Allerton</t>
  </si>
  <si>
    <t>E3301P056</t>
  </si>
  <si>
    <t>Chapel Allerton</t>
  </si>
  <si>
    <t>SomersetChard</t>
  </si>
  <si>
    <t>E3301P057</t>
  </si>
  <si>
    <t>Chard</t>
  </si>
  <si>
    <t>SomersetCharlton Horethorne</t>
  </si>
  <si>
    <t>E3301P058</t>
  </si>
  <si>
    <t>Charlton Horethorne</t>
  </si>
  <si>
    <t>SomersetCharlton Musgrove</t>
  </si>
  <si>
    <t>E3301P059</t>
  </si>
  <si>
    <t>Charlton Musgrove</t>
  </si>
  <si>
    <t>SomersetCharltons (The)</t>
  </si>
  <si>
    <t>E3301P060</t>
  </si>
  <si>
    <t>Charltons (The)</t>
  </si>
  <si>
    <t>SomersetCheddar</t>
  </si>
  <si>
    <t>E3301P061</t>
  </si>
  <si>
    <t>Cheddar</t>
  </si>
  <si>
    <t>SomersetCheddon Fitzpaine</t>
  </si>
  <si>
    <t>E3301P062</t>
  </si>
  <si>
    <t>Cheddon Fitzpaine</t>
  </si>
  <si>
    <t>SomersetChedzoy</t>
  </si>
  <si>
    <t>E3301P063</t>
  </si>
  <si>
    <t>Chedzoy</t>
  </si>
  <si>
    <t>SomersetChewton Mendip</t>
  </si>
  <si>
    <t>E3301P064</t>
  </si>
  <si>
    <t>Chewton Mendip</t>
  </si>
  <si>
    <t>SomersetChilcompton</t>
  </si>
  <si>
    <t>E3301P065</t>
  </si>
  <si>
    <t>Chilcompton</t>
  </si>
  <si>
    <t>SomersetChillington</t>
  </si>
  <si>
    <t>E3301P066</t>
  </si>
  <si>
    <t>Chillington</t>
  </si>
  <si>
    <t>SomersetChilthorne Domer</t>
  </si>
  <si>
    <t>E3301P067</t>
  </si>
  <si>
    <t>Chilthorne Domer</t>
  </si>
  <si>
    <t>SomersetChilton Cantelo</t>
  </si>
  <si>
    <t>E3301P068</t>
  </si>
  <si>
    <t>Chilton Cantelo</t>
  </si>
  <si>
    <t>SomersetChilton Polden</t>
  </si>
  <si>
    <t>E3301P069</t>
  </si>
  <si>
    <t>Chilton Polden</t>
  </si>
  <si>
    <t>SomersetChilton Trinity</t>
  </si>
  <si>
    <t>E3301P070</t>
  </si>
  <si>
    <t>Chilton Trinity</t>
  </si>
  <si>
    <t>SomersetChipstable</t>
  </si>
  <si>
    <t>E3301P071</t>
  </si>
  <si>
    <t>Chipstable</t>
  </si>
  <si>
    <t>SomersetChiselborough</t>
  </si>
  <si>
    <t>E3301P072</t>
  </si>
  <si>
    <t>Chiselborough</t>
  </si>
  <si>
    <t>SomersetChurchstanton</t>
  </si>
  <si>
    <t>E3301P073</t>
  </si>
  <si>
    <t>Churchstanton</t>
  </si>
  <si>
    <t>SomersetClatworthy</t>
  </si>
  <si>
    <t>E3301P074</t>
  </si>
  <si>
    <t>Clatworthy</t>
  </si>
  <si>
    <t>SomersetClosworth</t>
  </si>
  <si>
    <t>E3301P075</t>
  </si>
  <si>
    <t>Closworth</t>
  </si>
  <si>
    <t>SomersetColeford</t>
  </si>
  <si>
    <t>E3301P076</t>
  </si>
  <si>
    <t>SomersetCombe Florey</t>
  </si>
  <si>
    <t>E3301P077</t>
  </si>
  <si>
    <t>Combe Florey</t>
  </si>
  <si>
    <t>SomersetCombe St Nicholas</t>
  </si>
  <si>
    <t>E3301P078</t>
  </si>
  <si>
    <t>Combe St Nicholas</t>
  </si>
  <si>
    <t>SomersetCompton Bishop</t>
  </si>
  <si>
    <t>E3301P080</t>
  </si>
  <si>
    <t>Compton Bishop</t>
  </si>
  <si>
    <t>SomersetCompton Dundon</t>
  </si>
  <si>
    <t>E3301P081</t>
  </si>
  <si>
    <t>Compton Dundon</t>
  </si>
  <si>
    <t>SomersetCompton Pauncefoot</t>
  </si>
  <si>
    <t>E3301P082</t>
  </si>
  <si>
    <t>Compton Pauncefoot</t>
  </si>
  <si>
    <t>SomersetCorfe</t>
  </si>
  <si>
    <t>E3301P083</t>
  </si>
  <si>
    <t>Corfe</t>
  </si>
  <si>
    <t>SomersetCorton Denham</t>
  </si>
  <si>
    <t>E3301P084</t>
  </si>
  <si>
    <t>Corton Denham</t>
  </si>
  <si>
    <t>SomersetCossington</t>
  </si>
  <si>
    <t>E3301P085</t>
  </si>
  <si>
    <t>SomersetCotford St Luke</t>
  </si>
  <si>
    <t>E3301P086</t>
  </si>
  <si>
    <t>Cotford St Luke</t>
  </si>
  <si>
    <t>SomersetCothelstone (grouped with Bishops Lydeard)</t>
  </si>
  <si>
    <t>E3301P087</t>
  </si>
  <si>
    <t>Cothelstone (grouped with Bishops Lydeard)</t>
  </si>
  <si>
    <t>SomersetCranmore</t>
  </si>
  <si>
    <t>E3301P088</t>
  </si>
  <si>
    <t>Cranmore</t>
  </si>
  <si>
    <t>SomersetCreech St. Michael</t>
  </si>
  <si>
    <t>E3301P089</t>
  </si>
  <si>
    <t>Creech St. Michael</t>
  </si>
  <si>
    <t>SomersetCrewkerne</t>
  </si>
  <si>
    <t>E3301P090</t>
  </si>
  <si>
    <t>Crewkerne</t>
  </si>
  <si>
    <t>SomersetCricket St. Thomas</t>
  </si>
  <si>
    <t>E3301P091</t>
  </si>
  <si>
    <t>Cricket St. Thomas</t>
  </si>
  <si>
    <t>SomersetCroscombe</t>
  </si>
  <si>
    <t>E3301P092</t>
  </si>
  <si>
    <t>Croscombe</t>
  </si>
  <si>
    <t>SomersetCrowcombe</t>
  </si>
  <si>
    <t>E3301P093</t>
  </si>
  <si>
    <t>Crowcombe</t>
  </si>
  <si>
    <t>SomersetCucklington</t>
  </si>
  <si>
    <t>E3301P094</t>
  </si>
  <si>
    <t>Cucklington</t>
  </si>
  <si>
    <t>SomersetCudworth</t>
  </si>
  <si>
    <t>E3301P095</t>
  </si>
  <si>
    <t>Cudworth</t>
  </si>
  <si>
    <t>SomersetCurland (grouped with Bickenhall Orchard Portman Staple Fitzpaine)</t>
  </si>
  <si>
    <t>E3301P096</t>
  </si>
  <si>
    <t>Curland (grouped with Bickenhall Orchard Portman Staple Fitzpaine)</t>
  </si>
  <si>
    <t>SomersetCurry Mallet</t>
  </si>
  <si>
    <t>E3301P097</t>
  </si>
  <si>
    <t>Curry Mallet</t>
  </si>
  <si>
    <t>SomersetCurry Rivel</t>
  </si>
  <si>
    <t>E3301P098</t>
  </si>
  <si>
    <t>Curry Rivel</t>
  </si>
  <si>
    <t>SomersetCutcombe</t>
  </si>
  <si>
    <t>E3301P099</t>
  </si>
  <si>
    <t>Cutcombe</t>
  </si>
  <si>
    <t>SomersetDinnington</t>
  </si>
  <si>
    <t>E3301P100</t>
  </si>
  <si>
    <t>Dinnington</t>
  </si>
  <si>
    <t>SomersetDitcheat</t>
  </si>
  <si>
    <t>E3301P101</t>
  </si>
  <si>
    <t>Ditcheat</t>
  </si>
  <si>
    <t>SomersetDonyatt</t>
  </si>
  <si>
    <t>E3301P102</t>
  </si>
  <si>
    <t>Donyatt</t>
  </si>
  <si>
    <t>SomersetDoulting</t>
  </si>
  <si>
    <t>E3301P103</t>
  </si>
  <si>
    <t>Doulting</t>
  </si>
  <si>
    <t>SomersetDowlish Wake</t>
  </si>
  <si>
    <t>E3301P104</t>
  </si>
  <si>
    <t>Dowlish Wake</t>
  </si>
  <si>
    <t>SomersetDownhead</t>
  </si>
  <si>
    <t>E3301P105</t>
  </si>
  <si>
    <t>Downhead</t>
  </si>
  <si>
    <t>SomersetDrayton</t>
  </si>
  <si>
    <t>E3301P106</t>
  </si>
  <si>
    <t>SomersetDulverton</t>
  </si>
  <si>
    <t>E3301P107</t>
  </si>
  <si>
    <t>Dulverton</t>
  </si>
  <si>
    <t>SomersetDunster</t>
  </si>
  <si>
    <t>E3301P108</t>
  </si>
  <si>
    <t>Dunster</t>
  </si>
  <si>
    <t>SomersetDurleigh</t>
  </si>
  <si>
    <t>E3301P109</t>
  </si>
  <si>
    <t>Durleigh</t>
  </si>
  <si>
    <t>SomersetDurston</t>
  </si>
  <si>
    <t>E3301P110</t>
  </si>
  <si>
    <t>Durston</t>
  </si>
  <si>
    <t>SomersetEast Brent</t>
  </si>
  <si>
    <t>E3301P111</t>
  </si>
  <si>
    <t>East Brent</t>
  </si>
  <si>
    <t>SomersetEast Chinnock</t>
  </si>
  <si>
    <t>E3301P112</t>
  </si>
  <si>
    <t>East Chinnock</t>
  </si>
  <si>
    <t>SomersetEast Coker</t>
  </si>
  <si>
    <t>E3301P113</t>
  </si>
  <si>
    <t>East Coker</t>
  </si>
  <si>
    <t>SomersetEast Huntspill</t>
  </si>
  <si>
    <t>E3301P114</t>
  </si>
  <si>
    <t>East Huntspill</t>
  </si>
  <si>
    <t>SomersetEast Pennard</t>
  </si>
  <si>
    <t>E3301P115</t>
  </si>
  <si>
    <t>East Pennard</t>
  </si>
  <si>
    <t>SomersetEast Quantoxhead</t>
  </si>
  <si>
    <t>E3301P116</t>
  </si>
  <si>
    <t>East Quantoxhead</t>
  </si>
  <si>
    <t>SomersetEdington</t>
  </si>
  <si>
    <t>E3301P117</t>
  </si>
  <si>
    <t>Edington</t>
  </si>
  <si>
    <t>SomersetElworthy</t>
  </si>
  <si>
    <t>E3301P118</t>
  </si>
  <si>
    <t>Elworthy</t>
  </si>
  <si>
    <t>SomersetEmborough</t>
  </si>
  <si>
    <t>E3301P119</t>
  </si>
  <si>
    <t>Emborough</t>
  </si>
  <si>
    <t>SomersetEnmore</t>
  </si>
  <si>
    <t>E3301P120</t>
  </si>
  <si>
    <t>Enmore</t>
  </si>
  <si>
    <t>SomersetEvercreech</t>
  </si>
  <si>
    <t>E3301P121</t>
  </si>
  <si>
    <t>Evercreech</t>
  </si>
  <si>
    <t>SomersetExford</t>
  </si>
  <si>
    <t>E3301P122</t>
  </si>
  <si>
    <t>Exford</t>
  </si>
  <si>
    <t>SomersetExmoor</t>
  </si>
  <si>
    <t>E3301P123</t>
  </si>
  <si>
    <t>Exmoor</t>
  </si>
  <si>
    <t>SomersetExton</t>
  </si>
  <si>
    <t>E3301P124</t>
  </si>
  <si>
    <t>SomersetFiddington</t>
  </si>
  <si>
    <t>E3301P125</t>
  </si>
  <si>
    <t>Fiddington</t>
  </si>
  <si>
    <t>SomersetFitzhead</t>
  </si>
  <si>
    <t>E3301P126</t>
  </si>
  <si>
    <t>Fitzhead</t>
  </si>
  <si>
    <t>SomersetFivehead</t>
  </si>
  <si>
    <t>E3301P127</t>
  </si>
  <si>
    <t>Fivehead</t>
  </si>
  <si>
    <t>SomersetFrome</t>
  </si>
  <si>
    <t>E3301P128</t>
  </si>
  <si>
    <t>Frome</t>
  </si>
  <si>
    <t>SomersetGlastonbury</t>
  </si>
  <si>
    <t>E3301P129</t>
  </si>
  <si>
    <t>Glastonbury</t>
  </si>
  <si>
    <t>SomersetGoathurst</t>
  </si>
  <si>
    <t>E3301P130</t>
  </si>
  <si>
    <t>Goathurst</t>
  </si>
  <si>
    <t>SomersetGodney</t>
  </si>
  <si>
    <t>E3301P131</t>
  </si>
  <si>
    <t>Godney</t>
  </si>
  <si>
    <t>SomersetGreat Elm</t>
  </si>
  <si>
    <t>E3301P132</t>
  </si>
  <si>
    <t>Great Elm</t>
  </si>
  <si>
    <t>SomersetGreinton</t>
  </si>
  <si>
    <t>E3301P133</t>
  </si>
  <si>
    <t>Greinton</t>
  </si>
  <si>
    <t>SomersetHalse</t>
  </si>
  <si>
    <t>E3301P134</t>
  </si>
  <si>
    <t>Halse</t>
  </si>
  <si>
    <t>SomersetHambridge and Westport</t>
  </si>
  <si>
    <t>E3301P135</t>
  </si>
  <si>
    <t>Hambridge and Westport</t>
  </si>
  <si>
    <t>SomersetHardington Mandeville</t>
  </si>
  <si>
    <t>E3301P136</t>
  </si>
  <si>
    <t>Hardington Mandeville</t>
  </si>
  <si>
    <t>SomersetHaselbury Plucknett</t>
  </si>
  <si>
    <t>E3301P137</t>
  </si>
  <si>
    <t>Haselbury Plucknett</t>
  </si>
  <si>
    <t>SomersetHatch Beauchamp</t>
  </si>
  <si>
    <t>E3301P138</t>
  </si>
  <si>
    <t>Hatch Beauchamp</t>
  </si>
  <si>
    <t>SomersetHemington</t>
  </si>
  <si>
    <t>E3301P139</t>
  </si>
  <si>
    <t>Hemington</t>
  </si>
  <si>
    <t>SomersetHenstridge</t>
  </si>
  <si>
    <t>E3301P140</t>
  </si>
  <si>
    <t>Henstridge</t>
  </si>
  <si>
    <t>SomersetHigh Ham</t>
  </si>
  <si>
    <t>E3301P141</t>
  </si>
  <si>
    <t>High Ham</t>
  </si>
  <si>
    <t>SomersetHinton St. George</t>
  </si>
  <si>
    <t>E3301P142</t>
  </si>
  <si>
    <t>Hinton St. George</t>
  </si>
  <si>
    <t>SomersetHolcombe</t>
  </si>
  <si>
    <t>E3301P143</t>
  </si>
  <si>
    <t>Holcombe</t>
  </si>
  <si>
    <t>SomersetHolford</t>
  </si>
  <si>
    <t>E3301P144</t>
  </si>
  <si>
    <t>Holford</t>
  </si>
  <si>
    <t>SomersetHolton</t>
  </si>
  <si>
    <t>E3301P145</t>
  </si>
  <si>
    <t>SomersetHorsington</t>
  </si>
  <si>
    <t>E3301P146</t>
  </si>
  <si>
    <t>SomersetHorton</t>
  </si>
  <si>
    <t>E3301P147</t>
  </si>
  <si>
    <t>SomersetHuish Champflower</t>
  </si>
  <si>
    <t>E3301P148</t>
  </si>
  <si>
    <t>Huish Champflower</t>
  </si>
  <si>
    <t>SomersetHuish Episcopi</t>
  </si>
  <si>
    <t>E3301P149</t>
  </si>
  <si>
    <t>Huish Episcopi</t>
  </si>
  <si>
    <t>SomersetIlchester</t>
  </si>
  <si>
    <t>E3301P150</t>
  </si>
  <si>
    <t>Ilchester</t>
  </si>
  <si>
    <t>SomersetIlminster</t>
  </si>
  <si>
    <t>E3301P151</t>
  </si>
  <si>
    <t>Ilminster</t>
  </si>
  <si>
    <t>SomersetIlton</t>
  </si>
  <si>
    <t>E3301P152</t>
  </si>
  <si>
    <t>Ilton</t>
  </si>
  <si>
    <t>SomersetIsle Abbotts</t>
  </si>
  <si>
    <t>E3301P153</t>
  </si>
  <si>
    <t>Isle Abbotts</t>
  </si>
  <si>
    <t>SomersetIsle Brewers</t>
  </si>
  <si>
    <t>E3301P154</t>
  </si>
  <si>
    <t>Isle Brewers</t>
  </si>
  <si>
    <t>SomersetKeinton Mandeville</t>
  </si>
  <si>
    <t>E3301P155</t>
  </si>
  <si>
    <t>Keinton Mandeville</t>
  </si>
  <si>
    <t>SomersetKilmersdon</t>
  </si>
  <si>
    <t>E3301P156</t>
  </si>
  <si>
    <t>Kilmersdon</t>
  </si>
  <si>
    <t>SomersetKilve</t>
  </si>
  <si>
    <t>E3301P157</t>
  </si>
  <si>
    <t>Kilve</t>
  </si>
  <si>
    <t>SomersetKingsbury Episcopi</t>
  </si>
  <si>
    <t>E3301P158</t>
  </si>
  <si>
    <t>Kingsbury Episcopi</t>
  </si>
  <si>
    <t>SomersetKingsdon</t>
  </si>
  <si>
    <t>E3301P159</t>
  </si>
  <si>
    <t>Kingsdon</t>
  </si>
  <si>
    <t>SomersetKingston St. Mary</t>
  </si>
  <si>
    <t>E3301P160</t>
  </si>
  <si>
    <t>Kingston St. Mary</t>
  </si>
  <si>
    <t>SomersetKingstone</t>
  </si>
  <si>
    <t>E3301P161</t>
  </si>
  <si>
    <t>Kingstone</t>
  </si>
  <si>
    <t>SomersetKingweston</t>
  </si>
  <si>
    <t>E3301P162</t>
  </si>
  <si>
    <t>Kingweston</t>
  </si>
  <si>
    <t>SomersetKnowle St. Giles</t>
  </si>
  <si>
    <t>E3301P163</t>
  </si>
  <si>
    <t>Knowle St. Giles</t>
  </si>
  <si>
    <t>SomersetLamyat</t>
  </si>
  <si>
    <t>E3301P164</t>
  </si>
  <si>
    <t>Lamyat</t>
  </si>
  <si>
    <t>SomersetLangford Budville</t>
  </si>
  <si>
    <t>E3301P165</t>
  </si>
  <si>
    <t>Langford Budville</t>
  </si>
  <si>
    <t>SomersetLangport</t>
  </si>
  <si>
    <t>E3301P166</t>
  </si>
  <si>
    <t>Langport</t>
  </si>
  <si>
    <t>SomersetLeigh on Mendip</t>
  </si>
  <si>
    <t>E3301P167</t>
  </si>
  <si>
    <t>Leigh on Mendip</t>
  </si>
  <si>
    <t>SomersetLitton</t>
  </si>
  <si>
    <t>E3301P169</t>
  </si>
  <si>
    <t>SomersetLong Load</t>
  </si>
  <si>
    <t>E3301P170</t>
  </si>
  <si>
    <t>Long Load</t>
  </si>
  <si>
    <t>SomersetLong Sutton</t>
  </si>
  <si>
    <t>E3301P171</t>
  </si>
  <si>
    <t>SomersetLopen</t>
  </si>
  <si>
    <t>E3301P172</t>
  </si>
  <si>
    <t>Lopen</t>
  </si>
  <si>
    <t>SomersetLovington</t>
  </si>
  <si>
    <t>E3301P173</t>
  </si>
  <si>
    <t>Lovington</t>
  </si>
  <si>
    <t>SomersetLuccombe</t>
  </si>
  <si>
    <t>E3301P174</t>
  </si>
  <si>
    <t>Luccombe</t>
  </si>
  <si>
    <t>SomersetLullington</t>
  </si>
  <si>
    <t>E3301P175</t>
  </si>
  <si>
    <t>SomersetLuxborough</t>
  </si>
  <si>
    <t>E3301P176</t>
  </si>
  <si>
    <t>Luxborough</t>
  </si>
  <si>
    <t>SomersetLydeard St. Lawrence (grouped with Tolland)</t>
  </si>
  <si>
    <t>E3301P177</t>
  </si>
  <si>
    <t>Lydeard St. Lawrence (grouped with Tolland)</t>
  </si>
  <si>
    <t>SomersetLydford on Fosse</t>
  </si>
  <si>
    <t>E3301P178</t>
  </si>
  <si>
    <t>Lydford on Fosse</t>
  </si>
  <si>
    <t>SomersetLympsham</t>
  </si>
  <si>
    <t>E3301P179</t>
  </si>
  <si>
    <t>Lympsham</t>
  </si>
  <si>
    <t>SomersetLyng</t>
  </si>
  <si>
    <t>E3301P180</t>
  </si>
  <si>
    <t>SomersetMaperton</t>
  </si>
  <si>
    <t>E3301P181</t>
  </si>
  <si>
    <t>Maperton</t>
  </si>
  <si>
    <t>SomersetMark</t>
  </si>
  <si>
    <t>E3301P182</t>
  </si>
  <si>
    <t>Mark</t>
  </si>
  <si>
    <t>SomersetMarston Magna</t>
  </si>
  <si>
    <t>E3301P183</t>
  </si>
  <si>
    <t>Marston Magna</t>
  </si>
  <si>
    <t>SomersetMartock</t>
  </si>
  <si>
    <t>E3301P184</t>
  </si>
  <si>
    <t>Martock</t>
  </si>
  <si>
    <t>SomersetMeare</t>
  </si>
  <si>
    <t>E3301P185</t>
  </si>
  <si>
    <t>Meare</t>
  </si>
  <si>
    <t>SomersetMells</t>
  </si>
  <si>
    <t>E3301P186</t>
  </si>
  <si>
    <t>Mells</t>
  </si>
  <si>
    <t>SomersetMerriott</t>
  </si>
  <si>
    <t>E3301P187</t>
  </si>
  <si>
    <t>Merriott</t>
  </si>
  <si>
    <t>SomersetMiddlezoy</t>
  </si>
  <si>
    <t>E3301P188</t>
  </si>
  <si>
    <t>Middlezoy</t>
  </si>
  <si>
    <t>SomersetMilborne Port</t>
  </si>
  <si>
    <t>E3301P189</t>
  </si>
  <si>
    <t>Milborne Port</t>
  </si>
  <si>
    <t>SomersetMilton Clevedon</t>
  </si>
  <si>
    <t>E3301P190</t>
  </si>
  <si>
    <t>Milton Clevedon</t>
  </si>
  <si>
    <t>SomersetMilverton</t>
  </si>
  <si>
    <t>E3301P191</t>
  </si>
  <si>
    <t>Milverton</t>
  </si>
  <si>
    <t>SomersetMinehead</t>
  </si>
  <si>
    <t>E3301P192</t>
  </si>
  <si>
    <t>Minehead</t>
  </si>
  <si>
    <t>SomersetMisterton</t>
  </si>
  <si>
    <t>E3301P193</t>
  </si>
  <si>
    <t>SomersetMonksilver</t>
  </si>
  <si>
    <t>E3301P194</t>
  </si>
  <si>
    <t>Monksilver</t>
  </si>
  <si>
    <t>SomersetMontacute</t>
  </si>
  <si>
    <t>E3301P195</t>
  </si>
  <si>
    <t>Montacute</t>
  </si>
  <si>
    <t>SomersetMoorlinch</t>
  </si>
  <si>
    <t>E3301P196</t>
  </si>
  <si>
    <t>Moorlinch</t>
  </si>
  <si>
    <t>SomersetMuchelney</t>
  </si>
  <si>
    <t>E3301P197</t>
  </si>
  <si>
    <t>Muchelney</t>
  </si>
  <si>
    <t>SomersetMudford</t>
  </si>
  <si>
    <t>E3301P198</t>
  </si>
  <si>
    <t>Mudford</t>
  </si>
  <si>
    <t>SomersetNether Stowey</t>
  </si>
  <si>
    <t>E3301P199</t>
  </si>
  <si>
    <t>Nether Stowey</t>
  </si>
  <si>
    <t>SomersetNettlecombe</t>
  </si>
  <si>
    <t>E3301P200</t>
  </si>
  <si>
    <t>Nettlecombe</t>
  </si>
  <si>
    <t>SomersetNorth Barrow</t>
  </si>
  <si>
    <t>E3301P201</t>
  </si>
  <si>
    <t>North Barrow</t>
  </si>
  <si>
    <t>SomersetNorth Cadbury</t>
  </si>
  <si>
    <t>E3301P202</t>
  </si>
  <si>
    <t>North Cadbury</t>
  </si>
  <si>
    <t>SomersetNorth Cheriton</t>
  </si>
  <si>
    <t>E3301P203</t>
  </si>
  <si>
    <t>North Cheriton</t>
  </si>
  <si>
    <t>SomersetNorth Curry</t>
  </si>
  <si>
    <t>E3301P204</t>
  </si>
  <si>
    <t>North Curry</t>
  </si>
  <si>
    <t>SomersetNorth Perrott</t>
  </si>
  <si>
    <t>E3301P205</t>
  </si>
  <si>
    <t>North Perrott</t>
  </si>
  <si>
    <t>SomersetNorth Petherton</t>
  </si>
  <si>
    <t>E3301P206</t>
  </si>
  <si>
    <t>North Petherton</t>
  </si>
  <si>
    <t>SomersetNorth Wootton</t>
  </si>
  <si>
    <t>E3301P207</t>
  </si>
  <si>
    <t>SomersetNorton Fitzwarren</t>
  </si>
  <si>
    <t>E3301P208</t>
  </si>
  <si>
    <t>Norton Fitzwarren</t>
  </si>
  <si>
    <t>SomersetNorton St Philip</t>
  </si>
  <si>
    <t>E3301P209</t>
  </si>
  <si>
    <t>Norton St Philip</t>
  </si>
  <si>
    <t>SomersetNorton sub Hamdon</t>
  </si>
  <si>
    <t>E3301P210</t>
  </si>
  <si>
    <t>Norton sub Hamdon</t>
  </si>
  <si>
    <t>SomersetNunney</t>
  </si>
  <si>
    <t>E3301P211</t>
  </si>
  <si>
    <t>Nunney</t>
  </si>
  <si>
    <t>SomersetNynehead</t>
  </si>
  <si>
    <t>E3301P212</t>
  </si>
  <si>
    <t>Nynehead</t>
  </si>
  <si>
    <t>SomersetOake</t>
  </si>
  <si>
    <t>E3301P213</t>
  </si>
  <si>
    <t>Oake</t>
  </si>
  <si>
    <t>SomersetOare</t>
  </si>
  <si>
    <t>E3301P214</t>
  </si>
  <si>
    <t>SomersetOdcombe</t>
  </si>
  <si>
    <t>E3301P215</t>
  </si>
  <si>
    <t>Odcombe</t>
  </si>
  <si>
    <t>SomersetOld Cleeve</t>
  </si>
  <si>
    <t>E3301P216</t>
  </si>
  <si>
    <t>Old Cleeve</t>
  </si>
  <si>
    <t>SomersetOrchard Portman (grouped with Bickenhall Curland Staple Fitzpaine)</t>
  </si>
  <si>
    <t>E3301P217</t>
  </si>
  <si>
    <t>Orchard Portman (grouped with Bickenhall Curland Staple Fitzpaine)</t>
  </si>
  <si>
    <t>SomersetOthery</t>
  </si>
  <si>
    <t>E3301P218</t>
  </si>
  <si>
    <t>Othery</t>
  </si>
  <si>
    <t>SomersetOtterford</t>
  </si>
  <si>
    <t>E3301P219</t>
  </si>
  <si>
    <t>Otterford</t>
  </si>
  <si>
    <t>SomersetOtterhampton</t>
  </si>
  <si>
    <t>E3301P220</t>
  </si>
  <si>
    <t>Otterhampton</t>
  </si>
  <si>
    <t>SomersetOver Stowey</t>
  </si>
  <si>
    <t>E3301P221</t>
  </si>
  <si>
    <t>Over Stowey</t>
  </si>
  <si>
    <t>SomersetPawlett</t>
  </si>
  <si>
    <t>E3301P222</t>
  </si>
  <si>
    <t>Pawlett</t>
  </si>
  <si>
    <t>SomersetPen Selwood</t>
  </si>
  <si>
    <t>E3301P223</t>
  </si>
  <si>
    <t>Pen Selwood</t>
  </si>
  <si>
    <t>SomersetPilton</t>
  </si>
  <si>
    <t>E3301P224</t>
  </si>
  <si>
    <t>SomersetPitcombe</t>
  </si>
  <si>
    <t>E3301P225</t>
  </si>
  <si>
    <t>Pitcombe</t>
  </si>
  <si>
    <t>SomersetPitminster</t>
  </si>
  <si>
    <t>E3301P226</t>
  </si>
  <si>
    <t>Pitminster</t>
  </si>
  <si>
    <t>SomersetPitney</t>
  </si>
  <si>
    <t>E3301P227</t>
  </si>
  <si>
    <t>Pitney</t>
  </si>
  <si>
    <t>SomersetPorlock</t>
  </si>
  <si>
    <t>E3301P228</t>
  </si>
  <si>
    <t>Porlock</t>
  </si>
  <si>
    <t>SomersetPriddy</t>
  </si>
  <si>
    <t>E3301P229</t>
  </si>
  <si>
    <t>Priddy</t>
  </si>
  <si>
    <t>SomersetPuckington</t>
  </si>
  <si>
    <t>E3301P230</t>
  </si>
  <si>
    <t>Puckington</t>
  </si>
  <si>
    <t>SomersetPuriton</t>
  </si>
  <si>
    <t>E3301P231</t>
  </si>
  <si>
    <t>Puriton</t>
  </si>
  <si>
    <t>SomersetPylle</t>
  </si>
  <si>
    <t>E3301P232</t>
  </si>
  <si>
    <t>Pylle</t>
  </si>
  <si>
    <t>SomersetQueen Camel</t>
  </si>
  <si>
    <t>E3301P233</t>
  </si>
  <si>
    <t>Queen Camel</t>
  </si>
  <si>
    <t>SomersetRimpton</t>
  </si>
  <si>
    <t>E3301P234</t>
  </si>
  <si>
    <t>Rimpton</t>
  </si>
  <si>
    <t>SomersetRode</t>
  </si>
  <si>
    <t>E3301P235</t>
  </si>
  <si>
    <t>Rode</t>
  </si>
  <si>
    <t>SomersetRodney Stoke</t>
  </si>
  <si>
    <t>E3301P236</t>
  </si>
  <si>
    <t>Rodney Stoke</t>
  </si>
  <si>
    <t>SomersetRuishton (grouped with Thornfalcon)</t>
  </si>
  <si>
    <t>E3301P237</t>
  </si>
  <si>
    <t>Ruishton (grouped with Thornfalcon)</t>
  </si>
  <si>
    <t>SomersetSampford Arundel</t>
  </si>
  <si>
    <t>E3301P238</t>
  </si>
  <si>
    <t>Sampford Arundel</t>
  </si>
  <si>
    <t>SomersetSampford Brett</t>
  </si>
  <si>
    <t>E3301P239</t>
  </si>
  <si>
    <t>Sampford Brett</t>
  </si>
  <si>
    <t>SomersetSeavington St Mary</t>
  </si>
  <si>
    <t>E3301P240</t>
  </si>
  <si>
    <t>Seavington St Mary</t>
  </si>
  <si>
    <t>SomersetSeavington St Michael</t>
  </si>
  <si>
    <t>E3301P241</t>
  </si>
  <si>
    <t>Seavington St Michael</t>
  </si>
  <si>
    <t>SomersetSelwood</t>
  </si>
  <si>
    <t>E3301P242</t>
  </si>
  <si>
    <t>Selwood</t>
  </si>
  <si>
    <t>SomersetSelworthy and Minehead Without</t>
  </si>
  <si>
    <t>E3301P243</t>
  </si>
  <si>
    <t>Selworthy and Minehead Without</t>
  </si>
  <si>
    <t>SomersetShapwick</t>
  </si>
  <si>
    <t>E3301P244</t>
  </si>
  <si>
    <t>Shapwick</t>
  </si>
  <si>
    <t>SomersetSharpham</t>
  </si>
  <si>
    <t>E3301P245</t>
  </si>
  <si>
    <t>Sharpham</t>
  </si>
  <si>
    <t>SomersetShepton Beauchamp</t>
  </si>
  <si>
    <t>E3301P246</t>
  </si>
  <si>
    <t>Shepton Beauchamp</t>
  </si>
  <si>
    <t>SomersetShepton Mallet</t>
  </si>
  <si>
    <t>E3301P247</t>
  </si>
  <si>
    <t>Shepton Mallet</t>
  </si>
  <si>
    <t>SomersetShepton Montague</t>
  </si>
  <si>
    <t>E3301P248</t>
  </si>
  <si>
    <t>Shepton Montague</t>
  </si>
  <si>
    <t>SomersetShipham</t>
  </si>
  <si>
    <t>E3301P249</t>
  </si>
  <si>
    <t>Shipham</t>
  </si>
  <si>
    <t>SomersetSkilgate</t>
  </si>
  <si>
    <t>E3301P250</t>
  </si>
  <si>
    <t>Skilgate</t>
  </si>
  <si>
    <t>SomersetSomerton</t>
  </si>
  <si>
    <t>E3301P251</t>
  </si>
  <si>
    <t>SomersetSouth Barrow</t>
  </si>
  <si>
    <t>E3301P252</t>
  </si>
  <si>
    <t>South Barrow</t>
  </si>
  <si>
    <t>SomersetSouth Cadbury</t>
  </si>
  <si>
    <t>E3301P253</t>
  </si>
  <si>
    <t>South Cadbury</t>
  </si>
  <si>
    <t>SomersetSouth Petherton</t>
  </si>
  <si>
    <t>E3301P254</t>
  </si>
  <si>
    <t>South Petherton</t>
  </si>
  <si>
    <t>SomersetSparkford</t>
  </si>
  <si>
    <t>E3301P255</t>
  </si>
  <si>
    <t>Sparkford</t>
  </si>
  <si>
    <t>SomersetSpaxton</t>
  </si>
  <si>
    <t>E3301P256</t>
  </si>
  <si>
    <t>Spaxton</t>
  </si>
  <si>
    <t>SomersetSt Cuthbert Out</t>
  </si>
  <si>
    <t>E3301P257</t>
  </si>
  <si>
    <t>St Cuthbert Out</t>
  </si>
  <si>
    <t>SomersetStaple Fitzpaine (grouped with Bickenhall Curland Orchard Portman)</t>
  </si>
  <si>
    <t>E3301P258</t>
  </si>
  <si>
    <t>Staple Fitzpaine (grouped with Bickenhall Curland Orchard Portman)</t>
  </si>
  <si>
    <t>SomersetStawell</t>
  </si>
  <si>
    <t>E3301P260</t>
  </si>
  <si>
    <t>Stawell</t>
  </si>
  <si>
    <t>SomersetStawley</t>
  </si>
  <si>
    <t>E3301P261</t>
  </si>
  <si>
    <t>Stawley</t>
  </si>
  <si>
    <t>SomersetStockland Bristol</t>
  </si>
  <si>
    <t>E3301P262</t>
  </si>
  <si>
    <t>Stockland Bristol</t>
  </si>
  <si>
    <t>SomersetStocklinch</t>
  </si>
  <si>
    <t>E3301P263</t>
  </si>
  <si>
    <t>Stocklinch</t>
  </si>
  <si>
    <t>SomersetStogumber</t>
  </si>
  <si>
    <t>E3301P264</t>
  </si>
  <si>
    <t>Stogumber</t>
  </si>
  <si>
    <t>SomersetStogursey</t>
  </si>
  <si>
    <t>E3301P265</t>
  </si>
  <si>
    <t>Stogursey</t>
  </si>
  <si>
    <t>SomersetStoke St Michael</t>
  </si>
  <si>
    <t>E3301P266</t>
  </si>
  <si>
    <t>Stoke St Michael</t>
  </si>
  <si>
    <t>SomersetStoke St. Gregory</t>
  </si>
  <si>
    <t>E3301P267</t>
  </si>
  <si>
    <t>Stoke St. Gregory</t>
  </si>
  <si>
    <t>SomersetStoke St. Mary</t>
  </si>
  <si>
    <t>E3301P268</t>
  </si>
  <si>
    <t>Stoke St. Mary</t>
  </si>
  <si>
    <t>SomersetStoke sub Hamdon</t>
  </si>
  <si>
    <t>E3301P269</t>
  </si>
  <si>
    <t>Stoke sub Hamdon</t>
  </si>
  <si>
    <t>SomersetStoke Trister</t>
  </si>
  <si>
    <t>E3301P270</t>
  </si>
  <si>
    <t>Stoke Trister</t>
  </si>
  <si>
    <t>SomersetSton Easton</t>
  </si>
  <si>
    <t>E3301P271</t>
  </si>
  <si>
    <t>Ston Easton</t>
  </si>
  <si>
    <t>SomersetStratton on the Fosse</t>
  </si>
  <si>
    <t>E3301P272</t>
  </si>
  <si>
    <t>Stratton on the Fosse</t>
  </si>
  <si>
    <t>SomersetStreet</t>
  </si>
  <si>
    <t>E3301P273</t>
  </si>
  <si>
    <t>Street</t>
  </si>
  <si>
    <t>SomersetStringston</t>
  </si>
  <si>
    <t>E3301P274</t>
  </si>
  <si>
    <t>Stringston</t>
  </si>
  <si>
    <t>SomersetTatworth and Forton</t>
  </si>
  <si>
    <t>E3301P275</t>
  </si>
  <si>
    <t>Tatworth and Forton</t>
  </si>
  <si>
    <t>SomersetTellisford</t>
  </si>
  <si>
    <t>E3301P277</t>
  </si>
  <si>
    <t>Tellisford</t>
  </si>
  <si>
    <t>SomersetThornfalcon (grouped with Ruishton)</t>
  </si>
  <si>
    <t>E3301P278</t>
  </si>
  <si>
    <t>Thornfalcon (grouped with Ruishton)</t>
  </si>
  <si>
    <t>SomersetThurloxton</t>
  </si>
  <si>
    <t>E3301P279</t>
  </si>
  <si>
    <t>Thurloxton</t>
  </si>
  <si>
    <t>SomersetTimberscombe</t>
  </si>
  <si>
    <t>E3301P280</t>
  </si>
  <si>
    <t>Timberscombe</t>
  </si>
  <si>
    <t>SomersetTintinhull</t>
  </si>
  <si>
    <t>E3301P281</t>
  </si>
  <si>
    <t>Tintinhull</t>
  </si>
  <si>
    <t>SomersetTolland (grouped with Lydeard St Lawrence)</t>
  </si>
  <si>
    <t>E3301P282</t>
  </si>
  <si>
    <t>Tolland (grouped with Lydeard St Lawrence)</t>
  </si>
  <si>
    <t>SomersetTreborough</t>
  </si>
  <si>
    <t>E3301P283</t>
  </si>
  <si>
    <t>Treborough</t>
  </si>
  <si>
    <t>SomersetTrudoxhill</t>
  </si>
  <si>
    <t>E3301P284</t>
  </si>
  <si>
    <t>Trudoxhill</t>
  </si>
  <si>
    <t>SomersetTrull</t>
  </si>
  <si>
    <t>E3301P285</t>
  </si>
  <si>
    <t>Trull</t>
  </si>
  <si>
    <t>SomersetUpton</t>
  </si>
  <si>
    <t>E3301P286</t>
  </si>
  <si>
    <t>SomersetUpton Noble</t>
  </si>
  <si>
    <t>E3301P287</t>
  </si>
  <si>
    <t>Upton Noble</t>
  </si>
  <si>
    <t>SomersetWalton</t>
  </si>
  <si>
    <t>E3301P288</t>
  </si>
  <si>
    <t>SomersetWambrook</t>
  </si>
  <si>
    <t>E3301P289</t>
  </si>
  <si>
    <t>Wambrook</t>
  </si>
  <si>
    <t>SomersetWanstrow</t>
  </si>
  <si>
    <t>E3301P290</t>
  </si>
  <si>
    <t>Wanstrow</t>
  </si>
  <si>
    <t>SomersetWatchet</t>
  </si>
  <si>
    <t>E3301P291</t>
  </si>
  <si>
    <t>Watchet</t>
  </si>
  <si>
    <t>SomersetWayford</t>
  </si>
  <si>
    <t>E3301P292</t>
  </si>
  <si>
    <t>Wayford</t>
  </si>
  <si>
    <t>SomersetWeare</t>
  </si>
  <si>
    <t>E3301P293</t>
  </si>
  <si>
    <t>Weare</t>
  </si>
  <si>
    <t>SomersetWedmore</t>
  </si>
  <si>
    <t>E3301P294</t>
  </si>
  <si>
    <t>Wedmore</t>
  </si>
  <si>
    <t>SomersetWellington</t>
  </si>
  <si>
    <t>E3301P295</t>
  </si>
  <si>
    <t>SomersetWellington Without</t>
  </si>
  <si>
    <t>E3301P296</t>
  </si>
  <si>
    <t>Wellington Without</t>
  </si>
  <si>
    <t>SomersetWells</t>
  </si>
  <si>
    <t>E3301P297</t>
  </si>
  <si>
    <t>Wells</t>
  </si>
  <si>
    <t>SomersetWembdon</t>
  </si>
  <si>
    <t>E3301P298</t>
  </si>
  <si>
    <t>Wembdon</t>
  </si>
  <si>
    <t>SomersetWest and Middle Chinnock</t>
  </si>
  <si>
    <t>E3301P299</t>
  </si>
  <si>
    <t>West and Middle Chinnock</t>
  </si>
  <si>
    <t>SomersetWest Bagborough</t>
  </si>
  <si>
    <t>E3301P300</t>
  </si>
  <si>
    <t>West Bagborough</t>
  </si>
  <si>
    <t>SomersetWest Bradley</t>
  </si>
  <si>
    <t>E3301P301</t>
  </si>
  <si>
    <t>West Bradley</t>
  </si>
  <si>
    <t>SomersetWest Buckland</t>
  </si>
  <si>
    <t>E3301P302</t>
  </si>
  <si>
    <t>West Buckland</t>
  </si>
  <si>
    <t>SomersetWest Camel</t>
  </si>
  <si>
    <t>E3301P303</t>
  </si>
  <si>
    <t>West Camel</t>
  </si>
  <si>
    <t>SomersetWest Coker</t>
  </si>
  <si>
    <t>E3301P304</t>
  </si>
  <si>
    <t>West Coker</t>
  </si>
  <si>
    <t>SomersetWest Crewkerne</t>
  </si>
  <si>
    <t>E3301P305</t>
  </si>
  <si>
    <t>West Crewkerne</t>
  </si>
  <si>
    <t>SomersetWest Hatch</t>
  </si>
  <si>
    <t>E3301P306</t>
  </si>
  <si>
    <t>West Hatch</t>
  </si>
  <si>
    <t>SomersetWest Huntspill</t>
  </si>
  <si>
    <t>E3301P307</t>
  </si>
  <si>
    <t>West Huntspill</t>
  </si>
  <si>
    <t>SomersetWest Monkton</t>
  </si>
  <si>
    <t>E3301P308</t>
  </si>
  <si>
    <t>West Monkton</t>
  </si>
  <si>
    <t>SomersetWest Pennard</t>
  </si>
  <si>
    <t>E3301P309</t>
  </si>
  <si>
    <t>West Pennard</t>
  </si>
  <si>
    <t>SomersetWest Quantoxhead</t>
  </si>
  <si>
    <t>E3301P310</t>
  </si>
  <si>
    <t>West Quantoxhead</t>
  </si>
  <si>
    <t>SomersetWestbury Sub Mendip</t>
  </si>
  <si>
    <t>E3301P311</t>
  </si>
  <si>
    <t>Westbury Sub Mendip</t>
  </si>
  <si>
    <t>SomersetWestonzoyland</t>
  </si>
  <si>
    <t>E3301P312</t>
  </si>
  <si>
    <t>Westonzoyland</t>
  </si>
  <si>
    <t>SomersetWhatley</t>
  </si>
  <si>
    <t>E3301P313</t>
  </si>
  <si>
    <t>Whatley</t>
  </si>
  <si>
    <t>SomersetWhitelackington</t>
  </si>
  <si>
    <t>E3301P314</t>
  </si>
  <si>
    <t>Whitelackington</t>
  </si>
  <si>
    <t>SomersetWhitestaunton</t>
  </si>
  <si>
    <t>E3301P315</t>
  </si>
  <si>
    <t>Whitestaunton</t>
  </si>
  <si>
    <t>SomersetWilliton</t>
  </si>
  <si>
    <t>E3301P316</t>
  </si>
  <si>
    <t>Williton</t>
  </si>
  <si>
    <t>SomersetWincanton</t>
  </si>
  <si>
    <t>E3301P317</t>
  </si>
  <si>
    <t>Wincanton</t>
  </si>
  <si>
    <t>SomersetWinsford</t>
  </si>
  <si>
    <t>E3301P318</t>
  </si>
  <si>
    <t>SomersetWinsham</t>
  </si>
  <si>
    <t>E3301P319</t>
  </si>
  <si>
    <t>Winsham</t>
  </si>
  <si>
    <t>SomersetWitham Friary</t>
  </si>
  <si>
    <t>E3301P320</t>
  </si>
  <si>
    <t>Witham Friary</t>
  </si>
  <si>
    <t>SomersetWithycombe</t>
  </si>
  <si>
    <t>E3301P321</t>
  </si>
  <si>
    <t>Withycombe</t>
  </si>
  <si>
    <t>SomersetWithypool and Hawkridge</t>
  </si>
  <si>
    <t>E3301P322</t>
  </si>
  <si>
    <t>Withypool and Hawkridge</t>
  </si>
  <si>
    <t>SomersetWiveliscombe</t>
  </si>
  <si>
    <t>E3301P323</t>
  </si>
  <si>
    <t>Wiveliscombe</t>
  </si>
  <si>
    <t>SomersetWookey</t>
  </si>
  <si>
    <t>E3301P324</t>
  </si>
  <si>
    <t>Wookey</t>
  </si>
  <si>
    <t>SomersetWoolavington</t>
  </si>
  <si>
    <t>E3301P325</t>
  </si>
  <si>
    <t>Woolavington</t>
  </si>
  <si>
    <t>SomersetWootton Courtenay</t>
  </si>
  <si>
    <t>E3301P326</t>
  </si>
  <si>
    <t>Wootton Courtenay</t>
  </si>
  <si>
    <t>SomersetYarlington</t>
  </si>
  <si>
    <t>E3301P327</t>
  </si>
  <si>
    <t>Yarlington</t>
  </si>
  <si>
    <t>SomersetYeovil</t>
  </si>
  <si>
    <t>E3301P328</t>
  </si>
  <si>
    <t>Yeovil</t>
  </si>
  <si>
    <t>SomersetYeovil Without</t>
  </si>
  <si>
    <t>E3301P329</t>
  </si>
  <si>
    <t>Yeovil Without</t>
  </si>
  <si>
    <t>SomersetTaunton</t>
  </si>
  <si>
    <t>E3301P331</t>
  </si>
  <si>
    <t>Taunton</t>
  </si>
  <si>
    <t>SomersetYeovilton &amp; District</t>
  </si>
  <si>
    <t>E3301P332</t>
  </si>
  <si>
    <t>Yeovilton &amp; District</t>
  </si>
  <si>
    <t>Cannock ChaseBrereton and Ravenhill</t>
  </si>
  <si>
    <t>E3431P001</t>
  </si>
  <si>
    <t>Brereton and Ravenhill</t>
  </si>
  <si>
    <t>Cannock ChaseBridgtown</t>
  </si>
  <si>
    <t>E3431P002</t>
  </si>
  <si>
    <t>Bridgtown</t>
  </si>
  <si>
    <t>Cannock ChaseBrindley Heath</t>
  </si>
  <si>
    <t>E3431P003</t>
  </si>
  <si>
    <t>Brindley Heath</t>
  </si>
  <si>
    <t>Cannock ChaseCannock Wood</t>
  </si>
  <si>
    <t>E3431P004</t>
  </si>
  <si>
    <t>Cannock Wood</t>
  </si>
  <si>
    <t>Cannock ChaseHeath Hayes and Wimblebury</t>
  </si>
  <si>
    <t>E3431P005</t>
  </si>
  <si>
    <t>Heath Hayes and Wimblebury</t>
  </si>
  <si>
    <t>Cannock ChaseHednesford</t>
  </si>
  <si>
    <t>E3431P006</t>
  </si>
  <si>
    <t>Hednesford</t>
  </si>
  <si>
    <t>Cannock ChaseNorton Canes</t>
  </si>
  <si>
    <t>E3431P007</t>
  </si>
  <si>
    <t>Norton Canes</t>
  </si>
  <si>
    <t>Cannock ChaseRugeley</t>
  </si>
  <si>
    <t>E3431P008</t>
  </si>
  <si>
    <t>Rugeley</t>
  </si>
  <si>
    <t>East StaffordshireAbbots Bromley</t>
  </si>
  <si>
    <t>E3432P001</t>
  </si>
  <si>
    <t>Abbots Bromley</t>
  </si>
  <si>
    <t>East StaffordshireAnglesey</t>
  </si>
  <si>
    <t>E3432P002</t>
  </si>
  <si>
    <t>Anglesey</t>
  </si>
  <si>
    <t>East StaffordshireAnslow</t>
  </si>
  <si>
    <t>E3432P003</t>
  </si>
  <si>
    <t>Anslow</t>
  </si>
  <si>
    <t>East StaffordshireBarton under Needwood</t>
  </si>
  <si>
    <t>E3432P004</t>
  </si>
  <si>
    <t>Barton under Needwood</t>
  </si>
  <si>
    <t>East StaffordshireBlithfield</t>
  </si>
  <si>
    <t>E3432P005</t>
  </si>
  <si>
    <t>Blithfield</t>
  </si>
  <si>
    <t>East StaffordshireBranston</t>
  </si>
  <si>
    <t>E3432P006</t>
  </si>
  <si>
    <t>Branston</t>
  </si>
  <si>
    <t>East StaffordshireBrizlincote</t>
  </si>
  <si>
    <t>E3432P007</t>
  </si>
  <si>
    <t>Brizlincote</t>
  </si>
  <si>
    <t>East StaffordshireBurton</t>
  </si>
  <si>
    <t>E3432P008</t>
  </si>
  <si>
    <t>East StaffordshireCroxden</t>
  </si>
  <si>
    <t>E3432P009</t>
  </si>
  <si>
    <t>Croxden</t>
  </si>
  <si>
    <t>East StaffordshireDenstone</t>
  </si>
  <si>
    <t>E3432P010</t>
  </si>
  <si>
    <t>Denstone</t>
  </si>
  <si>
    <t>East StaffordshireDraycott in the Clay</t>
  </si>
  <si>
    <t>E3432P011</t>
  </si>
  <si>
    <t>Draycott in the Clay</t>
  </si>
  <si>
    <t>East StaffordshireDunstall</t>
  </si>
  <si>
    <t>E3432P012</t>
  </si>
  <si>
    <t>Dunstall</t>
  </si>
  <si>
    <t>East StaffordshireEllastone</t>
  </si>
  <si>
    <t>E3432P013</t>
  </si>
  <si>
    <t>Ellastone</t>
  </si>
  <si>
    <t>East StaffordshireHanbury</t>
  </si>
  <si>
    <t>E3432P014</t>
  </si>
  <si>
    <t>East StaffordshireHoar Cross</t>
  </si>
  <si>
    <t>E3432P015</t>
  </si>
  <si>
    <t>Hoar Cross</t>
  </si>
  <si>
    <t>East StaffordshireHorninglow and Eton</t>
  </si>
  <si>
    <t>E3432P016</t>
  </si>
  <si>
    <t>Horninglow and Eton</t>
  </si>
  <si>
    <t>East StaffordshireKingstone</t>
  </si>
  <si>
    <t>E3432P017</t>
  </si>
  <si>
    <t>East StaffordshireLeigh</t>
  </si>
  <si>
    <t>E3432P018</t>
  </si>
  <si>
    <t>East StaffordshireMarchington</t>
  </si>
  <si>
    <t>E3432P019</t>
  </si>
  <si>
    <t>Marchington</t>
  </si>
  <si>
    <t>East StaffordshireMayfield</t>
  </si>
  <si>
    <t>E3432P020</t>
  </si>
  <si>
    <t>Mayfield</t>
  </si>
  <si>
    <t>East StaffordshireNewborough</t>
  </si>
  <si>
    <t>E3432P021</t>
  </si>
  <si>
    <t>Newborough</t>
  </si>
  <si>
    <t>East StaffordshireOkeover</t>
  </si>
  <si>
    <t>E3432P022</t>
  </si>
  <si>
    <t>Okeover</t>
  </si>
  <si>
    <t>East StaffordshireOutwoods</t>
  </si>
  <si>
    <t>E3432P023</t>
  </si>
  <si>
    <t>Outwoods</t>
  </si>
  <si>
    <t>East StaffordshireRamshorn</t>
  </si>
  <si>
    <t>E3432P024</t>
  </si>
  <si>
    <t>Ramshorn</t>
  </si>
  <si>
    <t>East StaffordshireRocester</t>
  </si>
  <si>
    <t>E3432P025</t>
  </si>
  <si>
    <t>Rocester</t>
  </si>
  <si>
    <t>East StaffordshireRolleston on Dove</t>
  </si>
  <si>
    <t>E3432P026</t>
  </si>
  <si>
    <t>Rolleston on Dove</t>
  </si>
  <si>
    <t>East StaffordshireShobnall</t>
  </si>
  <si>
    <t>E3432P027</t>
  </si>
  <si>
    <t>Shobnall</t>
  </si>
  <si>
    <t>East StaffordshireStanton</t>
  </si>
  <si>
    <t>E3432P028</t>
  </si>
  <si>
    <t>East StaffordshireStapenhill</t>
  </si>
  <si>
    <t>E3432P029</t>
  </si>
  <si>
    <t>Stapenhill</t>
  </si>
  <si>
    <t>East StaffordshireStretton</t>
  </si>
  <si>
    <t>E3432P030</t>
  </si>
  <si>
    <t>East StaffordshireTatenhill</t>
  </si>
  <si>
    <t>E3432P031</t>
  </si>
  <si>
    <t>Tatenhill</t>
  </si>
  <si>
    <t>East StaffordshireTutbury</t>
  </si>
  <si>
    <t>E3432P032</t>
  </si>
  <si>
    <t>Tutbury</t>
  </si>
  <si>
    <t>East StaffordshireUttoxeter</t>
  </si>
  <si>
    <t>E3432P033</t>
  </si>
  <si>
    <t>Uttoxeter</t>
  </si>
  <si>
    <t>East StaffordshireUttoxeter Rural</t>
  </si>
  <si>
    <t>E3432P034</t>
  </si>
  <si>
    <t>Uttoxeter Rural</t>
  </si>
  <si>
    <t>East StaffordshireWinshill</t>
  </si>
  <si>
    <t>E3432P035</t>
  </si>
  <si>
    <t>Winshill</t>
  </si>
  <si>
    <t>East StaffordshireWootton</t>
  </si>
  <si>
    <t>E3432P036</t>
  </si>
  <si>
    <t>East StaffordshireWychnor</t>
  </si>
  <si>
    <t>E3432P037</t>
  </si>
  <si>
    <t>Wychnor</t>
  </si>
  <si>
    <t>East StaffordshireYoxall</t>
  </si>
  <si>
    <t>E3432P038</t>
  </si>
  <si>
    <t>Yoxall</t>
  </si>
  <si>
    <t>LichfieldAlrewas</t>
  </si>
  <si>
    <t>E3433P001</t>
  </si>
  <si>
    <t>Alrewas</t>
  </si>
  <si>
    <t>LichfieldArmitage with Handsacre</t>
  </si>
  <si>
    <t>E3433P002</t>
  </si>
  <si>
    <t>Armitage with Handsacre</t>
  </si>
  <si>
    <t>LichfieldBurntwood</t>
  </si>
  <si>
    <t>E3433P003</t>
  </si>
  <si>
    <t>Burntwood</t>
  </si>
  <si>
    <t>LichfieldClifton Campville (grouped with Thorpe Constantine)</t>
  </si>
  <si>
    <t>E3433P004</t>
  </si>
  <si>
    <t>Clifton Campville (grouped with Thorpe Constantine)</t>
  </si>
  <si>
    <t>LichfieldColton</t>
  </si>
  <si>
    <t>E3433P005</t>
  </si>
  <si>
    <t>LichfieldCurborough and Elmhurst (grouped with Farewell and Chorley)</t>
  </si>
  <si>
    <t>E3433P006</t>
  </si>
  <si>
    <t>Curborough and Elmhurst (grouped with Farewell and Chorley)</t>
  </si>
  <si>
    <t>LichfieldDrayton Bassett</t>
  </si>
  <si>
    <t>E3433P007</t>
  </si>
  <si>
    <t>Drayton Bassett</t>
  </si>
  <si>
    <t>LichfieldEdingale</t>
  </si>
  <si>
    <t>E3433P008</t>
  </si>
  <si>
    <t>Edingale</t>
  </si>
  <si>
    <t>LichfieldElford</t>
  </si>
  <si>
    <t>E3433P009</t>
  </si>
  <si>
    <t>Elford</t>
  </si>
  <si>
    <t>LichfieldFarewell and Chorley (grouped with Curborough and Elmhurst)</t>
  </si>
  <si>
    <t>E3433P010</t>
  </si>
  <si>
    <t>Farewell and Chorley (grouped with Curborough and Elmhurst)</t>
  </si>
  <si>
    <t>LichfieldFazeley</t>
  </si>
  <si>
    <t>E3433P011</t>
  </si>
  <si>
    <t>Fazeley</t>
  </si>
  <si>
    <t>LichfieldFisherwick (grouped with Whittington)</t>
  </si>
  <si>
    <t>E3433P012</t>
  </si>
  <si>
    <t>Fisherwick (grouped with Whittington)</t>
  </si>
  <si>
    <t>LichfieldHammerwich</t>
  </si>
  <si>
    <t>E3433P014</t>
  </si>
  <si>
    <t>Hammerwich</t>
  </si>
  <si>
    <t>LichfieldHamstall Ridware</t>
  </si>
  <si>
    <t>E3433P015</t>
  </si>
  <si>
    <t>Hamstall Ridware</t>
  </si>
  <si>
    <t>LichfieldHarlaston</t>
  </si>
  <si>
    <t>E3433P016</t>
  </si>
  <si>
    <t>Harlaston</t>
  </si>
  <si>
    <t>LichfieldHints</t>
  </si>
  <si>
    <t>E3433P017</t>
  </si>
  <si>
    <t>Hints</t>
  </si>
  <si>
    <t>LichfieldKing's Bromley</t>
  </si>
  <si>
    <t>E3433P018</t>
  </si>
  <si>
    <t>King's Bromley</t>
  </si>
  <si>
    <t>LichfieldLichfield</t>
  </si>
  <si>
    <t>E3433P019</t>
  </si>
  <si>
    <t>LichfieldLongdon</t>
  </si>
  <si>
    <t>E3433P020</t>
  </si>
  <si>
    <t>Longdon</t>
  </si>
  <si>
    <t>LichfieldMavesyn Ridware</t>
  </si>
  <si>
    <t>E3433P021</t>
  </si>
  <si>
    <t>Mavesyn Ridware</t>
  </si>
  <si>
    <t>LichfieldShenstone</t>
  </si>
  <si>
    <t>E3433P022</t>
  </si>
  <si>
    <t>Shenstone</t>
  </si>
  <si>
    <t>LichfieldSwinfen and Packington</t>
  </si>
  <si>
    <t>E3433P023</t>
  </si>
  <si>
    <t>Swinfen and Packington</t>
  </si>
  <si>
    <t>LichfieldThorpe Constantine (grouped with Clifton Campville)</t>
  </si>
  <si>
    <t>E3433P024</t>
  </si>
  <si>
    <t>Thorpe Constantine (grouped with Clifton Campville)</t>
  </si>
  <si>
    <t>LichfieldWall</t>
  </si>
  <si>
    <t>E3433P025</t>
  </si>
  <si>
    <t>LichfieldWeeford</t>
  </si>
  <si>
    <t>E3433P026</t>
  </si>
  <si>
    <t>Weeford</t>
  </si>
  <si>
    <t>LichfieldWhittington ( grouped with Fisherwick)</t>
  </si>
  <si>
    <t>E3433P027</t>
  </si>
  <si>
    <t>Whittington ( grouped with Fisherwick)</t>
  </si>
  <si>
    <t>LichfieldWigginton and Hopwas</t>
  </si>
  <si>
    <t>E3433P028</t>
  </si>
  <si>
    <t>Wigginton and Hopwas</t>
  </si>
  <si>
    <t>LichfieldFradley</t>
  </si>
  <si>
    <t>E3433P029</t>
  </si>
  <si>
    <t>Fradley</t>
  </si>
  <si>
    <t>LichfieldStreethay</t>
  </si>
  <si>
    <t>E3433P030</t>
  </si>
  <si>
    <t>Streethay</t>
  </si>
  <si>
    <t>Newcastle-under-LymeAudley Rural</t>
  </si>
  <si>
    <t>E3434P001</t>
  </si>
  <si>
    <t>Audley Rural</t>
  </si>
  <si>
    <t>Newcastle-under-LymeBetley, Balterley and Wrinehill</t>
  </si>
  <si>
    <t>E3434P003</t>
  </si>
  <si>
    <t>Betley, Balterley and Wrinehill</t>
  </si>
  <si>
    <t>Newcastle-under-LymeChapel and Hill Chorlton</t>
  </si>
  <si>
    <t>E3434P004</t>
  </si>
  <si>
    <t>Chapel and Hill Chorlton</t>
  </si>
  <si>
    <t>Newcastle-under-LymeKeele</t>
  </si>
  <si>
    <t>E3434P005</t>
  </si>
  <si>
    <t>Keele</t>
  </si>
  <si>
    <t>Newcastle-under-LymeKidsgrove</t>
  </si>
  <si>
    <t>E3434P006</t>
  </si>
  <si>
    <t>Kidsgrove</t>
  </si>
  <si>
    <t>Newcastle-under-LymeLoggerheads</t>
  </si>
  <si>
    <t>E3434P007</t>
  </si>
  <si>
    <t>Loggerheads</t>
  </si>
  <si>
    <t>Newcastle-under-LymeMadeley</t>
  </si>
  <si>
    <t>E3434P008</t>
  </si>
  <si>
    <t>Newcastle-under-LymeMaer</t>
  </si>
  <si>
    <t>E3434P009</t>
  </si>
  <si>
    <t>Maer</t>
  </si>
  <si>
    <t>Newcastle-under-LymeSilverdale</t>
  </si>
  <si>
    <t>E3434P010</t>
  </si>
  <si>
    <t>Newcastle-under-LymeWhitmore</t>
  </si>
  <si>
    <t>E3434P011</t>
  </si>
  <si>
    <t>Whitmore</t>
  </si>
  <si>
    <t>South StaffordshireActon Trussell and Bednall &amp; Teddesley Hay</t>
  </si>
  <si>
    <t>E3435P001</t>
  </si>
  <si>
    <t>Acton Trussell and Bednall &amp; Teddesley Hay</t>
  </si>
  <si>
    <t>South StaffordshireBilbrook</t>
  </si>
  <si>
    <t>E3435P002</t>
  </si>
  <si>
    <t>Bilbrook</t>
  </si>
  <si>
    <t>South StaffordshireBlymhill and Weston under Lizard</t>
  </si>
  <si>
    <t>E3435P003</t>
  </si>
  <si>
    <t>Blymhill and Weston under Lizard</t>
  </si>
  <si>
    <t>South StaffordshireBobbington</t>
  </si>
  <si>
    <t>E3435P004</t>
  </si>
  <si>
    <t>Bobbington</t>
  </si>
  <si>
    <t>South StaffordshireBrewood and Coven</t>
  </si>
  <si>
    <t>E3435P005</t>
  </si>
  <si>
    <t>Brewood and Coven</t>
  </si>
  <si>
    <t>South StaffordshireCheslyn Hay</t>
  </si>
  <si>
    <t>E3435P006</t>
  </si>
  <si>
    <t>Cheslyn Hay</t>
  </si>
  <si>
    <t>South StaffordshireCodsall</t>
  </si>
  <si>
    <t>E3435P007</t>
  </si>
  <si>
    <t>Codsall</t>
  </si>
  <si>
    <t>South StaffordshireDunston with Coppenhall</t>
  </si>
  <si>
    <t>E3435P009</t>
  </si>
  <si>
    <t>Dunston with Coppenhall</t>
  </si>
  <si>
    <t>South StaffordshireEnville</t>
  </si>
  <si>
    <t>E3435P010</t>
  </si>
  <si>
    <t>Enville</t>
  </si>
  <si>
    <t>South StaffordshireEssington</t>
  </si>
  <si>
    <t>E3435P011</t>
  </si>
  <si>
    <t>Essington</t>
  </si>
  <si>
    <t>South StaffordshireFeatherstone</t>
  </si>
  <si>
    <t>E3435P012</t>
  </si>
  <si>
    <t>South StaffordshireGreat Wyrley</t>
  </si>
  <si>
    <t>E3435P013</t>
  </si>
  <si>
    <t>Great Wyrley</t>
  </si>
  <si>
    <t>South StaffordshireHatherton</t>
  </si>
  <si>
    <t>E3435P014</t>
  </si>
  <si>
    <t>South StaffordshireHilton</t>
  </si>
  <si>
    <t>E3435P015</t>
  </si>
  <si>
    <t>South StaffordshireHimley</t>
  </si>
  <si>
    <t>E3435P016</t>
  </si>
  <si>
    <t>Himley</t>
  </si>
  <si>
    <t>South StaffordshireHuntington</t>
  </si>
  <si>
    <t>E3435P017</t>
  </si>
  <si>
    <t>South StaffordshireKinver</t>
  </si>
  <si>
    <t>E3435P018</t>
  </si>
  <si>
    <t>Kinver</t>
  </si>
  <si>
    <t>South StaffordshireLapley Stretton and Wheaton Aston</t>
  </si>
  <si>
    <t>E3435P019</t>
  </si>
  <si>
    <t>Lapley Stretton and Wheaton Aston</t>
  </si>
  <si>
    <t>South StaffordshireLower Penn</t>
  </si>
  <si>
    <t>E3435P020</t>
  </si>
  <si>
    <t>Lower Penn</t>
  </si>
  <si>
    <t>South StaffordshirePattingham and Patshull</t>
  </si>
  <si>
    <t>E3435P021</t>
  </si>
  <si>
    <t>Pattingham and Patshull</t>
  </si>
  <si>
    <t>South StaffordshirePenkridge</t>
  </si>
  <si>
    <t>E3435P022</t>
  </si>
  <si>
    <t>Penkridge</t>
  </si>
  <si>
    <t>South StaffordshirePerton</t>
  </si>
  <si>
    <t>E3435P023</t>
  </si>
  <si>
    <t>Perton</t>
  </si>
  <si>
    <t>South StaffordshireSaredon</t>
  </si>
  <si>
    <t>E3435P024</t>
  </si>
  <si>
    <t>Saredon</t>
  </si>
  <si>
    <t>South StaffordshireShareshill</t>
  </si>
  <si>
    <t>E3435P025</t>
  </si>
  <si>
    <t>Shareshill</t>
  </si>
  <si>
    <t>South StaffordshireSwindon</t>
  </si>
  <si>
    <t>E3435P026</t>
  </si>
  <si>
    <t>South StaffordshireTrysull and Seisdon</t>
  </si>
  <si>
    <t>E3435P028</t>
  </si>
  <si>
    <t>Trysull and Seisdon</t>
  </si>
  <si>
    <t>South StaffordshireWombourne</t>
  </si>
  <si>
    <t>E3435P029</t>
  </si>
  <si>
    <t>Wombourne</t>
  </si>
  <si>
    <t>StaffordAdbaston</t>
  </si>
  <si>
    <t>E3436P001</t>
  </si>
  <si>
    <t>Adbaston</t>
  </si>
  <si>
    <t>StaffordBarlaston</t>
  </si>
  <si>
    <t>E3436P002</t>
  </si>
  <si>
    <t>Barlaston</t>
  </si>
  <si>
    <t>StaffordBerkswich</t>
  </si>
  <si>
    <t>E3436P003</t>
  </si>
  <si>
    <t>Berkswich</t>
  </si>
  <si>
    <t>StaffordBradley</t>
  </si>
  <si>
    <t>E3436P004</t>
  </si>
  <si>
    <t>StaffordBrocton</t>
  </si>
  <si>
    <t>E3436P005</t>
  </si>
  <si>
    <t>Brocton</t>
  </si>
  <si>
    <t>StaffordChebsey</t>
  </si>
  <si>
    <t>E3436P006</t>
  </si>
  <si>
    <t>Chebsey</t>
  </si>
  <si>
    <t>StaffordChurch Eaton</t>
  </si>
  <si>
    <t>E3436P007</t>
  </si>
  <si>
    <t>Church Eaton</t>
  </si>
  <si>
    <t>StaffordColwich</t>
  </si>
  <si>
    <t>E3436P008</t>
  </si>
  <si>
    <t>Colwich</t>
  </si>
  <si>
    <t>StaffordCreswell</t>
  </si>
  <si>
    <t>E3436P009</t>
  </si>
  <si>
    <t>Creswell</t>
  </si>
  <si>
    <t>StaffordDoxey</t>
  </si>
  <si>
    <t>E3436P010</t>
  </si>
  <si>
    <t>Doxey</t>
  </si>
  <si>
    <t>StaffordEccleshall</t>
  </si>
  <si>
    <t>E3436P011</t>
  </si>
  <si>
    <t>Eccleshall</t>
  </si>
  <si>
    <t>StaffordEllenhall</t>
  </si>
  <si>
    <t>E3436P012</t>
  </si>
  <si>
    <t>Ellenhall</t>
  </si>
  <si>
    <t>StaffordForton</t>
  </si>
  <si>
    <t>E3436P013</t>
  </si>
  <si>
    <t>StaffordFradswell</t>
  </si>
  <si>
    <t>E3436P014</t>
  </si>
  <si>
    <t>Fradswell</t>
  </si>
  <si>
    <t>StaffordFulford</t>
  </si>
  <si>
    <t>E3436P015</t>
  </si>
  <si>
    <t>StaffordGayton</t>
  </si>
  <si>
    <t>E3436P016</t>
  </si>
  <si>
    <t>StaffordGnosall</t>
  </si>
  <si>
    <t>E3436P017</t>
  </si>
  <si>
    <t>Gnosall</t>
  </si>
  <si>
    <t>StaffordHaughton</t>
  </si>
  <si>
    <t>E3436P018</t>
  </si>
  <si>
    <t>StaffordHigh Offley</t>
  </si>
  <si>
    <t>E3436P019</t>
  </si>
  <si>
    <t>High Offley</t>
  </si>
  <si>
    <t>StaffordHilderstone</t>
  </si>
  <si>
    <t>E3436P020</t>
  </si>
  <si>
    <t>Hilderstone</t>
  </si>
  <si>
    <t>StaffordHixon</t>
  </si>
  <si>
    <t>E3436P021</t>
  </si>
  <si>
    <t>Hixon</t>
  </si>
  <si>
    <t>StaffordHopton and Coton</t>
  </si>
  <si>
    <t>E3436P022</t>
  </si>
  <si>
    <t>Hopton and Coton</t>
  </si>
  <si>
    <t>StaffordHyde Lea</t>
  </si>
  <si>
    <t>E3436P023</t>
  </si>
  <si>
    <t>Hyde Lea</t>
  </si>
  <si>
    <t>StaffordIngestre</t>
  </si>
  <si>
    <t>E3436P024</t>
  </si>
  <si>
    <t>Ingestre</t>
  </si>
  <si>
    <t>StaffordMarston</t>
  </si>
  <si>
    <t>E3436P025</t>
  </si>
  <si>
    <t>StaffordMilwich</t>
  </si>
  <si>
    <t>E3436P026</t>
  </si>
  <si>
    <t>Milwich</t>
  </si>
  <si>
    <t>StaffordNorbury</t>
  </si>
  <si>
    <t>E3436P027</t>
  </si>
  <si>
    <t>Norbury</t>
  </si>
  <si>
    <t>StaffordRanton</t>
  </si>
  <si>
    <t>E3436P028</t>
  </si>
  <si>
    <t>Ranton</t>
  </si>
  <si>
    <t>StaffordSalt and Enson</t>
  </si>
  <si>
    <t>E3436P029</t>
  </si>
  <si>
    <t>Salt and Enson</t>
  </si>
  <si>
    <t>StaffordSandon and Burston</t>
  </si>
  <si>
    <t>E3436P030</t>
  </si>
  <si>
    <t>Sandon and Burston</t>
  </si>
  <si>
    <t>StaffordSeighford</t>
  </si>
  <si>
    <t>E3436P031</t>
  </si>
  <si>
    <t>Seighford</t>
  </si>
  <si>
    <t>StaffordStandon</t>
  </si>
  <si>
    <t>E3436P032</t>
  </si>
  <si>
    <t>StaffordStone Rural</t>
  </si>
  <si>
    <t>E3436P033</t>
  </si>
  <si>
    <t>Stone Rural</t>
  </si>
  <si>
    <t>StaffordStone (Town)</t>
  </si>
  <si>
    <t>E3436P034</t>
  </si>
  <si>
    <t>Stone (Town)</t>
  </si>
  <si>
    <t>StaffordStowe by Chartley</t>
  </si>
  <si>
    <t>E3436P035</t>
  </si>
  <si>
    <t>Stowe by Chartley</t>
  </si>
  <si>
    <t>StaffordSwynnerton</t>
  </si>
  <si>
    <t>E3436P036</t>
  </si>
  <si>
    <t>Swynnerton</t>
  </si>
  <si>
    <t>StaffordTixall</t>
  </si>
  <si>
    <t>E3436P037</t>
  </si>
  <si>
    <t>Tixall</t>
  </si>
  <si>
    <t>StaffordWeston</t>
  </si>
  <si>
    <t>E3436P038</t>
  </si>
  <si>
    <t>StaffordWhitgreave</t>
  </si>
  <si>
    <t>E3436P039</t>
  </si>
  <si>
    <t>Whitgreave</t>
  </si>
  <si>
    <t>StaffordYarnfield and Cold Meece</t>
  </si>
  <si>
    <t>E3436P040</t>
  </si>
  <si>
    <t>Yarnfield and Cold Meece</t>
  </si>
  <si>
    <t>Staffordshire MoorlandsAlstonefield</t>
  </si>
  <si>
    <t>E3437P001</t>
  </si>
  <si>
    <t>Alstonefield</t>
  </si>
  <si>
    <t>Staffordshire MoorlandsAlton</t>
  </si>
  <si>
    <t>E3437P002</t>
  </si>
  <si>
    <t>Staffordshire MoorlandsBagnall</t>
  </si>
  <si>
    <t>E3437P003</t>
  </si>
  <si>
    <t>Bagnall</t>
  </si>
  <si>
    <t>Staffordshire MoorlandsBiddulph</t>
  </si>
  <si>
    <t>E3437P004</t>
  </si>
  <si>
    <t>Biddulph</t>
  </si>
  <si>
    <t>Staffordshire MoorlandsBlore with Swinscoe</t>
  </si>
  <si>
    <t>E3437P005</t>
  </si>
  <si>
    <t>Blore with Swinscoe</t>
  </si>
  <si>
    <t>Staffordshire MoorlandsBradnop</t>
  </si>
  <si>
    <t>E3437P006</t>
  </si>
  <si>
    <t>Bradnop</t>
  </si>
  <si>
    <t>Staffordshire MoorlandsBrown Edge</t>
  </si>
  <si>
    <t>E3437P007</t>
  </si>
  <si>
    <t>Brown Edge</t>
  </si>
  <si>
    <t>Staffordshire MoorlandsButterton</t>
  </si>
  <si>
    <t>E3437P008</t>
  </si>
  <si>
    <t>Butterton</t>
  </si>
  <si>
    <t>Staffordshire MoorlandsCaverswall</t>
  </si>
  <si>
    <t>E3437P009</t>
  </si>
  <si>
    <t>Caverswall</t>
  </si>
  <si>
    <t>Staffordshire MoorlandsCheadle</t>
  </si>
  <si>
    <t>E3437P010</t>
  </si>
  <si>
    <t>Cheadle</t>
  </si>
  <si>
    <t>Staffordshire MoorlandsCheckley</t>
  </si>
  <si>
    <t>E3437P011</t>
  </si>
  <si>
    <t>Checkley</t>
  </si>
  <si>
    <t>Staffordshire MoorlandsCheddleton</t>
  </si>
  <si>
    <t>E3437P012</t>
  </si>
  <si>
    <t>Cheddleton</t>
  </si>
  <si>
    <t>Staffordshire MoorlandsConsall</t>
  </si>
  <si>
    <t>E3437P013</t>
  </si>
  <si>
    <t>Consall</t>
  </si>
  <si>
    <t>Staffordshire MoorlandsCotton</t>
  </si>
  <si>
    <t>E3437P014</t>
  </si>
  <si>
    <t>Cotton</t>
  </si>
  <si>
    <t>Staffordshire MoorlandsDilhorne</t>
  </si>
  <si>
    <t>E3437P015</t>
  </si>
  <si>
    <t>Dilhorne</t>
  </si>
  <si>
    <t>Staffordshire MoorlandsDraycott in the Moors</t>
  </si>
  <si>
    <t>E3437P016</t>
  </si>
  <si>
    <t>Draycott in the Moors</t>
  </si>
  <si>
    <t>Staffordshire MoorlandsEndon and Stanley</t>
  </si>
  <si>
    <t>E3437P017</t>
  </si>
  <si>
    <t>Endon and Stanley</t>
  </si>
  <si>
    <t>Staffordshire MoorlandsFarley</t>
  </si>
  <si>
    <t>E3437P018</t>
  </si>
  <si>
    <t>Farley</t>
  </si>
  <si>
    <t>Staffordshire MoorlandsFawfieldhead</t>
  </si>
  <si>
    <t>E3437P019</t>
  </si>
  <si>
    <t>Fawfieldhead</t>
  </si>
  <si>
    <t>Staffordshire MoorlandsForsbrook</t>
  </si>
  <si>
    <t>E3437P020</t>
  </si>
  <si>
    <t>Forsbrook</t>
  </si>
  <si>
    <t>Staffordshire MoorlandsGrindon</t>
  </si>
  <si>
    <t>E3437P021</t>
  </si>
  <si>
    <t>Grindon</t>
  </si>
  <si>
    <t>Staffordshire MoorlandsHeathylee</t>
  </si>
  <si>
    <t>E3437P022</t>
  </si>
  <si>
    <t>Heathylee</t>
  </si>
  <si>
    <t>Staffordshire MoorlandsHeaton</t>
  </si>
  <si>
    <t>E3437P023</t>
  </si>
  <si>
    <t>Heaton</t>
  </si>
  <si>
    <t>Staffordshire MoorlandsHollinsclough</t>
  </si>
  <si>
    <t>E3437P024</t>
  </si>
  <si>
    <t>Hollinsclough</t>
  </si>
  <si>
    <t>Staffordshire MoorlandsHorton</t>
  </si>
  <si>
    <t>E3437P025</t>
  </si>
  <si>
    <t>Staffordshire MoorlandsIlam</t>
  </si>
  <si>
    <t>E3437P026</t>
  </si>
  <si>
    <t>Ilam</t>
  </si>
  <si>
    <t>Staffordshire MoorlandsIpstones</t>
  </si>
  <si>
    <t>E3437P027</t>
  </si>
  <si>
    <t>Ipstones</t>
  </si>
  <si>
    <t>Staffordshire MoorlandsKingsley</t>
  </si>
  <si>
    <t>E3437P028</t>
  </si>
  <si>
    <t>Staffordshire MoorlandsLeek</t>
  </si>
  <si>
    <t>E3437P029</t>
  </si>
  <si>
    <t>Leek</t>
  </si>
  <si>
    <t>Staffordshire MoorlandsLeekfrith</t>
  </si>
  <si>
    <t>E3437P030</t>
  </si>
  <si>
    <t>Leekfrith</t>
  </si>
  <si>
    <t>Staffordshire MoorlandsLongnor</t>
  </si>
  <si>
    <t>E3437P031</t>
  </si>
  <si>
    <t>Longnor</t>
  </si>
  <si>
    <t>Staffordshire MoorlandsLongsdon</t>
  </si>
  <si>
    <t>E3437P032</t>
  </si>
  <si>
    <t>Longsdon</t>
  </si>
  <si>
    <t>Staffordshire MoorlandsOakamoor</t>
  </si>
  <si>
    <t>E3437P033</t>
  </si>
  <si>
    <t>Oakamoor</t>
  </si>
  <si>
    <t>Staffordshire MoorlandsOnecote</t>
  </si>
  <si>
    <t>E3437P034</t>
  </si>
  <si>
    <t>Onecote</t>
  </si>
  <si>
    <t>Staffordshire MoorlandsQuarnford</t>
  </si>
  <si>
    <t>E3437P035</t>
  </si>
  <si>
    <t>Quarnford</t>
  </si>
  <si>
    <t>Staffordshire MoorlandsRushton</t>
  </si>
  <si>
    <t>E3437P036</t>
  </si>
  <si>
    <t>Staffordshire MoorlandsSheen</t>
  </si>
  <si>
    <t>E3437P037</t>
  </si>
  <si>
    <t>Sheen</t>
  </si>
  <si>
    <t>Staffordshire MoorlandsTittesworth</t>
  </si>
  <si>
    <t>E3437P038</t>
  </si>
  <si>
    <t>Tittesworth</t>
  </si>
  <si>
    <t>Staffordshire MoorlandsWarslow and Elkstones</t>
  </si>
  <si>
    <t>E3437P039</t>
  </si>
  <si>
    <t>Warslow and Elkstones</t>
  </si>
  <si>
    <t>Staffordshire MoorlandsWaterhouses</t>
  </si>
  <si>
    <t>E3437P040</t>
  </si>
  <si>
    <t>Waterhouses</t>
  </si>
  <si>
    <t>Staffordshire MoorlandsWerrington</t>
  </si>
  <si>
    <t>E3437P041</t>
  </si>
  <si>
    <t>Staffordshire MoorlandsWetton</t>
  </si>
  <si>
    <t>E3437P042</t>
  </si>
  <si>
    <t>Wetton</t>
  </si>
  <si>
    <t>Staffordshire MoorlandsWhiston</t>
  </si>
  <si>
    <t>E3437P043</t>
  </si>
  <si>
    <t>Whiston</t>
  </si>
  <si>
    <t>BaberghActon</t>
  </si>
  <si>
    <t>E3531P001</t>
  </si>
  <si>
    <t>Acton</t>
  </si>
  <si>
    <t>BaberghAldham</t>
  </si>
  <si>
    <t>E3531P002</t>
  </si>
  <si>
    <t>BaberghAlpheton</t>
  </si>
  <si>
    <t>E3531P003</t>
  </si>
  <si>
    <t>Alpheton</t>
  </si>
  <si>
    <t>BaberghArwarton</t>
  </si>
  <si>
    <t>E3531P004</t>
  </si>
  <si>
    <t>Arwarton</t>
  </si>
  <si>
    <t>BaberghAssington</t>
  </si>
  <si>
    <t>E3531P005</t>
  </si>
  <si>
    <t>Assington</t>
  </si>
  <si>
    <t>BaberghBelstead</t>
  </si>
  <si>
    <t>E3531P006</t>
  </si>
  <si>
    <t>Belstead</t>
  </si>
  <si>
    <t>BaberghBentley</t>
  </si>
  <si>
    <t>E3531P007</t>
  </si>
  <si>
    <t>BaberghBildeston</t>
  </si>
  <si>
    <t>E3531P008</t>
  </si>
  <si>
    <t>Bildeston</t>
  </si>
  <si>
    <t>BaberghBoxford</t>
  </si>
  <si>
    <t>E3531P009</t>
  </si>
  <si>
    <t>BaberghBoxted</t>
  </si>
  <si>
    <t>E3531P010</t>
  </si>
  <si>
    <t>BaberghBrantham</t>
  </si>
  <si>
    <t>E3531P011</t>
  </si>
  <si>
    <t>Brantham</t>
  </si>
  <si>
    <t>BaberghBrent Eleigh</t>
  </si>
  <si>
    <t>E3531P012</t>
  </si>
  <si>
    <t>Brent Eleigh</t>
  </si>
  <si>
    <t>BaberghBrettenham</t>
  </si>
  <si>
    <t>E3531P013</t>
  </si>
  <si>
    <t>BaberghBures St. Mary</t>
  </si>
  <si>
    <t>E3531P014</t>
  </si>
  <si>
    <t>Bures St. Mary</t>
  </si>
  <si>
    <t>BaberghBurstall</t>
  </si>
  <si>
    <t>E3531P015</t>
  </si>
  <si>
    <t>Burstall</t>
  </si>
  <si>
    <t>BaberghCapel St. Mary</t>
  </si>
  <si>
    <t>E3531P016</t>
  </si>
  <si>
    <t>Capel St. Mary</t>
  </si>
  <si>
    <t>BaberghChattisham (grouped with Hintlesham)</t>
  </si>
  <si>
    <t>E3531P017</t>
  </si>
  <si>
    <t>Chattisham (grouped with Hintlesham)</t>
  </si>
  <si>
    <t>BaberghChelmondiston</t>
  </si>
  <si>
    <t>E3531P018</t>
  </si>
  <si>
    <t>Chelmondiston</t>
  </si>
  <si>
    <t>BaberghChelsworth</t>
  </si>
  <si>
    <t>E3531P019</t>
  </si>
  <si>
    <t>Chelsworth</t>
  </si>
  <si>
    <t>BaberghChilton</t>
  </si>
  <si>
    <t>E3531P020</t>
  </si>
  <si>
    <t>BaberghCockfield</t>
  </si>
  <si>
    <t>E3531P021</t>
  </si>
  <si>
    <t>BaberghCopdock and Washbrook</t>
  </si>
  <si>
    <t>E3531P022</t>
  </si>
  <si>
    <t>Copdock and Washbrook</t>
  </si>
  <si>
    <t>BaberghEast Bergholt</t>
  </si>
  <si>
    <t>E3531P023</t>
  </si>
  <si>
    <t>East Bergholt</t>
  </si>
  <si>
    <t>BaberghEdwardstone</t>
  </si>
  <si>
    <t>E3531P024</t>
  </si>
  <si>
    <t>Edwardstone</t>
  </si>
  <si>
    <t>BaberghElmsett</t>
  </si>
  <si>
    <t>E3531P025</t>
  </si>
  <si>
    <t>Elmsett</t>
  </si>
  <si>
    <t>BaberghFreston</t>
  </si>
  <si>
    <t>E3531P026</t>
  </si>
  <si>
    <t>Freston</t>
  </si>
  <si>
    <t>BaberghGlemsford</t>
  </si>
  <si>
    <t>E3531P027</t>
  </si>
  <si>
    <t>Glemsford</t>
  </si>
  <si>
    <t>BaberghGreat Cornard</t>
  </si>
  <si>
    <t>E3531P028</t>
  </si>
  <si>
    <t>Great Cornard</t>
  </si>
  <si>
    <t>BaberghGreat Waldingfield</t>
  </si>
  <si>
    <t>E3531P029</t>
  </si>
  <si>
    <t>Great Waldingfield</t>
  </si>
  <si>
    <t>BaberghGroton</t>
  </si>
  <si>
    <t>E3531P030</t>
  </si>
  <si>
    <t>Groton</t>
  </si>
  <si>
    <t>BaberghHadleigh</t>
  </si>
  <si>
    <t>E3531P031</t>
  </si>
  <si>
    <t>Hadleigh</t>
  </si>
  <si>
    <t>BaberghHarkstead</t>
  </si>
  <si>
    <t>E3531P032</t>
  </si>
  <si>
    <t>Harkstead</t>
  </si>
  <si>
    <t>BaberghHartest</t>
  </si>
  <si>
    <t>E3531P033</t>
  </si>
  <si>
    <t>Hartest</t>
  </si>
  <si>
    <t>BaberghHigham</t>
  </si>
  <si>
    <t>E3531P034</t>
  </si>
  <si>
    <t>BaberghHintlesham (grouped with Chattisham)</t>
  </si>
  <si>
    <t>E3531P035</t>
  </si>
  <si>
    <t>Hintlesham (grouped with Chattisham)</t>
  </si>
  <si>
    <t>BaberghHitcham</t>
  </si>
  <si>
    <t>E3531P036</t>
  </si>
  <si>
    <t>Hitcham</t>
  </si>
  <si>
    <t>BaberghHolbrook</t>
  </si>
  <si>
    <t>E3531P037</t>
  </si>
  <si>
    <t>BaberghHolton St. Mary</t>
  </si>
  <si>
    <t>E3531P038</t>
  </si>
  <si>
    <t>Holton St. Mary</t>
  </si>
  <si>
    <t>BaberghKersey</t>
  </si>
  <si>
    <t>E3531P039</t>
  </si>
  <si>
    <t>Kersey</t>
  </si>
  <si>
    <t>BaberghKettlebaston</t>
  </si>
  <si>
    <t>E3531P040</t>
  </si>
  <si>
    <t>Kettlebaston</t>
  </si>
  <si>
    <t>BaberghLavenham</t>
  </si>
  <si>
    <t>E3531P041</t>
  </si>
  <si>
    <t>Lavenham</t>
  </si>
  <si>
    <t>BaberghLawshall</t>
  </si>
  <si>
    <t>E3531P042</t>
  </si>
  <si>
    <t>Lawshall</t>
  </si>
  <si>
    <t>BaberghLayham</t>
  </si>
  <si>
    <t>E3531P043</t>
  </si>
  <si>
    <t>Layham</t>
  </si>
  <si>
    <t>BaberghLeavenheath</t>
  </si>
  <si>
    <t>E3531P044</t>
  </si>
  <si>
    <t>Leavenheath</t>
  </si>
  <si>
    <t>BaberghLindsey</t>
  </si>
  <si>
    <t>E3531P045</t>
  </si>
  <si>
    <t>Lindsey</t>
  </si>
  <si>
    <t>BaberghLittle Cornard</t>
  </si>
  <si>
    <t>E3531P046</t>
  </si>
  <si>
    <t>Little Cornard</t>
  </si>
  <si>
    <t>BaberghLittle Waldingfield</t>
  </si>
  <si>
    <t>E3531P047</t>
  </si>
  <si>
    <t>Little Waldingfield</t>
  </si>
  <si>
    <t>BaberghLong Melford</t>
  </si>
  <si>
    <t>E3531P048</t>
  </si>
  <si>
    <t>Long Melford</t>
  </si>
  <si>
    <t>BaberghMilden</t>
  </si>
  <si>
    <t>E3531P049</t>
  </si>
  <si>
    <t>Milden</t>
  </si>
  <si>
    <t>BaberghMonks Eleigh</t>
  </si>
  <si>
    <t>E3531P050</t>
  </si>
  <si>
    <t>Monks Eleigh</t>
  </si>
  <si>
    <t>BaberghNayland with Wissington</t>
  </si>
  <si>
    <t>E3531P051</t>
  </si>
  <si>
    <t>Nayland with Wissington</t>
  </si>
  <si>
    <t>BaberghNedging with Naughton</t>
  </si>
  <si>
    <t>E3531P052</t>
  </si>
  <si>
    <t>Nedging with Naughton</t>
  </si>
  <si>
    <t>BaberghNewton</t>
  </si>
  <si>
    <t>E3531P053</t>
  </si>
  <si>
    <t>BaberghPinewood</t>
  </si>
  <si>
    <t>E3531P054</t>
  </si>
  <si>
    <t>Pinewood</t>
  </si>
  <si>
    <t>BaberghPolstead</t>
  </si>
  <si>
    <t>E3531P055</t>
  </si>
  <si>
    <t>Polstead</t>
  </si>
  <si>
    <t>BaberghPreston St. Mary</t>
  </si>
  <si>
    <t>E3531P056</t>
  </si>
  <si>
    <t>Preston St. Mary</t>
  </si>
  <si>
    <t>BaberghRaydon</t>
  </si>
  <si>
    <t>E3531P057</t>
  </si>
  <si>
    <t>Raydon</t>
  </si>
  <si>
    <t>BaberghSemer</t>
  </si>
  <si>
    <t>E3531P058</t>
  </si>
  <si>
    <t>Semer</t>
  </si>
  <si>
    <t>BaberghShelley</t>
  </si>
  <si>
    <t>E3531P059</t>
  </si>
  <si>
    <t>Shelley</t>
  </si>
  <si>
    <t>BaberghShimpling</t>
  </si>
  <si>
    <t>E3531P060</t>
  </si>
  <si>
    <t>Shimpling</t>
  </si>
  <si>
    <t>BaberghShotley</t>
  </si>
  <si>
    <t>E3531P061</t>
  </si>
  <si>
    <t>Shotley</t>
  </si>
  <si>
    <t>BaberghSomerton</t>
  </si>
  <si>
    <t>E3531P062</t>
  </si>
  <si>
    <t>BaberghSproughton</t>
  </si>
  <si>
    <t>E3531P063</t>
  </si>
  <si>
    <t>Sproughton</t>
  </si>
  <si>
    <t>BaberghStanstead</t>
  </si>
  <si>
    <t>E3531P064</t>
  </si>
  <si>
    <t>Stanstead</t>
  </si>
  <si>
    <t>BaberghStoke by Nayland</t>
  </si>
  <si>
    <t>E3531P065</t>
  </si>
  <si>
    <t>Stoke by Nayland</t>
  </si>
  <si>
    <t>BaberghStratford St. Mary</t>
  </si>
  <si>
    <t>E3531P066</t>
  </si>
  <si>
    <t>Stratford St. Mary</t>
  </si>
  <si>
    <t>BaberghStutton</t>
  </si>
  <si>
    <t>E3531P067</t>
  </si>
  <si>
    <t>Stutton</t>
  </si>
  <si>
    <t>BaberghSudbury</t>
  </si>
  <si>
    <t>E3531P068</t>
  </si>
  <si>
    <t>BaberghTattingstone</t>
  </si>
  <si>
    <t>E3531P069</t>
  </si>
  <si>
    <t>Tattingstone</t>
  </si>
  <si>
    <t>BaberghThorpe Morieux</t>
  </si>
  <si>
    <t>E3531P070</t>
  </si>
  <si>
    <t>Thorpe Morieux</t>
  </si>
  <si>
    <t>BaberghWattisham</t>
  </si>
  <si>
    <t>E3531P071</t>
  </si>
  <si>
    <t>Wattisham</t>
  </si>
  <si>
    <t>BaberghWenham Magna</t>
  </si>
  <si>
    <t>E3531P072</t>
  </si>
  <si>
    <t>Wenham Magna</t>
  </si>
  <si>
    <t>BaberghWenham Parva</t>
  </si>
  <si>
    <t>E3531P073</t>
  </si>
  <si>
    <t>Wenham Parva</t>
  </si>
  <si>
    <t>BaberghWhatfield</t>
  </si>
  <si>
    <t>E3531P074</t>
  </si>
  <si>
    <t>Whatfield</t>
  </si>
  <si>
    <t>BaberghWherstead</t>
  </si>
  <si>
    <t>E3531P075</t>
  </si>
  <si>
    <t>Wherstead</t>
  </si>
  <si>
    <t>BaberghWoolverstone</t>
  </si>
  <si>
    <t>E3531P076</t>
  </si>
  <si>
    <t>Woolverstone</t>
  </si>
  <si>
    <t>Mid SuffolkAkenham</t>
  </si>
  <si>
    <t>E3534P001</t>
  </si>
  <si>
    <t>Akenham</t>
  </si>
  <si>
    <t>Mid SuffolkAshbocking</t>
  </si>
  <si>
    <t>E3534P002</t>
  </si>
  <si>
    <t>Ashbocking</t>
  </si>
  <si>
    <t>Mid SuffolkAshfield cum Thorpe</t>
  </si>
  <si>
    <t>E3534P003</t>
  </si>
  <si>
    <t>Ashfield cum Thorpe</t>
  </si>
  <si>
    <t>Mid SuffolkAspall</t>
  </si>
  <si>
    <t>E3534P004</t>
  </si>
  <si>
    <t>Aspall</t>
  </si>
  <si>
    <t>Mid SuffolkAthelington</t>
  </si>
  <si>
    <t>E3534P005</t>
  </si>
  <si>
    <t>Athelington</t>
  </si>
  <si>
    <t>Mid SuffolkBacton</t>
  </si>
  <si>
    <t>E3534P006</t>
  </si>
  <si>
    <t>Mid SuffolkBadley</t>
  </si>
  <si>
    <t>E3534P007</t>
  </si>
  <si>
    <t>Badley</t>
  </si>
  <si>
    <t>Mid SuffolkBadwell Ash</t>
  </si>
  <si>
    <t>E3534P008</t>
  </si>
  <si>
    <t>Badwell Ash</t>
  </si>
  <si>
    <t>Mid SuffolkBarham</t>
  </si>
  <si>
    <t>E3534P009</t>
  </si>
  <si>
    <t>Mid SuffolkBarking</t>
  </si>
  <si>
    <t>E3534P010</t>
  </si>
  <si>
    <t>Barking</t>
  </si>
  <si>
    <t>Mid SuffolkBattisford</t>
  </si>
  <si>
    <t>E3534P011</t>
  </si>
  <si>
    <t>Battisford</t>
  </si>
  <si>
    <t>Mid SuffolkBaylham</t>
  </si>
  <si>
    <t>E3534P012</t>
  </si>
  <si>
    <t>Baylham</t>
  </si>
  <si>
    <t>Mid SuffolkBedfield</t>
  </si>
  <si>
    <t>E3534P013</t>
  </si>
  <si>
    <t>Bedfield</t>
  </si>
  <si>
    <t>Mid SuffolkBedingfield</t>
  </si>
  <si>
    <t>E3534P014</t>
  </si>
  <si>
    <t>Bedingfield</t>
  </si>
  <si>
    <t>Mid SuffolkBeyton</t>
  </si>
  <si>
    <t>E3534P015</t>
  </si>
  <si>
    <t>Beyton</t>
  </si>
  <si>
    <t>Mid SuffolkBotesdale</t>
  </si>
  <si>
    <t>E3534P016</t>
  </si>
  <si>
    <t>Botesdale</t>
  </si>
  <si>
    <t>Mid SuffolkBraiseworth</t>
  </si>
  <si>
    <t>E3534P017</t>
  </si>
  <si>
    <t>Braiseworth</t>
  </si>
  <si>
    <t>Mid SuffolkBramford</t>
  </si>
  <si>
    <t>E3534P018</t>
  </si>
  <si>
    <t>Bramford</t>
  </si>
  <si>
    <t>Mid SuffolkBrome and Oakley</t>
  </si>
  <si>
    <t>E3534P019</t>
  </si>
  <si>
    <t>Brome and Oakley</t>
  </si>
  <si>
    <t>Mid SuffolkBrundish</t>
  </si>
  <si>
    <t>E3534P020</t>
  </si>
  <si>
    <t>Brundish</t>
  </si>
  <si>
    <t>Mid SuffolkBurgate</t>
  </si>
  <si>
    <t>E3534P021</t>
  </si>
  <si>
    <t>Burgate</t>
  </si>
  <si>
    <t>Mid SuffolkBuxhall</t>
  </si>
  <si>
    <t>E3534P022</t>
  </si>
  <si>
    <t>Buxhall</t>
  </si>
  <si>
    <t>Mid SuffolkClaydon</t>
  </si>
  <si>
    <t>E3534P023</t>
  </si>
  <si>
    <t>Claydon</t>
  </si>
  <si>
    <t>Mid SuffolkCoddenham</t>
  </si>
  <si>
    <t>E3534P024</t>
  </si>
  <si>
    <t>Coddenham</t>
  </si>
  <si>
    <t>Mid SuffolkCombs</t>
  </si>
  <si>
    <t>E3534P025</t>
  </si>
  <si>
    <t>Combs</t>
  </si>
  <si>
    <t>Mid SuffolkCotton</t>
  </si>
  <si>
    <t>E3534P026</t>
  </si>
  <si>
    <t>Mid SuffolkCreeting St. Mary</t>
  </si>
  <si>
    <t>E3534P027</t>
  </si>
  <si>
    <t>Creeting St. Mary</t>
  </si>
  <si>
    <t>Mid SuffolkCreeting St. Peter or West Creeting</t>
  </si>
  <si>
    <t>E3534P028</t>
  </si>
  <si>
    <t>Creeting St. Peter or West Creeting</t>
  </si>
  <si>
    <t>Mid SuffolkCrowfield</t>
  </si>
  <si>
    <t>E3534P029</t>
  </si>
  <si>
    <t>Crowfield</t>
  </si>
  <si>
    <t>Mid SuffolkDebenham</t>
  </si>
  <si>
    <t>E3534P030</t>
  </si>
  <si>
    <t>Debenham</t>
  </si>
  <si>
    <t>Mid SuffolkDenham</t>
  </si>
  <si>
    <t>E3534P031</t>
  </si>
  <si>
    <t>Mid SuffolkDrinkstone</t>
  </si>
  <si>
    <t>E3534P032</t>
  </si>
  <si>
    <t>Drinkstone</t>
  </si>
  <si>
    <t>Mid SuffolkElmswell</t>
  </si>
  <si>
    <t>E3534P033</t>
  </si>
  <si>
    <t>Elmswell</t>
  </si>
  <si>
    <t>Mid SuffolkEye</t>
  </si>
  <si>
    <t>E3534P034</t>
  </si>
  <si>
    <t>Mid SuffolkFelsham</t>
  </si>
  <si>
    <t>E3534P035</t>
  </si>
  <si>
    <t>Felsham</t>
  </si>
  <si>
    <t>Mid SuffolkFinningham</t>
  </si>
  <si>
    <t>E3534P036</t>
  </si>
  <si>
    <t>Finningham</t>
  </si>
  <si>
    <t>Mid SuffolkFlowton</t>
  </si>
  <si>
    <t>E3534P037</t>
  </si>
  <si>
    <t>Flowton</t>
  </si>
  <si>
    <t>Mid SuffolkFramsden</t>
  </si>
  <si>
    <t>E3534P038</t>
  </si>
  <si>
    <t>Framsden</t>
  </si>
  <si>
    <t>Mid SuffolkFressingfield</t>
  </si>
  <si>
    <t>E3534P039</t>
  </si>
  <si>
    <t>Fressingfield</t>
  </si>
  <si>
    <t>Mid SuffolkGedding</t>
  </si>
  <si>
    <t>E3534P040</t>
  </si>
  <si>
    <t>Gedding</t>
  </si>
  <si>
    <t>Mid SuffolkGipping</t>
  </si>
  <si>
    <t>E3534P041</t>
  </si>
  <si>
    <t>Gipping</t>
  </si>
  <si>
    <t>Mid SuffolkGislingham</t>
  </si>
  <si>
    <t>E3534P042</t>
  </si>
  <si>
    <t>Gislingham</t>
  </si>
  <si>
    <t>Mid SuffolkGosbeck</t>
  </si>
  <si>
    <t>E3534P043</t>
  </si>
  <si>
    <t>Gosbeck</t>
  </si>
  <si>
    <t>Mid SuffolkGreat Ashfield</t>
  </si>
  <si>
    <t>E3534P044</t>
  </si>
  <si>
    <t>Great Ashfield</t>
  </si>
  <si>
    <t>Mid SuffolkGreat Blakenham</t>
  </si>
  <si>
    <t>E3534P045</t>
  </si>
  <si>
    <t>Great Blakenham</t>
  </si>
  <si>
    <t>Mid SuffolkGreat Bricett</t>
  </si>
  <si>
    <t>E3534P046</t>
  </si>
  <si>
    <t>Great Bricett</t>
  </si>
  <si>
    <t>Mid SuffolkGreat Finborough</t>
  </si>
  <si>
    <t>E3534P047</t>
  </si>
  <si>
    <t>Great Finborough</t>
  </si>
  <si>
    <t>Mid SuffolkHarleston</t>
  </si>
  <si>
    <t>E3534P048</t>
  </si>
  <si>
    <t>Harleston</t>
  </si>
  <si>
    <t>Mid SuffolkHaughley</t>
  </si>
  <si>
    <t>E3534P049</t>
  </si>
  <si>
    <t>Haughley</t>
  </si>
  <si>
    <t>Mid SuffolkHelmingham</t>
  </si>
  <si>
    <t>E3534P050</t>
  </si>
  <si>
    <t>Helmingham</t>
  </si>
  <si>
    <t>Mid SuffolkHemingstone</t>
  </si>
  <si>
    <t>E3534P051</t>
  </si>
  <si>
    <t>Hemingstone</t>
  </si>
  <si>
    <t>Mid SuffolkHenley</t>
  </si>
  <si>
    <t>E3534P052</t>
  </si>
  <si>
    <t>Henley</t>
  </si>
  <si>
    <t>Mid SuffolkHessett</t>
  </si>
  <si>
    <t>E3534P053</t>
  </si>
  <si>
    <t>Hessett</t>
  </si>
  <si>
    <t>Mid SuffolkHinderclay</t>
  </si>
  <si>
    <t>E3534P054</t>
  </si>
  <si>
    <t>Hinderclay</t>
  </si>
  <si>
    <t>Mid SuffolkHorham</t>
  </si>
  <si>
    <t>E3534P055</t>
  </si>
  <si>
    <t>Horham</t>
  </si>
  <si>
    <t>Mid SuffolkHoxne</t>
  </si>
  <si>
    <t>E3534P056</t>
  </si>
  <si>
    <t>Hoxne</t>
  </si>
  <si>
    <t>Mid SuffolkHunston</t>
  </si>
  <si>
    <t>E3534P057</t>
  </si>
  <si>
    <t>Hunston</t>
  </si>
  <si>
    <t>Mid SuffolkKenton</t>
  </si>
  <si>
    <t>E3534P058</t>
  </si>
  <si>
    <t>Mid SuffolkLangham</t>
  </si>
  <si>
    <t>E3534P059</t>
  </si>
  <si>
    <t>Mid SuffolkLaxfield</t>
  </si>
  <si>
    <t>E3534P060</t>
  </si>
  <si>
    <t>Laxfield</t>
  </si>
  <si>
    <t>Mid SuffolkLittle Blakenham</t>
  </si>
  <si>
    <t>E3534P061</t>
  </si>
  <si>
    <t>Little Blakenham</t>
  </si>
  <si>
    <t>Mid SuffolkLittle Finborough</t>
  </si>
  <si>
    <t>E3534P062</t>
  </si>
  <si>
    <t>Little Finborough</t>
  </si>
  <si>
    <t>Mid SuffolkMellis</t>
  </si>
  <si>
    <t>E3534P063</t>
  </si>
  <si>
    <t>Mellis</t>
  </si>
  <si>
    <t>Mid SuffolkMendham</t>
  </si>
  <si>
    <t>E3534P064</t>
  </si>
  <si>
    <t>Mendham</t>
  </si>
  <si>
    <t>Mid SuffolkMendlesham</t>
  </si>
  <si>
    <t>E3534P065</t>
  </si>
  <si>
    <t>Mendlesham</t>
  </si>
  <si>
    <t>Mid SuffolkMetfield</t>
  </si>
  <si>
    <t>E3534P066</t>
  </si>
  <si>
    <t>Metfield</t>
  </si>
  <si>
    <t>Mid SuffolkMickfield</t>
  </si>
  <si>
    <t>E3534P067</t>
  </si>
  <si>
    <t>Mickfield</t>
  </si>
  <si>
    <t>Mid SuffolkMonk Soham</t>
  </si>
  <si>
    <t>E3534P068</t>
  </si>
  <si>
    <t>Monk Soham</t>
  </si>
  <si>
    <t>Mid SuffolkNeedham Market</t>
  </si>
  <si>
    <t>E3534P069</t>
  </si>
  <si>
    <t>Needham Market</t>
  </si>
  <si>
    <t>Mid SuffolkNettlestead</t>
  </si>
  <si>
    <t>E3534P070</t>
  </si>
  <si>
    <t>Mid SuffolkNorton</t>
  </si>
  <si>
    <t>E3534P071</t>
  </si>
  <si>
    <t>Mid SuffolkOccold</t>
  </si>
  <si>
    <t>E3534P072</t>
  </si>
  <si>
    <t>Occold</t>
  </si>
  <si>
    <t>Mid SuffolkOffton</t>
  </si>
  <si>
    <t>E3534P073</t>
  </si>
  <si>
    <t>Offton</t>
  </si>
  <si>
    <t>Mid SuffolkOld Newton with Dagworth</t>
  </si>
  <si>
    <t>E3534P074</t>
  </si>
  <si>
    <t>Old Newton with Dagworth</t>
  </si>
  <si>
    <t>Mid SuffolkOnehouse</t>
  </si>
  <si>
    <t>E3534P075</t>
  </si>
  <si>
    <t>Onehouse</t>
  </si>
  <si>
    <t>Mid SuffolkPalgrave</t>
  </si>
  <si>
    <t>E3534P076</t>
  </si>
  <si>
    <t>Palgrave</t>
  </si>
  <si>
    <t>Mid SuffolkPettaugh</t>
  </si>
  <si>
    <t>E3534P077</t>
  </si>
  <si>
    <t>Pettaugh</t>
  </si>
  <si>
    <t>Mid SuffolkRattlesden</t>
  </si>
  <si>
    <t>E3534P078</t>
  </si>
  <si>
    <t>Rattlesden</t>
  </si>
  <si>
    <t>Mid SuffolkRedgrave</t>
  </si>
  <si>
    <t>E3534P079</t>
  </si>
  <si>
    <t>Redgrave</t>
  </si>
  <si>
    <t>Mid SuffolkRedlingfield</t>
  </si>
  <si>
    <t>E3534P080</t>
  </si>
  <si>
    <t>Redlingfield</t>
  </si>
  <si>
    <t>Mid SuffolkRickinghall Inferior</t>
  </si>
  <si>
    <t>E3534P081</t>
  </si>
  <si>
    <t>Rickinghall Inferior</t>
  </si>
  <si>
    <t>Mid SuffolkRickinghall Superior</t>
  </si>
  <si>
    <t>E3534P082</t>
  </si>
  <si>
    <t>Rickinghall Superior</t>
  </si>
  <si>
    <t>Mid SuffolkRingshall</t>
  </si>
  <si>
    <t>E3534P083</t>
  </si>
  <si>
    <t>Ringshall</t>
  </si>
  <si>
    <t>Mid SuffolkRishangles</t>
  </si>
  <si>
    <t>E3534P084</t>
  </si>
  <si>
    <t>Rishangles</t>
  </si>
  <si>
    <t>Mid SuffolkShelland</t>
  </si>
  <si>
    <t>E3534P085</t>
  </si>
  <si>
    <t>Shelland</t>
  </si>
  <si>
    <t>Mid SuffolkSomersham</t>
  </si>
  <si>
    <t>E3534P086</t>
  </si>
  <si>
    <t>Mid SuffolkSoutholt</t>
  </si>
  <si>
    <t>E3534P087</t>
  </si>
  <si>
    <t>Southolt</t>
  </si>
  <si>
    <t>Mid SuffolkStoke Ash</t>
  </si>
  <si>
    <t>E3534P088</t>
  </si>
  <si>
    <t>Stoke Ash</t>
  </si>
  <si>
    <t>Mid SuffolkStonham Aspal</t>
  </si>
  <si>
    <t>E3534P089</t>
  </si>
  <si>
    <t>Stonham Aspal</t>
  </si>
  <si>
    <t>Mid SuffolkStonham Earl</t>
  </si>
  <si>
    <t>E3534P090</t>
  </si>
  <si>
    <t>Stonham Earl</t>
  </si>
  <si>
    <t>Mid SuffolkStonham Parva</t>
  </si>
  <si>
    <t>E3534P091</t>
  </si>
  <si>
    <t>Stonham Parva</t>
  </si>
  <si>
    <t>Mid SuffolkStowlangtoft</t>
  </si>
  <si>
    <t>E3534P092</t>
  </si>
  <si>
    <t>Stowlangtoft</t>
  </si>
  <si>
    <t>Mid SuffolkStowmarket</t>
  </si>
  <si>
    <t>E3534P093</t>
  </si>
  <si>
    <t>Stowmarket</t>
  </si>
  <si>
    <t>Mid SuffolkStowupland</t>
  </si>
  <si>
    <t>E3534P094</t>
  </si>
  <si>
    <t>Stowupland</t>
  </si>
  <si>
    <t>Mid SuffolkStradbroke</t>
  </si>
  <si>
    <t>E3534P095</t>
  </si>
  <si>
    <t>Stradbroke</t>
  </si>
  <si>
    <t>Mid SuffolkStuston</t>
  </si>
  <si>
    <t>E3534P096</t>
  </si>
  <si>
    <t>Stuston</t>
  </si>
  <si>
    <t>Mid SuffolkSyleham</t>
  </si>
  <si>
    <t>E3534P097</t>
  </si>
  <si>
    <t>Syleham</t>
  </si>
  <si>
    <t>Mid SuffolkTannington</t>
  </si>
  <si>
    <t>E3534P098</t>
  </si>
  <si>
    <t>Tannington</t>
  </si>
  <si>
    <t>Mid SuffolkThorndon</t>
  </si>
  <si>
    <t>E3534P099</t>
  </si>
  <si>
    <t>Thorndon</t>
  </si>
  <si>
    <t>Mid SuffolkThornham Magna</t>
  </si>
  <si>
    <t>E3534P100</t>
  </si>
  <si>
    <t>Thornham Magna</t>
  </si>
  <si>
    <t>Mid SuffolkThornham Parva</t>
  </si>
  <si>
    <t>E3534P101</t>
  </si>
  <si>
    <t>Thornham Parva</t>
  </si>
  <si>
    <t>Mid SuffolkThrandeston</t>
  </si>
  <si>
    <t>E3534P102</t>
  </si>
  <si>
    <t>Thrandeston</t>
  </si>
  <si>
    <t>Mid SuffolkThurston</t>
  </si>
  <si>
    <t>E3534P103</t>
  </si>
  <si>
    <t>Thurston</t>
  </si>
  <si>
    <t>Mid SuffolkThwaite</t>
  </si>
  <si>
    <t>E3534P104</t>
  </si>
  <si>
    <t>Mid SuffolkTostock</t>
  </si>
  <si>
    <t>E3534P105</t>
  </si>
  <si>
    <t>Tostock</t>
  </si>
  <si>
    <t>Mid SuffolkWalsham le Willows</t>
  </si>
  <si>
    <t>E3534P106</t>
  </si>
  <si>
    <t>Walsham le Willows</t>
  </si>
  <si>
    <t>Mid SuffolkWattisfield</t>
  </si>
  <si>
    <t>E3534P107</t>
  </si>
  <si>
    <t>Wattisfield</t>
  </si>
  <si>
    <t>Mid SuffolkWesthorpe</t>
  </si>
  <si>
    <t>E3534P108</t>
  </si>
  <si>
    <t>Westhorpe</t>
  </si>
  <si>
    <t>Mid SuffolkWetherden</t>
  </si>
  <si>
    <t>E3534P109</t>
  </si>
  <si>
    <t>Wetherden</t>
  </si>
  <si>
    <t>Mid SuffolkWetheringsett cum Brockford</t>
  </si>
  <si>
    <t>E3534P110</t>
  </si>
  <si>
    <t>Wetheringsett cum Brockford</t>
  </si>
  <si>
    <t>Mid SuffolkWeybread</t>
  </si>
  <si>
    <t>E3534P111</t>
  </si>
  <si>
    <t>Weybread</t>
  </si>
  <si>
    <t>Mid SuffolkWhitton</t>
  </si>
  <si>
    <t>E3534P112</t>
  </si>
  <si>
    <t>Mid SuffolkWickham Skeith</t>
  </si>
  <si>
    <t>E3534P113</t>
  </si>
  <si>
    <t>Wickham Skeith</t>
  </si>
  <si>
    <t>Mid SuffolkWilby</t>
  </si>
  <si>
    <t>E3534P114</t>
  </si>
  <si>
    <t>Mid SuffolkWillisham</t>
  </si>
  <si>
    <t>E3534P115</t>
  </si>
  <si>
    <t>Willisham</t>
  </si>
  <si>
    <t>Mid SuffolkWingfield</t>
  </si>
  <si>
    <t>E3534P116</t>
  </si>
  <si>
    <t>Wingfield</t>
  </si>
  <si>
    <t>Mid SuffolkWinston</t>
  </si>
  <si>
    <t>E3534P117</t>
  </si>
  <si>
    <t>Mid SuffolkWoolpit</t>
  </si>
  <si>
    <t>E3534P118</t>
  </si>
  <si>
    <t>Woolpit</t>
  </si>
  <si>
    <t>Mid SuffolkWorlingworth</t>
  </si>
  <si>
    <t>E3534P119</t>
  </si>
  <si>
    <t>Worlingworth</t>
  </si>
  <si>
    <t>Mid SuffolkWortham</t>
  </si>
  <si>
    <t>E3534P120</t>
  </si>
  <si>
    <t>Wortham</t>
  </si>
  <si>
    <t>Mid SuffolkWyverstone</t>
  </si>
  <si>
    <t>E3534P121</t>
  </si>
  <si>
    <t>Wyverstone</t>
  </si>
  <si>
    <t>Mid SuffolkYaxley</t>
  </si>
  <si>
    <t>E3534P122</t>
  </si>
  <si>
    <t>Mid SuffolkDamsden</t>
  </si>
  <si>
    <t>E3534P123</t>
  </si>
  <si>
    <t>Damsden</t>
  </si>
  <si>
    <t>East SuffolkSweffling</t>
  </si>
  <si>
    <t>E3538149</t>
  </si>
  <si>
    <t>Sweffling</t>
  </si>
  <si>
    <t>East SuffolkCampsey Ashe</t>
  </si>
  <si>
    <t>E353829</t>
  </si>
  <si>
    <t>Campsey Ashe</t>
  </si>
  <si>
    <t>East SuffolkAldeburgh</t>
  </si>
  <si>
    <t>E3538P001</t>
  </si>
  <si>
    <t>Aldeburgh</t>
  </si>
  <si>
    <t>East SuffolkAlderton</t>
  </si>
  <si>
    <t>E3538P002</t>
  </si>
  <si>
    <t>East SuffolkAldringham cum Thorpe</t>
  </si>
  <si>
    <t>E3538P003</t>
  </si>
  <si>
    <t>Aldringham cum Thorpe</t>
  </si>
  <si>
    <t>East SuffolkAll Saints and St. Nicholas South Elmham (Group: All Saints and St. Nicholas St. Michael St Peter)</t>
  </si>
  <si>
    <t>E3538P004</t>
  </si>
  <si>
    <t>All Saints and St. Nicholas South Elmham (Group: All Saints and St. Nicholas St. Michael St Peter)</t>
  </si>
  <si>
    <t>East SuffolkBadingham</t>
  </si>
  <si>
    <t>E3538P005</t>
  </si>
  <si>
    <t>Badingham</t>
  </si>
  <si>
    <t>East SuffolkBarnby</t>
  </si>
  <si>
    <t>E3538P006</t>
  </si>
  <si>
    <t>Barnby</t>
  </si>
  <si>
    <t>East SuffolkBarsham (Group: Barsham and Shipmeadow)</t>
  </si>
  <si>
    <t>E3538P007</t>
  </si>
  <si>
    <t>Barsham (Group: Barsham and Shipmeadow)</t>
  </si>
  <si>
    <t>East SuffolkBawdsey</t>
  </si>
  <si>
    <t>E3538P008</t>
  </si>
  <si>
    <t>Bawdsey</t>
  </si>
  <si>
    <t>East SuffolkBeccles</t>
  </si>
  <si>
    <t>E3538P009</t>
  </si>
  <si>
    <t>Beccles</t>
  </si>
  <si>
    <t>East SuffolkBenacre</t>
  </si>
  <si>
    <t>E3538P010</t>
  </si>
  <si>
    <t>Benacre</t>
  </si>
  <si>
    <t>East SuffolkBenhall (Benhall and Sternfield)</t>
  </si>
  <si>
    <t>E3538P011</t>
  </si>
  <si>
    <t>Benhall (Benhall and Sternfield)</t>
  </si>
  <si>
    <t>East SuffolkBlaxhall</t>
  </si>
  <si>
    <t>E3538P012</t>
  </si>
  <si>
    <t>Blaxhall</t>
  </si>
  <si>
    <t>East SuffolkBlundeston (Group: Blundeston and Flixton)</t>
  </si>
  <si>
    <t>E3538P013</t>
  </si>
  <si>
    <t>Blundeston (Group: Blundeston and Flixton)</t>
  </si>
  <si>
    <t>East SuffolkBlyford (Group: Blyford and Sotherton)</t>
  </si>
  <si>
    <t>E3538P014</t>
  </si>
  <si>
    <t>Blyford (Group: Blyford and Sotherton)</t>
  </si>
  <si>
    <t>East SuffolkBlythburgh</t>
  </si>
  <si>
    <t>E3538P015</t>
  </si>
  <si>
    <t>Blythburgh</t>
  </si>
  <si>
    <t>East SuffolkBoulge</t>
  </si>
  <si>
    <t>E3538P016</t>
  </si>
  <si>
    <t>Boulge</t>
  </si>
  <si>
    <t>East SuffolkBoyton</t>
  </si>
  <si>
    <t>E3538P017</t>
  </si>
  <si>
    <t>East SuffolkBramfield ( Bramfield and Thorington)</t>
  </si>
  <si>
    <t>E3538P018</t>
  </si>
  <si>
    <t>Bramfield ( Bramfield and Thorington)</t>
  </si>
  <si>
    <t>East SuffolkBrampton with Stoven</t>
  </si>
  <si>
    <t>E3538P019</t>
  </si>
  <si>
    <t>Brampton with Stoven</t>
  </si>
  <si>
    <t>East SuffolkBrandeston</t>
  </si>
  <si>
    <t>E3538P020</t>
  </si>
  <si>
    <t>Brandeston</t>
  </si>
  <si>
    <t>East SuffolkBredfield</t>
  </si>
  <si>
    <t>E3538P021</t>
  </si>
  <si>
    <t>Bredfield</t>
  </si>
  <si>
    <t>East SuffolkBrightwell (Brightwell Foxhall and Purdis Farm)</t>
  </si>
  <si>
    <t>E3538P022</t>
  </si>
  <si>
    <t>Brightwell (Brightwell Foxhall and Purdis Farm)</t>
  </si>
  <si>
    <t>East SuffolkBromeswell</t>
  </si>
  <si>
    <t>E3538P023</t>
  </si>
  <si>
    <t>Bromeswell</t>
  </si>
  <si>
    <t>East SuffolkBruisyard</t>
  </si>
  <si>
    <t>E3538P024</t>
  </si>
  <si>
    <t>Bruisyard</t>
  </si>
  <si>
    <t>East SuffolkBucklesham</t>
  </si>
  <si>
    <t>E3538P025</t>
  </si>
  <si>
    <t>Bucklesham</t>
  </si>
  <si>
    <t>East SuffolkBungay</t>
  </si>
  <si>
    <t>E3538P026</t>
  </si>
  <si>
    <t>Bungay</t>
  </si>
  <si>
    <t>East SuffolkBurgh</t>
  </si>
  <si>
    <t>E3538P027</t>
  </si>
  <si>
    <t>Burgh</t>
  </si>
  <si>
    <t>East SuffolkButley (Butley Capel St Andrew and Wantisden)</t>
  </si>
  <si>
    <t>E3538P028</t>
  </si>
  <si>
    <t>Butley (Butley Capel St Andrew and Wantisden)</t>
  </si>
  <si>
    <t>East SuffolkCapel St. Andrew (Butley Capel St Andrew and Wantisden)</t>
  </si>
  <si>
    <t>E3538P030</t>
  </si>
  <si>
    <t>Capel St. Andrew (Butley Capel St Andrew and Wantisden)</t>
  </si>
  <si>
    <t>East SuffolkCarlton Colville</t>
  </si>
  <si>
    <t>E3538P031</t>
  </si>
  <si>
    <t>Carlton Colville</t>
  </si>
  <si>
    <t>East SuffolkCharsfield</t>
  </si>
  <si>
    <t>E3538P032</t>
  </si>
  <si>
    <t>Charsfield</t>
  </si>
  <si>
    <t>East SuffolkChediston (Chediston Linstead Magna and Linstead Parva)</t>
  </si>
  <si>
    <t>E3538P033</t>
  </si>
  <si>
    <t>Chediston (Chediston Linstead Magna and Linstead Parva)</t>
  </si>
  <si>
    <t>East SuffolkChillesford</t>
  </si>
  <si>
    <t>E3538P034</t>
  </si>
  <si>
    <t>Chillesford</t>
  </si>
  <si>
    <t>East SuffolkClopton</t>
  </si>
  <si>
    <t>E3538P035</t>
  </si>
  <si>
    <t>East SuffolkCookley (Cookley and Walpole)</t>
  </si>
  <si>
    <t>E3538P036</t>
  </si>
  <si>
    <t>Cookley (Cookley and Walpole)</t>
  </si>
  <si>
    <t>East SuffolkCorton</t>
  </si>
  <si>
    <t>E3538P037</t>
  </si>
  <si>
    <t>Corton</t>
  </si>
  <si>
    <t>East SuffolkCovehithe</t>
  </si>
  <si>
    <t>E3538P038</t>
  </si>
  <si>
    <t>Covehithe</t>
  </si>
  <si>
    <t>East SuffolkCransford</t>
  </si>
  <si>
    <t>E3538P039</t>
  </si>
  <si>
    <t>Cransford</t>
  </si>
  <si>
    <t>East SuffolkCratfield</t>
  </si>
  <si>
    <t>E3538P040</t>
  </si>
  <si>
    <t>Cratfield</t>
  </si>
  <si>
    <t>East SuffolkCretingham (Cretingham Hoo and Monewden)</t>
  </si>
  <si>
    <t>E3538P041</t>
  </si>
  <si>
    <t>Cretingham (Cretingham Hoo and Monewden)</t>
  </si>
  <si>
    <t>East SuffolkCulpho (Grundisburgh and Culpho)</t>
  </si>
  <si>
    <t>E3538P042</t>
  </si>
  <si>
    <t>Culpho (Grundisburgh and Culpho)</t>
  </si>
  <si>
    <t>East SuffolkDallinghoo</t>
  </si>
  <si>
    <t>E3538P043</t>
  </si>
  <si>
    <t>Dallinghoo</t>
  </si>
  <si>
    <t>East SuffolkDarsham</t>
  </si>
  <si>
    <t>E3538P044</t>
  </si>
  <si>
    <t>Darsham</t>
  </si>
  <si>
    <t>East SuffolkDebach</t>
  </si>
  <si>
    <t>E3538P045</t>
  </si>
  <si>
    <t>Debach</t>
  </si>
  <si>
    <t>East SuffolkDennington</t>
  </si>
  <si>
    <t>E3538P046</t>
  </si>
  <si>
    <t>Dennington</t>
  </si>
  <si>
    <t>East SuffolkDunwich</t>
  </si>
  <si>
    <t>E3538P047</t>
  </si>
  <si>
    <t>Dunwich</t>
  </si>
  <si>
    <t>East SuffolkEarl Soham</t>
  </si>
  <si>
    <t>E3538P048</t>
  </si>
  <si>
    <t>Earl Soham</t>
  </si>
  <si>
    <t>East SuffolkEaston</t>
  </si>
  <si>
    <t>E3538P049</t>
  </si>
  <si>
    <t>East SuffolkEllough (Group: Shadingfield Sotterley Willingham and Ellough)</t>
  </si>
  <si>
    <t>E3538P050</t>
  </si>
  <si>
    <t>Ellough (Group: Shadingfield Sotterley Willingham and Ellough)</t>
  </si>
  <si>
    <t>East SuffolkEyke</t>
  </si>
  <si>
    <t>E3538P051</t>
  </si>
  <si>
    <t>Eyke</t>
  </si>
  <si>
    <t>East SuffolkFalkenham (Kirton and Falkenham)</t>
  </si>
  <si>
    <t>E3538P052</t>
  </si>
  <si>
    <t>Falkenham (Kirton and Falkenham)</t>
  </si>
  <si>
    <t>East SuffolkFarnham ( Stratford St Andrew and Farnham)</t>
  </si>
  <si>
    <t>E3538P053</t>
  </si>
  <si>
    <t>Farnham ( Stratford St Andrew and Farnham)</t>
  </si>
  <si>
    <t>East SuffolkFelixstowe</t>
  </si>
  <si>
    <t>E3538P054</t>
  </si>
  <si>
    <t>Felixstowe</t>
  </si>
  <si>
    <t>East SuffolkFlixton (Lothingland Ward) (Group: Blundeston and Flixton)</t>
  </si>
  <si>
    <t>E3538P055</t>
  </si>
  <si>
    <t>Flixton (Lothingland Ward) (Group: Blundeston and Flixton)</t>
  </si>
  <si>
    <t>East SuffolkFlixton (The Saints Ward) (Group: Flixton St. Cross and St. Margaret)</t>
  </si>
  <si>
    <t>E3538P056</t>
  </si>
  <si>
    <t>Flixton (The Saints Ward) (Group: Flixton St. Cross and St. Margaret)</t>
  </si>
  <si>
    <t>East SuffolkFoxhall (Brightwell Foxhall and Purdis Farm)</t>
  </si>
  <si>
    <t>E3538P057</t>
  </si>
  <si>
    <t>Foxhall (Brightwell Foxhall and Purdis Farm)</t>
  </si>
  <si>
    <t>East SuffolkFramlingham</t>
  </si>
  <si>
    <t>E3538P058</t>
  </si>
  <si>
    <t>Framlingham</t>
  </si>
  <si>
    <t>East SuffolkFriston</t>
  </si>
  <si>
    <t>E3538P059</t>
  </si>
  <si>
    <t>Friston</t>
  </si>
  <si>
    <t>East SuffolkFrostenden (Group: Frostenden Uggeshall and South Cove)</t>
  </si>
  <si>
    <t>E3538P060</t>
  </si>
  <si>
    <t>Frostenden (Group: Frostenden Uggeshall and South Cove)</t>
  </si>
  <si>
    <t>East SuffolkGedgrave (Orford and Gedgrave)</t>
  </si>
  <si>
    <t>E3538P061</t>
  </si>
  <si>
    <t>Gedgrave (Orford and Gedgrave)</t>
  </si>
  <si>
    <t>East SuffolkGisleham</t>
  </si>
  <si>
    <t>E3538P062</t>
  </si>
  <si>
    <t>Gisleham</t>
  </si>
  <si>
    <t>East SuffolkGreat Bealings</t>
  </si>
  <si>
    <t>E3538P063</t>
  </si>
  <si>
    <t>Great Bealings</t>
  </si>
  <si>
    <t>East SuffolkGreat Glemham</t>
  </si>
  <si>
    <t>E3538P064</t>
  </si>
  <si>
    <t>Great Glemham</t>
  </si>
  <si>
    <t>East SuffolkGrundisburgh (Grundisburgh and Culpho)</t>
  </si>
  <si>
    <t>E3538P065</t>
  </si>
  <si>
    <t>Grundisburgh (Grundisburgh and Culpho)</t>
  </si>
  <si>
    <t>East SuffolkHacheston</t>
  </si>
  <si>
    <t>E3538P066</t>
  </si>
  <si>
    <t>Hacheston</t>
  </si>
  <si>
    <t>East SuffolkHalesworth</t>
  </si>
  <si>
    <t>E3538P067</t>
  </si>
  <si>
    <t>Halesworth</t>
  </si>
  <si>
    <t>East SuffolkHasketon</t>
  </si>
  <si>
    <t>E3538P068</t>
  </si>
  <si>
    <t>Hasketon</t>
  </si>
  <si>
    <t>East SuffolkHemley</t>
  </si>
  <si>
    <t>E3538P069</t>
  </si>
  <si>
    <t>Hemley</t>
  </si>
  <si>
    <t>East SuffolkHenstead with Hulver Street</t>
  </si>
  <si>
    <t>E3538P070</t>
  </si>
  <si>
    <t>Henstead with Hulver Street</t>
  </si>
  <si>
    <t>East SuffolkHeveningham</t>
  </si>
  <si>
    <t>E3538P071</t>
  </si>
  <si>
    <t>Heveningham</t>
  </si>
  <si>
    <t>East SuffolkHollesley</t>
  </si>
  <si>
    <t>E3538P072</t>
  </si>
  <si>
    <t>Hollesley</t>
  </si>
  <si>
    <t>East SuffolkHolton</t>
  </si>
  <si>
    <t>E3538P073</t>
  </si>
  <si>
    <t>East SuffolkHoo(Cretingham Hoo and Monewden)</t>
  </si>
  <si>
    <t>E3538P074</t>
  </si>
  <si>
    <t>Hoo(Cretingham Hoo and Monewden)</t>
  </si>
  <si>
    <t>East SuffolkHuntingfield</t>
  </si>
  <si>
    <t>E3538P075</t>
  </si>
  <si>
    <t>Huntingfield</t>
  </si>
  <si>
    <t>East SuffolkIken</t>
  </si>
  <si>
    <t>E3538P076</t>
  </si>
  <si>
    <t>Iken</t>
  </si>
  <si>
    <t>East SuffolkKelsale cum Carlton</t>
  </si>
  <si>
    <t>E3538P077</t>
  </si>
  <si>
    <t>Kelsale cum Carlton</t>
  </si>
  <si>
    <t>East SuffolkKesgrave</t>
  </si>
  <si>
    <t>E3538P078</t>
  </si>
  <si>
    <t>Kesgrave</t>
  </si>
  <si>
    <t>East SuffolkKessingland</t>
  </si>
  <si>
    <t>E3538P079</t>
  </si>
  <si>
    <t>Kessingland</t>
  </si>
  <si>
    <t>East SuffolkKettleburgh</t>
  </si>
  <si>
    <t>E3538P080</t>
  </si>
  <si>
    <t>Kettleburgh</t>
  </si>
  <si>
    <t>East SuffolkKirton (Kirton and Falkenham)</t>
  </si>
  <si>
    <t>E3538P081</t>
  </si>
  <si>
    <t>Kirton (Kirton and Falkenham)</t>
  </si>
  <si>
    <t>East SuffolkKnodishall</t>
  </si>
  <si>
    <t>E3538P082</t>
  </si>
  <si>
    <t>Knodishall</t>
  </si>
  <si>
    <t>East SuffolkLeiston</t>
  </si>
  <si>
    <t>E3538P083</t>
  </si>
  <si>
    <t>Leiston</t>
  </si>
  <si>
    <t>East SuffolkLetheringham</t>
  </si>
  <si>
    <t>E3538P084</t>
  </si>
  <si>
    <t>Letheringham</t>
  </si>
  <si>
    <t>East SuffolkLevington (Levington and Stratton Hall)</t>
  </si>
  <si>
    <t>E3538P085</t>
  </si>
  <si>
    <t>Levington (Levington and Stratton Hall)</t>
  </si>
  <si>
    <t>East SuffolkLinstead Magna</t>
  </si>
  <si>
    <t>E3538P086</t>
  </si>
  <si>
    <t>Linstead Magna</t>
  </si>
  <si>
    <t>East SuffolkLinstead Parva</t>
  </si>
  <si>
    <t>E3538P087</t>
  </si>
  <si>
    <t>Linstead Parva</t>
  </si>
  <si>
    <t>East SuffolkLittle Bealings</t>
  </si>
  <si>
    <t>E3538P088</t>
  </si>
  <si>
    <t>Little Bealings</t>
  </si>
  <si>
    <t>East SuffolkLittle Glemham</t>
  </si>
  <si>
    <t>E3538P089</t>
  </si>
  <si>
    <t>Little Glemham</t>
  </si>
  <si>
    <t>East SuffolkLound</t>
  </si>
  <si>
    <t>E3538P090</t>
  </si>
  <si>
    <t>East SuffolkLowestoft</t>
  </si>
  <si>
    <t>E3538P091</t>
  </si>
  <si>
    <t>Lowestoft</t>
  </si>
  <si>
    <t>East SuffolkMarlesford</t>
  </si>
  <si>
    <t>E3538P092</t>
  </si>
  <si>
    <t>Marlesford</t>
  </si>
  <si>
    <t>East SuffolkMartlesham</t>
  </si>
  <si>
    <t>E3538P093</t>
  </si>
  <si>
    <t>Martlesham</t>
  </si>
  <si>
    <t>East SuffolkMelton</t>
  </si>
  <si>
    <t>E3538P094</t>
  </si>
  <si>
    <t>East SuffolkMettingham</t>
  </si>
  <si>
    <t>E3538P095</t>
  </si>
  <si>
    <t>Mettingham</t>
  </si>
  <si>
    <t>East SuffolkMiddleton</t>
  </si>
  <si>
    <t>E3538P096</t>
  </si>
  <si>
    <t>East SuffolkMonewden (Cretingham Hoo and Monewden)</t>
  </si>
  <si>
    <t>E3538P097</t>
  </si>
  <si>
    <t>Monewden (Cretingham Hoo and Monewden)</t>
  </si>
  <si>
    <t>East SuffolkMutford</t>
  </si>
  <si>
    <t>E3538P098</t>
  </si>
  <si>
    <t>Mutford</t>
  </si>
  <si>
    <t>East SuffolkNacton</t>
  </si>
  <si>
    <t>E3538P099</t>
  </si>
  <si>
    <t>Nacton</t>
  </si>
  <si>
    <t>East SuffolkNewbourne</t>
  </si>
  <si>
    <t>E3538P100</t>
  </si>
  <si>
    <t>Newbourne</t>
  </si>
  <si>
    <t>East SuffolkNorth Cove</t>
  </si>
  <si>
    <t>E3538P101</t>
  </si>
  <si>
    <t>North Cove</t>
  </si>
  <si>
    <t>East SuffolkOrford (Orford and Gedgrave)</t>
  </si>
  <si>
    <t>E3538P102</t>
  </si>
  <si>
    <t>Orford (Orford and Gedgrave)</t>
  </si>
  <si>
    <t>East SuffolkOtley</t>
  </si>
  <si>
    <t>E3538P103</t>
  </si>
  <si>
    <t>Otley</t>
  </si>
  <si>
    <t>East SuffolkOulton</t>
  </si>
  <si>
    <t>E3538P104</t>
  </si>
  <si>
    <t>East SuffolkOulton Broad</t>
  </si>
  <si>
    <t>E3538P105</t>
  </si>
  <si>
    <t>Oulton Broad</t>
  </si>
  <si>
    <t>East SuffolkParham</t>
  </si>
  <si>
    <t>E3538P106</t>
  </si>
  <si>
    <t>Parham</t>
  </si>
  <si>
    <t>East SuffolkPeasenhall</t>
  </si>
  <si>
    <t>E3538P107</t>
  </si>
  <si>
    <t>Peasenhall</t>
  </si>
  <si>
    <t>East SuffolkPettistree</t>
  </si>
  <si>
    <t>E3538P108</t>
  </si>
  <si>
    <t>Pettistree</t>
  </si>
  <si>
    <t>East SuffolkPlayford</t>
  </si>
  <si>
    <t>E3538P109</t>
  </si>
  <si>
    <t>Playford</t>
  </si>
  <si>
    <t>East SuffolkPurdis Farm (Brightwell Foxhall and Purdis Farm)</t>
  </si>
  <si>
    <t>E3538P110</t>
  </si>
  <si>
    <t>Purdis Farm (Brightwell Foxhall and Purdis Farm)</t>
  </si>
  <si>
    <t>East SuffolkRamsholt</t>
  </si>
  <si>
    <t>E3538P111</t>
  </si>
  <si>
    <t>Ramsholt</t>
  </si>
  <si>
    <t>East SuffolkRedisham</t>
  </si>
  <si>
    <t>E3538P112</t>
  </si>
  <si>
    <t>Redisham</t>
  </si>
  <si>
    <t>East SuffolkRendham</t>
  </si>
  <si>
    <t>E3538P113</t>
  </si>
  <si>
    <t>Rendham</t>
  </si>
  <si>
    <t>East SuffolkRendlesham</t>
  </si>
  <si>
    <t>E3538P114</t>
  </si>
  <si>
    <t>Rendlesham</t>
  </si>
  <si>
    <t>East SuffolkReydon</t>
  </si>
  <si>
    <t>E3538P115</t>
  </si>
  <si>
    <t>Reydon</t>
  </si>
  <si>
    <t>East SuffolkRingsfield (Group: Ringsfield and Weston)</t>
  </si>
  <si>
    <t>E3538P116</t>
  </si>
  <si>
    <t>Ringsfield (Group: Ringsfield and Weston)</t>
  </si>
  <si>
    <t>East SuffolkRumburgh</t>
  </si>
  <si>
    <t>E3538P117</t>
  </si>
  <si>
    <t>Rumburgh</t>
  </si>
  <si>
    <t>East SuffolkRushmere</t>
  </si>
  <si>
    <t>E3538P118</t>
  </si>
  <si>
    <t>Rushmere</t>
  </si>
  <si>
    <t>East SuffolkRushmere St. Andrew</t>
  </si>
  <si>
    <t>E3538P119</t>
  </si>
  <si>
    <t>Rushmere St. Andrew</t>
  </si>
  <si>
    <t>East SuffolkSaxmundham</t>
  </si>
  <si>
    <t>E3538P120</t>
  </si>
  <si>
    <t>Saxmundham</t>
  </si>
  <si>
    <t>East SuffolkSaxtead</t>
  </si>
  <si>
    <t>E3538P121</t>
  </si>
  <si>
    <t>Saxtead</t>
  </si>
  <si>
    <t>East SuffolkShadingfield (Group: Shadingfield Sotterley Willingham and Ellough)</t>
  </si>
  <si>
    <t>E3538P122</t>
  </si>
  <si>
    <t>Shadingfield (Group: Shadingfield Sotterley Willingham and Ellough)</t>
  </si>
  <si>
    <t>East SuffolkShipmeadow (Group: Barsham and Shipmeadow)</t>
  </si>
  <si>
    <t>E3538P123</t>
  </si>
  <si>
    <t>Shipmeadow (Group: Barsham and Shipmeadow)</t>
  </si>
  <si>
    <t>East SuffolkShottisham</t>
  </si>
  <si>
    <t>E3538P124</t>
  </si>
  <si>
    <t>Shottisham</t>
  </si>
  <si>
    <t>East SuffolkSibton</t>
  </si>
  <si>
    <t>E3538P125</t>
  </si>
  <si>
    <t>Sibton</t>
  </si>
  <si>
    <t>East SuffolkSnape</t>
  </si>
  <si>
    <t>E3538P126</t>
  </si>
  <si>
    <t>Snape</t>
  </si>
  <si>
    <t>East SuffolkSomerleyton Ashby and Herringfleet</t>
  </si>
  <si>
    <t>E3538P127</t>
  </si>
  <si>
    <t>Somerleyton Ashby and Herringfleet</t>
  </si>
  <si>
    <t>East SuffolkSotherton (Group: Blyford and Sotherton)</t>
  </si>
  <si>
    <t>E3538P128</t>
  </si>
  <si>
    <t>Sotherton (Group: Blyford and Sotherton)</t>
  </si>
  <si>
    <t>East SuffolkSotterley (Group: Shadingfield Sotterley Willingham and Ellough)</t>
  </si>
  <si>
    <t>E3538P129</t>
  </si>
  <si>
    <t>Sotterley (Group: Shadingfield Sotterley Willingham and Ellough)</t>
  </si>
  <si>
    <t>East SuffolkSouth Cove (Group: Frostenden Uggeshall and South Cove)</t>
  </si>
  <si>
    <t>E3538P130</t>
  </si>
  <si>
    <t>South Cove (Group: Frostenden Uggeshall and South Cove)</t>
  </si>
  <si>
    <t>East SuffolkSouthwold</t>
  </si>
  <si>
    <t>E3538P131</t>
  </si>
  <si>
    <t>Southwold</t>
  </si>
  <si>
    <t>East SuffolkSpexhall</t>
  </si>
  <si>
    <t>E3538P132</t>
  </si>
  <si>
    <t>Spexhall</t>
  </si>
  <si>
    <t>East SuffolkSt. Andrew Ilketshall</t>
  </si>
  <si>
    <t>E3538P133</t>
  </si>
  <si>
    <t>St. Andrew Ilketshall</t>
  </si>
  <si>
    <t>East SuffolkSt. Cross South Elmham (Group: Flixton St. Cross and St. Margaret)</t>
  </si>
  <si>
    <t>E3538P134</t>
  </si>
  <si>
    <t>St. Cross South Elmham (Group: Flixton St. Cross and St. Margaret)</t>
  </si>
  <si>
    <t>East SuffolkSt. James South Elmham</t>
  </si>
  <si>
    <t>E3538P135</t>
  </si>
  <si>
    <t>St. James South Elmham</t>
  </si>
  <si>
    <t>East SuffolkSt. John Ilketshall</t>
  </si>
  <si>
    <t>E3538P136</t>
  </si>
  <si>
    <t>St. John Ilketshall</t>
  </si>
  <si>
    <t>East SuffolkSt. Lawrence Ilketshall</t>
  </si>
  <si>
    <t>E3538P137</t>
  </si>
  <si>
    <t>St. Lawrence Ilketshall</t>
  </si>
  <si>
    <t>East SuffolkSt. Margaret Ilketshall</t>
  </si>
  <si>
    <t>E3538P138</t>
  </si>
  <si>
    <t>St. Margaret Ilketshall</t>
  </si>
  <si>
    <t>East SuffolkSt. Margaret South Elmham (Group: Flixton St. Cross and St. Margaret)</t>
  </si>
  <si>
    <t>E3538P139</t>
  </si>
  <si>
    <t>St. Margaret South Elmham (Group: Flixton St. Cross and St. Margaret)</t>
  </si>
  <si>
    <t>East SuffolkSt. Mary South Elmham otherwise Homersfield</t>
  </si>
  <si>
    <t>E3538P140</t>
  </si>
  <si>
    <t>St. Mary South Elmham otherwise Homersfield</t>
  </si>
  <si>
    <t>East SuffolkSt. Michael South Elmham (Group: All Saints and St. Nicholas St. Michael St Peter)</t>
  </si>
  <si>
    <t>E3538P141</t>
  </si>
  <si>
    <t>St. Michael South Elmham (Group: All Saints and St. Nicholas St. Michael St Peter)</t>
  </si>
  <si>
    <t>East SuffolkSt. Peter South Elmham (Group: All Saints and St. Nicholas St. Michael St Peter)</t>
  </si>
  <si>
    <t>E3538P142</t>
  </si>
  <si>
    <t>St. Peter South Elmham (Group: All Saints and St. Nicholas St. Michael St Peter)</t>
  </si>
  <si>
    <t>East SuffolkSternfield (Benhall and Sternfield)</t>
  </si>
  <si>
    <t>E3538P143</t>
  </si>
  <si>
    <t>Sternfield (Benhall and Sternfield)</t>
  </si>
  <si>
    <t>East SuffolkStratford St. Andrew ( Stratford St Andrew and Farnham)</t>
  </si>
  <si>
    <t>E3538P144</t>
  </si>
  <si>
    <t>Stratford St. Andrew ( Stratford St Andrew and Farnham)</t>
  </si>
  <si>
    <t>East SuffolkStratton Hall(Levington and Stratton Hall)</t>
  </si>
  <si>
    <t>E3538P145</t>
  </si>
  <si>
    <t>Stratton Hall(Levington and Stratton Hall)</t>
  </si>
  <si>
    <t>East SuffolkSudbourne</t>
  </si>
  <si>
    <t>E3538P146</t>
  </si>
  <si>
    <t>Sudbourne</t>
  </si>
  <si>
    <t>East SuffolkSutton</t>
  </si>
  <si>
    <t>E3538P147</t>
  </si>
  <si>
    <t>East SuffolkSutton Heath</t>
  </si>
  <si>
    <t>E3538P148</t>
  </si>
  <si>
    <t>Sutton Heath</t>
  </si>
  <si>
    <t>East SuffolkSwilland (Swilland and Witnesham)</t>
  </si>
  <si>
    <t>E3538P150</t>
  </si>
  <si>
    <t>Swilland (Swilland and Witnesham)</t>
  </si>
  <si>
    <t>East SuffolkTheberton</t>
  </si>
  <si>
    <t>E3538P151</t>
  </si>
  <si>
    <t>Theberton</t>
  </si>
  <si>
    <t>East SuffolkThorington (Bramfield and Thorington)</t>
  </si>
  <si>
    <t>E3538P152</t>
  </si>
  <si>
    <t>Thorington (Bramfield and Thorington)</t>
  </si>
  <si>
    <t>East SuffolkTrimley St. Martin</t>
  </si>
  <si>
    <t>E3538P153</t>
  </si>
  <si>
    <t>Trimley St. Martin</t>
  </si>
  <si>
    <t>East SuffolkTrimley St. Mary</t>
  </si>
  <si>
    <t>E3538P154</t>
  </si>
  <si>
    <t>Trimley St. Mary</t>
  </si>
  <si>
    <t>East SuffolkTuddenham St. Martin</t>
  </si>
  <si>
    <t>E3538P155</t>
  </si>
  <si>
    <t>Tuddenham St. Martin</t>
  </si>
  <si>
    <t>East SuffolkTunstall</t>
  </si>
  <si>
    <t>E3538P156</t>
  </si>
  <si>
    <t>East SuffolkUbbeston</t>
  </si>
  <si>
    <t>E3538P157</t>
  </si>
  <si>
    <t>Ubbeston</t>
  </si>
  <si>
    <t>East SuffolkUfford</t>
  </si>
  <si>
    <t>E3538P158</t>
  </si>
  <si>
    <t>East SuffolkUggeshall (Group: Frostenden Uggeshall and South Cove)</t>
  </si>
  <si>
    <t>E3538P159</t>
  </si>
  <si>
    <t>Uggeshall (Group: Frostenden Uggeshall and South Cove)</t>
  </si>
  <si>
    <t>East SuffolkWalberswick</t>
  </si>
  <si>
    <t>E3538P160</t>
  </si>
  <si>
    <t>Walberswick</t>
  </si>
  <si>
    <t>East SuffolkWaldringfield</t>
  </si>
  <si>
    <t>E3538P161</t>
  </si>
  <si>
    <t>Waldringfield</t>
  </si>
  <si>
    <t>East SuffolkWalpole(Cookley and Walpole)</t>
  </si>
  <si>
    <t>E3538P162</t>
  </si>
  <si>
    <t>Walpole(Cookley and Walpole)</t>
  </si>
  <si>
    <t>East SuffolkWangford with Henham</t>
  </si>
  <si>
    <t>E3538P163</t>
  </si>
  <si>
    <t>Wangford with Henham</t>
  </si>
  <si>
    <t>East SuffolkWantisden (Butley Capel St Andrew and Wantisden)</t>
  </si>
  <si>
    <t>E3538P164</t>
  </si>
  <si>
    <t>Wantisden (Butley Capel St Andrew and Wantisden)</t>
  </si>
  <si>
    <t>East SuffolkWenhaston with Mells Hamlet</t>
  </si>
  <si>
    <t>E3538P165</t>
  </si>
  <si>
    <t>Wenhaston with Mells Hamlet</t>
  </si>
  <si>
    <t>East SuffolkWesterfield</t>
  </si>
  <si>
    <t>E3538P166</t>
  </si>
  <si>
    <t>Westerfield</t>
  </si>
  <si>
    <t>East SuffolkWesthall</t>
  </si>
  <si>
    <t>E3538P167</t>
  </si>
  <si>
    <t>Westhall</t>
  </si>
  <si>
    <t>East SuffolkWestleton</t>
  </si>
  <si>
    <t>E3538P168</t>
  </si>
  <si>
    <t>Westleton</t>
  </si>
  <si>
    <t>East SuffolkWeston (Group: Ringsfield and Weston)</t>
  </si>
  <si>
    <t>E3538P169</t>
  </si>
  <si>
    <t>Weston (Group: Ringsfield and Weston)</t>
  </si>
  <si>
    <t>East SuffolkWickham Market</t>
  </si>
  <si>
    <t>E3538P170</t>
  </si>
  <si>
    <t>Wickham Market</t>
  </si>
  <si>
    <t>East SuffolkWillingham St. Mary (Group: Shadingfield Sotterley Willingham and Ellough)</t>
  </si>
  <si>
    <t>E3538P171</t>
  </si>
  <si>
    <t>Willingham St. Mary (Group: Shadingfield Sotterley Willingham and Ellough)</t>
  </si>
  <si>
    <t>East SuffolkWissett</t>
  </si>
  <si>
    <t>E3538P172</t>
  </si>
  <si>
    <t>Wissett</t>
  </si>
  <si>
    <t>East SuffolkWitnesham (Swilland and Witnesham)</t>
  </si>
  <si>
    <t>E3538P173</t>
  </si>
  <si>
    <t>Witnesham (Swilland and Witnesham)</t>
  </si>
  <si>
    <t>East SuffolkWoodbridge</t>
  </si>
  <si>
    <t>E3538P174</t>
  </si>
  <si>
    <t>Woodbridge</t>
  </si>
  <si>
    <t>East SuffolkWorlingham</t>
  </si>
  <si>
    <t>E3538P175</t>
  </si>
  <si>
    <t>Worlingham</t>
  </si>
  <si>
    <t>East SuffolkWrentham</t>
  </si>
  <si>
    <t>E3538P176</t>
  </si>
  <si>
    <t>Wrentham</t>
  </si>
  <si>
    <t>East SuffolkYoxford</t>
  </si>
  <si>
    <t>E3538P177</t>
  </si>
  <si>
    <t>Yoxford</t>
  </si>
  <si>
    <t>West SuffolkAmpton Timworth &amp; Little Livermere</t>
  </si>
  <si>
    <t>E3539P001</t>
  </si>
  <si>
    <t>Ampton Timworth &amp; Little Livermere</t>
  </si>
  <si>
    <t>West SuffolkBardwell</t>
  </si>
  <si>
    <t>E3539P002</t>
  </si>
  <si>
    <t>Bardwell</t>
  </si>
  <si>
    <t>West SuffolkBarnardiston</t>
  </si>
  <si>
    <t>E3539P003</t>
  </si>
  <si>
    <t>Barnardiston</t>
  </si>
  <si>
    <t>West SuffolkBarnham</t>
  </si>
  <si>
    <t>E3539P004</t>
  </si>
  <si>
    <t>Barnham</t>
  </si>
  <si>
    <t>West SuffolkBarningham</t>
  </si>
  <si>
    <t>E3539P005</t>
  </si>
  <si>
    <t>West SuffolkBarrow cum Denham</t>
  </si>
  <si>
    <t>E3539P006</t>
  </si>
  <si>
    <t>Barrow cum Denham</t>
  </si>
  <si>
    <t>West SuffolkBarton Mills</t>
  </si>
  <si>
    <t>E3539P007</t>
  </si>
  <si>
    <t>Barton Mills</t>
  </si>
  <si>
    <t>West SuffolkBeck Row Holywell Row and Kenny Hill</t>
  </si>
  <si>
    <t>E3539P008</t>
  </si>
  <si>
    <t>Beck Row Holywell Row and Kenny Hill</t>
  </si>
  <si>
    <t>West SuffolkBradfield Combust with Stanningfield</t>
  </si>
  <si>
    <t>E3539P009</t>
  </si>
  <si>
    <t>Bradfield Combust with Stanningfield</t>
  </si>
  <si>
    <t>West SuffolkBradfield St. Clare</t>
  </si>
  <si>
    <t>E3539P010</t>
  </si>
  <si>
    <t>Bradfield St. Clare</t>
  </si>
  <si>
    <t>West SuffolkBradfield St. George</t>
  </si>
  <si>
    <t>E3539P011</t>
  </si>
  <si>
    <t>Bradfield St. George</t>
  </si>
  <si>
    <t>West SuffolkBrandon</t>
  </si>
  <si>
    <t>E3539P012</t>
  </si>
  <si>
    <t>Brandon</t>
  </si>
  <si>
    <t>West SuffolkBrockley</t>
  </si>
  <si>
    <t>E3539P013</t>
  </si>
  <si>
    <t>West SuffolkBury St Edmunds</t>
  </si>
  <si>
    <t>E3539P014</t>
  </si>
  <si>
    <t>Bury St Edmunds</t>
  </si>
  <si>
    <t>West SuffolkCavendish</t>
  </si>
  <si>
    <t>E3539P015</t>
  </si>
  <si>
    <t>Cavendish</t>
  </si>
  <si>
    <t>West SuffolkCavenham</t>
  </si>
  <si>
    <t>E3539P016</t>
  </si>
  <si>
    <t>Cavenham</t>
  </si>
  <si>
    <t>West SuffolkChedburgh</t>
  </si>
  <si>
    <t>E3539P017</t>
  </si>
  <si>
    <t>Chedburgh</t>
  </si>
  <si>
    <t>West SuffolkChevington</t>
  </si>
  <si>
    <t>E3539P018</t>
  </si>
  <si>
    <t>Chevington</t>
  </si>
  <si>
    <t>West SuffolkClare</t>
  </si>
  <si>
    <t>E3539P019</t>
  </si>
  <si>
    <t>Clare</t>
  </si>
  <si>
    <t>West SuffolkConey Weston</t>
  </si>
  <si>
    <t>E3539P020</t>
  </si>
  <si>
    <t>Coney Weston</t>
  </si>
  <si>
    <t>West SuffolkCowlinge</t>
  </si>
  <si>
    <t>E3539P021</t>
  </si>
  <si>
    <t>Cowlinge</t>
  </si>
  <si>
    <t>West SuffolkDalham</t>
  </si>
  <si>
    <t>E3539P023</t>
  </si>
  <si>
    <t>Dalham</t>
  </si>
  <si>
    <t>West SuffolkDenston</t>
  </si>
  <si>
    <t>E3539P024</t>
  </si>
  <si>
    <t>Denston</t>
  </si>
  <si>
    <t>West SuffolkDepden</t>
  </si>
  <si>
    <t>E3539P025</t>
  </si>
  <si>
    <t>Depden</t>
  </si>
  <si>
    <t>West SuffolkElveden</t>
  </si>
  <si>
    <t>E3539P026</t>
  </si>
  <si>
    <t>Elveden</t>
  </si>
  <si>
    <t>West SuffolkEriswell</t>
  </si>
  <si>
    <t>E3539P027</t>
  </si>
  <si>
    <t>Eriswell</t>
  </si>
  <si>
    <t>West SuffolkEuston</t>
  </si>
  <si>
    <t>E3539P028</t>
  </si>
  <si>
    <t>Euston</t>
  </si>
  <si>
    <t>West SuffolkExning</t>
  </si>
  <si>
    <t>E3539P029</t>
  </si>
  <si>
    <t>Exning</t>
  </si>
  <si>
    <t>West SuffolkFakenham Magna</t>
  </si>
  <si>
    <t>E3539P030</t>
  </si>
  <si>
    <t>Fakenham Magna</t>
  </si>
  <si>
    <t>West SuffolkFlempton cum Hengrave</t>
  </si>
  <si>
    <t>E3539P031</t>
  </si>
  <si>
    <t>Flempton cum Hengrave</t>
  </si>
  <si>
    <t>West SuffolkFornham All Saints</t>
  </si>
  <si>
    <t>E3539P032</t>
  </si>
  <si>
    <t>Fornham All Saints</t>
  </si>
  <si>
    <t>West SuffolkFornham St Martin cum St Genevieve</t>
  </si>
  <si>
    <t>E3539P033</t>
  </si>
  <si>
    <t>Fornham St Martin cum St Genevieve</t>
  </si>
  <si>
    <t>West SuffolkFreckenham</t>
  </si>
  <si>
    <t>E3539P034</t>
  </si>
  <si>
    <t>Freckenham</t>
  </si>
  <si>
    <t>West SuffolkGazeley</t>
  </si>
  <si>
    <t>E3539P035</t>
  </si>
  <si>
    <t>Gazeley</t>
  </si>
  <si>
    <t>West SuffolkGreat &amp; Little Whelnetham</t>
  </si>
  <si>
    <t>E3539P036</t>
  </si>
  <si>
    <t>Great &amp; Little Whelnetham</t>
  </si>
  <si>
    <t>West SuffolkGreat Barton</t>
  </si>
  <si>
    <t>E3539P037</t>
  </si>
  <si>
    <t>Great Barton</t>
  </si>
  <si>
    <t>West SuffolkGreat Bradley</t>
  </si>
  <si>
    <t>E3539P038</t>
  </si>
  <si>
    <t>Great Bradley</t>
  </si>
  <si>
    <t>West SuffolkGreat Livermere</t>
  </si>
  <si>
    <t>E3539P039</t>
  </si>
  <si>
    <t>Great Livermere</t>
  </si>
  <si>
    <t>West SuffolkGreat Thurlow</t>
  </si>
  <si>
    <t>E3539P040</t>
  </si>
  <si>
    <t>Great Thurlow</t>
  </si>
  <si>
    <t>West SuffolkGreat Wratting</t>
  </si>
  <si>
    <t>E3539P041</t>
  </si>
  <si>
    <t>Great Wratting</t>
  </si>
  <si>
    <t>West SuffolkHargrave</t>
  </si>
  <si>
    <t>E3539P042</t>
  </si>
  <si>
    <t>West SuffolkHaverhill</t>
  </si>
  <si>
    <t>E3539P043</t>
  </si>
  <si>
    <t>Haverhill</t>
  </si>
  <si>
    <t>West SuffolkHawkedon</t>
  </si>
  <si>
    <t>E3539P044</t>
  </si>
  <si>
    <t>Hawkedon</t>
  </si>
  <si>
    <t>West SuffolkHawstead</t>
  </si>
  <si>
    <t>E3539P045</t>
  </si>
  <si>
    <t>Hawstead</t>
  </si>
  <si>
    <t>West SuffolkHepworth</t>
  </si>
  <si>
    <t>E3539P046</t>
  </si>
  <si>
    <t>Hepworth</t>
  </si>
  <si>
    <t>West SuffolkHerringswell</t>
  </si>
  <si>
    <t>E3539P047</t>
  </si>
  <si>
    <t>Herringswell</t>
  </si>
  <si>
    <t>West SuffolkHigham</t>
  </si>
  <si>
    <t>E3539P048</t>
  </si>
  <si>
    <t>West SuffolkHonington cum Sapiston</t>
  </si>
  <si>
    <t>E3539P049</t>
  </si>
  <si>
    <t>Honington cum Sapiston</t>
  </si>
  <si>
    <t>West SuffolkHopton cum Knettishall</t>
  </si>
  <si>
    <t>E3539P050</t>
  </si>
  <si>
    <t>Hopton cum Knettishall</t>
  </si>
  <si>
    <t>West SuffolkHorringer</t>
  </si>
  <si>
    <t>E3539P051</t>
  </si>
  <si>
    <t>Horringer</t>
  </si>
  <si>
    <t>West SuffolkHundon</t>
  </si>
  <si>
    <t>E3539P052</t>
  </si>
  <si>
    <t>Hundon</t>
  </si>
  <si>
    <t>West SuffolkIcklingham</t>
  </si>
  <si>
    <t>E3539P053</t>
  </si>
  <si>
    <t>Icklingham</t>
  </si>
  <si>
    <t>West SuffolkIckworth</t>
  </si>
  <si>
    <t>E3539P054</t>
  </si>
  <si>
    <t>Ickworth</t>
  </si>
  <si>
    <t>West SuffolkIngham</t>
  </si>
  <si>
    <t>E3539P055</t>
  </si>
  <si>
    <t>West SuffolkIxworth cum Ixworth Thorpe</t>
  </si>
  <si>
    <t>E3539P056</t>
  </si>
  <si>
    <t>Ixworth cum Ixworth Thorpe</t>
  </si>
  <si>
    <t>West SuffolkKedington</t>
  </si>
  <si>
    <t>E3539P057</t>
  </si>
  <si>
    <t>Kedington</t>
  </si>
  <si>
    <t>West SuffolkKentford</t>
  </si>
  <si>
    <t>E3539P058</t>
  </si>
  <si>
    <t>Kentford</t>
  </si>
  <si>
    <t>West SuffolkLackford</t>
  </si>
  <si>
    <t>E3539P059</t>
  </si>
  <si>
    <t>Lackford</t>
  </si>
  <si>
    <t>West SuffolkLakenheath</t>
  </si>
  <si>
    <t>E3539P060</t>
  </si>
  <si>
    <t>Lakenheath</t>
  </si>
  <si>
    <t>West SuffolkLidgate</t>
  </si>
  <si>
    <t>E3539P061</t>
  </si>
  <si>
    <t>Lidgate</t>
  </si>
  <si>
    <t>West SuffolkLittle Bradley</t>
  </si>
  <si>
    <t>E3539P062</t>
  </si>
  <si>
    <t>Little Bradley</t>
  </si>
  <si>
    <t>West SuffolkLittle Thurlow</t>
  </si>
  <si>
    <t>E3539P063</t>
  </si>
  <si>
    <t>Little Thurlow</t>
  </si>
  <si>
    <t>West SuffolkLittle Wratting</t>
  </si>
  <si>
    <t>E3539P064</t>
  </si>
  <si>
    <t>Little Wratting</t>
  </si>
  <si>
    <t>West SuffolkMarket Weston</t>
  </si>
  <si>
    <t>E3539P065</t>
  </si>
  <si>
    <t>Market Weston</t>
  </si>
  <si>
    <t>West SuffolkMildenhall</t>
  </si>
  <si>
    <t>E3539P066</t>
  </si>
  <si>
    <t>Mildenhall</t>
  </si>
  <si>
    <t>West SuffolkMoulton</t>
  </si>
  <si>
    <t>E3539P067</t>
  </si>
  <si>
    <t>West SuffolkNewmarket</t>
  </si>
  <si>
    <t>E3539P068</t>
  </si>
  <si>
    <t>Newmarket</t>
  </si>
  <si>
    <t>West SuffolkNowton</t>
  </si>
  <si>
    <t>E3539P069</t>
  </si>
  <si>
    <t>Nowton</t>
  </si>
  <si>
    <t>West SuffolkOusden</t>
  </si>
  <si>
    <t>E3539P070</t>
  </si>
  <si>
    <t>Ousden</t>
  </si>
  <si>
    <t>West SuffolkPakenham</t>
  </si>
  <si>
    <t>E3539P071</t>
  </si>
  <si>
    <t>Pakenham</t>
  </si>
  <si>
    <t>West SuffolkPoslingford</t>
  </si>
  <si>
    <t>E3539P072</t>
  </si>
  <si>
    <t>Poslingford</t>
  </si>
  <si>
    <t>West SuffolkRed Lodge</t>
  </si>
  <si>
    <t>E3539P073</t>
  </si>
  <si>
    <t>Red Lodge</t>
  </si>
  <si>
    <t>West SuffolkRede</t>
  </si>
  <si>
    <t>E3539P074</t>
  </si>
  <si>
    <t>Rede</t>
  </si>
  <si>
    <t>West SuffolkRisby</t>
  </si>
  <si>
    <t>E3539P075</t>
  </si>
  <si>
    <t>Risby</t>
  </si>
  <si>
    <t>West SuffolkRushbrooke with Rougham</t>
  </si>
  <si>
    <t>E3539P076</t>
  </si>
  <si>
    <t>Rushbrooke with Rougham</t>
  </si>
  <si>
    <t>West SuffolkSanton Downham</t>
  </si>
  <si>
    <t>E3539P077</t>
  </si>
  <si>
    <t>Santon Downham</t>
  </si>
  <si>
    <t>West SuffolkStansfield</t>
  </si>
  <si>
    <t>E3539P078</t>
  </si>
  <si>
    <t>Stansfield</t>
  </si>
  <si>
    <t>West SuffolkStanton</t>
  </si>
  <si>
    <t>E3539P079</t>
  </si>
  <si>
    <t>West SuffolkStoke by Clare</t>
  </si>
  <si>
    <t>E3539P080</t>
  </si>
  <si>
    <t>Stoke by Clare</t>
  </si>
  <si>
    <t>West SuffolkStradishall</t>
  </si>
  <si>
    <t>E3539P081</t>
  </si>
  <si>
    <t>Stradishall</t>
  </si>
  <si>
    <t>West SuffolkThe Saxhams</t>
  </si>
  <si>
    <t>E3539P082</t>
  </si>
  <si>
    <t>The Saxhams</t>
  </si>
  <si>
    <t>West SuffolkThelnetham</t>
  </si>
  <si>
    <t>E3539P083</t>
  </si>
  <si>
    <t>Thelnetham</t>
  </si>
  <si>
    <t>West SuffolkTroston</t>
  </si>
  <si>
    <t>E3539P084</t>
  </si>
  <si>
    <t>Troston</t>
  </si>
  <si>
    <t>West SuffolkTuddenham</t>
  </si>
  <si>
    <t>E3539P085</t>
  </si>
  <si>
    <t>Tuddenham</t>
  </si>
  <si>
    <t>West SuffolkWest Row</t>
  </si>
  <si>
    <t>E3539P086</t>
  </si>
  <si>
    <t>West Row</t>
  </si>
  <si>
    <t>West SuffolkWestley</t>
  </si>
  <si>
    <t>E3539P088</t>
  </si>
  <si>
    <t>Westley</t>
  </si>
  <si>
    <t>West SuffolkWhepstead</t>
  </si>
  <si>
    <t>E3539P089</t>
  </si>
  <si>
    <t>Whepstead</t>
  </si>
  <si>
    <t>West SuffolkWickhambrook</t>
  </si>
  <si>
    <t>E3539P090</t>
  </si>
  <si>
    <t>Wickhambrook</t>
  </si>
  <si>
    <t>West SuffolkWithersfield</t>
  </si>
  <si>
    <t>E3539P091</t>
  </si>
  <si>
    <t>Withersfield</t>
  </si>
  <si>
    <t>West SuffolkWixoe</t>
  </si>
  <si>
    <t>E3539P092</t>
  </si>
  <si>
    <t>Wixoe</t>
  </si>
  <si>
    <t>West SuffolkWorlington</t>
  </si>
  <si>
    <t>E3539P094</t>
  </si>
  <si>
    <t>Worlington</t>
  </si>
  <si>
    <t>West SuffolkCulford West Stove and Wordwell</t>
  </si>
  <si>
    <t>E3539P095</t>
  </si>
  <si>
    <t>Culford West Stove and Wordwell</t>
  </si>
  <si>
    <t>ElmbridgeClaygate</t>
  </si>
  <si>
    <t>E3631P001</t>
  </si>
  <si>
    <t>Claygate</t>
  </si>
  <si>
    <t>GuildfordAlbury</t>
  </si>
  <si>
    <t>E3633P001</t>
  </si>
  <si>
    <t>GuildfordArtington</t>
  </si>
  <si>
    <t>E3633P002</t>
  </si>
  <si>
    <t>Artington</t>
  </si>
  <si>
    <t>GuildfordAsh</t>
  </si>
  <si>
    <t>E3633P003</t>
  </si>
  <si>
    <t>GuildfordCompton</t>
  </si>
  <si>
    <t>E3633P004</t>
  </si>
  <si>
    <t>GuildfordEast Clandon</t>
  </si>
  <si>
    <t>E3633P005</t>
  </si>
  <si>
    <t>East Clandon</t>
  </si>
  <si>
    <t>GuildfordEast Horsley</t>
  </si>
  <si>
    <t>E3633P006</t>
  </si>
  <si>
    <t>East Horsley</t>
  </si>
  <si>
    <t>GuildfordEffingham</t>
  </si>
  <si>
    <t>E3633P007</t>
  </si>
  <si>
    <t>Effingham</t>
  </si>
  <si>
    <t>GuildfordNormandy</t>
  </si>
  <si>
    <t>E3633P008</t>
  </si>
  <si>
    <t>Normandy</t>
  </si>
  <si>
    <t>GuildfordOckham</t>
  </si>
  <si>
    <t>E3633P009</t>
  </si>
  <si>
    <t>Ockham</t>
  </si>
  <si>
    <t>GuildfordPirbright</t>
  </si>
  <si>
    <t>E3633P010</t>
  </si>
  <si>
    <t>Pirbright</t>
  </si>
  <si>
    <t>GuildfordPuttenham</t>
  </si>
  <si>
    <t>E3633P011</t>
  </si>
  <si>
    <t>Puttenham</t>
  </si>
  <si>
    <t>GuildfordRipley</t>
  </si>
  <si>
    <t>E3633P012</t>
  </si>
  <si>
    <t>GuildfordSeale and Sands</t>
  </si>
  <si>
    <t>E3633P013</t>
  </si>
  <si>
    <t>Seale and Sands</t>
  </si>
  <si>
    <t>GuildfordSend</t>
  </si>
  <si>
    <t>E3633P014</t>
  </si>
  <si>
    <t>Send</t>
  </si>
  <si>
    <t>GuildfordShackleford</t>
  </si>
  <si>
    <t>E3633P015</t>
  </si>
  <si>
    <t>Shackleford</t>
  </si>
  <si>
    <t>GuildfordShalford</t>
  </si>
  <si>
    <t>E3633P016</t>
  </si>
  <si>
    <t>GuildfordShere</t>
  </si>
  <si>
    <t>E3633P017</t>
  </si>
  <si>
    <t>Shere</t>
  </si>
  <si>
    <t>GuildfordSt. Martha</t>
  </si>
  <si>
    <t>E3633P018</t>
  </si>
  <si>
    <t>St. Martha</t>
  </si>
  <si>
    <t>GuildfordTongham</t>
  </si>
  <si>
    <t>E3633P019</t>
  </si>
  <si>
    <t>Tongham</t>
  </si>
  <si>
    <t>GuildfordWanborough</t>
  </si>
  <si>
    <t>E3633P020</t>
  </si>
  <si>
    <t>Wanborough</t>
  </si>
  <si>
    <t>GuildfordWest Clandon</t>
  </si>
  <si>
    <t>E3633P021</t>
  </si>
  <si>
    <t>West Clandon</t>
  </si>
  <si>
    <t>GuildfordWest Horsley</t>
  </si>
  <si>
    <t>E3633P022</t>
  </si>
  <si>
    <t>West Horsley</t>
  </si>
  <si>
    <t>GuildfordWisley</t>
  </si>
  <si>
    <t>E3633P023</t>
  </si>
  <si>
    <t>Wisley</t>
  </si>
  <si>
    <t>GuildfordWorplesdon</t>
  </si>
  <si>
    <t>E3633P024</t>
  </si>
  <si>
    <t>Worplesdon</t>
  </si>
  <si>
    <t>Mole ValleyAbinger</t>
  </si>
  <si>
    <t>E3634P001</t>
  </si>
  <si>
    <t>Abinger</t>
  </si>
  <si>
    <t>Mole ValleyBetchworth</t>
  </si>
  <si>
    <t>E3634P002</t>
  </si>
  <si>
    <t>Betchworth</t>
  </si>
  <si>
    <t>Mole ValleyBrockham</t>
  </si>
  <si>
    <t>E3634P003</t>
  </si>
  <si>
    <t>Brockham</t>
  </si>
  <si>
    <t>Mole ValleyBuckland</t>
  </si>
  <si>
    <t>E3634P004</t>
  </si>
  <si>
    <t>Mole ValleyCapel</t>
  </si>
  <si>
    <t>E3634P005</t>
  </si>
  <si>
    <t>Mole ValleyCharlwood</t>
  </si>
  <si>
    <t>E3634P006</t>
  </si>
  <si>
    <t>Charlwood</t>
  </si>
  <si>
    <t>Mole ValleyHeadley</t>
  </si>
  <si>
    <t>E3634P007</t>
  </si>
  <si>
    <t>Mole ValleyHolmwood</t>
  </si>
  <si>
    <t>E3634P008</t>
  </si>
  <si>
    <t>Holmwood</t>
  </si>
  <si>
    <t>Mole ValleyLeigh</t>
  </si>
  <si>
    <t>E3634P009</t>
  </si>
  <si>
    <t>Mole ValleyMickleham</t>
  </si>
  <si>
    <t>E3634P010</t>
  </si>
  <si>
    <t>Mickleham</t>
  </si>
  <si>
    <t>Mole ValleyNewdigate</t>
  </si>
  <si>
    <t>E3634P011</t>
  </si>
  <si>
    <t>Newdigate</t>
  </si>
  <si>
    <t>Mole ValleyOckley</t>
  </si>
  <si>
    <t>E3634P012</t>
  </si>
  <si>
    <t>Ockley</t>
  </si>
  <si>
    <t>Mole ValleyWotton</t>
  </si>
  <si>
    <t>E3634P013</t>
  </si>
  <si>
    <t>Wotton</t>
  </si>
  <si>
    <t>Reigate and BansteadHorley Town Council</t>
  </si>
  <si>
    <t>E3635P001</t>
  </si>
  <si>
    <t>Horley Town Council</t>
  </si>
  <si>
    <t>Reigate and BansteadSalfords and Sidlow Parish Council</t>
  </si>
  <si>
    <t>E3635P002</t>
  </si>
  <si>
    <t>Salfords and Sidlow Parish Council</t>
  </si>
  <si>
    <t>Surrey HeathBisley</t>
  </si>
  <si>
    <t>E3638P001</t>
  </si>
  <si>
    <t>Bisley</t>
  </si>
  <si>
    <t>Surrey HeathChobham</t>
  </si>
  <si>
    <t>E3638P002</t>
  </si>
  <si>
    <t>Chobham</t>
  </si>
  <si>
    <t>Surrey HeathWest End</t>
  </si>
  <si>
    <t>E3638P003</t>
  </si>
  <si>
    <t>Surrey HeathWindlesham</t>
  </si>
  <si>
    <t>E3638P004</t>
  </si>
  <si>
    <t>Windlesham</t>
  </si>
  <si>
    <t>TandridgeBletchingley</t>
  </si>
  <si>
    <t>E3639P001</t>
  </si>
  <si>
    <t>Bletchingley</t>
  </si>
  <si>
    <t>TandridgeBurstow</t>
  </si>
  <si>
    <t>E3639P002</t>
  </si>
  <si>
    <t>Burstow</t>
  </si>
  <si>
    <t>TandridgeCaterham Valley</t>
  </si>
  <si>
    <t>E3639P003</t>
  </si>
  <si>
    <t>Caterham Valley</t>
  </si>
  <si>
    <t>TandridgeCaterham Hill</t>
  </si>
  <si>
    <t>E3639P004</t>
  </si>
  <si>
    <t>Caterham Hill</t>
  </si>
  <si>
    <t>TandridgeChaldon Village</t>
  </si>
  <si>
    <t>E3639P005</t>
  </si>
  <si>
    <t>Chaldon Village</t>
  </si>
  <si>
    <t>TandridgeChelsham and Farleigh</t>
  </si>
  <si>
    <t>E3639P006</t>
  </si>
  <si>
    <t>Chelsham and Farleigh</t>
  </si>
  <si>
    <t>TandridgeCrowhurst</t>
  </si>
  <si>
    <t>E3639P007</t>
  </si>
  <si>
    <t>TandridgeDormansland</t>
  </si>
  <si>
    <t>E3639P008</t>
  </si>
  <si>
    <t>Dormansland</t>
  </si>
  <si>
    <t>TandridgeFelbridge</t>
  </si>
  <si>
    <t>E3639P009</t>
  </si>
  <si>
    <t>Felbridge</t>
  </si>
  <si>
    <t>TandridgeGodstone</t>
  </si>
  <si>
    <t>E3639P010</t>
  </si>
  <si>
    <t>Godstone</t>
  </si>
  <si>
    <t>TandridgeHorne</t>
  </si>
  <si>
    <t>E3639P011</t>
  </si>
  <si>
    <t>Horne</t>
  </si>
  <si>
    <t>TandridgeLimpsfield</t>
  </si>
  <si>
    <t>E3639P012</t>
  </si>
  <si>
    <t>Limpsfield</t>
  </si>
  <si>
    <t>TandridgeLingfield</t>
  </si>
  <si>
    <t>E3639P013</t>
  </si>
  <si>
    <t>Lingfield</t>
  </si>
  <si>
    <t>TandridgeNutfield</t>
  </si>
  <si>
    <t>E3639P014</t>
  </si>
  <si>
    <t>Nutfield</t>
  </si>
  <si>
    <t>TandridgeOutwood</t>
  </si>
  <si>
    <t>E3639P015</t>
  </si>
  <si>
    <t>Outwood</t>
  </si>
  <si>
    <t>TandridgeOxted</t>
  </si>
  <si>
    <t>E3639P016</t>
  </si>
  <si>
    <t>Oxted</t>
  </si>
  <si>
    <t>TandridgeTandridge</t>
  </si>
  <si>
    <t>E3639P017</t>
  </si>
  <si>
    <t>TandridgeTatsfield</t>
  </si>
  <si>
    <t>E3639P018</t>
  </si>
  <si>
    <t>Tatsfield</t>
  </si>
  <si>
    <t>TandridgeTitsey</t>
  </si>
  <si>
    <t>E3639P019</t>
  </si>
  <si>
    <t>Titsey</t>
  </si>
  <si>
    <t>TandridgeWarlingham</t>
  </si>
  <si>
    <t>E3639P020</t>
  </si>
  <si>
    <t>Warlingham</t>
  </si>
  <si>
    <t>TandridgeWhyteleafe Village</t>
  </si>
  <si>
    <t>E3639P021</t>
  </si>
  <si>
    <t>Whyteleafe Village</t>
  </si>
  <si>
    <t>TandridgeWoldingham</t>
  </si>
  <si>
    <t>E3639P022</t>
  </si>
  <si>
    <t>Woldingham</t>
  </si>
  <si>
    <t>WaverleyAlfold</t>
  </si>
  <si>
    <t>E3640P001</t>
  </si>
  <si>
    <t>Alfold</t>
  </si>
  <si>
    <t>WaverleyBramley</t>
  </si>
  <si>
    <t>E3640P002</t>
  </si>
  <si>
    <t>WaverleyMunstead and Tuesley</t>
  </si>
  <si>
    <t>E3640P003</t>
  </si>
  <si>
    <t>Munstead and Tuesley</t>
  </si>
  <si>
    <t>WaverleyChiddingfold</t>
  </si>
  <si>
    <t>E3640P004</t>
  </si>
  <si>
    <t>Chiddingfold</t>
  </si>
  <si>
    <t>WaverleyChurt</t>
  </si>
  <si>
    <t>E3640P005</t>
  </si>
  <si>
    <t>Churt</t>
  </si>
  <si>
    <t>WaverleyCranleigh</t>
  </si>
  <si>
    <t>E3640P006</t>
  </si>
  <si>
    <t>Cranleigh</t>
  </si>
  <si>
    <t>WaverleyDockenfield</t>
  </si>
  <si>
    <t>E3640P007</t>
  </si>
  <si>
    <t>Dockenfield</t>
  </si>
  <si>
    <t>WaverleyDunsfold</t>
  </si>
  <si>
    <t>E3640P008</t>
  </si>
  <si>
    <t>Dunsfold</t>
  </si>
  <si>
    <t>WaverleyElstead</t>
  </si>
  <si>
    <t>E3640P009</t>
  </si>
  <si>
    <t>Elstead</t>
  </si>
  <si>
    <t>WaverleyEwhurst</t>
  </si>
  <si>
    <t>E3640P010</t>
  </si>
  <si>
    <t>WaverleyFarnham</t>
  </si>
  <si>
    <t>E3640P011</t>
  </si>
  <si>
    <t>WaverleyFrensham</t>
  </si>
  <si>
    <t>E3640P012</t>
  </si>
  <si>
    <t>Frensham</t>
  </si>
  <si>
    <t>WaverleyGodalming</t>
  </si>
  <si>
    <t>E3640P013</t>
  </si>
  <si>
    <t>Godalming</t>
  </si>
  <si>
    <t>WaverleyHambledon</t>
  </si>
  <si>
    <t>E3640P014</t>
  </si>
  <si>
    <t>WaverleyHascombe</t>
  </si>
  <si>
    <t>E3640P015</t>
  </si>
  <si>
    <t>Hascombe</t>
  </si>
  <si>
    <t>WaverleyHaslemere</t>
  </si>
  <si>
    <t>E3640P016</t>
  </si>
  <si>
    <t>Haslemere</t>
  </si>
  <si>
    <t>WaverleyPeper Harow</t>
  </si>
  <si>
    <t>E3640P017</t>
  </si>
  <si>
    <t>Peper Harow</t>
  </si>
  <si>
    <t>WaverleyThursley</t>
  </si>
  <si>
    <t>E3640P018</t>
  </si>
  <si>
    <t>Thursley</t>
  </si>
  <si>
    <t>WaverleyTilford</t>
  </si>
  <si>
    <t>E3640P019</t>
  </si>
  <si>
    <t>Tilford</t>
  </si>
  <si>
    <t>WaverleyWitley and Milford</t>
  </si>
  <si>
    <t>E3640P020</t>
  </si>
  <si>
    <t>Witley and Milford</t>
  </si>
  <si>
    <t>WaverleyWonersh</t>
  </si>
  <si>
    <t>E3640P021</t>
  </si>
  <si>
    <t>Wonersh</t>
  </si>
  <si>
    <t>North WarwickshireAnsley</t>
  </si>
  <si>
    <t>E3731P001</t>
  </si>
  <si>
    <t>Ansley</t>
  </si>
  <si>
    <t>North WarwickshireArley</t>
  </si>
  <si>
    <t>E3731P002</t>
  </si>
  <si>
    <t>Arley</t>
  </si>
  <si>
    <t>North WarwickshireAstley</t>
  </si>
  <si>
    <t>E3731P003</t>
  </si>
  <si>
    <t>North WarwickshireAtherstone</t>
  </si>
  <si>
    <t>E3731P004</t>
  </si>
  <si>
    <t>Atherstone</t>
  </si>
  <si>
    <t>North WarwickshireAustrey</t>
  </si>
  <si>
    <t>E3731P005</t>
  </si>
  <si>
    <t>Austrey</t>
  </si>
  <si>
    <t>North WarwickshireBaddesley Ensor</t>
  </si>
  <si>
    <t>E3731P006</t>
  </si>
  <si>
    <t>Baddesley Ensor</t>
  </si>
  <si>
    <t>North WarwickshireBaxterley</t>
  </si>
  <si>
    <t>E3731P007</t>
  </si>
  <si>
    <t>Baxterley</t>
  </si>
  <si>
    <t>North WarwickshireBentley (grouped with Merevale)</t>
  </si>
  <si>
    <t>E3731P008</t>
  </si>
  <si>
    <t>Bentley (grouped with Merevale)</t>
  </si>
  <si>
    <t>North WarwickshireCaldecote</t>
  </si>
  <si>
    <t>E3731P009</t>
  </si>
  <si>
    <t>North WarwickshireColeshill</t>
  </si>
  <si>
    <t>E3731P010</t>
  </si>
  <si>
    <t>North WarwickshireCorley</t>
  </si>
  <si>
    <t>E3731P011</t>
  </si>
  <si>
    <t>Corley</t>
  </si>
  <si>
    <t>North WarwickshireCurdworth</t>
  </si>
  <si>
    <t>E3731P012</t>
  </si>
  <si>
    <t>Curdworth</t>
  </si>
  <si>
    <t>North WarwickshireDordon</t>
  </si>
  <si>
    <t>E3731P013</t>
  </si>
  <si>
    <t>Dordon</t>
  </si>
  <si>
    <t>North WarwickshireFillongley</t>
  </si>
  <si>
    <t>E3731P014</t>
  </si>
  <si>
    <t>Fillongley</t>
  </si>
  <si>
    <t>North WarwickshireGreat Packington</t>
  </si>
  <si>
    <t>E3731P015</t>
  </si>
  <si>
    <t>Great Packington</t>
  </si>
  <si>
    <t>North WarwickshireGrendon</t>
  </si>
  <si>
    <t>E3731P016</t>
  </si>
  <si>
    <t>North WarwickshireHartshill</t>
  </si>
  <si>
    <t>E3731P017</t>
  </si>
  <si>
    <t>Hartshill</t>
  </si>
  <si>
    <t>North WarwickshireKingsbury</t>
  </si>
  <si>
    <t>E3731P018</t>
  </si>
  <si>
    <t>Kingsbury</t>
  </si>
  <si>
    <t>North WarwickshireLea Marston</t>
  </si>
  <si>
    <t>E3731P019</t>
  </si>
  <si>
    <t>Lea Marston</t>
  </si>
  <si>
    <t>North WarwickshireLittle Packington</t>
  </si>
  <si>
    <t>E3731P020</t>
  </si>
  <si>
    <t>Little Packington</t>
  </si>
  <si>
    <t>North WarwickshireMancetter</t>
  </si>
  <si>
    <t>E3731P021</t>
  </si>
  <si>
    <t>Mancetter</t>
  </si>
  <si>
    <t>North WarwickshireMaxstoke</t>
  </si>
  <si>
    <t>E3731P022</t>
  </si>
  <si>
    <t>Maxstoke</t>
  </si>
  <si>
    <t>North WarwickshireMerevale (grouped with Bentley)</t>
  </si>
  <si>
    <t>E3731P023</t>
  </si>
  <si>
    <t>Merevale (grouped with Bentley)</t>
  </si>
  <si>
    <t>North WarwickshireMiddleton</t>
  </si>
  <si>
    <t>E3731P024</t>
  </si>
  <si>
    <t>North WarwickshireNether Whitacre</t>
  </si>
  <si>
    <t>E3731P025</t>
  </si>
  <si>
    <t>Nether Whitacre</t>
  </si>
  <si>
    <t>North WarwickshireNewton Regis (grouped with Seckington)</t>
  </si>
  <si>
    <t>E3731P026</t>
  </si>
  <si>
    <t>Newton Regis (grouped with Seckington)</t>
  </si>
  <si>
    <t>North WarwickshireOver Whitacre</t>
  </si>
  <si>
    <t>E3731P027</t>
  </si>
  <si>
    <t>Over Whitacre</t>
  </si>
  <si>
    <t>North WarwickshirePolesworth</t>
  </si>
  <si>
    <t>E3731P028</t>
  </si>
  <si>
    <t>Polesworth</t>
  </si>
  <si>
    <t>North WarwickshireSeckington (grouped with Newton Regis)</t>
  </si>
  <si>
    <t>E3731P029</t>
  </si>
  <si>
    <t>Seckington (grouped with Newton Regis)</t>
  </si>
  <si>
    <t>North WarwickshireShustoke</t>
  </si>
  <si>
    <t>E3731P030</t>
  </si>
  <si>
    <t>Shustoke</t>
  </si>
  <si>
    <t>North WarwickshireShuttington</t>
  </si>
  <si>
    <t>E3731P031</t>
  </si>
  <si>
    <t>Shuttington</t>
  </si>
  <si>
    <t>North WarwickshireWater Orton</t>
  </si>
  <si>
    <t>E3731P032</t>
  </si>
  <si>
    <t>Water Orton</t>
  </si>
  <si>
    <t>North WarwickshireWishaw</t>
  </si>
  <si>
    <t>E3731P033</t>
  </si>
  <si>
    <t>Wishaw</t>
  </si>
  <si>
    <t>RugbyAnsty</t>
  </si>
  <si>
    <t>E3733P001</t>
  </si>
  <si>
    <t>Ansty</t>
  </si>
  <si>
    <t>RugbyBinley Woods</t>
  </si>
  <si>
    <t>E3733P002</t>
  </si>
  <si>
    <t>Binley Woods</t>
  </si>
  <si>
    <t>RugbyBirdingbury</t>
  </si>
  <si>
    <t>E3733P003</t>
  </si>
  <si>
    <t>Birdingbury</t>
  </si>
  <si>
    <t>RugbyBourton and Draycote</t>
  </si>
  <si>
    <t>E3733P004</t>
  </si>
  <si>
    <t>Bourton and Draycote</t>
  </si>
  <si>
    <t>RugbyBrandon and Bretford</t>
  </si>
  <si>
    <t>E3733P005</t>
  </si>
  <si>
    <t>Brandon and Bretford</t>
  </si>
  <si>
    <t>RugbyBrinklow</t>
  </si>
  <si>
    <t>E3733P006</t>
  </si>
  <si>
    <t>Brinklow</t>
  </si>
  <si>
    <t>RugbyBurton Hastings</t>
  </si>
  <si>
    <t>E3733P007</t>
  </si>
  <si>
    <t>Burton Hastings</t>
  </si>
  <si>
    <t>RugbyCawston</t>
  </si>
  <si>
    <t>E3733P008</t>
  </si>
  <si>
    <t>RugbyChurch Lawford</t>
  </si>
  <si>
    <t>E3733P009</t>
  </si>
  <si>
    <t>Church Lawford</t>
  </si>
  <si>
    <t>RugbyChurchover</t>
  </si>
  <si>
    <t>E3733P010</t>
  </si>
  <si>
    <t>Churchover</t>
  </si>
  <si>
    <t>RugbyClifton upon Dunsmore</t>
  </si>
  <si>
    <t>E3733P011</t>
  </si>
  <si>
    <t>Clifton upon Dunsmore</t>
  </si>
  <si>
    <t>RugbyCombe Fields</t>
  </si>
  <si>
    <t>E3733P012</t>
  </si>
  <si>
    <t>Combe Fields</t>
  </si>
  <si>
    <t>RugbyCopston Magna</t>
  </si>
  <si>
    <t>E3733P013</t>
  </si>
  <si>
    <t>Copston Magna</t>
  </si>
  <si>
    <t>RugbyCosford</t>
  </si>
  <si>
    <t>E3733P014</t>
  </si>
  <si>
    <t>Cosford</t>
  </si>
  <si>
    <t>RugbyDunchurch</t>
  </si>
  <si>
    <t>E3733P015</t>
  </si>
  <si>
    <t>Dunchurch</t>
  </si>
  <si>
    <t>RugbyEasenhall</t>
  </si>
  <si>
    <t>E3733P016</t>
  </si>
  <si>
    <t>Easenhall</t>
  </si>
  <si>
    <t>RugbyFrankton</t>
  </si>
  <si>
    <t>E3733P017</t>
  </si>
  <si>
    <t>Frankton</t>
  </si>
  <si>
    <t>RugbyGrandborough</t>
  </si>
  <si>
    <t>E3733P018</t>
  </si>
  <si>
    <t>Grandborough</t>
  </si>
  <si>
    <t>RugbyHarborough Magna</t>
  </si>
  <si>
    <t>E3733P019</t>
  </si>
  <si>
    <t>Harborough Magna</t>
  </si>
  <si>
    <t>RugbyKing's Newnham</t>
  </si>
  <si>
    <t>E3733P020</t>
  </si>
  <si>
    <t>King's Newnham</t>
  </si>
  <si>
    <t>RugbyLeamington Hastings</t>
  </si>
  <si>
    <t>E3733P021</t>
  </si>
  <si>
    <t>Leamington Hastings</t>
  </si>
  <si>
    <t>RugbyLong Lawford</t>
  </si>
  <si>
    <t>E3733P023</t>
  </si>
  <si>
    <t>Long Lawford</t>
  </si>
  <si>
    <t>RugbyMarton</t>
  </si>
  <si>
    <t>E3733P024</t>
  </si>
  <si>
    <t>RugbyMonks Kirby</t>
  </si>
  <si>
    <t>E3733P025</t>
  </si>
  <si>
    <t>Monks Kirby</t>
  </si>
  <si>
    <t>RugbyNewton and Biggin</t>
  </si>
  <si>
    <t>E3733P026</t>
  </si>
  <si>
    <t>Newton and Biggin</t>
  </si>
  <si>
    <t>RugbyPailton</t>
  </si>
  <si>
    <t>E3733P027</t>
  </si>
  <si>
    <t>Pailton</t>
  </si>
  <si>
    <t>RugbyPrincethorpe</t>
  </si>
  <si>
    <t>E3733P028</t>
  </si>
  <si>
    <t>Princethorpe</t>
  </si>
  <si>
    <t>RugbyRyton on Dunsmore</t>
  </si>
  <si>
    <t>E3733P029</t>
  </si>
  <si>
    <t>Ryton on Dunsmore</t>
  </si>
  <si>
    <t>RugbyShilton &amp; Barnacle</t>
  </si>
  <si>
    <t>E3733P030</t>
  </si>
  <si>
    <t>Shilton &amp; Barnacle</t>
  </si>
  <si>
    <t>RugbyStretton Baskerville</t>
  </si>
  <si>
    <t>E3733P031</t>
  </si>
  <si>
    <t>Stretton Baskerville</t>
  </si>
  <si>
    <t>RugbyStretton under Fosse</t>
  </si>
  <si>
    <t>E3733P032</t>
  </si>
  <si>
    <t>Stretton under Fosse</t>
  </si>
  <si>
    <t>RugbyStretton on Dunsmore</t>
  </si>
  <si>
    <t>E3733P033</t>
  </si>
  <si>
    <t>Stretton on Dunsmore</t>
  </si>
  <si>
    <t>RugbyThurlaston</t>
  </si>
  <si>
    <t>E3733P034</t>
  </si>
  <si>
    <t>RugbyWibtoft</t>
  </si>
  <si>
    <t>E3733P035</t>
  </si>
  <si>
    <t>Wibtoft</t>
  </si>
  <si>
    <t>RugbyWilley</t>
  </si>
  <si>
    <t>E3733P036</t>
  </si>
  <si>
    <t>Willey</t>
  </si>
  <si>
    <t>RugbyWilloughby</t>
  </si>
  <si>
    <t>E3733P037</t>
  </si>
  <si>
    <t>Willoughby</t>
  </si>
  <si>
    <t>RugbyWithybrook</t>
  </si>
  <si>
    <t>E3733P038</t>
  </si>
  <si>
    <t>Withybrook</t>
  </si>
  <si>
    <t>RugbyWolfhampcote</t>
  </si>
  <si>
    <t>E3733P039</t>
  </si>
  <si>
    <t>Wolfhampcote</t>
  </si>
  <si>
    <t>RugbyWolston</t>
  </si>
  <si>
    <t>E3733P040</t>
  </si>
  <si>
    <t>Wolston</t>
  </si>
  <si>
    <t>RugbyWolvey</t>
  </si>
  <si>
    <t>E3733P041</t>
  </si>
  <si>
    <t>Wolvey</t>
  </si>
  <si>
    <t>Stratford-on-AvonAdmington</t>
  </si>
  <si>
    <t>E3734P001</t>
  </si>
  <si>
    <t>Admington</t>
  </si>
  <si>
    <t>Stratford-on-AvonAlcester</t>
  </si>
  <si>
    <t>E3734P002</t>
  </si>
  <si>
    <t>Alcester</t>
  </si>
  <si>
    <t>Stratford-on-AvonAlderminster</t>
  </si>
  <si>
    <t>E3734P003</t>
  </si>
  <si>
    <t>Alderminster</t>
  </si>
  <si>
    <t>Stratford-on-AvonArrow with Weethley</t>
  </si>
  <si>
    <t>E3734P004</t>
  </si>
  <si>
    <t>Arrow with Weethley</t>
  </si>
  <si>
    <t>Stratford-on-AvonAston Cantlow</t>
  </si>
  <si>
    <t>E3734P005</t>
  </si>
  <si>
    <t>Aston Cantlow</t>
  </si>
  <si>
    <t>Stratford-on-AvonAtherstone on Stour</t>
  </si>
  <si>
    <t>E3734P006</t>
  </si>
  <si>
    <t>Atherstone on Stour</t>
  </si>
  <si>
    <t>Stratford-on-AvonAvon Dassett</t>
  </si>
  <si>
    <t>E3734P007</t>
  </si>
  <si>
    <t>Avon Dassett</t>
  </si>
  <si>
    <t>Stratford-on-AvonBarcheston &amp; Willington</t>
  </si>
  <si>
    <t>E3734P008</t>
  </si>
  <si>
    <t>Barcheston &amp; Willington</t>
  </si>
  <si>
    <t>Stratford-on-AvonBarton on the Heath</t>
  </si>
  <si>
    <t>E3734P009</t>
  </si>
  <si>
    <t>Barton on the Heath</t>
  </si>
  <si>
    <t>Stratford-on-AvonBearley</t>
  </si>
  <si>
    <t>E3734P010</t>
  </si>
  <si>
    <t>Bearley</t>
  </si>
  <si>
    <t>Stratford-on-AvonBeaudesert</t>
  </si>
  <si>
    <t>E3734P011</t>
  </si>
  <si>
    <t>Beaudesert</t>
  </si>
  <si>
    <t>Stratford-on-AvonBidford on Avon</t>
  </si>
  <si>
    <t>E3734P012</t>
  </si>
  <si>
    <t>Bidford on Avon</t>
  </si>
  <si>
    <t>Stratford-on-AvonBillesley</t>
  </si>
  <si>
    <t>E3734P013</t>
  </si>
  <si>
    <t>Billesley</t>
  </si>
  <si>
    <t>Stratford-on-AvonBinton</t>
  </si>
  <si>
    <t>E3734P014</t>
  </si>
  <si>
    <t>Binton</t>
  </si>
  <si>
    <t>Stratford-on-AvonBishop's Itchington</t>
  </si>
  <si>
    <t>E3734P015</t>
  </si>
  <si>
    <t>Bishop's Itchington</t>
  </si>
  <si>
    <t>Stratford-on-AvonBrailes</t>
  </si>
  <si>
    <t>E3734P016</t>
  </si>
  <si>
    <t>Brailes</t>
  </si>
  <si>
    <t>Stratford-on-AvonBurmington</t>
  </si>
  <si>
    <t>E3734P017</t>
  </si>
  <si>
    <t>Burmington</t>
  </si>
  <si>
    <t>Stratford-on-AvonBurton Dassett</t>
  </si>
  <si>
    <t>E3734P018</t>
  </si>
  <si>
    <t>Burton Dassett</t>
  </si>
  <si>
    <t>Stratford-on-AvonButlers Marston</t>
  </si>
  <si>
    <t>E3734P019</t>
  </si>
  <si>
    <t>Butlers Marston</t>
  </si>
  <si>
    <t>Stratford-on-AvonChadshunt</t>
  </si>
  <si>
    <t>E3734P020</t>
  </si>
  <si>
    <t>Chadshunt</t>
  </si>
  <si>
    <t>Stratford-on-AvonChapel Ascote</t>
  </si>
  <si>
    <t>E3734P021</t>
  </si>
  <si>
    <t>Chapel Ascote</t>
  </si>
  <si>
    <t>Stratford-on-AvonCharlecote</t>
  </si>
  <si>
    <t>E3734P022</t>
  </si>
  <si>
    <t>Charlecote</t>
  </si>
  <si>
    <t>Stratford-on-AvonCherington</t>
  </si>
  <si>
    <t>E3734P023</t>
  </si>
  <si>
    <t>Stratford-on-AvonChesterton and Kingston</t>
  </si>
  <si>
    <t>E3734P024</t>
  </si>
  <si>
    <t>Chesterton and Kingston</t>
  </si>
  <si>
    <t>Stratford-on-AvonClaverdon</t>
  </si>
  <si>
    <t>E3734P025</t>
  </si>
  <si>
    <t>Claverdon</t>
  </si>
  <si>
    <t>Stratford-on-AvonClifford Chambers and Milcote</t>
  </si>
  <si>
    <t>E3734P026</t>
  </si>
  <si>
    <t>Clifford Chambers and Milcote</t>
  </si>
  <si>
    <t>Stratford-on-AvonCombrook</t>
  </si>
  <si>
    <t>E3734P027</t>
  </si>
  <si>
    <t>Combrook</t>
  </si>
  <si>
    <t>Stratford-on-AvonCompton Verney</t>
  </si>
  <si>
    <t>E3734P028</t>
  </si>
  <si>
    <t>Compton Verney</t>
  </si>
  <si>
    <t>Stratford-on-AvonCompton Wynyates</t>
  </si>
  <si>
    <t>E3734P029</t>
  </si>
  <si>
    <t>Compton Wynyates</t>
  </si>
  <si>
    <t>Stratford-on-AvonCoughton</t>
  </si>
  <si>
    <t>E3734P030</t>
  </si>
  <si>
    <t>Coughton</t>
  </si>
  <si>
    <t>Stratford-on-AvonDorsington</t>
  </si>
  <si>
    <t>E3734P031</t>
  </si>
  <si>
    <t>Dorsington</t>
  </si>
  <si>
    <t>Stratford-on-AvonEttington</t>
  </si>
  <si>
    <t>E3734P032</t>
  </si>
  <si>
    <t>Ettington</t>
  </si>
  <si>
    <t>Stratford-on-AvonExhall</t>
  </si>
  <si>
    <t>E3734P033</t>
  </si>
  <si>
    <t>Exhall</t>
  </si>
  <si>
    <t>Stratford-on-AvonFarnborough</t>
  </si>
  <si>
    <t>E3734P034</t>
  </si>
  <si>
    <t>Stratford-on-AvonFenny Compton</t>
  </si>
  <si>
    <t>E3734P035</t>
  </si>
  <si>
    <t>Fenny Compton</t>
  </si>
  <si>
    <t>Stratford-on-AvonFulbrook</t>
  </si>
  <si>
    <t>E3734P036</t>
  </si>
  <si>
    <t>Stratford-on-AvonGaydon</t>
  </si>
  <si>
    <t>E3734P037</t>
  </si>
  <si>
    <t>Gaydon</t>
  </si>
  <si>
    <t>Stratford-on-AvonGreat Alne</t>
  </si>
  <si>
    <t>E3734P038</t>
  </si>
  <si>
    <t>Great Alne</t>
  </si>
  <si>
    <t>Stratford-on-AvonHalford</t>
  </si>
  <si>
    <t>E3734P040</t>
  </si>
  <si>
    <t>Halford</t>
  </si>
  <si>
    <t>Stratford-on-AvonHampton Lucy</t>
  </si>
  <si>
    <t>E3734P041</t>
  </si>
  <si>
    <t>Hampton Lucy</t>
  </si>
  <si>
    <t>Stratford-on-AvonHarbury</t>
  </si>
  <si>
    <t>E3734P042</t>
  </si>
  <si>
    <t>Harbury</t>
  </si>
  <si>
    <t>Stratford-on-AvonHaselor</t>
  </si>
  <si>
    <t>E3734P043</t>
  </si>
  <si>
    <t>Haselor</t>
  </si>
  <si>
    <t>Stratford-on-AvonHodnell &amp; Wills Pastures</t>
  </si>
  <si>
    <t>E3734P044</t>
  </si>
  <si>
    <t>Hodnell &amp; Wills Pastures</t>
  </si>
  <si>
    <t>Stratford-on-AvonHonington</t>
  </si>
  <si>
    <t>E3734P045</t>
  </si>
  <si>
    <t>Stratford-on-AvonIdlicote</t>
  </si>
  <si>
    <t>E3734P046</t>
  </si>
  <si>
    <t>Idlicote</t>
  </si>
  <si>
    <t>Stratford-on-AvonIlmington</t>
  </si>
  <si>
    <t>E3734P047</t>
  </si>
  <si>
    <t>Ilmington</t>
  </si>
  <si>
    <t>Stratford-on-AvonKineton</t>
  </si>
  <si>
    <t>E3734P048</t>
  </si>
  <si>
    <t>Kineton</t>
  </si>
  <si>
    <t>Stratford-on-AvonKinwarton</t>
  </si>
  <si>
    <t>E3734P049</t>
  </si>
  <si>
    <t>Kinwarton</t>
  </si>
  <si>
    <t>Stratford-on-AvonLadbroke</t>
  </si>
  <si>
    <t>E3734P050</t>
  </si>
  <si>
    <t>Ladbroke</t>
  </si>
  <si>
    <t>Stratford-on-AvonLangley</t>
  </si>
  <si>
    <t>E3734P051</t>
  </si>
  <si>
    <t>Stratford-on-AvonLighthorne</t>
  </si>
  <si>
    <t>E3734P052</t>
  </si>
  <si>
    <t>Lighthorne</t>
  </si>
  <si>
    <t>Stratford-on-AvonLittle Compton</t>
  </si>
  <si>
    <t>E3734P054</t>
  </si>
  <si>
    <t>Little Compton</t>
  </si>
  <si>
    <t>Stratford-on-AvonLong Compton</t>
  </si>
  <si>
    <t>E3734P056</t>
  </si>
  <si>
    <t>Long Compton</t>
  </si>
  <si>
    <t>Stratford-on-AvonLong Itchington</t>
  </si>
  <si>
    <t>E3734P057</t>
  </si>
  <si>
    <t>Long Itchington</t>
  </si>
  <si>
    <t>Stratford-on-AvonLoxley</t>
  </si>
  <si>
    <t>E3734P058</t>
  </si>
  <si>
    <t>Loxley</t>
  </si>
  <si>
    <t>Stratford-on-AvonLuddington</t>
  </si>
  <si>
    <t>E3734P059</t>
  </si>
  <si>
    <t>Luddington</t>
  </si>
  <si>
    <t>Stratford-on-AvonMappleborough Green</t>
  </si>
  <si>
    <t>E3734P060</t>
  </si>
  <si>
    <t>Mappleborough Green</t>
  </si>
  <si>
    <t>Stratford-on-AvonMarston Sicca</t>
  </si>
  <si>
    <t>E3734P061</t>
  </si>
  <si>
    <t>Marston Sicca</t>
  </si>
  <si>
    <t>Stratford-on-AvonMoreton Morrell</t>
  </si>
  <si>
    <t>E3734P062</t>
  </si>
  <si>
    <t>Moreton Morrell</t>
  </si>
  <si>
    <t>Stratford-on-AvonMorton Bagot Oldberrow &amp; Spernal</t>
  </si>
  <si>
    <t>E3734P063</t>
  </si>
  <si>
    <t>Morton Bagot Oldberrow &amp; Spernal</t>
  </si>
  <si>
    <t>Stratford-on-AvonNapton on the Hill</t>
  </si>
  <si>
    <t>E3734P064</t>
  </si>
  <si>
    <t>Napton on the Hill</t>
  </si>
  <si>
    <t>Stratford-on-AvonNewbold Pacey</t>
  </si>
  <si>
    <t>E3734P065</t>
  </si>
  <si>
    <t>Newbold Pacey</t>
  </si>
  <si>
    <t>Stratford-on-AvonOxhill</t>
  </si>
  <si>
    <t>E3734P067</t>
  </si>
  <si>
    <t>Oxhill</t>
  </si>
  <si>
    <t>Stratford-on-AvonPillerton Hersey</t>
  </si>
  <si>
    <t>E3734P068</t>
  </si>
  <si>
    <t>Pillerton Hersey</t>
  </si>
  <si>
    <t>Stratford-on-AvonPillerton Priors</t>
  </si>
  <si>
    <t>E3734P069</t>
  </si>
  <si>
    <t>Pillerton Priors</t>
  </si>
  <si>
    <t>Stratford-on-AvonPreston Bagot</t>
  </si>
  <si>
    <t>E3734P070</t>
  </si>
  <si>
    <t>Preston Bagot</t>
  </si>
  <si>
    <t>Stratford-on-AvonPreston on Stour</t>
  </si>
  <si>
    <t>E3734P071</t>
  </si>
  <si>
    <t>Preston on Stour</t>
  </si>
  <si>
    <t>Stratford-on-AvonPriors Hardwick</t>
  </si>
  <si>
    <t>E3734P072</t>
  </si>
  <si>
    <t>Priors Hardwick</t>
  </si>
  <si>
    <t>Stratford-on-AvonPriors Marston</t>
  </si>
  <si>
    <t>E3734P073</t>
  </si>
  <si>
    <t>Priors Marston</t>
  </si>
  <si>
    <t>Stratford-on-AvonQuinton</t>
  </si>
  <si>
    <t>E3734P074</t>
  </si>
  <si>
    <t>Stratford-on-AvonRadbourne</t>
  </si>
  <si>
    <t>E3734P075</t>
  </si>
  <si>
    <t>Stratford-on-AvonRadway</t>
  </si>
  <si>
    <t>E3734P076</t>
  </si>
  <si>
    <t>Radway</t>
  </si>
  <si>
    <t>Stratford-on-AvonRatley and Upton</t>
  </si>
  <si>
    <t>E3734P077</t>
  </si>
  <si>
    <t>Ratley and Upton</t>
  </si>
  <si>
    <t>Stratford-on-AvonSalford Priors</t>
  </si>
  <si>
    <t>E3734P078</t>
  </si>
  <si>
    <t>Salford Priors</t>
  </si>
  <si>
    <t>Stratford-on-AvonSambourne</t>
  </si>
  <si>
    <t>E3734P079</t>
  </si>
  <si>
    <t>Sambourne</t>
  </si>
  <si>
    <t>Stratford-on-AvonShipston on Stour</t>
  </si>
  <si>
    <t>E3734P080</t>
  </si>
  <si>
    <t>Shipston on Stour</t>
  </si>
  <si>
    <t>Stratford-on-AvonShotteswell</t>
  </si>
  <si>
    <t>E3734P081</t>
  </si>
  <si>
    <t>Shotteswell</t>
  </si>
  <si>
    <t>Stratford-on-AvonSnitterfield</t>
  </si>
  <si>
    <t>E3734P082</t>
  </si>
  <si>
    <t>Snitterfield</t>
  </si>
  <si>
    <t>Stratford-on-AvonSoutham</t>
  </si>
  <si>
    <t>E3734P083</t>
  </si>
  <si>
    <t>Stratford-on-AvonStockton</t>
  </si>
  <si>
    <t>E3734P084</t>
  </si>
  <si>
    <t>Stratford-on-AvonStoneton</t>
  </si>
  <si>
    <t>E3734P085</t>
  </si>
  <si>
    <t>Stoneton</t>
  </si>
  <si>
    <t>Stratford-on-AvonStratford upon Avon</t>
  </si>
  <si>
    <t>E3734P086</t>
  </si>
  <si>
    <t>Stratford upon Avon</t>
  </si>
  <si>
    <t>Stratford-on-AvonStretton on Fosse</t>
  </si>
  <si>
    <t>E3734P087</t>
  </si>
  <si>
    <t>Stretton on Fosse</t>
  </si>
  <si>
    <t>Stratford-on-AvonStudley</t>
  </si>
  <si>
    <t>E3734P088</t>
  </si>
  <si>
    <t>Studley</t>
  </si>
  <si>
    <t>Stratford-on-AvonSutton under Brailes</t>
  </si>
  <si>
    <t>E3734P089</t>
  </si>
  <si>
    <t>Sutton under Brailes</t>
  </si>
  <si>
    <t>Stratford-on-AvonTanworth in Arden</t>
  </si>
  <si>
    <t>E3734P090</t>
  </si>
  <si>
    <t>Tanworth in Arden</t>
  </si>
  <si>
    <t>Stratford-on-AvonTemple Grafton</t>
  </si>
  <si>
    <t>E3734P091</t>
  </si>
  <si>
    <t>Temple Grafton</t>
  </si>
  <si>
    <t>Stratford-on-AvonTidmington</t>
  </si>
  <si>
    <t>E3734P092</t>
  </si>
  <si>
    <t>Tidmington</t>
  </si>
  <si>
    <t>Stratford-on-AvonTredington</t>
  </si>
  <si>
    <t>E3734P093</t>
  </si>
  <si>
    <t>Tredington</t>
  </si>
  <si>
    <t>Stratford-on-AvonTysoe</t>
  </si>
  <si>
    <t>E3734P094</t>
  </si>
  <si>
    <t>Tysoe</t>
  </si>
  <si>
    <t>Stratford-on-AvonUfton</t>
  </si>
  <si>
    <t>E3734P095</t>
  </si>
  <si>
    <t>Ufton</t>
  </si>
  <si>
    <t>Stratford-on-AvonUllenhall</t>
  </si>
  <si>
    <t>E3734P096</t>
  </si>
  <si>
    <t>Ullenhall</t>
  </si>
  <si>
    <t>Stratford-on-AvonUpper &amp; Lower Shuckburgh</t>
  </si>
  <si>
    <t>E3734P097</t>
  </si>
  <si>
    <t>Upper &amp; Lower Shuckburgh</t>
  </si>
  <si>
    <t>Stratford-on-AvonWarmington</t>
  </si>
  <si>
    <t>E3734P098</t>
  </si>
  <si>
    <t>Stratford-on-AvonWatergall</t>
  </si>
  <si>
    <t>E3734P099</t>
  </si>
  <si>
    <t>Watergall</t>
  </si>
  <si>
    <t>Stratford-on-AvonWelford on Avon</t>
  </si>
  <si>
    <t>E3734P100</t>
  </si>
  <si>
    <t>Welford on Avon</t>
  </si>
  <si>
    <t>Stratford-on-AvonWellesbourne</t>
  </si>
  <si>
    <t>E3734P101</t>
  </si>
  <si>
    <t>Wellesbourne</t>
  </si>
  <si>
    <t>Stratford-on-AvonWeston on Avon</t>
  </si>
  <si>
    <t>E3734P102</t>
  </si>
  <si>
    <t>Weston on Avon</t>
  </si>
  <si>
    <t>Stratford-on-AvonWhatcote</t>
  </si>
  <si>
    <t>E3734P103</t>
  </si>
  <si>
    <t>Whatcote</t>
  </si>
  <si>
    <t>Stratford-on-AvonWhichford</t>
  </si>
  <si>
    <t>E3734P104</t>
  </si>
  <si>
    <t>Whichford</t>
  </si>
  <si>
    <t>Stratford-on-AvonWhitchurch</t>
  </si>
  <si>
    <t>E3734P105</t>
  </si>
  <si>
    <t>Stratford-on-AvonWilmcote</t>
  </si>
  <si>
    <t>E3734P106</t>
  </si>
  <si>
    <t>Wilmcote</t>
  </si>
  <si>
    <t>Stratford-on-AvonWixford</t>
  </si>
  <si>
    <t>E3734P107</t>
  </si>
  <si>
    <t>Wixford</t>
  </si>
  <si>
    <t>Stratford-on-AvonWolverton</t>
  </si>
  <si>
    <t>E3734P108</t>
  </si>
  <si>
    <t>Wolverton</t>
  </si>
  <si>
    <t>Stratford-on-AvonWootton Wawen</t>
  </si>
  <si>
    <t>E3734P109</t>
  </si>
  <si>
    <t>Wootton Wawen</t>
  </si>
  <si>
    <t>Stratford-on-AvonWormleighton</t>
  </si>
  <si>
    <t>E3734P110</t>
  </si>
  <si>
    <t>Wormleighton</t>
  </si>
  <si>
    <t>Stratford-on-AvonUpper Lighthorne</t>
  </si>
  <si>
    <t>E3734P111</t>
  </si>
  <si>
    <t>Upper Lighthorne</t>
  </si>
  <si>
    <t>Stratford-on-AvonThe Wolfords Joint Parish Council</t>
  </si>
  <si>
    <t>E3734P112</t>
  </si>
  <si>
    <t>The Wolfords Joint Parish Council</t>
  </si>
  <si>
    <t>WarwickAshow (grouped with Stoneleigh)</t>
  </si>
  <si>
    <t>E3735P001</t>
  </si>
  <si>
    <t>Ashow (grouped with Stoneleigh)</t>
  </si>
  <si>
    <t>WarwickBaddesley Clinton</t>
  </si>
  <si>
    <t>E3735P002</t>
  </si>
  <si>
    <t>Baddesley Clinton</t>
  </si>
  <si>
    <t>WarwickBaginton</t>
  </si>
  <si>
    <t>E3735P003</t>
  </si>
  <si>
    <t>Baginton</t>
  </si>
  <si>
    <t>WarwickBarford Sherbourne &amp; Wasperton</t>
  </si>
  <si>
    <t>E3735P004</t>
  </si>
  <si>
    <t>Barford Sherbourne &amp; Wasperton</t>
  </si>
  <si>
    <t>WarwickBeausale (grouped with Haseley Honiley and Wroxall)</t>
  </si>
  <si>
    <t>E3735P005</t>
  </si>
  <si>
    <t>Beausale (grouped with Haseley Honiley and Wroxall)</t>
  </si>
  <si>
    <t>WarwickBishop's Tachbrook</t>
  </si>
  <si>
    <t>E3735P006</t>
  </si>
  <si>
    <t>Bishop's Tachbrook</t>
  </si>
  <si>
    <t>WarwickBlackdown (grouped with Old Milverton)</t>
  </si>
  <si>
    <t>E3735P007</t>
  </si>
  <si>
    <t>Blackdown (grouped with Old Milverton)</t>
  </si>
  <si>
    <t>WarwickBubbenhall</t>
  </si>
  <si>
    <t>E3735P008</t>
  </si>
  <si>
    <t>Bubbenhall</t>
  </si>
  <si>
    <t>WarwickBudbrooke</t>
  </si>
  <si>
    <t>E3735P009</t>
  </si>
  <si>
    <t>Budbrooke</t>
  </si>
  <si>
    <t>WarwickBushwood</t>
  </si>
  <si>
    <t>E3735P010</t>
  </si>
  <si>
    <t>Bushwood</t>
  </si>
  <si>
    <t>WarwickCubbington</t>
  </si>
  <si>
    <t>E3735P011</t>
  </si>
  <si>
    <t>Cubbington</t>
  </si>
  <si>
    <t>WarwickEathorpe Hunningham Offchurch Wappenbury</t>
  </si>
  <si>
    <t>E3735P012</t>
  </si>
  <si>
    <t>Eathorpe Hunningham Offchurch Wappenbury</t>
  </si>
  <si>
    <t>WarwickHatton</t>
  </si>
  <si>
    <t>E3735P013</t>
  </si>
  <si>
    <t>WarwickHunningham (grouped with EathorpeOffchurch and Wappenbury)</t>
  </si>
  <si>
    <t>E3735P014</t>
  </si>
  <si>
    <t>Hunningham (grouped with EathorpeOffchurch and Wappenbury)</t>
  </si>
  <si>
    <t>WarwickKenilworth</t>
  </si>
  <si>
    <t>E3735P015</t>
  </si>
  <si>
    <t>Kenilworth</t>
  </si>
  <si>
    <t>WarwickLapworth</t>
  </si>
  <si>
    <t>E3735P016</t>
  </si>
  <si>
    <t>Lapworth</t>
  </si>
  <si>
    <t>WarwickLeek Wootton and Guy's Cliffe</t>
  </si>
  <si>
    <t>E3735P017</t>
  </si>
  <si>
    <t>Leek Wootton and Guy's Cliffe</t>
  </si>
  <si>
    <t>WarwickNorton Lindsey</t>
  </si>
  <si>
    <t>E3735P018</t>
  </si>
  <si>
    <t>Norton Lindsey</t>
  </si>
  <si>
    <t>WarwickOffchurch (grouped with Eathorpe Hunningham and Wappenbury)</t>
  </si>
  <si>
    <t>E3735P019</t>
  </si>
  <si>
    <t>Offchurch (grouped with Eathorpe Hunningham and Wappenbury)</t>
  </si>
  <si>
    <t>WarwickOld Milverton &amp; Blackdown</t>
  </si>
  <si>
    <t>E3735P020</t>
  </si>
  <si>
    <t>Old Milverton &amp; Blackdown</t>
  </si>
  <si>
    <t>WarwickRadford Semele</t>
  </si>
  <si>
    <t>E3735P021</t>
  </si>
  <si>
    <t>Radford Semele</t>
  </si>
  <si>
    <t>WarwickRowington</t>
  </si>
  <si>
    <t>E3735P022</t>
  </si>
  <si>
    <t>Rowington</t>
  </si>
  <si>
    <t>WarwickRoyal Leamington Spa</t>
  </si>
  <si>
    <t>E3735P023</t>
  </si>
  <si>
    <t>Royal Leamington Spa</t>
  </si>
  <si>
    <t>WarwickSherbourne (grouped with Barford and Wasperton)</t>
  </si>
  <si>
    <t>E3735P024</t>
  </si>
  <si>
    <t>Sherbourne (grouped with Barford and Wasperton)</t>
  </si>
  <si>
    <t>WarwickShrewley</t>
  </si>
  <si>
    <t>E3735P025</t>
  </si>
  <si>
    <t>Shrewley</t>
  </si>
  <si>
    <t>WarwickStoneleigh &amp; Ashow</t>
  </si>
  <si>
    <t>E3735P026</t>
  </si>
  <si>
    <t>Stoneleigh &amp; Ashow</t>
  </si>
  <si>
    <t>WarwickWappenbury (grouped with Eathorpe Hunningham and Offchurch)</t>
  </si>
  <si>
    <t>E3735P027</t>
  </si>
  <si>
    <t>Wappenbury (grouped with Eathorpe Hunningham and Offchurch)</t>
  </si>
  <si>
    <t>WarwickWarwick</t>
  </si>
  <si>
    <t>E3735P028</t>
  </si>
  <si>
    <t>WarwickWasperton (grouped with Barford and Sherbourne)</t>
  </si>
  <si>
    <t>E3735P029</t>
  </si>
  <si>
    <t>Wasperton (grouped with Barford and Sherbourne)</t>
  </si>
  <si>
    <t>WarwickWeston under Wetherley</t>
  </si>
  <si>
    <t>E3735P030</t>
  </si>
  <si>
    <t>Weston under Wetherley</t>
  </si>
  <si>
    <t>WarwickWhitnash</t>
  </si>
  <si>
    <t>E3735P031</t>
  </si>
  <si>
    <t>Whitnash</t>
  </si>
  <si>
    <t>WarwickBurton Green</t>
  </si>
  <si>
    <t>E3735P032</t>
  </si>
  <si>
    <t>Burton Green</t>
  </si>
  <si>
    <t>WarwickHaseley (grouped with Beausale Honiley and Wroxall)</t>
  </si>
  <si>
    <t>E3735P033</t>
  </si>
  <si>
    <t>Haseley (grouped with Beausale Honiley and Wroxall)</t>
  </si>
  <si>
    <t>WarwickHoniley (grouped with Beausale Haseley and Wroxall)</t>
  </si>
  <si>
    <t>E3735P034</t>
  </si>
  <si>
    <t>Honiley (grouped with Beausale Haseley and Wroxall)</t>
  </si>
  <si>
    <t>WarwickWroxall (grouped with Beausale Haseley and Honiley)</t>
  </si>
  <si>
    <t>E3735P035</t>
  </si>
  <si>
    <t>Wroxall (grouped with Beausale Haseley and Honiley)</t>
  </si>
  <si>
    <t>AdurCoombes</t>
  </si>
  <si>
    <t>E3831P001</t>
  </si>
  <si>
    <t>Coombes</t>
  </si>
  <si>
    <t>AdurLancing</t>
  </si>
  <si>
    <t>E3831P002</t>
  </si>
  <si>
    <t>Lancing</t>
  </si>
  <si>
    <t>AdurSompting</t>
  </si>
  <si>
    <t>E3831P003</t>
  </si>
  <si>
    <t>Sompting</t>
  </si>
  <si>
    <t>ArunAldingbourne</t>
  </si>
  <si>
    <t>E3832P001</t>
  </si>
  <si>
    <t>Aldingbourne</t>
  </si>
  <si>
    <t>ArunAldwick</t>
  </si>
  <si>
    <t>E3832P002</t>
  </si>
  <si>
    <t>Aldwick</t>
  </si>
  <si>
    <t>ArunAngmering</t>
  </si>
  <si>
    <t>E3832P003</t>
  </si>
  <si>
    <t>Angmering</t>
  </si>
  <si>
    <t>ArunArundel</t>
  </si>
  <si>
    <t>E3832P004</t>
  </si>
  <si>
    <t>Arundel</t>
  </si>
  <si>
    <t>ArunBarnham and Eastergate</t>
  </si>
  <si>
    <t>E3832P005</t>
  </si>
  <si>
    <t>Barnham and Eastergate</t>
  </si>
  <si>
    <t>ArunBersted</t>
  </si>
  <si>
    <t>E3832P006</t>
  </si>
  <si>
    <t>Bersted</t>
  </si>
  <si>
    <t>ArunBognor Regis</t>
  </si>
  <si>
    <t>E3832P007</t>
  </si>
  <si>
    <t>Bognor Regis</t>
  </si>
  <si>
    <t>ArunBurpham</t>
  </si>
  <si>
    <t>E3832P008</t>
  </si>
  <si>
    <t>Burpham</t>
  </si>
  <si>
    <t>ArunClapham</t>
  </si>
  <si>
    <t>E3832P009</t>
  </si>
  <si>
    <t>ArunClimping</t>
  </si>
  <si>
    <t>E3832P010</t>
  </si>
  <si>
    <t>Climping</t>
  </si>
  <si>
    <t>ArunEast Preston</t>
  </si>
  <si>
    <t>E3832P011</t>
  </si>
  <si>
    <t>East Preston</t>
  </si>
  <si>
    <t>ArunFelpham</t>
  </si>
  <si>
    <t>E3832P013</t>
  </si>
  <si>
    <t>Felpham</t>
  </si>
  <si>
    <t>ArunFerring</t>
  </si>
  <si>
    <t>E3832P014</t>
  </si>
  <si>
    <t>Ferring</t>
  </si>
  <si>
    <t>ArunFindon</t>
  </si>
  <si>
    <t>E3832P015</t>
  </si>
  <si>
    <t>Findon</t>
  </si>
  <si>
    <t>ArunFord</t>
  </si>
  <si>
    <t>E3832P016</t>
  </si>
  <si>
    <t>ArunHoughton</t>
  </si>
  <si>
    <t>E3832P017</t>
  </si>
  <si>
    <t>ArunKingston</t>
  </si>
  <si>
    <t>E3832P018</t>
  </si>
  <si>
    <t>ArunLittlehampton</t>
  </si>
  <si>
    <t>E3832P019</t>
  </si>
  <si>
    <t>Littlehampton</t>
  </si>
  <si>
    <t>ArunLyminster and Crossbush</t>
  </si>
  <si>
    <t>E3832P020</t>
  </si>
  <si>
    <t>Lyminster and Crossbush</t>
  </si>
  <si>
    <t>ArunMadehurst</t>
  </si>
  <si>
    <t>E3832P021</t>
  </si>
  <si>
    <t>Madehurst</t>
  </si>
  <si>
    <t>ArunMiddleton on Sea</t>
  </si>
  <si>
    <t>E3832P022</t>
  </si>
  <si>
    <t>Middleton on Sea</t>
  </si>
  <si>
    <t>ArunPagham</t>
  </si>
  <si>
    <t>E3832P023</t>
  </si>
  <si>
    <t>Pagham</t>
  </si>
  <si>
    <t>ArunPatching</t>
  </si>
  <si>
    <t>E3832P024</t>
  </si>
  <si>
    <t>Patching</t>
  </si>
  <si>
    <t>ArunPoling</t>
  </si>
  <si>
    <t>E3832P025</t>
  </si>
  <si>
    <t>Poling</t>
  </si>
  <si>
    <t>ArunRustington</t>
  </si>
  <si>
    <t>E3832P026</t>
  </si>
  <si>
    <t>Rustington</t>
  </si>
  <si>
    <t>ArunSlindon</t>
  </si>
  <si>
    <t>E3832P027</t>
  </si>
  <si>
    <t>Slindon</t>
  </si>
  <si>
    <t>ArunSouth Stoke</t>
  </si>
  <si>
    <t>E3832P028</t>
  </si>
  <si>
    <t>ArunWalberton</t>
  </si>
  <si>
    <t>E3832P029</t>
  </si>
  <si>
    <t>Walberton</t>
  </si>
  <si>
    <t>ArunWarningcamp</t>
  </si>
  <si>
    <t>E3832P030</t>
  </si>
  <si>
    <t>Warningcamp</t>
  </si>
  <si>
    <t>ArunYapton</t>
  </si>
  <si>
    <t>E3832P031</t>
  </si>
  <si>
    <t>Yapton</t>
  </si>
  <si>
    <t>ChichesterAppledram</t>
  </si>
  <si>
    <t>E3833P001</t>
  </si>
  <si>
    <t>Appledram</t>
  </si>
  <si>
    <t>ChichesterBarlavington</t>
  </si>
  <si>
    <t>E3833P002</t>
  </si>
  <si>
    <t>Barlavington</t>
  </si>
  <si>
    <t>ChichesterBepton</t>
  </si>
  <si>
    <t>E3833P003</t>
  </si>
  <si>
    <t>Bepton</t>
  </si>
  <si>
    <t>ChichesterBignor</t>
  </si>
  <si>
    <t>E3833P004</t>
  </si>
  <si>
    <t>Bignor</t>
  </si>
  <si>
    <t>ChichesterBirdham</t>
  </si>
  <si>
    <t>E3833P005</t>
  </si>
  <si>
    <t>Birdham</t>
  </si>
  <si>
    <t>ChichesterBosham</t>
  </si>
  <si>
    <t>E3833P006</t>
  </si>
  <si>
    <t>Bosham</t>
  </si>
  <si>
    <t>ChichesterBoxgrove</t>
  </si>
  <si>
    <t>E3833P007</t>
  </si>
  <si>
    <t>Boxgrove</t>
  </si>
  <si>
    <t>ChichesterBury</t>
  </si>
  <si>
    <t>E3833P008</t>
  </si>
  <si>
    <t>ChichesterChichester</t>
  </si>
  <si>
    <t>E3833P009</t>
  </si>
  <si>
    <t>ChichesterChidham and Hambrook</t>
  </si>
  <si>
    <t>E3833P010</t>
  </si>
  <si>
    <t>Chidham and Hambrook</t>
  </si>
  <si>
    <t>ChichesterCocking</t>
  </si>
  <si>
    <t>E3833P011</t>
  </si>
  <si>
    <t>Cocking</t>
  </si>
  <si>
    <t>ChichesterCompton</t>
  </si>
  <si>
    <t>E3833P012</t>
  </si>
  <si>
    <t>ChichesterDonnington</t>
  </si>
  <si>
    <t>E3833P013</t>
  </si>
  <si>
    <t>ChichesterDuncton</t>
  </si>
  <si>
    <t>E3833P014</t>
  </si>
  <si>
    <t>Duncton</t>
  </si>
  <si>
    <t>ChichesterEarnley</t>
  </si>
  <si>
    <t>E3833P015</t>
  </si>
  <si>
    <t>Earnley</t>
  </si>
  <si>
    <t>ChichesterEartham</t>
  </si>
  <si>
    <t>E3833P016</t>
  </si>
  <si>
    <t>Eartham</t>
  </si>
  <si>
    <t>ChichesterEasebourne</t>
  </si>
  <si>
    <t>E3833P017</t>
  </si>
  <si>
    <t>Easebourne</t>
  </si>
  <si>
    <t>ChichesterEast Dean</t>
  </si>
  <si>
    <t>E3833P018</t>
  </si>
  <si>
    <t>ChichesterEast Lavington</t>
  </si>
  <si>
    <t>E3833P019</t>
  </si>
  <si>
    <t>East Lavington</t>
  </si>
  <si>
    <t>ChichesterEast Wittering</t>
  </si>
  <si>
    <t>E3833P020</t>
  </si>
  <si>
    <t>East Wittering</t>
  </si>
  <si>
    <t>ChichesterEbernoe</t>
  </si>
  <si>
    <t>E3833P021</t>
  </si>
  <si>
    <t>Ebernoe</t>
  </si>
  <si>
    <t>ChichesterElsted and Treyford</t>
  </si>
  <si>
    <t>E3833P022</t>
  </si>
  <si>
    <t>Elsted and Treyford</t>
  </si>
  <si>
    <t>ChichesterFernhurst</t>
  </si>
  <si>
    <t>E3833P023</t>
  </si>
  <si>
    <t>Fernhurst</t>
  </si>
  <si>
    <t>ChichesterFishbourne</t>
  </si>
  <si>
    <t>E3833P024</t>
  </si>
  <si>
    <t>ChichesterFittleworth</t>
  </si>
  <si>
    <t>E3833P025</t>
  </si>
  <si>
    <t>Fittleworth</t>
  </si>
  <si>
    <t>ChichesterFuntington</t>
  </si>
  <si>
    <t>E3833P026</t>
  </si>
  <si>
    <t>Funtington</t>
  </si>
  <si>
    <t>ChichesterGraffham</t>
  </si>
  <si>
    <t>E3833P027</t>
  </si>
  <si>
    <t>Graffham</t>
  </si>
  <si>
    <t>ChichesterHarting</t>
  </si>
  <si>
    <t>E3833P028</t>
  </si>
  <si>
    <t>Harting</t>
  </si>
  <si>
    <t>ChichesterHeyshott</t>
  </si>
  <si>
    <t>E3833P029</t>
  </si>
  <si>
    <t>Heyshott</t>
  </si>
  <si>
    <t>ChichesterHunston</t>
  </si>
  <si>
    <t>E3833P030</t>
  </si>
  <si>
    <t>ChichesterKirdford</t>
  </si>
  <si>
    <t>E3833P031</t>
  </si>
  <si>
    <t>Kirdford</t>
  </si>
  <si>
    <t>ChichesterLavant</t>
  </si>
  <si>
    <t>E3833P032</t>
  </si>
  <si>
    <t>Lavant</t>
  </si>
  <si>
    <t>ChichesterLinch</t>
  </si>
  <si>
    <t>E3833P033</t>
  </si>
  <si>
    <t>Linch</t>
  </si>
  <si>
    <t>ChichesterLinchmere</t>
  </si>
  <si>
    <t>E3833P034</t>
  </si>
  <si>
    <t>Linchmere</t>
  </si>
  <si>
    <t>ChichesterLodsworth</t>
  </si>
  <si>
    <t>E3833P035</t>
  </si>
  <si>
    <t>Lodsworth</t>
  </si>
  <si>
    <t>ChichesterLoxwood</t>
  </si>
  <si>
    <t>E3833P036</t>
  </si>
  <si>
    <t>Loxwood</t>
  </si>
  <si>
    <t>ChichesterLurgashall</t>
  </si>
  <si>
    <t>E3833P037</t>
  </si>
  <si>
    <t>Lurgashall</t>
  </si>
  <si>
    <t>ChichesterMarden</t>
  </si>
  <si>
    <t>E3833P038</t>
  </si>
  <si>
    <t>ChichesterMidhurst</t>
  </si>
  <si>
    <t>E3833P039</t>
  </si>
  <si>
    <t>Midhurst</t>
  </si>
  <si>
    <t>ChichesterMilland</t>
  </si>
  <si>
    <t>E3833P040</t>
  </si>
  <si>
    <t>Milland</t>
  </si>
  <si>
    <t>ChichesterNorth Mundham</t>
  </si>
  <si>
    <t>E3833P041</t>
  </si>
  <si>
    <t>North Mundham</t>
  </si>
  <si>
    <t>ChichesterNorthchapel</t>
  </si>
  <si>
    <t>E3833P042</t>
  </si>
  <si>
    <t>Northchapel</t>
  </si>
  <si>
    <t>ChichesterOving</t>
  </si>
  <si>
    <t>E3833P043</t>
  </si>
  <si>
    <t>ChichesterPetworth</t>
  </si>
  <si>
    <t>E3833P044</t>
  </si>
  <si>
    <t>Petworth</t>
  </si>
  <si>
    <t>ChichesterPlaistow</t>
  </si>
  <si>
    <t>E3833P045</t>
  </si>
  <si>
    <t>Plaistow</t>
  </si>
  <si>
    <t>ChichesterRogate</t>
  </si>
  <si>
    <t>E3833P046</t>
  </si>
  <si>
    <t>Rogate</t>
  </si>
  <si>
    <t>ChichesterSelsey</t>
  </si>
  <si>
    <t>E3833P047</t>
  </si>
  <si>
    <t>Selsey</t>
  </si>
  <si>
    <t>ChichesterSidlesham</t>
  </si>
  <si>
    <t>E3833P048</t>
  </si>
  <si>
    <t>Sidlesham</t>
  </si>
  <si>
    <t>ChichesterSingleton</t>
  </si>
  <si>
    <t>E3833P049</t>
  </si>
  <si>
    <t>ChichesterSouthbourne</t>
  </si>
  <si>
    <t>E3833P050</t>
  </si>
  <si>
    <t>Southbourne</t>
  </si>
  <si>
    <t>ChichesterStedham with Iping</t>
  </si>
  <si>
    <t>E3833P051</t>
  </si>
  <si>
    <t>Stedham with Iping</t>
  </si>
  <si>
    <t>ChichesterStopham</t>
  </si>
  <si>
    <t>E3833P052</t>
  </si>
  <si>
    <t>Stopham</t>
  </si>
  <si>
    <t>ChichesterStoughton</t>
  </si>
  <si>
    <t>E3833P053</t>
  </si>
  <si>
    <t>ChichesterSutton</t>
  </si>
  <si>
    <t>E3833P054</t>
  </si>
  <si>
    <t>ChichesterTangmere</t>
  </si>
  <si>
    <t>E3833P055</t>
  </si>
  <si>
    <t>Tangmere</t>
  </si>
  <si>
    <t>ChichesterTillington</t>
  </si>
  <si>
    <t>E3833P056</t>
  </si>
  <si>
    <t>Tillington</t>
  </si>
  <si>
    <t>ChichesterTrotton with Chithurst</t>
  </si>
  <si>
    <t>E3833P057</t>
  </si>
  <si>
    <t>Trotton with Chithurst</t>
  </si>
  <si>
    <t>ChichesterUpwaltham</t>
  </si>
  <si>
    <t>E3833P058</t>
  </si>
  <si>
    <t>Upwaltham</t>
  </si>
  <si>
    <t>ChichesterWest Dean</t>
  </si>
  <si>
    <t>E3833P059</t>
  </si>
  <si>
    <t>ChichesterWest Itchenor</t>
  </si>
  <si>
    <t>E3833P060</t>
  </si>
  <si>
    <t>West Itchenor</t>
  </si>
  <si>
    <t>ChichesterWest Lavington</t>
  </si>
  <si>
    <t>E3833P061</t>
  </si>
  <si>
    <t>West Lavington</t>
  </si>
  <si>
    <t>ChichesterWest Thorney</t>
  </si>
  <si>
    <t>E3833P062</t>
  </si>
  <si>
    <t>West Thorney</t>
  </si>
  <si>
    <t>ChichesterWest Wittering</t>
  </si>
  <si>
    <t>E3833P063</t>
  </si>
  <si>
    <t>West Wittering</t>
  </si>
  <si>
    <t>ChichesterWestbourne</t>
  </si>
  <si>
    <t>E3833P064</t>
  </si>
  <si>
    <t>Westbourne</t>
  </si>
  <si>
    <t>ChichesterWesthampnett</t>
  </si>
  <si>
    <t>E3833P065</t>
  </si>
  <si>
    <t>Westhampnett</t>
  </si>
  <si>
    <t>ChichesterWisborough Green</t>
  </si>
  <si>
    <t>E3833P066</t>
  </si>
  <si>
    <t>Wisborough Green</t>
  </si>
  <si>
    <t>ChichesterWoolbeding with Redford</t>
  </si>
  <si>
    <t>E3833P067</t>
  </si>
  <si>
    <t>Woolbeding with Redford</t>
  </si>
  <si>
    <t>HorshamAmberley</t>
  </si>
  <si>
    <t>E3835P001</t>
  </si>
  <si>
    <t>Amberley</t>
  </si>
  <si>
    <t>HorshamAshington</t>
  </si>
  <si>
    <t>E3835P002</t>
  </si>
  <si>
    <t>HorshamAshurst</t>
  </si>
  <si>
    <t>E3835P003</t>
  </si>
  <si>
    <t>Ashurst</t>
  </si>
  <si>
    <t>HorshamBillingshurst</t>
  </si>
  <si>
    <t>E3835P004</t>
  </si>
  <si>
    <t>Billingshurst</t>
  </si>
  <si>
    <t>HorshamBramber</t>
  </si>
  <si>
    <t>E3835P005</t>
  </si>
  <si>
    <t>Bramber</t>
  </si>
  <si>
    <t>HorshamBroadbridge Heath</t>
  </si>
  <si>
    <t>E3835P006</t>
  </si>
  <si>
    <t>Broadbridge Heath</t>
  </si>
  <si>
    <t>HorshamColdwaltham</t>
  </si>
  <si>
    <t>E3835P007</t>
  </si>
  <si>
    <t>Coldwaltham</t>
  </si>
  <si>
    <t>HorshamColgate</t>
  </si>
  <si>
    <t>E3835P008</t>
  </si>
  <si>
    <t>Colgate</t>
  </si>
  <si>
    <t>HorshamCowfold</t>
  </si>
  <si>
    <t>E3835P009</t>
  </si>
  <si>
    <t>Cowfold</t>
  </si>
  <si>
    <t>HorshamHenfield</t>
  </si>
  <si>
    <t>E3835P010</t>
  </si>
  <si>
    <t>Henfield</t>
  </si>
  <si>
    <t>HorshamItchingfield</t>
  </si>
  <si>
    <t>E3835P011</t>
  </si>
  <si>
    <t>Itchingfield</t>
  </si>
  <si>
    <t>HorshamLower Beeding</t>
  </si>
  <si>
    <t>E3835P012</t>
  </si>
  <si>
    <t>Lower Beeding</t>
  </si>
  <si>
    <t>HorshamNorth Horsham</t>
  </si>
  <si>
    <t>E3835P013</t>
  </si>
  <si>
    <t>North Horsham</t>
  </si>
  <si>
    <t>HorshamNuthurst</t>
  </si>
  <si>
    <t>E3835P014</t>
  </si>
  <si>
    <t>Nuthurst</t>
  </si>
  <si>
    <t>HorshamParham</t>
  </si>
  <si>
    <t>E3835P015</t>
  </si>
  <si>
    <t>HorshamPulborough</t>
  </si>
  <si>
    <t>E3835P016</t>
  </si>
  <si>
    <t>Pulborough</t>
  </si>
  <si>
    <t>HorshamRudgwick</t>
  </si>
  <si>
    <t>E3835P017</t>
  </si>
  <si>
    <t>Rudgwick</t>
  </si>
  <si>
    <t>HorshamRusper</t>
  </si>
  <si>
    <t>E3835P018</t>
  </si>
  <si>
    <t>Rusper</t>
  </si>
  <si>
    <t>HorshamShermanbury</t>
  </si>
  <si>
    <t>E3835P019</t>
  </si>
  <si>
    <t>Shermanbury</t>
  </si>
  <si>
    <t>HorshamShipley</t>
  </si>
  <si>
    <t>E3835P020</t>
  </si>
  <si>
    <t>HorshamSlinfold</t>
  </si>
  <si>
    <t>E3835P021</t>
  </si>
  <si>
    <t>Slinfold</t>
  </si>
  <si>
    <t>HorshamSouthwater</t>
  </si>
  <si>
    <t>E3835P022</t>
  </si>
  <si>
    <t>Southwater</t>
  </si>
  <si>
    <t>HorshamSteyning</t>
  </si>
  <si>
    <t>E3835P023</t>
  </si>
  <si>
    <t>Steyning</t>
  </si>
  <si>
    <t>HorshamStorrington and Sullington</t>
  </si>
  <si>
    <t>E3835P024</t>
  </si>
  <si>
    <t>Storrington and Sullington</t>
  </si>
  <si>
    <t>HorshamThakeham</t>
  </si>
  <si>
    <t>E3835P025</t>
  </si>
  <si>
    <t>Thakeham</t>
  </si>
  <si>
    <t>HorshamUpper Beeding</t>
  </si>
  <si>
    <t>E3835P026</t>
  </si>
  <si>
    <t>Upper Beeding</t>
  </si>
  <si>
    <t>HorshamWarnham</t>
  </si>
  <si>
    <t>E3835P027</t>
  </si>
  <si>
    <t>Warnham</t>
  </si>
  <si>
    <t>HorshamWashington</t>
  </si>
  <si>
    <t>E3835P028</t>
  </si>
  <si>
    <t>Washington</t>
  </si>
  <si>
    <t>HorshamWest Chiltington</t>
  </si>
  <si>
    <t>E3835P029</t>
  </si>
  <si>
    <t>West Chiltington</t>
  </si>
  <si>
    <t>HorshamWest Grinstead</t>
  </si>
  <si>
    <t>E3835P030</t>
  </si>
  <si>
    <t>West Grinstead</t>
  </si>
  <si>
    <t>HorshamWiston</t>
  </si>
  <si>
    <t>E3835P031</t>
  </si>
  <si>
    <t>Wiston</t>
  </si>
  <si>
    <t>HorshamWoodmancote</t>
  </si>
  <si>
    <t>E3835P032</t>
  </si>
  <si>
    <t>Mid SussexAlbourne</t>
  </si>
  <si>
    <t>E3836P001</t>
  </si>
  <si>
    <t>Albourne</t>
  </si>
  <si>
    <t>Mid SussexAnsty and Staplefield</t>
  </si>
  <si>
    <t>E3836P002</t>
  </si>
  <si>
    <t>Ansty and Staplefield</t>
  </si>
  <si>
    <t>Mid SussexArdingly</t>
  </si>
  <si>
    <t>E3836P003</t>
  </si>
  <si>
    <t>Ardingly</t>
  </si>
  <si>
    <t>Mid SussexAshurst Wood</t>
  </si>
  <si>
    <t>E3836P004</t>
  </si>
  <si>
    <t>Ashurst Wood</t>
  </si>
  <si>
    <t>Mid SussexBalcombe</t>
  </si>
  <si>
    <t>E3836P005</t>
  </si>
  <si>
    <t>Balcombe</t>
  </si>
  <si>
    <t>Mid SussexBolney</t>
  </si>
  <si>
    <t>E3836P006</t>
  </si>
  <si>
    <t>Bolney</t>
  </si>
  <si>
    <t>Mid SussexBurgess Hill</t>
  </si>
  <si>
    <t>E3836P007</t>
  </si>
  <si>
    <t>Burgess Hill</t>
  </si>
  <si>
    <t>Mid SussexCuckfield</t>
  </si>
  <si>
    <t>E3836P008</t>
  </si>
  <si>
    <t>Cuckfield</t>
  </si>
  <si>
    <t>Mid SussexEast Grinstead</t>
  </si>
  <si>
    <t>E3836P009</t>
  </si>
  <si>
    <t>East Grinstead</t>
  </si>
  <si>
    <t>Mid SussexFulking</t>
  </si>
  <si>
    <t>E3836P010</t>
  </si>
  <si>
    <t>Fulking</t>
  </si>
  <si>
    <t>Mid SussexHassocks</t>
  </si>
  <si>
    <t>E3836P011</t>
  </si>
  <si>
    <t>Hassocks</t>
  </si>
  <si>
    <t>Mid SussexHaywards Heath</t>
  </si>
  <si>
    <t>E3836P012</t>
  </si>
  <si>
    <t>Haywards Heath</t>
  </si>
  <si>
    <t>Mid SussexHorsted Keynes</t>
  </si>
  <si>
    <t>E3836P013</t>
  </si>
  <si>
    <t>Horsted Keynes</t>
  </si>
  <si>
    <t>Mid SussexHurstpierpoint and Sayers Common</t>
  </si>
  <si>
    <t>E3836P014</t>
  </si>
  <si>
    <t>Hurstpierpoint and Sayers Common</t>
  </si>
  <si>
    <t>Mid SussexLindfield</t>
  </si>
  <si>
    <t>E3836P015</t>
  </si>
  <si>
    <t>Lindfield</t>
  </si>
  <si>
    <t>Mid SussexLindfield Rural</t>
  </si>
  <si>
    <t>E3836P016</t>
  </si>
  <si>
    <t>Lindfield Rural</t>
  </si>
  <si>
    <t>Mid SussexNewtimber</t>
  </si>
  <si>
    <t>E3836P017</t>
  </si>
  <si>
    <t>Newtimber</t>
  </si>
  <si>
    <t>Mid SussexPoynings</t>
  </si>
  <si>
    <t>E3836P018</t>
  </si>
  <si>
    <t>Poynings</t>
  </si>
  <si>
    <t>Mid SussexPyecombe</t>
  </si>
  <si>
    <t>E3836P019</t>
  </si>
  <si>
    <t>Pyecombe</t>
  </si>
  <si>
    <t>Mid SussexSlaugham</t>
  </si>
  <si>
    <t>E3836P020</t>
  </si>
  <si>
    <t>Slaugham</t>
  </si>
  <si>
    <t>Mid SussexTurners Hill</t>
  </si>
  <si>
    <t>E3836P021</t>
  </si>
  <si>
    <t>Turners Hill</t>
  </si>
  <si>
    <t>Mid SussexTwineham</t>
  </si>
  <si>
    <t>E3836P022</t>
  </si>
  <si>
    <t>Twineham</t>
  </si>
  <si>
    <t>Mid SussexWest Hoathly</t>
  </si>
  <si>
    <t>E3836P023</t>
  </si>
  <si>
    <t>West Hoathly</t>
  </si>
  <si>
    <t>Mid SussexWorth</t>
  </si>
  <si>
    <t>E3836P024</t>
  </si>
  <si>
    <t>SwindonBishopstone</t>
  </si>
  <si>
    <t>E3901P001</t>
  </si>
  <si>
    <t>Bishopstone</t>
  </si>
  <si>
    <t>SwindonCastle Eaton</t>
  </si>
  <si>
    <t>E3901P003</t>
  </si>
  <si>
    <t>Castle Eaton</t>
  </si>
  <si>
    <t>SwindonChiseldon</t>
  </si>
  <si>
    <t>E3901P004</t>
  </si>
  <si>
    <t>Chiseldon</t>
  </si>
  <si>
    <t>SwindonCovingham</t>
  </si>
  <si>
    <t>E3901P005</t>
  </si>
  <si>
    <t>Covingham</t>
  </si>
  <si>
    <t>SwindonHannington</t>
  </si>
  <si>
    <t>E3901P006</t>
  </si>
  <si>
    <t>SwindonHaydon Wick</t>
  </si>
  <si>
    <t>E3901P007</t>
  </si>
  <si>
    <t>Haydon Wick</t>
  </si>
  <si>
    <t>SwindonHighworth</t>
  </si>
  <si>
    <t>E3901P008</t>
  </si>
  <si>
    <t>Highworth</t>
  </si>
  <si>
    <t>SwindonInglesham</t>
  </si>
  <si>
    <t>E3901P009</t>
  </si>
  <si>
    <t>Inglesham</t>
  </si>
  <si>
    <t>SwindonLiddington</t>
  </si>
  <si>
    <t>E3901P010</t>
  </si>
  <si>
    <t>Liddington</t>
  </si>
  <si>
    <t>SwindonSouth Marston</t>
  </si>
  <si>
    <t>E3901P011</t>
  </si>
  <si>
    <t>South Marston</t>
  </si>
  <si>
    <t>SwindonStanton Fitzwarren</t>
  </si>
  <si>
    <t>E3901P012</t>
  </si>
  <si>
    <t>Stanton Fitzwarren</t>
  </si>
  <si>
    <t>SwindonStratton St Margaret</t>
  </si>
  <si>
    <t>E3901P013</t>
  </si>
  <si>
    <t>Stratton St Margaret</t>
  </si>
  <si>
    <t>SwindonWanborough</t>
  </si>
  <si>
    <t>E3901P014</t>
  </si>
  <si>
    <t>SwindonWroughton</t>
  </si>
  <si>
    <t>E3901P015</t>
  </si>
  <si>
    <t>Wroughton</t>
  </si>
  <si>
    <t>SwindonNythe Eldene &amp; Liden</t>
  </si>
  <si>
    <t>E3901P017</t>
  </si>
  <si>
    <t>Nythe Eldene &amp; Liden</t>
  </si>
  <si>
    <t>SwindonCentral Swindon North</t>
  </si>
  <si>
    <t>E3901P018</t>
  </si>
  <si>
    <t>Central Swindon North</t>
  </si>
  <si>
    <t>SwindonCentral Swindon South</t>
  </si>
  <si>
    <t>E3901P019</t>
  </si>
  <si>
    <t>Central Swindon South</t>
  </si>
  <si>
    <t>SwindonSt Andrews</t>
  </si>
  <si>
    <t>E3901P020</t>
  </si>
  <si>
    <t>St Andrews</t>
  </si>
  <si>
    <t>SwindonWest Swindon</t>
  </si>
  <si>
    <t>E3901P021</t>
  </si>
  <si>
    <t>West Swindon</t>
  </si>
  <si>
    <t>SwindonBlunsdon</t>
  </si>
  <si>
    <t>E3901P022</t>
  </si>
  <si>
    <t>Blunsdon</t>
  </si>
  <si>
    <t>WiltshireAldbourne</t>
  </si>
  <si>
    <t>E3902P001</t>
  </si>
  <si>
    <t>Aldbourne</t>
  </si>
  <si>
    <t>WiltshireAlderbury</t>
  </si>
  <si>
    <t>E3902P002</t>
  </si>
  <si>
    <t>Alderbury</t>
  </si>
  <si>
    <t>WiltshireAll Cannings</t>
  </si>
  <si>
    <t>E3902P003</t>
  </si>
  <si>
    <t>All Cannings</t>
  </si>
  <si>
    <t>WiltshireAllington</t>
  </si>
  <si>
    <t>E3902P004</t>
  </si>
  <si>
    <t>WiltshireAlton</t>
  </si>
  <si>
    <t>E3902P005</t>
  </si>
  <si>
    <t>WiltshireAlvediston</t>
  </si>
  <si>
    <t>E3902P006</t>
  </si>
  <si>
    <t>Alvediston</t>
  </si>
  <si>
    <t>WiltshireAmesbury</t>
  </si>
  <si>
    <t>E3902P007</t>
  </si>
  <si>
    <t>Amesbury</t>
  </si>
  <si>
    <t>WiltshireAnsty</t>
  </si>
  <si>
    <t>E3902P008</t>
  </si>
  <si>
    <t>WiltshireAshton Keynes</t>
  </si>
  <si>
    <t>E3902P009</t>
  </si>
  <si>
    <t>Ashton Keynes</t>
  </si>
  <si>
    <t>WiltshireAtworth</t>
  </si>
  <si>
    <t>E3902P010</t>
  </si>
  <si>
    <t>Atworth</t>
  </si>
  <si>
    <t>WiltshireAvebury</t>
  </si>
  <si>
    <t>E3902P011</t>
  </si>
  <si>
    <t>Avebury</t>
  </si>
  <si>
    <t>WiltshireBarford St. Martin</t>
  </si>
  <si>
    <t>E3902P012</t>
  </si>
  <si>
    <t>Barford St. Martin</t>
  </si>
  <si>
    <t>WiltshireBaydon</t>
  </si>
  <si>
    <t>E3902P013</t>
  </si>
  <si>
    <t>Baydon</t>
  </si>
  <si>
    <t>WiltshireBeechingstoke</t>
  </si>
  <si>
    <t>E3902P014</t>
  </si>
  <si>
    <t>Beechingstoke</t>
  </si>
  <si>
    <t>WiltshireBerwick Bassett &amp; Winterbourne Monkton</t>
  </si>
  <si>
    <t>E3902P015</t>
  </si>
  <si>
    <t>Berwick Bassett &amp; Winterbourne Monkton</t>
  </si>
  <si>
    <t>WiltshireBerwick St. James</t>
  </si>
  <si>
    <t>E3902P016</t>
  </si>
  <si>
    <t>Berwick St. James</t>
  </si>
  <si>
    <t>WiltshireBerwick St. John</t>
  </si>
  <si>
    <t>E3902P017</t>
  </si>
  <si>
    <t>Berwick St. John</t>
  </si>
  <si>
    <t>WiltshireBerwick St. Leonard</t>
  </si>
  <si>
    <t>E3902P018</t>
  </si>
  <si>
    <t>Berwick St. Leonard</t>
  </si>
  <si>
    <t>WiltshireBiddestone</t>
  </si>
  <si>
    <t>E3902P019</t>
  </si>
  <si>
    <t>Biddestone</t>
  </si>
  <si>
    <t>WiltshireBishops Cannings</t>
  </si>
  <si>
    <t>E3902P020</t>
  </si>
  <si>
    <t>Bishops Cannings</t>
  </si>
  <si>
    <t>WiltshireBishopstone</t>
  </si>
  <si>
    <t>E3902P021</t>
  </si>
  <si>
    <t>WiltshireBishopstrow</t>
  </si>
  <si>
    <t>E3902P022</t>
  </si>
  <si>
    <t>Bishopstrow</t>
  </si>
  <si>
    <t>WiltshireBowerchalke</t>
  </si>
  <si>
    <t>E3902P023</t>
  </si>
  <si>
    <t>Bowerchalke</t>
  </si>
  <si>
    <t>WiltshireBox</t>
  </si>
  <si>
    <t>E3902P024</t>
  </si>
  <si>
    <t>Box</t>
  </si>
  <si>
    <t>WiltshireBoyton</t>
  </si>
  <si>
    <t>E3902P025</t>
  </si>
  <si>
    <t>WiltshireBradford On Avon</t>
  </si>
  <si>
    <t>E3902P026</t>
  </si>
  <si>
    <t>Bradford On Avon</t>
  </si>
  <si>
    <t>WiltshireBratton</t>
  </si>
  <si>
    <t>E3902P027</t>
  </si>
  <si>
    <t>Bratton</t>
  </si>
  <si>
    <t>WiltshireBraydon</t>
  </si>
  <si>
    <t>E3902P028</t>
  </si>
  <si>
    <t>Braydon</t>
  </si>
  <si>
    <t>WiltshireBremhill</t>
  </si>
  <si>
    <t>E3902P029</t>
  </si>
  <si>
    <t>Bremhill</t>
  </si>
  <si>
    <t>WiltshireBrinkworth</t>
  </si>
  <si>
    <t>E3902P030</t>
  </si>
  <si>
    <t>Brinkworth</t>
  </si>
  <si>
    <t>WiltshireBritford</t>
  </si>
  <si>
    <t>E3902P031</t>
  </si>
  <si>
    <t>Britford</t>
  </si>
  <si>
    <t>WiltshireBroad Hinton &amp; Winterbourne Bassett</t>
  </si>
  <si>
    <t>E3902P033</t>
  </si>
  <si>
    <t>Broad Hinton &amp; Winterbourne Bassett</t>
  </si>
  <si>
    <t>WiltshireBroad chalke</t>
  </si>
  <si>
    <t>E3902P034</t>
  </si>
  <si>
    <t>Broad chalke</t>
  </si>
  <si>
    <t>WiltshireBroad Town</t>
  </si>
  <si>
    <t>E3902P035</t>
  </si>
  <si>
    <t>Broad Town</t>
  </si>
  <si>
    <t>WiltshireBrokenborough</t>
  </si>
  <si>
    <t>E3902P036</t>
  </si>
  <si>
    <t>Brokenborough</t>
  </si>
  <si>
    <t>WiltshireBromham</t>
  </si>
  <si>
    <t>E3902P037</t>
  </si>
  <si>
    <t>WiltshireBroughton Gifford</t>
  </si>
  <si>
    <t>E3902P038</t>
  </si>
  <si>
    <t>Broughton Gifford</t>
  </si>
  <si>
    <t>WiltshireBulford</t>
  </si>
  <si>
    <t>E3902P039</t>
  </si>
  <si>
    <t>Bulford</t>
  </si>
  <si>
    <t>WiltshireBulkington</t>
  </si>
  <si>
    <t>E3902P040</t>
  </si>
  <si>
    <t>Bulkington</t>
  </si>
  <si>
    <t>WiltshireBurbage</t>
  </si>
  <si>
    <t>E3902P041</t>
  </si>
  <si>
    <t>WiltshireBurcombe</t>
  </si>
  <si>
    <t>E3902P042</t>
  </si>
  <si>
    <t>Burcombe</t>
  </si>
  <si>
    <t>WiltshireButtermere</t>
  </si>
  <si>
    <t>E3902P043</t>
  </si>
  <si>
    <t>WiltshireCalne</t>
  </si>
  <si>
    <t>E3902P044</t>
  </si>
  <si>
    <t>Calne</t>
  </si>
  <si>
    <t>WiltshireCastle Combe</t>
  </si>
  <si>
    <t>E3902P046</t>
  </si>
  <si>
    <t>Castle Combe</t>
  </si>
  <si>
    <t>WiltshireChapmanslade</t>
  </si>
  <si>
    <t>E3902P047</t>
  </si>
  <si>
    <t>Chapmanslade</t>
  </si>
  <si>
    <t>WiltshireCharlton</t>
  </si>
  <si>
    <t>E3902P048</t>
  </si>
  <si>
    <t>WiltshireCharlton St Peter &amp; Wiltsford</t>
  </si>
  <si>
    <t>E3902P049</t>
  </si>
  <si>
    <t>Charlton St Peter &amp; Wiltsford</t>
  </si>
  <si>
    <t>WiltshireCherhill</t>
  </si>
  <si>
    <t>E3902P050</t>
  </si>
  <si>
    <t>Cherhill</t>
  </si>
  <si>
    <t>WiltshireCheverell Magna (Great Cheverell)</t>
  </si>
  <si>
    <t>E3902P051</t>
  </si>
  <si>
    <t>Cheverell Magna (Great Cheverell)</t>
  </si>
  <si>
    <t>WiltshireChicklade</t>
  </si>
  <si>
    <t>E3902P053</t>
  </si>
  <si>
    <t>Chicklade</t>
  </si>
  <si>
    <t>WiltshireChilmark</t>
  </si>
  <si>
    <t>E3902P054</t>
  </si>
  <si>
    <t>Chilmark</t>
  </si>
  <si>
    <t>WiltshireChilton Foliat</t>
  </si>
  <si>
    <t>E3902P055</t>
  </si>
  <si>
    <t>Chilton Foliat</t>
  </si>
  <si>
    <t>WiltshireChippenham</t>
  </si>
  <si>
    <t>E3902P056</t>
  </si>
  <si>
    <t>WiltshireChippenham Without</t>
  </si>
  <si>
    <t>E3902P057</t>
  </si>
  <si>
    <t>Chippenham Without</t>
  </si>
  <si>
    <t>WiltshireChirton</t>
  </si>
  <si>
    <t>E3902P058</t>
  </si>
  <si>
    <t>Chirton</t>
  </si>
  <si>
    <t>WiltshireChitterne</t>
  </si>
  <si>
    <t>E3902P059</t>
  </si>
  <si>
    <t>Chitterne</t>
  </si>
  <si>
    <t>WiltshireCholderton</t>
  </si>
  <si>
    <t>E3902P060</t>
  </si>
  <si>
    <t>Cholderton</t>
  </si>
  <si>
    <t>WiltshireChristian Malford</t>
  </si>
  <si>
    <t>E3902P061</t>
  </si>
  <si>
    <t>Christian Malford</t>
  </si>
  <si>
    <t>WiltshireChute</t>
  </si>
  <si>
    <t>E3902P062</t>
  </si>
  <si>
    <t>Chute</t>
  </si>
  <si>
    <t>WiltshireChute Forest</t>
  </si>
  <si>
    <t>E3902P063</t>
  </si>
  <si>
    <t>Chute Forest</t>
  </si>
  <si>
    <t>WiltshireClarendon Park</t>
  </si>
  <si>
    <t>E3902P064</t>
  </si>
  <si>
    <t>Clarendon Park</t>
  </si>
  <si>
    <t>WiltshireClyffe Pypard</t>
  </si>
  <si>
    <t>E3902P065</t>
  </si>
  <si>
    <t>Clyffe Pypard</t>
  </si>
  <si>
    <t>WiltshireCodford</t>
  </si>
  <si>
    <t>E3902P066</t>
  </si>
  <si>
    <t>Codford</t>
  </si>
  <si>
    <t>WiltshireColerne</t>
  </si>
  <si>
    <t>E3902P067</t>
  </si>
  <si>
    <t>Colerne</t>
  </si>
  <si>
    <t>WiltshireCollingbourne Ducis</t>
  </si>
  <si>
    <t>E3902P068</t>
  </si>
  <si>
    <t>Collingbourne Ducis</t>
  </si>
  <si>
    <t>WiltshireCollingbourne Kingston</t>
  </si>
  <si>
    <t>E3902P069</t>
  </si>
  <si>
    <t>Collingbourne Kingston</t>
  </si>
  <si>
    <t>WiltshireCompton Bassett</t>
  </si>
  <si>
    <t>E3902P070</t>
  </si>
  <si>
    <t>Compton Bassett</t>
  </si>
  <si>
    <t>WiltshireCompton Chamberlayne</t>
  </si>
  <si>
    <t>E3902P071</t>
  </si>
  <si>
    <t>Compton Chamberlayne</t>
  </si>
  <si>
    <t>WiltshireCoombe Bissett</t>
  </si>
  <si>
    <t>E3902P072</t>
  </si>
  <si>
    <t>Coombe Bissett</t>
  </si>
  <si>
    <t>WiltshireCorsham</t>
  </si>
  <si>
    <t>E3902P073</t>
  </si>
  <si>
    <t>Corsham</t>
  </si>
  <si>
    <t>WiltshireCorsley</t>
  </si>
  <si>
    <t>E3902P074</t>
  </si>
  <si>
    <t>Corsley</t>
  </si>
  <si>
    <t>WiltshireCoulston</t>
  </si>
  <si>
    <t>E3902P075</t>
  </si>
  <si>
    <t>Coulston</t>
  </si>
  <si>
    <t>WiltshireCricklade</t>
  </si>
  <si>
    <t>E3902P076</t>
  </si>
  <si>
    <t>Cricklade</t>
  </si>
  <si>
    <t>WiltshireCrudwell</t>
  </si>
  <si>
    <t>E3902P077</t>
  </si>
  <si>
    <t>Crudwell</t>
  </si>
  <si>
    <t>WiltshireDauntsey</t>
  </si>
  <si>
    <t>E3902P078</t>
  </si>
  <si>
    <t>Dauntsey</t>
  </si>
  <si>
    <t>WiltshireDevizes</t>
  </si>
  <si>
    <t>E3902P079</t>
  </si>
  <si>
    <t>Devizes</t>
  </si>
  <si>
    <t>WiltshireDilton Marsh</t>
  </si>
  <si>
    <t>E3902P080</t>
  </si>
  <si>
    <t>Dilton Marsh</t>
  </si>
  <si>
    <t>WiltshireDinton</t>
  </si>
  <si>
    <t>E3902P081</t>
  </si>
  <si>
    <t>Dinton</t>
  </si>
  <si>
    <t>WiltshireDonhead St. Andrew</t>
  </si>
  <si>
    <t>E3902P082</t>
  </si>
  <si>
    <t>Donhead St. Andrew</t>
  </si>
  <si>
    <t>WiltshireDonhead St. Mary</t>
  </si>
  <si>
    <t>E3902P083</t>
  </si>
  <si>
    <t>Donhead St. Mary</t>
  </si>
  <si>
    <t>WiltshireDownton</t>
  </si>
  <si>
    <t>E3902P084</t>
  </si>
  <si>
    <t>Downton</t>
  </si>
  <si>
    <t>WiltshireDurnford</t>
  </si>
  <si>
    <t>E3902P085</t>
  </si>
  <si>
    <t>Durnford</t>
  </si>
  <si>
    <t>WiltshireDurrington</t>
  </si>
  <si>
    <t>E3902P086</t>
  </si>
  <si>
    <t>Durrington</t>
  </si>
  <si>
    <t>WiltshireEast Kennett</t>
  </si>
  <si>
    <t>E3902P087</t>
  </si>
  <si>
    <t>East Kennett</t>
  </si>
  <si>
    <t>WiltshireEast Knoyle</t>
  </si>
  <si>
    <t>E3902P088</t>
  </si>
  <si>
    <t>East Knoyle</t>
  </si>
  <si>
    <t>WiltshireEasterton</t>
  </si>
  <si>
    <t>E3902P089</t>
  </si>
  <si>
    <t>Easterton</t>
  </si>
  <si>
    <t>WiltshireEaston Grey</t>
  </si>
  <si>
    <t>E3902P090</t>
  </si>
  <si>
    <t>Easton Grey</t>
  </si>
  <si>
    <t>WiltshireEaston Royal</t>
  </si>
  <si>
    <t>E3902P091</t>
  </si>
  <si>
    <t>Easton Royal</t>
  </si>
  <si>
    <t>WiltshireEbbesborne Wake</t>
  </si>
  <si>
    <t>E3902P092</t>
  </si>
  <si>
    <t>Ebbesborne Wake</t>
  </si>
  <si>
    <t>WiltshireEdington</t>
  </si>
  <si>
    <t>E3902P093</t>
  </si>
  <si>
    <t>WiltshireEnford</t>
  </si>
  <si>
    <t>E3902P094</t>
  </si>
  <si>
    <t>Enford</t>
  </si>
  <si>
    <t>WiltshireErlestoke</t>
  </si>
  <si>
    <t>E3902P095</t>
  </si>
  <si>
    <t>Erlestoke</t>
  </si>
  <si>
    <t>WiltshireEtchilhampton</t>
  </si>
  <si>
    <t>E3902P096</t>
  </si>
  <si>
    <t>Etchilhampton</t>
  </si>
  <si>
    <t>WiltshireEverleigh</t>
  </si>
  <si>
    <t>E3902P097</t>
  </si>
  <si>
    <t>Everleigh</t>
  </si>
  <si>
    <t>WiltshireFigheldean</t>
  </si>
  <si>
    <t>E3902P098</t>
  </si>
  <si>
    <t>Figheldean</t>
  </si>
  <si>
    <t>WiltshireFirsdown</t>
  </si>
  <si>
    <t>E3902P099</t>
  </si>
  <si>
    <t>Firsdown</t>
  </si>
  <si>
    <t>WiltshireFittleton</t>
  </si>
  <si>
    <t>E3902P100</t>
  </si>
  <si>
    <t>Fittleton</t>
  </si>
  <si>
    <t>WiltshireFonthill Bishop</t>
  </si>
  <si>
    <t>E3902P101</t>
  </si>
  <si>
    <t>Fonthill Bishop</t>
  </si>
  <si>
    <t>WiltshireFonthill Gifford</t>
  </si>
  <si>
    <t>E3902P102</t>
  </si>
  <si>
    <t>Fonthill Gifford</t>
  </si>
  <si>
    <t>WiltshireFovant</t>
  </si>
  <si>
    <t>E3902P103</t>
  </si>
  <si>
    <t>Fovant</t>
  </si>
  <si>
    <t>WiltshireFroxfield</t>
  </si>
  <si>
    <t>E3902P104</t>
  </si>
  <si>
    <t>WiltshireGrafton</t>
  </si>
  <si>
    <t>E3902P106</t>
  </si>
  <si>
    <t>Grafton</t>
  </si>
  <si>
    <t>WiltshireGreat Bedwyn</t>
  </si>
  <si>
    <t>E3902P107</t>
  </si>
  <si>
    <t>Great Bedwyn</t>
  </si>
  <si>
    <t>WiltshireGreat Hinton</t>
  </si>
  <si>
    <t>E3902P108</t>
  </si>
  <si>
    <t>Great Hinton</t>
  </si>
  <si>
    <t>WiltshireGreat Somerford</t>
  </si>
  <si>
    <t>E3902P109</t>
  </si>
  <si>
    <t>Great Somerford</t>
  </si>
  <si>
    <t>WiltshireGreat Wishford</t>
  </si>
  <si>
    <t>E3902P110</t>
  </si>
  <si>
    <t>Great Wishford</t>
  </si>
  <si>
    <t>WiltshireGrimstead</t>
  </si>
  <si>
    <t>E3902P111</t>
  </si>
  <si>
    <t>Grimstead</t>
  </si>
  <si>
    <t>WiltshireGrittleton</t>
  </si>
  <si>
    <t>E3902P112</t>
  </si>
  <si>
    <t>Grittleton</t>
  </si>
  <si>
    <t>WiltshireHam</t>
  </si>
  <si>
    <t>E3902P113</t>
  </si>
  <si>
    <t>Ham</t>
  </si>
  <si>
    <t>WiltshireHankerton</t>
  </si>
  <si>
    <t>E3902P114</t>
  </si>
  <si>
    <t>Hankerton</t>
  </si>
  <si>
    <t>WiltshireHeddington</t>
  </si>
  <si>
    <t>E3902P115</t>
  </si>
  <si>
    <t>Heddington</t>
  </si>
  <si>
    <t>WiltshireHeytesbury &amp; Knook</t>
  </si>
  <si>
    <t>E3902P116</t>
  </si>
  <si>
    <t>Heytesbury &amp; Knook</t>
  </si>
  <si>
    <t>WiltshireHeywood</t>
  </si>
  <si>
    <t>E3902P117</t>
  </si>
  <si>
    <t>WiltshireHilmarton</t>
  </si>
  <si>
    <t>E3902P118</t>
  </si>
  <si>
    <t>Hilmarton</t>
  </si>
  <si>
    <t>WiltshireHilperton</t>
  </si>
  <si>
    <t>E3902P119</t>
  </si>
  <si>
    <t>Hilperton</t>
  </si>
  <si>
    <t>WiltshireHindon</t>
  </si>
  <si>
    <t>E3902P120</t>
  </si>
  <si>
    <t>Hindon</t>
  </si>
  <si>
    <t>WiltshireHolt</t>
  </si>
  <si>
    <t>E3902P121</t>
  </si>
  <si>
    <t>WiltshireHorningsham</t>
  </si>
  <si>
    <t>E3902P122</t>
  </si>
  <si>
    <t>Horningsham</t>
  </si>
  <si>
    <t>WiltshireHullavington</t>
  </si>
  <si>
    <t>E3902P124</t>
  </si>
  <si>
    <t>Hullavington</t>
  </si>
  <si>
    <t>WiltshireIdmiston</t>
  </si>
  <si>
    <t>E3902P125</t>
  </si>
  <si>
    <t>Idmiston</t>
  </si>
  <si>
    <t>WiltshireKeevil</t>
  </si>
  <si>
    <t>E3902P126</t>
  </si>
  <si>
    <t>Keevil</t>
  </si>
  <si>
    <t>WiltshireKilmington</t>
  </si>
  <si>
    <t>E3902P127</t>
  </si>
  <si>
    <t>WiltshireKington Langley</t>
  </si>
  <si>
    <t>E3902P129</t>
  </si>
  <si>
    <t>Kington Langley</t>
  </si>
  <si>
    <t>WiltshireKington St. Michael</t>
  </si>
  <si>
    <t>E3902P130</t>
  </si>
  <si>
    <t>Kington St. Michael</t>
  </si>
  <si>
    <t>WiltshireLacock</t>
  </si>
  <si>
    <t>E3902P132</t>
  </si>
  <si>
    <t>Lacock</t>
  </si>
  <si>
    <t>WiltshireLandford</t>
  </si>
  <si>
    <t>E3902P133</t>
  </si>
  <si>
    <t>Landford</t>
  </si>
  <si>
    <t>WiltshireLangley Burrell</t>
  </si>
  <si>
    <t>E3902P135</t>
  </si>
  <si>
    <t>Langley Burrell</t>
  </si>
  <si>
    <t>WiltshireLatton</t>
  </si>
  <si>
    <t>E3902P136</t>
  </si>
  <si>
    <t>Latton</t>
  </si>
  <si>
    <t>WiltshireLaverstock &amp; Ford</t>
  </si>
  <si>
    <t>E3902P137</t>
  </si>
  <si>
    <t>Laverstock &amp; Ford</t>
  </si>
  <si>
    <t>WiltshireLea and Cleverton</t>
  </si>
  <si>
    <t>E3902P138</t>
  </si>
  <si>
    <t>Lea and Cleverton</t>
  </si>
  <si>
    <t>WiltshireLeigh</t>
  </si>
  <si>
    <t>E3902P139</t>
  </si>
  <si>
    <t>WiltshireLimpley Stoke</t>
  </si>
  <si>
    <t>E3902P140</t>
  </si>
  <si>
    <t>Limpley Stoke</t>
  </si>
  <si>
    <t>WiltshireLittle Bedwyn</t>
  </si>
  <si>
    <t>E3902P141</t>
  </si>
  <si>
    <t>Little Bedwyn</t>
  </si>
  <si>
    <t>WiltshireLittle Somerford</t>
  </si>
  <si>
    <t>E3902P142</t>
  </si>
  <si>
    <t>Little Somerford</t>
  </si>
  <si>
    <t>WiltshireLongbridge Deverill</t>
  </si>
  <si>
    <t>E3902P143</t>
  </si>
  <si>
    <t>Longbridge Deverill</t>
  </si>
  <si>
    <t>WiltshireLuckington</t>
  </si>
  <si>
    <t>E3902P144</t>
  </si>
  <si>
    <t>Luckington</t>
  </si>
  <si>
    <t>WiltshireLudgershall</t>
  </si>
  <si>
    <t>E3902P145</t>
  </si>
  <si>
    <t>WiltshireLydiard Millicent</t>
  </si>
  <si>
    <t>E3902P146</t>
  </si>
  <si>
    <t>Lydiard Millicent</t>
  </si>
  <si>
    <t>WiltshireLydiard Tregoze</t>
  </si>
  <si>
    <t>E3902P147</t>
  </si>
  <si>
    <t>Lydiard Tregoze</t>
  </si>
  <si>
    <t>WiltshireLyneham and Bradenstoke</t>
  </si>
  <si>
    <t>E3902P148</t>
  </si>
  <si>
    <t>Lyneham and Bradenstoke</t>
  </si>
  <si>
    <t>WiltshireMaiden Bradley</t>
  </si>
  <si>
    <t>E3902P149</t>
  </si>
  <si>
    <t>Maiden Bradley</t>
  </si>
  <si>
    <t>WiltshireMalmesbury</t>
  </si>
  <si>
    <t>E3902P150</t>
  </si>
  <si>
    <t>Malmesbury</t>
  </si>
  <si>
    <t>WiltshireManningford</t>
  </si>
  <si>
    <t>E3902P151</t>
  </si>
  <si>
    <t>Manningford</t>
  </si>
  <si>
    <t>WiltshireMarden</t>
  </si>
  <si>
    <t>E3902P152</t>
  </si>
  <si>
    <t>WiltshireMarket Lavington</t>
  </si>
  <si>
    <t>E3902P153</t>
  </si>
  <si>
    <t>Market Lavington</t>
  </si>
  <si>
    <t>WiltshireMarlborough</t>
  </si>
  <si>
    <t>E3902P154</t>
  </si>
  <si>
    <t>Marlborough</t>
  </si>
  <si>
    <t>WiltshireMarston</t>
  </si>
  <si>
    <t>E3902P155</t>
  </si>
  <si>
    <t>WiltshireMarston Meysey</t>
  </si>
  <si>
    <t>E3902P156</t>
  </si>
  <si>
    <t>Marston Meysey</t>
  </si>
  <si>
    <t>WiltshireMelksham</t>
  </si>
  <si>
    <t>E3902P157</t>
  </si>
  <si>
    <t>Melksham</t>
  </si>
  <si>
    <t>WiltshireMelksham Without</t>
  </si>
  <si>
    <t>E3902P158</t>
  </si>
  <si>
    <t>Melksham Without</t>
  </si>
  <si>
    <t>WiltshireMere</t>
  </si>
  <si>
    <t>E3902P159</t>
  </si>
  <si>
    <t>WiltshireMildenhall</t>
  </si>
  <si>
    <t>E3902P160</t>
  </si>
  <si>
    <t>WiltshireMilston</t>
  </si>
  <si>
    <t>E3902P161</t>
  </si>
  <si>
    <t>Milston</t>
  </si>
  <si>
    <t>WiltshireMilton Lilbourne</t>
  </si>
  <si>
    <t>E3902P162</t>
  </si>
  <si>
    <t>Milton Lilbourne</t>
  </si>
  <si>
    <t>WiltshireMinety</t>
  </si>
  <si>
    <t>E3902P163</t>
  </si>
  <si>
    <t>Minety</t>
  </si>
  <si>
    <t>WiltshireMonkton Farleigh</t>
  </si>
  <si>
    <t>E3902P164</t>
  </si>
  <si>
    <t>Monkton Farleigh</t>
  </si>
  <si>
    <t>WiltshireNetheravon</t>
  </si>
  <si>
    <t>E3902P165</t>
  </si>
  <si>
    <t>Netheravon</t>
  </si>
  <si>
    <t>WiltshireNetherhampton</t>
  </si>
  <si>
    <t>E3902P166</t>
  </si>
  <si>
    <t>Netherhampton</t>
  </si>
  <si>
    <t>WiltshireNettleton</t>
  </si>
  <si>
    <t>E3902P167</t>
  </si>
  <si>
    <t>WiltshireNewton Toney</t>
  </si>
  <si>
    <t>E3902P168</t>
  </si>
  <si>
    <t>Newton Toney</t>
  </si>
  <si>
    <t>WiltshireNorth Bradley</t>
  </si>
  <si>
    <t>E3902P169</t>
  </si>
  <si>
    <t>North Bradley</t>
  </si>
  <si>
    <t>WiltshireNorth Newnton</t>
  </si>
  <si>
    <t>E3902P170</t>
  </si>
  <si>
    <t>North Newnton</t>
  </si>
  <si>
    <t>WiltshireNorth Wraxall</t>
  </si>
  <si>
    <t>E3902P171</t>
  </si>
  <si>
    <t>North Wraxall</t>
  </si>
  <si>
    <t>WiltshireNorton &amp; Foxley</t>
  </si>
  <si>
    <t>E3902P172</t>
  </si>
  <si>
    <t>Norton &amp; Foxley</t>
  </si>
  <si>
    <t>WiltshireNorton Bavant</t>
  </si>
  <si>
    <t>E3902P173</t>
  </si>
  <si>
    <t>Norton Bavant</t>
  </si>
  <si>
    <t>WiltshireOaksey</t>
  </si>
  <si>
    <t>E3902P174</t>
  </si>
  <si>
    <t>Oaksey</t>
  </si>
  <si>
    <t>WiltshireOdstock</t>
  </si>
  <si>
    <t>E3902P175</t>
  </si>
  <si>
    <t>Odstock</t>
  </si>
  <si>
    <t>WiltshireOgbourne St. Andrew</t>
  </si>
  <si>
    <t>E3902P176</t>
  </si>
  <si>
    <t>Ogbourne St. Andrew</t>
  </si>
  <si>
    <t>WiltshireOgbourne St. George</t>
  </si>
  <si>
    <t>E3902P177</t>
  </si>
  <si>
    <t>Ogbourne St. George</t>
  </si>
  <si>
    <t>WiltshireOrcheston</t>
  </si>
  <si>
    <t>E3902P178</t>
  </si>
  <si>
    <t>Orcheston</t>
  </si>
  <si>
    <t>WiltshirePatney</t>
  </si>
  <si>
    <t>E3902P179</t>
  </si>
  <si>
    <t>Patney</t>
  </si>
  <si>
    <t>WiltshirePewsey</t>
  </si>
  <si>
    <t>E3902P180</t>
  </si>
  <si>
    <t>Pewsey</t>
  </si>
  <si>
    <t>WiltshirePitton and Farley</t>
  </si>
  <si>
    <t>E3902P181</t>
  </si>
  <si>
    <t>Pitton and Farley</t>
  </si>
  <si>
    <t>WiltshirePotterne</t>
  </si>
  <si>
    <t>E3902P182</t>
  </si>
  <si>
    <t>Potterne</t>
  </si>
  <si>
    <t>WiltshirePoulshot</t>
  </si>
  <si>
    <t>E3902P183</t>
  </si>
  <si>
    <t>Poulshot</t>
  </si>
  <si>
    <t>WiltshirePreshute</t>
  </si>
  <si>
    <t>E3902P184</t>
  </si>
  <si>
    <t>Preshute</t>
  </si>
  <si>
    <t>WiltshirePurton</t>
  </si>
  <si>
    <t>E3902P185</t>
  </si>
  <si>
    <t>Purton</t>
  </si>
  <si>
    <t>WiltshireQuidhampton</t>
  </si>
  <si>
    <t>E3902P186</t>
  </si>
  <si>
    <t>Quidhampton</t>
  </si>
  <si>
    <t>WiltshireRamsbury</t>
  </si>
  <si>
    <t>E3902P187</t>
  </si>
  <si>
    <t>Ramsbury</t>
  </si>
  <si>
    <t>WiltshireRedlynch</t>
  </si>
  <si>
    <t>E3902P188</t>
  </si>
  <si>
    <t>Redlynch</t>
  </si>
  <si>
    <t>WiltshireRowde</t>
  </si>
  <si>
    <t>E3902P190</t>
  </si>
  <si>
    <t>Rowde</t>
  </si>
  <si>
    <t>WiltshireRushall</t>
  </si>
  <si>
    <t>E3902P191</t>
  </si>
  <si>
    <t>Rushall</t>
  </si>
  <si>
    <t>WiltshireSalisbury City Council</t>
  </si>
  <si>
    <t>E3902P192</t>
  </si>
  <si>
    <t>Salisbury City Council</t>
  </si>
  <si>
    <t>WiltshireSavernake</t>
  </si>
  <si>
    <t>E3902P193</t>
  </si>
  <si>
    <t>Savernake</t>
  </si>
  <si>
    <t>WiltshireSeagry</t>
  </si>
  <si>
    <t>E3902P194</t>
  </si>
  <si>
    <t>Seagry</t>
  </si>
  <si>
    <t>WiltshireSedgehill and Semley</t>
  </si>
  <si>
    <t>E3902P195</t>
  </si>
  <si>
    <t>Sedgehill and Semley</t>
  </si>
  <si>
    <t>WiltshireSeend</t>
  </si>
  <si>
    <t>E3902P196</t>
  </si>
  <si>
    <t>Seend</t>
  </si>
  <si>
    <t>WiltshireSemington</t>
  </si>
  <si>
    <t>E3902P197</t>
  </si>
  <si>
    <t>Semington</t>
  </si>
  <si>
    <t>WiltshireShalbourne</t>
  </si>
  <si>
    <t>E3902P198</t>
  </si>
  <si>
    <t>Shalbourne</t>
  </si>
  <si>
    <t>WiltshireSherrington</t>
  </si>
  <si>
    <t>E3902P199</t>
  </si>
  <si>
    <t>Sherrington</t>
  </si>
  <si>
    <t>WiltshireSherston</t>
  </si>
  <si>
    <t>E3902P200</t>
  </si>
  <si>
    <t>Sherston</t>
  </si>
  <si>
    <t>WiltshireShrewton</t>
  </si>
  <si>
    <t>E3902P201</t>
  </si>
  <si>
    <t>Shrewton</t>
  </si>
  <si>
    <t>WiltshireSopworth</t>
  </si>
  <si>
    <t>E3902P202</t>
  </si>
  <si>
    <t>Sopworth</t>
  </si>
  <si>
    <t>WiltshireSouth Newton</t>
  </si>
  <si>
    <t>E3902P203</t>
  </si>
  <si>
    <t>South Newton</t>
  </si>
  <si>
    <t>WiltshireSouth Wraxall</t>
  </si>
  <si>
    <t>E3902P204</t>
  </si>
  <si>
    <t>South Wraxall</t>
  </si>
  <si>
    <t>WiltshireSouthwick</t>
  </si>
  <si>
    <t>E3902P205</t>
  </si>
  <si>
    <t>WiltshireSt Paul Without</t>
  </si>
  <si>
    <t>E3902P206</t>
  </si>
  <si>
    <t>St Paul Without</t>
  </si>
  <si>
    <t>WiltshireStanton St. Bernard</t>
  </si>
  <si>
    <t>E3902P207</t>
  </si>
  <si>
    <t>Stanton St. Bernard</t>
  </si>
  <si>
    <t>WiltshireStanton St. Quintin</t>
  </si>
  <si>
    <t>E3902P208</t>
  </si>
  <si>
    <t>Stanton St. Quintin</t>
  </si>
  <si>
    <t>WiltshireStapleford</t>
  </si>
  <si>
    <t>E3902P209</t>
  </si>
  <si>
    <t>WiltshireStaverton</t>
  </si>
  <si>
    <t>E3902P210</t>
  </si>
  <si>
    <t>WiltshireSteeple Ashton</t>
  </si>
  <si>
    <t>E3902P211</t>
  </si>
  <si>
    <t>Steeple Ashton</t>
  </si>
  <si>
    <t>WiltshireSteeple Langford</t>
  </si>
  <si>
    <t>E3902P212</t>
  </si>
  <si>
    <t>Steeple Langford</t>
  </si>
  <si>
    <t>WiltshireStert</t>
  </si>
  <si>
    <t>E3902P213</t>
  </si>
  <si>
    <t>Stert</t>
  </si>
  <si>
    <t>WiltshireStockton</t>
  </si>
  <si>
    <t>E3902P214</t>
  </si>
  <si>
    <t>WiltshireStourton</t>
  </si>
  <si>
    <t>E3902P215</t>
  </si>
  <si>
    <t>Stourton</t>
  </si>
  <si>
    <t>WiltshireStratford Toney</t>
  </si>
  <si>
    <t>E3902P216</t>
  </si>
  <si>
    <t>Stratford Toney</t>
  </si>
  <si>
    <t>WiltshireSutton Benger</t>
  </si>
  <si>
    <t>E3902P217</t>
  </si>
  <si>
    <t>Sutton Benger</t>
  </si>
  <si>
    <t>WiltshireSutton Mandeville</t>
  </si>
  <si>
    <t>E3902P218</t>
  </si>
  <si>
    <t>Sutton Mandeville</t>
  </si>
  <si>
    <t>WiltshireSutton Veny</t>
  </si>
  <si>
    <t>E3902P219</t>
  </si>
  <si>
    <t>Sutton Veny</t>
  </si>
  <si>
    <t>WiltshireSwallowcliffe</t>
  </si>
  <si>
    <t>E3902P220</t>
  </si>
  <si>
    <t>Swallowcliffe</t>
  </si>
  <si>
    <t>WiltshireTeffont</t>
  </si>
  <si>
    <t>E3902P221</t>
  </si>
  <si>
    <t>Teffont</t>
  </si>
  <si>
    <t>WiltshireTidcombe and Fosbury</t>
  </si>
  <si>
    <t>E3902P222</t>
  </si>
  <si>
    <t>Tidcombe and Fosbury</t>
  </si>
  <si>
    <t>WiltshireTidworth</t>
  </si>
  <si>
    <t>E3902P223</t>
  </si>
  <si>
    <t>Tidworth</t>
  </si>
  <si>
    <t>WiltshireTilshead</t>
  </si>
  <si>
    <t>E3902P224</t>
  </si>
  <si>
    <t>Tilshead</t>
  </si>
  <si>
    <t>WiltshireTisbury</t>
  </si>
  <si>
    <t>E3902P225</t>
  </si>
  <si>
    <t>Tisbury</t>
  </si>
  <si>
    <t>WiltshireTockenham</t>
  </si>
  <si>
    <t>E3902P226</t>
  </si>
  <si>
    <t>Tockenham</t>
  </si>
  <si>
    <t>WiltshireTollard Royal</t>
  </si>
  <si>
    <t>E3902P227</t>
  </si>
  <si>
    <t>Tollard Royal</t>
  </si>
  <si>
    <t>WiltshireTrowbridge</t>
  </si>
  <si>
    <t>E3902P228</t>
  </si>
  <si>
    <t>Trowbridge</t>
  </si>
  <si>
    <t>WiltshireUpavon</t>
  </si>
  <si>
    <t>E3902P229</t>
  </si>
  <si>
    <t>Upavon</t>
  </si>
  <si>
    <t>WiltshireUpton Lovell</t>
  </si>
  <si>
    <t>E3902P230</t>
  </si>
  <si>
    <t>Upton Lovell</t>
  </si>
  <si>
    <t>WiltshireUpton Scudamore</t>
  </si>
  <si>
    <t>E3902P231</t>
  </si>
  <si>
    <t>Upton Scudamore</t>
  </si>
  <si>
    <t>WiltshireUrchfont</t>
  </si>
  <si>
    <t>E3902P232</t>
  </si>
  <si>
    <t>Urchfont</t>
  </si>
  <si>
    <t>WiltshireWarminster</t>
  </si>
  <si>
    <t>E3902P233</t>
  </si>
  <si>
    <t>Warminster</t>
  </si>
  <si>
    <t>WiltshireWest Ashton</t>
  </si>
  <si>
    <t>E3902P234</t>
  </si>
  <si>
    <t>West Ashton</t>
  </si>
  <si>
    <t>WiltshireWest Dean</t>
  </si>
  <si>
    <t>E3902P235</t>
  </si>
  <si>
    <t>WiltshireWest Knoyle</t>
  </si>
  <si>
    <t>E3902P236</t>
  </si>
  <si>
    <t>West Knoyle</t>
  </si>
  <si>
    <t>WiltshireWest Lavington</t>
  </si>
  <si>
    <t>E3902P237</t>
  </si>
  <si>
    <t>WiltshireWest Tisbury</t>
  </si>
  <si>
    <t>E3902P239</t>
  </si>
  <si>
    <t>West Tisbury</t>
  </si>
  <si>
    <t>WiltshireWestbury</t>
  </si>
  <si>
    <t>E3902P240</t>
  </si>
  <si>
    <t>WiltshireWestwood</t>
  </si>
  <si>
    <t>E3902P241</t>
  </si>
  <si>
    <t>Westwood</t>
  </si>
  <si>
    <t>WiltshireWhiteparish</t>
  </si>
  <si>
    <t>E3902P242</t>
  </si>
  <si>
    <t>Whiteparish</t>
  </si>
  <si>
    <t>WiltshireWilcot &amp; Huish</t>
  </si>
  <si>
    <t>E3902P243</t>
  </si>
  <si>
    <t>Wilcot &amp; Huish</t>
  </si>
  <si>
    <t>WiltshireWilsford cum Lake</t>
  </si>
  <si>
    <t>E3902P245</t>
  </si>
  <si>
    <t>Wilsford cum Lake</t>
  </si>
  <si>
    <t>WiltshireWilton</t>
  </si>
  <si>
    <t>E3902P246</t>
  </si>
  <si>
    <t>Wilton</t>
  </si>
  <si>
    <t>WiltshireWingfield</t>
  </si>
  <si>
    <t>E3902P247</t>
  </si>
  <si>
    <t>WiltshireWinsley</t>
  </si>
  <si>
    <t>E3902P248</t>
  </si>
  <si>
    <t>Winsley</t>
  </si>
  <si>
    <t>WiltshireWinterbourne</t>
  </si>
  <si>
    <t>E3902P249</t>
  </si>
  <si>
    <t>WiltshireWinterbourne Stoke</t>
  </si>
  <si>
    <t>E3902P252</t>
  </si>
  <si>
    <t>Winterbourne Stoke</t>
  </si>
  <si>
    <t>WiltshireWinterslow</t>
  </si>
  <si>
    <t>E3902P253</t>
  </si>
  <si>
    <t>Winterslow</t>
  </si>
  <si>
    <t>WiltshireWoodborough</t>
  </si>
  <si>
    <t>E3902P254</t>
  </si>
  <si>
    <t>WiltshireWoodford</t>
  </si>
  <si>
    <t>E3902P255</t>
  </si>
  <si>
    <t>WiltshireRoyal Wootton Bassett</t>
  </si>
  <si>
    <t>E3902P256</t>
  </si>
  <si>
    <t>Royal Wootton Bassett</t>
  </si>
  <si>
    <t>WiltshireWootton Rivers</t>
  </si>
  <si>
    <t>E3902P257</t>
  </si>
  <si>
    <t>Wootton Rivers</t>
  </si>
  <si>
    <t>WiltshireWorton</t>
  </si>
  <si>
    <t>E3902P258</t>
  </si>
  <si>
    <t>WiltshireWylye</t>
  </si>
  <si>
    <t>E3902P259</t>
  </si>
  <si>
    <t>Wylye</t>
  </si>
  <si>
    <t>WiltshireYatton Keynell</t>
  </si>
  <si>
    <t>E3902P260</t>
  </si>
  <si>
    <t>Yatton Keynell</t>
  </si>
  <si>
    <t>WiltshireZeals</t>
  </si>
  <si>
    <t>E3902P261</t>
  </si>
  <si>
    <t>Zeals</t>
  </si>
  <si>
    <t>WiltshireLittle Cheverell</t>
  </si>
  <si>
    <t>E3902P262</t>
  </si>
  <si>
    <t>Little Cheverell</t>
  </si>
  <si>
    <t>WiltshireUpper Deverills</t>
  </si>
  <si>
    <t>E3902P263</t>
  </si>
  <si>
    <t>Upper Deverills</t>
  </si>
  <si>
    <t>WiltshireDerry Hill and Studley Parish Council</t>
  </si>
  <si>
    <t>E3902P264</t>
  </si>
  <si>
    <t>Derry Hill and Studley Parish Council</t>
  </si>
  <si>
    <t>WiltshireKennet Valley Joint Parish Council</t>
  </si>
  <si>
    <t>E3902P265</t>
  </si>
  <si>
    <t>Kennet Valley Joint Parish Council</t>
  </si>
  <si>
    <t>BoltonBlackrod</t>
  </si>
  <si>
    <t>E4201P001</t>
  </si>
  <si>
    <t>Blackrod</t>
  </si>
  <si>
    <t>BoltonHorwich</t>
  </si>
  <si>
    <t>E4201P002</t>
  </si>
  <si>
    <t>Horwich</t>
  </si>
  <si>
    <t>BoltonWesthoughton</t>
  </si>
  <si>
    <t>E4201P003</t>
  </si>
  <si>
    <t>Westhoughton</t>
  </si>
  <si>
    <t>OldhamSaddleworth</t>
  </si>
  <si>
    <t>E4204P001</t>
  </si>
  <si>
    <t>Saddleworth</t>
  </si>
  <si>
    <t>OldhamShaw and Crompton</t>
  </si>
  <si>
    <t>E4204P002</t>
  </si>
  <si>
    <t>Shaw and Crompton</t>
  </si>
  <si>
    <t>TamesideMossley</t>
  </si>
  <si>
    <t>E4208P001</t>
  </si>
  <si>
    <t>Mossley</t>
  </si>
  <si>
    <t>TraffordCarrington</t>
  </si>
  <si>
    <t>E4209P001</t>
  </si>
  <si>
    <t>TraffordDunham Massey</t>
  </si>
  <si>
    <t>E4209P002</t>
  </si>
  <si>
    <t>Dunham Massey</t>
  </si>
  <si>
    <t>TraffordPartington</t>
  </si>
  <si>
    <t>E4209P003</t>
  </si>
  <si>
    <t>Partington</t>
  </si>
  <si>
    <t>TraffordWarburton</t>
  </si>
  <si>
    <t>E4209P004</t>
  </si>
  <si>
    <t>Warburton</t>
  </si>
  <si>
    <t>WiganHaigh</t>
  </si>
  <si>
    <t>E4210P001</t>
  </si>
  <si>
    <t>Haigh</t>
  </si>
  <si>
    <t>WiganShevington</t>
  </si>
  <si>
    <t>E4210P002</t>
  </si>
  <si>
    <t>Shevington</t>
  </si>
  <si>
    <t>KnowsleyCronton</t>
  </si>
  <si>
    <t>E4301P001</t>
  </si>
  <si>
    <t>Cronton</t>
  </si>
  <si>
    <t>KnowsleyHalewood</t>
  </si>
  <si>
    <t>E4301P002</t>
  </si>
  <si>
    <t>Halewood</t>
  </si>
  <si>
    <t>KnowsleyKnowsley</t>
  </si>
  <si>
    <t>E4301P003</t>
  </si>
  <si>
    <t>KnowsleyPrescot</t>
  </si>
  <si>
    <t>E4301P004</t>
  </si>
  <si>
    <t>Prescot</t>
  </si>
  <si>
    <t>KnowsleyWhiston</t>
  </si>
  <si>
    <t>E4301P006</t>
  </si>
  <si>
    <t>St HelensBillinge Chapel End</t>
  </si>
  <si>
    <t>E4303P001</t>
  </si>
  <si>
    <t>Billinge Chapel End</t>
  </si>
  <si>
    <t>St HelensBold</t>
  </si>
  <si>
    <t>E4303P002</t>
  </si>
  <si>
    <t>Bold</t>
  </si>
  <si>
    <t>St HelensEccleston</t>
  </si>
  <si>
    <t>E4303P003</t>
  </si>
  <si>
    <t>St HelensRainford</t>
  </si>
  <si>
    <t>E4303P004</t>
  </si>
  <si>
    <t>Rainford</t>
  </si>
  <si>
    <t>St HelensRainhill</t>
  </si>
  <si>
    <t>E4303P005</t>
  </si>
  <si>
    <t>Rainhill</t>
  </si>
  <si>
    <t>St HelensSeneley Green</t>
  </si>
  <si>
    <t>E4303P006</t>
  </si>
  <si>
    <t>Seneley Green</t>
  </si>
  <si>
    <t>St HelensWindle</t>
  </si>
  <si>
    <t>E4303P007</t>
  </si>
  <si>
    <t>Windle</t>
  </si>
  <si>
    <t>SeftonAintree Village</t>
  </si>
  <si>
    <t>E4304P001</t>
  </si>
  <si>
    <t>Aintree Village</t>
  </si>
  <si>
    <t>SeftonFormby</t>
  </si>
  <si>
    <t>E4304P002</t>
  </si>
  <si>
    <t>Formby</t>
  </si>
  <si>
    <t>SeftonHightown</t>
  </si>
  <si>
    <t>E4304P003</t>
  </si>
  <si>
    <t>Hightown</t>
  </si>
  <si>
    <t>SeftonInce Blundell</t>
  </si>
  <si>
    <t>E4304P004</t>
  </si>
  <si>
    <t>Ince Blundell</t>
  </si>
  <si>
    <t>SeftonLittle Altcar</t>
  </si>
  <si>
    <t>E4304P005</t>
  </si>
  <si>
    <t>Little Altcar</t>
  </si>
  <si>
    <t>SeftonLydiate</t>
  </si>
  <si>
    <t>E4304P006</t>
  </si>
  <si>
    <t>Lydiate</t>
  </si>
  <si>
    <t>SeftonMaghull</t>
  </si>
  <si>
    <t>E4304P007</t>
  </si>
  <si>
    <t>Maghull</t>
  </si>
  <si>
    <t>SeftonMelling</t>
  </si>
  <si>
    <t>E4304P008</t>
  </si>
  <si>
    <t>Melling</t>
  </si>
  <si>
    <t>SeftonSefton</t>
  </si>
  <si>
    <t>E4304P009</t>
  </si>
  <si>
    <t>SeftonThornton</t>
  </si>
  <si>
    <t>E4304P010</t>
  </si>
  <si>
    <t>BarnsleyBillingley</t>
  </si>
  <si>
    <t>E4401P001</t>
  </si>
  <si>
    <t>Billingley</t>
  </si>
  <si>
    <t>BarnsleyCawthorne</t>
  </si>
  <si>
    <t>E4401P003</t>
  </si>
  <si>
    <t>Cawthorne</t>
  </si>
  <si>
    <t>BarnsleyDunford</t>
  </si>
  <si>
    <t>E4401P004</t>
  </si>
  <si>
    <t>Dunford</t>
  </si>
  <si>
    <t>BarnsleyGreat Houghton</t>
  </si>
  <si>
    <t>E4401P005</t>
  </si>
  <si>
    <t>BarnsleyGunthwaite and Ingbirchworth</t>
  </si>
  <si>
    <t>E4401P006</t>
  </si>
  <si>
    <t>Gunthwaite and Ingbirchworth</t>
  </si>
  <si>
    <t>BarnsleyHigh Hoyland</t>
  </si>
  <si>
    <t>E4401P007</t>
  </si>
  <si>
    <t>High Hoyland</t>
  </si>
  <si>
    <t>BarnsleyHunshelf</t>
  </si>
  <si>
    <t>E4401P008</t>
  </si>
  <si>
    <t>Hunshelf</t>
  </si>
  <si>
    <t>BarnsleyLangsett</t>
  </si>
  <si>
    <t>E4401P009</t>
  </si>
  <si>
    <t>Langsett</t>
  </si>
  <si>
    <t>BarnsleyLittle Houghton</t>
  </si>
  <si>
    <t>E4401P010</t>
  </si>
  <si>
    <t>BarnsleyOxspring</t>
  </si>
  <si>
    <t>E4401P011</t>
  </si>
  <si>
    <t>Oxspring</t>
  </si>
  <si>
    <t>BarnsleyPenistone</t>
  </si>
  <si>
    <t>E4401P012</t>
  </si>
  <si>
    <t>Penistone</t>
  </si>
  <si>
    <t>BarnsleyShafton</t>
  </si>
  <si>
    <t>E4401P013</t>
  </si>
  <si>
    <t>Shafton</t>
  </si>
  <si>
    <t>BarnsleySilkstone</t>
  </si>
  <si>
    <t>E4401P014</t>
  </si>
  <si>
    <t>Silkstone</t>
  </si>
  <si>
    <t>BarnsleyStainborough</t>
  </si>
  <si>
    <t>E4401P015</t>
  </si>
  <si>
    <t>Stainborough</t>
  </si>
  <si>
    <t>BarnsleyTankersley</t>
  </si>
  <si>
    <t>E4401P016</t>
  </si>
  <si>
    <t>Tankersley</t>
  </si>
  <si>
    <t>BarnsleyThurgoland</t>
  </si>
  <si>
    <t>E4401P017</t>
  </si>
  <si>
    <t>Thurgoland</t>
  </si>
  <si>
    <t>BarnsleyWortley</t>
  </si>
  <si>
    <t>E4401P018</t>
  </si>
  <si>
    <t>Wortley</t>
  </si>
  <si>
    <t>DoncasterAdwick upon Dearne</t>
  </si>
  <si>
    <t>E4402P001</t>
  </si>
  <si>
    <t>Adwick upon Dearne</t>
  </si>
  <si>
    <t>DoncasterArmthorpe</t>
  </si>
  <si>
    <t>E4402P002</t>
  </si>
  <si>
    <t>Armthorpe</t>
  </si>
  <si>
    <t>DoncasterAskern</t>
  </si>
  <si>
    <t>E4402P003</t>
  </si>
  <si>
    <t>Askern</t>
  </si>
  <si>
    <t>DoncasterAuckley</t>
  </si>
  <si>
    <t>E4402P004</t>
  </si>
  <si>
    <t>Auckley</t>
  </si>
  <si>
    <t>DoncasterAusterfield</t>
  </si>
  <si>
    <t>E4402P005</t>
  </si>
  <si>
    <t>Austerfield</t>
  </si>
  <si>
    <t>DoncasterBarnburgh</t>
  </si>
  <si>
    <t>E4402P006</t>
  </si>
  <si>
    <t>Barnburgh</t>
  </si>
  <si>
    <t>DoncasterBarnby Dun with Kirk Sandall</t>
  </si>
  <si>
    <t>E4402P007</t>
  </si>
  <si>
    <t>Barnby Dun with Kirk Sandall</t>
  </si>
  <si>
    <t>DoncasterBawtry</t>
  </si>
  <si>
    <t>E4402P008</t>
  </si>
  <si>
    <t>Bawtry</t>
  </si>
  <si>
    <t>DoncasterBlaxton</t>
  </si>
  <si>
    <t>E4402P009</t>
  </si>
  <si>
    <t>Blaxton</t>
  </si>
  <si>
    <t>DoncasterBraithwell</t>
  </si>
  <si>
    <t>E4402P010</t>
  </si>
  <si>
    <t>Braithwell</t>
  </si>
  <si>
    <t>DoncasterBrodsworth</t>
  </si>
  <si>
    <t>E4402P011</t>
  </si>
  <si>
    <t>Brodsworth</t>
  </si>
  <si>
    <t>DoncasterBurghwallis</t>
  </si>
  <si>
    <t>E4402P012</t>
  </si>
  <si>
    <t>Burghwallis</t>
  </si>
  <si>
    <t>DoncasterCadeby</t>
  </si>
  <si>
    <t>E4402P013</t>
  </si>
  <si>
    <t>DoncasterCantley</t>
  </si>
  <si>
    <t>E4402P014</t>
  </si>
  <si>
    <t>DoncasterClayton with Frickley</t>
  </si>
  <si>
    <t>E4402P015</t>
  </si>
  <si>
    <t>Clayton with Frickley</t>
  </si>
  <si>
    <t>DoncasterConisbrough Parks</t>
  </si>
  <si>
    <t>E4402P016</t>
  </si>
  <si>
    <t>Conisbrough Parks</t>
  </si>
  <si>
    <t>DoncasterDenaby</t>
  </si>
  <si>
    <t>E4402P017</t>
  </si>
  <si>
    <t>Denaby</t>
  </si>
  <si>
    <t>DoncasterEdenthorpe</t>
  </si>
  <si>
    <t>E4402P018</t>
  </si>
  <si>
    <t>Edenthorpe</t>
  </si>
  <si>
    <t>DoncasterEdlington</t>
  </si>
  <si>
    <t>E4402P019</t>
  </si>
  <si>
    <t>Edlington</t>
  </si>
  <si>
    <t>DoncasterFenwick (grouped with Moss)</t>
  </si>
  <si>
    <t>E4402P020</t>
  </si>
  <si>
    <t>Fenwick (grouped with Moss)</t>
  </si>
  <si>
    <t>DoncasterFinningley</t>
  </si>
  <si>
    <t>E4402P021</t>
  </si>
  <si>
    <t>Finningley</t>
  </si>
  <si>
    <t>DoncasterFishlake</t>
  </si>
  <si>
    <t>E4402P022</t>
  </si>
  <si>
    <t>Fishlake</t>
  </si>
  <si>
    <t>DoncasterHampole</t>
  </si>
  <si>
    <t>E4402P023</t>
  </si>
  <si>
    <t>Hampole</t>
  </si>
  <si>
    <t>DoncasterHatfield</t>
  </si>
  <si>
    <t>E4402P024</t>
  </si>
  <si>
    <t>DoncasterHickleton</t>
  </si>
  <si>
    <t>E4402P025</t>
  </si>
  <si>
    <t>Hickleton</t>
  </si>
  <si>
    <t>DoncasterHigh Melton</t>
  </si>
  <si>
    <t>E4402P026</t>
  </si>
  <si>
    <t>High Melton</t>
  </si>
  <si>
    <t>DoncasterHooton Pagnell</t>
  </si>
  <si>
    <t>E4402P027</t>
  </si>
  <si>
    <t>Hooton Pagnell</t>
  </si>
  <si>
    <t>DoncasterKirk Bramwith (grouped with Moss)</t>
  </si>
  <si>
    <t>E4402P028</t>
  </si>
  <si>
    <t>Kirk Bramwith (grouped with Moss)</t>
  </si>
  <si>
    <t>DoncasterLoversall</t>
  </si>
  <si>
    <t>E4402P029</t>
  </si>
  <si>
    <t>Loversall</t>
  </si>
  <si>
    <t>DoncasterMarr</t>
  </si>
  <si>
    <t>E4402P030</t>
  </si>
  <si>
    <t>Marr</t>
  </si>
  <si>
    <t>DoncasterMoss (grouped with Fenwick &amp; Kirk Bramwith)</t>
  </si>
  <si>
    <t>E4402P031</t>
  </si>
  <si>
    <t>Moss (grouped with Fenwick &amp; Kirk Bramwith)</t>
  </si>
  <si>
    <t>DoncasterNorton</t>
  </si>
  <si>
    <t>E4402P032</t>
  </si>
  <si>
    <t>DoncasterOwston</t>
  </si>
  <si>
    <t>E4402P033</t>
  </si>
  <si>
    <t>Owston</t>
  </si>
  <si>
    <t>DoncasterRossington</t>
  </si>
  <si>
    <t>E4402P034</t>
  </si>
  <si>
    <t>Rossington</t>
  </si>
  <si>
    <t>DoncasterSprotbrough and Cusworth</t>
  </si>
  <si>
    <t>E4402P035</t>
  </si>
  <si>
    <t>Sprotbrough and Cusworth</t>
  </si>
  <si>
    <t>DoncasterStainforth</t>
  </si>
  <si>
    <t>E4402P036</t>
  </si>
  <si>
    <t>DoncasterStainton</t>
  </si>
  <si>
    <t>E4402P037</t>
  </si>
  <si>
    <t>DoncasterSykehouse</t>
  </si>
  <si>
    <t>E4402P038</t>
  </si>
  <si>
    <t>Sykehouse</t>
  </si>
  <si>
    <t>DoncasterThorne</t>
  </si>
  <si>
    <t>E4402P039</t>
  </si>
  <si>
    <t>Thorne</t>
  </si>
  <si>
    <t>DoncasterThorpe in Balne</t>
  </si>
  <si>
    <t>E4402P040</t>
  </si>
  <si>
    <t>Thorpe in Balne</t>
  </si>
  <si>
    <t>DoncasterTickhill</t>
  </si>
  <si>
    <t>E4402P041</t>
  </si>
  <si>
    <t>Tickhill</t>
  </si>
  <si>
    <t>DoncasterWadworth</t>
  </si>
  <si>
    <t>E4402P042</t>
  </si>
  <si>
    <t>Wadworth</t>
  </si>
  <si>
    <t>DoncasterWarmsworth</t>
  </si>
  <si>
    <t>E4402P043</t>
  </si>
  <si>
    <t>Warmsworth</t>
  </si>
  <si>
    <t>RotherhamAston cum Aughton</t>
  </si>
  <si>
    <t>E4403P001</t>
  </si>
  <si>
    <t>Aston cum Aughton</t>
  </si>
  <si>
    <t>RotherhamBramley</t>
  </si>
  <si>
    <t>E4403P002</t>
  </si>
  <si>
    <t>RotherhamBrampton Bierlow</t>
  </si>
  <si>
    <t>E4403P003</t>
  </si>
  <si>
    <t>Brampton Bierlow</t>
  </si>
  <si>
    <t>RotherhamBrinsworth</t>
  </si>
  <si>
    <t>E4403P004</t>
  </si>
  <si>
    <t>Brinsworth</t>
  </si>
  <si>
    <t>RotherhamCatcliffe</t>
  </si>
  <si>
    <t>E4403P005</t>
  </si>
  <si>
    <t>Catcliffe</t>
  </si>
  <si>
    <t>RotherhamDalton</t>
  </si>
  <si>
    <t>E4403P006</t>
  </si>
  <si>
    <t>RotherhamDinnington St. John's</t>
  </si>
  <si>
    <t>E4403P007</t>
  </si>
  <si>
    <t>Dinnington St. John's</t>
  </si>
  <si>
    <t>RotherhamFirbeck</t>
  </si>
  <si>
    <t>E4403P008</t>
  </si>
  <si>
    <t>Firbeck</t>
  </si>
  <si>
    <t>RotherhamGildingwells</t>
  </si>
  <si>
    <t>E4403P009</t>
  </si>
  <si>
    <t>Gildingwells</t>
  </si>
  <si>
    <t>RotherhamHarthill with Woodall</t>
  </si>
  <si>
    <t>E4403P010</t>
  </si>
  <si>
    <t>Harthill with Woodall</t>
  </si>
  <si>
    <t>RotherhamHellaby</t>
  </si>
  <si>
    <t>E4403P011</t>
  </si>
  <si>
    <t>Hellaby</t>
  </si>
  <si>
    <t>RotherhamHooton Levitt</t>
  </si>
  <si>
    <t>E4403P012</t>
  </si>
  <si>
    <t>Hooton Levitt</t>
  </si>
  <si>
    <t>RotherhamHooton Roberts</t>
  </si>
  <si>
    <t>E4403P013</t>
  </si>
  <si>
    <t>Hooton Roberts</t>
  </si>
  <si>
    <t>RotherhamLaughton en le Morthen</t>
  </si>
  <si>
    <t>E4403P014</t>
  </si>
  <si>
    <t>Laughton en le Morthen</t>
  </si>
  <si>
    <t>RotherhamLetwell</t>
  </si>
  <si>
    <t>E4403P015</t>
  </si>
  <si>
    <t>Letwell</t>
  </si>
  <si>
    <t>RotherhamMaltby</t>
  </si>
  <si>
    <t>E4403P016</t>
  </si>
  <si>
    <t>RotherhamNorth and South Anston</t>
  </si>
  <si>
    <t>E4403P017</t>
  </si>
  <si>
    <t>North and South Anston</t>
  </si>
  <si>
    <t>RotherhamOrgreave</t>
  </si>
  <si>
    <t>E4403P018</t>
  </si>
  <si>
    <t>Orgreave</t>
  </si>
  <si>
    <t>RotherhamRavenfield</t>
  </si>
  <si>
    <t>E4403P019</t>
  </si>
  <si>
    <t>Ravenfield</t>
  </si>
  <si>
    <t>RotherhamThorpe Salvin</t>
  </si>
  <si>
    <t>E4403P020</t>
  </si>
  <si>
    <t>Thorpe Salvin</t>
  </si>
  <si>
    <t>RotherhamThrybergh</t>
  </si>
  <si>
    <t>E4403P021</t>
  </si>
  <si>
    <t>Thrybergh</t>
  </si>
  <si>
    <t>RotherhamThurcroft</t>
  </si>
  <si>
    <t>E4403P022</t>
  </si>
  <si>
    <t>Thurcroft</t>
  </si>
  <si>
    <t>RotherhamTodwick</t>
  </si>
  <si>
    <t>E4403P023</t>
  </si>
  <si>
    <t>Todwick</t>
  </si>
  <si>
    <t>RotherhamTreeton</t>
  </si>
  <si>
    <t>E4403P024</t>
  </si>
  <si>
    <t>Treeton</t>
  </si>
  <si>
    <t>RotherhamUlley</t>
  </si>
  <si>
    <t>E4403P025</t>
  </si>
  <si>
    <t>Ulley</t>
  </si>
  <si>
    <t>RotherhamWales</t>
  </si>
  <si>
    <t>E4403P026</t>
  </si>
  <si>
    <t>Wales</t>
  </si>
  <si>
    <t>RotherhamWaverley</t>
  </si>
  <si>
    <t>E4403P027</t>
  </si>
  <si>
    <t>RotherhamWentworth</t>
  </si>
  <si>
    <t>E4403P028</t>
  </si>
  <si>
    <t>RotherhamWhiston</t>
  </si>
  <si>
    <t>E4403P029</t>
  </si>
  <si>
    <t>RotherhamWickersley</t>
  </si>
  <si>
    <t>E4403P030</t>
  </si>
  <si>
    <t>Wickersley</t>
  </si>
  <si>
    <t>RotherhamWoodsetts</t>
  </si>
  <si>
    <t>E4403P031</t>
  </si>
  <si>
    <t>Woodsetts</t>
  </si>
  <si>
    <t>SheffieldBradfield</t>
  </si>
  <si>
    <t>E4404P001</t>
  </si>
  <si>
    <t>SheffieldEcclesfield</t>
  </si>
  <si>
    <t>E4404P002</t>
  </si>
  <si>
    <t>Ecclesfield</t>
  </si>
  <si>
    <t>SheffieldStocksbridge</t>
  </si>
  <si>
    <t>E4404P003</t>
  </si>
  <si>
    <t>Stocksbridge</t>
  </si>
  <si>
    <t>GatesheadLamesley</t>
  </si>
  <si>
    <t>E4501P001</t>
  </si>
  <si>
    <t>Lamesley</t>
  </si>
  <si>
    <t>Newcastle upon TyneBlakelaw and North Fenham</t>
  </si>
  <si>
    <t>E4502P001</t>
  </si>
  <si>
    <t>Blakelaw and North Fenham</t>
  </si>
  <si>
    <t>Newcastle upon TyneBrunswick</t>
  </si>
  <si>
    <t>E4502P002</t>
  </si>
  <si>
    <t>Brunswick</t>
  </si>
  <si>
    <t>Newcastle upon TyneDinnington</t>
  </si>
  <si>
    <t>E4502P003</t>
  </si>
  <si>
    <t>Newcastle upon TyneHazlerigg</t>
  </si>
  <si>
    <t>E4502P004</t>
  </si>
  <si>
    <t>Hazlerigg</t>
  </si>
  <si>
    <t>Newcastle upon TyneNorth Gosforth</t>
  </si>
  <si>
    <t>E4502P005</t>
  </si>
  <si>
    <t>North Gosforth</t>
  </si>
  <si>
    <t>Newcastle upon TyneWoolsington</t>
  </si>
  <si>
    <t>E4502P006</t>
  </si>
  <si>
    <t>Woolsington</t>
  </si>
  <si>
    <t>SunderlandHetton</t>
  </si>
  <si>
    <t>E4505P002</t>
  </si>
  <si>
    <t>Hetton</t>
  </si>
  <si>
    <t>BirminghamNew Frankley in Birmingham</t>
  </si>
  <si>
    <t>E4601P001</t>
  </si>
  <si>
    <t>New Frankley in Birmingham</t>
  </si>
  <si>
    <t>BirminghamSutton Coldfield</t>
  </si>
  <si>
    <t>E4601P002</t>
  </si>
  <si>
    <t>Sutton Coldfield</t>
  </si>
  <si>
    <t>CoventryAllesley</t>
  </si>
  <si>
    <t>E4602P001</t>
  </si>
  <si>
    <t>Allesley</t>
  </si>
  <si>
    <t>CoventryKeresley</t>
  </si>
  <si>
    <t>E4602P002</t>
  </si>
  <si>
    <t>Keresley</t>
  </si>
  <si>
    <t>CoventryFinham</t>
  </si>
  <si>
    <t>E4602P003</t>
  </si>
  <si>
    <t>Finham</t>
  </si>
  <si>
    <t>SolihullBalsall</t>
  </si>
  <si>
    <t>E4605P001</t>
  </si>
  <si>
    <t>Balsall</t>
  </si>
  <si>
    <t>SolihullBarston</t>
  </si>
  <si>
    <t>E4605P002</t>
  </si>
  <si>
    <t>Barston</t>
  </si>
  <si>
    <t>SolihullBerkswell</t>
  </si>
  <si>
    <t>E4605P003</t>
  </si>
  <si>
    <t>Berkswell</t>
  </si>
  <si>
    <t>SolihullBickenhill and Marston Green</t>
  </si>
  <si>
    <t>E4605P004</t>
  </si>
  <si>
    <t>Bickenhill and Marston Green</t>
  </si>
  <si>
    <t>SolihullCastle Bromwich</t>
  </si>
  <si>
    <t>E4605P005</t>
  </si>
  <si>
    <t>Castle Bromwich</t>
  </si>
  <si>
    <t>SolihullChelmsley Wood</t>
  </si>
  <si>
    <t>E4605P006</t>
  </si>
  <si>
    <t>Chelmsley Wood</t>
  </si>
  <si>
    <t>SolihullCheswick Green</t>
  </si>
  <si>
    <t>E4605P007</t>
  </si>
  <si>
    <t>Cheswick Green</t>
  </si>
  <si>
    <t>SolihullDickens Heath</t>
  </si>
  <si>
    <t>E4605P008</t>
  </si>
  <si>
    <t>Dickens Heath</t>
  </si>
  <si>
    <t>SolihullFordbridge</t>
  </si>
  <si>
    <t>E4605P009</t>
  </si>
  <si>
    <t>Fordbridge</t>
  </si>
  <si>
    <t>SolihullHampton in Arden</t>
  </si>
  <si>
    <t>E4605P010</t>
  </si>
  <si>
    <t>Hampton in Arden</t>
  </si>
  <si>
    <t>SolihullHockley Heath</t>
  </si>
  <si>
    <t>E4605P011</t>
  </si>
  <si>
    <t>Hockley Heath</t>
  </si>
  <si>
    <t>SolihullKingshurst</t>
  </si>
  <si>
    <t>E4605P012</t>
  </si>
  <si>
    <t>Kingshurst</t>
  </si>
  <si>
    <t>SolihullMeriden</t>
  </si>
  <si>
    <t>E4605P013</t>
  </si>
  <si>
    <t>Meriden</t>
  </si>
  <si>
    <t>SolihullSmith's Wood</t>
  </si>
  <si>
    <t>E4605P014</t>
  </si>
  <si>
    <t>Smith's Wood</t>
  </si>
  <si>
    <t>SolihullTidbury Green</t>
  </si>
  <si>
    <t>E4605P015</t>
  </si>
  <si>
    <t>Tidbury Green</t>
  </si>
  <si>
    <t>SolihullChadwick End</t>
  </si>
  <si>
    <t>E4605P016</t>
  </si>
  <si>
    <t>Chadwick End</t>
  </si>
  <si>
    <t>BradfordAddingham</t>
  </si>
  <si>
    <t>E4701P001</t>
  </si>
  <si>
    <t>Addingham</t>
  </si>
  <si>
    <t>BradfordBaildon</t>
  </si>
  <si>
    <t>E4701P002</t>
  </si>
  <si>
    <t>Baildon</t>
  </si>
  <si>
    <t>BradfordBurley</t>
  </si>
  <si>
    <t>E4701P003</t>
  </si>
  <si>
    <t>BradfordClayton</t>
  </si>
  <si>
    <t>E4701P004</t>
  </si>
  <si>
    <t>Clayton</t>
  </si>
  <si>
    <t>BradfordCullingworth</t>
  </si>
  <si>
    <t>E4701P005</t>
  </si>
  <si>
    <t>Cullingworth</t>
  </si>
  <si>
    <t>BradfordDenholme</t>
  </si>
  <si>
    <t>E4701P006</t>
  </si>
  <si>
    <t>Denholme</t>
  </si>
  <si>
    <t>BradfordHarden</t>
  </si>
  <si>
    <t>E4701P007</t>
  </si>
  <si>
    <t>Harden</t>
  </si>
  <si>
    <t>BradfordIlkley</t>
  </si>
  <si>
    <t>E4701P009</t>
  </si>
  <si>
    <t>Ilkley</t>
  </si>
  <si>
    <t>BradfordKeighley</t>
  </si>
  <si>
    <t>E4701P010</t>
  </si>
  <si>
    <t>Keighley</t>
  </si>
  <si>
    <t>BradfordMenston</t>
  </si>
  <si>
    <t>E4701P011</t>
  </si>
  <si>
    <t>Menston</t>
  </si>
  <si>
    <t>BradfordOxenhope</t>
  </si>
  <si>
    <t>E4701P012</t>
  </si>
  <si>
    <t>Oxenhope</t>
  </si>
  <si>
    <t>BradfordSandy Lane</t>
  </si>
  <si>
    <t>E4701P013</t>
  </si>
  <si>
    <t>Sandy Lane</t>
  </si>
  <si>
    <t>BradfordSilsden</t>
  </si>
  <si>
    <t>E4701P014</t>
  </si>
  <si>
    <t>Silsden</t>
  </si>
  <si>
    <t>BradfordSteeton with Eastburn</t>
  </si>
  <si>
    <t>E4701P015</t>
  </si>
  <si>
    <t>Steeton with Eastburn</t>
  </si>
  <si>
    <t>BradfordWilsden</t>
  </si>
  <si>
    <t>E4701P017</t>
  </si>
  <si>
    <t>Wilsden</t>
  </si>
  <si>
    <t>BradfordWrose</t>
  </si>
  <si>
    <t>E4701P018</t>
  </si>
  <si>
    <t>Wrose</t>
  </si>
  <si>
    <t>BradfordBingley</t>
  </si>
  <si>
    <t>E4701P019</t>
  </si>
  <si>
    <t>Bingley</t>
  </si>
  <si>
    <t>BradfordShipley</t>
  </si>
  <si>
    <t>E4701P020</t>
  </si>
  <si>
    <t>BradfordCross Roads</t>
  </si>
  <si>
    <t>E4701P021</t>
  </si>
  <si>
    <t>Cross Roads</t>
  </si>
  <si>
    <t>BradfordHaworth with Stanbury</t>
  </si>
  <si>
    <t>E4701P022</t>
  </si>
  <si>
    <t>Haworth with Stanbury</t>
  </si>
  <si>
    <t>BradfordBradford Trident</t>
  </si>
  <si>
    <t>E4701P023</t>
  </si>
  <si>
    <t>Bradford Trident</t>
  </si>
  <si>
    <t>CalderdaleBlackshaw</t>
  </si>
  <si>
    <t>E4702P001</t>
  </si>
  <si>
    <t>Blackshaw</t>
  </si>
  <si>
    <t>CalderdaleErringden</t>
  </si>
  <si>
    <t>E4702P002</t>
  </si>
  <si>
    <t>Erringden</t>
  </si>
  <si>
    <t>CalderdaleHebden Royd</t>
  </si>
  <si>
    <t>E4702P003</t>
  </si>
  <si>
    <t>Hebden Royd</t>
  </si>
  <si>
    <t>CalderdaleHeptonstall</t>
  </si>
  <si>
    <t>E4702P004</t>
  </si>
  <si>
    <t>Heptonstall</t>
  </si>
  <si>
    <t>CalderdaleRipponden</t>
  </si>
  <si>
    <t>E4702P005</t>
  </si>
  <si>
    <t>Ripponden</t>
  </si>
  <si>
    <t>CalderdaleStainland and District</t>
  </si>
  <si>
    <t>E4702P006</t>
  </si>
  <si>
    <t>Stainland and District</t>
  </si>
  <si>
    <t>CalderdaleWadsworth</t>
  </si>
  <si>
    <t>E4702P007</t>
  </si>
  <si>
    <t>Wadsworth</t>
  </si>
  <si>
    <t>CalderdaleTodmorden</t>
  </si>
  <si>
    <t>E4702P008</t>
  </si>
  <si>
    <t>Todmorden</t>
  </si>
  <si>
    <t>KirkleesDenby Dale</t>
  </si>
  <si>
    <t>E4703P001</t>
  </si>
  <si>
    <t>Denby Dale</t>
  </si>
  <si>
    <t>KirkleesHolme Valley</t>
  </si>
  <si>
    <t>E4703P002</t>
  </si>
  <si>
    <t>Holme Valley</t>
  </si>
  <si>
    <t>KirkleesKirkburton</t>
  </si>
  <si>
    <t>E4703P003</t>
  </si>
  <si>
    <t>Kirkburton</t>
  </si>
  <si>
    <t>KirkleesMeltham</t>
  </si>
  <si>
    <t>E4703P004</t>
  </si>
  <si>
    <t>Meltham</t>
  </si>
  <si>
    <t>KirkleesMirfield</t>
  </si>
  <si>
    <t>E4703P005</t>
  </si>
  <si>
    <t>Mirfield</t>
  </si>
  <si>
    <t>LeedsAberford</t>
  </si>
  <si>
    <t>E4704P001</t>
  </si>
  <si>
    <t>Aberford</t>
  </si>
  <si>
    <t>LeedsAllerton Bywater</t>
  </si>
  <si>
    <t>E4704P002</t>
  </si>
  <si>
    <t>Allerton Bywater</t>
  </si>
  <si>
    <t>LeedsAlwoodley</t>
  </si>
  <si>
    <t>E4704P003</t>
  </si>
  <si>
    <t>Alwoodley</t>
  </si>
  <si>
    <t>LeedsArthington</t>
  </si>
  <si>
    <t>E4704P004</t>
  </si>
  <si>
    <t>Arthington</t>
  </si>
  <si>
    <t>LeedsAusthorpe</t>
  </si>
  <si>
    <t>E4704P005</t>
  </si>
  <si>
    <t>Austhorpe</t>
  </si>
  <si>
    <t>LeedsBardsey cum Rigton</t>
  </si>
  <si>
    <t>E4704P006</t>
  </si>
  <si>
    <t>Bardsey cum Rigton</t>
  </si>
  <si>
    <t>LeedsBarwick in Elmet and Scholes</t>
  </si>
  <si>
    <t>E4704P007</t>
  </si>
  <si>
    <t>Barwick in Elmet and Scholes</t>
  </si>
  <si>
    <t>LeedsBoston Spa</t>
  </si>
  <si>
    <t>E4704P008</t>
  </si>
  <si>
    <t>Boston Spa</t>
  </si>
  <si>
    <t>LeedsBramham cum Oglethorpe</t>
  </si>
  <si>
    <t>E4704P009</t>
  </si>
  <si>
    <t>Bramham cum Oglethorpe</t>
  </si>
  <si>
    <t>LeedsBramhope and Carlton</t>
  </si>
  <si>
    <t>E4704P010</t>
  </si>
  <si>
    <t>Bramhope and Carlton</t>
  </si>
  <si>
    <t>LeedsClifford</t>
  </si>
  <si>
    <t>E4704P012</t>
  </si>
  <si>
    <t>LeedsCollingham with Linton</t>
  </si>
  <si>
    <t>E4704P013</t>
  </si>
  <si>
    <t>Collingham with Linton</t>
  </si>
  <si>
    <t>LeedsDrighlington</t>
  </si>
  <si>
    <t>E4704P014</t>
  </si>
  <si>
    <t>Drighlington</t>
  </si>
  <si>
    <t>LeedsEast Keswick</t>
  </si>
  <si>
    <t>E4704P015</t>
  </si>
  <si>
    <t>East Keswick</t>
  </si>
  <si>
    <t>LeedsGildersome</t>
  </si>
  <si>
    <t>E4704P016</t>
  </si>
  <si>
    <t>Gildersome</t>
  </si>
  <si>
    <t>LeedsGreat and Little Preston</t>
  </si>
  <si>
    <t>E4704P017</t>
  </si>
  <si>
    <t>Great and Little Preston</t>
  </si>
  <si>
    <t>LeedsHarewood</t>
  </si>
  <si>
    <t>E4704P018</t>
  </si>
  <si>
    <t>Harewood</t>
  </si>
  <si>
    <t>LeedsHorsforth</t>
  </si>
  <si>
    <t>E4704P019</t>
  </si>
  <si>
    <t>Horsforth</t>
  </si>
  <si>
    <t>LeedsKippax</t>
  </si>
  <si>
    <t>E4704P020</t>
  </si>
  <si>
    <t>Kippax</t>
  </si>
  <si>
    <t>LeedsLedsham</t>
  </si>
  <si>
    <t>E4704P021</t>
  </si>
  <si>
    <t>Ledsham</t>
  </si>
  <si>
    <t>LeedsMicklefield</t>
  </si>
  <si>
    <t>E4704P024</t>
  </si>
  <si>
    <t>Micklefield</t>
  </si>
  <si>
    <t>LeedsMorley</t>
  </si>
  <si>
    <t>E4704P025</t>
  </si>
  <si>
    <t>LeedsOtley</t>
  </si>
  <si>
    <t>E4704P026</t>
  </si>
  <si>
    <t>LeedsPool in Wharfedale</t>
  </si>
  <si>
    <t>E4704P028</t>
  </si>
  <si>
    <t>Pool in Wharfedale</t>
  </si>
  <si>
    <t>LeedsScarcroft</t>
  </si>
  <si>
    <t>E4704P029</t>
  </si>
  <si>
    <t>Scarcroft</t>
  </si>
  <si>
    <t>LeedsShadwell</t>
  </si>
  <si>
    <t>E4704P030</t>
  </si>
  <si>
    <t>Shadwell</t>
  </si>
  <si>
    <t>LeedsSwillington</t>
  </si>
  <si>
    <t>E4704P032</t>
  </si>
  <si>
    <t>Swillington</t>
  </si>
  <si>
    <t>LeedsThorner</t>
  </si>
  <si>
    <t>E4704P033</t>
  </si>
  <si>
    <t>Thorner</t>
  </si>
  <si>
    <t>LeedsThorp Arch</t>
  </si>
  <si>
    <t>E4704P034</t>
  </si>
  <si>
    <t>Thorp Arch</t>
  </si>
  <si>
    <t>LeedsWalton</t>
  </si>
  <si>
    <t>E4704P035</t>
  </si>
  <si>
    <t>LeedsWetherby</t>
  </si>
  <si>
    <t>E4704P036</t>
  </si>
  <si>
    <t>Wetherby</t>
  </si>
  <si>
    <t>LeedsWothersome</t>
  </si>
  <si>
    <t>E4704P037</t>
  </si>
  <si>
    <t>Wothersome</t>
  </si>
  <si>
    <t>LeedsRawdon</t>
  </si>
  <si>
    <t>E4704P038</t>
  </si>
  <si>
    <t>Rawdon</t>
  </si>
  <si>
    <t>WakefieldAckworth</t>
  </si>
  <si>
    <t>E4705P001</t>
  </si>
  <si>
    <t>Ackworth</t>
  </si>
  <si>
    <t>WakefieldBadsworth</t>
  </si>
  <si>
    <t>E4705P002</t>
  </si>
  <si>
    <t>Badsworth</t>
  </si>
  <si>
    <t>WakefieldCrigglestone</t>
  </si>
  <si>
    <t>E4705P004</t>
  </si>
  <si>
    <t>Crigglestone</t>
  </si>
  <si>
    <t>WakefieldCrofton</t>
  </si>
  <si>
    <t>E4705P005</t>
  </si>
  <si>
    <t>Crofton</t>
  </si>
  <si>
    <t>WakefieldDarrington</t>
  </si>
  <si>
    <t>E4705P006</t>
  </si>
  <si>
    <t>Darrington</t>
  </si>
  <si>
    <t>WakefieldEast Hardwick</t>
  </si>
  <si>
    <t>E4705P007</t>
  </si>
  <si>
    <t>East Hardwick</t>
  </si>
  <si>
    <t>WakefieldFeatherstone</t>
  </si>
  <si>
    <t>E4705P008</t>
  </si>
  <si>
    <t>WakefieldHavercroft with Cold Hiendley</t>
  </si>
  <si>
    <t>E4705P009</t>
  </si>
  <si>
    <t>Havercroft with Cold Hiendley</t>
  </si>
  <si>
    <t>WakefieldHemsworth</t>
  </si>
  <si>
    <t>E4705P010</t>
  </si>
  <si>
    <t>Hemsworth</t>
  </si>
  <si>
    <t>WakefieldNostell with Huntwick &amp; Foulby</t>
  </si>
  <si>
    <t>E4705P012</t>
  </si>
  <si>
    <t>Nostell with Huntwick &amp; Foulby</t>
  </si>
  <si>
    <t>WakefieldNormanton</t>
  </si>
  <si>
    <t>E4705P014</t>
  </si>
  <si>
    <t>WakefieldNotton</t>
  </si>
  <si>
    <t>E4705P016</t>
  </si>
  <si>
    <t>Notton</t>
  </si>
  <si>
    <t>WakefieldRyhill</t>
  </si>
  <si>
    <t>E4705P017</t>
  </si>
  <si>
    <t>Ryhill</t>
  </si>
  <si>
    <t>WakefieldSharlston</t>
  </si>
  <si>
    <t>E4705P018</t>
  </si>
  <si>
    <t>Sharlston</t>
  </si>
  <si>
    <t>WakefieldSitlington</t>
  </si>
  <si>
    <t>E4705P019</t>
  </si>
  <si>
    <t>Sitlington</t>
  </si>
  <si>
    <t>WakefieldSouth Elmsall</t>
  </si>
  <si>
    <t>E4705P020</t>
  </si>
  <si>
    <t>South Elmsall</t>
  </si>
  <si>
    <t>WakefieldSouth Hiendley</t>
  </si>
  <si>
    <t>E4705P021</t>
  </si>
  <si>
    <t>South Hiendley</t>
  </si>
  <si>
    <t>WakefieldSouth Kirkby and Moorthorpe</t>
  </si>
  <si>
    <t>E4705P022</t>
  </si>
  <si>
    <t>South Kirkby and Moorthorpe</t>
  </si>
  <si>
    <t>WakefieldThorpe Audlin</t>
  </si>
  <si>
    <t>E4705P023</t>
  </si>
  <si>
    <t>Thorpe Audlin</t>
  </si>
  <si>
    <t>WakefieldUpton &amp; North Elmsall</t>
  </si>
  <si>
    <t>E4705P024</t>
  </si>
  <si>
    <t>Upton &amp; North Elmsall</t>
  </si>
  <si>
    <t>WakefieldWalton</t>
  </si>
  <si>
    <t>E4705P025</t>
  </si>
  <si>
    <t>WakefieldWarmfield cum Heath</t>
  </si>
  <si>
    <t>E4705P026</t>
  </si>
  <si>
    <t>Warmfield cum Heath</t>
  </si>
  <si>
    <t>WakefieldWest Bretton</t>
  </si>
  <si>
    <t>E4705P027</t>
  </si>
  <si>
    <t>West Bretton</t>
  </si>
  <si>
    <t>WakefieldWintersett</t>
  </si>
  <si>
    <t>E4705P029</t>
  </si>
  <si>
    <t>Wintersett</t>
  </si>
  <si>
    <t>WakefieldWoolley</t>
  </si>
  <si>
    <t>E4705P030</t>
  </si>
  <si>
    <t>Woolley</t>
  </si>
  <si>
    <t>WakefieldWentbridge Parish Meeting</t>
  </si>
  <si>
    <t>E4705P031</t>
  </si>
  <si>
    <t>Wentbridge Parish Meeting</t>
  </si>
  <si>
    <t>City of LondonInner Temple</t>
  </si>
  <si>
    <t>E5010P001</t>
  </si>
  <si>
    <t>Inner Temple</t>
  </si>
  <si>
    <t>Temple</t>
  </si>
  <si>
    <t>City of LondonMiddle Temple</t>
  </si>
  <si>
    <t>E5010P002</t>
  </si>
  <si>
    <t>Middle Temple</t>
  </si>
  <si>
    <t>WestminsterQueen's Park Community Council</t>
  </si>
  <si>
    <t>E5022P001</t>
  </si>
  <si>
    <t>Queen's Park Community Council</t>
  </si>
  <si>
    <t>Number of civil parishes</t>
  </si>
  <si>
    <t>Council tax base for civil parishes</t>
  </si>
  <si>
    <t>Number of charter trustees</t>
  </si>
  <si>
    <t>Council tax base for charter trustees</t>
  </si>
  <si>
    <t>Number of precepting</t>
  </si>
  <si>
    <t>Council tax base for precepting</t>
  </si>
  <si>
    <t>ILB</t>
  </si>
  <si>
    <t>PA1</t>
  </si>
  <si>
    <t>PA2</t>
  </si>
  <si>
    <t>PA3</t>
  </si>
  <si>
    <t>PA4</t>
  </si>
  <si>
    <t>PA5</t>
  </si>
  <si>
    <t>PA6</t>
  </si>
  <si>
    <t>PA7</t>
  </si>
  <si>
    <t>BA</t>
  </si>
  <si>
    <t>RP1</t>
  </si>
  <si>
    <t>RP2</t>
  </si>
  <si>
    <t>RP3</t>
  </si>
  <si>
    <t>RP4</t>
  </si>
  <si>
    <t>RP5</t>
  </si>
  <si>
    <t>RP6</t>
  </si>
  <si>
    <t>RP7</t>
  </si>
  <si>
    <t>RPBA</t>
  </si>
  <si>
    <t>ASC1</t>
  </si>
  <si>
    <t>ASC2</t>
  </si>
  <si>
    <t>ASC3</t>
  </si>
  <si>
    <t>ASC4</t>
  </si>
  <si>
    <t>ASC5</t>
  </si>
  <si>
    <t>ASC6</t>
  </si>
  <si>
    <t>ASC7</t>
  </si>
  <si>
    <t>ASCBA</t>
  </si>
  <si>
    <t>PY Band d 1</t>
  </si>
  <si>
    <t>PY Band d 2</t>
  </si>
  <si>
    <t>PY Band d 3</t>
  </si>
  <si>
    <t>PY Band d 4</t>
  </si>
  <si>
    <t>PY Band d 5</t>
  </si>
  <si>
    <t>PY Band d 6</t>
  </si>
  <si>
    <t>PY Band d 7</t>
  </si>
  <si>
    <t>PY Band d</t>
  </si>
  <si>
    <t>no one still equalising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</si>
</sst>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quot;£&quot;#,##0_);[Red]\(&quot;£&quot;#,##0\)"/>
    <numFmt numFmtId="166" formatCode="#,##0.0"/>
    <numFmt numFmtId="167" formatCode="0.00000"/>
    <numFmt numFmtId="168" formatCode="#,##0.000"/>
    <numFmt numFmtId="169" formatCode="0.000%"/>
    <numFmt numFmtId="170" formatCode="0.0%"/>
    <numFmt numFmtId="171" formatCode="#,##0.00000"/>
    <numFmt numFmtId="172" formatCode="0.0000"/>
    <numFmt numFmtId="173" formatCode="0.0"/>
    <numFmt numFmtId="174" formatCode="_(* #,##0_);_(* \(#,##0\);_(* &quot;-&quot;??_);_(@_)"/>
    <numFmt numFmtId="175" formatCode="0.0000000000"/>
    <numFmt numFmtId="176" formatCode="0.00000000000000000000000"/>
    <numFmt numFmtId="177" formatCode="_(* #,##0.0_);_(* \(#,##0.0\);_(* &quot;-&quot;??_);_(@_)"/>
  </numFmts>
  <fonts count="166" x14ac:knownFonts="1">
    <font>
      <sz val="10"/>
      <name val="Arial"/>
    </font>
    <font>
      <sz val="12"/>
      <color theme="1"/>
      <name val="Arial"/>
      <family val="2"/>
    </font>
    <font>
      <b/>
      <sz val="10"/>
      <name val="Arial"/>
      <family val="2"/>
    </font>
    <font>
      <sz val="10"/>
      <name val="Arial"/>
      <family val="2"/>
    </font>
    <font>
      <b/>
      <u/>
      <sz val="10"/>
      <name val="Arial"/>
      <family val="2"/>
    </font>
    <font>
      <sz val="10"/>
      <name val="Arial"/>
      <family val="2"/>
    </font>
    <font>
      <sz val="10"/>
      <color indexed="8"/>
      <name val="Arial"/>
      <family val="2"/>
    </font>
    <font>
      <b/>
      <sz val="12"/>
      <name val="Arial"/>
      <family val="2"/>
    </font>
    <font>
      <b/>
      <sz val="10"/>
      <color indexed="8"/>
      <name val="Arial"/>
      <family val="2"/>
    </font>
    <font>
      <b/>
      <u/>
      <sz val="18"/>
      <name val="Arial"/>
      <family val="2"/>
    </font>
    <font>
      <b/>
      <sz val="14"/>
      <name val="Arial"/>
      <family val="2"/>
    </font>
    <font>
      <sz val="9"/>
      <name val="Arial"/>
      <family val="2"/>
    </font>
    <font>
      <sz val="14"/>
      <name val="Arial"/>
      <family val="2"/>
    </font>
    <font>
      <b/>
      <sz val="11"/>
      <name val="Arial"/>
      <family val="2"/>
    </font>
    <font>
      <sz val="11"/>
      <name val="Arial"/>
      <family val="2"/>
    </font>
    <font>
      <sz val="12"/>
      <name val="Arial"/>
      <family val="2"/>
    </font>
    <font>
      <u/>
      <sz val="9"/>
      <color indexed="12"/>
      <name val="Arial"/>
      <family val="2"/>
    </font>
    <font>
      <sz val="16"/>
      <name val="Arial"/>
      <family val="2"/>
    </font>
    <font>
      <b/>
      <sz val="16"/>
      <color indexed="18"/>
      <name val="Arial"/>
      <family val="2"/>
    </font>
    <font>
      <b/>
      <sz val="12"/>
      <color indexed="10"/>
      <name val="Arial"/>
      <family val="2"/>
    </font>
    <font>
      <sz val="12"/>
      <color indexed="10"/>
      <name val="Arial"/>
      <family val="2"/>
    </font>
    <font>
      <b/>
      <i/>
      <sz val="12"/>
      <color indexed="18"/>
      <name val="Arial"/>
      <family val="2"/>
    </font>
    <font>
      <sz val="12"/>
      <name val="Arial"/>
      <family val="2"/>
    </font>
    <font>
      <b/>
      <sz val="18"/>
      <name val="Arial"/>
      <family val="2"/>
    </font>
    <font>
      <sz val="18"/>
      <name val="Arial"/>
      <family val="2"/>
    </font>
    <font>
      <sz val="14"/>
      <name val="Arial"/>
      <family val="2"/>
    </font>
    <font>
      <sz val="10"/>
      <color indexed="18"/>
      <name val="Arial"/>
      <family val="2"/>
    </font>
    <font>
      <b/>
      <sz val="12"/>
      <color indexed="42"/>
      <name val="Arial"/>
      <family val="2"/>
    </font>
    <font>
      <b/>
      <sz val="13"/>
      <name val="Arial"/>
      <family val="2"/>
    </font>
    <font>
      <sz val="13"/>
      <name val="Arial"/>
      <family val="2"/>
    </font>
    <font>
      <b/>
      <sz val="13"/>
      <color indexed="10"/>
      <name val="Arial"/>
      <family val="2"/>
    </font>
    <font>
      <b/>
      <sz val="13"/>
      <color indexed="8"/>
      <name val="Arial"/>
      <family val="2"/>
    </font>
    <font>
      <b/>
      <i/>
      <sz val="13"/>
      <name val="Arial"/>
      <family val="2"/>
    </font>
    <font>
      <b/>
      <sz val="10"/>
      <color indexed="10"/>
      <name val="Arial"/>
      <family val="2"/>
    </font>
    <font>
      <sz val="8"/>
      <name val="Arial"/>
      <family val="2"/>
    </font>
    <font>
      <b/>
      <sz val="9"/>
      <name val="Arial"/>
      <family val="2"/>
    </font>
    <font>
      <b/>
      <sz val="8"/>
      <name val="Arial"/>
      <family val="2"/>
    </font>
    <font>
      <sz val="9"/>
      <color indexed="9"/>
      <name val="Arial"/>
      <family val="2"/>
    </font>
    <font>
      <sz val="8"/>
      <color indexed="9"/>
      <name val="Arial"/>
      <family val="2"/>
    </font>
    <font>
      <b/>
      <sz val="9"/>
      <color indexed="10"/>
      <name val="Arial"/>
      <family val="2"/>
    </font>
    <font>
      <b/>
      <sz val="8"/>
      <color indexed="10"/>
      <name val="Arial"/>
      <family val="2"/>
    </font>
    <font>
      <b/>
      <sz val="2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2"/>
      <color indexed="8"/>
      <name val="Arial"/>
      <family val="2"/>
    </font>
    <font>
      <sz val="10"/>
      <name val="Courier"/>
      <family val="3"/>
    </font>
    <font>
      <b/>
      <sz val="10"/>
      <name val="Courier"/>
      <family val="3"/>
    </font>
    <font>
      <sz val="10"/>
      <color indexed="9"/>
      <name val="Arial"/>
      <family val="2"/>
    </font>
    <font>
      <b/>
      <sz val="10"/>
      <color indexed="9"/>
      <name val="Arial"/>
      <family val="2"/>
    </font>
    <font>
      <b/>
      <u/>
      <sz val="14"/>
      <name val="Arial"/>
      <family val="2"/>
    </font>
    <font>
      <b/>
      <u/>
      <sz val="12"/>
      <name val="Arial"/>
      <family val="2"/>
    </font>
    <font>
      <b/>
      <i/>
      <sz val="12"/>
      <name val="Arial"/>
      <family val="2"/>
    </font>
    <font>
      <b/>
      <u/>
      <sz val="11"/>
      <name val="Arial"/>
      <family val="2"/>
    </font>
    <font>
      <b/>
      <i/>
      <u/>
      <sz val="11"/>
      <name val="Arial"/>
      <family val="2"/>
    </font>
    <font>
      <b/>
      <i/>
      <sz val="11"/>
      <name val="Arial"/>
      <family val="2"/>
    </font>
    <font>
      <sz val="20"/>
      <name val="Arial"/>
      <family val="2"/>
    </font>
    <font>
      <sz val="10"/>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b/>
      <i/>
      <sz val="36"/>
      <color indexed="10"/>
      <name val="Arial"/>
      <family val="2"/>
    </font>
    <font>
      <b/>
      <u/>
      <sz val="20"/>
      <name val="Arial"/>
      <family val="2"/>
    </font>
    <font>
      <b/>
      <sz val="10"/>
      <color indexed="43"/>
      <name val="Arial"/>
      <family val="2"/>
    </font>
    <font>
      <sz val="10"/>
      <color indexed="43"/>
      <name val="Arial"/>
      <family val="2"/>
    </font>
    <font>
      <sz val="10"/>
      <name val="Arial"/>
      <family val="2"/>
    </font>
    <font>
      <b/>
      <u/>
      <sz val="13"/>
      <name val="Arial"/>
      <family val="2"/>
    </font>
    <font>
      <b/>
      <sz val="14"/>
      <color indexed="18"/>
      <name val="Arial"/>
      <family val="2"/>
    </font>
    <font>
      <sz val="10"/>
      <color indexed="22"/>
      <name val="Arial"/>
      <family val="2"/>
    </font>
    <font>
      <sz val="10"/>
      <color theme="1"/>
      <name val="Arial"/>
      <family val="2"/>
    </font>
    <font>
      <sz val="8"/>
      <color rgb="FFFF0000"/>
      <name val="Arial"/>
      <family val="2"/>
    </font>
    <font>
      <sz val="8"/>
      <color indexed="10"/>
      <name val="Arial"/>
      <family val="2"/>
    </font>
    <font>
      <u/>
      <sz val="9"/>
      <name val="Arial"/>
      <family val="2"/>
    </font>
    <font>
      <u/>
      <sz val="8"/>
      <color rgb="FFFFFFCC"/>
      <name val="Arial"/>
      <family val="2"/>
    </font>
    <font>
      <b/>
      <sz val="11"/>
      <color rgb="FFFF0000"/>
      <name val="Arial"/>
      <family val="2"/>
    </font>
    <font>
      <i/>
      <sz val="13"/>
      <name val="Arial"/>
      <family val="2"/>
    </font>
    <font>
      <sz val="10"/>
      <color theme="0" tint="-0.34998626667073579"/>
      <name val="Arial"/>
      <family val="2"/>
    </font>
    <font>
      <sz val="14"/>
      <color theme="0" tint="-0.34998626667073579"/>
      <name val="Arial"/>
      <family val="2"/>
    </font>
    <font>
      <sz val="10"/>
      <color rgb="FFFF0000"/>
      <name val="Arial"/>
      <family val="2"/>
    </font>
    <font>
      <sz val="18"/>
      <color rgb="FFFF0000"/>
      <name val="Arial"/>
      <family val="2"/>
    </font>
    <font>
      <sz val="12"/>
      <color rgb="FFFF0000"/>
      <name val="Arial"/>
      <family val="2"/>
    </font>
    <font>
      <sz val="10"/>
      <color theme="0"/>
      <name val="Arial"/>
      <family val="2"/>
    </font>
    <font>
      <b/>
      <sz val="14"/>
      <color rgb="FFFF0000"/>
      <name val="Arial"/>
      <family val="2"/>
    </font>
    <font>
      <sz val="12"/>
      <color theme="0"/>
      <name val="Arial"/>
      <family val="2"/>
    </font>
    <font>
      <b/>
      <sz val="12"/>
      <name val="Wingdings"/>
      <charset val="2"/>
    </font>
    <font>
      <b/>
      <sz val="12"/>
      <color theme="0"/>
      <name val="Arial"/>
      <family val="2"/>
    </font>
    <font>
      <sz val="12"/>
      <name val="Wingdings 2"/>
      <family val="1"/>
      <charset val="2"/>
    </font>
    <font>
      <b/>
      <sz val="12"/>
      <color rgb="FFFF0000"/>
      <name val="Arial"/>
      <family val="2"/>
    </font>
    <font>
      <b/>
      <sz val="48"/>
      <color rgb="FFFF0000"/>
      <name val="Arial"/>
      <family val="2"/>
    </font>
    <font>
      <b/>
      <sz val="16"/>
      <color rgb="FFFF0000"/>
      <name val="Arial"/>
      <family val="2"/>
    </font>
    <font>
      <sz val="10"/>
      <color rgb="FFFFFFCC"/>
      <name val="Arial"/>
      <family val="2"/>
    </font>
    <font>
      <i/>
      <sz val="10"/>
      <name val="Arial"/>
      <family val="2"/>
    </font>
    <font>
      <sz val="14"/>
      <color theme="0"/>
      <name val="Arial"/>
      <family val="2"/>
    </font>
    <font>
      <b/>
      <sz val="14"/>
      <color rgb="FFFFFFCC"/>
      <name val="Arial"/>
      <family val="2"/>
    </font>
    <font>
      <u/>
      <sz val="9"/>
      <color rgb="FFFFFFCC"/>
      <name val="Arial"/>
      <family val="2"/>
    </font>
    <font>
      <sz val="8"/>
      <color rgb="FFFFFFCC"/>
      <name val="Arial"/>
      <family val="2"/>
    </font>
    <font>
      <sz val="12"/>
      <color rgb="FFFFFFCC"/>
      <name val="Arial"/>
      <family val="2"/>
    </font>
    <font>
      <sz val="9"/>
      <color rgb="FFFF0000"/>
      <name val="Arial"/>
      <family val="2"/>
    </font>
    <font>
      <b/>
      <sz val="13"/>
      <color rgb="FFFFFFB9"/>
      <name val="Arial"/>
      <family val="2"/>
    </font>
    <font>
      <b/>
      <sz val="13"/>
      <color rgb="FFFF0000"/>
      <name val="Arial"/>
      <family val="2"/>
    </font>
    <font>
      <sz val="16"/>
      <color rgb="FFFF0000"/>
      <name val="Arial"/>
      <family val="2"/>
    </font>
    <font>
      <sz val="14"/>
      <color rgb="FFFF0000"/>
      <name val="Arial"/>
      <family val="2"/>
    </font>
    <font>
      <sz val="18"/>
      <color theme="0"/>
      <name val="Arial"/>
      <family val="2"/>
    </font>
    <font>
      <b/>
      <u/>
      <sz val="10"/>
      <color rgb="FFFF0000"/>
      <name val="Arial"/>
      <family val="2"/>
    </font>
    <font>
      <b/>
      <u/>
      <sz val="12"/>
      <color rgb="FFFF0000"/>
      <name val="Arial"/>
      <family val="2"/>
    </font>
    <font>
      <u/>
      <sz val="10"/>
      <color rgb="FFFF0000"/>
      <name val="Arial"/>
      <family val="2"/>
    </font>
    <font>
      <b/>
      <sz val="10"/>
      <color rgb="FFFF0000"/>
      <name val="Arial"/>
      <family val="2"/>
    </font>
    <font>
      <sz val="9"/>
      <color rgb="FFFFFFC0"/>
      <name val="Arial"/>
      <family val="2"/>
    </font>
    <font>
      <b/>
      <sz val="12"/>
      <color theme="1"/>
      <name val="Arial"/>
      <family val="2"/>
    </font>
    <font>
      <u/>
      <sz val="10"/>
      <color theme="10"/>
      <name val="Arial"/>
      <family val="2"/>
    </font>
    <font>
      <b/>
      <sz val="11"/>
      <color theme="3"/>
      <name val="Arial"/>
      <family val="2"/>
    </font>
    <font>
      <b/>
      <sz val="18"/>
      <color theme="3"/>
      <name val="Cambria"/>
      <family val="2"/>
      <scheme val="major"/>
    </font>
    <font>
      <b/>
      <sz val="15"/>
      <color theme="3"/>
      <name val="Arial"/>
      <family val="2"/>
    </font>
    <font>
      <b/>
      <sz val="13"/>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i/>
      <sz val="12"/>
      <color rgb="FF7F7F7F"/>
      <name val="Arial"/>
      <family val="2"/>
    </font>
    <font>
      <sz val="11"/>
      <color rgb="FFFF0000"/>
      <name val="Arial"/>
      <family val="2"/>
    </font>
    <font>
      <b/>
      <sz val="10"/>
      <color rgb="FFFFFFC0"/>
      <name val="Arial"/>
      <family val="2"/>
    </font>
    <font>
      <sz val="10"/>
      <color rgb="FFFFFFC0"/>
      <name val="Arial"/>
      <family val="2"/>
    </font>
    <font>
      <sz val="14"/>
      <color rgb="FFFFFFC0"/>
      <name val="Arial"/>
      <family val="2"/>
    </font>
    <font>
      <b/>
      <sz val="12"/>
      <color rgb="FFFFFFC0"/>
      <name val="Arial"/>
      <family val="2"/>
    </font>
    <font>
      <b/>
      <sz val="10"/>
      <color rgb="FFFFFFCC"/>
      <name val="Arial"/>
      <family val="2"/>
    </font>
    <font>
      <sz val="9"/>
      <color rgb="FFFFFFB9"/>
      <name val="Arial"/>
      <family val="2"/>
    </font>
    <font>
      <b/>
      <sz val="10"/>
      <color rgb="FFFFFFB9"/>
      <name val="Arial"/>
      <family val="2"/>
    </font>
    <font>
      <sz val="10"/>
      <color rgb="FFFFFFFE"/>
      <name val="Arial"/>
      <family val="2"/>
    </font>
    <font>
      <sz val="14"/>
      <color rgb="FFFFFFFE"/>
      <name val="Arial"/>
      <family val="2"/>
    </font>
    <font>
      <sz val="8"/>
      <name val="Arial"/>
      <family val="2"/>
    </font>
    <font>
      <sz val="12"/>
      <color theme="0" tint="-0.499984740745262"/>
      <name val="Arial"/>
      <family val="2"/>
    </font>
    <font>
      <sz val="11"/>
      <color rgb="FFFFFFC0"/>
      <name val="Arial"/>
      <family val="2"/>
    </font>
    <font>
      <sz val="11"/>
      <name val="Calibri"/>
      <family val="2"/>
      <scheme val="minor"/>
    </font>
    <font>
      <b/>
      <u/>
      <sz val="16"/>
      <name val="Arial"/>
      <family val="2"/>
    </font>
    <font>
      <b/>
      <sz val="18"/>
      <color rgb="FFFF0000"/>
      <name val="Arial"/>
      <family val="2"/>
    </font>
    <font>
      <sz val="10"/>
      <color rgb="FF000000"/>
      <name val="Arial"/>
      <family val="2"/>
    </font>
    <font>
      <sz val="8"/>
      <name val="Arial"/>
      <family val="2"/>
    </font>
    <font>
      <sz val="11"/>
      <color rgb="FF000000"/>
      <name val="Arial"/>
      <family val="2"/>
    </font>
    <font>
      <sz val="12"/>
      <color rgb="FF000000"/>
      <name val="Arial"/>
      <family val="2"/>
    </font>
    <font>
      <sz val="13"/>
      <color rgb="FFFF0000"/>
      <name val="Arial"/>
      <family val="2"/>
    </font>
    <font>
      <b/>
      <i/>
      <sz val="8"/>
      <color theme="0"/>
      <name val="Arial"/>
      <family val="2"/>
    </font>
    <font>
      <b/>
      <sz val="11"/>
      <color indexed="18"/>
      <name val="Arial"/>
      <family val="2"/>
    </font>
    <font>
      <sz val="11"/>
      <color theme="0"/>
      <name val="Arial"/>
      <family val="2"/>
    </font>
    <font>
      <b/>
      <i/>
      <sz val="10"/>
      <name val="Arial"/>
      <family val="2"/>
    </font>
    <font>
      <sz val="8"/>
      <color theme="0"/>
      <name val="Arial"/>
      <family val="2"/>
    </font>
    <font>
      <b/>
      <i/>
      <sz val="13"/>
      <color rgb="FF000000"/>
      <name val="Arial"/>
      <family val="2"/>
    </font>
    <font>
      <b/>
      <sz val="13"/>
      <color rgb="FF000000"/>
      <name val="Arial"/>
      <family val="2"/>
    </font>
    <font>
      <b/>
      <sz val="10"/>
      <color theme="0"/>
      <name val="Arial"/>
      <family val="2"/>
    </font>
  </fonts>
  <fills count="6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theme="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79998168889431442"/>
        <bgColor indexed="64"/>
      </patternFill>
    </fill>
    <fill>
      <patternFill patternType="solid">
        <fgColor rgb="FFFFC7CE"/>
        <bgColor indexed="64"/>
      </patternFill>
    </fill>
    <fill>
      <patternFill patternType="solid">
        <fgColor theme="8" tint="0.59999389629810485"/>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right style="medium">
        <color indexed="48"/>
      </right>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17"/>
      </left>
      <right style="medium">
        <color indexed="17"/>
      </right>
      <top style="medium">
        <color indexed="17"/>
      </top>
      <bottom style="medium">
        <color indexed="17"/>
      </bottom>
      <diagonal/>
    </border>
    <border>
      <left/>
      <right style="thin">
        <color indexed="64"/>
      </right>
      <top style="thin">
        <color indexed="64"/>
      </top>
      <bottom style="thin">
        <color indexed="64"/>
      </bottom>
      <diagonal/>
    </border>
    <border>
      <left style="medium">
        <color indexed="50"/>
      </left>
      <right style="medium">
        <color indexed="50"/>
      </right>
      <top style="medium">
        <color indexed="50"/>
      </top>
      <bottom style="medium">
        <color indexed="50"/>
      </bottom>
      <diagonal/>
    </border>
    <border>
      <left style="medium">
        <color indexed="8"/>
      </left>
      <right style="medium">
        <color indexed="8"/>
      </right>
      <top style="medium">
        <color indexed="8"/>
      </top>
      <bottom style="medium">
        <color indexed="8"/>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rgb="FF00B050"/>
      </left>
      <right style="medium">
        <color rgb="FF00B050"/>
      </right>
      <top style="medium">
        <color rgb="FF00B050"/>
      </top>
      <bottom style="medium">
        <color rgb="FF00B050"/>
      </bottom>
      <diagonal/>
    </border>
    <border>
      <left style="thin">
        <color indexed="64"/>
      </left>
      <right style="thin">
        <color indexed="64"/>
      </right>
      <top style="hair">
        <color indexed="64"/>
      </top>
      <bottom style="hair">
        <color indexed="64"/>
      </bottom>
      <diagonal/>
    </border>
    <border>
      <left style="medium">
        <color rgb="FF00B050"/>
      </left>
      <right style="medium">
        <color indexed="50"/>
      </right>
      <top style="medium">
        <color indexed="50"/>
      </top>
      <bottom style="medium">
        <color indexed="5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7B00"/>
      </left>
      <right style="medium">
        <color rgb="FF007B00"/>
      </right>
      <top style="medium">
        <color rgb="FF007B00"/>
      </top>
      <bottom style="medium">
        <color rgb="FF007B00"/>
      </bottom>
      <diagonal/>
    </border>
    <border>
      <left style="medium">
        <color indexed="64"/>
      </left>
      <right style="medium">
        <color indexed="64"/>
      </right>
      <top style="medium">
        <color indexed="64"/>
      </top>
      <bottom/>
      <diagonal/>
    </border>
    <border>
      <left/>
      <right/>
      <top style="medium">
        <color rgb="FF007B00"/>
      </top>
      <bottom/>
      <diagonal/>
    </border>
    <border>
      <left style="medium">
        <color rgb="FF007B00"/>
      </left>
      <right/>
      <top style="medium">
        <color rgb="FF007B00"/>
      </top>
      <bottom style="medium">
        <color rgb="FF007B00"/>
      </bottom>
      <diagonal/>
    </border>
    <border>
      <left/>
      <right style="medium">
        <color rgb="FF007B00"/>
      </right>
      <top style="medium">
        <color rgb="FF007B00"/>
      </top>
      <bottom style="medium">
        <color rgb="FF007B00"/>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right/>
      <top style="medium">
        <color indexed="12"/>
      </top>
      <bottom style="medium">
        <color indexed="64"/>
      </bottom>
      <diagonal/>
    </border>
    <border>
      <left style="medium">
        <color indexed="64"/>
      </left>
      <right style="medium">
        <color indexed="64"/>
      </right>
      <top/>
      <bottom/>
      <diagonal/>
    </border>
    <border>
      <left style="medium">
        <color theme="1"/>
      </left>
      <right style="medium">
        <color theme="1"/>
      </right>
      <top style="medium">
        <color theme="1"/>
      </top>
      <bottom style="medium">
        <color theme="1"/>
      </bottom>
      <diagonal/>
    </border>
    <border>
      <left style="medium">
        <color theme="1"/>
      </left>
      <right/>
      <top/>
      <bottom/>
      <diagonal/>
    </border>
    <border>
      <left/>
      <right style="medium">
        <color rgb="FF007B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medium">
        <color rgb="FF00B050"/>
      </right>
      <top style="medium">
        <color rgb="FF00B050"/>
      </top>
      <bottom style="medium">
        <color rgb="FF00B050"/>
      </bottom>
      <diagonal/>
    </border>
    <border>
      <left style="thin">
        <color rgb="FF000000"/>
      </left>
      <right style="thin">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s>
  <cellStyleXfs count="274">
    <xf numFmtId="0" fontId="0" fillId="0" borderId="0"/>
    <xf numFmtId="0" fontId="3"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6" borderId="0" applyNumberFormat="0" applyBorder="0" applyAlignment="0" applyProtection="0"/>
    <xf numFmtId="0" fontId="42" fillId="4"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8"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11"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4" fillId="15" borderId="0" applyNumberFormat="0" applyBorder="0" applyAlignment="0" applyProtection="0"/>
    <xf numFmtId="0" fontId="45" fillId="16" borderId="1" applyNumberFormat="0" applyAlignment="0" applyProtection="0"/>
    <xf numFmtId="0" fontId="46" fillId="17" borderId="2" applyNumberFormat="0" applyAlignment="0" applyProtection="0"/>
    <xf numFmtId="164" fontId="3" fillId="0" borderId="0" applyFont="0" applyFill="0" applyBorder="0" applyAlignment="0" applyProtection="0"/>
    <xf numFmtId="164" fontId="5" fillId="0" borderId="0" applyFont="0" applyFill="0" applyBorder="0" applyAlignment="0" applyProtection="0"/>
    <xf numFmtId="0" fontId="47" fillId="0" borderId="0" applyNumberFormat="0" applyFill="0" applyBorder="0" applyAlignment="0" applyProtection="0"/>
    <xf numFmtId="0" fontId="48" fillId="6" borderId="0" applyNumberFormat="0" applyBorder="0" applyAlignment="0" applyProtection="0"/>
    <xf numFmtId="0" fontId="49" fillId="0" borderId="3" applyNumberFormat="0" applyFill="0" applyAlignment="0" applyProtection="0"/>
    <xf numFmtId="0" fontId="50" fillId="0" borderId="4" applyNumberFormat="0" applyFill="0" applyAlignment="0" applyProtection="0"/>
    <xf numFmtId="0" fontId="51" fillId="0" borderId="5" applyNumberFormat="0" applyFill="0" applyAlignment="0" applyProtection="0"/>
    <xf numFmtId="0" fontId="51" fillId="0" borderId="0" applyNumberFormat="0" applyFill="0" applyBorder="0" applyAlignment="0" applyProtection="0"/>
    <xf numFmtId="0" fontId="16"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52" fillId="7" borderId="1" applyNumberFormat="0" applyAlignment="0" applyProtection="0"/>
    <xf numFmtId="0" fontId="53" fillId="0" borderId="6" applyNumberFormat="0" applyFill="0" applyAlignment="0" applyProtection="0"/>
    <xf numFmtId="0" fontId="54" fillId="7" borderId="0" applyNumberFormat="0" applyBorder="0" applyAlignment="0" applyProtection="0"/>
    <xf numFmtId="0" fontId="15" fillId="0" borderId="0"/>
    <xf numFmtId="0" fontId="5" fillId="0" borderId="0"/>
    <xf numFmtId="0" fontId="5" fillId="0" borderId="0"/>
    <xf numFmtId="0" fontId="15" fillId="0" borderId="0"/>
    <xf numFmtId="0" fontId="3" fillId="0" borderId="0"/>
    <xf numFmtId="0" fontId="5" fillId="4" borderId="7" applyNumberFormat="0" applyFont="0" applyAlignment="0" applyProtection="0"/>
    <xf numFmtId="0" fontId="55" fillId="16" borderId="8" applyNumberFormat="0" applyAlignment="0" applyProtection="0"/>
    <xf numFmtId="9" fontId="3" fillId="0" borderId="0" applyFont="0" applyFill="0" applyBorder="0" applyAlignment="0" applyProtection="0"/>
    <xf numFmtId="0" fontId="56" fillId="0" borderId="0" applyNumberFormat="0" applyFill="0" applyBorder="0" applyAlignment="0" applyProtection="0"/>
    <xf numFmtId="0" fontId="57" fillId="0" borderId="9" applyNumberFormat="0" applyFill="0" applyAlignment="0" applyProtection="0"/>
    <xf numFmtId="0" fontId="53" fillId="0" borderId="0" applyNumberFormat="0" applyFill="0" applyBorder="0" applyAlignment="0" applyProtection="0"/>
    <xf numFmtId="3" fontId="3" fillId="19" borderId="41">
      <alignment horizontal="right"/>
    </xf>
    <xf numFmtId="3" fontId="3" fillId="19" borderId="41">
      <alignment horizontal="right"/>
    </xf>
    <xf numFmtId="3" fontId="2" fillId="19" borderId="27">
      <alignment horizontal="right"/>
    </xf>
    <xf numFmtId="3" fontId="3" fillId="19" borderId="27">
      <alignment horizontal="right"/>
    </xf>
    <xf numFmtId="3" fontId="3" fillId="19" borderId="27">
      <alignment horizontal="right"/>
    </xf>
    <xf numFmtId="0" fontId="42" fillId="2"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5" fillId="16" borderId="1" applyNumberFormat="0" applyAlignment="0" applyProtection="0"/>
    <xf numFmtId="0" fontId="45" fillId="16" borderId="1" applyNumberFormat="0" applyAlignment="0" applyProtection="0"/>
    <xf numFmtId="0" fontId="46" fillId="17" borderId="2" applyNumberFormat="0" applyAlignment="0" applyProtection="0"/>
    <xf numFmtId="0" fontId="46" fillId="17"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6" borderId="0" applyNumberFormat="0" applyBorder="0" applyAlignment="0" applyProtection="0"/>
    <xf numFmtId="0" fontId="48" fillId="6" borderId="0" applyNumberFormat="0" applyBorder="0" applyAlignment="0" applyProtection="0"/>
    <xf numFmtId="0" fontId="49" fillId="0" borderId="3" applyNumberFormat="0" applyFill="0" applyAlignment="0" applyProtection="0"/>
    <xf numFmtId="0" fontId="49" fillId="0" borderId="3" applyNumberFormat="0" applyFill="0" applyAlignment="0" applyProtection="0"/>
    <xf numFmtId="0" fontId="50" fillId="0" borderId="4" applyNumberFormat="0" applyFill="0" applyAlignment="0" applyProtection="0"/>
    <xf numFmtId="0" fontId="50" fillId="0" borderId="4" applyNumberFormat="0" applyFill="0" applyAlignment="0" applyProtection="0"/>
    <xf numFmtId="0" fontId="51" fillId="0" borderId="5" applyNumberFormat="0" applyFill="0" applyAlignment="0" applyProtection="0"/>
    <xf numFmtId="0" fontId="51" fillId="0" borderId="5"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52" fillId="7" borderId="1" applyNumberFormat="0" applyAlignment="0" applyProtection="0"/>
    <xf numFmtId="0" fontId="52" fillId="7" borderId="1" applyNumberFormat="0" applyAlignment="0" applyProtection="0"/>
    <xf numFmtId="0" fontId="53" fillId="0" borderId="6" applyNumberFormat="0" applyFill="0" applyAlignment="0" applyProtection="0"/>
    <xf numFmtId="0" fontId="53" fillId="0" borderId="6" applyNumberFormat="0" applyFill="0" applyAlignment="0" applyProtection="0"/>
    <xf numFmtId="0" fontId="54" fillId="7" borderId="0" applyNumberFormat="0" applyBorder="0" applyAlignment="0" applyProtection="0"/>
    <xf numFmtId="0" fontId="54" fillId="7" borderId="0" applyNumberFormat="0" applyBorder="0" applyAlignment="0" applyProtection="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4" borderId="7" applyNumberFormat="0" applyFont="0" applyAlignment="0" applyProtection="0"/>
    <xf numFmtId="0" fontId="3" fillId="4" borderId="7" applyNumberFormat="0" applyFont="0" applyAlignment="0" applyProtection="0"/>
    <xf numFmtId="0" fontId="3" fillId="4" borderId="7" applyNumberFormat="0" applyFont="0" applyAlignment="0" applyProtection="0"/>
    <xf numFmtId="0" fontId="55" fillId="16" borderId="8" applyNumberFormat="0" applyAlignment="0" applyProtection="0"/>
    <xf numFmtId="0" fontId="55" fillId="16"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9" applyNumberFormat="0" applyFill="0" applyAlignment="0" applyProtection="0"/>
    <xf numFmtId="0" fontId="57" fillId="0" borderId="9"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 fillId="0" borderId="0"/>
    <xf numFmtId="0" fontId="3" fillId="0" borderId="0"/>
    <xf numFmtId="0" fontId="126" fillId="0" borderId="0" applyNumberFormat="0" applyFill="0" applyBorder="0" applyAlignment="0" applyProtection="0"/>
    <xf numFmtId="0" fontId="127" fillId="0" borderId="43" applyNumberFormat="0" applyFill="0" applyAlignment="0" applyProtection="0"/>
    <xf numFmtId="0" fontId="128" fillId="0" borderId="44" applyNumberFormat="0" applyFill="0" applyAlignment="0" applyProtection="0"/>
    <xf numFmtId="0" fontId="125" fillId="0" borderId="45" applyNumberFormat="0" applyFill="0" applyAlignment="0" applyProtection="0"/>
    <xf numFmtId="0" fontId="125" fillId="0" borderId="0" applyNumberFormat="0" applyFill="0" applyBorder="0" applyAlignment="0" applyProtection="0"/>
    <xf numFmtId="0" fontId="129" fillId="29" borderId="0" applyNumberFormat="0" applyBorder="0" applyAlignment="0" applyProtection="0"/>
    <xf numFmtId="0" fontId="130" fillId="30" borderId="0" applyNumberFormat="0" applyBorder="0" applyAlignment="0" applyProtection="0"/>
    <xf numFmtId="0" fontId="131" fillId="31" borderId="0" applyNumberFormat="0" applyBorder="0" applyAlignment="0" applyProtection="0"/>
    <xf numFmtId="0" fontId="132" fillId="32" borderId="46" applyNumberFormat="0" applyAlignment="0" applyProtection="0"/>
    <xf numFmtId="0" fontId="133" fillId="33" borderId="47" applyNumberFormat="0" applyAlignment="0" applyProtection="0"/>
    <xf numFmtId="0" fontId="134" fillId="33" borderId="46" applyNumberFormat="0" applyAlignment="0" applyProtection="0"/>
    <xf numFmtId="0" fontId="135" fillId="0" borderId="48" applyNumberFormat="0" applyFill="0" applyAlignment="0" applyProtection="0"/>
    <xf numFmtId="0" fontId="100" fillId="34" borderId="49" applyNumberFormat="0" applyAlignment="0" applyProtection="0"/>
    <xf numFmtId="0" fontId="95" fillId="0" borderId="0" applyNumberFormat="0" applyFill="0" applyBorder="0" applyAlignment="0" applyProtection="0"/>
    <xf numFmtId="0" fontId="136" fillId="0" borderId="0" applyNumberFormat="0" applyFill="0" applyBorder="0" applyAlignment="0" applyProtection="0"/>
    <xf numFmtId="0" fontId="123" fillId="0" borderId="51" applyNumberFormat="0" applyFill="0" applyAlignment="0" applyProtection="0"/>
    <xf numFmtId="0" fontId="98"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98" fillId="39" borderId="0" applyNumberFormat="0" applyBorder="0" applyAlignment="0" applyProtection="0"/>
    <xf numFmtId="0" fontId="98"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98" fillId="43" borderId="0" applyNumberFormat="0" applyBorder="0" applyAlignment="0" applyProtection="0"/>
    <xf numFmtId="0" fontId="98"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98" fillId="47" borderId="0" applyNumberFormat="0" applyBorder="0" applyAlignment="0" applyProtection="0"/>
    <xf numFmtId="0" fontId="98"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98" fillId="51" borderId="0" applyNumberFormat="0" applyBorder="0" applyAlignment="0" applyProtection="0"/>
    <xf numFmtId="0" fontId="98"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98" fillId="55" borderId="0" applyNumberFormat="0" applyBorder="0" applyAlignment="0" applyProtection="0"/>
    <xf numFmtId="0" fontId="98"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98" fillId="59" borderId="0" applyNumberFormat="0" applyBorder="0" applyAlignment="0" applyProtection="0"/>
    <xf numFmtId="0" fontId="1" fillId="0" borderId="0"/>
    <xf numFmtId="0" fontId="1" fillId="35" borderId="50" applyNumberFormat="0" applyFont="0" applyAlignment="0" applyProtection="0"/>
    <xf numFmtId="0" fontId="74" fillId="0" borderId="0" applyNumberFormat="0" applyFill="0" applyBorder="0" applyAlignment="0" applyProtection="0">
      <alignment vertical="top"/>
      <protection locked="0"/>
    </xf>
    <xf numFmtId="0" fontId="124" fillId="0" borderId="0" applyNumberFormat="0" applyFill="0" applyBorder="0" applyAlignment="0" applyProtection="0"/>
    <xf numFmtId="0" fontId="3" fillId="0" borderId="0"/>
    <xf numFmtId="0" fontId="3" fillId="0" borderId="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0" borderId="0"/>
    <xf numFmtId="0" fontId="1" fillId="35" borderId="50"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0" borderId="0"/>
    <xf numFmtId="0" fontId="1" fillId="35" borderId="50"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0" borderId="0"/>
    <xf numFmtId="0" fontId="1" fillId="35" borderId="50" applyNumberFormat="0" applyFont="0" applyAlignment="0" applyProtection="0"/>
    <xf numFmtId="0" fontId="1" fillId="0" borderId="0"/>
    <xf numFmtId="0" fontId="1" fillId="35" borderId="50"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3" fillId="0" borderId="0"/>
    <xf numFmtId="0" fontId="153" fillId="0" borderId="0" applyNumberFormat="0" applyFont="0" applyBorder="0" applyProtection="0"/>
  </cellStyleXfs>
  <cellXfs count="1064">
    <xf numFmtId="0" fontId="0" fillId="0" borderId="0" xfId="0"/>
    <xf numFmtId="0" fontId="0" fillId="19" borderId="0" xfId="0" applyFill="1"/>
    <xf numFmtId="0" fontId="24" fillId="0" borderId="0" xfId="0" applyFont="1"/>
    <xf numFmtId="0" fontId="33" fillId="21" borderId="24" xfId="0" applyFont="1" applyFill="1" applyBorder="1" applyAlignment="1">
      <alignment horizontal="right" vertical="center"/>
    </xf>
    <xf numFmtId="0" fontId="33" fillId="21" borderId="25" xfId="0" applyFont="1" applyFill="1" applyBorder="1" applyAlignment="1">
      <alignment horizontal="right" vertical="center"/>
    </xf>
    <xf numFmtId="0" fontId="15" fillId="19" borderId="0" xfId="0" applyFont="1" applyFill="1"/>
    <xf numFmtId="0" fontId="15" fillId="0" borderId="0" xfId="0" applyFont="1"/>
    <xf numFmtId="0" fontId="67" fillId="19" borderId="15" xfId="0" applyFont="1" applyFill="1" applyBorder="1"/>
    <xf numFmtId="0" fontId="67" fillId="19" borderId="0" xfId="0" applyFont="1" applyFill="1"/>
    <xf numFmtId="0" fontId="0" fillId="19" borderId="16" xfId="0" applyFill="1" applyBorder="1"/>
    <xf numFmtId="0" fontId="14" fillId="19" borderId="15" xfId="0" applyFont="1" applyFill="1" applyBorder="1"/>
    <xf numFmtId="0" fontId="14" fillId="19" borderId="0" xfId="0" applyFont="1" applyFill="1"/>
    <xf numFmtId="0" fontId="0" fillId="0" borderId="15" xfId="0" applyBorder="1"/>
    <xf numFmtId="0" fontId="0" fillId="19" borderId="15" xfId="0" applyFill="1" applyBorder="1"/>
    <xf numFmtId="0" fontId="0" fillId="0" borderId="10" xfId="0" applyBorder="1"/>
    <xf numFmtId="0" fontId="69" fillId="19" borderId="0" xfId="0" applyFont="1" applyFill="1" applyAlignment="1">
      <alignment horizontal="left" vertical="top" wrapText="1" indent="1"/>
    </xf>
    <xf numFmtId="0" fontId="69" fillId="19" borderId="0" xfId="0" applyFont="1" applyFill="1" applyAlignment="1">
      <alignment wrapText="1"/>
    </xf>
    <xf numFmtId="0" fontId="0" fillId="0" borderId="29" xfId="0" applyBorder="1"/>
    <xf numFmtId="0" fontId="69" fillId="19" borderId="0" xfId="0" quotePrefix="1" applyFont="1" applyFill="1" applyAlignment="1">
      <alignment horizontal="left" vertical="top" indent="1"/>
    </xf>
    <xf numFmtId="0" fontId="0" fillId="0" borderId="11" xfId="0" applyBorder="1"/>
    <xf numFmtId="0" fontId="13" fillId="19" borderId="15" xfId="0" applyFont="1" applyFill="1" applyBorder="1"/>
    <xf numFmtId="0" fontId="0" fillId="0" borderId="0" xfId="0" applyAlignment="1">
      <alignment wrapText="1"/>
    </xf>
    <xf numFmtId="0" fontId="71" fillId="0" borderId="14" xfId="0" applyFont="1" applyBorder="1"/>
    <xf numFmtId="0" fontId="25" fillId="0" borderId="0" xfId="0" applyFont="1" applyAlignment="1">
      <alignment vertical="center"/>
    </xf>
    <xf numFmtId="166" fontId="33" fillId="21" borderId="25" xfId="0" applyNumberFormat="1" applyFont="1" applyFill="1" applyBorder="1" applyAlignment="1">
      <alignment horizontal="right" vertical="center"/>
    </xf>
    <xf numFmtId="0" fontId="3" fillId="19" borderId="0" xfId="0" applyFont="1" applyFill="1"/>
    <xf numFmtId="0" fontId="3" fillId="0" borderId="0" xfId="0" applyFont="1"/>
    <xf numFmtId="0" fontId="91" fillId="0" borderId="0" xfId="0" applyFont="1"/>
    <xf numFmtId="0" fontId="92" fillId="0" borderId="0" xfId="0" applyFont="1" applyAlignment="1">
      <alignment vertical="center"/>
    </xf>
    <xf numFmtId="0" fontId="93" fillId="19" borderId="0" xfId="0" applyFont="1" applyFill="1"/>
    <xf numFmtId="0" fontId="93" fillId="0" borderId="0" xfId="0" applyFont="1"/>
    <xf numFmtId="0" fontId="94" fillId="19" borderId="0" xfId="0" applyFont="1" applyFill="1"/>
    <xf numFmtId="0" fontId="94" fillId="0" borderId="0" xfId="0" applyFont="1"/>
    <xf numFmtId="0" fontId="95" fillId="19" borderId="0" xfId="0" applyFont="1" applyFill="1"/>
    <xf numFmtId="0" fontId="95" fillId="0" borderId="0" xfId="0" applyFont="1"/>
    <xf numFmtId="0" fontId="15" fillId="22" borderId="0" xfId="0" applyFont="1" applyFill="1"/>
    <xf numFmtId="0" fontId="65" fillId="22" borderId="0" xfId="0" applyFont="1" applyFill="1" applyAlignment="1">
      <alignment horizontal="center"/>
    </xf>
    <xf numFmtId="0" fontId="15" fillId="22" borderId="15" xfId="0" applyFont="1" applyFill="1" applyBorder="1"/>
    <xf numFmtId="0" fontId="15" fillId="22" borderId="0" xfId="0" applyFont="1" applyFill="1" applyAlignment="1">
      <alignment horizontal="center"/>
    </xf>
    <xf numFmtId="0" fontId="15" fillId="22" borderId="16" xfId="0" applyFont="1" applyFill="1" applyBorder="1"/>
    <xf numFmtId="0" fontId="0" fillId="22" borderId="0" xfId="0" applyFill="1" applyAlignment="1">
      <alignment horizontal="center" vertical="center"/>
    </xf>
    <xf numFmtId="3" fontId="0" fillId="22" borderId="0" xfId="0" applyNumberFormat="1" applyFill="1" applyAlignment="1">
      <alignment vertical="center"/>
    </xf>
    <xf numFmtId="0" fontId="0" fillId="22" borderId="0" xfId="0" applyFill="1"/>
    <xf numFmtId="0" fontId="99" fillId="22" borderId="16" xfId="0" applyFont="1" applyFill="1" applyBorder="1" applyAlignment="1">
      <alignment horizontal="center" vertical="top"/>
    </xf>
    <xf numFmtId="9" fontId="15" fillId="22" borderId="0" xfId="53" applyFont="1" applyFill="1" applyBorder="1" applyAlignment="1">
      <alignment horizontal="right" vertical="top"/>
    </xf>
    <xf numFmtId="0" fontId="15" fillId="22" borderId="16" xfId="0" applyFont="1" applyFill="1" applyBorder="1" applyAlignment="1">
      <alignment vertical="top"/>
    </xf>
    <xf numFmtId="0" fontId="101" fillId="22" borderId="0" xfId="0" applyFont="1" applyFill="1"/>
    <xf numFmtId="3" fontId="15" fillId="22" borderId="0" xfId="0" applyNumberFormat="1" applyFont="1" applyFill="1" applyAlignment="1">
      <alignment vertical="center"/>
    </xf>
    <xf numFmtId="3" fontId="15" fillId="22" borderId="0" xfId="0" applyNumberFormat="1" applyFont="1" applyFill="1"/>
    <xf numFmtId="0" fontId="15" fillId="0" borderId="0" xfId="0" applyFont="1" applyAlignment="1">
      <alignment horizontal="center"/>
    </xf>
    <xf numFmtId="0" fontId="15" fillId="22" borderId="39" xfId="0" applyFont="1" applyFill="1" applyBorder="1"/>
    <xf numFmtId="9" fontId="15" fillId="22" borderId="0" xfId="53" applyFont="1" applyFill="1" applyBorder="1" applyAlignment="1">
      <alignment horizontal="left" vertical="center"/>
    </xf>
    <xf numFmtId="9" fontId="15" fillId="22" borderId="0" xfId="0" applyNumberFormat="1" applyFont="1" applyFill="1" applyAlignment="1">
      <alignment horizontal="center" vertical="center"/>
    </xf>
    <xf numFmtId="0" fontId="15" fillId="22" borderId="13" xfId="0" applyFont="1" applyFill="1" applyBorder="1"/>
    <xf numFmtId="0" fontId="7" fillId="22" borderId="0" xfId="0" applyFont="1" applyFill="1" applyAlignment="1">
      <alignment horizontal="center" vertical="center"/>
    </xf>
    <xf numFmtId="0" fontId="7" fillId="24" borderId="28" xfId="0" applyFont="1" applyFill="1" applyBorder="1" applyAlignment="1">
      <alignment horizontal="center" vertical="center"/>
    </xf>
    <xf numFmtId="0" fontId="100" fillId="22" borderId="0" xfId="0" applyFont="1" applyFill="1" applyAlignment="1">
      <alignment horizontal="left" vertical="center"/>
    </xf>
    <xf numFmtId="3" fontId="15" fillId="19" borderId="28" xfId="29" applyNumberFormat="1" applyFont="1" applyFill="1" applyBorder="1" applyAlignment="1" applyProtection="1">
      <alignment vertical="center"/>
    </xf>
    <xf numFmtId="0" fontId="15" fillId="22" borderId="15" xfId="50" applyFont="1" applyFill="1" applyBorder="1"/>
    <xf numFmtId="0" fontId="15" fillId="22" borderId="0" xfId="50" applyFont="1" applyFill="1"/>
    <xf numFmtId="0" fontId="15" fillId="22" borderId="0" xfId="50" applyFont="1" applyFill="1" applyAlignment="1">
      <alignment horizontal="center"/>
    </xf>
    <xf numFmtId="0" fontId="15" fillId="22" borderId="16" xfId="50" applyFont="1" applyFill="1" applyBorder="1"/>
    <xf numFmtId="3" fontId="3" fillId="22" borderId="0" xfId="50" applyNumberFormat="1" applyFill="1" applyAlignment="1">
      <alignment vertical="center"/>
    </xf>
    <xf numFmtId="0" fontId="3" fillId="22" borderId="0" xfId="50" applyFill="1" applyAlignment="1">
      <alignment horizontal="center" vertical="center"/>
    </xf>
    <xf numFmtId="0" fontId="15" fillId="0" borderId="0" xfId="50" applyFont="1"/>
    <xf numFmtId="0" fontId="3" fillId="22" borderId="0" xfId="50" applyFill="1"/>
    <xf numFmtId="0" fontId="15" fillId="22" borderId="0" xfId="50" applyFont="1" applyFill="1" applyAlignment="1">
      <alignment horizontal="center" vertical="top"/>
    </xf>
    <xf numFmtId="3" fontId="15" fillId="22" borderId="0" xfId="50" applyNumberFormat="1" applyFont="1" applyFill="1" applyAlignment="1">
      <alignment vertical="top"/>
    </xf>
    <xf numFmtId="9" fontId="15" fillId="22" borderId="0" xfId="53" applyFont="1" applyFill="1" applyBorder="1" applyAlignment="1">
      <alignment vertical="top"/>
    </xf>
    <xf numFmtId="0" fontId="15" fillId="22" borderId="16" xfId="50" applyFont="1" applyFill="1" applyBorder="1" applyAlignment="1">
      <alignment vertical="top"/>
    </xf>
    <xf numFmtId="0" fontId="15" fillId="22" borderId="0" xfId="50" applyFont="1" applyFill="1" applyAlignment="1">
      <alignment vertical="top"/>
    </xf>
    <xf numFmtId="0" fontId="3" fillId="0" borderId="0" xfId="50"/>
    <xf numFmtId="0" fontId="7" fillId="22" borderId="0" xfId="50" applyFont="1" applyFill="1" applyAlignment="1">
      <alignment horizontal="center" vertical="top"/>
    </xf>
    <xf numFmtId="0" fontId="15" fillId="22" borderId="0" xfId="50" applyFont="1" applyFill="1" applyAlignment="1">
      <alignment horizontal="left" vertical="top" wrapText="1"/>
    </xf>
    <xf numFmtId="0" fontId="15" fillId="22" borderId="16" xfId="50" applyFont="1" applyFill="1" applyBorder="1" applyAlignment="1">
      <alignment vertical="center"/>
    </xf>
    <xf numFmtId="0" fontId="15" fillId="22" borderId="0" xfId="50" applyFont="1" applyFill="1" applyAlignment="1">
      <alignment vertical="center"/>
    </xf>
    <xf numFmtId="0" fontId="15" fillId="0" borderId="0" xfId="50" applyFont="1" applyAlignment="1">
      <alignment vertical="center"/>
    </xf>
    <xf numFmtId="0" fontId="15" fillId="22" borderId="0" xfId="50" applyFont="1" applyFill="1" applyAlignment="1">
      <alignment wrapText="1"/>
    </xf>
    <xf numFmtId="3" fontId="15" fillId="22" borderId="0" xfId="50" applyNumberFormat="1" applyFont="1" applyFill="1"/>
    <xf numFmtId="0" fontId="7" fillId="22" borderId="0" xfId="50" applyFont="1" applyFill="1"/>
    <xf numFmtId="0" fontId="15" fillId="22" borderId="0" xfId="50" applyFont="1" applyFill="1" applyAlignment="1">
      <alignment horizontal="right"/>
    </xf>
    <xf numFmtId="0" fontId="15" fillId="22" borderId="0" xfId="50" applyFont="1" applyFill="1" applyProtection="1">
      <protection locked="0"/>
    </xf>
    <xf numFmtId="0" fontId="15" fillId="0" borderId="0" xfId="50" applyFont="1" applyAlignment="1">
      <alignment horizontal="center"/>
    </xf>
    <xf numFmtId="0" fontId="15" fillId="22" borderId="16" xfId="50" applyFont="1" applyFill="1" applyBorder="1" applyAlignment="1">
      <alignment wrapText="1"/>
    </xf>
    <xf numFmtId="3" fontId="3" fillId="22" borderId="0" xfId="50" applyNumberFormat="1" applyFill="1" applyAlignment="1">
      <alignment vertical="center" wrapText="1"/>
    </xf>
    <xf numFmtId="0" fontId="3" fillId="22" borderId="0" xfId="50" applyFill="1" applyAlignment="1">
      <alignment wrapText="1"/>
    </xf>
    <xf numFmtId="0" fontId="15" fillId="0" borderId="0" xfId="50" applyFont="1" applyAlignment="1">
      <alignment wrapText="1"/>
    </xf>
    <xf numFmtId="0" fontId="3" fillId="22" borderId="0" xfId="50" applyFill="1" applyAlignment="1">
      <alignment vertical="center"/>
    </xf>
    <xf numFmtId="0" fontId="15" fillId="22" borderId="0" xfId="50" applyFont="1" applyFill="1" applyAlignment="1">
      <alignment horizontal="center" wrapText="1"/>
    </xf>
    <xf numFmtId="0" fontId="101" fillId="22" borderId="0" xfId="50" applyFont="1" applyFill="1" applyAlignment="1">
      <alignment vertical="center"/>
    </xf>
    <xf numFmtId="0" fontId="15" fillId="22" borderId="0" xfId="50" applyFont="1" applyFill="1" applyAlignment="1">
      <alignment vertical="center" wrapText="1"/>
    </xf>
    <xf numFmtId="0" fontId="15" fillId="22" borderId="13" xfId="50" applyFont="1" applyFill="1" applyBorder="1" applyAlignment="1">
      <alignment horizontal="center"/>
    </xf>
    <xf numFmtId="0" fontId="7" fillId="22" borderId="0" xfId="50" applyFont="1" applyFill="1" applyAlignment="1">
      <alignment horizontal="center" vertical="center" wrapText="1"/>
    </xf>
    <xf numFmtId="0" fontId="15" fillId="22" borderId="16" xfId="50" applyFont="1" applyFill="1" applyBorder="1" applyAlignment="1">
      <alignment vertical="center" wrapText="1"/>
    </xf>
    <xf numFmtId="0" fontId="3" fillId="22" borderId="0" xfId="50" applyFill="1" applyAlignment="1">
      <alignment vertical="center" wrapText="1"/>
    </xf>
    <xf numFmtId="0" fontId="15" fillId="0" borderId="0" xfId="50" applyFont="1" applyAlignment="1">
      <alignment vertical="center" wrapText="1"/>
    </xf>
    <xf numFmtId="0" fontId="7" fillId="22" borderId="16" xfId="50" applyFont="1" applyFill="1" applyBorder="1" applyAlignment="1">
      <alignment vertical="center" wrapText="1"/>
    </xf>
    <xf numFmtId="0" fontId="7" fillId="22" borderId="0" xfId="50" applyFont="1" applyFill="1" applyAlignment="1">
      <alignment vertical="center" wrapText="1"/>
    </xf>
    <xf numFmtId="0" fontId="2" fillId="22" borderId="0" xfId="50" applyFont="1" applyFill="1" applyAlignment="1">
      <alignment vertical="center" wrapText="1"/>
    </xf>
    <xf numFmtId="0" fontId="7" fillId="0" borderId="0" xfId="50" applyFont="1" applyAlignment="1">
      <alignment vertical="center" wrapText="1"/>
    </xf>
    <xf numFmtId="0" fontId="7" fillId="22" borderId="0" xfId="50" applyFont="1" applyFill="1" applyAlignment="1">
      <alignment horizontal="left"/>
    </xf>
    <xf numFmtId="0" fontId="7" fillId="22" borderId="0" xfId="50" applyFont="1" applyFill="1" applyAlignment="1">
      <alignment horizontal="left" wrapText="1"/>
    </xf>
    <xf numFmtId="0" fontId="7" fillId="0" borderId="0" xfId="50" applyFont="1" applyAlignment="1">
      <alignment horizontal="center"/>
    </xf>
    <xf numFmtId="0" fontId="15" fillId="22" borderId="15" xfId="50" applyFont="1" applyFill="1" applyBorder="1" applyAlignment="1">
      <alignment wrapText="1"/>
    </xf>
    <xf numFmtId="0" fontId="7" fillId="22" borderId="0" xfId="50" applyFont="1" applyFill="1" applyAlignment="1">
      <alignment horizontal="left" vertical="top" wrapText="1"/>
    </xf>
    <xf numFmtId="3" fontId="7" fillId="22" borderId="0" xfId="50" applyNumberFormat="1" applyFont="1" applyFill="1" applyAlignment="1">
      <alignment horizontal="right" wrapText="1"/>
    </xf>
    <xf numFmtId="0" fontId="7" fillId="22" borderId="0" xfId="50" applyFont="1" applyFill="1" applyAlignment="1">
      <alignment horizontal="right" wrapText="1"/>
    </xf>
    <xf numFmtId="0" fontId="15" fillId="22" borderId="0" xfId="50" applyFont="1" applyFill="1" applyAlignment="1">
      <alignment vertical="top" wrapText="1"/>
    </xf>
    <xf numFmtId="0" fontId="100" fillId="22" borderId="0" xfId="50" applyFont="1" applyFill="1" applyAlignment="1">
      <alignment horizontal="center" vertical="top" wrapText="1"/>
    </xf>
    <xf numFmtId="0" fontId="15" fillId="22" borderId="15" xfId="50" applyFont="1" applyFill="1" applyBorder="1" applyAlignment="1">
      <alignment vertical="center"/>
    </xf>
    <xf numFmtId="0" fontId="15" fillId="22" borderId="0" xfId="50" applyFont="1" applyFill="1" applyAlignment="1">
      <alignment horizontal="left" vertical="center" wrapText="1"/>
    </xf>
    <xf numFmtId="3" fontId="15" fillId="22" borderId="0" xfId="50" applyNumberFormat="1" applyFont="1" applyFill="1" applyAlignment="1">
      <alignment horizontal="right" vertical="center"/>
    </xf>
    <xf numFmtId="9" fontId="15" fillId="22" borderId="0" xfId="53" applyFont="1" applyFill="1" applyBorder="1" applyAlignment="1" applyProtection="1">
      <alignment horizontal="right" vertical="center"/>
    </xf>
    <xf numFmtId="170" fontId="15" fillId="22" borderId="0" xfId="53" applyNumberFormat="1" applyFont="1" applyFill="1" applyBorder="1" applyAlignment="1" applyProtection="1">
      <alignment horizontal="right" vertical="center"/>
    </xf>
    <xf numFmtId="9" fontId="15" fillId="22" borderId="0" xfId="53" applyFont="1" applyFill="1" applyBorder="1" applyAlignment="1" applyProtection="1">
      <alignment vertical="center"/>
    </xf>
    <xf numFmtId="0" fontId="15" fillId="22" borderId="0" xfId="50" applyFont="1" applyFill="1" applyAlignment="1">
      <alignment horizontal="center" vertical="center"/>
    </xf>
    <xf numFmtId="0" fontId="7" fillId="22" borderId="0" xfId="50" applyFont="1" applyFill="1" applyAlignment="1">
      <alignment horizontal="center" vertical="center"/>
    </xf>
    <xf numFmtId="0" fontId="15" fillId="22" borderId="15" xfId="50" applyFont="1" applyFill="1" applyBorder="1" applyAlignment="1">
      <alignment vertical="center" wrapText="1"/>
    </xf>
    <xf numFmtId="0" fontId="15" fillId="22" borderId="0" xfId="50" applyFont="1" applyFill="1" applyAlignment="1">
      <alignment horizontal="center" vertical="center" wrapText="1"/>
    </xf>
    <xf numFmtId="0" fontId="7" fillId="22" borderId="0" xfId="50" applyFont="1" applyFill="1" applyAlignment="1">
      <alignment horizontal="left" vertical="center" wrapText="1"/>
    </xf>
    <xf numFmtId="0" fontId="7" fillId="22" borderId="0" xfId="50" applyFont="1" applyFill="1" applyAlignment="1">
      <alignment horizontal="right" vertical="center" wrapText="1"/>
    </xf>
    <xf numFmtId="0" fontId="15" fillId="0" borderId="0" xfId="50" applyFont="1" applyAlignment="1">
      <alignment horizontal="center" vertical="center" wrapText="1"/>
    </xf>
    <xf numFmtId="0" fontId="7" fillId="23" borderId="27" xfId="50" applyFont="1" applyFill="1" applyBorder="1" applyAlignment="1">
      <alignment horizontal="center" vertical="center"/>
    </xf>
    <xf numFmtId="0" fontId="100" fillId="22" borderId="0" xfId="50" applyFont="1" applyFill="1" applyAlignment="1">
      <alignment horizontal="center" vertical="center"/>
    </xf>
    <xf numFmtId="3" fontId="7" fillId="22" borderId="0" xfId="50" applyNumberFormat="1" applyFont="1" applyFill="1" applyAlignment="1">
      <alignment horizontal="right" vertical="center" wrapText="1"/>
    </xf>
    <xf numFmtId="9" fontId="15" fillId="22" borderId="0" xfId="53" applyFont="1" applyFill="1" applyBorder="1" applyAlignment="1" applyProtection="1">
      <alignment horizontal="right" vertical="center" wrapText="1"/>
    </xf>
    <xf numFmtId="9" fontId="15" fillId="22" borderId="0" xfId="53" applyFont="1" applyFill="1" applyBorder="1" applyAlignment="1" applyProtection="1">
      <alignment vertical="center" wrapText="1"/>
    </xf>
    <xf numFmtId="0" fontId="100" fillId="22" borderId="0" xfId="50" applyFont="1" applyFill="1" applyAlignment="1">
      <alignment horizontal="center" vertical="center" wrapText="1"/>
    </xf>
    <xf numFmtId="0" fontId="15" fillId="22" borderId="0" xfId="50" applyFont="1" applyFill="1" applyAlignment="1">
      <alignment horizontal="right" vertical="center"/>
    </xf>
    <xf numFmtId="170" fontId="15" fillId="22" borderId="0" xfId="50" applyNumberFormat="1" applyFont="1" applyFill="1" applyAlignment="1">
      <alignment horizontal="right" vertical="center"/>
    </xf>
    <xf numFmtId="0" fontId="7" fillId="22" borderId="15" xfId="50" applyFont="1" applyFill="1" applyBorder="1" applyAlignment="1">
      <alignment vertical="center" wrapText="1"/>
    </xf>
    <xf numFmtId="9" fontId="7" fillId="22" borderId="0" xfId="53" applyFont="1" applyFill="1" applyBorder="1" applyAlignment="1" applyProtection="1">
      <alignment horizontal="right" vertical="center" wrapText="1"/>
    </xf>
    <xf numFmtId="9" fontId="7" fillId="22" borderId="0" xfId="53" applyFont="1" applyFill="1" applyBorder="1" applyAlignment="1" applyProtection="1">
      <alignment vertical="center" wrapText="1"/>
    </xf>
    <xf numFmtId="4" fontId="15" fillId="22" borderId="0" xfId="50" applyNumberFormat="1" applyFont="1" applyFill="1" applyAlignment="1">
      <alignment horizontal="right" vertical="center"/>
    </xf>
    <xf numFmtId="166" fontId="7" fillId="22" borderId="0" xfId="50" applyNumberFormat="1" applyFont="1" applyFill="1" applyAlignment="1">
      <alignment horizontal="right" wrapText="1"/>
    </xf>
    <xf numFmtId="0" fontId="7" fillId="22" borderId="0" xfId="0" applyFont="1" applyFill="1" applyAlignment="1">
      <alignment horizontal="left"/>
    </xf>
    <xf numFmtId="0" fontId="15" fillId="22" borderId="0" xfId="0" applyFont="1" applyFill="1" applyAlignment="1">
      <alignment horizontal="left"/>
    </xf>
    <xf numFmtId="0" fontId="15" fillId="22" borderId="35" xfId="0" applyFont="1" applyFill="1" applyBorder="1"/>
    <xf numFmtId="0" fontId="7" fillId="24" borderId="20" xfId="0" applyFont="1" applyFill="1" applyBorder="1" applyAlignment="1">
      <alignment horizontal="center" vertical="center"/>
    </xf>
    <xf numFmtId="0" fontId="7" fillId="24" borderId="27" xfId="0" applyFont="1" applyFill="1" applyBorder="1" applyAlignment="1">
      <alignment horizontal="right" vertical="center"/>
    </xf>
    <xf numFmtId="0" fontId="7" fillId="24" borderId="30" xfId="0" applyFont="1" applyFill="1" applyBorder="1" applyAlignment="1">
      <alignment horizontal="right" vertical="center"/>
    </xf>
    <xf numFmtId="0" fontId="15" fillId="22" borderId="0" xfId="0" applyFont="1" applyFill="1" applyAlignment="1">
      <alignment horizontal="left" vertical="center"/>
    </xf>
    <xf numFmtId="3" fontId="15" fillId="22" borderId="28" xfId="0" applyNumberFormat="1" applyFont="1" applyFill="1" applyBorder="1" applyAlignment="1">
      <alignment vertical="center"/>
    </xf>
    <xf numFmtId="0" fontId="7" fillId="24" borderId="38" xfId="0" applyFont="1" applyFill="1" applyBorder="1" applyAlignment="1">
      <alignment horizontal="center" vertical="center"/>
    </xf>
    <xf numFmtId="0" fontId="7" fillId="22" borderId="35" xfId="0" applyFont="1" applyFill="1" applyBorder="1" applyAlignment="1">
      <alignment horizontal="center" vertical="center"/>
    </xf>
    <xf numFmtId="0" fontId="15" fillId="22" borderId="35" xfId="0" applyFont="1" applyFill="1" applyBorder="1" applyAlignment="1">
      <alignment horizontal="left" vertical="center"/>
    </xf>
    <xf numFmtId="0" fontId="15" fillId="22" borderId="0" xfId="0" applyFont="1" applyFill="1" applyAlignment="1">
      <alignment horizontal="right" vertical="center"/>
    </xf>
    <xf numFmtId="0" fontId="15" fillId="22" borderId="0" xfId="0" applyFont="1" applyFill="1" applyAlignment="1">
      <alignment horizontal="center" vertical="center"/>
    </xf>
    <xf numFmtId="0" fontId="4" fillId="20" borderId="19" xfId="0" applyFont="1" applyFill="1" applyBorder="1" applyAlignment="1">
      <alignment horizontal="center"/>
    </xf>
    <xf numFmtId="0" fontId="4" fillId="20" borderId="0" xfId="0" applyFont="1" applyFill="1" applyAlignment="1">
      <alignment horizontal="center"/>
    </xf>
    <xf numFmtId="0" fontId="3" fillId="20" borderId="19" xfId="0" applyFont="1" applyFill="1" applyBorder="1" applyAlignment="1">
      <alignment horizontal="center" vertical="center"/>
    </xf>
    <xf numFmtId="0" fontId="3" fillId="20" borderId="0" xfId="0" applyFont="1" applyFill="1" applyAlignment="1">
      <alignment horizontal="center" vertical="center"/>
    </xf>
    <xf numFmtId="0" fontId="3" fillId="20" borderId="26" xfId="0" applyFont="1" applyFill="1" applyBorder="1" applyAlignment="1">
      <alignment horizontal="center" vertical="center"/>
    </xf>
    <xf numFmtId="0" fontId="3" fillId="0" borderId="0" xfId="0" applyFont="1" applyAlignment="1">
      <alignment horizontal="center"/>
    </xf>
    <xf numFmtId="0" fontId="3" fillId="0" borderId="0" xfId="0" applyFont="1" applyAlignment="1">
      <alignment horizontal="right"/>
    </xf>
    <xf numFmtId="0" fontId="60" fillId="0" borderId="0" xfId="0" applyFont="1" applyAlignment="1">
      <alignment horizontal="center"/>
    </xf>
    <xf numFmtId="166" fontId="3" fillId="0" borderId="0" xfId="0" applyNumberFormat="1" applyFont="1" applyAlignment="1">
      <alignment horizontal="right"/>
    </xf>
    <xf numFmtId="0" fontId="7" fillId="24" borderId="26" xfId="50" applyFont="1" applyFill="1" applyBorder="1" applyAlignment="1">
      <alignment horizontal="center" wrapText="1"/>
    </xf>
    <xf numFmtId="0" fontId="7" fillId="24" borderId="28" xfId="50" applyFont="1" applyFill="1" applyBorder="1" applyAlignment="1">
      <alignment horizontal="center" vertical="center"/>
    </xf>
    <xf numFmtId="0" fontId="7" fillId="24" borderId="38" xfId="50" applyFont="1" applyFill="1" applyBorder="1" applyAlignment="1">
      <alignment horizontal="center" vertical="center"/>
    </xf>
    <xf numFmtId="3" fontId="0" fillId="0" borderId="0" xfId="0" applyNumberFormat="1"/>
    <xf numFmtId="0" fontId="13" fillId="19" borderId="0" xfId="0" applyFont="1" applyFill="1" applyAlignment="1">
      <alignment vertical="top" wrapText="1"/>
    </xf>
    <xf numFmtId="0" fontId="3" fillId="0" borderId="0" xfId="0" applyFont="1" applyAlignment="1">
      <alignment vertical="top" wrapText="1"/>
    </xf>
    <xf numFmtId="0" fontId="93" fillId="22" borderId="0" xfId="0" applyFont="1" applyFill="1"/>
    <xf numFmtId="0" fontId="16" fillId="22" borderId="0" xfId="37" applyFill="1" applyAlignment="1" applyProtection="1"/>
    <xf numFmtId="166" fontId="33" fillId="21" borderId="27" xfId="0" applyNumberFormat="1" applyFont="1" applyFill="1" applyBorder="1" applyAlignment="1">
      <alignment horizontal="right" vertical="center"/>
    </xf>
    <xf numFmtId="166" fontId="0" fillId="22" borderId="0" xfId="0" applyNumberFormat="1" applyFill="1"/>
    <xf numFmtId="166" fontId="3" fillId="22" borderId="0" xfId="0" applyNumberFormat="1" applyFont="1" applyFill="1" applyAlignment="1">
      <alignment horizontal="center"/>
    </xf>
    <xf numFmtId="4" fontId="0" fillId="0" borderId="0" xfId="0" applyNumberFormat="1" applyAlignment="1">
      <alignment horizontal="center"/>
    </xf>
    <xf numFmtId="4" fontId="33" fillId="21" borderId="27" xfId="0" applyNumberFormat="1" applyFont="1" applyFill="1" applyBorder="1" applyAlignment="1">
      <alignment horizontal="right" vertical="center"/>
    </xf>
    <xf numFmtId="4" fontId="80" fillId="22" borderId="0" xfId="0" applyNumberFormat="1" applyFont="1" applyFill="1" applyAlignment="1">
      <alignment horizontal="center"/>
    </xf>
    <xf numFmtId="0" fontId="112" fillId="22" borderId="0" xfId="0" applyFont="1" applyFill="1"/>
    <xf numFmtId="0" fontId="93" fillId="26" borderId="0" xfId="0" applyFont="1" applyFill="1" applyAlignment="1">
      <alignment vertical="center"/>
    </xf>
    <xf numFmtId="166" fontId="95" fillId="26" borderId="0" xfId="0" applyNumberFormat="1" applyFont="1" applyFill="1"/>
    <xf numFmtId="0" fontId="95" fillId="26" borderId="0" xfId="0" applyFont="1" applyFill="1"/>
    <xf numFmtId="0" fontId="93" fillId="26" borderId="0" xfId="0" applyFont="1" applyFill="1"/>
    <xf numFmtId="0" fontId="112" fillId="26" borderId="0" xfId="0" applyFont="1" applyFill="1"/>
    <xf numFmtId="0" fontId="0" fillId="27" borderId="0" xfId="0" applyFill="1"/>
    <xf numFmtId="0" fontId="15" fillId="22" borderId="20" xfId="53" applyNumberFormat="1" applyFont="1" applyFill="1" applyBorder="1" applyAlignment="1" applyProtection="1">
      <alignment horizontal="right" vertical="center"/>
    </xf>
    <xf numFmtId="0" fontId="15" fillId="22" borderId="36" xfId="53" applyNumberFormat="1" applyFont="1" applyFill="1" applyBorder="1" applyAlignment="1" applyProtection="1">
      <alignment horizontal="right" vertical="center"/>
    </xf>
    <xf numFmtId="166" fontId="0" fillId="0" borderId="0" xfId="0" applyNumberFormat="1"/>
    <xf numFmtId="0" fontId="100" fillId="22" borderId="0" xfId="0" applyFont="1" applyFill="1" applyAlignment="1">
      <alignment horizontal="center" vertical="center"/>
    </xf>
    <xf numFmtId="0" fontId="7" fillId="22" borderId="34" xfId="0" applyFont="1" applyFill="1" applyBorder="1" applyAlignment="1">
      <alignment horizontal="center" vertical="center"/>
    </xf>
    <xf numFmtId="0" fontId="15" fillId="22" borderId="36" xfId="0" applyFont="1" applyFill="1" applyBorder="1" applyAlignment="1">
      <alignment vertical="center"/>
    </xf>
    <xf numFmtId="0" fontId="15" fillId="22" borderId="20" xfId="0" applyFont="1" applyFill="1" applyBorder="1" applyAlignment="1">
      <alignment vertical="center"/>
    </xf>
    <xf numFmtId="0" fontId="7" fillId="22" borderId="19" xfId="0" applyFont="1" applyFill="1" applyBorder="1" applyAlignment="1">
      <alignment vertical="center"/>
    </xf>
    <xf numFmtId="0" fontId="7" fillId="23" borderId="38" xfId="0" applyFont="1" applyFill="1" applyBorder="1" applyAlignment="1">
      <alignment horizontal="center" vertical="center"/>
    </xf>
    <xf numFmtId="49" fontId="7" fillId="22" borderId="0" xfId="50" quotePrefix="1" applyNumberFormat="1" applyFont="1" applyFill="1" applyAlignment="1">
      <alignment horizontal="right" wrapText="1"/>
    </xf>
    <xf numFmtId="0" fontId="7" fillId="24" borderId="24" xfId="50" applyFont="1" applyFill="1" applyBorder="1" applyAlignment="1">
      <alignment horizontal="center" vertical="center"/>
    </xf>
    <xf numFmtId="9" fontId="7" fillId="22" borderId="0" xfId="53" applyFont="1" applyFill="1" applyBorder="1" applyAlignment="1" applyProtection="1">
      <alignment horizontal="left" wrapText="1"/>
    </xf>
    <xf numFmtId="4" fontId="7" fillId="22" borderId="0" xfId="50" applyNumberFormat="1" applyFont="1" applyFill="1" applyAlignment="1">
      <alignment horizontal="right" wrapText="1"/>
    </xf>
    <xf numFmtId="4" fontId="7" fillId="22" borderId="0" xfId="53" applyNumberFormat="1" applyFont="1" applyFill="1" applyBorder="1" applyAlignment="1" applyProtection="1">
      <alignment horizontal="right" wrapText="1"/>
    </xf>
    <xf numFmtId="166" fontId="95" fillId="0" borderId="14" xfId="0" applyNumberFormat="1" applyFont="1" applyBorder="1"/>
    <xf numFmtId="0" fontId="95" fillId="0" borderId="14" xfId="0" applyFont="1" applyBorder="1"/>
    <xf numFmtId="0" fontId="93" fillId="0" borderId="14" xfId="0" applyFont="1" applyBorder="1"/>
    <xf numFmtId="0" fontId="112" fillId="0" borderId="14" xfId="0" applyFont="1" applyBorder="1"/>
    <xf numFmtId="166" fontId="95" fillId="0" borderId="0" xfId="0" applyNumberFormat="1" applyFont="1"/>
    <xf numFmtId="0" fontId="112" fillId="0" borderId="0" xfId="0" applyFont="1"/>
    <xf numFmtId="166" fontId="93" fillId="26" borderId="0" xfId="0" applyNumberFormat="1" applyFont="1" applyFill="1"/>
    <xf numFmtId="3" fontId="93" fillId="26" borderId="0" xfId="0" applyNumberFormat="1" applyFont="1" applyFill="1"/>
    <xf numFmtId="0" fontId="93" fillId="26" borderId="0" xfId="0" applyFont="1" applyFill="1" applyAlignment="1">
      <alignment horizontal="left"/>
    </xf>
    <xf numFmtId="0" fontId="93" fillId="26" borderId="0" xfId="0" applyFont="1" applyFill="1" applyAlignment="1">
      <alignment horizontal="left" vertical="center"/>
    </xf>
    <xf numFmtId="0" fontId="93" fillId="0" borderId="0" xfId="0" applyFont="1" applyAlignment="1">
      <alignment vertical="center"/>
    </xf>
    <xf numFmtId="166" fontId="95" fillId="19" borderId="0" xfId="0" applyNumberFormat="1" applyFont="1" applyFill="1"/>
    <xf numFmtId="0" fontId="95" fillId="0" borderId="0" xfId="0" applyFont="1" applyAlignment="1">
      <alignment wrapText="1"/>
    </xf>
    <xf numFmtId="0" fontId="112" fillId="18" borderId="0" xfId="0" applyFont="1" applyFill="1" applyAlignment="1">
      <alignment horizontal="right" vertical="center" indent="1"/>
    </xf>
    <xf numFmtId="164" fontId="116" fillId="19" borderId="0" xfId="0" applyNumberFormat="1" applyFont="1" applyFill="1" applyAlignment="1">
      <alignment vertical="center"/>
    </xf>
    <xf numFmtId="0" fontId="116" fillId="19" borderId="0" xfId="0" applyFont="1" applyFill="1" applyAlignment="1">
      <alignment vertical="center"/>
    </xf>
    <xf numFmtId="0" fontId="116" fillId="0" borderId="0" xfId="0" applyFont="1" applyAlignment="1">
      <alignment vertical="center"/>
    </xf>
    <xf numFmtId="0" fontId="112" fillId="0" borderId="0" xfId="0" applyFont="1" applyAlignment="1">
      <alignment vertical="center"/>
    </xf>
    <xf numFmtId="0" fontId="112" fillId="18" borderId="0" xfId="0" applyFont="1" applyFill="1"/>
    <xf numFmtId="0" fontId="7" fillId="22" borderId="0" xfId="50" applyFont="1" applyFill="1" applyAlignment="1">
      <alignment horizontal="center" wrapText="1"/>
    </xf>
    <xf numFmtId="9" fontId="15" fillId="22" borderId="30" xfId="53" applyFont="1" applyFill="1" applyBorder="1" applyAlignment="1" applyProtection="1">
      <alignment vertical="center"/>
    </xf>
    <xf numFmtId="0" fontId="15" fillId="22" borderId="24" xfId="50" applyFont="1" applyFill="1" applyBorder="1" applyAlignment="1">
      <alignment horizontal="left" vertical="center" wrapText="1"/>
    </xf>
    <xf numFmtId="3" fontId="15" fillId="22" borderId="25" xfId="29" applyNumberFormat="1" applyFont="1" applyFill="1" applyBorder="1" applyAlignment="1" applyProtection="1">
      <alignment horizontal="right" vertical="center"/>
    </xf>
    <xf numFmtId="3" fontId="15" fillId="22" borderId="25" xfId="50" applyNumberFormat="1" applyFont="1" applyFill="1" applyBorder="1" applyAlignment="1">
      <alignment horizontal="right" vertical="center"/>
    </xf>
    <xf numFmtId="3" fontId="15" fillId="22" borderId="25" xfId="53" applyNumberFormat="1" applyFont="1" applyFill="1" applyBorder="1" applyAlignment="1" applyProtection="1">
      <alignment horizontal="right" vertical="center"/>
    </xf>
    <xf numFmtId="9" fontId="15" fillId="22" borderId="25" xfId="53" applyFont="1" applyFill="1" applyBorder="1" applyAlignment="1" applyProtection="1">
      <alignment horizontal="right" vertical="center"/>
    </xf>
    <xf numFmtId="1" fontId="15" fillId="22" borderId="25" xfId="53" applyNumberFormat="1" applyFont="1" applyFill="1" applyBorder="1" applyAlignment="1" applyProtection="1">
      <alignment horizontal="right" vertical="center"/>
    </xf>
    <xf numFmtId="170" fontId="15" fillId="22" borderId="25" xfId="53" applyNumberFormat="1" applyFont="1" applyFill="1" applyBorder="1" applyAlignment="1" applyProtection="1">
      <alignment horizontal="right" vertical="center"/>
    </xf>
    <xf numFmtId="4" fontId="15" fillId="22" borderId="25" xfId="53" applyNumberFormat="1" applyFont="1" applyFill="1" applyBorder="1" applyAlignment="1" applyProtection="1">
      <alignment horizontal="right" vertical="center"/>
    </xf>
    <xf numFmtId="0" fontId="15" fillId="0" borderId="24" xfId="50" applyFont="1" applyBorder="1" applyAlignment="1">
      <alignment horizontal="left" vertical="center" wrapText="1"/>
    </xf>
    <xf numFmtId="4" fontId="15" fillId="0" borderId="25" xfId="50" applyNumberFormat="1" applyFont="1" applyBorder="1" applyAlignment="1">
      <alignment horizontal="right" vertical="center"/>
    </xf>
    <xf numFmtId="9" fontId="15" fillId="0" borderId="25" xfId="53" applyFont="1" applyFill="1" applyBorder="1" applyAlignment="1" applyProtection="1">
      <alignment horizontal="right" vertical="center"/>
    </xf>
    <xf numFmtId="4" fontId="15" fillId="22" borderId="25" xfId="50" applyNumberFormat="1" applyFont="1" applyFill="1" applyBorder="1" applyAlignment="1">
      <alignment horizontal="right" vertical="center"/>
    </xf>
    <xf numFmtId="2" fontId="15" fillId="22" borderId="25" xfId="50" applyNumberFormat="1" applyFont="1" applyFill="1" applyBorder="1" applyAlignment="1">
      <alignment horizontal="right" vertical="center"/>
    </xf>
    <xf numFmtId="2" fontId="15" fillId="22" borderId="25" xfId="53" applyNumberFormat="1" applyFont="1" applyFill="1" applyBorder="1" applyAlignment="1" applyProtection="1">
      <alignment horizontal="right" vertical="center"/>
    </xf>
    <xf numFmtId="1" fontId="15" fillId="22" borderId="25" xfId="50" applyNumberFormat="1" applyFont="1" applyFill="1" applyBorder="1" applyAlignment="1">
      <alignment horizontal="right" vertical="center"/>
    </xf>
    <xf numFmtId="166" fontId="15" fillId="22" borderId="25" xfId="53" applyNumberFormat="1" applyFont="1" applyFill="1" applyBorder="1" applyAlignment="1" applyProtection="1">
      <alignment horizontal="right" vertical="center"/>
    </xf>
    <xf numFmtId="1" fontId="15" fillId="22" borderId="25" xfId="53" quotePrefix="1" applyNumberFormat="1" applyFont="1" applyFill="1" applyBorder="1" applyAlignment="1" applyProtection="1">
      <alignment horizontal="right" vertical="center"/>
    </xf>
    <xf numFmtId="166" fontId="15" fillId="22" borderId="25" xfId="50" applyNumberFormat="1" applyFont="1" applyFill="1" applyBorder="1" applyAlignment="1">
      <alignment horizontal="right" vertical="center"/>
    </xf>
    <xf numFmtId="10" fontId="15" fillId="22" borderId="25" xfId="53" applyNumberFormat="1" applyFont="1" applyFill="1" applyBorder="1" applyAlignment="1" applyProtection="1">
      <alignment horizontal="right" vertical="center"/>
    </xf>
    <xf numFmtId="172" fontId="93" fillId="22" borderId="0" xfId="53" applyNumberFormat="1" applyFont="1" applyFill="1" applyBorder="1" applyAlignment="1" applyProtection="1">
      <alignment vertical="center"/>
    </xf>
    <xf numFmtId="3" fontId="15" fillId="22" borderId="28" xfId="29" applyNumberFormat="1" applyFont="1" applyFill="1" applyBorder="1" applyAlignment="1" applyProtection="1">
      <alignment horizontal="right" vertical="center"/>
    </xf>
    <xf numFmtId="3" fontId="15" fillId="22" borderId="38" xfId="29" applyNumberFormat="1" applyFont="1" applyFill="1" applyBorder="1" applyAlignment="1" applyProtection="1">
      <alignment horizontal="right" vertical="center"/>
    </xf>
    <xf numFmtId="0" fontId="7" fillId="23" borderId="26" xfId="0" applyFont="1" applyFill="1" applyBorder="1" applyAlignment="1">
      <alignment horizontal="center" vertical="center"/>
    </xf>
    <xf numFmtId="0" fontId="7" fillId="23" borderId="28" xfId="0" applyFont="1" applyFill="1" applyBorder="1" applyAlignment="1">
      <alignment horizontal="center" vertical="center"/>
    </xf>
    <xf numFmtId="173" fontId="93" fillId="26" borderId="0" xfId="0" applyNumberFormat="1" applyFont="1" applyFill="1"/>
    <xf numFmtId="0" fontId="112" fillId="27" borderId="0" xfId="0" applyFont="1" applyFill="1"/>
    <xf numFmtId="0" fontId="4" fillId="20" borderId="28" xfId="0" applyFont="1" applyFill="1" applyBorder="1" applyAlignment="1">
      <alignment horizontal="center"/>
    </xf>
    <xf numFmtId="0" fontId="3" fillId="20" borderId="38" xfId="0" applyFont="1" applyFill="1" applyBorder="1" applyAlignment="1">
      <alignment horizontal="center" vertical="center"/>
    </xf>
    <xf numFmtId="174" fontId="15" fillId="22" borderId="0" xfId="0" applyNumberFormat="1" applyFont="1" applyFill="1" applyAlignment="1">
      <alignment horizontal="right"/>
    </xf>
    <xf numFmtId="4" fontId="3" fillId="0" borderId="0" xfId="0" applyNumberFormat="1" applyFont="1"/>
    <xf numFmtId="0" fontId="15" fillId="0" borderId="0" xfId="50" applyFont="1" applyAlignment="1">
      <alignment horizontal="left" vertical="center" wrapText="1"/>
    </xf>
    <xf numFmtId="10" fontId="15" fillId="22" borderId="25" xfId="50" applyNumberFormat="1" applyFont="1" applyFill="1" applyBorder="1" applyAlignment="1">
      <alignment horizontal="right" vertical="center" wrapText="1"/>
    </xf>
    <xf numFmtId="0" fontId="28" fillId="60" borderId="14" xfId="0" applyFont="1" applyFill="1" applyBorder="1" applyAlignment="1">
      <alignment vertical="center"/>
    </xf>
    <xf numFmtId="0" fontId="0" fillId="60" borderId="14" xfId="0" applyFill="1" applyBorder="1"/>
    <xf numFmtId="0" fontId="4" fillId="0" borderId="0" xfId="0" applyFont="1" applyAlignment="1">
      <alignment horizontal="center" vertical="center"/>
    </xf>
    <xf numFmtId="166" fontId="3" fillId="0" borderId="0" xfId="0" applyNumberFormat="1" applyFont="1"/>
    <xf numFmtId="0" fontId="2" fillId="0" borderId="24" xfId="0" applyFont="1" applyBorder="1" applyAlignment="1">
      <alignment horizontal="right" vertical="center"/>
    </xf>
    <xf numFmtId="0" fontId="2" fillId="0" borderId="25" xfId="0" applyFont="1" applyBorder="1" applyAlignment="1">
      <alignment horizontal="right" vertical="center"/>
    </xf>
    <xf numFmtId="166" fontId="2" fillId="0" borderId="25" xfId="0" applyNumberFormat="1" applyFont="1" applyBorder="1" applyAlignment="1">
      <alignment horizontal="right" vertical="center"/>
    </xf>
    <xf numFmtId="166" fontId="2" fillId="0" borderId="27" xfId="0" applyNumberFormat="1" applyFont="1" applyBorder="1" applyAlignment="1">
      <alignment horizontal="right" vertical="center"/>
    </xf>
    <xf numFmtId="4" fontId="2" fillId="0" borderId="27" xfId="0" applyNumberFormat="1" applyFont="1" applyBorder="1" applyAlignment="1">
      <alignment horizontal="right" vertical="center"/>
    </xf>
    <xf numFmtId="4" fontId="2" fillId="0" borderId="25" xfId="0" applyNumberFormat="1" applyFont="1" applyBorder="1" applyAlignment="1">
      <alignment horizontal="right" vertical="center"/>
    </xf>
    <xf numFmtId="4" fontId="33" fillId="27" borderId="25" xfId="0" applyNumberFormat="1" applyFont="1" applyFill="1" applyBorder="1" applyAlignment="1">
      <alignment horizontal="right" vertical="center"/>
    </xf>
    <xf numFmtId="3" fontId="3" fillId="0" borderId="0" xfId="0" applyNumberFormat="1" applyFont="1" applyAlignment="1">
      <alignment horizontal="right"/>
    </xf>
    <xf numFmtId="4" fontId="2" fillId="0" borderId="24" xfId="0" applyNumberFormat="1" applyFont="1" applyBorder="1" applyAlignment="1">
      <alignment horizontal="right" vertical="center"/>
    </xf>
    <xf numFmtId="1" fontId="2" fillId="0" borderId="35" xfId="0" applyNumberFormat="1" applyFont="1" applyBorder="1" applyAlignment="1">
      <alignment horizontal="center"/>
    </xf>
    <xf numFmtId="4" fontId="33" fillId="27" borderId="24" xfId="0" applyNumberFormat="1" applyFont="1" applyFill="1" applyBorder="1" applyAlignment="1">
      <alignment horizontal="right" vertical="center"/>
    </xf>
    <xf numFmtId="1" fontId="2" fillId="27" borderId="14" xfId="0" applyNumberFormat="1" applyFont="1" applyFill="1" applyBorder="1" applyAlignment="1">
      <alignment horizontal="center"/>
    </xf>
    <xf numFmtId="0" fontId="2" fillId="0" borderId="0" xfId="0" applyFont="1"/>
    <xf numFmtId="0" fontId="0" fillId="25" borderId="0" xfId="0" applyFill="1"/>
    <xf numFmtId="0" fontId="3" fillId="25" borderId="0" xfId="0" applyFont="1" applyFill="1"/>
    <xf numFmtId="0" fontId="0" fillId="0" borderId="0" xfId="0" applyAlignment="1">
      <alignment horizontal="right"/>
    </xf>
    <xf numFmtId="0" fontId="60" fillId="0" borderId="0" xfId="0" applyFont="1" applyAlignment="1">
      <alignment horizontal="center" vertical="center"/>
    </xf>
    <xf numFmtId="166" fontId="3" fillId="22" borderId="0" xfId="0" applyNumberFormat="1" applyFont="1" applyFill="1" applyAlignment="1">
      <alignment horizontal="right"/>
    </xf>
    <xf numFmtId="4" fontId="0" fillId="0" borderId="0" xfId="0" applyNumberFormat="1" applyAlignment="1">
      <alignment horizontal="right"/>
    </xf>
    <xf numFmtId="173" fontId="15" fillId="22" borderId="25" xfId="53" applyNumberFormat="1" applyFont="1" applyFill="1" applyBorder="1" applyAlignment="1" applyProtection="1">
      <alignment horizontal="right" vertical="center"/>
    </xf>
    <xf numFmtId="170" fontId="15" fillId="0" borderId="30" xfId="53" applyNumberFormat="1" applyFont="1" applyFill="1" applyBorder="1" applyAlignment="1" applyProtection="1">
      <alignment vertical="center"/>
    </xf>
    <xf numFmtId="0" fontId="0" fillId="19" borderId="57" xfId="0" applyFill="1" applyBorder="1"/>
    <xf numFmtId="0" fontId="0" fillId="19" borderId="59" xfId="0" applyFill="1" applyBorder="1"/>
    <xf numFmtId="0" fontId="0" fillId="19" borderId="58" xfId="0" applyFill="1" applyBorder="1"/>
    <xf numFmtId="0" fontId="15" fillId="22" borderId="57" xfId="50" applyFont="1" applyFill="1" applyBorder="1"/>
    <xf numFmtId="0" fontId="15" fillId="22" borderId="59" xfId="50" applyFont="1" applyFill="1" applyBorder="1"/>
    <xf numFmtId="0" fontId="15" fillId="22" borderId="59" xfId="50" applyFont="1" applyFill="1" applyBorder="1" applyAlignment="1">
      <alignment wrapText="1"/>
    </xf>
    <xf numFmtId="0" fontId="15" fillId="22" borderId="59" xfId="50" applyFont="1" applyFill="1" applyBorder="1" applyAlignment="1">
      <alignment horizontal="center"/>
    </xf>
    <xf numFmtId="0" fontId="15" fillId="22" borderId="58" xfId="50" applyFont="1" applyFill="1" applyBorder="1" applyAlignment="1">
      <alignment vertical="top"/>
    </xf>
    <xf numFmtId="0" fontId="15" fillId="22" borderId="57" xfId="0" applyFont="1" applyFill="1" applyBorder="1"/>
    <xf numFmtId="0" fontId="15" fillId="22" borderId="59" xfId="0" applyFont="1" applyFill="1" applyBorder="1"/>
    <xf numFmtId="0" fontId="15" fillId="22" borderId="59" xfId="0" applyFont="1" applyFill="1" applyBorder="1" applyAlignment="1">
      <alignment horizontal="center"/>
    </xf>
    <xf numFmtId="0" fontId="15" fillId="22" borderId="58" xfId="0" applyFont="1" applyFill="1" applyBorder="1"/>
    <xf numFmtId="1" fontId="2" fillId="20" borderId="27" xfId="0" applyNumberFormat="1" applyFont="1" applyFill="1" applyBorder="1" applyAlignment="1">
      <alignment horizontal="center"/>
    </xf>
    <xf numFmtId="4" fontId="3" fillId="22" borderId="0" xfId="0" applyNumberFormat="1" applyFont="1" applyFill="1" applyAlignment="1">
      <alignment horizontal="right"/>
    </xf>
    <xf numFmtId="4" fontId="3" fillId="22" borderId="0" xfId="0" applyNumberFormat="1" applyFont="1" applyFill="1" applyAlignment="1">
      <alignment horizontal="center"/>
    </xf>
    <xf numFmtId="0" fontId="3" fillId="0" borderId="0" xfId="0" applyFont="1" applyProtection="1">
      <protection locked="0"/>
    </xf>
    <xf numFmtId="0" fontId="0" fillId="0" borderId="0" xfId="0" applyProtection="1">
      <protection locked="0"/>
    </xf>
    <xf numFmtId="0" fontId="0" fillId="61" borderId="0" xfId="0" applyFill="1"/>
    <xf numFmtId="166" fontId="15" fillId="19" borderId="0" xfId="0" applyNumberFormat="1" applyFont="1" applyFill="1"/>
    <xf numFmtId="164" fontId="12" fillId="19" borderId="0" xfId="0" applyNumberFormat="1" applyFont="1" applyFill="1" applyAlignment="1">
      <alignment vertical="center"/>
    </xf>
    <xf numFmtId="0" fontId="3" fillId="0" borderId="0" xfId="148"/>
    <xf numFmtId="0" fontId="3" fillId="19" borderId="0" xfId="148" applyFill="1"/>
    <xf numFmtId="0" fontId="93" fillId="0" borderId="0" xfId="148" applyFont="1"/>
    <xf numFmtId="0" fontId="96" fillId="0" borderId="0" xfId="148" applyFont="1"/>
    <xf numFmtId="0" fontId="93" fillId="0" borderId="0" xfId="148" applyFont="1" applyAlignment="1">
      <alignment horizontal="center"/>
    </xf>
    <xf numFmtId="0" fontId="93" fillId="19" borderId="0" xfId="148" applyFont="1" applyFill="1"/>
    <xf numFmtId="0" fontId="93" fillId="19" borderId="0" xfId="148" applyFont="1" applyFill="1" applyAlignment="1">
      <alignment horizontal="center"/>
    </xf>
    <xf numFmtId="0" fontId="145" fillId="19" borderId="0" xfId="148" applyFont="1" applyFill="1"/>
    <xf numFmtId="0" fontId="145" fillId="0" borderId="0" xfId="148" applyFont="1"/>
    <xf numFmtId="0" fontId="145" fillId="19" borderId="0" xfId="148" applyFont="1" applyFill="1" applyAlignment="1">
      <alignment horizontal="center"/>
    </xf>
    <xf numFmtId="0" fontId="71" fillId="19" borderId="0" xfId="148" applyFont="1" applyFill="1"/>
    <xf numFmtId="0" fontId="145" fillId="0" borderId="0" xfId="148" applyFont="1" applyAlignment="1">
      <alignment horizontal="center"/>
    </xf>
    <xf numFmtId="0" fontId="146" fillId="19" borderId="0" xfId="148" applyFont="1" applyFill="1"/>
    <xf numFmtId="0" fontId="72" fillId="19" borderId="0" xfId="148" applyFont="1" applyFill="1"/>
    <xf numFmtId="0" fontId="116" fillId="19" borderId="0" xfId="148" applyFont="1" applyFill="1"/>
    <xf numFmtId="0" fontId="107" fillId="19" borderId="0" xfId="148" applyFont="1" applyFill="1"/>
    <xf numFmtId="0" fontId="12" fillId="19" borderId="0" xfId="148" applyFont="1" applyFill="1"/>
    <xf numFmtId="166" fontId="3" fillId="19" borderId="0" xfId="148" applyNumberFormat="1" applyFill="1"/>
    <xf numFmtId="166" fontId="3" fillId="22" borderId="0" xfId="148" applyNumberFormat="1" applyFill="1"/>
    <xf numFmtId="166" fontId="93" fillId="22" borderId="0" xfId="148" applyNumberFormat="1" applyFont="1" applyFill="1"/>
    <xf numFmtId="0" fontId="96" fillId="22" borderId="0" xfId="148" applyFont="1" applyFill="1"/>
    <xf numFmtId="0" fontId="93" fillId="22" borderId="0" xfId="148" applyFont="1" applyFill="1"/>
    <xf numFmtId="0" fontId="3" fillId="22" borderId="0" xfId="148" applyFill="1"/>
    <xf numFmtId="0" fontId="93" fillId="22" borderId="0" xfId="148" applyFont="1" applyFill="1" applyAlignment="1">
      <alignment horizontal="center"/>
    </xf>
    <xf numFmtId="3" fontId="3" fillId="19" borderId="0" xfId="148" applyNumberFormat="1" applyFill="1"/>
    <xf numFmtId="3" fontId="3" fillId="19" borderId="0" xfId="148" applyNumberFormat="1" applyFill="1" applyAlignment="1">
      <alignment horizontal="center"/>
    </xf>
    <xf numFmtId="4" fontId="3" fillId="19" borderId="0" xfId="148" applyNumberFormat="1" applyFill="1"/>
    <xf numFmtId="4" fontId="3" fillId="19" borderId="0" xfId="148" applyNumberFormat="1" applyFill="1" applyAlignment="1">
      <alignment horizontal="center"/>
    </xf>
    <xf numFmtId="168" fontId="3" fillId="19" borderId="0" xfId="148" applyNumberFormat="1" applyFill="1"/>
    <xf numFmtId="3" fontId="3" fillId="22" borderId="0" xfId="148" applyNumberFormat="1" applyFill="1"/>
    <xf numFmtId="0" fontId="26" fillId="19" borderId="0" xfId="148" applyFont="1" applyFill="1" applyAlignment="1">
      <alignment horizontal="right"/>
    </xf>
    <xf numFmtId="0" fontId="26" fillId="19" borderId="0" xfId="148" applyFont="1" applyFill="1" applyAlignment="1">
      <alignment horizontal="center"/>
    </xf>
    <xf numFmtId="0" fontId="26" fillId="22" borderId="0" xfId="148" applyFont="1" applyFill="1" applyAlignment="1">
      <alignment horizontal="right"/>
    </xf>
    <xf numFmtId="0" fontId="3" fillId="0" borderId="0" xfId="148" applyAlignment="1">
      <alignment horizontal="center"/>
    </xf>
    <xf numFmtId="0" fontId="121" fillId="22" borderId="0" xfId="148" applyFont="1" applyFill="1"/>
    <xf numFmtId="0" fontId="62" fillId="22" borderId="0" xfId="148" applyFont="1" applyFill="1"/>
    <xf numFmtId="0" fontId="71" fillId="22" borderId="0" xfId="148" applyFont="1" applyFill="1"/>
    <xf numFmtId="166" fontId="115" fillId="22" borderId="0" xfId="148" applyNumberFormat="1" applyFont="1" applyFill="1" applyAlignment="1" applyProtection="1">
      <alignment horizontal="right" vertical="center" indent="1"/>
      <protection hidden="1"/>
    </xf>
    <xf numFmtId="0" fontId="93" fillId="22" borderId="0" xfId="148" applyFont="1" applyFill="1" applyAlignment="1">
      <alignment horizontal="center" vertical="center"/>
    </xf>
    <xf numFmtId="0" fontId="93" fillId="22" borderId="0" xfId="148" applyFont="1" applyFill="1" applyAlignment="1">
      <alignment vertical="center"/>
    </xf>
    <xf numFmtId="0" fontId="93" fillId="0" borderId="0" xfId="148" applyFont="1" applyAlignment="1">
      <alignment horizontal="center" vertical="center"/>
    </xf>
    <xf numFmtId="0" fontId="93" fillId="0" borderId="0" xfId="148" applyFont="1" applyAlignment="1">
      <alignment vertical="center"/>
    </xf>
    <xf numFmtId="0" fontId="118" fillId="22" borderId="0" xfId="148" applyFont="1" applyFill="1" applyAlignment="1">
      <alignment horizontal="center"/>
    </xf>
    <xf numFmtId="4" fontId="93" fillId="22" borderId="0" xfId="148" applyNumberFormat="1" applyFont="1" applyFill="1"/>
    <xf numFmtId="3" fontId="93" fillId="22" borderId="0" xfId="148" applyNumberFormat="1" applyFont="1" applyFill="1" applyAlignment="1">
      <alignment horizontal="center"/>
    </xf>
    <xf numFmtId="0" fontId="84" fillId="22" borderId="0" xfId="148" applyFont="1" applyFill="1"/>
    <xf numFmtId="3" fontId="93" fillId="22" borderId="0" xfId="148" applyNumberFormat="1" applyFont="1" applyFill="1" applyAlignment="1">
      <alignment horizontal="center" vertical="center"/>
    </xf>
    <xf numFmtId="4" fontId="17" fillId="0" borderId="10" xfId="148" applyNumberFormat="1" applyFont="1" applyBorder="1" applyAlignment="1" applyProtection="1">
      <alignment horizontal="right" vertical="center" indent="1"/>
      <protection locked="0"/>
    </xf>
    <xf numFmtId="4" fontId="93" fillId="22" borderId="0" xfId="148" applyNumberFormat="1" applyFont="1" applyFill="1" applyAlignment="1">
      <alignment horizontal="center" vertical="center"/>
    </xf>
    <xf numFmtId="0" fontId="93" fillId="22" borderId="0" xfId="148" applyFont="1" applyFill="1" applyAlignment="1">
      <alignment horizontal="left"/>
    </xf>
    <xf numFmtId="0" fontId="0" fillId="0" borderId="0" xfId="29" applyNumberFormat="1" applyFont="1"/>
    <xf numFmtId="0" fontId="3" fillId="20" borderId="14" xfId="0" applyFont="1" applyFill="1" applyBorder="1" applyAlignment="1">
      <alignment horizontal="center" vertical="center"/>
    </xf>
    <xf numFmtId="9" fontId="7" fillId="22" borderId="0" xfId="53" applyFont="1" applyFill="1" applyBorder="1" applyAlignment="1" applyProtection="1">
      <alignment horizontal="center" vertical="center" wrapText="1"/>
    </xf>
    <xf numFmtId="167" fontId="93" fillId="22" borderId="0" xfId="148" applyNumberFormat="1" applyFont="1" applyFill="1" applyAlignment="1">
      <alignment horizontal="right"/>
    </xf>
    <xf numFmtId="171" fontId="93" fillId="22" borderId="0" xfId="148" applyNumberFormat="1" applyFont="1" applyFill="1" applyAlignment="1">
      <alignment horizontal="right"/>
    </xf>
    <xf numFmtId="0" fontId="93" fillId="22" borderId="0" xfId="148" applyFont="1" applyFill="1" applyAlignment="1">
      <alignment horizontal="right"/>
    </xf>
    <xf numFmtId="2" fontId="93" fillId="22" borderId="0" xfId="148" applyNumberFormat="1" applyFont="1" applyFill="1" applyAlignment="1">
      <alignment horizontal="right"/>
    </xf>
    <xf numFmtId="10" fontId="15" fillId="22" borderId="25" xfId="29" applyNumberFormat="1" applyFont="1" applyFill="1" applyBorder="1" applyAlignment="1" applyProtection="1">
      <alignment horizontal="right" vertical="center"/>
    </xf>
    <xf numFmtId="0" fontId="93" fillId="26" borderId="0" xfId="0" applyFont="1" applyFill="1" applyAlignment="1">
      <alignment horizontal="center" vertical="center"/>
    </xf>
    <xf numFmtId="4" fontId="33" fillId="21" borderId="24" xfId="0" applyNumberFormat="1" applyFont="1" applyFill="1" applyBorder="1" applyAlignment="1">
      <alignment horizontal="right" vertical="center"/>
    </xf>
    <xf numFmtId="4" fontId="0" fillId="0" borderId="0" xfId="29" applyNumberFormat="1" applyFont="1"/>
    <xf numFmtId="3" fontId="93" fillId="0" borderId="0" xfId="0" applyNumberFormat="1" applyFont="1"/>
    <xf numFmtId="2" fontId="3" fillId="0" borderId="0" xfId="148" applyNumberFormat="1"/>
    <xf numFmtId="1" fontId="3" fillId="0" borderId="0" xfId="148" applyNumberFormat="1"/>
    <xf numFmtId="0" fontId="0" fillId="0" borderId="0" xfId="0" applyAlignment="1">
      <alignment horizontal="center"/>
    </xf>
    <xf numFmtId="0" fontId="3" fillId="20" borderId="33" xfId="0" applyFont="1" applyFill="1" applyBorder="1" applyAlignment="1">
      <alignment horizontal="center" vertical="center"/>
    </xf>
    <xf numFmtId="0" fontId="3" fillId="21" borderId="26" xfId="0" applyFont="1" applyFill="1" applyBorder="1" applyAlignment="1">
      <alignment horizontal="right" vertical="center"/>
    </xf>
    <xf numFmtId="166" fontId="2" fillId="21" borderId="26" xfId="0" applyNumberFormat="1" applyFont="1" applyFill="1" applyBorder="1" applyAlignment="1">
      <alignment horizontal="right" vertical="center"/>
    </xf>
    <xf numFmtId="165" fontId="2" fillId="21" borderId="26" xfId="0" applyNumberFormat="1" applyFont="1" applyFill="1" applyBorder="1" applyAlignment="1">
      <alignment horizontal="center" vertical="center"/>
    </xf>
    <xf numFmtId="0" fontId="2" fillId="21" borderId="37" xfId="0" applyFont="1" applyFill="1" applyBorder="1" applyAlignment="1">
      <alignment horizontal="right" vertical="center"/>
    </xf>
    <xf numFmtId="0" fontId="61" fillId="21" borderId="26" xfId="0" applyFont="1" applyFill="1" applyBorder="1" applyAlignment="1">
      <alignment horizontal="right" vertical="center"/>
    </xf>
    <xf numFmtId="166" fontId="61" fillId="21" borderId="26" xfId="0" applyNumberFormat="1" applyFont="1" applyFill="1" applyBorder="1" applyAlignment="1">
      <alignment horizontal="right" vertical="center"/>
    </xf>
    <xf numFmtId="4" fontId="61" fillId="21" borderId="26" xfId="0" applyNumberFormat="1" applyFont="1" applyFill="1" applyBorder="1" applyAlignment="1">
      <alignment horizontal="right" vertical="center"/>
    </xf>
    <xf numFmtId="4" fontId="61" fillId="21" borderId="33" xfId="0" applyNumberFormat="1" applyFont="1" applyFill="1" applyBorder="1" applyAlignment="1">
      <alignment horizontal="right" vertical="center"/>
    </xf>
    <xf numFmtId="4" fontId="61" fillId="27" borderId="26" xfId="0" applyNumberFormat="1" applyFont="1" applyFill="1" applyBorder="1" applyAlignment="1">
      <alignment horizontal="right" vertical="center"/>
    </xf>
    <xf numFmtId="0" fontId="3" fillId="20" borderId="67" xfId="0" applyFont="1" applyFill="1" applyBorder="1" applyAlignment="1">
      <alignment horizontal="center"/>
    </xf>
    <xf numFmtId="4" fontId="3" fillId="18" borderId="34" xfId="0" applyNumberFormat="1" applyFont="1" applyFill="1" applyBorder="1" applyAlignment="1">
      <alignment horizontal="center"/>
    </xf>
    <xf numFmtId="4" fontId="3" fillId="18" borderId="35" xfId="0" applyNumberFormat="1" applyFont="1" applyFill="1" applyBorder="1" applyAlignment="1">
      <alignment horizontal="center"/>
    </xf>
    <xf numFmtId="4" fontId="0" fillId="27" borderId="34" xfId="0" applyNumberFormat="1" applyFill="1" applyBorder="1" applyAlignment="1">
      <alignment horizontal="center"/>
    </xf>
    <xf numFmtId="4" fontId="3" fillId="27" borderId="35" xfId="0" applyNumberFormat="1" applyFont="1" applyFill="1" applyBorder="1" applyAlignment="1">
      <alignment horizontal="center"/>
    </xf>
    <xf numFmtId="0" fontId="3" fillId="20" borderId="0" xfId="0" applyFont="1" applyFill="1" applyAlignment="1">
      <alignment horizontal="center"/>
    </xf>
    <xf numFmtId="0" fontId="3" fillId="20" borderId="0" xfId="0" applyFont="1" applyFill="1" applyAlignment="1">
      <alignment horizontal="left"/>
    </xf>
    <xf numFmtId="0" fontId="0" fillId="60" borderId="0" xfId="0" applyFill="1"/>
    <xf numFmtId="0" fontId="2" fillId="60" borderId="0" xfId="0" applyFont="1" applyFill="1"/>
    <xf numFmtId="0" fontId="3" fillId="60" borderId="0" xfId="0" applyFont="1" applyFill="1"/>
    <xf numFmtId="3" fontId="6" fillId="60" borderId="0" xfId="0" applyNumberFormat="1" applyFont="1" applyFill="1" applyAlignment="1">
      <alignment horizontal="right"/>
    </xf>
    <xf numFmtId="3" fontId="3" fillId="60" borderId="0" xfId="0" applyNumberFormat="1" applyFont="1" applyFill="1" applyAlignment="1">
      <alignment horizontal="right"/>
    </xf>
    <xf numFmtId="4" fontId="0" fillId="0" borderId="0" xfId="0" applyNumberFormat="1"/>
    <xf numFmtId="3" fontId="59" fillId="60" borderId="0" xfId="0" applyNumberFormat="1" applyFont="1" applyFill="1" applyAlignment="1">
      <alignment horizontal="right"/>
    </xf>
    <xf numFmtId="0" fontId="7" fillId="60" borderId="0" xfId="0" applyFont="1" applyFill="1"/>
    <xf numFmtId="0" fontId="15" fillId="60" borderId="0" xfId="0" applyFont="1" applyFill="1"/>
    <xf numFmtId="0" fontId="28" fillId="60" borderId="0" xfId="0" applyFont="1" applyFill="1"/>
    <xf numFmtId="0" fontId="3" fillId="28" borderId="0" xfId="0" applyFont="1" applyFill="1" applyAlignment="1">
      <alignment horizontal="center"/>
    </xf>
    <xf numFmtId="0" fontId="3" fillId="28" borderId="0" xfId="0" applyFont="1" applyFill="1" applyAlignment="1">
      <alignment horizontal="left"/>
    </xf>
    <xf numFmtId="0" fontId="3" fillId="20" borderId="14" xfId="0" applyFont="1" applyFill="1" applyBorder="1" applyAlignment="1">
      <alignment horizontal="center"/>
    </xf>
    <xf numFmtId="0" fontId="3" fillId="20" borderId="14" xfId="0" applyFont="1" applyFill="1" applyBorder="1" applyAlignment="1">
      <alignment horizontal="left"/>
    </xf>
    <xf numFmtId="3" fontId="150" fillId="0" borderId="14" xfId="0" applyNumberFormat="1" applyFont="1" applyBorder="1" applyAlignment="1">
      <alignment horizontal="right"/>
    </xf>
    <xf numFmtId="0" fontId="0" fillId="0" borderId="14" xfId="0" applyBorder="1"/>
    <xf numFmtId="0" fontId="3" fillId="20" borderId="35" xfId="0" applyFont="1" applyFill="1" applyBorder="1" applyAlignment="1">
      <alignment horizontal="center"/>
    </xf>
    <xf numFmtId="0" fontId="3" fillId="28" borderId="35" xfId="0" applyFont="1" applyFill="1" applyBorder="1" applyAlignment="1">
      <alignment horizontal="left"/>
    </xf>
    <xf numFmtId="0" fontId="3" fillId="28" borderId="35" xfId="0" applyFont="1" applyFill="1" applyBorder="1" applyAlignment="1">
      <alignment horizontal="center"/>
    </xf>
    <xf numFmtId="174" fontId="15" fillId="0" borderId="0" xfId="0" applyNumberFormat="1" applyFont="1" applyAlignment="1">
      <alignment horizontal="right"/>
    </xf>
    <xf numFmtId="174" fontId="3" fillId="0" borderId="0" xfId="0" applyNumberFormat="1" applyFont="1" applyAlignment="1">
      <alignment horizontal="right"/>
    </xf>
    <xf numFmtId="10" fontId="3" fillId="0" borderId="0" xfId="53" applyNumberFormat="1" applyFont="1" applyFill="1" applyAlignment="1">
      <alignment horizontal="right"/>
    </xf>
    <xf numFmtId="0" fontId="3" fillId="0" borderId="22" xfId="0" applyFont="1" applyBorder="1" applyAlignment="1">
      <alignment horizontal="center"/>
    </xf>
    <xf numFmtId="174" fontId="3" fillId="0" borderId="22" xfId="0" applyNumberFormat="1" applyFont="1" applyBorder="1" applyAlignment="1">
      <alignment horizontal="right"/>
    </xf>
    <xf numFmtId="0" fontId="3" fillId="0" borderId="22" xfId="0" applyFont="1" applyBorder="1" applyAlignment="1">
      <alignment horizontal="right"/>
    </xf>
    <xf numFmtId="177" fontId="3" fillId="0" borderId="22" xfId="0" applyNumberFormat="1" applyFont="1" applyBorder="1" applyAlignment="1">
      <alignment horizontal="right"/>
    </xf>
    <xf numFmtId="10" fontId="3" fillId="0" borderId="22" xfId="0" applyNumberFormat="1" applyFont="1" applyBorder="1" applyAlignment="1">
      <alignment horizontal="right"/>
    </xf>
    <xf numFmtId="164" fontId="3" fillId="0" borderId="22" xfId="0" applyNumberFormat="1" applyFont="1" applyBorder="1" applyAlignment="1">
      <alignment horizontal="right"/>
    </xf>
    <xf numFmtId="0" fontId="15" fillId="0" borderId="0" xfId="0" applyFont="1" applyAlignment="1">
      <alignment horizontal="right"/>
    </xf>
    <xf numFmtId="177" fontId="3" fillId="0" borderId="0" xfId="0" applyNumberFormat="1" applyFont="1" applyAlignment="1">
      <alignment horizontal="right"/>
    </xf>
    <xf numFmtId="174" fontId="0" fillId="0" borderId="0" xfId="0" applyNumberFormat="1" applyAlignment="1">
      <alignment horizontal="right"/>
    </xf>
    <xf numFmtId="10" fontId="0" fillId="0" borderId="0" xfId="53" applyNumberFormat="1" applyFont="1" applyFill="1" applyAlignment="1">
      <alignment horizontal="right"/>
    </xf>
    <xf numFmtId="166" fontId="3" fillId="0" borderId="0" xfId="0" applyNumberFormat="1" applyFont="1" applyAlignment="1">
      <alignment horizontal="center"/>
    </xf>
    <xf numFmtId="10" fontId="3" fillId="0" borderId="0" xfId="53" applyNumberFormat="1" applyFont="1" applyFill="1" applyBorder="1" applyAlignment="1">
      <alignment horizontal="right"/>
    </xf>
    <xf numFmtId="0" fontId="3" fillId="0" borderId="0" xfId="0" applyFont="1" applyAlignment="1">
      <alignment horizontal="center" wrapText="1"/>
    </xf>
    <xf numFmtId="0" fontId="3" fillId="21" borderId="14" xfId="0" applyFont="1" applyFill="1" applyBorder="1" applyAlignment="1">
      <alignment horizontal="right" vertical="center"/>
    </xf>
    <xf numFmtId="166" fontId="2" fillId="21" borderId="14" xfId="0" applyNumberFormat="1" applyFont="1" applyFill="1" applyBorder="1" applyAlignment="1">
      <alignment horizontal="right" vertical="center"/>
    </xf>
    <xf numFmtId="165" fontId="2" fillId="21" borderId="14" xfId="0" applyNumberFormat="1" applyFont="1" applyFill="1" applyBorder="1" applyAlignment="1">
      <alignment horizontal="center" vertical="center"/>
    </xf>
    <xf numFmtId="0" fontId="2" fillId="21" borderId="14" xfId="0" applyFont="1" applyFill="1" applyBorder="1" applyAlignment="1">
      <alignment horizontal="right" vertical="center"/>
    </xf>
    <xf numFmtId="0" fontId="61" fillId="21" borderId="14" xfId="0" applyFont="1" applyFill="1" applyBorder="1" applyAlignment="1">
      <alignment horizontal="right" vertical="center"/>
    </xf>
    <xf numFmtId="166" fontId="61" fillId="21" borderId="14" xfId="0" applyNumberFormat="1" applyFont="1" applyFill="1" applyBorder="1" applyAlignment="1">
      <alignment horizontal="right" vertical="center"/>
    </xf>
    <xf numFmtId="4" fontId="61" fillId="21" borderId="14" xfId="0" applyNumberFormat="1" applyFont="1" applyFill="1" applyBorder="1" applyAlignment="1">
      <alignment horizontal="right" vertical="center"/>
    </xf>
    <xf numFmtId="4" fontId="61" fillId="27" borderId="14" xfId="0" applyNumberFormat="1" applyFont="1" applyFill="1" applyBorder="1" applyAlignment="1">
      <alignment horizontal="right" vertical="center"/>
    </xf>
    <xf numFmtId="0" fontId="3" fillId="18" borderId="34" xfId="0" applyFont="1" applyFill="1" applyBorder="1"/>
    <xf numFmtId="0" fontId="3" fillId="18" borderId="35" xfId="0" applyFont="1" applyFill="1" applyBorder="1"/>
    <xf numFmtId="0" fontId="3" fillId="20" borderId="19" xfId="0" applyFont="1" applyFill="1" applyBorder="1"/>
    <xf numFmtId="0" fontId="3" fillId="20" borderId="0" xfId="0" applyFont="1" applyFill="1"/>
    <xf numFmtId="0" fontId="3" fillId="20" borderId="26" xfId="0" applyFont="1" applyFill="1" applyBorder="1"/>
    <xf numFmtId="0" fontId="0" fillId="27" borderId="14" xfId="0" applyFill="1" applyBorder="1"/>
    <xf numFmtId="0" fontId="0" fillId="27" borderId="37" xfId="0" applyFill="1" applyBorder="1"/>
    <xf numFmtId="0" fontId="0" fillId="27" borderId="19" xfId="0" applyFill="1" applyBorder="1"/>
    <xf numFmtId="0" fontId="0" fillId="27" borderId="20" xfId="0" applyFill="1" applyBorder="1"/>
    <xf numFmtId="2" fontId="0" fillId="27" borderId="0" xfId="0" applyNumberFormat="1" applyFill="1"/>
    <xf numFmtId="2" fontId="84" fillId="27" borderId="35" xfId="0" applyNumberFormat="1" applyFont="1" applyFill="1" applyBorder="1"/>
    <xf numFmtId="4" fontId="3" fillId="27" borderId="35" xfId="0" applyNumberFormat="1" applyFont="1" applyFill="1" applyBorder="1"/>
    <xf numFmtId="0" fontId="3" fillId="18" borderId="36" xfId="0" applyFont="1" applyFill="1" applyBorder="1"/>
    <xf numFmtId="0" fontId="106" fillId="18" borderId="34" xfId="0" applyFont="1" applyFill="1" applyBorder="1"/>
    <xf numFmtId="0" fontId="106" fillId="18" borderId="36" xfId="0" applyFont="1" applyFill="1" applyBorder="1"/>
    <xf numFmtId="166" fontId="3" fillId="27" borderId="35" xfId="0" applyNumberFormat="1" applyFont="1" applyFill="1" applyBorder="1"/>
    <xf numFmtId="174" fontId="0" fillId="0" borderId="0" xfId="0" applyNumberFormat="1"/>
    <xf numFmtId="171" fontId="0" fillId="0" borderId="0" xfId="0" applyNumberFormat="1"/>
    <xf numFmtId="4" fontId="3" fillId="22" borderId="0" xfId="0" applyNumberFormat="1" applyFont="1" applyFill="1"/>
    <xf numFmtId="167" fontId="0" fillId="0" borderId="0" xfId="0" applyNumberFormat="1"/>
    <xf numFmtId="174" fontId="3" fillId="22" borderId="0" xfId="0" applyNumberFormat="1" applyFont="1" applyFill="1" applyAlignment="1">
      <alignment horizontal="center"/>
    </xf>
    <xf numFmtId="171" fontId="3" fillId="0" borderId="0" xfId="0" applyNumberFormat="1" applyFont="1" applyAlignment="1">
      <alignment horizontal="center"/>
    </xf>
    <xf numFmtId="166" fontId="0" fillId="22" borderId="0" xfId="0" applyNumberFormat="1" applyFill="1" applyAlignment="1">
      <alignment horizontal="center"/>
    </xf>
    <xf numFmtId="167" fontId="3" fillId="0" borderId="0" xfId="0" applyNumberFormat="1" applyFont="1" applyAlignment="1">
      <alignment horizontal="center"/>
    </xf>
    <xf numFmtId="0" fontId="0" fillId="0" borderId="35" xfId="0" applyBorder="1" applyAlignment="1">
      <alignment horizontal="center"/>
    </xf>
    <xf numFmtId="0" fontId="3" fillId="0" borderId="25" xfId="0" applyFont="1" applyBorder="1"/>
    <xf numFmtId="0" fontId="3" fillId="0" borderId="30" xfId="0" applyFont="1" applyBorder="1"/>
    <xf numFmtId="2" fontId="0" fillId="0" borderId="0" xfId="53" applyNumberFormat="1" applyFont="1" applyFill="1" applyBorder="1" applyAlignment="1"/>
    <xf numFmtId="0" fontId="0" fillId="0" borderId="0" xfId="53" applyNumberFormat="1" applyFont="1" applyFill="1" applyBorder="1" applyAlignment="1"/>
    <xf numFmtId="2" fontId="0" fillId="0" borderId="0" xfId="0" applyNumberFormat="1"/>
    <xf numFmtId="2" fontId="84" fillId="0" borderId="0" xfId="0" applyNumberFormat="1" applyFont="1"/>
    <xf numFmtId="10" fontId="3" fillId="0" borderId="0" xfId="0" applyNumberFormat="1" applyFont="1"/>
    <xf numFmtId="2" fontId="0" fillId="0" borderId="0" xfId="53" applyNumberFormat="1" applyFont="1" applyFill="1" applyAlignment="1"/>
    <xf numFmtId="0" fontId="0" fillId="0" borderId="0" xfId="53" applyNumberFormat="1" applyFont="1" applyFill="1" applyAlignment="1"/>
    <xf numFmtId="0" fontId="3" fillId="0" borderId="22" xfId="0" applyFont="1" applyBorder="1"/>
    <xf numFmtId="164" fontId="0" fillId="0" borderId="0" xfId="0" applyNumberFormat="1"/>
    <xf numFmtId="0" fontId="3" fillId="0" borderId="0" xfId="0" quotePrefix="1" applyFont="1" applyAlignment="1">
      <alignment horizontal="center" wrapText="1"/>
    </xf>
    <xf numFmtId="166" fontId="3" fillId="0" borderId="0" xfId="0" applyNumberFormat="1" applyFont="1" applyAlignment="1">
      <alignment horizontal="center" wrapText="1"/>
    </xf>
    <xf numFmtId="166" fontId="3" fillId="22" borderId="0" xfId="0" applyNumberFormat="1" applyFont="1" applyFill="1" applyAlignment="1">
      <alignment horizontal="center" wrapText="1"/>
    </xf>
    <xf numFmtId="4" fontId="3" fillId="22" borderId="0" xfId="0" applyNumberFormat="1" applyFont="1" applyFill="1" applyAlignment="1">
      <alignment horizontal="center" wrapText="1"/>
    </xf>
    <xf numFmtId="10" fontId="150" fillId="0" borderId="14" xfId="0" applyNumberFormat="1" applyFont="1" applyBorder="1" applyAlignment="1">
      <alignment horizontal="right"/>
    </xf>
    <xf numFmtId="0" fontId="3" fillId="27" borderId="19" xfId="0" applyFont="1" applyFill="1" applyBorder="1" applyAlignment="1">
      <alignment horizontal="center" wrapText="1"/>
    </xf>
    <xf numFmtId="0" fontId="3" fillId="27" borderId="0" xfId="0" applyFont="1" applyFill="1" applyAlignment="1">
      <alignment horizontal="center" wrapText="1"/>
    </xf>
    <xf numFmtId="0" fontId="3" fillId="27" borderId="35" xfId="0" applyFont="1" applyFill="1" applyBorder="1" applyAlignment="1">
      <alignment horizontal="center" wrapText="1"/>
    </xf>
    <xf numFmtId="0" fontId="3" fillId="27" borderId="20" xfId="0" applyFont="1" applyFill="1" applyBorder="1" applyAlignment="1">
      <alignment horizontal="center" wrapText="1"/>
    </xf>
    <xf numFmtId="4" fontId="0" fillId="0" borderId="0" xfId="0" applyNumberFormat="1" applyProtection="1">
      <protection locked="0"/>
    </xf>
    <xf numFmtId="166" fontId="3" fillId="0" borderId="22" xfId="0" applyNumberFormat="1" applyFont="1" applyBorder="1" applyAlignment="1">
      <alignment horizontal="right"/>
    </xf>
    <xf numFmtId="166" fontId="0" fillId="0" borderId="0" xfId="0" applyNumberFormat="1" applyAlignment="1">
      <alignment horizontal="right"/>
    </xf>
    <xf numFmtId="4" fontId="3" fillId="0" borderId="0" xfId="0" applyNumberFormat="1" applyFont="1" applyAlignment="1">
      <alignment horizontal="right"/>
    </xf>
    <xf numFmtId="4" fontId="3" fillId="0" borderId="22" xfId="0" applyNumberFormat="1" applyFont="1" applyBorder="1" applyAlignment="1">
      <alignment horizontal="right"/>
    </xf>
    <xf numFmtId="4" fontId="150" fillId="0" borderId="14" xfId="0" applyNumberFormat="1" applyFont="1" applyBorder="1" applyAlignment="1">
      <alignment horizontal="right"/>
    </xf>
    <xf numFmtId="0" fontId="0" fillId="0" borderId="0" xfId="0" quotePrefix="1" applyProtection="1">
      <protection locked="0"/>
    </xf>
    <xf numFmtId="2" fontId="0" fillId="0" borderId="0" xfId="0" applyNumberFormat="1" applyProtection="1">
      <protection locked="0"/>
    </xf>
    <xf numFmtId="0" fontId="0" fillId="22" borderId="0" xfId="53" applyNumberFormat="1" applyFont="1" applyFill="1" applyBorder="1" applyAlignment="1"/>
    <xf numFmtId="0" fontId="3" fillId="0" borderId="0" xfId="1"/>
    <xf numFmtId="3" fontId="3" fillId="0" borderId="0" xfId="1" applyNumberFormat="1"/>
    <xf numFmtId="0" fontId="2" fillId="0" borderId="0" xfId="0" applyFont="1" applyAlignment="1">
      <alignment wrapText="1"/>
    </xf>
    <xf numFmtId="0" fontId="2" fillId="0" borderId="0" xfId="1" applyFont="1" applyAlignment="1">
      <alignment wrapText="1"/>
    </xf>
    <xf numFmtId="0" fontId="2" fillId="0" borderId="0" xfId="0" applyFont="1" applyAlignment="1">
      <alignment horizontal="left" wrapText="1"/>
    </xf>
    <xf numFmtId="0" fontId="2" fillId="0" borderId="0" xfId="1" applyFont="1" applyAlignment="1">
      <alignment horizontal="right" wrapText="1"/>
    </xf>
    <xf numFmtId="0" fontId="63" fillId="0" borderId="0" xfId="1" applyFont="1"/>
    <xf numFmtId="0" fontId="0" fillId="0" borderId="0" xfId="1" applyFont="1"/>
    <xf numFmtId="0" fontId="0" fillId="0" borderId="0" xfId="1" applyFont="1" applyAlignment="1">
      <alignment wrapText="1"/>
    </xf>
    <xf numFmtId="0" fontId="0" fillId="0" borderId="0" xfId="0" applyAlignment="1">
      <alignment horizontal="left"/>
    </xf>
    <xf numFmtId="3" fontId="0" fillId="0" borderId="0" xfId="0" applyNumberFormat="1" applyAlignment="1">
      <alignment horizontal="left"/>
    </xf>
    <xf numFmtId="1" fontId="0" fillId="0" borderId="0" xfId="0" applyNumberFormat="1" applyAlignment="1">
      <alignment horizontal="left"/>
    </xf>
    <xf numFmtId="0" fontId="3" fillId="0" borderId="0" xfId="0" applyFont="1" applyAlignment="1">
      <alignment horizontal="left"/>
    </xf>
    <xf numFmtId="2" fontId="2" fillId="0" borderId="0" xfId="0" applyNumberFormat="1" applyFont="1" applyAlignment="1">
      <alignment horizontal="left" wrapText="1"/>
    </xf>
    <xf numFmtId="0" fontId="8" fillId="0" borderId="0" xfId="0" applyFont="1" applyAlignment="1">
      <alignment horizontal="left" wrapText="1"/>
    </xf>
    <xf numFmtId="3" fontId="2" fillId="0" borderId="0" xfId="0" applyNumberFormat="1" applyFont="1" applyAlignment="1">
      <alignment horizontal="left" wrapText="1"/>
    </xf>
    <xf numFmtId="173" fontId="2" fillId="0" borderId="0" xfId="0" applyNumberFormat="1" applyFont="1" applyAlignment="1">
      <alignment horizontal="left" wrapText="1"/>
    </xf>
    <xf numFmtId="0" fontId="156" fillId="0" borderId="0" xfId="273" applyFont="1" applyBorder="1" applyAlignment="1">
      <alignment horizontal="left"/>
    </xf>
    <xf numFmtId="0" fontId="156" fillId="0" borderId="0" xfId="0" applyFont="1" applyAlignment="1">
      <alignment horizontal="left"/>
    </xf>
    <xf numFmtId="0" fontId="15" fillId="0" borderId="0" xfId="0" applyFont="1" applyAlignment="1">
      <alignment horizontal="left"/>
    </xf>
    <xf numFmtId="4" fontId="156" fillId="0" borderId="0" xfId="0" applyNumberFormat="1" applyFont="1" applyAlignment="1">
      <alignment horizontal="left"/>
    </xf>
    <xf numFmtId="3" fontId="156" fillId="0" borderId="0" xfId="0" applyNumberFormat="1" applyFont="1" applyAlignment="1">
      <alignment horizontal="left"/>
    </xf>
    <xf numFmtId="3" fontId="15" fillId="0" borderId="0" xfId="0" applyNumberFormat="1" applyFont="1" applyAlignment="1">
      <alignment horizontal="left"/>
    </xf>
    <xf numFmtId="4" fontId="15" fillId="0" borderId="0" xfId="0" applyNumberFormat="1" applyFont="1" applyAlignment="1">
      <alignment horizontal="left"/>
    </xf>
    <xf numFmtId="3" fontId="3" fillId="0" borderId="0" xfId="0" applyNumberFormat="1" applyFont="1" applyAlignment="1">
      <alignment horizontal="left"/>
    </xf>
    <xf numFmtId="166" fontId="3" fillId="0" borderId="0" xfId="0" applyNumberFormat="1" applyFont="1" applyAlignment="1">
      <alignment horizontal="left"/>
    </xf>
    <xf numFmtId="4" fontId="3" fillId="0" borderId="0" xfId="0" applyNumberFormat="1" applyFont="1" applyAlignment="1">
      <alignment horizontal="left"/>
    </xf>
    <xf numFmtId="0" fontId="3" fillId="28" borderId="36" xfId="0" applyFont="1" applyFill="1" applyBorder="1" applyAlignment="1">
      <alignment horizontal="center"/>
    </xf>
    <xf numFmtId="0" fontId="3" fillId="28" borderId="38" xfId="0" applyFont="1" applyFill="1" applyBorder="1"/>
    <xf numFmtId="0" fontId="3" fillId="28" borderId="34" xfId="0" applyFont="1" applyFill="1" applyBorder="1" applyAlignment="1">
      <alignment horizontal="center"/>
    </xf>
    <xf numFmtId="0" fontId="0" fillId="27" borderId="0" xfId="0" applyFill="1" applyProtection="1">
      <protection locked="0"/>
    </xf>
    <xf numFmtId="164" fontId="3" fillId="0" borderId="0" xfId="0" applyNumberFormat="1" applyFont="1" applyAlignment="1">
      <alignment horizontal="center"/>
    </xf>
    <xf numFmtId="166" fontId="0" fillId="0" borderId="0" xfId="0" quotePrefix="1" applyNumberFormat="1"/>
    <xf numFmtId="43" fontId="93" fillId="27" borderId="0" xfId="148" applyNumberFormat="1" applyFont="1" applyFill="1" applyAlignment="1">
      <alignment horizontal="right"/>
    </xf>
    <xf numFmtId="0" fontId="15" fillId="22" borderId="34" xfId="0" applyFont="1" applyFill="1" applyBorder="1" applyAlignment="1">
      <alignment horizontal="center" vertical="center"/>
    </xf>
    <xf numFmtId="2" fontId="3" fillId="0" borderId="0" xfId="53" applyNumberFormat="1"/>
    <xf numFmtId="0" fontId="3" fillId="27" borderId="0" xfId="148" applyFill="1"/>
    <xf numFmtId="0" fontId="15" fillId="0" borderId="15" xfId="50" applyFont="1" applyBorder="1" applyAlignment="1">
      <alignment vertical="center"/>
    </xf>
    <xf numFmtId="0" fontId="15" fillId="0" borderId="15" xfId="50" applyFont="1" applyBorder="1"/>
    <xf numFmtId="0" fontId="95" fillId="22" borderId="0" xfId="50" applyFont="1" applyFill="1" applyAlignment="1">
      <alignment vertical="center" wrapText="1"/>
    </xf>
    <xf numFmtId="4" fontId="15" fillId="22" borderId="25" xfId="29" applyNumberFormat="1" applyFont="1" applyFill="1" applyBorder="1" applyAlignment="1" applyProtection="1">
      <alignment horizontal="right" vertical="center"/>
    </xf>
    <xf numFmtId="4" fontId="15" fillId="22" borderId="28" xfId="0" applyNumberFormat="1" applyFont="1" applyFill="1" applyBorder="1" applyAlignment="1">
      <alignment vertical="center"/>
    </xf>
    <xf numFmtId="4" fontId="15" fillId="19" borderId="38" xfId="29" applyNumberFormat="1" applyFont="1" applyFill="1" applyBorder="1" applyAlignment="1" applyProtection="1">
      <alignment vertical="center"/>
    </xf>
    <xf numFmtId="4" fontId="15" fillId="22" borderId="38" xfId="0" applyNumberFormat="1" applyFont="1" applyFill="1" applyBorder="1" applyAlignment="1">
      <alignment vertical="center"/>
    </xf>
    <xf numFmtId="0" fontId="14" fillId="19" borderId="0" xfId="0" applyFont="1" applyFill="1" applyAlignment="1">
      <alignment wrapText="1"/>
    </xf>
    <xf numFmtId="0" fontId="15" fillId="0" borderId="12" xfId="0" applyFont="1" applyBorder="1"/>
    <xf numFmtId="0" fontId="15" fillId="0" borderId="13" xfId="0" applyFont="1" applyBorder="1"/>
    <xf numFmtId="0" fontId="15" fillId="0" borderId="18" xfId="0" applyFont="1" applyBorder="1"/>
    <xf numFmtId="0" fontId="22" fillId="0" borderId="0" xfId="0" applyFont="1"/>
    <xf numFmtId="0" fontId="15" fillId="0" borderId="16" xfId="0" applyFont="1" applyBorder="1"/>
    <xf numFmtId="0" fontId="7" fillId="0" borderId="15" xfId="0" applyFont="1" applyBorder="1"/>
    <xf numFmtId="0" fontId="15" fillId="0" borderId="57" xfId="0" applyFont="1" applyBorder="1"/>
    <xf numFmtId="0" fontId="15" fillId="0" borderId="59" xfId="0" applyFont="1" applyBorder="1"/>
    <xf numFmtId="0" fontId="14" fillId="0" borderId="59" xfId="0" applyFont="1" applyBorder="1" applyAlignment="1">
      <alignment horizontal="right"/>
    </xf>
    <xf numFmtId="173" fontId="14" fillId="0" borderId="58" xfId="0" quotePrefix="1" applyNumberFormat="1" applyFont="1" applyBorder="1" applyAlignment="1">
      <alignment horizontal="right"/>
    </xf>
    <xf numFmtId="0" fontId="0" fillId="0" borderId="12" xfId="0" applyBorder="1"/>
    <xf numFmtId="0" fontId="0" fillId="0" borderId="13" xfId="0" applyBorder="1"/>
    <xf numFmtId="0" fontId="0" fillId="0" borderId="18" xfId="0" applyBorder="1"/>
    <xf numFmtId="0" fontId="12" fillId="0" borderId="0" xfId="0" applyFont="1"/>
    <xf numFmtId="0" fontId="7" fillId="0" borderId="57" xfId="0" applyFont="1" applyBorder="1" applyAlignment="1">
      <alignment horizontal="center"/>
    </xf>
    <xf numFmtId="0" fontId="7" fillId="0" borderId="59" xfId="0" applyFont="1" applyBorder="1" applyAlignment="1">
      <alignment horizontal="center"/>
    </xf>
    <xf numFmtId="0" fontId="3" fillId="0" borderId="13" xfId="148" applyBorder="1" applyAlignment="1">
      <alignment horizontal="center"/>
    </xf>
    <xf numFmtId="0" fontId="3" fillId="0" borderId="13" xfId="148" applyBorder="1"/>
    <xf numFmtId="0" fontId="27" fillId="0" borderId="16" xfId="148" applyFont="1" applyBorder="1" applyAlignment="1" applyProtection="1">
      <alignment horizontal="centerContinuous"/>
      <protection locked="0"/>
    </xf>
    <xf numFmtId="0" fontId="3" fillId="0" borderId="14" xfId="148" applyBorder="1"/>
    <xf numFmtId="0" fontId="3" fillId="0" borderId="15" xfId="148" applyBorder="1"/>
    <xf numFmtId="0" fontId="7" fillId="0" borderId="0" xfId="148" applyFont="1" applyAlignment="1">
      <alignment horizontal="centerContinuous"/>
    </xf>
    <xf numFmtId="0" fontId="7" fillId="0" borderId="16" xfId="148" applyFont="1" applyBorder="1" applyAlignment="1">
      <alignment horizontal="centerContinuous"/>
    </xf>
    <xf numFmtId="0" fontId="3" fillId="0" borderId="16" xfId="148" applyBorder="1"/>
    <xf numFmtId="0" fontId="94" fillId="0" borderId="0" xfId="148" applyFont="1" applyAlignment="1">
      <alignment horizontal="center"/>
    </xf>
    <xf numFmtId="0" fontId="94" fillId="0" borderId="0" xfId="148" applyFont="1"/>
    <xf numFmtId="0" fontId="117" fillId="0" borderId="0" xfId="148" applyFont="1"/>
    <xf numFmtId="0" fontId="24" fillId="0" borderId="0" xfId="148" applyFont="1"/>
    <xf numFmtId="0" fontId="15" fillId="0" borderId="0" xfId="148" applyFont="1"/>
    <xf numFmtId="0" fontId="28" fillId="0" borderId="0" xfId="148" applyFont="1" applyAlignment="1">
      <alignment horizontal="centerContinuous"/>
    </xf>
    <xf numFmtId="0" fontId="29" fillId="0" borderId="0" xfId="148" applyFont="1"/>
    <xf numFmtId="0" fontId="29" fillId="0" borderId="16" xfId="148" applyFont="1" applyBorder="1"/>
    <xf numFmtId="0" fontId="7" fillId="0" borderId="0" xfId="148" applyFont="1" applyAlignment="1">
      <alignment horizontal="center"/>
    </xf>
    <xf numFmtId="0" fontId="7" fillId="0" borderId="16" xfId="148" applyFont="1" applyBorder="1" applyAlignment="1">
      <alignment horizontal="center"/>
    </xf>
    <xf numFmtId="0" fontId="3" fillId="0" borderId="57" xfId="148" applyBorder="1"/>
    <xf numFmtId="0" fontId="2" fillId="0" borderId="59" xfId="148" applyFont="1" applyBorder="1" applyAlignment="1">
      <alignment horizontal="centerContinuous"/>
    </xf>
    <xf numFmtId="0" fontId="7" fillId="0" borderId="59" xfId="148" applyFont="1" applyBorder="1" applyAlignment="1">
      <alignment horizontal="centerContinuous"/>
    </xf>
    <xf numFmtId="0" fontId="13" fillId="0" borderId="59" xfId="148" applyFont="1" applyBorder="1" applyAlignment="1">
      <alignment horizontal="right"/>
    </xf>
    <xf numFmtId="0" fontId="13" fillId="0" borderId="58" xfId="148" applyFont="1" applyBorder="1" applyAlignment="1">
      <alignment horizontal="left"/>
    </xf>
    <xf numFmtId="0" fontId="3" fillId="0" borderId="12" xfId="148" applyBorder="1"/>
    <xf numFmtId="0" fontId="2" fillId="0" borderId="13" xfId="148" applyFont="1" applyBorder="1" applyAlignment="1">
      <alignment horizontal="centerContinuous"/>
    </xf>
    <xf numFmtId="0" fontId="7" fillId="0" borderId="13" xfId="148" applyFont="1" applyBorder="1" applyAlignment="1">
      <alignment horizontal="centerContinuous"/>
    </xf>
    <xf numFmtId="0" fontId="3" fillId="0" borderId="18" xfId="148" applyBorder="1"/>
    <xf numFmtId="0" fontId="31" fillId="0" borderId="0" xfId="148" applyFont="1"/>
    <xf numFmtId="0" fontId="8" fillId="0" borderId="0" xfId="148" applyFont="1"/>
    <xf numFmtId="0" fontId="2" fillId="0" borderId="0" xfId="148" applyFont="1" applyAlignment="1">
      <alignment horizontal="centerContinuous"/>
    </xf>
    <xf numFmtId="0" fontId="2" fillId="0" borderId="16" xfId="148" applyFont="1" applyBorder="1" applyAlignment="1">
      <alignment horizontal="centerContinuous"/>
    </xf>
    <xf numFmtId="0" fontId="2" fillId="0" borderId="0" xfId="148" applyFont="1"/>
    <xf numFmtId="0" fontId="6" fillId="0" borderId="0" xfId="148" applyFont="1"/>
    <xf numFmtId="0" fontId="12" fillId="0" borderId="0" xfId="148" applyFont="1"/>
    <xf numFmtId="0" fontId="7" fillId="0" borderId="0" xfId="148" applyFont="1"/>
    <xf numFmtId="0" fontId="13" fillId="0" borderId="21" xfId="148" applyFont="1" applyBorder="1" applyAlignment="1">
      <alignment vertical="top"/>
    </xf>
    <xf numFmtId="0" fontId="13" fillId="0" borderId="22" xfId="148" applyFont="1" applyBorder="1" applyAlignment="1">
      <alignment vertical="top"/>
    </xf>
    <xf numFmtId="0" fontId="13" fillId="0" borderId="23" xfId="148" applyFont="1" applyBorder="1" applyAlignment="1">
      <alignment vertical="top"/>
    </xf>
    <xf numFmtId="0" fontId="2" fillId="0" borderId="0" xfId="148" applyFont="1" applyAlignment="1">
      <alignment horizontal="center"/>
    </xf>
    <xf numFmtId="0" fontId="14" fillId="0" borderId="21" xfId="148" applyFont="1" applyBorder="1" applyAlignment="1">
      <alignment vertical="top"/>
    </xf>
    <xf numFmtId="0" fontId="14" fillId="0" borderId="22" xfId="148" applyFont="1" applyBorder="1" applyAlignment="1">
      <alignment vertical="top"/>
    </xf>
    <xf numFmtId="0" fontId="14" fillId="0" borderId="23" xfId="148" applyFont="1" applyBorder="1" applyAlignment="1">
      <alignment vertical="top"/>
    </xf>
    <xf numFmtId="0" fontId="7" fillId="0" borderId="0" xfId="148" applyFont="1" applyAlignment="1">
      <alignment horizontal="right"/>
    </xf>
    <xf numFmtId="0" fontId="14" fillId="0" borderId="0" xfId="148" applyFont="1" applyAlignment="1" applyProtection="1">
      <alignment horizontal="left" vertical="top"/>
      <protection locked="0"/>
    </xf>
    <xf numFmtId="0" fontId="93" fillId="0" borderId="15" xfId="148" applyFont="1" applyBorder="1" applyAlignment="1">
      <alignment horizontal="center"/>
    </xf>
    <xf numFmtId="0" fontId="3" fillId="0" borderId="0" xfId="148" applyProtection="1">
      <protection locked="0"/>
    </xf>
    <xf numFmtId="0" fontId="28" fillId="0" borderId="0" xfId="148" quotePrefix="1" applyFont="1" applyAlignment="1">
      <alignment horizontal="center"/>
    </xf>
    <xf numFmtId="0" fontId="28" fillId="0" borderId="0" xfId="148" applyFont="1" applyAlignment="1">
      <alignment horizontal="center"/>
    </xf>
    <xf numFmtId="0" fontId="28" fillId="0" borderId="0" xfId="148" applyFont="1" applyAlignment="1">
      <alignment horizontal="left" vertical="top"/>
    </xf>
    <xf numFmtId="0" fontId="3" fillId="0" borderId="0" xfId="148" applyAlignment="1">
      <alignment vertical="center"/>
    </xf>
    <xf numFmtId="0" fontId="84" fillId="0" borderId="0" xfId="148" applyFont="1"/>
    <xf numFmtId="0" fontId="93" fillId="0" borderId="15" xfId="148" applyFont="1" applyBorder="1"/>
    <xf numFmtId="0" fontId="28" fillId="0" borderId="0" xfId="148" quotePrefix="1" applyFont="1" applyAlignment="1">
      <alignment horizontal="left" vertical="top" wrapText="1"/>
    </xf>
    <xf numFmtId="0" fontId="28" fillId="0" borderId="0" xfId="148" applyFont="1" applyAlignment="1">
      <alignment horizontal="left" vertical="top" wrapText="1"/>
    </xf>
    <xf numFmtId="0" fontId="15" fillId="0" borderId="0" xfId="148" applyFont="1" applyAlignment="1">
      <alignment horizontal="left" vertical="center"/>
    </xf>
    <xf numFmtId="3" fontId="17" fillId="0" borderId="11" xfId="148" applyNumberFormat="1" applyFont="1" applyBorder="1" applyAlignment="1">
      <alignment horizontal="right" vertical="center" indent="1"/>
    </xf>
    <xf numFmtId="3" fontId="17" fillId="0" borderId="10" xfId="148" applyNumberFormat="1" applyFont="1" applyBorder="1" applyAlignment="1" applyProtection="1">
      <alignment horizontal="right" vertical="center" indent="1"/>
      <protection locked="0"/>
    </xf>
    <xf numFmtId="3" fontId="93" fillId="0" borderId="0" xfId="148" applyNumberFormat="1" applyFont="1" applyAlignment="1">
      <alignment horizontal="center" vertical="center"/>
    </xf>
    <xf numFmtId="169" fontId="93" fillId="0" borderId="0" xfId="53" applyNumberFormat="1" applyFont="1" applyFill="1" applyBorder="1" applyAlignment="1" applyProtection="1">
      <alignment horizontal="center" vertical="center"/>
    </xf>
    <xf numFmtId="3" fontId="7" fillId="0" borderId="0" xfId="148" applyNumberFormat="1" applyFont="1" applyAlignment="1">
      <alignment horizontal="center"/>
    </xf>
    <xf numFmtId="3" fontId="17" fillId="0" borderId="62" xfId="148" applyNumberFormat="1" applyFont="1" applyBorder="1" applyAlignment="1" applyProtection="1">
      <alignment horizontal="right" vertical="center" indent="1"/>
      <protection locked="0"/>
    </xf>
    <xf numFmtId="0" fontId="95" fillId="0" borderId="0" xfId="148" applyFont="1"/>
    <xf numFmtId="0" fontId="102" fillId="0" borderId="0" xfId="148" applyFont="1" applyAlignment="1">
      <alignment horizontal="right"/>
    </xf>
    <xf numFmtId="0" fontId="93" fillId="0" borderId="0" xfId="148" applyFont="1" applyAlignment="1">
      <alignment horizontal="right"/>
    </xf>
    <xf numFmtId="0" fontId="17" fillId="0" borderId="0" xfId="148" applyFont="1" applyAlignment="1">
      <alignment horizontal="right" vertical="center" indent="3"/>
    </xf>
    <xf numFmtId="3" fontId="17" fillId="0" borderId="29" xfId="148" applyNumberFormat="1" applyFont="1" applyBorder="1" applyAlignment="1">
      <alignment horizontal="right" vertical="center" indent="1"/>
    </xf>
    <xf numFmtId="10" fontId="93" fillId="0" borderId="0" xfId="53" applyNumberFormat="1" applyFont="1" applyFill="1" applyBorder="1" applyAlignment="1" applyProtection="1">
      <alignment horizontal="center" vertical="center"/>
    </xf>
    <xf numFmtId="0" fontId="15" fillId="0" borderId="16" xfId="148" applyFont="1" applyBorder="1"/>
    <xf numFmtId="0" fontId="95" fillId="0" borderId="0" xfId="148" applyFont="1" applyAlignment="1">
      <alignment horizontal="center"/>
    </xf>
    <xf numFmtId="0" fontId="98" fillId="0" borderId="0" xfId="148" applyFont="1"/>
    <xf numFmtId="0" fontId="1" fillId="0" borderId="0" xfId="148" applyFont="1"/>
    <xf numFmtId="0" fontId="114" fillId="0" borderId="0" xfId="148" applyFont="1"/>
    <xf numFmtId="0" fontId="93" fillId="0" borderId="15" xfId="148" applyFont="1" applyBorder="1" applyProtection="1">
      <protection locked="0"/>
    </xf>
    <xf numFmtId="0" fontId="28" fillId="0" borderId="0" xfId="148" applyFont="1" applyAlignment="1">
      <alignment horizontal="left" vertical="center"/>
    </xf>
    <xf numFmtId="0" fontId="29" fillId="0" borderId="0" xfId="148" applyFont="1" applyAlignment="1">
      <alignment horizontal="left" vertical="center"/>
    </xf>
    <xf numFmtId="3" fontId="17" fillId="0" borderId="0" xfId="148" applyNumberFormat="1" applyFont="1" applyAlignment="1">
      <alignment horizontal="right" vertical="center" indent="1"/>
    </xf>
    <xf numFmtId="4" fontId="17" fillId="0" borderId="11" xfId="148" applyNumberFormat="1" applyFont="1" applyBorder="1" applyAlignment="1">
      <alignment horizontal="right" vertical="center" indent="1"/>
    </xf>
    <xf numFmtId="10" fontId="17" fillId="0" borderId="11" xfId="148" applyNumberFormat="1" applyFont="1" applyBorder="1" applyAlignment="1">
      <alignment horizontal="right" vertical="center" indent="1"/>
    </xf>
    <xf numFmtId="10" fontId="17" fillId="0" borderId="10" xfId="53" applyNumberFormat="1" applyFont="1" applyFill="1" applyBorder="1" applyAlignment="1" applyProtection="1">
      <alignment horizontal="right" vertical="center" indent="1"/>
      <protection locked="0"/>
    </xf>
    <xf numFmtId="0" fontId="20" fillId="0" borderId="0" xfId="148" applyFont="1" applyAlignment="1">
      <alignment horizontal="left" vertical="center"/>
    </xf>
    <xf numFmtId="0" fontId="17" fillId="0" borderId="13" xfId="148" applyFont="1" applyBorder="1" applyAlignment="1">
      <alignment horizontal="right" vertical="center" indent="1"/>
    </xf>
    <xf numFmtId="0" fontId="7" fillId="0" borderId="0" xfId="148" applyFont="1" applyAlignment="1">
      <alignment horizontal="left" vertical="center"/>
    </xf>
    <xf numFmtId="4" fontId="17" fillId="0" borderId="29" xfId="148" applyNumberFormat="1" applyFont="1" applyBorder="1" applyAlignment="1">
      <alignment horizontal="right" vertical="center" indent="1"/>
    </xf>
    <xf numFmtId="175" fontId="3" fillId="0" borderId="0" xfId="148" applyNumberFormat="1"/>
    <xf numFmtId="4" fontId="93" fillId="0" borderId="0" xfId="148" applyNumberFormat="1" applyFont="1" applyAlignment="1">
      <alignment horizontal="center" vertical="center"/>
    </xf>
    <xf numFmtId="0" fontId="93" fillId="0" borderId="57" xfId="148" applyFont="1" applyBorder="1"/>
    <xf numFmtId="0" fontId="28" fillId="0" borderId="59" xfId="148" applyFont="1" applyBorder="1" applyAlignment="1">
      <alignment horizontal="center"/>
    </xf>
    <xf numFmtId="0" fontId="34" fillId="0" borderId="59" xfId="148" quotePrefix="1" applyFont="1" applyBorder="1" applyAlignment="1">
      <alignment horizontal="right"/>
    </xf>
    <xf numFmtId="0" fontId="34" fillId="0" borderId="59" xfId="148" applyFont="1" applyBorder="1" applyAlignment="1">
      <alignment horizontal="right"/>
    </xf>
    <xf numFmtId="0" fontId="3" fillId="0" borderId="59" xfId="148" applyBorder="1"/>
    <xf numFmtId="0" fontId="3" fillId="0" borderId="58" xfId="148" applyBorder="1"/>
    <xf numFmtId="0" fontId="7" fillId="0" borderId="0" xfId="148" quotePrefix="1" applyFont="1" applyAlignment="1">
      <alignment horizontal="right"/>
    </xf>
    <xf numFmtId="4" fontId="17" fillId="0" borderId="31" xfId="148" applyNumberFormat="1" applyFont="1" applyBorder="1" applyAlignment="1">
      <alignment horizontal="right" vertical="center" indent="1"/>
    </xf>
    <xf numFmtId="2" fontId="15" fillId="0" borderId="0" xfId="148" applyNumberFormat="1" applyFont="1" applyAlignment="1">
      <alignment horizontal="right"/>
    </xf>
    <xf numFmtId="10" fontId="15" fillId="0" borderId="0" xfId="148" applyNumberFormat="1" applyFont="1" applyAlignment="1">
      <alignment horizontal="right"/>
    </xf>
    <xf numFmtId="10" fontId="93" fillId="0" borderId="0" xfId="53" applyNumberFormat="1" applyFont="1" applyFill="1" applyBorder="1" applyAlignment="1" applyProtection="1">
      <alignment vertical="center"/>
    </xf>
    <xf numFmtId="0" fontId="17" fillId="0" borderId="0" xfId="148" applyFont="1" applyAlignment="1">
      <alignment horizontal="right" vertical="center" indent="1"/>
    </xf>
    <xf numFmtId="0" fontId="21" fillId="0" borderId="0" xfId="148" applyFont="1" applyAlignment="1">
      <alignment horizontal="left" vertical="top"/>
    </xf>
    <xf numFmtId="2" fontId="18" fillId="0" borderId="11" xfId="148" applyNumberFormat="1" applyFont="1" applyBorder="1" applyAlignment="1">
      <alignment horizontal="center" vertical="center"/>
    </xf>
    <xf numFmtId="3" fontId="15" fillId="0" borderId="0" xfId="148" applyNumberFormat="1" applyFont="1"/>
    <xf numFmtId="164" fontId="93" fillId="0" borderId="0" xfId="148" applyNumberFormat="1" applyFont="1" applyAlignment="1">
      <alignment horizontal="center"/>
    </xf>
    <xf numFmtId="2" fontId="84" fillId="0" borderId="0" xfId="148" applyNumberFormat="1" applyFont="1"/>
    <xf numFmtId="0" fontId="7" fillId="0" borderId="0" xfId="148" applyFont="1" applyAlignment="1">
      <alignment horizontal="left" vertical="center" wrapText="1"/>
    </xf>
    <xf numFmtId="164" fontId="17" fillId="0" borderId="31" xfId="29" applyFont="1" applyFill="1" applyBorder="1" applyAlignment="1" applyProtection="1">
      <alignment horizontal="right" vertical="center" indent="1"/>
    </xf>
    <xf numFmtId="4" fontId="17" fillId="0" borderId="42" xfId="29" applyNumberFormat="1" applyFont="1" applyFill="1" applyBorder="1" applyAlignment="1" applyProtection="1">
      <alignment horizontal="right" vertical="center" indent="1"/>
    </xf>
    <xf numFmtId="172" fontId="93" fillId="0" borderId="0" xfId="148" applyNumberFormat="1" applyFont="1" applyAlignment="1">
      <alignment horizontal="center"/>
    </xf>
    <xf numFmtId="2" fontId="93" fillId="0" borderId="0" xfId="53" applyNumberFormat="1" applyFont="1" applyFill="1" applyBorder="1" applyAlignment="1" applyProtection="1">
      <alignment vertical="center"/>
    </xf>
    <xf numFmtId="0" fontId="28" fillId="0" borderId="0" xfId="148" applyFont="1" applyAlignment="1">
      <alignment horizontal="right"/>
    </xf>
    <xf numFmtId="10" fontId="93" fillId="0" borderId="0" xfId="53" applyNumberFormat="1" applyFont="1" applyFill="1" applyBorder="1" applyAlignment="1" applyProtection="1">
      <alignment horizontal="center"/>
    </xf>
    <xf numFmtId="0" fontId="113" fillId="0" borderId="59" xfId="148" quotePrefix="1" applyFont="1" applyBorder="1" applyAlignment="1">
      <alignment horizontal="center" vertical="center" wrapText="1"/>
    </xf>
    <xf numFmtId="0" fontId="7" fillId="0" borderId="59" xfId="148" applyFont="1" applyBorder="1" applyAlignment="1">
      <alignment horizontal="center"/>
    </xf>
    <xf numFmtId="0" fontId="7" fillId="0" borderId="0" xfId="0" applyFont="1" applyAlignment="1">
      <alignment horizontal="center"/>
    </xf>
    <xf numFmtId="0" fontId="93" fillId="0" borderId="12" xfId="148" applyFont="1" applyBorder="1"/>
    <xf numFmtId="0" fontId="113" fillId="0" borderId="13" xfId="148" quotePrefix="1" applyFont="1" applyBorder="1" applyAlignment="1">
      <alignment horizontal="center" vertical="center" wrapText="1"/>
    </xf>
    <xf numFmtId="0" fontId="7" fillId="0" borderId="13" xfId="148" applyFont="1" applyBorder="1" applyAlignment="1">
      <alignment horizontal="center"/>
    </xf>
    <xf numFmtId="0" fontId="113" fillId="0" borderId="0" xfId="148" quotePrefix="1" applyFont="1" applyAlignment="1">
      <alignment horizontal="center" vertical="center" wrapText="1"/>
    </xf>
    <xf numFmtId="2" fontId="17" fillId="0" borderId="29" xfId="148" applyNumberFormat="1" applyFont="1" applyBorder="1" applyAlignment="1">
      <alignment horizontal="right" vertical="center" indent="1"/>
    </xf>
    <xf numFmtId="0" fontId="7" fillId="0" borderId="17" xfId="148" applyFont="1" applyBorder="1" applyAlignment="1">
      <alignment horizontal="left" vertical="center" wrapText="1"/>
    </xf>
    <xf numFmtId="10" fontId="17" fillId="0" borderId="29" xfId="53" applyNumberFormat="1" applyFont="1" applyFill="1" applyBorder="1" applyAlignment="1" applyProtection="1">
      <alignment horizontal="right" vertical="center" indent="1"/>
    </xf>
    <xf numFmtId="0" fontId="17" fillId="0" borderId="59" xfId="148" applyFont="1" applyBorder="1" applyAlignment="1">
      <alignment horizontal="right" vertical="center" indent="1"/>
    </xf>
    <xf numFmtId="0" fontId="28" fillId="0" borderId="0" xfId="148" applyFont="1" applyAlignment="1">
      <alignment vertical="top"/>
    </xf>
    <xf numFmtId="0" fontId="7" fillId="0" borderId="0" xfId="148" applyFont="1" applyAlignment="1">
      <alignment horizontal="center" wrapText="1"/>
    </xf>
    <xf numFmtId="0" fontId="7" fillId="0" borderId="58" xfId="148" applyFont="1" applyBorder="1" applyAlignment="1">
      <alignment horizontal="center" vertical="center"/>
    </xf>
    <xf numFmtId="0" fontId="7" fillId="0" borderId="13" xfId="148" applyFont="1" applyBorder="1" applyAlignment="1">
      <alignment horizontal="left" vertical="center"/>
    </xf>
    <xf numFmtId="3" fontId="15" fillId="0" borderId="13" xfId="148" applyNumberFormat="1" applyFont="1" applyBorder="1" applyAlignment="1">
      <alignment horizontal="right" vertical="center" indent="3"/>
    </xf>
    <xf numFmtId="0" fontId="2" fillId="0" borderId="13" xfId="148" applyFont="1" applyBorder="1" applyAlignment="1">
      <alignment horizontal="center"/>
    </xf>
    <xf numFmtId="0" fontId="28" fillId="0" borderId="0" xfId="148" quotePrefix="1" applyFont="1" applyAlignment="1">
      <alignment horizontal="left"/>
    </xf>
    <xf numFmtId="3" fontId="29" fillId="0" borderId="0" xfId="148" applyNumberFormat="1" applyFont="1" applyAlignment="1">
      <alignment horizontal="right" vertical="center" indent="3"/>
    </xf>
    <xf numFmtId="0" fontId="28" fillId="0" borderId="0" xfId="148" applyFont="1" applyAlignment="1">
      <alignment horizontal="center" vertical="center"/>
    </xf>
    <xf numFmtId="0" fontId="28" fillId="0" borderId="0" xfId="148" quotePrefix="1" applyFont="1" applyAlignment="1">
      <alignment horizontal="center" vertical="center"/>
    </xf>
    <xf numFmtId="0" fontId="32" fillId="0" borderId="0" xfId="148" applyFont="1" applyAlignment="1">
      <alignment horizontal="left" vertical="center"/>
    </xf>
    <xf numFmtId="0" fontId="12" fillId="0" borderId="10" xfId="148" applyFont="1" applyBorder="1" applyAlignment="1">
      <alignment horizontal="left" vertical="center"/>
    </xf>
    <xf numFmtId="0" fontId="2" fillId="0" borderId="0" xfId="148" applyFont="1" applyAlignment="1">
      <alignment horizontal="right" vertical="center" indent="1"/>
    </xf>
    <xf numFmtId="0" fontId="2" fillId="0" borderId="15" xfId="148" applyFont="1" applyBorder="1" applyAlignment="1">
      <alignment horizontal="right" vertical="center" indent="1"/>
    </xf>
    <xf numFmtId="4" fontId="17" fillId="0" borderId="40" xfId="148" applyNumberFormat="1" applyFont="1" applyBorder="1" applyAlignment="1">
      <alignment horizontal="right" vertical="center" indent="1"/>
    </xf>
    <xf numFmtId="0" fontId="3" fillId="0" borderId="0" xfId="148" applyAlignment="1">
      <alignment horizontal="left" vertical="center"/>
    </xf>
    <xf numFmtId="0" fontId="40" fillId="0" borderId="0" xfId="37" quotePrefix="1" applyNumberFormat="1" applyFont="1" applyFill="1" applyBorder="1" applyAlignment="1" applyProtection="1">
      <alignment horizontal="center"/>
    </xf>
    <xf numFmtId="3" fontId="17" fillId="0" borderId="65" xfId="148" applyNumberFormat="1" applyFont="1" applyBorder="1" applyAlignment="1" applyProtection="1">
      <alignment horizontal="right" vertical="center" indent="1"/>
      <protection locked="0"/>
    </xf>
    <xf numFmtId="4" fontId="17" fillId="0" borderId="66" xfId="148" applyNumberFormat="1" applyFont="1" applyBorder="1" applyAlignment="1">
      <alignment horizontal="right" vertical="center" indent="1"/>
    </xf>
    <xf numFmtId="0" fontId="2" fillId="0" borderId="0" xfId="148" applyFont="1" applyAlignment="1">
      <alignment horizontal="left" vertical="center"/>
    </xf>
    <xf numFmtId="0" fontId="2" fillId="0" borderId="13" xfId="148" applyFont="1" applyBorder="1" applyAlignment="1">
      <alignment horizontal="left" vertical="center"/>
    </xf>
    <xf numFmtId="3" fontId="2" fillId="0" borderId="0" xfId="148" applyNumberFormat="1" applyFont="1" applyAlignment="1">
      <alignment horizontal="left" vertical="center"/>
    </xf>
    <xf numFmtId="0" fontId="2" fillId="0" borderId="16" xfId="148" applyFont="1" applyBorder="1" applyAlignment="1">
      <alignment horizontal="center"/>
    </xf>
    <xf numFmtId="0" fontId="2" fillId="0" borderId="59" xfId="148" applyFont="1" applyBorder="1" applyAlignment="1">
      <alignment horizontal="left" vertical="center"/>
    </xf>
    <xf numFmtId="0" fontId="3" fillId="0" borderId="59" xfId="148" applyBorder="1" applyAlignment="1">
      <alignment horizontal="left" vertical="center"/>
    </xf>
    <xf numFmtId="0" fontId="2" fillId="0" borderId="59" xfId="148" applyFont="1" applyBorder="1" applyAlignment="1">
      <alignment horizontal="center"/>
    </xf>
    <xf numFmtId="0" fontId="3" fillId="0" borderId="13" xfId="148" applyBorder="1" applyAlignment="1">
      <alignment horizontal="left" vertical="center"/>
    </xf>
    <xf numFmtId="0" fontId="28" fillId="0" borderId="0" xfId="148" applyFont="1" applyAlignment="1">
      <alignment vertical="center"/>
    </xf>
    <xf numFmtId="0" fontId="10" fillId="0" borderId="0" xfId="148" applyFont="1" applyAlignment="1">
      <alignment vertical="center"/>
    </xf>
    <xf numFmtId="4" fontId="17" fillId="0" borderId="10" xfId="29" applyNumberFormat="1" applyFont="1" applyFill="1" applyBorder="1" applyAlignment="1" applyProtection="1">
      <alignment horizontal="right" vertical="center" indent="1"/>
      <protection locked="0"/>
    </xf>
    <xf numFmtId="0" fontId="112" fillId="0" borderId="0" xfId="148" applyFont="1" applyAlignment="1">
      <alignment horizontal="center" vertical="center" wrapText="1"/>
    </xf>
    <xf numFmtId="0" fontId="15" fillId="0" borderId="0" xfId="148" applyFont="1" applyAlignment="1">
      <alignment horizontal="right" vertical="center" indent="3"/>
    </xf>
    <xf numFmtId="3" fontId="17" fillId="0" borderId="0" xfId="148" applyNumberFormat="1" applyFont="1" applyAlignment="1" applyProtection="1">
      <alignment horizontal="right" vertical="center" indent="1"/>
      <protection locked="0"/>
    </xf>
    <xf numFmtId="166" fontId="17" fillId="0" borderId="0" xfId="148" applyNumberFormat="1" applyFont="1" applyAlignment="1" applyProtection="1">
      <alignment horizontal="right" vertical="center" indent="1"/>
      <protection locked="0"/>
    </xf>
    <xf numFmtId="0" fontId="112" fillId="0" borderId="0" xfId="148" applyFont="1" applyAlignment="1">
      <alignment vertical="center" wrapText="1"/>
    </xf>
    <xf numFmtId="0" fontId="10" fillId="0" borderId="0" xfId="148" applyFont="1" applyAlignment="1">
      <alignment horizontal="left" vertical="center"/>
    </xf>
    <xf numFmtId="0" fontId="15" fillId="0" borderId="57" xfId="148" applyFont="1" applyBorder="1"/>
    <xf numFmtId="0" fontId="15" fillId="0" borderId="59" xfId="148" applyFont="1" applyBorder="1" applyAlignment="1">
      <alignment horizontal="left" vertical="center"/>
    </xf>
    <xf numFmtId="0" fontId="7" fillId="0" borderId="59" xfId="148" applyFont="1" applyBorder="1" applyAlignment="1">
      <alignment horizontal="left" vertical="center"/>
    </xf>
    <xf numFmtId="0" fontId="15" fillId="0" borderId="59" xfId="148" applyFont="1" applyBorder="1"/>
    <xf numFmtId="0" fontId="7" fillId="0" borderId="59" xfId="148" applyFont="1" applyBorder="1" applyAlignment="1">
      <alignment vertical="center"/>
    </xf>
    <xf numFmtId="0" fontId="7" fillId="0" borderId="59" xfId="148" applyFont="1" applyBorder="1" applyAlignment="1">
      <alignment horizontal="right" vertical="center"/>
    </xf>
    <xf numFmtId="0" fontId="7" fillId="0" borderId="58" xfId="148" applyFont="1" applyBorder="1" applyAlignment="1">
      <alignment horizontal="right" vertical="center"/>
    </xf>
    <xf numFmtId="0" fontId="157" fillId="0" borderId="0" xfId="148" applyFont="1" applyAlignment="1">
      <alignment horizontal="left" vertical="center"/>
    </xf>
    <xf numFmtId="0" fontId="76" fillId="0" borderId="13" xfId="0" applyFont="1" applyBorder="1" applyAlignment="1" applyProtection="1">
      <alignment vertical="center"/>
      <protection locked="0"/>
    </xf>
    <xf numFmtId="0" fontId="76" fillId="0" borderId="18" xfId="0" applyFont="1" applyBorder="1" applyAlignment="1" applyProtection="1">
      <alignment vertical="center"/>
      <protection locked="0"/>
    </xf>
    <xf numFmtId="0" fontId="76" fillId="0" borderId="0" xfId="0" applyFont="1" applyAlignment="1" applyProtection="1">
      <alignment vertical="center"/>
      <protection locked="0"/>
    </xf>
    <xf numFmtId="0" fontId="76" fillId="0" borderId="16" xfId="0" applyFont="1" applyBorder="1" applyAlignment="1" applyProtection="1">
      <alignment vertical="center"/>
      <protection locked="0"/>
    </xf>
    <xf numFmtId="0" fontId="0" fillId="0" borderId="16" xfId="0" applyBorder="1"/>
    <xf numFmtId="0" fontId="7" fillId="0" borderId="16" xfId="0" applyFont="1" applyBorder="1" applyAlignment="1">
      <alignment horizontal="center"/>
    </xf>
    <xf numFmtId="0" fontId="12" fillId="0" borderId="59" xfId="0" applyFont="1" applyBorder="1"/>
    <xf numFmtId="0" fontId="10" fillId="0" borderId="59" xfId="0" applyFont="1" applyBorder="1" applyAlignment="1">
      <alignment horizontal="centerContinuous"/>
    </xf>
    <xf numFmtId="0" fontId="82" fillId="0" borderId="59" xfId="0" applyFont="1" applyBorder="1" applyAlignment="1">
      <alignment horizontal="center"/>
    </xf>
    <xf numFmtId="173" fontId="13" fillId="0" borderId="58" xfId="0" applyNumberFormat="1" applyFont="1" applyBorder="1" applyAlignment="1">
      <alignment horizontal="left"/>
    </xf>
    <xf numFmtId="0" fontId="158" fillId="0" borderId="16" xfId="0" applyFont="1" applyBorder="1" applyAlignment="1" applyProtection="1">
      <alignment vertical="center"/>
      <protection locked="0"/>
    </xf>
    <xf numFmtId="0" fontId="159" fillId="0" borderId="59" xfId="0" applyFont="1" applyBorder="1" applyAlignment="1">
      <alignment horizontal="right"/>
    </xf>
    <xf numFmtId="0" fontId="2" fillId="0" borderId="0" xfId="0" applyFont="1" applyAlignment="1">
      <alignment horizontal="left" vertical="center"/>
    </xf>
    <xf numFmtId="0" fontId="62" fillId="0" borderId="0" xfId="0" applyFont="1" applyAlignment="1">
      <alignment horizontal="right" vertical="center"/>
    </xf>
    <xf numFmtId="0" fontId="2" fillId="0" borderId="0" xfId="0" applyFont="1" applyAlignment="1">
      <alignment horizontal="center"/>
    </xf>
    <xf numFmtId="0" fontId="0" fillId="0" borderId="0" xfId="0" applyAlignment="1">
      <alignment vertical="center"/>
    </xf>
    <xf numFmtId="0" fontId="10" fillId="0" borderId="0" xfId="0" applyFont="1" applyAlignment="1">
      <alignment vertical="center"/>
    </xf>
    <xf numFmtId="0" fontId="139" fillId="0" borderId="0" xfId="0" applyFont="1" applyAlignment="1">
      <alignment horizontal="right" vertical="center"/>
    </xf>
    <xf numFmtId="0" fontId="28" fillId="0" borderId="0" xfId="0" applyFont="1" applyAlignment="1">
      <alignment horizontal="center" vertical="center"/>
    </xf>
    <xf numFmtId="0" fontId="105" fillId="0" borderId="0" xfId="0" applyFont="1"/>
    <xf numFmtId="0" fontId="10" fillId="0" borderId="0" xfId="0" applyFont="1" applyAlignment="1">
      <alignment horizontal="left" vertical="top" wrapText="1"/>
    </xf>
    <xf numFmtId="0" fontId="28" fillId="0" borderId="0" xfId="0" applyFont="1" applyAlignment="1">
      <alignment horizontal="left" vertical="top" wrapText="1"/>
    </xf>
    <xf numFmtId="3" fontId="12" fillId="0" borderId="11" xfId="0" applyNumberFormat="1" applyFont="1" applyBorder="1" applyAlignment="1">
      <alignment horizontal="right" vertical="center" indent="1"/>
    </xf>
    <xf numFmtId="0" fontId="17" fillId="0" borderId="0" xfId="0" applyFont="1" applyAlignment="1">
      <alignment horizontal="right" vertical="center" indent="3"/>
    </xf>
    <xf numFmtId="4" fontId="12" fillId="0" borderId="11" xfId="0" applyNumberFormat="1" applyFont="1" applyBorder="1" applyAlignment="1">
      <alignment horizontal="right" vertical="center" indent="1"/>
    </xf>
    <xf numFmtId="0" fontId="110" fillId="0" borderId="0" xfId="0" applyFont="1" applyAlignment="1">
      <alignment horizontal="right" vertical="top" wrapText="1"/>
    </xf>
    <xf numFmtId="0" fontId="105" fillId="0" borderId="0" xfId="0" applyFont="1" applyAlignment="1">
      <alignment horizontal="left"/>
    </xf>
    <xf numFmtId="3" fontId="10" fillId="0" borderId="29" xfId="0" applyNumberFormat="1" applyFont="1" applyBorder="1" applyAlignment="1">
      <alignment horizontal="right" vertical="center" indent="1"/>
    </xf>
    <xf numFmtId="0" fontId="10" fillId="0" borderId="0" xfId="0" applyFont="1" applyAlignment="1">
      <alignment horizontal="right" vertical="center" indent="3"/>
    </xf>
    <xf numFmtId="4" fontId="10" fillId="0" borderId="29" xfId="0" applyNumberFormat="1" applyFont="1" applyBorder="1" applyAlignment="1">
      <alignment horizontal="right" vertical="center" indent="1"/>
    </xf>
    <xf numFmtId="0" fontId="109" fillId="0" borderId="0" xfId="37" quotePrefix="1" applyFont="1" applyFill="1" applyBorder="1" applyAlignment="1" applyProtection="1">
      <alignment horizontal="left" vertical="top" wrapText="1"/>
    </xf>
    <xf numFmtId="0" fontId="88" fillId="0" borderId="16" xfId="37" quotePrefix="1" applyFont="1" applyFill="1" applyBorder="1" applyAlignment="1" applyProtection="1">
      <alignment vertical="top" wrapText="1"/>
    </xf>
    <xf numFmtId="0" fontId="29" fillId="0" borderId="0" xfId="0" applyFont="1" applyAlignment="1">
      <alignment horizontal="left" vertical="top" wrapText="1"/>
    </xf>
    <xf numFmtId="0" fontId="142" fillId="0" borderId="0" xfId="0" applyFont="1" applyAlignment="1">
      <alignment horizontal="center"/>
    </xf>
    <xf numFmtId="0" fontId="19" fillId="0" borderId="0" xfId="0" applyFont="1" applyAlignment="1">
      <alignment vertical="center"/>
    </xf>
    <xf numFmtId="0" fontId="19" fillId="0" borderId="0" xfId="0" applyFont="1" applyAlignment="1">
      <alignment horizontal="center" vertical="center"/>
    </xf>
    <xf numFmtId="0" fontId="108" fillId="0" borderId="0" xfId="0" applyFont="1" applyAlignment="1">
      <alignment horizontal="left" vertical="top" wrapText="1"/>
    </xf>
    <xf numFmtId="0" fontId="87" fillId="0" borderId="16" xfId="37" applyFont="1" applyFill="1" applyBorder="1" applyAlignment="1" applyProtection="1">
      <alignment vertical="top" wrapText="1"/>
    </xf>
    <xf numFmtId="0" fontId="85" fillId="0" borderId="16" xfId="0" applyFont="1" applyBorder="1" applyAlignment="1">
      <alignment vertical="top" wrapText="1"/>
    </xf>
    <xf numFmtId="0" fontId="12" fillId="0" borderId="0" xfId="0" applyFont="1" applyAlignment="1">
      <alignment horizontal="left" vertical="center"/>
    </xf>
    <xf numFmtId="0" fontId="3" fillId="0" borderId="0" xfId="0" applyFont="1" applyAlignment="1">
      <alignment horizontal="left" vertical="center"/>
    </xf>
    <xf numFmtId="0" fontId="11" fillId="0" borderId="0" xfId="42" quotePrefix="1" applyNumberFormat="1" applyFont="1" applyFill="1" applyBorder="1" applyAlignment="1" applyProtection="1">
      <alignment horizontal="center" wrapText="1"/>
    </xf>
    <xf numFmtId="0" fontId="10" fillId="0" borderId="0" xfId="0" applyFont="1" applyAlignment="1">
      <alignment horizontal="left" vertical="center"/>
    </xf>
    <xf numFmtId="0" fontId="34" fillId="0" borderId="16" xfId="0" applyFont="1" applyBorder="1" applyAlignment="1">
      <alignment vertical="top" wrapText="1"/>
    </xf>
    <xf numFmtId="0" fontId="85" fillId="0" borderId="0" xfId="0" applyFont="1" applyAlignment="1">
      <alignment horizontal="right" vertical="top" wrapText="1"/>
    </xf>
    <xf numFmtId="0" fontId="110" fillId="0" borderId="0" xfId="0" applyFont="1" applyAlignment="1">
      <alignment vertical="top" wrapText="1"/>
    </xf>
    <xf numFmtId="0" fontId="10" fillId="0" borderId="0" xfId="0" applyFont="1"/>
    <xf numFmtId="0" fontId="111" fillId="0" borderId="0" xfId="0" applyFont="1" applyAlignment="1">
      <alignment vertical="center"/>
    </xf>
    <xf numFmtId="0" fontId="109" fillId="0" borderId="0" xfId="37" quotePrefix="1" applyFont="1" applyFill="1" applyBorder="1" applyAlignment="1" applyProtection="1">
      <alignment vertical="top" wrapText="1"/>
    </xf>
    <xf numFmtId="0" fontId="86" fillId="0" borderId="16" xfId="0" applyFont="1" applyBorder="1" applyAlignment="1">
      <alignment vertical="top" wrapText="1"/>
    </xf>
    <xf numFmtId="0" fontId="33" fillId="0" borderId="0" xfId="0" applyFont="1"/>
    <xf numFmtId="0" fontId="0" fillId="0" borderId="0" xfId="0" applyAlignment="1">
      <alignment vertical="top"/>
    </xf>
    <xf numFmtId="0" fontId="3" fillId="0" borderId="0" xfId="0" applyFont="1" applyAlignment="1">
      <alignment vertical="top"/>
    </xf>
    <xf numFmtId="0" fontId="82" fillId="0" borderId="0" xfId="0" applyFont="1" applyAlignment="1">
      <alignment horizontal="center" vertical="center"/>
    </xf>
    <xf numFmtId="0" fontId="0" fillId="0" borderId="0" xfId="0" applyAlignment="1">
      <alignment horizontal="left" vertical="center"/>
    </xf>
    <xf numFmtId="0" fontId="89" fillId="0" borderId="0" xfId="0" applyFont="1" applyAlignment="1">
      <alignment horizontal="center" vertical="center" wrapText="1"/>
    </xf>
    <xf numFmtId="0" fontId="28" fillId="0" borderId="0" xfId="0" applyFont="1" applyAlignment="1">
      <alignment horizontal="center" vertical="center" wrapText="1"/>
    </xf>
    <xf numFmtId="0" fontId="2" fillId="0" borderId="0" xfId="0" applyFont="1" applyAlignment="1">
      <alignment horizontal="center" vertical="center"/>
    </xf>
    <xf numFmtId="0" fontId="14" fillId="0" borderId="0" xfId="0" applyFont="1"/>
    <xf numFmtId="0" fontId="149" fillId="0" borderId="0" xfId="0" applyFont="1" applyAlignment="1">
      <alignment horizontal="center" vertical="center" wrapText="1"/>
    </xf>
    <xf numFmtId="0" fontId="122" fillId="0" borderId="0" xfId="0" applyFont="1" applyAlignment="1">
      <alignment horizontal="center" vertical="center" wrapText="1"/>
    </xf>
    <xf numFmtId="0" fontId="10" fillId="0" borderId="11" xfId="0" applyFont="1" applyBorder="1" applyAlignment="1">
      <alignment vertical="center"/>
    </xf>
    <xf numFmtId="0" fontId="10" fillId="0" borderId="11" xfId="0" applyFont="1" applyBorder="1" applyAlignment="1">
      <alignment horizontal="center" vertical="center"/>
    </xf>
    <xf numFmtId="0" fontId="141" fillId="0" borderId="0" xfId="0" applyFont="1" applyAlignment="1">
      <alignment horizontal="left" vertical="center"/>
    </xf>
    <xf numFmtId="3" fontId="12" fillId="0" borderId="11" xfId="0" applyNumberFormat="1" applyFont="1" applyBorder="1" applyAlignment="1" applyProtection="1">
      <alignment horizontal="right" vertical="center" indent="1"/>
      <protection locked="0"/>
    </xf>
    <xf numFmtId="0" fontId="140" fillId="0" borderId="0" xfId="0" applyFont="1" applyAlignment="1">
      <alignment horizontal="right" vertical="center" indent="1"/>
    </xf>
    <xf numFmtId="4" fontId="12" fillId="0" borderId="11" xfId="0" applyNumberFormat="1" applyFont="1" applyBorder="1" applyAlignment="1" applyProtection="1">
      <alignment horizontal="right" vertical="center" indent="1"/>
      <protection locked="0"/>
    </xf>
    <xf numFmtId="0" fontId="116" fillId="0" borderId="0" xfId="0" applyFont="1" applyAlignment="1">
      <alignment horizontal="right" vertical="center" indent="1"/>
    </xf>
    <xf numFmtId="0" fontId="12" fillId="0" borderId="0" xfId="0" applyFont="1" applyAlignment="1">
      <alignment horizontal="right" vertical="center" indent="1"/>
    </xf>
    <xf numFmtId="3" fontId="10" fillId="0" borderId="10" xfId="0" applyNumberFormat="1" applyFont="1" applyBorder="1" applyAlignment="1" applyProtection="1">
      <alignment horizontal="right" vertical="center" indent="1"/>
      <protection locked="0"/>
    </xf>
    <xf numFmtId="0" fontId="10" fillId="0" borderId="0" xfId="0" applyFont="1" applyAlignment="1">
      <alignment horizontal="right" vertical="center" indent="1"/>
    </xf>
    <xf numFmtId="4" fontId="10" fillId="0" borderId="32" xfId="0" applyNumberFormat="1" applyFont="1" applyBorder="1" applyAlignment="1" applyProtection="1">
      <alignment horizontal="right" vertical="center" indent="1"/>
      <protection locked="0"/>
    </xf>
    <xf numFmtId="2" fontId="10" fillId="0" borderId="29" xfId="0" applyNumberFormat="1" applyFont="1" applyBorder="1" applyAlignment="1">
      <alignment horizontal="right" vertical="center" indent="1"/>
    </xf>
    <xf numFmtId="0" fontId="38" fillId="0" borderId="0" xfId="0" applyFont="1" applyAlignment="1">
      <alignment horizontal="right" vertical="center" indent="1"/>
    </xf>
    <xf numFmtId="0" fontId="144" fillId="0" borderId="59" xfId="0" applyFont="1" applyBorder="1" applyAlignment="1">
      <alignment horizontal="left" vertical="center"/>
    </xf>
    <xf numFmtId="0" fontId="2" fillId="0" borderId="59" xfId="0" applyFont="1" applyBorder="1" applyAlignment="1">
      <alignment horizontal="left" vertical="center"/>
    </xf>
    <xf numFmtId="0" fontId="144" fillId="0" borderId="60" xfId="0" applyFont="1" applyBorder="1" applyAlignment="1">
      <alignment horizontal="left" vertical="center"/>
    </xf>
    <xf numFmtId="0" fontId="78" fillId="0" borderId="59" xfId="0" applyFont="1" applyBorder="1" applyAlignment="1">
      <alignment horizontal="left" vertical="center"/>
    </xf>
    <xf numFmtId="166" fontId="139" fillId="0" borderId="59" xfId="0" applyNumberFormat="1" applyFont="1" applyBorder="1" applyAlignment="1">
      <alignment horizontal="right" vertical="center"/>
    </xf>
    <xf numFmtId="0" fontId="138" fillId="0" borderId="59" xfId="0" applyFont="1" applyBorder="1" applyAlignment="1">
      <alignment horizontal="center"/>
    </xf>
    <xf numFmtId="0" fontId="139" fillId="0" borderId="59" xfId="0" applyFont="1" applyBorder="1"/>
    <xf numFmtId="0" fontId="138" fillId="0" borderId="59" xfId="0" applyFont="1" applyBorder="1" applyAlignment="1">
      <alignment horizontal="left" vertical="center"/>
    </xf>
    <xf numFmtId="0" fontId="79" fillId="0" borderId="59" xfId="0" applyFont="1" applyBorder="1"/>
    <xf numFmtId="0" fontId="114" fillId="0" borderId="58" xfId="0" applyFont="1" applyBorder="1" applyAlignment="1">
      <alignment horizontal="left" vertical="center" wrapText="1"/>
    </xf>
    <xf numFmtId="0" fontId="160" fillId="0" borderId="0" xfId="0" applyFont="1" applyAlignment="1">
      <alignment horizontal="left" vertical="center" wrapText="1"/>
    </xf>
    <xf numFmtId="0" fontId="93" fillId="0" borderId="0" xfId="0" applyFont="1" applyAlignment="1">
      <alignment horizontal="center" vertical="center" wrapText="1"/>
    </xf>
    <xf numFmtId="0" fontId="93" fillId="0" borderId="0" xfId="0" quotePrefix="1" applyFont="1"/>
    <xf numFmtId="0" fontId="14" fillId="0" borderId="12" xfId="0" applyFont="1" applyBorder="1"/>
    <xf numFmtId="0" fontId="14" fillId="0" borderId="13" xfId="0" applyFont="1" applyBorder="1"/>
    <xf numFmtId="0" fontId="14" fillId="0" borderId="13" xfId="0" applyFont="1" applyBorder="1" applyAlignment="1">
      <alignment wrapText="1"/>
    </xf>
    <xf numFmtId="0" fontId="14" fillId="0" borderId="18" xfId="0" applyFont="1" applyBorder="1"/>
    <xf numFmtId="0" fontId="14" fillId="0" borderId="16" xfId="0" applyFont="1" applyBorder="1" applyAlignment="1">
      <alignment horizontal="center"/>
    </xf>
    <xf numFmtId="0" fontId="14" fillId="0" borderId="15" xfId="0" applyFont="1" applyBorder="1" applyAlignment="1">
      <alignment horizontal="center"/>
    </xf>
    <xf numFmtId="0" fontId="13" fillId="0" borderId="0" xfId="0" applyFont="1" applyAlignment="1">
      <alignment horizontal="center" vertical="center"/>
    </xf>
    <xf numFmtId="0" fontId="13" fillId="0" borderId="0" xfId="0" applyFont="1" applyAlignment="1">
      <alignment horizontal="center" vertical="center" wrapText="1"/>
    </xf>
    <xf numFmtId="0" fontId="14" fillId="0" borderId="15" xfId="0" applyFont="1" applyBorder="1"/>
    <xf numFmtId="0" fontId="13" fillId="0" borderId="0" xfId="0" applyFont="1" applyAlignment="1">
      <alignment horizontal="center"/>
    </xf>
    <xf numFmtId="0" fontId="7" fillId="0" borderId="0" xfId="0" applyFont="1"/>
    <xf numFmtId="0" fontId="14" fillId="0" borderId="0" xfId="0" applyFont="1" applyAlignment="1">
      <alignment horizontal="left" wrapText="1"/>
    </xf>
    <xf numFmtId="0" fontId="14" fillId="0" borderId="0" xfId="0" applyFont="1" applyAlignment="1">
      <alignment horizontal="left"/>
    </xf>
    <xf numFmtId="0" fontId="14" fillId="0" borderId="0" xfId="0" applyFont="1" applyAlignment="1">
      <alignment horizontal="center"/>
    </xf>
    <xf numFmtId="0" fontId="14" fillId="0" borderId="57" xfId="0" applyFont="1" applyBorder="1"/>
    <xf numFmtId="0" fontId="14" fillId="0" borderId="59" xfId="0" applyFont="1" applyBorder="1"/>
    <xf numFmtId="0" fontId="7" fillId="0" borderId="59" xfId="0" applyFont="1" applyBorder="1" applyAlignment="1">
      <alignment wrapText="1"/>
    </xf>
    <xf numFmtId="0" fontId="13" fillId="0" borderId="59" xfId="0" applyFont="1" applyBorder="1"/>
    <xf numFmtId="0" fontId="14" fillId="0" borderId="59" xfId="0" applyFont="1" applyBorder="1" applyAlignment="1">
      <alignment horizontal="center"/>
    </xf>
    <xf numFmtId="0" fontId="14" fillId="0" borderId="58" xfId="0" applyFont="1" applyBorder="1" applyAlignment="1">
      <alignment horizontal="center"/>
    </xf>
    <xf numFmtId="0" fontId="99" fillId="0" borderId="16" xfId="50" applyFont="1" applyBorder="1" applyAlignment="1">
      <alignment horizontal="center" vertical="center"/>
    </xf>
    <xf numFmtId="0" fontId="15" fillId="0" borderId="16" xfId="50" applyFont="1" applyBorder="1" applyAlignment="1">
      <alignment vertical="center"/>
    </xf>
    <xf numFmtId="0" fontId="15" fillId="0" borderId="16" xfId="50" applyFont="1" applyBorder="1" applyAlignment="1">
      <alignment vertical="top"/>
    </xf>
    <xf numFmtId="0" fontId="14" fillId="0" borderId="13" xfId="0" applyFont="1" applyBorder="1" applyAlignment="1">
      <alignment horizontal="right"/>
    </xf>
    <xf numFmtId="0" fontId="7" fillId="0" borderId="0" xfId="0" applyFont="1" applyAlignment="1">
      <alignment horizontal="center" vertical="center"/>
    </xf>
    <xf numFmtId="0" fontId="13" fillId="0" borderId="16" xfId="0" applyFont="1" applyBorder="1" applyAlignment="1">
      <alignment vertical="center"/>
    </xf>
    <xf numFmtId="0" fontId="65" fillId="0" borderId="0" xfId="0" applyFont="1" applyAlignment="1">
      <alignment horizontal="center"/>
    </xf>
    <xf numFmtId="0" fontId="13" fillId="0" borderId="0" xfId="0" applyFont="1" applyAlignment="1">
      <alignment vertical="center"/>
    </xf>
    <xf numFmtId="167" fontId="15" fillId="0" borderId="0" xfId="0" applyNumberFormat="1" applyFont="1"/>
    <xf numFmtId="0" fontId="13" fillId="0" borderId="16" xfId="0" applyFont="1" applyBorder="1"/>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83" fillId="0" borderId="0" xfId="0" applyFont="1" applyAlignment="1">
      <alignment horizontal="center" vertical="center"/>
    </xf>
    <xf numFmtId="0" fontId="0" fillId="0" borderId="0" xfId="0" applyAlignment="1">
      <alignment horizontal="center" vertical="center"/>
    </xf>
    <xf numFmtId="3" fontId="0" fillId="0" borderId="0" xfId="0" applyNumberFormat="1" applyAlignment="1">
      <alignment vertical="center"/>
    </xf>
    <xf numFmtId="0" fontId="15" fillId="0" borderId="15" xfId="0" applyFont="1" applyBorder="1"/>
    <xf numFmtId="3" fontId="0" fillId="0" borderId="14" xfId="0" applyNumberFormat="1" applyBorder="1"/>
    <xf numFmtId="0" fontId="84" fillId="0" borderId="14" xfId="0" applyFont="1" applyBorder="1"/>
    <xf numFmtId="3" fontId="84" fillId="0" borderId="14" xfId="0" applyNumberFormat="1" applyFont="1" applyBorder="1"/>
    <xf numFmtId="0" fontId="84" fillId="0" borderId="0" xfId="0" applyFont="1"/>
    <xf numFmtId="3" fontId="84" fillId="0" borderId="0" xfId="0" applyNumberFormat="1" applyFont="1"/>
    <xf numFmtId="3" fontId="3" fillId="0" borderId="0" xfId="0" applyNumberFormat="1" applyFont="1"/>
    <xf numFmtId="3" fontId="0" fillId="0" borderId="35" xfId="0" applyNumberFormat="1" applyBorder="1"/>
    <xf numFmtId="1" fontId="0" fillId="0" borderId="0" xfId="0" applyNumberFormat="1"/>
    <xf numFmtId="166" fontId="15" fillId="0" borderId="0" xfId="0" applyNumberFormat="1" applyFont="1" applyAlignment="1">
      <alignment horizontal="left"/>
    </xf>
    <xf numFmtId="0" fontId="3" fillId="20" borderId="68" xfId="0" applyFont="1" applyFill="1" applyBorder="1" applyAlignment="1">
      <alignment horizontal="center"/>
    </xf>
    <xf numFmtId="0" fontId="3" fillId="20" borderId="69" xfId="0" applyFont="1" applyFill="1" applyBorder="1" applyAlignment="1">
      <alignment horizontal="center"/>
    </xf>
    <xf numFmtId="0" fontId="0" fillId="62" borderId="0" xfId="0" applyFill="1"/>
    <xf numFmtId="10" fontId="3" fillId="62" borderId="14" xfId="0" applyNumberFormat="1" applyFont="1" applyFill="1" applyBorder="1"/>
    <xf numFmtId="10" fontId="3" fillId="62" borderId="0" xfId="0" applyNumberFormat="1" applyFont="1" applyFill="1"/>
    <xf numFmtId="0" fontId="2" fillId="62" borderId="0" xfId="0" applyFont="1" applyFill="1"/>
    <xf numFmtId="10" fontId="2" fillId="62" borderId="0" xfId="0" applyNumberFormat="1" applyFont="1" applyFill="1"/>
    <xf numFmtId="10" fontId="2" fillId="63" borderId="0" xfId="0" applyNumberFormat="1" applyFont="1" applyFill="1"/>
    <xf numFmtId="10" fontId="3" fillId="63" borderId="0" xfId="0" applyNumberFormat="1" applyFont="1" applyFill="1"/>
    <xf numFmtId="1" fontId="2" fillId="0" borderId="0" xfId="0" applyNumberFormat="1" applyFont="1"/>
    <xf numFmtId="9" fontId="0" fillId="27" borderId="14" xfId="53" applyFont="1" applyFill="1" applyBorder="1" applyAlignment="1">
      <alignment horizontal="right"/>
    </xf>
    <xf numFmtId="0" fontId="0" fillId="27" borderId="14" xfId="0" applyFill="1" applyBorder="1" applyAlignment="1">
      <alignment horizontal="right"/>
    </xf>
    <xf numFmtId="2" fontId="0" fillId="27" borderId="14" xfId="0" applyNumberFormat="1" applyFill="1" applyBorder="1" applyAlignment="1">
      <alignment horizontal="right"/>
    </xf>
    <xf numFmtId="2" fontId="84" fillId="27" borderId="14" xfId="0" applyNumberFormat="1" applyFont="1" applyFill="1" applyBorder="1" applyAlignment="1">
      <alignment horizontal="right"/>
    </xf>
    <xf numFmtId="4" fontId="3" fillId="27" borderId="0" xfId="0" applyNumberFormat="1" applyFont="1" applyFill="1" applyAlignment="1">
      <alignment horizontal="right"/>
    </xf>
    <xf numFmtId="10" fontId="3" fillId="27" borderId="14" xfId="0" applyNumberFormat="1" applyFont="1" applyFill="1" applyBorder="1" applyAlignment="1">
      <alignment horizontal="right"/>
    </xf>
    <xf numFmtId="0" fontId="10" fillId="0" borderId="0" xfId="0" applyFont="1" applyAlignment="1">
      <alignment vertical="top" wrapText="1"/>
    </xf>
    <xf numFmtId="0" fontId="10" fillId="0" borderId="0" xfId="0" applyFont="1" applyAlignment="1">
      <alignment vertical="top"/>
    </xf>
    <xf numFmtId="0" fontId="162" fillId="0" borderId="16" xfId="0" applyFont="1" applyBorder="1" applyAlignment="1" applyProtection="1">
      <alignment vertical="center"/>
      <protection locked="0"/>
    </xf>
    <xf numFmtId="0" fontId="100" fillId="0" borderId="13" xfId="148" applyFont="1" applyBorder="1" applyAlignment="1" applyProtection="1">
      <alignment horizontal="centerContinuous"/>
      <protection locked="0"/>
    </xf>
    <xf numFmtId="0" fontId="160" fillId="0" borderId="0" xfId="0" applyFont="1" applyAlignment="1">
      <alignment vertical="center"/>
    </xf>
    <xf numFmtId="0" fontId="93" fillId="27" borderId="0" xfId="148" applyFont="1" applyFill="1" applyAlignment="1">
      <alignment horizontal="center"/>
    </xf>
    <xf numFmtId="0" fontId="28" fillId="0" borderId="0" xfId="148" applyFont="1"/>
    <xf numFmtId="176" fontId="7" fillId="0" borderId="0" xfId="148" applyNumberFormat="1" applyFont="1" applyAlignment="1">
      <alignment horizontal="center"/>
    </xf>
    <xf numFmtId="0" fontId="28" fillId="0" borderId="10" xfId="148" applyFont="1" applyBorder="1" applyAlignment="1">
      <alignment horizontal="center" vertical="center" wrapText="1"/>
    </xf>
    <xf numFmtId="0" fontId="28" fillId="0" borderId="53" xfId="148" applyFont="1" applyBorder="1" applyAlignment="1">
      <alignment horizontal="center" vertical="center" wrapText="1"/>
    </xf>
    <xf numFmtId="0" fontId="29" fillId="0" borderId="61" xfId="148" applyFont="1" applyBorder="1" applyAlignment="1">
      <alignment wrapText="1"/>
    </xf>
    <xf numFmtId="4" fontId="17" fillId="0" borderId="10" xfId="148" applyNumberFormat="1" applyFont="1" applyBorder="1" applyProtection="1">
      <protection locked="0"/>
    </xf>
    <xf numFmtId="4" fontId="17" fillId="0" borderId="52" xfId="148" applyNumberFormat="1" applyFont="1" applyBorder="1" applyAlignment="1">
      <alignment horizontal="center"/>
    </xf>
    <xf numFmtId="10" fontId="17" fillId="0" borderId="52" xfId="148" applyNumberFormat="1" applyFont="1" applyBorder="1"/>
    <xf numFmtId="4" fontId="17" fillId="0" borderId="53" xfId="148" applyNumberFormat="1" applyFont="1" applyBorder="1" applyProtection="1">
      <protection locked="0"/>
    </xf>
    <xf numFmtId="4" fontId="17" fillId="0" borderId="53" xfId="148" applyNumberFormat="1" applyFont="1" applyBorder="1" applyAlignment="1" applyProtection="1">
      <alignment horizontal="right" vertical="center" indent="1"/>
      <protection locked="0"/>
    </xf>
    <xf numFmtId="4" fontId="17" fillId="0" borderId="52" xfId="148" applyNumberFormat="1" applyFont="1" applyBorder="1" applyAlignment="1">
      <alignment horizontal="right" vertical="center" indent="1"/>
    </xf>
    <xf numFmtId="3" fontId="96" fillId="0" borderId="0" xfId="0" applyNumberFormat="1" applyFont="1" applyAlignment="1">
      <alignment horizontal="right" vertical="center"/>
    </xf>
    <xf numFmtId="3" fontId="139" fillId="0" borderId="0" xfId="0" applyNumberFormat="1" applyFont="1" applyAlignment="1">
      <alignment horizontal="right" vertical="center"/>
    </xf>
    <xf numFmtId="0" fontId="106" fillId="18" borderId="35" xfId="0" applyFont="1" applyFill="1" applyBorder="1"/>
    <xf numFmtId="3" fontId="3" fillId="0" borderId="14" xfId="0" applyNumberFormat="1" applyFont="1" applyBorder="1"/>
    <xf numFmtId="0" fontId="165" fillId="0" borderId="0" xfId="148" applyFont="1" applyAlignment="1">
      <alignment horizontal="right" vertical="center" indent="1"/>
    </xf>
    <xf numFmtId="0" fontId="165" fillId="0" borderId="0" xfId="148" applyFont="1" applyAlignment="1">
      <alignment horizontal="right" vertical="center"/>
    </xf>
    <xf numFmtId="0" fontId="96" fillId="0" borderId="16" xfId="0" applyFont="1" applyBorder="1"/>
    <xf numFmtId="3" fontId="0" fillId="27" borderId="0" xfId="0" applyNumberFormat="1" applyFill="1"/>
    <xf numFmtId="3" fontId="0" fillId="27" borderId="14" xfId="0" applyNumberFormat="1" applyFill="1" applyBorder="1"/>
    <xf numFmtId="10" fontId="0" fillId="27" borderId="14" xfId="53" applyNumberFormat="1" applyFont="1" applyFill="1" applyBorder="1" applyAlignment="1">
      <alignment horizontal="right"/>
    </xf>
    <xf numFmtId="10" fontId="3" fillId="27" borderId="35" xfId="0" applyNumberFormat="1" applyFont="1" applyFill="1" applyBorder="1" applyAlignment="1">
      <alignment horizontal="center"/>
    </xf>
    <xf numFmtId="0" fontId="67" fillId="0" borderId="0" xfId="0" applyFont="1" applyAlignment="1">
      <alignment horizontal="left"/>
    </xf>
    <xf numFmtId="2" fontId="3" fillId="63" borderId="0" xfId="0" applyNumberFormat="1" applyFont="1" applyFill="1"/>
    <xf numFmtId="2" fontId="3" fillId="62" borderId="14" xfId="0" applyNumberFormat="1" applyFont="1" applyFill="1" applyBorder="1"/>
    <xf numFmtId="2" fontId="3" fillId="62" borderId="0" xfId="0" applyNumberFormat="1" applyFont="1" applyFill="1"/>
    <xf numFmtId="2" fontId="2" fillId="63" borderId="0" xfId="0" applyNumberFormat="1" applyFont="1" applyFill="1"/>
    <xf numFmtId="0" fontId="96" fillId="0" borderId="0" xfId="0" applyFont="1" applyAlignment="1">
      <alignment horizontal="left"/>
    </xf>
    <xf numFmtId="2" fontId="0" fillId="27" borderId="14" xfId="53" applyNumberFormat="1" applyFont="1" applyFill="1" applyBorder="1" applyAlignment="1">
      <alignment horizontal="right"/>
    </xf>
    <xf numFmtId="0" fontId="2" fillId="62" borderId="19" xfId="0" applyFont="1" applyFill="1" applyBorder="1"/>
    <xf numFmtId="0" fontId="3" fillId="62" borderId="14" xfId="0" applyFont="1" applyFill="1" applyBorder="1"/>
    <xf numFmtId="0" fontId="3" fillId="62" borderId="0" xfId="0" applyFont="1" applyFill="1"/>
    <xf numFmtId="0" fontId="2" fillId="63" borderId="0" xfId="0" applyFont="1" applyFill="1"/>
    <xf numFmtId="0" fontId="3" fillId="63" borderId="0" xfId="0" applyFont="1" applyFill="1"/>
    <xf numFmtId="2" fontId="93" fillId="0" borderId="0" xfId="148" applyNumberFormat="1" applyFont="1" applyAlignment="1">
      <alignment horizontal="center"/>
    </xf>
    <xf numFmtId="0" fontId="2" fillId="19" borderId="0" xfId="0" applyFont="1" applyFill="1" applyAlignment="1">
      <alignment horizontal="left" vertical="top" wrapText="1"/>
    </xf>
    <xf numFmtId="0" fontId="3" fillId="0" borderId="0" xfId="0" applyFont="1" applyAlignment="1">
      <alignment vertical="top" wrapText="1"/>
    </xf>
    <xf numFmtId="0" fontId="14" fillId="0" borderId="0" xfId="0" applyFont="1" applyAlignment="1">
      <alignment horizontal="left" vertical="center" wrapText="1"/>
    </xf>
    <xf numFmtId="0" fontId="14" fillId="19" borderId="0" xfId="0" applyFont="1" applyFill="1" applyAlignment="1">
      <alignment vertical="top" wrapText="1"/>
    </xf>
    <xf numFmtId="0" fontId="0" fillId="0" borderId="0" xfId="0" applyAlignment="1">
      <alignment vertical="top" wrapText="1"/>
    </xf>
    <xf numFmtId="0" fontId="7" fillId="0" borderId="15" xfId="0" applyFont="1" applyBorder="1" applyAlignment="1">
      <alignment horizontal="center" vertical="top"/>
    </xf>
    <xf numFmtId="0" fontId="0" fillId="0" borderId="0" xfId="0" applyAlignment="1">
      <alignment horizontal="center" vertical="top"/>
    </xf>
    <xf numFmtId="0" fontId="0" fillId="0" borderId="16" xfId="0" applyBorder="1" applyAlignment="1">
      <alignment horizontal="center" vertical="top"/>
    </xf>
    <xf numFmtId="0" fontId="7" fillId="0" borderId="59" xfId="0" applyFont="1" applyBorder="1" applyAlignment="1">
      <alignment horizontal="center"/>
    </xf>
    <xf numFmtId="0" fontId="0" fillId="0" borderId="58" xfId="0" applyBorder="1"/>
    <xf numFmtId="0" fontId="14" fillId="19" borderId="0" xfId="0" quotePrefix="1" applyFont="1" applyFill="1" applyAlignment="1">
      <alignment horizontal="left" vertical="top" wrapText="1"/>
    </xf>
    <xf numFmtId="0" fontId="69" fillId="19" borderId="0" xfId="0" applyFont="1" applyFill="1" applyAlignment="1">
      <alignment horizontal="left" vertical="top" wrapText="1" indent="1"/>
    </xf>
    <xf numFmtId="0" fontId="155" fillId="0" borderId="0" xfId="0" quotePrefix="1" applyFont="1" applyAlignment="1">
      <alignment horizontal="left" wrapText="1"/>
    </xf>
    <xf numFmtId="0" fontId="14" fillId="0" borderId="0" xfId="0" applyFont="1" applyAlignment="1">
      <alignment horizontal="left" wrapText="1"/>
    </xf>
    <xf numFmtId="0" fontId="14" fillId="19" borderId="0" xfId="0" applyFont="1" applyFill="1" applyAlignment="1">
      <alignment horizontal="left" vertical="center" wrapText="1"/>
    </xf>
    <xf numFmtId="0" fontId="14" fillId="19" borderId="0" xfId="0" applyFont="1" applyFill="1" applyAlignment="1">
      <alignment horizontal="left" wrapText="1"/>
    </xf>
    <xf numFmtId="0" fontId="14" fillId="19" borderId="16" xfId="0" applyFont="1" applyFill="1" applyBorder="1" applyAlignment="1">
      <alignment horizontal="left" wrapText="1"/>
    </xf>
    <xf numFmtId="0" fontId="64" fillId="0" borderId="15" xfId="0" applyFont="1" applyBorder="1" applyAlignment="1">
      <alignment horizontal="center" wrapText="1"/>
    </xf>
    <xf numFmtId="0" fontId="64" fillId="0" borderId="0" xfId="0" applyFont="1" applyAlignment="1">
      <alignment horizontal="center" wrapText="1"/>
    </xf>
    <xf numFmtId="0" fontId="12" fillId="0" borderId="0" xfId="0" applyFont="1" applyAlignment="1">
      <alignment wrapText="1"/>
    </xf>
    <xf numFmtId="0" fontId="12" fillId="0" borderId="16" xfId="0" applyFont="1" applyBorder="1" applyAlignment="1">
      <alignment wrapText="1"/>
    </xf>
    <xf numFmtId="0" fontId="10" fillId="0" borderId="15" xfId="0" quotePrefix="1" applyFont="1" applyBorder="1" applyAlignment="1">
      <alignment horizontal="center"/>
    </xf>
    <xf numFmtId="0" fontId="10" fillId="0" borderId="0" xfId="0" applyFont="1" applyAlignment="1">
      <alignment horizontal="center"/>
    </xf>
    <xf numFmtId="0" fontId="10" fillId="0" borderId="16" xfId="0" applyFont="1" applyBorder="1" applyAlignment="1">
      <alignment horizontal="center"/>
    </xf>
    <xf numFmtId="0" fontId="7" fillId="0" borderId="15" xfId="0" quotePrefix="1" applyFont="1" applyBorder="1" applyAlignment="1">
      <alignment horizontal="center"/>
    </xf>
    <xf numFmtId="0" fontId="7" fillId="0" borderId="0" xfId="0" applyFont="1" applyAlignment="1">
      <alignment horizontal="center"/>
    </xf>
    <xf numFmtId="0" fontId="15" fillId="0" borderId="0" xfId="0" applyFont="1"/>
    <xf numFmtId="0" fontId="15" fillId="0" borderId="16" xfId="0" applyFont="1" applyBorder="1"/>
    <xf numFmtId="0" fontId="7" fillId="0" borderId="15" xfId="0" applyFont="1" applyBorder="1" applyAlignment="1">
      <alignment horizontal="center"/>
    </xf>
    <xf numFmtId="0" fontId="0" fillId="0" borderId="0" xfId="0" applyAlignment="1">
      <alignment horizontal="center"/>
    </xf>
    <xf numFmtId="0" fontId="0" fillId="0" borderId="16" xfId="0" applyBorder="1" applyAlignment="1">
      <alignment horizontal="center"/>
    </xf>
    <xf numFmtId="0" fontId="7" fillId="0" borderId="15" xfId="0" applyFont="1" applyBorder="1" applyAlignment="1">
      <alignment horizontal="center" wrapText="1"/>
    </xf>
    <xf numFmtId="0" fontId="102" fillId="0" borderId="15" xfId="0" applyFont="1" applyBorder="1" applyAlignment="1">
      <alignment horizontal="center"/>
    </xf>
    <xf numFmtId="0" fontId="102" fillId="0" borderId="0" xfId="0" applyFont="1" applyAlignment="1">
      <alignment horizontal="center"/>
    </xf>
    <xf numFmtId="0" fontId="102" fillId="0" borderId="16" xfId="0" applyFont="1" applyBorder="1" applyAlignment="1">
      <alignment horizontal="center"/>
    </xf>
    <xf numFmtId="3" fontId="17" fillId="0" borderId="55" xfId="148" applyNumberFormat="1" applyFont="1" applyBorder="1" applyAlignment="1">
      <alignment horizontal="center"/>
    </xf>
    <xf numFmtId="3" fontId="17" fillId="0" borderId="56" xfId="148" applyNumberFormat="1" applyFont="1" applyBorder="1" applyAlignment="1">
      <alignment horizontal="center"/>
    </xf>
    <xf numFmtId="0" fontId="28" fillId="0" borderId="10" xfId="148" applyFont="1" applyBorder="1" applyAlignment="1">
      <alignment horizontal="center" vertical="center" wrapText="1"/>
    </xf>
    <xf numFmtId="0" fontId="2" fillId="0" borderId="10" xfId="148" applyFont="1" applyBorder="1" applyAlignment="1">
      <alignment horizontal="center" vertical="center"/>
    </xf>
    <xf numFmtId="0" fontId="29" fillId="0" borderId="21" xfId="148" applyFont="1" applyBorder="1" applyAlignment="1">
      <alignment horizontal="center"/>
    </xf>
    <xf numFmtId="0" fontId="29" fillId="0" borderId="23" xfId="148" applyFont="1" applyBorder="1" applyAlignment="1">
      <alignment horizontal="center"/>
    </xf>
    <xf numFmtId="3" fontId="17" fillId="0" borderId="21" xfId="148" applyNumberFormat="1" applyFont="1" applyBorder="1" applyAlignment="1" applyProtection="1">
      <alignment horizontal="center"/>
      <protection locked="0"/>
    </xf>
    <xf numFmtId="3" fontId="17" fillId="0" borderId="64" xfId="148" applyNumberFormat="1" applyFont="1" applyBorder="1" applyAlignment="1" applyProtection="1">
      <alignment horizontal="center"/>
      <protection locked="0"/>
    </xf>
    <xf numFmtId="0" fontId="143" fillId="0" borderId="0" xfId="37" quotePrefix="1" applyNumberFormat="1" applyFont="1" applyFill="1" applyBorder="1" applyAlignment="1" applyProtection="1">
      <alignment horizontal="right" wrapText="1"/>
    </xf>
    <xf numFmtId="0" fontId="143" fillId="0" borderId="0" xfId="37" applyFont="1" applyFill="1" applyBorder="1" applyAlignment="1" applyProtection="1">
      <alignment horizontal="right"/>
    </xf>
    <xf numFmtId="0" fontId="28" fillId="0" borderId="0" xfId="148" quotePrefix="1" applyFont="1" applyAlignment="1">
      <alignment horizontal="left" vertical="top" wrapText="1"/>
    </xf>
    <xf numFmtId="0" fontId="29" fillId="0" borderId="0" xfId="148" applyFont="1" applyAlignment="1">
      <alignment horizontal="left" vertical="top" wrapText="1"/>
    </xf>
    <xf numFmtId="0" fontId="3" fillId="0" borderId="0" xfId="148" applyAlignment="1">
      <alignment horizontal="left" vertical="top" wrapText="1"/>
    </xf>
    <xf numFmtId="0" fontId="114" fillId="0" borderId="0" xfId="148" quotePrefix="1" applyFont="1" applyAlignment="1">
      <alignment horizontal="center" vertical="top" wrapText="1"/>
    </xf>
    <xf numFmtId="0" fontId="93" fillId="0" borderId="0" xfId="148" applyFont="1" applyAlignment="1">
      <alignment horizontal="center" vertical="top" wrapText="1"/>
    </xf>
    <xf numFmtId="0" fontId="28" fillId="0" borderId="0" xfId="148" quotePrefix="1" applyFont="1" applyAlignment="1">
      <alignment horizontal="center" vertical="center" wrapText="1"/>
    </xf>
    <xf numFmtId="0" fontId="15" fillId="0" borderId="21" xfId="148" applyFont="1" applyBorder="1" applyAlignment="1" applyProtection="1">
      <alignment horizontal="center" vertical="center"/>
      <protection locked="0"/>
    </xf>
    <xf numFmtId="0" fontId="15" fillId="0" borderId="22" xfId="148" applyFont="1" applyBorder="1" applyAlignment="1" applyProtection="1">
      <alignment horizontal="center" vertical="center"/>
      <protection locked="0"/>
    </xf>
    <xf numFmtId="0" fontId="15" fillId="0" borderId="23" xfId="148" applyFont="1" applyBorder="1" applyAlignment="1" applyProtection="1">
      <alignment horizontal="center" vertical="center"/>
      <protection locked="0"/>
    </xf>
    <xf numFmtId="0" fontId="28" fillId="0" borderId="0" xfId="148" applyFont="1"/>
    <xf numFmtId="0" fontId="3" fillId="0" borderId="0" xfId="148"/>
    <xf numFmtId="0" fontId="28" fillId="0" borderId="21" xfId="148" applyFont="1" applyBorder="1" applyAlignment="1">
      <alignment horizontal="center"/>
    </xf>
    <xf numFmtId="0" fontId="28" fillId="0" borderId="22" xfId="148" applyFont="1" applyBorder="1" applyAlignment="1">
      <alignment horizontal="center"/>
    </xf>
    <xf numFmtId="3" fontId="17" fillId="0" borderId="10" xfId="148" applyNumberFormat="1" applyFont="1" applyBorder="1" applyAlignment="1" applyProtection="1">
      <alignment horizontal="center"/>
      <protection locked="0"/>
    </xf>
    <xf numFmtId="0" fontId="28" fillId="0" borderId="10" xfId="148" applyFont="1" applyBorder="1" applyAlignment="1">
      <alignment horizontal="center" vertical="center"/>
    </xf>
    <xf numFmtId="0" fontId="3" fillId="0" borderId="10" xfId="148" applyBorder="1" applyAlignment="1">
      <alignment horizontal="center" vertical="center"/>
    </xf>
    <xf numFmtId="3" fontId="17" fillId="0" borderId="12" xfId="148" applyNumberFormat="1" applyFont="1" applyBorder="1" applyAlignment="1" applyProtection="1">
      <alignment horizontal="center"/>
      <protection locked="0"/>
    </xf>
    <xf numFmtId="3" fontId="17" fillId="0" borderId="13" xfId="148" applyNumberFormat="1" applyFont="1" applyBorder="1" applyAlignment="1" applyProtection="1">
      <alignment horizontal="center"/>
      <protection locked="0"/>
    </xf>
    <xf numFmtId="0" fontId="28" fillId="0" borderId="0" xfId="148" applyFont="1" applyAlignment="1">
      <alignment horizontal="left" vertical="top" wrapText="1"/>
    </xf>
    <xf numFmtId="0" fontId="35" fillId="0" borderId="0" xfId="42" quotePrefix="1" applyNumberFormat="1" applyFont="1" applyFill="1" applyBorder="1" applyAlignment="1" applyProtection="1">
      <alignment horizontal="center" wrapText="1"/>
    </xf>
    <xf numFmtId="0" fontId="11" fillId="0" borderId="0" xfId="148" applyFont="1" applyAlignment="1">
      <alignment horizontal="center"/>
    </xf>
    <xf numFmtId="0" fontId="114" fillId="0" borderId="15" xfId="148" applyFont="1" applyBorder="1" applyAlignment="1">
      <alignment horizontal="center" vertical="center" wrapText="1"/>
    </xf>
    <xf numFmtId="0" fontId="114" fillId="0" borderId="0" xfId="148" applyFont="1" applyAlignment="1">
      <alignment horizontal="center" vertical="center" wrapText="1"/>
    </xf>
    <xf numFmtId="0" fontId="93" fillId="0" borderId="54" xfId="148" applyFont="1" applyBorder="1" applyAlignment="1">
      <alignment horizontal="center" vertical="center" wrapText="1"/>
    </xf>
    <xf numFmtId="0" fontId="3" fillId="0" borderId="54" xfId="148" applyBorder="1" applyAlignment="1">
      <alignment horizontal="center" vertical="center" wrapText="1"/>
    </xf>
    <xf numFmtId="0" fontId="3" fillId="0" borderId="0" xfId="148" applyAlignment="1">
      <alignment horizontal="center" vertical="center" wrapText="1"/>
    </xf>
    <xf numFmtId="166" fontId="17" fillId="0" borderId="21" xfId="148" quotePrefix="1" applyNumberFormat="1" applyFont="1" applyBorder="1" applyAlignment="1" applyProtection="1">
      <alignment horizontal="center" vertical="center" wrapText="1"/>
      <protection locked="0"/>
    </xf>
    <xf numFmtId="0" fontId="3" fillId="0" borderId="22" xfId="148" applyBorder="1" applyAlignment="1" applyProtection="1">
      <alignment vertical="center" wrapText="1"/>
      <protection locked="0"/>
    </xf>
    <xf numFmtId="0" fontId="3" fillId="0" borderId="23" xfId="148" applyBorder="1" applyAlignment="1" applyProtection="1">
      <alignment vertical="center" wrapText="1"/>
      <protection locked="0"/>
    </xf>
    <xf numFmtId="0" fontId="39" fillId="0" borderId="0" xfId="37" quotePrefix="1" applyNumberFormat="1" applyFont="1" applyFill="1" applyBorder="1" applyAlignment="1" applyProtection="1">
      <alignment horizontal="right" vertical="center" wrapText="1"/>
    </xf>
    <xf numFmtId="0" fontId="11" fillId="0" borderId="0" xfId="148" applyFont="1" applyAlignment="1">
      <alignment horizontal="right" vertical="center" wrapText="1"/>
    </xf>
    <xf numFmtId="0" fontId="114" fillId="0" borderId="0" xfId="148" applyFont="1" applyAlignment="1">
      <alignment horizontal="center" wrapText="1"/>
    </xf>
    <xf numFmtId="0" fontId="114" fillId="0" borderId="16" xfId="148" applyFont="1" applyBorder="1" applyAlignment="1">
      <alignment horizontal="center" wrapText="1"/>
    </xf>
    <xf numFmtId="0" fontId="112" fillId="0" borderId="54" xfId="148" applyFont="1" applyBorder="1" applyAlignment="1">
      <alignment horizontal="center" vertical="center" wrapText="1"/>
    </xf>
    <xf numFmtId="0" fontId="93" fillId="0" borderId="0" xfId="148" applyFont="1" applyAlignment="1">
      <alignment horizontal="center" vertical="center" wrapText="1"/>
    </xf>
    <xf numFmtId="0" fontId="93" fillId="0" borderId="0" xfId="148" applyFont="1" applyAlignment="1">
      <alignment wrapText="1"/>
    </xf>
    <xf numFmtId="0" fontId="93" fillId="0" borderId="16" xfId="148" applyFont="1" applyBorder="1" applyAlignment="1">
      <alignment wrapText="1"/>
    </xf>
    <xf numFmtId="0" fontId="93" fillId="0" borderId="59" xfId="148" applyFont="1" applyBorder="1" applyAlignment="1">
      <alignment wrapText="1"/>
    </xf>
    <xf numFmtId="0" fontId="93" fillId="0" borderId="58" xfId="148" applyFont="1" applyBorder="1" applyAlignment="1">
      <alignment wrapText="1"/>
    </xf>
    <xf numFmtId="0" fontId="137" fillId="0" borderId="54" xfId="148" applyFont="1" applyBorder="1" applyAlignment="1">
      <alignment horizontal="center" vertical="center" wrapText="1"/>
    </xf>
    <xf numFmtId="0" fontId="137" fillId="0" borderId="0" xfId="148" applyFont="1" applyAlignment="1">
      <alignment horizontal="center" vertical="center" wrapText="1"/>
    </xf>
    <xf numFmtId="0" fontId="36" fillId="0" borderId="0" xfId="37" quotePrefix="1" applyNumberFormat="1" applyFont="1" applyFill="1" applyBorder="1" applyAlignment="1" applyProtection="1">
      <alignment horizontal="center" wrapText="1"/>
    </xf>
    <xf numFmtId="0" fontId="7" fillId="0" borderId="57" xfId="148" applyFont="1" applyBorder="1" applyAlignment="1">
      <alignment horizontal="center" vertical="center"/>
    </xf>
    <xf numFmtId="0" fontId="7" fillId="0" borderId="59" xfId="148" applyFont="1" applyBorder="1" applyAlignment="1">
      <alignment horizontal="center" vertical="center"/>
    </xf>
    <xf numFmtId="0" fontId="114" fillId="0" borderId="0" xfId="148" quotePrefix="1" applyFont="1" applyAlignment="1">
      <alignment horizontal="center" vertical="center"/>
    </xf>
    <xf numFmtId="0" fontId="93" fillId="0" borderId="0" xfId="148" applyFont="1" applyAlignment="1">
      <alignment horizontal="center"/>
    </xf>
    <xf numFmtId="0" fontId="114" fillId="0" borderId="0" xfId="148" applyFont="1" applyAlignment="1">
      <alignment horizontal="center" vertical="center"/>
    </xf>
    <xf numFmtId="0" fontId="3" fillId="0" borderId="59" xfId="148" applyBorder="1" applyAlignment="1">
      <alignment horizontal="left" wrapText="1"/>
    </xf>
    <xf numFmtId="0" fontId="19" fillId="0" borderId="0" xfId="148" quotePrefix="1" applyFont="1" applyAlignment="1">
      <alignment horizontal="center" wrapText="1"/>
    </xf>
    <xf numFmtId="0" fontId="33" fillId="0" borderId="0" xfId="148" applyFont="1" applyAlignment="1">
      <alignment horizontal="center" wrapText="1"/>
    </xf>
    <xf numFmtId="0" fontId="10" fillId="0" borderId="0" xfId="148" applyFont="1" applyAlignment="1">
      <alignment horizontal="left" vertical="center" wrapText="1"/>
    </xf>
    <xf numFmtId="0" fontId="28" fillId="0" borderId="0" xfId="148" quotePrefix="1" applyFont="1" applyAlignment="1">
      <alignment horizontal="left" vertical="center" wrapText="1"/>
    </xf>
    <xf numFmtId="0" fontId="3" fillId="0" borderId="0" xfId="148" applyAlignment="1">
      <alignment horizontal="left" vertical="center" wrapText="1"/>
    </xf>
    <xf numFmtId="0" fontId="37" fillId="0" borderId="0" xfId="37" quotePrefix="1" applyNumberFormat="1" applyFont="1" applyFill="1" applyBorder="1" applyAlignment="1" applyProtection="1">
      <alignment horizontal="right" wrapText="1"/>
    </xf>
    <xf numFmtId="0" fontId="37" fillId="0" borderId="0" xfId="37" applyFont="1" applyFill="1" applyBorder="1" applyAlignment="1" applyProtection="1">
      <alignment horizontal="right"/>
    </xf>
    <xf numFmtId="0" fontId="34" fillId="0" borderId="0" xfId="148" quotePrefix="1" applyFont="1" applyAlignment="1">
      <alignment horizontal="right"/>
    </xf>
    <xf numFmtId="0" fontId="34" fillId="0" borderId="0" xfId="148" applyFont="1" applyAlignment="1">
      <alignment horizontal="right"/>
    </xf>
    <xf numFmtId="0" fontId="114" fillId="0" borderId="0" xfId="148" quotePrefix="1" applyFont="1" applyAlignment="1">
      <alignment horizontal="center" vertical="center" wrapText="1"/>
    </xf>
    <xf numFmtId="0" fontId="112" fillId="0" borderId="0" xfId="148" applyFont="1" applyAlignment="1">
      <alignment horizontal="center" vertical="center" wrapText="1"/>
    </xf>
    <xf numFmtId="0" fontId="112" fillId="0" borderId="15" xfId="148" applyFont="1" applyBorder="1" applyAlignment="1">
      <alignment horizontal="center" vertical="center" wrapText="1"/>
    </xf>
    <xf numFmtId="0" fontId="26" fillId="19" borderId="0" xfId="148" applyFont="1" applyFill="1" applyAlignment="1">
      <alignment horizontal="center" wrapText="1"/>
    </xf>
    <xf numFmtId="0" fontId="3" fillId="0" borderId="0" xfId="148" applyAlignment="1">
      <alignment horizontal="center" wrapText="1"/>
    </xf>
    <xf numFmtId="0" fontId="118" fillId="0" borderId="0" xfId="148" quotePrefix="1" applyFont="1" applyAlignment="1">
      <alignment horizontal="center"/>
    </xf>
    <xf numFmtId="0" fontId="120" fillId="0" borderId="0" xfId="148" quotePrefix="1" applyFont="1" applyAlignment="1">
      <alignment horizontal="center"/>
    </xf>
    <xf numFmtId="0" fontId="119" fillId="0" borderId="0" xfId="148" quotePrefix="1" applyFont="1" applyAlignment="1">
      <alignment horizontal="center"/>
    </xf>
    <xf numFmtId="0" fontId="120" fillId="0" borderId="0" xfId="148" applyFont="1" applyAlignment="1">
      <alignment horizontal="center"/>
    </xf>
    <xf numFmtId="0" fontId="151" fillId="0" borderId="15" xfId="148" applyFont="1" applyBorder="1" applyAlignment="1">
      <alignment horizontal="center"/>
    </xf>
    <xf numFmtId="0" fontId="17" fillId="0" borderId="0" xfId="148" applyFont="1"/>
    <xf numFmtId="0" fontId="103" fillId="0" borderId="13" xfId="148" applyFont="1" applyBorder="1" applyAlignment="1">
      <alignment horizontal="center"/>
    </xf>
    <xf numFmtId="0" fontId="104" fillId="0" borderId="13" xfId="148" applyFont="1" applyBorder="1" applyAlignment="1">
      <alignment horizontal="center"/>
    </xf>
    <xf numFmtId="0" fontId="104" fillId="0" borderId="0" xfId="148" applyFont="1" applyAlignment="1">
      <alignment horizontal="center"/>
    </xf>
    <xf numFmtId="0" fontId="19" fillId="0" borderId="15" xfId="148" applyFont="1" applyBorder="1" applyAlignment="1">
      <alignment horizontal="center" vertical="top"/>
    </xf>
    <xf numFmtId="0" fontId="15" fillId="0" borderId="0" xfId="148" applyFont="1"/>
    <xf numFmtId="0" fontId="7" fillId="0" borderId="15" xfId="148" quotePrefix="1" applyFont="1" applyBorder="1" applyAlignment="1">
      <alignment horizontal="center" vertical="center"/>
    </xf>
    <xf numFmtId="49" fontId="58" fillId="0" borderId="15" xfId="148" applyNumberFormat="1" applyFont="1" applyBorder="1" applyAlignment="1">
      <alignment horizontal="center"/>
    </xf>
    <xf numFmtId="49" fontId="17" fillId="0" borderId="0" xfId="148" applyNumberFormat="1" applyFont="1"/>
    <xf numFmtId="0" fontId="7" fillId="0" borderId="0" xfId="148" applyFont="1" applyAlignment="1">
      <alignment horizontal="center"/>
    </xf>
    <xf numFmtId="0" fontId="7" fillId="0" borderId="15" xfId="148" applyFont="1" applyBorder="1" applyAlignment="1">
      <alignment horizontal="center"/>
    </xf>
    <xf numFmtId="0" fontId="102" fillId="0" borderId="63" xfId="148" applyFont="1" applyBorder="1" applyAlignment="1">
      <alignment horizontal="center" wrapText="1"/>
    </xf>
    <xf numFmtId="0" fontId="102" fillId="0" borderId="0" xfId="148" applyFont="1" applyAlignment="1">
      <alignment horizontal="right" wrapText="1"/>
    </xf>
    <xf numFmtId="0" fontId="164" fillId="0" borderId="0" xfId="148" applyFont="1" applyAlignment="1">
      <alignment horizontal="left" vertical="top" wrapText="1"/>
    </xf>
    <xf numFmtId="0" fontId="114" fillId="0" borderId="0" xfId="148" applyFont="1" applyAlignment="1">
      <alignment horizontal="center"/>
    </xf>
    <xf numFmtId="0" fontId="82" fillId="0" borderId="59" xfId="0" applyFont="1" applyBorder="1" applyAlignment="1">
      <alignment horizontal="center"/>
    </xf>
    <xf numFmtId="0" fontId="77" fillId="0" borderId="0" xfId="0" applyFont="1" applyAlignment="1">
      <alignment horizontal="center"/>
    </xf>
    <xf numFmtId="0" fontId="70" fillId="0" borderId="0" xfId="0" applyFont="1"/>
    <xf numFmtId="0" fontId="70" fillId="0" borderId="16" xfId="0" applyFont="1" applyBorder="1"/>
    <xf numFmtId="0" fontId="41" fillId="0" borderId="0" xfId="0" applyFont="1" applyAlignment="1">
      <alignment horizontal="center"/>
    </xf>
    <xf numFmtId="0" fontId="152" fillId="0" borderId="0" xfId="0" applyFont="1" applyAlignment="1">
      <alignment horizontal="center"/>
    </xf>
    <xf numFmtId="0" fontId="3" fillId="0" borderId="0" xfId="0" applyFont="1"/>
    <xf numFmtId="0" fontId="3" fillId="0" borderId="16" xfId="0" applyFont="1" applyBorder="1"/>
    <xf numFmtId="0" fontId="9" fillId="0" borderId="0" xfId="0" applyFont="1" applyAlignment="1">
      <alignment horizontal="center"/>
    </xf>
    <xf numFmtId="0" fontId="0" fillId="0" borderId="0" xfId="0"/>
    <xf numFmtId="0" fontId="0" fillId="0" borderId="16" xfId="0" applyBorder="1"/>
    <xf numFmtId="0" fontId="23" fillId="0" borderId="0" xfId="0" applyFont="1" applyAlignment="1">
      <alignment horizontal="center"/>
    </xf>
    <xf numFmtId="0" fontId="82" fillId="0" borderId="0" xfId="0" applyFont="1" applyAlignment="1">
      <alignment horizontal="center"/>
    </xf>
    <xf numFmtId="0" fontId="82" fillId="0" borderId="0" xfId="0" applyFont="1"/>
    <xf numFmtId="0" fontId="82" fillId="0" borderId="16" xfId="0" applyFont="1" applyBorder="1"/>
    <xf numFmtId="3" fontId="10" fillId="0" borderId="21" xfId="0" applyNumberFormat="1"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10" fillId="0" borderId="0" xfId="0" applyFont="1" applyAlignment="1">
      <alignment horizontal="left" vertical="top" wrapText="1"/>
    </xf>
    <xf numFmtId="0" fontId="12" fillId="0" borderId="0" xfId="0" applyFont="1" applyAlignment="1">
      <alignment horizontal="left" vertical="top" wrapText="1"/>
    </xf>
    <xf numFmtId="0" fontId="0" fillId="0" borderId="0" xfId="0" applyAlignment="1">
      <alignment horizontal="left" vertical="top" wrapText="1"/>
    </xf>
    <xf numFmtId="0" fontId="88" fillId="0" borderId="0" xfId="37" quotePrefix="1" applyFont="1" applyFill="1" applyBorder="1" applyAlignment="1" applyProtection="1">
      <alignment horizontal="left" vertical="top" wrapText="1"/>
    </xf>
    <xf numFmtId="0" fontId="82" fillId="0" borderId="0" xfId="0" applyFont="1" applyAlignment="1">
      <alignment horizontal="center" vertical="center"/>
    </xf>
    <xf numFmtId="0" fontId="89" fillId="0" borderId="0" xfId="0" applyFont="1" applyAlignment="1">
      <alignment horizontal="center" vertical="center" wrapText="1"/>
    </xf>
    <xf numFmtId="0" fontId="105" fillId="0" borderId="0" xfId="0" applyFont="1" applyAlignment="1">
      <alignment horizontal="center" wrapText="1"/>
    </xf>
    <xf numFmtId="0" fontId="93" fillId="0" borderId="0" xfId="0" applyFont="1" applyAlignment="1">
      <alignment horizontal="center"/>
    </xf>
    <xf numFmtId="0" fontId="93" fillId="0" borderId="0" xfId="0" quotePrefix="1" applyFont="1" applyAlignment="1">
      <alignment horizontal="center" wrapText="1"/>
    </xf>
    <xf numFmtId="0" fontId="28" fillId="0" borderId="0" xfId="0" applyFont="1" applyAlignment="1">
      <alignment horizontal="left" vertical="center" wrapText="1"/>
    </xf>
    <xf numFmtId="0" fontId="0" fillId="0" borderId="0" xfId="0" applyAlignment="1">
      <alignment horizontal="left" vertical="center"/>
    </xf>
    <xf numFmtId="0" fontId="58" fillId="0" borderId="0" xfId="0" quotePrefix="1" applyFont="1" applyAlignment="1">
      <alignment horizontal="center"/>
    </xf>
    <xf numFmtId="0" fontId="93" fillId="26" borderId="0" xfId="0" applyFont="1" applyFill="1" applyAlignment="1">
      <alignment horizontal="center"/>
    </xf>
    <xf numFmtId="0" fontId="58" fillId="0" borderId="0" xfId="0" quotePrefix="1" applyFont="1" applyAlignment="1">
      <alignment horizontal="center" wrapText="1"/>
    </xf>
    <xf numFmtId="0" fontId="0" fillId="0" borderId="0" xfId="0" applyAlignment="1">
      <alignment horizontal="center" wrapText="1"/>
    </xf>
    <xf numFmtId="0" fontId="112" fillId="26" borderId="0" xfId="0" applyFont="1" applyFill="1" applyAlignment="1">
      <alignment horizontal="center"/>
    </xf>
    <xf numFmtId="0" fontId="7" fillId="0" borderId="16" xfId="0" applyFont="1" applyBorder="1" applyAlignment="1">
      <alignment horizontal="center"/>
    </xf>
    <xf numFmtId="0" fontId="10" fillId="22" borderId="0" xfId="50" applyFont="1" applyFill="1" applyAlignment="1">
      <alignment horizontal="center"/>
    </xf>
    <xf numFmtId="4" fontId="15" fillId="22" borderId="25" xfId="53" applyNumberFormat="1" applyFont="1" applyFill="1" applyBorder="1" applyAlignment="1" applyProtection="1">
      <alignment horizontal="center" vertical="center"/>
    </xf>
    <xf numFmtId="10" fontId="15" fillId="22" borderId="25" xfId="53" applyNumberFormat="1" applyFont="1" applyFill="1" applyBorder="1" applyAlignment="1" applyProtection="1">
      <alignment horizontal="center" vertical="center"/>
    </xf>
    <xf numFmtId="170" fontId="7" fillId="22" borderId="35" xfId="53" applyNumberFormat="1" applyFont="1" applyFill="1" applyBorder="1" applyAlignment="1" applyProtection="1">
      <alignment horizontal="center" wrapText="1"/>
    </xf>
    <xf numFmtId="166" fontId="15" fillId="22" borderId="25" xfId="53" applyNumberFormat="1" applyFont="1" applyFill="1" applyBorder="1" applyAlignment="1" applyProtection="1">
      <alignment horizontal="center" vertical="center"/>
    </xf>
    <xf numFmtId="0" fontId="15" fillId="22" borderId="0" xfId="50" applyFont="1" applyFill="1" applyAlignment="1">
      <alignment horizontal="center"/>
    </xf>
    <xf numFmtId="0" fontId="15" fillId="22" borderId="0" xfId="50" applyFont="1" applyFill="1" applyAlignment="1">
      <alignment horizontal="center" vertical="top" wrapText="1"/>
    </xf>
    <xf numFmtId="0" fontId="7" fillId="22" borderId="0" xfId="50" applyFont="1" applyFill="1" applyAlignment="1">
      <alignment horizontal="center" wrapText="1"/>
    </xf>
    <xf numFmtId="0" fontId="7" fillId="22" borderId="0" xfId="50" applyFont="1" applyFill="1" applyAlignment="1">
      <alignment horizontal="center" vertical="center" wrapText="1"/>
    </xf>
    <xf numFmtId="170" fontId="7" fillId="22" borderId="35" xfId="50" applyNumberFormat="1" applyFont="1" applyFill="1" applyBorder="1" applyAlignment="1">
      <alignment horizontal="center" wrapText="1"/>
    </xf>
    <xf numFmtId="2" fontId="15" fillId="22" borderId="25" xfId="53" applyNumberFormat="1" applyFont="1" applyFill="1" applyBorder="1" applyAlignment="1" applyProtection="1">
      <alignment horizontal="center" vertical="center"/>
    </xf>
    <xf numFmtId="9" fontId="15" fillId="22" borderId="0" xfId="53" applyFont="1" applyFill="1" applyBorder="1" applyAlignment="1">
      <alignment horizontal="left" vertical="center"/>
    </xf>
    <xf numFmtId="0" fontId="15" fillId="22" borderId="0" xfId="0" applyFont="1" applyFill="1" applyAlignment="1">
      <alignment horizontal="left" vertical="center"/>
    </xf>
    <xf numFmtId="0" fontId="7" fillId="0" borderId="0" xfId="0" applyFont="1" applyAlignment="1">
      <alignment horizontal="center" vertical="center"/>
    </xf>
    <xf numFmtId="0" fontId="13" fillId="0" borderId="0" xfId="0" applyFont="1" applyAlignment="1">
      <alignment horizontal="center"/>
    </xf>
    <xf numFmtId="0" fontId="7" fillId="0" borderId="0" xfId="0" applyFont="1" applyAlignment="1">
      <alignment horizontal="left" vertical="center"/>
    </xf>
    <xf numFmtId="0" fontId="15" fillId="0" borderId="0" xfId="0" applyFont="1" applyAlignment="1" applyProtection="1">
      <alignment horizontal="left" vertical="top" wrapText="1"/>
      <protection locked="0"/>
    </xf>
    <xf numFmtId="0" fontId="0" fillId="60" borderId="0" xfId="0" applyFill="1"/>
    <xf numFmtId="0" fontId="3" fillId="60" borderId="0" xfId="0" quotePrefix="1" applyFont="1" applyFill="1"/>
  </cellXfs>
  <cellStyles count="274">
    <cellStyle name="%" xfId="1" xr:uid="{00000000-0005-0000-0000-000000000000}"/>
    <cellStyle name="% 2" xfId="171" xr:uid="{BDCCF2F5-5966-4C22-80D8-74FE1473D039}"/>
    <cellStyle name="% 3" xfId="218" xr:uid="{DF178EB8-54B6-4F41-9E1C-617FD45CE71A}"/>
    <cellStyle name="20% - Accent1" xfId="2" builtinId="30" customBuiltin="1"/>
    <cellStyle name="20% - Accent1 2" xfId="62" xr:uid="{160421ED-848E-4442-A2D2-A61B410EF6AF}"/>
    <cellStyle name="20% - Accent1 2 2" xfId="247" xr:uid="{9313DBBB-F607-40D0-AF95-6E84F3C6E46A}"/>
    <cellStyle name="20% - Accent1 2 3" xfId="219" xr:uid="{2328A831-FAC2-498B-98A0-70C0A6C91DEA}"/>
    <cellStyle name="20% - Accent1 3" xfId="63" xr:uid="{CA8C8F88-DD97-4E09-9E83-2E1A9EFACEBB}"/>
    <cellStyle name="20% - Accent1 3 2" xfId="233" xr:uid="{128089F6-63C6-44A1-AADA-01FE5721DE99}"/>
    <cellStyle name="20% - Accent1 4" xfId="190" xr:uid="{E01D9877-AC52-4542-BF26-8254007DFCC5}"/>
    <cellStyle name="20% - Accent2" xfId="3" builtinId="34" customBuiltin="1"/>
    <cellStyle name="20% - Accent2 2" xfId="64" xr:uid="{EF9CE3AE-A3FB-4020-A3AE-21EB7EE22EED}"/>
    <cellStyle name="20% - Accent2 2 2" xfId="249" xr:uid="{29452E8C-6090-4B77-9B33-A6F3DCF08A63}"/>
    <cellStyle name="20% - Accent2 2 3" xfId="221" xr:uid="{594F1861-8AB1-4A32-A074-E9061E546C78}"/>
    <cellStyle name="20% - Accent2 3" xfId="65" xr:uid="{89AE7DF5-9802-4385-AA6A-D05EE25B7FF4}"/>
    <cellStyle name="20% - Accent2 3 2" xfId="235" xr:uid="{8D399671-8F1F-415F-985E-5635ECA5183A}"/>
    <cellStyle name="20% - Accent2 4" xfId="194" xr:uid="{733F0CD7-E3B1-4F96-BA73-4F7E5D155653}"/>
    <cellStyle name="20% - Accent3" xfId="4" builtinId="38" customBuiltin="1"/>
    <cellStyle name="20% - Accent3 2" xfId="66" xr:uid="{155B5D1D-02F1-4DA3-A9FB-7B70D23F9162}"/>
    <cellStyle name="20% - Accent3 2 2" xfId="251" xr:uid="{B0A74272-D603-40F7-9094-3E88C179F163}"/>
    <cellStyle name="20% - Accent3 2 3" xfId="223" xr:uid="{86B4B40A-EF78-413C-99F1-CD10DA232A9F}"/>
    <cellStyle name="20% - Accent3 3" xfId="67" xr:uid="{CE8A92BA-6D64-4C2D-82D0-B9C53434F17B}"/>
    <cellStyle name="20% - Accent3 3 2" xfId="237" xr:uid="{7C85A0A5-1425-4E6C-9EFE-6C958B4B62E9}"/>
    <cellStyle name="20% - Accent3 4" xfId="198" xr:uid="{7452E6D9-3B9B-484D-B69B-DA6F6B4B03CD}"/>
    <cellStyle name="20% - Accent4" xfId="5" builtinId="42" customBuiltin="1"/>
    <cellStyle name="20% - Accent4 2" xfId="68" xr:uid="{50E69399-C913-4A4F-B9D4-C460896AB259}"/>
    <cellStyle name="20% - Accent4 2 2" xfId="253" xr:uid="{C62027CD-507F-405E-9652-116CCDA1592C}"/>
    <cellStyle name="20% - Accent4 2 3" xfId="225" xr:uid="{F86B37ED-FDB4-4BF1-8614-CB44D7574501}"/>
    <cellStyle name="20% - Accent4 3" xfId="69" xr:uid="{42030D5D-6CE7-4E62-80C1-A7C26DE01B0B}"/>
    <cellStyle name="20% - Accent4 3 2" xfId="239" xr:uid="{D3CD0BE7-2601-4667-A4AD-BE62262BA4A7}"/>
    <cellStyle name="20% - Accent4 4" xfId="202" xr:uid="{3288704F-0816-4259-80A6-613AC9F55FBF}"/>
    <cellStyle name="20% - Accent5" xfId="6" builtinId="46" customBuiltin="1"/>
    <cellStyle name="20% - Accent5 2" xfId="70" xr:uid="{EEBFFDFA-6923-45B5-941F-3D91231DF048}"/>
    <cellStyle name="20% - Accent5 2 2" xfId="255" xr:uid="{271EBCBF-85AB-44C8-A3E2-1BFEFA4D78D8}"/>
    <cellStyle name="20% - Accent5 2 3" xfId="227" xr:uid="{F0281ED6-C70B-44D2-8374-813A5D6398FE}"/>
    <cellStyle name="20% - Accent5 3" xfId="71" xr:uid="{AC6E4B04-4762-4846-BA26-6EEE3BF98665}"/>
    <cellStyle name="20% - Accent5 3 2" xfId="241" xr:uid="{013AA905-A928-4D7B-9AB0-26B845FBD73C}"/>
    <cellStyle name="20% - Accent5 4" xfId="206" xr:uid="{0B90562C-9122-45A6-95A4-6910A317B936}"/>
    <cellStyle name="20% - Accent6" xfId="7" builtinId="50" customBuiltin="1"/>
    <cellStyle name="20% - Accent6 2" xfId="72" xr:uid="{76CA7E81-BE6A-4E8D-A922-2BE1392920E1}"/>
    <cellStyle name="20% - Accent6 2 2" xfId="257" xr:uid="{259B36C6-331D-439E-8E5F-8782CD01226B}"/>
    <cellStyle name="20% - Accent6 2 3" xfId="229" xr:uid="{70791918-CCC5-4253-B9BA-9DFF1974C355}"/>
    <cellStyle name="20% - Accent6 3" xfId="73" xr:uid="{8E626524-C068-43BB-A741-9DA8675D1EE4}"/>
    <cellStyle name="20% - Accent6 3 2" xfId="243" xr:uid="{77D84769-ACDB-41D8-856A-6769D9D3FB04}"/>
    <cellStyle name="20% - Accent6 4" xfId="210" xr:uid="{E9945D2B-58AD-44CC-B7C7-2D8CF98359B8}"/>
    <cellStyle name="40% - Accent1" xfId="8" builtinId="31" customBuiltin="1"/>
    <cellStyle name="40% - Accent1 2" xfId="74" xr:uid="{746E0D31-EDAF-439C-94E5-0D5F23187FB5}"/>
    <cellStyle name="40% - Accent1 2 2" xfId="248" xr:uid="{7D8229E8-F601-45C9-B8BE-0A0D8651EC0E}"/>
    <cellStyle name="40% - Accent1 2 3" xfId="220" xr:uid="{C2132E6C-0B62-4679-B59B-18ABD35A0963}"/>
    <cellStyle name="40% - Accent1 3" xfId="75" xr:uid="{E08366A4-9AAE-43B7-AB59-29942D0F56DE}"/>
    <cellStyle name="40% - Accent1 3 2" xfId="234" xr:uid="{95A3B50F-56A1-42DC-9E5A-0FCFA85B474D}"/>
    <cellStyle name="40% - Accent1 4" xfId="191" xr:uid="{148F7731-3890-4207-8028-7F27725E33B9}"/>
    <cellStyle name="40% - Accent2" xfId="9" builtinId="35" customBuiltin="1"/>
    <cellStyle name="40% - Accent2 2" xfId="76" xr:uid="{CC2876A4-9AC1-434F-BD98-68565292AC77}"/>
    <cellStyle name="40% - Accent2 2 2" xfId="250" xr:uid="{24E2272F-7DEF-4BCA-B587-765C4425D156}"/>
    <cellStyle name="40% - Accent2 2 3" xfId="222" xr:uid="{168E4A7A-CD11-4974-AA00-6F112ACEFC1E}"/>
    <cellStyle name="40% - Accent2 3" xfId="77" xr:uid="{BE878AE0-56C8-4007-91B9-C57D7B17B3B8}"/>
    <cellStyle name="40% - Accent2 3 2" xfId="236" xr:uid="{23B307E6-EE0B-4AEF-9A17-238F717439E8}"/>
    <cellStyle name="40% - Accent2 4" xfId="195" xr:uid="{A612F8A9-2765-4E52-9EB5-3F3A78DCDAE0}"/>
    <cellStyle name="40% - Accent3" xfId="10" builtinId="39" customBuiltin="1"/>
    <cellStyle name="40% - Accent3 2" xfId="78" xr:uid="{508C4572-97F3-4870-B691-61E8F0F22E44}"/>
    <cellStyle name="40% - Accent3 2 2" xfId="252" xr:uid="{B50D3D61-0C35-4185-B61E-76BA11565D9E}"/>
    <cellStyle name="40% - Accent3 2 3" xfId="224" xr:uid="{4A1D1F44-B0E9-45F4-824D-E092A37E0D1D}"/>
    <cellStyle name="40% - Accent3 3" xfId="79" xr:uid="{23E5FA03-F612-4706-89DC-8D1DB9C9E86A}"/>
    <cellStyle name="40% - Accent3 3 2" xfId="238" xr:uid="{701C2CA9-ADAE-4135-B997-8C9CB6268734}"/>
    <cellStyle name="40% - Accent3 4" xfId="199" xr:uid="{F1AEAB4D-DB09-4CF0-9138-354005D4842B}"/>
    <cellStyle name="40% - Accent4" xfId="11" builtinId="43" customBuiltin="1"/>
    <cellStyle name="40% - Accent4 2" xfId="80" xr:uid="{1376151C-678F-4EDF-8839-9C66D2657879}"/>
    <cellStyle name="40% - Accent4 2 2" xfId="254" xr:uid="{C248FBD5-C7BE-4F92-9DAB-4A409F883FE7}"/>
    <cellStyle name="40% - Accent4 2 3" xfId="226" xr:uid="{86DD2610-91B6-401C-B91F-B982A2007455}"/>
    <cellStyle name="40% - Accent4 3" xfId="81" xr:uid="{A150F01E-E7BD-4165-A35E-EE16F46BDB3D}"/>
    <cellStyle name="40% - Accent4 3 2" xfId="240" xr:uid="{79E98972-3632-4611-88B7-9A9915B71878}"/>
    <cellStyle name="40% - Accent4 4" xfId="203" xr:uid="{50E28A17-C1F8-4B3F-A25D-90006F215D0C}"/>
    <cellStyle name="40% - Accent5" xfId="12" builtinId="47" customBuiltin="1"/>
    <cellStyle name="40% - Accent5 2" xfId="82" xr:uid="{86309881-E25A-472F-AA3C-40DAAB2EDF01}"/>
    <cellStyle name="40% - Accent5 2 2" xfId="256" xr:uid="{AF83A128-A61F-442C-BCEA-87420A6F1C74}"/>
    <cellStyle name="40% - Accent5 2 3" xfId="228" xr:uid="{D86207D3-DE30-49CE-BF9B-35F068205E7A}"/>
    <cellStyle name="40% - Accent5 3" xfId="83" xr:uid="{101E559D-D5E9-42CD-A7AC-8798E3006933}"/>
    <cellStyle name="40% - Accent5 3 2" xfId="242" xr:uid="{86760309-51BB-4A2F-99A1-C786EED270EF}"/>
    <cellStyle name="40% - Accent5 4" xfId="207" xr:uid="{B79AE0D7-A767-46BD-B0BE-8A7D272529F8}"/>
    <cellStyle name="40% - Accent6" xfId="13" builtinId="51" customBuiltin="1"/>
    <cellStyle name="40% - Accent6 2" xfId="84" xr:uid="{56E71EA9-F511-4416-946B-F987B9CEB32F}"/>
    <cellStyle name="40% - Accent6 2 2" xfId="258" xr:uid="{05DEFEFD-9138-4560-8EDF-B8B92E6C8B78}"/>
    <cellStyle name="40% - Accent6 2 3" xfId="230" xr:uid="{3CEC98E9-C171-4412-B831-D1E8E9C671FD}"/>
    <cellStyle name="40% - Accent6 3" xfId="85" xr:uid="{9AF1A96B-5DFC-4AC5-99CE-5416A91E48BD}"/>
    <cellStyle name="40% - Accent6 3 2" xfId="244" xr:uid="{2F262CDB-9609-4DBA-8F98-A18EDF5A9EBD}"/>
    <cellStyle name="40% - Accent6 4" xfId="211" xr:uid="{38331D20-198B-468A-8BDB-B226C1BBAFDE}"/>
    <cellStyle name="60% - Accent1" xfId="14" builtinId="32" customBuiltin="1"/>
    <cellStyle name="60% - Accent1 2" xfId="86" xr:uid="{503F2B6E-68E8-4FE6-9F41-C1F43AC244B4}"/>
    <cellStyle name="60% - Accent1 2 2" xfId="192" xr:uid="{FED8DAF4-3B25-40B8-B67B-C473F2436954}"/>
    <cellStyle name="60% - Accent1 3" xfId="87" xr:uid="{094086A8-978D-4165-8EC3-45BCC8C51158}"/>
    <cellStyle name="60% - Accent2" xfId="15" builtinId="36" customBuiltin="1"/>
    <cellStyle name="60% - Accent2 2" xfId="88" xr:uid="{40F447F6-A4B9-4F49-AC8C-CC6744B0375B}"/>
    <cellStyle name="60% - Accent2 2 2" xfId="196" xr:uid="{D0CC0409-847D-486C-BDE0-BF66403D92CF}"/>
    <cellStyle name="60% - Accent2 3" xfId="89" xr:uid="{B5CF7F03-0DCF-4819-917D-424177B356AB}"/>
    <cellStyle name="60% - Accent3" xfId="16" builtinId="40" customBuiltin="1"/>
    <cellStyle name="60% - Accent3 2" xfId="90" xr:uid="{DC579E04-04E2-4C93-988C-4311FC312BC1}"/>
    <cellStyle name="60% - Accent3 2 2" xfId="200" xr:uid="{7155F521-694F-4399-B830-58D63AFDA568}"/>
    <cellStyle name="60% - Accent3 3" xfId="91" xr:uid="{6101BAD3-B0AA-488A-A485-8B40236338CA}"/>
    <cellStyle name="60% - Accent4" xfId="17" builtinId="44" customBuiltin="1"/>
    <cellStyle name="60% - Accent4 2" xfId="92" xr:uid="{35AACDFE-99B1-42F2-91A6-37333727CE64}"/>
    <cellStyle name="60% - Accent4 2 2" xfId="204" xr:uid="{471D319A-63AF-4865-B6BF-A9221A5F95D8}"/>
    <cellStyle name="60% - Accent4 3" xfId="93" xr:uid="{1B66D40F-B7E3-462D-A34F-7579C1FA2C92}"/>
    <cellStyle name="60% - Accent5" xfId="18" builtinId="48" customBuiltin="1"/>
    <cellStyle name="60% - Accent5 2" xfId="94" xr:uid="{9AA83A47-E4AB-4691-A37B-4BAB1D521117}"/>
    <cellStyle name="60% - Accent5 2 2" xfId="208" xr:uid="{38D17F0A-A462-413D-930F-33A88B028A0E}"/>
    <cellStyle name="60% - Accent5 3" xfId="95" xr:uid="{B2A0E186-4E09-491C-B4A7-ECD7B782CB4E}"/>
    <cellStyle name="60% - Accent6" xfId="19" builtinId="52" customBuiltin="1"/>
    <cellStyle name="60% - Accent6 2" xfId="96" xr:uid="{2CFBA531-11CB-4570-A5D2-D6E4D1140FA3}"/>
    <cellStyle name="60% - Accent6 2 2" xfId="212" xr:uid="{FB2C1EE6-5E3A-4EAD-839D-11D0BE5C511F}"/>
    <cellStyle name="60% - Accent6 3" xfId="97" xr:uid="{199DD6D4-BFF4-43E7-900E-BF8B305FB918}"/>
    <cellStyle name="Accent1" xfId="20" builtinId="29" customBuiltin="1"/>
    <cellStyle name="Accent1 2" xfId="98" xr:uid="{E3C57F4C-185C-4338-991A-223DAD45D5A0}"/>
    <cellStyle name="Accent1 2 2" xfId="189" xr:uid="{27F840AF-830F-4D42-A916-16D9248CDEC6}"/>
    <cellStyle name="Accent1 3" xfId="99" xr:uid="{AB8E38D7-13A3-4E4F-8FBA-78B69CB7D6AC}"/>
    <cellStyle name="Accent2" xfId="21" builtinId="33" customBuiltin="1"/>
    <cellStyle name="Accent2 2" xfId="100" xr:uid="{F97F7435-2E25-450B-AA60-2494D977E27F}"/>
    <cellStyle name="Accent2 2 2" xfId="193" xr:uid="{A44D59D9-AC67-44B7-960A-CC1041C48219}"/>
    <cellStyle name="Accent2 3" xfId="101" xr:uid="{056B8963-5711-410E-836A-94CFF470ECB3}"/>
    <cellStyle name="Accent3" xfId="22" builtinId="37" customBuiltin="1"/>
    <cellStyle name="Accent3 2" xfId="102" xr:uid="{8825103E-7772-4C6F-9F5E-C64841C17F7B}"/>
    <cellStyle name="Accent3 2 2" xfId="197" xr:uid="{C040047A-5EB4-4229-B1B5-59570A8F8D8B}"/>
    <cellStyle name="Accent3 3" xfId="103" xr:uid="{C336A961-2AFF-461E-BD15-8848B1668703}"/>
    <cellStyle name="Accent4" xfId="23" builtinId="41" customBuiltin="1"/>
    <cellStyle name="Accent4 2" xfId="104" xr:uid="{958BA88D-3E6E-4360-BCC2-3F40D104E3ED}"/>
    <cellStyle name="Accent4 2 2" xfId="201" xr:uid="{68A4BA73-6F46-4A83-B2AF-51EECAF76DEF}"/>
    <cellStyle name="Accent4 3" xfId="105" xr:uid="{71B80429-9FA8-44A4-B7F6-AADF52891C76}"/>
    <cellStyle name="Accent5" xfId="24" builtinId="45" customBuiltin="1"/>
    <cellStyle name="Accent5 2" xfId="106" xr:uid="{27E35A1B-0600-435E-A370-B27B4888E77C}"/>
    <cellStyle name="Accent5 2 2" xfId="205" xr:uid="{B1AAB8A0-04AB-46E2-8B12-2C214151B300}"/>
    <cellStyle name="Accent5 3" xfId="107" xr:uid="{E10D8AB6-F9F7-4B93-AA13-0FBA60DD97D7}"/>
    <cellStyle name="Accent6" xfId="25" builtinId="49" customBuiltin="1"/>
    <cellStyle name="Accent6 2" xfId="108" xr:uid="{2D2760CD-BD7D-488D-ABB4-593EF264AD5C}"/>
    <cellStyle name="Accent6 2 2" xfId="209" xr:uid="{53789E0A-96AF-4161-8584-012DD71BB8BA}"/>
    <cellStyle name="Accent6 3" xfId="109" xr:uid="{04B04352-5362-4D50-865A-4F3A60BBDE15}"/>
    <cellStyle name="Bad" xfId="26" builtinId="27" customBuiltin="1"/>
    <cellStyle name="Bad 2" xfId="110" xr:uid="{938E278F-FB2C-4038-A388-E232FCFFDEEA}"/>
    <cellStyle name="Bad 2 2" xfId="179" xr:uid="{18846106-3C92-49EB-8EA8-E19474C3E96B}"/>
    <cellStyle name="Bad 3" xfId="111" xr:uid="{088FA7B1-1635-4366-9978-31469DDBC19E}"/>
    <cellStyle name="Calculation" xfId="27" builtinId="22" customBuiltin="1"/>
    <cellStyle name="Calculation 2" xfId="112" xr:uid="{6832BA89-EE8F-4959-A3F4-2451DAE34C58}"/>
    <cellStyle name="Calculation 2 2" xfId="183" xr:uid="{4C9EAABF-3EC1-40B9-AE86-C3BF7E4FB5D6}"/>
    <cellStyle name="Calculation 3" xfId="113" xr:uid="{AFC6EE11-1FD3-48ED-9568-3F56AC80F5EF}"/>
    <cellStyle name="CellBAValue" xfId="57" xr:uid="{00000000-0005-0000-0000-00001B000000}"/>
    <cellStyle name="CellBAValue 2" xfId="58" xr:uid="{00000000-0005-0000-0000-00001C000000}"/>
    <cellStyle name="CellNationValue" xfId="59" xr:uid="{00000000-0005-0000-0000-00001D000000}"/>
    <cellStyle name="CellUAValue" xfId="60" xr:uid="{00000000-0005-0000-0000-00001E000000}"/>
    <cellStyle name="CellUAValue 2" xfId="61" xr:uid="{00000000-0005-0000-0000-00001F000000}"/>
    <cellStyle name="Check Cell" xfId="28" builtinId="23" customBuiltin="1"/>
    <cellStyle name="Check Cell 2" xfId="114" xr:uid="{778F0C11-02AC-4334-B679-5BD55573A39C}"/>
    <cellStyle name="Check Cell 2 2" xfId="185" xr:uid="{8FD1931B-C930-43C2-B178-F7974FAD93B4}"/>
    <cellStyle name="Check Cell 3" xfId="115" xr:uid="{2D87C0E1-4933-45C8-88D4-8B048CA33A60}"/>
    <cellStyle name="Comma" xfId="29" builtinId="3"/>
    <cellStyle name="Comma 2" xfId="30" xr:uid="{00000000-0005-0000-0000-000022000000}"/>
    <cellStyle name="Comma 2 2" xfId="118" xr:uid="{518BB439-23F1-45CB-BE65-C5636D08B5A3}"/>
    <cellStyle name="Comma 2 2 2" xfId="265" xr:uid="{A214915C-AABA-4C56-AEC7-C29F5CCBB8B0}"/>
    <cellStyle name="Comma 2 3" xfId="119" xr:uid="{CDF9E42E-CF42-44F7-AA4F-B523F86A90D8}"/>
    <cellStyle name="Comma 2 3 2" xfId="266" xr:uid="{B19618D7-0155-4669-9FC5-E8403817107B}"/>
    <cellStyle name="Comma 2 4" xfId="120" xr:uid="{AD3FDE53-813A-46CC-9222-9111FD1D4AD4}"/>
    <cellStyle name="Comma 2 4 2" xfId="267" xr:uid="{67A239CB-849F-4EDA-9FEF-9CC7A5E0100B}"/>
    <cellStyle name="Comma 2 5" xfId="117" xr:uid="{836005B0-03F7-459F-BDDF-E4563DBA6100}"/>
    <cellStyle name="Comma 2 5 2" xfId="264" xr:uid="{65777C6E-2E76-4C81-8D6C-E09AC346DF92}"/>
    <cellStyle name="Comma 3" xfId="121" xr:uid="{DA7A7DFD-5F48-454D-88D6-3C3FFC5F2CCE}"/>
    <cellStyle name="Comma 3 2" xfId="268" xr:uid="{C265B968-88A4-4F78-A161-1E406E503D6E}"/>
    <cellStyle name="Comma 4" xfId="122" xr:uid="{E3A4B934-A882-4E8D-ACAD-843AE2CA9800}"/>
    <cellStyle name="Comma 4 2" xfId="123" xr:uid="{6A15F971-D73F-4974-AB33-35C35312B684}"/>
    <cellStyle name="Comma 4 2 2" xfId="270" xr:uid="{4EFFE8EE-5326-4EF9-9513-97C688CAFAEB}"/>
    <cellStyle name="Comma 4 3" xfId="269" xr:uid="{EF76AD7D-7E95-4209-BB18-9A0B8A8E5D5A}"/>
    <cellStyle name="Comma 5" xfId="124" xr:uid="{EF104ED8-D9E7-482C-B6CB-5DE37CAFBA42}"/>
    <cellStyle name="Comma 5 2" xfId="271" xr:uid="{523CB39E-E7AC-4688-8778-3C81CC2CDAD1}"/>
    <cellStyle name="Comma 6" xfId="116" xr:uid="{BB846705-258D-464C-B818-54BF66402EB5}"/>
    <cellStyle name="Comma 6 2" xfId="263" xr:uid="{AC132B93-4F19-4652-8A99-01A8BFE5DB7C}"/>
    <cellStyle name="Explanatory Text" xfId="31" builtinId="53" customBuiltin="1"/>
    <cellStyle name="Explanatory Text 2" xfId="125" xr:uid="{F73C86B2-5C42-478F-A775-E3E2F97550BA}"/>
    <cellStyle name="Explanatory Text 2 2" xfId="187" xr:uid="{5AF0AC29-1E0E-4F3E-B3D4-CFFC12C21D47}"/>
    <cellStyle name="Explanatory Text 3" xfId="126" xr:uid="{F85964CA-A970-4AA1-931D-64C991381D0B}"/>
    <cellStyle name="Good" xfId="32" builtinId="26" customBuiltin="1"/>
    <cellStyle name="Good 2" xfId="127" xr:uid="{E3C090CB-EE9B-4E03-95D6-6712C1EA7F79}"/>
    <cellStyle name="Good 2 2" xfId="178" xr:uid="{E4CB1F3F-E020-46BA-BE16-CE2A1C0E1D7E}"/>
    <cellStyle name="Good 3" xfId="128" xr:uid="{DC3BD696-68D2-4E8F-B3C2-8979CD8220EB}"/>
    <cellStyle name="Heading 1" xfId="33" builtinId="16" customBuiltin="1"/>
    <cellStyle name="Heading 1 2" xfId="129" xr:uid="{468CE4A2-0BB7-4EF0-AC0F-ABEF1E1A3C51}"/>
    <cellStyle name="Heading 1 2 2" xfId="174" xr:uid="{D4826693-F26F-4D44-A59A-E5229E588316}"/>
    <cellStyle name="Heading 1 3" xfId="130" xr:uid="{E59DD73E-DC7F-4F8C-A31C-01D0220EC008}"/>
    <cellStyle name="Heading 2" xfId="34" builtinId="17" customBuiltin="1"/>
    <cellStyle name="Heading 2 2" xfId="131" xr:uid="{C09D598C-A874-4822-A600-C51848642C2D}"/>
    <cellStyle name="Heading 2 2 2" xfId="175" xr:uid="{9047089C-50FE-4D44-A99F-0A4E8D8C9847}"/>
    <cellStyle name="Heading 2 3" xfId="132" xr:uid="{FD6D4E0D-9476-4C40-A08F-451DB66F21C5}"/>
    <cellStyle name="Heading 3" xfId="35" builtinId="18" customBuiltin="1"/>
    <cellStyle name="Heading 3 2" xfId="133" xr:uid="{76D50687-9A5B-4BD4-A0F7-6BCC2914DDCA}"/>
    <cellStyle name="Heading 3 2 2" xfId="176" xr:uid="{9CF5799D-7310-4B87-9638-47D7EFA6117D}"/>
    <cellStyle name="Heading 3 3" xfId="134" xr:uid="{8BFD2CB5-EEF3-403C-B1E4-DCB766BAEE80}"/>
    <cellStyle name="Heading 4" xfId="36" builtinId="19" customBuiltin="1"/>
    <cellStyle name="Heading 4 2" xfId="135" xr:uid="{2EB09798-529C-47E5-B6FA-4E1D1AB0AAA1}"/>
    <cellStyle name="Heading 4 2 2" xfId="177" xr:uid="{4C61896C-0C66-4712-8ECB-3E1AE8A09938}"/>
    <cellStyle name="Heading 4 3" xfId="136" xr:uid="{B52DA358-4672-47E0-95AC-9E2DD3F5B3A4}"/>
    <cellStyle name="Hyperlink" xfId="37" builtinId="8"/>
    <cellStyle name="Hyperlink 2" xfId="38" xr:uid="{00000000-0005-0000-0000-00002A000000}"/>
    <cellStyle name="Hyperlink 2 2" xfId="39" xr:uid="{00000000-0005-0000-0000-00002B000000}"/>
    <cellStyle name="Hyperlink 2 3" xfId="215" xr:uid="{C5066A17-D25B-4C9D-991D-399F7CC31871}"/>
    <cellStyle name="Hyperlink 3" xfId="40" xr:uid="{00000000-0005-0000-0000-00002C000000}"/>
    <cellStyle name="Hyperlink 4" xfId="41" xr:uid="{00000000-0005-0000-0000-00002D000000}"/>
    <cellStyle name="Hyperlink 4 2" xfId="138" xr:uid="{AF24AC42-D39C-4B4F-BA6D-C9C1AC8D816D}"/>
    <cellStyle name="Hyperlink 4 3" xfId="139" xr:uid="{583E7553-F89B-4E63-98FF-0A9368D05EAF}"/>
    <cellStyle name="Hyperlink 4 4" xfId="137" xr:uid="{75C6B640-4049-4814-8D97-7A45E2A7F1E3}"/>
    <cellStyle name="Hyperlink 5" xfId="140" xr:uid="{A30775BF-47C7-4715-BBB5-B630AB3FF0EC}"/>
    <cellStyle name="Hyperlink 5 2" xfId="216" xr:uid="{A8434E3A-1072-4128-AE74-6DA16EFC7A45}"/>
    <cellStyle name="Hyperlink_Wiltshire UA revised - " xfId="42" xr:uid="{00000000-0005-0000-0000-00002E000000}"/>
    <cellStyle name="Input" xfId="43" builtinId="20" customBuiltin="1"/>
    <cellStyle name="Input 2" xfId="141" xr:uid="{C9BA14BC-E037-4FD9-9EE8-4229A87008FC}"/>
    <cellStyle name="Input 2 2" xfId="181" xr:uid="{F4D23B51-97C8-4145-BECA-1A74715F017A}"/>
    <cellStyle name="Input 3" xfId="142" xr:uid="{94930803-3085-48FC-B0B4-4F1FD70F3271}"/>
    <cellStyle name="Linked Cell" xfId="44" builtinId="24" customBuiltin="1"/>
    <cellStyle name="Linked Cell 2" xfId="143" xr:uid="{5A759EB3-6311-46BB-BA71-0F97FEB36B5F}"/>
    <cellStyle name="Linked Cell 2 2" xfId="184" xr:uid="{08BAD3E9-FB59-4F53-9140-FE3B811B35DC}"/>
    <cellStyle name="Linked Cell 3" xfId="144" xr:uid="{065D29A3-1F52-4308-8209-523B5107F6C7}"/>
    <cellStyle name="Neutral" xfId="45" builtinId="28" customBuiltin="1"/>
    <cellStyle name="Neutral 2" xfId="145" xr:uid="{3B199B3E-3791-44A6-B40E-535CBF3825B8}"/>
    <cellStyle name="Neutral 2 2" xfId="180" xr:uid="{D8726922-989D-4F22-B91A-67EC146A12E1}"/>
    <cellStyle name="Neutral 3" xfId="146" xr:uid="{D49DAB3F-C26D-403E-9A29-A287ED04CF35}"/>
    <cellStyle name="Normal" xfId="0" builtinId="0"/>
    <cellStyle name="Normal 10" xfId="272" xr:uid="{E7C57F4A-BD1D-435F-AE48-C122D0913688}"/>
    <cellStyle name="Normal 2" xfId="46" xr:uid="{00000000-0005-0000-0000-000033000000}"/>
    <cellStyle name="Normal 2 2" xfId="47" xr:uid="{00000000-0005-0000-0000-000034000000}"/>
    <cellStyle name="Normal 2 2 2" xfId="148" xr:uid="{85B51F20-A6CB-4E1B-8B49-A51FEBD59FC1}"/>
    <cellStyle name="Normal 2 2 3" xfId="149" xr:uid="{8131C92E-9892-4F44-AEDB-6FAB8A29D96D}"/>
    <cellStyle name="Normal 2 2 4" xfId="147" xr:uid="{BB6F14DD-FC0E-4ADD-8325-953F188CCF03}"/>
    <cellStyle name="Normal 2 3" xfId="150" xr:uid="{C5159CEA-CAE9-452B-8754-3AC19BCF93C2}"/>
    <cellStyle name="Normal 2 3 2" xfId="172" xr:uid="{72BAF4C6-D543-4A16-B30D-0FCA5C5E7FE1}"/>
    <cellStyle name="Normal 2 4" xfId="151" xr:uid="{FB5E1A9F-50B8-4A34-8995-27381CFE1224}"/>
    <cellStyle name="Normal 3" xfId="48" xr:uid="{00000000-0005-0000-0000-000035000000}"/>
    <cellStyle name="Normal 3 2" xfId="49" xr:uid="{00000000-0005-0000-0000-000036000000}"/>
    <cellStyle name="Normal 3 2 2" xfId="217" xr:uid="{20781262-EFF9-4DD1-8AE8-D7F5D8003E7A}"/>
    <cellStyle name="Normal 3 3" xfId="153" xr:uid="{95082FEF-8B09-4C23-8FBA-3B969A3DAF7A}"/>
    <cellStyle name="Normal 3 3 2" xfId="259" xr:uid="{A038E3DB-3763-4391-91D0-59627AB2330B}"/>
    <cellStyle name="Normal 3 3 3" xfId="231" xr:uid="{B2073104-0BFA-4858-B173-ACD28726EDCF}"/>
    <cellStyle name="Normal 3 4" xfId="154" xr:uid="{83A09AE8-A7B0-49C2-9F3B-12CAEC0B33BD}"/>
    <cellStyle name="Normal 3 4 2" xfId="261" xr:uid="{50DB2015-0A81-4B82-9455-967BD5D238E3}"/>
    <cellStyle name="Normal 3 5" xfId="152" xr:uid="{7696074E-D470-4C24-AE01-239516E26CAF}"/>
    <cellStyle name="Normal 3 5 2" xfId="245" xr:uid="{E63A039E-8EB8-4A48-A72C-C0C618279B74}"/>
    <cellStyle name="Normal 3 6" xfId="213" xr:uid="{A6379B4C-4E30-4FAD-BDAC-315195B93ADD}"/>
    <cellStyle name="Normal 4" xfId="50" xr:uid="{00000000-0005-0000-0000-000037000000}"/>
    <cellStyle name="Normal 5" xfId="155" xr:uid="{0C2FEEEE-A0AD-4731-A203-206FACF605AE}"/>
    <cellStyle name="Normal 6" xfId="156" xr:uid="{0450770B-1402-4F99-A970-73B7CE6A15AF}"/>
    <cellStyle name="Normal 7" xfId="157" xr:uid="{15CBE511-DF80-4D63-8106-FEDD7BD368F8}"/>
    <cellStyle name="Normal_All Data" xfId="273" xr:uid="{297810D0-BB87-4CE5-A251-75585BA4AC85}"/>
    <cellStyle name="Note" xfId="51" builtinId="10" customBuiltin="1"/>
    <cellStyle name="Note 2" xfId="159" xr:uid="{6E5B7ACC-DA85-428B-B206-AB86A58FDA0F}"/>
    <cellStyle name="Note 2 2" xfId="232" xr:uid="{99ED6D28-68E2-4137-8BC9-D8D4290620F4}"/>
    <cellStyle name="Note 2 2 2" xfId="260" xr:uid="{694E7AD9-9D48-4C1F-907E-8AC4EBE7AD36}"/>
    <cellStyle name="Note 2 3" xfId="262" xr:uid="{A488893F-5F29-486B-9518-82C493C9E593}"/>
    <cellStyle name="Note 2 4" xfId="246" xr:uid="{8883012F-0EDD-4435-B04E-5ACE3F4F005A}"/>
    <cellStyle name="Note 2 5" xfId="214" xr:uid="{12849898-4708-4F0D-A61D-5775963EF85E}"/>
    <cellStyle name="Note 3" xfId="160" xr:uid="{3E729660-E02D-4EC6-ABDB-868C59BEC462}"/>
    <cellStyle name="Note 4" xfId="158" xr:uid="{D6F86458-9B71-43FC-88CC-C9203B38D12B}"/>
    <cellStyle name="Output" xfId="52" builtinId="21" customBuiltin="1"/>
    <cellStyle name="Output 2" xfId="161" xr:uid="{83E1D9C7-65F5-4A66-A5C9-13EEB3BFD9D7}"/>
    <cellStyle name="Output 2 2" xfId="182" xr:uid="{1EFE5183-DAAF-4FB3-ADE3-6658949AA4B7}"/>
    <cellStyle name="Output 3" xfId="162" xr:uid="{4D420498-A116-4B1F-A8E8-5E720D2DB074}"/>
    <cellStyle name="Per cent" xfId="53" builtinId="5"/>
    <cellStyle name="Percent 2" xfId="163" xr:uid="{B7EFEED0-57A5-4CEB-9E46-CF2ED3EBE780}"/>
    <cellStyle name="Percent 3" xfId="164" xr:uid="{3DA95033-DACA-4A57-B5D4-D009C2A00C90}"/>
    <cellStyle name="Title" xfId="54" builtinId="15" customBuiltin="1"/>
    <cellStyle name="Title 2" xfId="165" xr:uid="{B8792F9B-55D6-42A9-AAE4-68A63F5BF89D}"/>
    <cellStyle name="Title 2 2" xfId="173" xr:uid="{B85BC6DD-09CF-4BEA-9B12-3B9A7281DFFA}"/>
    <cellStyle name="Title 3" xfId="166" xr:uid="{B229B8E3-8B7C-4171-8FC8-AF0D3B02802C}"/>
    <cellStyle name="Total" xfId="55" builtinId="25" customBuiltin="1"/>
    <cellStyle name="Total 2" xfId="167" xr:uid="{F2E66731-449E-42B3-96C5-866E70784A35}"/>
    <cellStyle name="Total 2 2" xfId="188" xr:uid="{FBCCE10C-1BBD-4805-B157-219860EC96BC}"/>
    <cellStyle name="Total 3" xfId="168" xr:uid="{F3C1802C-09FB-4C12-9B03-146C27ECFC52}"/>
    <cellStyle name="Warning Text" xfId="56" builtinId="11" customBuiltin="1"/>
    <cellStyle name="Warning Text 2" xfId="169" xr:uid="{EF7E2382-0FC9-4A64-B0C4-150CE4D9D572}"/>
    <cellStyle name="Warning Text 2 2" xfId="186" xr:uid="{186F1830-7A40-4394-85DF-FBD35E317717}"/>
    <cellStyle name="Warning Text 3" xfId="170" xr:uid="{749E510C-8752-41A6-94DD-68A08C14DFF0}"/>
  </cellStyles>
  <dxfs count="113">
    <dxf>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font>
      <fill>
        <patternFill>
          <bgColor rgb="FF92D050"/>
        </patternFill>
      </fill>
    </dxf>
    <dxf>
      <font>
        <b val="0"/>
        <i val="0"/>
      </font>
      <fill>
        <patternFill>
          <bgColor rgb="FFFF0000"/>
        </patternFill>
      </fill>
    </dxf>
    <dxf>
      <font>
        <b val="0"/>
        <i val="0"/>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patternType="none">
          <bgColor indexed="65"/>
        </patternFill>
      </fill>
    </dxf>
    <dxf>
      <fill>
        <patternFill>
          <bgColor indexed="34"/>
        </patternFill>
      </fill>
    </dxf>
    <dxf>
      <font>
        <color rgb="FFFF0000"/>
      </font>
    </dxf>
    <dxf>
      <font>
        <color rgb="FFFF0000"/>
      </font>
    </dxf>
    <dxf>
      <font>
        <color rgb="FFFF0000"/>
      </font>
    </dxf>
    <dxf>
      <fill>
        <patternFill>
          <bgColor rgb="FFFF0000"/>
        </patternFill>
      </fill>
    </dxf>
    <dxf>
      <font>
        <color rgb="FFFF0000"/>
      </font>
    </dxf>
    <dxf>
      <font>
        <color theme="0"/>
      </font>
    </dxf>
    <dxf>
      <font>
        <color rgb="FFFF0000"/>
      </font>
    </dxf>
    <dxf>
      <font>
        <color theme="0"/>
      </font>
    </dxf>
    <dxf>
      <font>
        <color rgb="FFFF0000"/>
      </font>
    </dxf>
    <dxf>
      <font>
        <color theme="0"/>
      </font>
    </dxf>
    <dxf>
      <font>
        <color rgb="FFFF0000"/>
      </font>
    </dxf>
    <dxf>
      <font>
        <color theme="0"/>
      </font>
    </dxf>
    <dxf>
      <fill>
        <patternFill>
          <bgColor rgb="FFFF0000"/>
        </patternFill>
      </fill>
    </dxf>
    <dxf>
      <fill>
        <patternFill>
          <bgColor indexed="10"/>
        </patternFill>
      </fill>
    </dxf>
    <dxf>
      <font>
        <color rgb="FFFF0000"/>
      </font>
    </dxf>
    <dxf>
      <fill>
        <patternFill>
          <bgColor indexed="10"/>
        </patternFill>
      </fill>
    </dxf>
    <dxf>
      <font>
        <color rgb="FFFF0000"/>
      </font>
    </dxf>
    <dxf>
      <fill>
        <patternFill>
          <bgColor indexed="10"/>
        </patternFill>
      </fill>
    </dxf>
    <dxf>
      <font>
        <b val="0"/>
        <i val="0"/>
        <color rgb="FFFF000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13"/>
        </patternFill>
      </fill>
    </dxf>
    <dxf>
      <fill>
        <patternFill>
          <bgColor rgb="FFFF0000"/>
        </patternFill>
      </fill>
    </dxf>
    <dxf>
      <fill>
        <patternFill>
          <bgColor indexed="13"/>
        </patternFill>
      </fill>
    </dxf>
    <dxf>
      <fill>
        <patternFill>
          <bgColor indexed="10"/>
        </patternFill>
      </fill>
    </dxf>
    <dxf>
      <fill>
        <patternFill>
          <bgColor indexed="10"/>
        </patternFill>
      </fill>
    </dxf>
    <dxf>
      <fill>
        <patternFill>
          <bgColor indexed="13"/>
        </patternFill>
      </fill>
    </dxf>
    <dxf>
      <fill>
        <patternFill>
          <bgColor indexed="10"/>
        </patternFill>
      </fill>
    </dxf>
    <dxf>
      <fill>
        <patternFill>
          <bgColor indexed="10"/>
        </patternFill>
      </fill>
    </dxf>
    <dxf>
      <fill>
        <patternFill>
          <bgColor indexed="1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10"/>
        </patternFill>
      </fill>
    </dxf>
    <dxf>
      <fill>
        <patternFill>
          <bgColor indexed="10"/>
        </patternFill>
      </fill>
    </dxf>
    <dxf>
      <fill>
        <patternFill>
          <bgColor indexed="13"/>
        </patternFill>
      </fill>
    </dxf>
    <dxf>
      <fill>
        <patternFill>
          <bgColor indexed="10"/>
        </patternFill>
      </fill>
    </dxf>
    <dxf>
      <fill>
        <patternFill>
          <bgColor indexed="10"/>
        </patternFill>
      </fill>
    </dxf>
    <dxf>
      <fill>
        <patternFill>
          <bgColor indexed="13"/>
        </patternFill>
      </fill>
    </dxf>
    <dxf>
      <font>
        <b val="0"/>
        <i val="0"/>
        <condense val="0"/>
        <extend val="0"/>
        <color indexed="8"/>
      </font>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patternType="none">
          <bgColor auto="1"/>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border>
        <left/>
        <right/>
        <top style="thin">
          <color theme="0" tint="-0.24994659260841701"/>
        </top>
        <bottom style="thin">
          <color theme="0" tint="-0.24994659260841701"/>
        </bottom>
      </border>
    </dxf>
    <dxf>
      <font>
        <b/>
        <i val="0"/>
        <color auto="1"/>
      </font>
      <fill>
        <patternFill>
          <bgColor rgb="FFFF0000"/>
        </patternFill>
      </fill>
      <border>
        <left style="thin">
          <color auto="1"/>
        </left>
        <right style="thin">
          <color auto="1"/>
        </right>
        <top style="thin">
          <color auto="1"/>
        </top>
        <bottom style="thin">
          <color auto="1"/>
        </bottom>
        <vertical/>
        <horizontal/>
      </border>
    </dxf>
    <dxf>
      <font>
        <b/>
        <i val="0"/>
        <color auto="1"/>
      </font>
      <fill>
        <patternFill>
          <bgColor rgb="FF00B050"/>
        </patternFill>
      </fill>
      <border>
        <left style="thin">
          <color auto="1"/>
        </left>
        <right style="thin">
          <color auto="1"/>
        </right>
        <top style="thin">
          <color auto="1"/>
        </top>
        <bottom style="thin">
          <color auto="1"/>
        </bottom>
        <vertical/>
        <horizontal/>
      </border>
    </dxf>
    <dxf>
      <font>
        <b/>
        <i val="0"/>
        <color auto="1"/>
      </font>
      <fill>
        <patternFill>
          <bgColor rgb="FFFF0000"/>
        </patternFill>
      </fill>
      <border>
        <left style="thin">
          <color auto="1"/>
        </left>
        <right style="thin">
          <color auto="1"/>
        </right>
        <top style="thin">
          <color auto="1"/>
        </top>
        <bottom style="thin">
          <color auto="1"/>
        </bottom>
        <vertical/>
        <horizontal/>
      </border>
    </dxf>
    <dxf>
      <font>
        <b/>
        <i val="0"/>
        <color auto="1"/>
      </font>
      <fill>
        <patternFill>
          <bgColor rgb="FF00B050"/>
        </patternFill>
      </fill>
      <border>
        <left style="thin">
          <color auto="1"/>
        </left>
        <right style="thin">
          <color auto="1"/>
        </right>
        <top style="thin">
          <color auto="1"/>
        </top>
        <bottom style="thin">
          <color auto="1"/>
        </bottom>
        <vertical/>
        <horizontal/>
      </border>
    </dxf>
    <dxf>
      <fill>
        <patternFill patternType="none">
          <bgColor auto="1"/>
        </patternFill>
      </fill>
      <border>
        <left/>
        <right/>
        <top/>
        <bottom/>
      </border>
    </dxf>
    <dxf>
      <fill>
        <patternFill>
          <bgColor theme="0" tint="-0.24994659260841701"/>
        </patternFill>
      </fill>
    </dxf>
    <dxf>
      <font>
        <color auto="1"/>
      </font>
      <fill>
        <patternFill>
          <bgColor theme="0" tint="-0.24994659260841701"/>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00"/>
      <color rgb="FFCCFFCC"/>
      <color rgb="FFFFC7CE"/>
      <color rgb="FFFFFFC0"/>
      <color rgb="FFFFFFFF"/>
      <color rgb="FF008000"/>
      <color rgb="FFFFFFCC"/>
      <color rgb="FFFFFFFE"/>
      <color rgb="FFFFFFB9"/>
      <color rgb="FF007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List" dx="16" fmlaLink="J1" fmlaRange="#REF!" noThreeD="1" sel="0" val="0"/>
</file>

<file path=xl/ctrlProps/ctrlProp2.xml><?xml version="1.0" encoding="utf-8"?>
<formControlPr xmlns="http://schemas.microsoft.com/office/spreadsheetml/2009/9/main" objectType="List" dx="16" fmlaLink="J1" fmlaRange="Data!$B$6:$B$302" noThreeD="1" sel="297" val="29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3990975</xdr:colOff>
      <xdr:row>14</xdr:row>
      <xdr:rowOff>114300</xdr:rowOff>
    </xdr:from>
    <xdr:to>
      <xdr:col>3</xdr:col>
      <xdr:colOff>942975</xdr:colOff>
      <xdr:row>14</xdr:row>
      <xdr:rowOff>114300</xdr:rowOff>
    </xdr:to>
    <xdr:sp macro="" textlink="">
      <xdr:nvSpPr>
        <xdr:cNvPr id="2" name="Line 8">
          <a:extLst>
            <a:ext uri="{FF2B5EF4-FFF2-40B4-BE49-F238E27FC236}">
              <a16:creationId xmlns:a16="http://schemas.microsoft.com/office/drawing/2014/main" id="{00000000-0008-0000-0200-000002000000}"/>
            </a:ext>
          </a:extLst>
        </xdr:cNvPr>
        <xdr:cNvSpPr>
          <a:spLocks noChangeShapeType="1"/>
        </xdr:cNvSpPr>
      </xdr:nvSpPr>
      <xdr:spPr bwMode="auto">
        <a:xfrm>
          <a:off x="1911350" y="2381250"/>
          <a:ext cx="638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238125</xdr:colOff>
          <xdr:row>13</xdr:row>
          <xdr:rowOff>66675</xdr:rowOff>
        </xdr:from>
        <xdr:to>
          <xdr:col>5</xdr:col>
          <xdr:colOff>1444625</xdr:colOff>
          <xdr:row>17</xdr:row>
          <xdr:rowOff>34925</xdr:rowOff>
        </xdr:to>
        <xdr:sp macro="" textlink="">
          <xdr:nvSpPr>
            <xdr:cNvPr id="25601" name="List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66675</xdr:rowOff>
        </xdr:from>
        <xdr:to>
          <xdr:col>8</xdr:col>
          <xdr:colOff>15875</xdr:colOff>
          <xdr:row>18</xdr:row>
          <xdr:rowOff>73025</xdr:rowOff>
        </xdr:to>
        <xdr:sp macro="" textlink="">
          <xdr:nvSpPr>
            <xdr:cNvPr id="25602" name="List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255308</xdr:colOff>
      <xdr:row>0</xdr:row>
      <xdr:rowOff>0</xdr:rowOff>
    </xdr:from>
    <xdr:to>
      <xdr:col>2</xdr:col>
      <xdr:colOff>2511725</xdr:colOff>
      <xdr:row>7</xdr:row>
      <xdr:rowOff>96743</xdr:rowOff>
    </xdr:to>
    <xdr:pic>
      <xdr:nvPicPr>
        <xdr:cNvPr id="4" name="Picture 3">
          <a:extLst>
            <a:ext uri="{FF2B5EF4-FFF2-40B4-BE49-F238E27FC236}">
              <a16:creationId xmlns:a16="http://schemas.microsoft.com/office/drawing/2014/main" id="{A71B1A54-7155-65E2-EE92-9373DE56AD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025" t="13912" r="10009" b="15050"/>
        <a:stretch/>
      </xdr:blipFill>
      <xdr:spPr>
        <a:xfrm>
          <a:off x="255308" y="0"/>
          <a:ext cx="3137835" cy="18169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3990975</xdr:colOff>
      <xdr:row>12</xdr:row>
      <xdr:rowOff>0</xdr:rowOff>
    </xdr:from>
    <xdr:to>
      <xdr:col>10</xdr:col>
      <xdr:colOff>0</xdr:colOff>
      <xdr:row>12</xdr:row>
      <xdr:rowOff>0</xdr:rowOff>
    </xdr:to>
    <xdr:sp macro="" textlink="">
      <xdr:nvSpPr>
        <xdr:cNvPr id="9260" name="Line 1">
          <a:extLst>
            <a:ext uri="{FF2B5EF4-FFF2-40B4-BE49-F238E27FC236}">
              <a16:creationId xmlns:a16="http://schemas.microsoft.com/office/drawing/2014/main" id="{00000000-0008-0000-0300-00002C240000}"/>
            </a:ext>
          </a:extLst>
        </xdr:cNvPr>
        <xdr:cNvSpPr>
          <a:spLocks noChangeShapeType="1"/>
        </xdr:cNvSpPr>
      </xdr:nvSpPr>
      <xdr:spPr bwMode="auto">
        <a:xfrm>
          <a:off x="12392025" y="25050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204258</xdr:colOff>
      <xdr:row>0</xdr:row>
      <xdr:rowOff>437092</xdr:rowOff>
    </xdr:from>
    <xdr:to>
      <xdr:col>3</xdr:col>
      <xdr:colOff>1215900</xdr:colOff>
      <xdr:row>4</xdr:row>
      <xdr:rowOff>54908</xdr:rowOff>
    </xdr:to>
    <xdr:pic>
      <xdr:nvPicPr>
        <xdr:cNvPr id="2" name="Picture 1">
          <a:extLst>
            <a:ext uri="{FF2B5EF4-FFF2-40B4-BE49-F238E27FC236}">
              <a16:creationId xmlns:a16="http://schemas.microsoft.com/office/drawing/2014/main" id="{93F0FE04-B7F9-49C6-8763-04CFF73BE51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025" t="13912" r="10009" b="15050"/>
        <a:stretch/>
      </xdr:blipFill>
      <xdr:spPr>
        <a:xfrm>
          <a:off x="204258" y="437092"/>
          <a:ext cx="3121959" cy="18614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D8773-08FA-4FBE-98FA-ADE17D933211}">
  <sheetPr codeName="Sheet21">
    <tabColor theme="0" tint="-0.249977111117893"/>
  </sheetPr>
  <dimension ref="A1:AZ2"/>
  <sheetViews>
    <sheetView zoomScale="70" zoomScaleNormal="90" workbookViewId="0"/>
  </sheetViews>
  <sheetFormatPr defaultColWidth="8.7109375" defaultRowHeight="12.75" customHeight="1" x14ac:dyDescent="0.2"/>
  <cols>
    <col min="1" max="1" width="10.140625" style="290" bestFit="1" customWidth="1"/>
    <col min="2" max="2" width="14.5703125" style="290" bestFit="1" customWidth="1"/>
    <col min="3" max="3" width="14.42578125" style="290" bestFit="1" customWidth="1"/>
    <col min="4" max="4" width="11.140625" style="290" bestFit="1" customWidth="1"/>
    <col min="5" max="5" width="14.42578125" style="290" bestFit="1" customWidth="1"/>
    <col min="6" max="6" width="11.7109375" style="290" bestFit="1" customWidth="1"/>
    <col min="7" max="7" width="13.140625" style="290" bestFit="1" customWidth="1"/>
    <col min="8" max="8" width="22.85546875" style="290" bestFit="1" customWidth="1"/>
    <col min="9" max="40" width="22.85546875" style="290" customWidth="1"/>
    <col min="41" max="41" width="18" style="290" bestFit="1" customWidth="1"/>
    <col min="42" max="42" width="11.7109375" style="290" bestFit="1" customWidth="1"/>
    <col min="43" max="43" width="11.5703125" style="290" bestFit="1" customWidth="1"/>
    <col min="44" max="44" width="11.28515625" style="290" bestFit="1" customWidth="1"/>
    <col min="45" max="45" width="11.85546875" style="290" bestFit="1" customWidth="1"/>
    <col min="46" max="46" width="11.7109375" style="290" bestFit="1" customWidth="1"/>
    <col min="47" max="47" width="15.5703125" style="290" bestFit="1" customWidth="1"/>
    <col min="48" max="48" width="10.85546875" style="290" bestFit="1" customWidth="1"/>
    <col min="49" max="49" width="15.42578125" style="290" bestFit="1" customWidth="1"/>
    <col min="50" max="50" width="15.140625" style="290" bestFit="1" customWidth="1"/>
    <col min="51" max="51" width="11.5703125" style="290" bestFit="1" customWidth="1"/>
    <col min="52" max="52" width="11.85546875" style="290" bestFit="1" customWidth="1"/>
    <col min="53" max="16384" width="8.7109375" style="290"/>
  </cols>
  <sheetData>
    <row r="1" spans="1:52" ht="12.75" customHeight="1" x14ac:dyDescent="0.2">
      <c r="A1" s="290" t="s">
        <v>0</v>
      </c>
      <c r="B1" s="290" t="s">
        <v>1</v>
      </c>
      <c r="C1" s="290" t="s">
        <v>2</v>
      </c>
      <c r="D1" s="290" t="s">
        <v>3</v>
      </c>
      <c r="E1" s="290" t="s">
        <v>4</v>
      </c>
      <c r="F1" s="505" t="s">
        <v>5</v>
      </c>
      <c r="G1" s="290" t="s">
        <v>6</v>
      </c>
      <c r="H1" s="290" t="s">
        <v>7</v>
      </c>
      <c r="I1" t="s">
        <v>8</v>
      </c>
      <c r="J1" s="262" t="s">
        <v>9</v>
      </c>
      <c r="K1" s="262" t="s">
        <v>10</v>
      </c>
      <c r="L1" s="262" t="s">
        <v>11</v>
      </c>
      <c r="M1" s="262" t="s">
        <v>12</v>
      </c>
      <c r="N1" s="262" t="s">
        <v>13</v>
      </c>
      <c r="O1" s="263" t="s">
        <v>14</v>
      </c>
      <c r="P1" s="263" t="s">
        <v>15</v>
      </c>
      <c r="Q1" s="262" t="s">
        <v>16</v>
      </c>
      <c r="R1" s="262" t="s">
        <v>17</v>
      </c>
      <c r="S1" s="262" t="s">
        <v>18</v>
      </c>
      <c r="T1" s="262" t="s">
        <v>19</v>
      </c>
      <c r="U1" s="262" t="s">
        <v>20</v>
      </c>
      <c r="V1" s="263" t="s">
        <v>21</v>
      </c>
      <c r="W1" s="263" t="s">
        <v>22</v>
      </c>
      <c r="X1" s="262" t="s">
        <v>23</v>
      </c>
      <c r="Y1" s="262" t="s">
        <v>24</v>
      </c>
      <c r="Z1" s="262" t="s">
        <v>25</v>
      </c>
      <c r="AA1" s="262" t="s">
        <v>26</v>
      </c>
      <c r="AB1" s="262" t="s">
        <v>27</v>
      </c>
      <c r="AC1" s="262" t="s">
        <v>28</v>
      </c>
      <c r="AD1" s="263" t="s">
        <v>29</v>
      </c>
      <c r="AE1" s="263" t="s">
        <v>30</v>
      </c>
      <c r="AF1" s="262" t="s">
        <v>31</v>
      </c>
      <c r="AG1" s="262" t="s">
        <v>32</v>
      </c>
      <c r="AH1" s="262" t="s">
        <v>33</v>
      </c>
      <c r="AI1" s="262" t="s">
        <v>34</v>
      </c>
      <c r="AJ1" s="262" t="s">
        <v>35</v>
      </c>
      <c r="AK1" s="262" t="s">
        <v>36</v>
      </c>
      <c r="AL1" s="263" t="s">
        <v>37</v>
      </c>
      <c r="AM1" s="263" t="s">
        <v>38</v>
      </c>
      <c r="AN1" s="262" t="s">
        <v>39</v>
      </c>
      <c r="AO1" s="290" t="s">
        <v>40</v>
      </c>
      <c r="AP1" s="290" t="s">
        <v>41</v>
      </c>
      <c r="AQ1" s="290" t="s">
        <v>42</v>
      </c>
      <c r="AR1" s="290" t="s">
        <v>43</v>
      </c>
      <c r="AS1" s="290" t="s">
        <v>44</v>
      </c>
      <c r="AT1" s="290" t="s">
        <v>45</v>
      </c>
      <c r="AU1" s="290" t="s">
        <v>46</v>
      </c>
      <c r="AV1" s="290" t="s">
        <v>47</v>
      </c>
      <c r="AW1" s="290" t="s">
        <v>48</v>
      </c>
      <c r="AX1" s="290" t="s">
        <v>49</v>
      </c>
      <c r="AY1" s="290" t="s">
        <v>50</v>
      </c>
      <c r="AZ1" s="290" t="s">
        <v>51</v>
      </c>
    </row>
    <row r="2" spans="1:52" ht="12.75" customHeight="1" x14ac:dyDescent="0.2">
      <c r="A2" s="352">
        <f>CTR1_Billing!$H$27</f>
        <v>0</v>
      </c>
      <c r="B2" s="352">
        <f>CTR1_Billing!$H$30</f>
        <v>0</v>
      </c>
      <c r="C2" s="352">
        <f>CTR1_Billing!$H$32</f>
        <v>0</v>
      </c>
      <c r="D2" s="352">
        <f>CTR1_Billing!$H$36</f>
        <v>0</v>
      </c>
      <c r="E2" s="352">
        <f>CTR1_Billing!$H$40</f>
        <v>0</v>
      </c>
      <c r="F2" s="504">
        <f>CTR1_Billing!$H$42*100</f>
        <v>0</v>
      </c>
      <c r="G2" s="352">
        <f>CTR1_Billing!$H$44</f>
        <v>0</v>
      </c>
      <c r="H2" s="352">
        <f>CTR1_Billing!$H$64</f>
        <v>0</v>
      </c>
      <c r="I2" s="352">
        <f>CTR1_Billing!$L$76</f>
        <v>3</v>
      </c>
      <c r="J2" s="353">
        <f>CTR1_Billing!$D$80</f>
        <v>0</v>
      </c>
      <c r="K2" s="353">
        <f>CTR1_Billing!$D$81</f>
        <v>0</v>
      </c>
      <c r="L2" s="353">
        <f>CTR1_Billing!$D$82</f>
        <v>0</v>
      </c>
      <c r="M2" s="353">
        <f>CTR1_Billing!$D$83</f>
        <v>0</v>
      </c>
      <c r="N2" s="353">
        <f>CTR1_Billing!$D$84</f>
        <v>0</v>
      </c>
      <c r="O2" s="353">
        <f>CTR1_Billing!$D$85</f>
        <v>0</v>
      </c>
      <c r="P2" s="353">
        <f>CTR1_Billing!$D$86</f>
        <v>0</v>
      </c>
      <c r="Q2" s="353">
        <f>CTR1_Billing!$E$80</f>
        <v>0</v>
      </c>
      <c r="R2" s="353">
        <f>CTR1_Billing!$E$81</f>
        <v>0</v>
      </c>
      <c r="S2" s="353">
        <f>CTR1_Billing!$E$82</f>
        <v>0</v>
      </c>
      <c r="T2" s="353">
        <f>CTR1_Billing!$E$83</f>
        <v>0</v>
      </c>
      <c r="U2" s="353">
        <f>CTR1_Billing!$E$84</f>
        <v>0</v>
      </c>
      <c r="V2" s="353">
        <f>CTR1_Billing!$E$85</f>
        <v>0</v>
      </c>
      <c r="W2" s="353">
        <f>CTR1_Billing!$E$86</f>
        <v>0</v>
      </c>
      <c r="X2" s="353" t="str">
        <f>CTR1_Billing!$E$87</f>
        <v/>
      </c>
      <c r="Y2" s="353">
        <f>CTR1_Billing!$F$80</f>
        <v>0</v>
      </c>
      <c r="Z2" s="353">
        <f>CTR1_Billing!$F$81</f>
        <v>0</v>
      </c>
      <c r="AA2" s="353">
        <f>CTR1_Billing!$F$82</f>
        <v>0</v>
      </c>
      <c r="AB2" s="353">
        <f>CTR1_Billing!$F$83</f>
        <v>0</v>
      </c>
      <c r="AC2" s="353">
        <f>CTR1_Billing!$F$84</f>
        <v>0</v>
      </c>
      <c r="AD2" s="353">
        <f>CTR1_Billing!$F$85</f>
        <v>0</v>
      </c>
      <c r="AE2" s="353">
        <f>CTR1_Billing!$F$86</f>
        <v>0</v>
      </c>
      <c r="AF2" s="353" t="str">
        <f>CTR1_Billing!$F$87</f>
        <v/>
      </c>
      <c r="AG2" s="353">
        <f>CTR1_Billing!$G$80</f>
        <v>0</v>
      </c>
      <c r="AH2" s="353">
        <f>CTR1_Billing!$G$81</f>
        <v>0</v>
      </c>
      <c r="AI2" s="353">
        <f>CTR1_Billing!$G$82</f>
        <v>0</v>
      </c>
      <c r="AJ2" s="353">
        <f>CTR1_Billing!$G$83</f>
        <v>0</v>
      </c>
      <c r="AK2" s="353">
        <f>CTR1_Billing!$G$84</f>
        <v>0</v>
      </c>
      <c r="AL2" s="353">
        <f>CTR1_Billing!$G$85</f>
        <v>0</v>
      </c>
      <c r="AM2" s="353">
        <f>CTR1_Billing!$G$86</f>
        <v>0</v>
      </c>
      <c r="AN2" s="353">
        <f>CTR1_Billing!$G$87</f>
        <v>0</v>
      </c>
      <c r="AO2" s="353">
        <f>CTR1_Billing!$L$97</f>
        <v>4</v>
      </c>
      <c r="AP2" s="353">
        <f>CTR1_Billing!$L$100</f>
        <v>4</v>
      </c>
      <c r="AQ2" s="353">
        <f>CTR1_Billing!$F$108</f>
        <v>0</v>
      </c>
      <c r="AR2" s="353">
        <f>CTR1_Billing!$F$110</f>
        <v>0</v>
      </c>
      <c r="AS2" s="353">
        <f>CTR1_Billing!$F$112</f>
        <v>0</v>
      </c>
      <c r="AT2" s="353">
        <f>CTR1_Billing!$F$114</f>
        <v>0</v>
      </c>
      <c r="AU2" s="353">
        <f>CTR1_Billing!$F$123</f>
        <v>0</v>
      </c>
      <c r="AV2" s="353">
        <f>CTR1_Billing!$H$123</f>
        <v>0</v>
      </c>
      <c r="AW2" s="353">
        <f>CTR1_Billing!$F$125</f>
        <v>0</v>
      </c>
      <c r="AX2" s="353">
        <f>CTR1_Billing!$H$125</f>
        <v>0</v>
      </c>
      <c r="AY2" s="353">
        <f>CTR1_Billing!$F$127</f>
        <v>0</v>
      </c>
      <c r="AZ2" s="353">
        <f>CTR1_Billing!$H$127</f>
        <v>0</v>
      </c>
    </row>
  </sheetData>
  <sheetProtection algorithmName="SHA-512" hashValue="F0NorFcsw+nFqYjTAHKnpEae5ErqU9VSHtM07Y9SUqizX8fFiN7seLQ8bhCFq11/5uBkCmliMKx9l1/EG7KHpQ==" saltValue="VcrXzzFOm+iRLB4X6uWW6A=="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11621-5DFB-4F42-BE79-8CCCE0FB4C06}">
  <sheetPr codeName="Sheet18">
    <tabColor rgb="FF00B050"/>
  </sheetPr>
  <dimension ref="A1:J10238"/>
  <sheetViews>
    <sheetView zoomScale="80" zoomScaleNormal="80" workbookViewId="0"/>
  </sheetViews>
  <sheetFormatPr defaultColWidth="9.140625" defaultRowHeight="12.75" x14ac:dyDescent="0.2"/>
  <cols>
    <col min="1" max="1" width="9.140625" style="481"/>
    <col min="2" max="2" width="24.140625" style="481" customWidth="1"/>
    <col min="3" max="3" width="29.42578125" style="481" customWidth="1"/>
    <col min="4" max="4" width="14.85546875" style="481" bestFit="1" customWidth="1"/>
    <col min="5" max="5" width="22.5703125" style="481" customWidth="1"/>
    <col min="6" max="6" width="10.42578125" style="493" customWidth="1"/>
    <col min="7" max="7" width="11.42578125" style="494" bestFit="1" customWidth="1"/>
    <col min="8" max="8" width="11.5703125" style="495" customWidth="1"/>
    <col min="9" max="9" width="24.7109375" style="481" customWidth="1"/>
    <col min="10" max="10" width="16.140625" style="481" customWidth="1"/>
    <col min="11" max="16384" width="9.140625" style="481"/>
  </cols>
  <sheetData>
    <row r="1" spans="1:10" x14ac:dyDescent="0.2">
      <c r="A1" s="478"/>
      <c r="B1" s="478"/>
      <c r="C1" s="478"/>
      <c r="D1" s="478"/>
      <c r="E1" s="478"/>
      <c r="F1" s="479"/>
      <c r="G1" s="478"/>
      <c r="H1" s="480"/>
      <c r="I1" s="478"/>
      <c r="J1" s="478"/>
    </row>
    <row r="2" spans="1:10" x14ac:dyDescent="0.2">
      <c r="A2" s="482" t="s">
        <v>303</v>
      </c>
      <c r="B2" s="482" t="s">
        <v>1488</v>
      </c>
      <c r="C2" s="483" t="s">
        <v>1489</v>
      </c>
      <c r="D2" s="482" t="s">
        <v>1490</v>
      </c>
      <c r="E2" s="482" t="s">
        <v>1491</v>
      </c>
      <c r="F2" s="484" t="s">
        <v>150</v>
      </c>
      <c r="G2" s="482" t="s">
        <v>1492</v>
      </c>
      <c r="H2" s="485" t="s">
        <v>1493</v>
      </c>
      <c r="I2" s="482" t="s">
        <v>1494</v>
      </c>
      <c r="J2" s="482" t="s">
        <v>1495</v>
      </c>
    </row>
    <row r="3" spans="1:10" ht="15" x14ac:dyDescent="0.2">
      <c r="A3" s="486" t="s">
        <v>423</v>
      </c>
      <c r="B3" s="487" t="s">
        <v>422</v>
      </c>
      <c r="C3" s="488" t="s">
        <v>1496</v>
      </c>
      <c r="D3" s="489" t="s">
        <v>1497</v>
      </c>
      <c r="E3" s="487" t="s">
        <v>1498</v>
      </c>
      <c r="F3" s="490">
        <v>47800</v>
      </c>
      <c r="G3" s="489">
        <v>783.65</v>
      </c>
      <c r="H3" s="489">
        <v>60.99662</v>
      </c>
      <c r="I3" s="487" t="s">
        <v>1499</v>
      </c>
      <c r="J3" s="487" t="s">
        <v>424</v>
      </c>
    </row>
    <row r="4" spans="1:10" ht="15" x14ac:dyDescent="0.2">
      <c r="A4" s="486" t="s">
        <v>423</v>
      </c>
      <c r="B4" s="487" t="s">
        <v>422</v>
      </c>
      <c r="C4" s="488" t="s">
        <v>1500</v>
      </c>
      <c r="D4" s="489" t="s">
        <v>1501</v>
      </c>
      <c r="E4" s="487" t="s">
        <v>1502</v>
      </c>
      <c r="F4" s="490">
        <v>135240</v>
      </c>
      <c r="G4" s="489">
        <v>1204.23</v>
      </c>
      <c r="H4" s="489">
        <v>112.30413</v>
      </c>
      <c r="I4" s="487" t="s">
        <v>1499</v>
      </c>
      <c r="J4" s="487" t="s">
        <v>424</v>
      </c>
    </row>
    <row r="5" spans="1:10" ht="15" x14ac:dyDescent="0.2">
      <c r="A5" s="486" t="s">
        <v>423</v>
      </c>
      <c r="B5" s="487" t="s">
        <v>422</v>
      </c>
      <c r="C5" s="488" t="s">
        <v>1503</v>
      </c>
      <c r="D5" s="489" t="s">
        <v>1504</v>
      </c>
      <c r="E5" s="487" t="s">
        <v>1505</v>
      </c>
      <c r="F5" s="490">
        <v>38841</v>
      </c>
      <c r="G5" s="489">
        <v>867.04</v>
      </c>
      <c r="H5" s="489">
        <v>44.797240000000002</v>
      </c>
      <c r="I5" s="487" t="s">
        <v>1499</v>
      </c>
      <c r="J5" s="487" t="s">
        <v>424</v>
      </c>
    </row>
    <row r="6" spans="1:10" ht="15" x14ac:dyDescent="0.2">
      <c r="A6" s="486" t="s">
        <v>423</v>
      </c>
      <c r="B6" s="487" t="s">
        <v>422</v>
      </c>
      <c r="C6" s="488" t="s">
        <v>1506</v>
      </c>
      <c r="D6" s="489" t="s">
        <v>1507</v>
      </c>
      <c r="E6" s="487" t="s">
        <v>1508</v>
      </c>
      <c r="F6" s="490">
        <v>44000</v>
      </c>
      <c r="G6" s="489">
        <v>546.5</v>
      </c>
      <c r="H6" s="489">
        <v>80.512349999999998</v>
      </c>
      <c r="I6" s="487" t="s">
        <v>1499</v>
      </c>
      <c r="J6" s="487" t="s">
        <v>424</v>
      </c>
    </row>
    <row r="7" spans="1:10" ht="15" x14ac:dyDescent="0.2">
      <c r="A7" s="486" t="s">
        <v>423</v>
      </c>
      <c r="B7" s="487" t="s">
        <v>422</v>
      </c>
      <c r="C7" s="488" t="s">
        <v>1509</v>
      </c>
      <c r="D7" s="489" t="s">
        <v>1510</v>
      </c>
      <c r="E7" s="487" t="s">
        <v>1511</v>
      </c>
      <c r="F7" s="490">
        <v>25519</v>
      </c>
      <c r="G7" s="489">
        <v>278.16000000000003</v>
      </c>
      <c r="H7" s="489">
        <v>91.742159999999998</v>
      </c>
      <c r="I7" s="487" t="s">
        <v>1499</v>
      </c>
      <c r="J7" s="487" t="s">
        <v>424</v>
      </c>
    </row>
    <row r="8" spans="1:10" ht="15" x14ac:dyDescent="0.2">
      <c r="A8" s="486" t="s">
        <v>423</v>
      </c>
      <c r="B8" s="487" t="s">
        <v>422</v>
      </c>
      <c r="C8" s="488" t="s">
        <v>1512</v>
      </c>
      <c r="D8" s="489" t="s">
        <v>1513</v>
      </c>
      <c r="E8" s="487" t="s">
        <v>1514</v>
      </c>
      <c r="F8" s="490">
        <v>5000</v>
      </c>
      <c r="G8" s="489">
        <v>228.96</v>
      </c>
      <c r="H8" s="489">
        <v>21.837879999999998</v>
      </c>
      <c r="I8" s="487" t="s">
        <v>1499</v>
      </c>
      <c r="J8" s="487" t="s">
        <v>424</v>
      </c>
    </row>
    <row r="9" spans="1:10" ht="15" x14ac:dyDescent="0.2">
      <c r="A9" s="486" t="s">
        <v>423</v>
      </c>
      <c r="B9" s="487" t="s">
        <v>422</v>
      </c>
      <c r="C9" s="488" t="s">
        <v>1515</v>
      </c>
      <c r="D9" s="489" t="s">
        <v>1516</v>
      </c>
      <c r="E9" s="487" t="s">
        <v>1517</v>
      </c>
      <c r="F9" s="490">
        <v>4000</v>
      </c>
      <c r="G9" s="489">
        <v>69.760000000000005</v>
      </c>
      <c r="H9" s="489">
        <v>57.339449999999999</v>
      </c>
      <c r="I9" s="487" t="s">
        <v>1499</v>
      </c>
      <c r="J9" s="487" t="s">
        <v>424</v>
      </c>
    </row>
    <row r="10" spans="1:10" ht="15" x14ac:dyDescent="0.2">
      <c r="A10" s="486" t="s">
        <v>423</v>
      </c>
      <c r="B10" s="487" t="s">
        <v>422</v>
      </c>
      <c r="C10" s="488" t="s">
        <v>1518</v>
      </c>
      <c r="D10" s="489" t="s">
        <v>1519</v>
      </c>
      <c r="E10" s="487" t="s">
        <v>1520</v>
      </c>
      <c r="F10" s="490">
        <v>39500</v>
      </c>
      <c r="G10" s="489">
        <v>692.7</v>
      </c>
      <c r="H10" s="489">
        <v>57.023240000000001</v>
      </c>
      <c r="I10" s="487" t="s">
        <v>1499</v>
      </c>
      <c r="J10" s="487" t="s">
        <v>424</v>
      </c>
    </row>
    <row r="11" spans="1:10" ht="15" x14ac:dyDescent="0.2">
      <c r="A11" s="486" t="s">
        <v>423</v>
      </c>
      <c r="B11" s="487" t="s">
        <v>422</v>
      </c>
      <c r="C11" s="488" t="s">
        <v>1521</v>
      </c>
      <c r="D11" s="489" t="s">
        <v>1522</v>
      </c>
      <c r="E11" s="487" t="s">
        <v>1523</v>
      </c>
      <c r="F11" s="490">
        <v>23000</v>
      </c>
      <c r="G11" s="489">
        <v>490.6</v>
      </c>
      <c r="H11" s="489">
        <v>46.881369999999997</v>
      </c>
      <c r="I11" s="487" t="s">
        <v>1499</v>
      </c>
      <c r="J11" s="487" t="s">
        <v>424</v>
      </c>
    </row>
    <row r="12" spans="1:10" ht="15" x14ac:dyDescent="0.2">
      <c r="A12" s="486" t="s">
        <v>423</v>
      </c>
      <c r="B12" s="487" t="s">
        <v>422</v>
      </c>
      <c r="C12" s="488" t="s">
        <v>1524</v>
      </c>
      <c r="D12" s="489" t="s">
        <v>1525</v>
      </c>
      <c r="E12" s="487" t="s">
        <v>1526</v>
      </c>
      <c r="F12" s="490">
        <v>2500</v>
      </c>
      <c r="G12" s="489">
        <v>85.94</v>
      </c>
      <c r="H12" s="489">
        <v>29.090060000000001</v>
      </c>
      <c r="I12" s="487" t="s">
        <v>1499</v>
      </c>
      <c r="J12" s="487" t="s">
        <v>424</v>
      </c>
    </row>
    <row r="13" spans="1:10" ht="15" x14ac:dyDescent="0.2">
      <c r="A13" s="486" t="s">
        <v>423</v>
      </c>
      <c r="B13" s="487" t="s">
        <v>422</v>
      </c>
      <c r="C13" s="488" t="s">
        <v>1527</v>
      </c>
      <c r="D13" s="489" t="s">
        <v>1528</v>
      </c>
      <c r="E13" s="487" t="s">
        <v>1529</v>
      </c>
      <c r="F13" s="490">
        <v>67093</v>
      </c>
      <c r="G13" s="489">
        <v>626.39</v>
      </c>
      <c r="H13" s="489">
        <v>107.11059</v>
      </c>
      <c r="I13" s="487" t="s">
        <v>1499</v>
      </c>
      <c r="J13" s="487" t="s">
        <v>424</v>
      </c>
    </row>
    <row r="14" spans="1:10" ht="15" x14ac:dyDescent="0.2">
      <c r="A14" s="486" t="s">
        <v>423</v>
      </c>
      <c r="B14" s="487" t="s">
        <v>422</v>
      </c>
      <c r="C14" s="488" t="s">
        <v>1530</v>
      </c>
      <c r="D14" s="489" t="s">
        <v>1531</v>
      </c>
      <c r="E14" s="487" t="s">
        <v>1532</v>
      </c>
      <c r="F14" s="490">
        <v>9792</v>
      </c>
      <c r="G14" s="489">
        <v>109.12</v>
      </c>
      <c r="H14" s="489">
        <v>89.736069999999998</v>
      </c>
      <c r="I14" s="487" t="s">
        <v>1499</v>
      </c>
      <c r="J14" s="487" t="s">
        <v>424</v>
      </c>
    </row>
    <row r="15" spans="1:10" ht="15" x14ac:dyDescent="0.2">
      <c r="A15" s="486" t="s">
        <v>423</v>
      </c>
      <c r="B15" s="487" t="s">
        <v>422</v>
      </c>
      <c r="C15" s="488" t="s">
        <v>1533</v>
      </c>
      <c r="D15" s="489" t="s">
        <v>1534</v>
      </c>
      <c r="E15" s="487" t="s">
        <v>1535</v>
      </c>
      <c r="F15" s="490">
        <v>13195.71</v>
      </c>
      <c r="G15" s="489">
        <v>308.66000000000003</v>
      </c>
      <c r="H15" s="489">
        <v>42.751600000000003</v>
      </c>
      <c r="I15" s="487" t="s">
        <v>1499</v>
      </c>
      <c r="J15" s="487" t="s">
        <v>424</v>
      </c>
    </row>
    <row r="16" spans="1:10" ht="15" x14ac:dyDescent="0.2">
      <c r="A16" s="486" t="s">
        <v>423</v>
      </c>
      <c r="B16" s="487" t="s">
        <v>422</v>
      </c>
      <c r="C16" s="488" t="s">
        <v>1536</v>
      </c>
      <c r="D16" s="489" t="s">
        <v>1537</v>
      </c>
      <c r="E16" s="487" t="s">
        <v>1538</v>
      </c>
      <c r="F16" s="490">
        <v>24000</v>
      </c>
      <c r="G16" s="489">
        <v>263.64</v>
      </c>
      <c r="H16" s="489">
        <v>91.033230000000003</v>
      </c>
      <c r="I16" s="487" t="s">
        <v>1499</v>
      </c>
      <c r="J16" s="487" t="s">
        <v>424</v>
      </c>
    </row>
    <row r="17" spans="1:10" ht="15" x14ac:dyDescent="0.2">
      <c r="A17" s="486" t="s">
        <v>423</v>
      </c>
      <c r="B17" s="487" t="s">
        <v>422</v>
      </c>
      <c r="C17" s="488" t="s">
        <v>1539</v>
      </c>
      <c r="D17" s="489" t="s">
        <v>1540</v>
      </c>
      <c r="E17" s="487" t="s">
        <v>1541</v>
      </c>
      <c r="F17" s="490">
        <v>14714</v>
      </c>
      <c r="G17" s="489">
        <v>198.82</v>
      </c>
      <c r="H17" s="489">
        <v>74.006640000000004</v>
      </c>
      <c r="I17" s="487" t="s">
        <v>1499</v>
      </c>
      <c r="J17" s="487" t="s">
        <v>424</v>
      </c>
    </row>
    <row r="18" spans="1:10" ht="15" x14ac:dyDescent="0.2">
      <c r="A18" s="486" t="s">
        <v>423</v>
      </c>
      <c r="B18" s="487" t="s">
        <v>422</v>
      </c>
      <c r="C18" s="488" t="s">
        <v>1542</v>
      </c>
      <c r="D18" s="489" t="s">
        <v>1543</v>
      </c>
      <c r="E18" s="487" t="s">
        <v>1544</v>
      </c>
      <c r="F18" s="490">
        <v>15000</v>
      </c>
      <c r="G18" s="489">
        <v>245.1</v>
      </c>
      <c r="H18" s="489">
        <v>61.199509999999997</v>
      </c>
      <c r="I18" s="487" t="s">
        <v>1499</v>
      </c>
      <c r="J18" s="487" t="s">
        <v>424</v>
      </c>
    </row>
    <row r="19" spans="1:10" ht="15" x14ac:dyDescent="0.2">
      <c r="A19" s="486" t="s">
        <v>423</v>
      </c>
      <c r="B19" s="487" t="s">
        <v>422</v>
      </c>
      <c r="C19" s="488" t="s">
        <v>1545</v>
      </c>
      <c r="D19" s="489" t="s">
        <v>1546</v>
      </c>
      <c r="E19" s="487" t="s">
        <v>1547</v>
      </c>
      <c r="F19" s="490">
        <v>16800</v>
      </c>
      <c r="G19" s="489">
        <v>336.38</v>
      </c>
      <c r="H19" s="489">
        <v>49.943519999999999</v>
      </c>
      <c r="I19" s="487" t="s">
        <v>1499</v>
      </c>
      <c r="J19" s="487" t="s">
        <v>424</v>
      </c>
    </row>
    <row r="20" spans="1:10" ht="15" x14ac:dyDescent="0.2">
      <c r="A20" s="486" t="s">
        <v>423</v>
      </c>
      <c r="B20" s="487" t="s">
        <v>422</v>
      </c>
      <c r="C20" s="488" t="s">
        <v>1548</v>
      </c>
      <c r="D20" s="489" t="s">
        <v>1549</v>
      </c>
      <c r="E20" s="487" t="s">
        <v>1550</v>
      </c>
      <c r="F20" s="490">
        <v>12510</v>
      </c>
      <c r="G20" s="489">
        <v>147.41</v>
      </c>
      <c r="H20" s="489">
        <v>84.865340000000003</v>
      </c>
      <c r="I20" s="487" t="s">
        <v>1499</v>
      </c>
      <c r="J20" s="487" t="s">
        <v>424</v>
      </c>
    </row>
    <row r="21" spans="1:10" ht="15" x14ac:dyDescent="0.2">
      <c r="A21" s="486" t="s">
        <v>423</v>
      </c>
      <c r="B21" s="487" t="s">
        <v>422</v>
      </c>
      <c r="C21" s="488" t="s">
        <v>1551</v>
      </c>
      <c r="D21" s="489" t="s">
        <v>1552</v>
      </c>
      <c r="E21" s="487" t="s">
        <v>1553</v>
      </c>
      <c r="F21" s="490">
        <v>60500</v>
      </c>
      <c r="G21" s="489">
        <v>527.79</v>
      </c>
      <c r="H21" s="489">
        <v>114.62891999999999</v>
      </c>
      <c r="I21" s="487" t="s">
        <v>1499</v>
      </c>
      <c r="J21" s="487" t="s">
        <v>424</v>
      </c>
    </row>
    <row r="22" spans="1:10" ht="15" x14ac:dyDescent="0.2">
      <c r="A22" s="486" t="s">
        <v>423</v>
      </c>
      <c r="B22" s="487" t="s">
        <v>422</v>
      </c>
      <c r="C22" s="488" t="s">
        <v>1554</v>
      </c>
      <c r="D22" s="489" t="s">
        <v>1555</v>
      </c>
      <c r="E22" s="487" t="s">
        <v>1556</v>
      </c>
      <c r="F22" s="490">
        <v>14692</v>
      </c>
      <c r="G22" s="489">
        <v>330.63</v>
      </c>
      <c r="H22" s="489">
        <v>44.43638</v>
      </c>
      <c r="I22" s="487" t="s">
        <v>1499</v>
      </c>
      <c r="J22" s="487" t="s">
        <v>424</v>
      </c>
    </row>
    <row r="23" spans="1:10" ht="15" x14ac:dyDescent="0.2">
      <c r="A23" s="486" t="s">
        <v>423</v>
      </c>
      <c r="B23" s="487" t="s">
        <v>422</v>
      </c>
      <c r="C23" s="488" t="s">
        <v>1557</v>
      </c>
      <c r="D23" s="489" t="s">
        <v>1558</v>
      </c>
      <c r="E23" s="487" t="s">
        <v>1559</v>
      </c>
      <c r="F23" s="490">
        <v>39160.14</v>
      </c>
      <c r="G23" s="489">
        <v>329.61</v>
      </c>
      <c r="H23" s="489">
        <v>118.8075</v>
      </c>
      <c r="I23" s="487" t="s">
        <v>1499</v>
      </c>
      <c r="J23" s="487" t="s">
        <v>424</v>
      </c>
    </row>
    <row r="24" spans="1:10" ht="15" x14ac:dyDescent="0.2">
      <c r="A24" s="486" t="s">
        <v>423</v>
      </c>
      <c r="B24" s="487" t="s">
        <v>422</v>
      </c>
      <c r="C24" s="488" t="s">
        <v>1560</v>
      </c>
      <c r="D24" s="489" t="s">
        <v>1561</v>
      </c>
      <c r="E24" s="487" t="s">
        <v>1562</v>
      </c>
      <c r="F24" s="490">
        <v>40500</v>
      </c>
      <c r="G24" s="489">
        <v>868.8</v>
      </c>
      <c r="H24" s="489">
        <v>46.616019999999999</v>
      </c>
      <c r="I24" s="487" t="s">
        <v>1499</v>
      </c>
      <c r="J24" s="487" t="s">
        <v>424</v>
      </c>
    </row>
    <row r="25" spans="1:10" ht="15" x14ac:dyDescent="0.2">
      <c r="A25" s="486" t="s">
        <v>423</v>
      </c>
      <c r="B25" s="487" t="s">
        <v>422</v>
      </c>
      <c r="C25" s="488" t="s">
        <v>1563</v>
      </c>
      <c r="D25" s="489" t="s">
        <v>1564</v>
      </c>
      <c r="E25" s="487" t="s">
        <v>1565</v>
      </c>
      <c r="F25" s="490">
        <v>12071</v>
      </c>
      <c r="G25" s="489">
        <v>143.4</v>
      </c>
      <c r="H25" s="489">
        <v>84.177130000000005</v>
      </c>
      <c r="I25" s="487" t="s">
        <v>1499</v>
      </c>
      <c r="J25" s="487" t="s">
        <v>424</v>
      </c>
    </row>
    <row r="26" spans="1:10" ht="15" x14ac:dyDescent="0.2">
      <c r="A26" s="486" t="s">
        <v>423</v>
      </c>
      <c r="B26" s="487" t="s">
        <v>422</v>
      </c>
      <c r="C26" s="488" t="s">
        <v>1566</v>
      </c>
      <c r="D26" s="489" t="s">
        <v>1567</v>
      </c>
      <c r="E26" s="487" t="s">
        <v>1568</v>
      </c>
      <c r="F26" s="490">
        <v>20264</v>
      </c>
      <c r="G26" s="489">
        <v>244.15</v>
      </c>
      <c r="H26" s="489">
        <v>82.998159999999999</v>
      </c>
      <c r="I26" s="487" t="s">
        <v>1499</v>
      </c>
      <c r="J26" s="487" t="s">
        <v>424</v>
      </c>
    </row>
    <row r="27" spans="1:10" ht="15" x14ac:dyDescent="0.2">
      <c r="A27" s="486" t="s">
        <v>423</v>
      </c>
      <c r="B27" s="487" t="s">
        <v>422</v>
      </c>
      <c r="C27" s="488" t="s">
        <v>1569</v>
      </c>
      <c r="D27" s="489" t="s">
        <v>1570</v>
      </c>
      <c r="E27" s="487" t="s">
        <v>1571</v>
      </c>
      <c r="F27" s="490">
        <v>2500</v>
      </c>
      <c r="G27" s="489">
        <v>88.74</v>
      </c>
      <c r="H27" s="489">
        <v>28.172190000000001</v>
      </c>
      <c r="I27" s="487" t="s">
        <v>1499</v>
      </c>
      <c r="J27" s="487" t="s">
        <v>424</v>
      </c>
    </row>
    <row r="28" spans="1:10" ht="15" x14ac:dyDescent="0.2">
      <c r="A28" s="486" t="s">
        <v>423</v>
      </c>
      <c r="B28" s="487" t="s">
        <v>422</v>
      </c>
      <c r="C28" s="488" t="s">
        <v>1572</v>
      </c>
      <c r="D28" s="489" t="s">
        <v>1573</v>
      </c>
      <c r="E28" s="487" t="s">
        <v>1574</v>
      </c>
      <c r="F28" s="490">
        <v>849002</v>
      </c>
      <c r="G28" s="489">
        <v>7170.27</v>
      </c>
      <c r="H28" s="489">
        <v>118.40586</v>
      </c>
      <c r="I28" s="487" t="s">
        <v>1499</v>
      </c>
      <c r="J28" s="487" t="s">
        <v>424</v>
      </c>
    </row>
    <row r="29" spans="1:10" ht="15" x14ac:dyDescent="0.2">
      <c r="A29" s="486" t="s">
        <v>423</v>
      </c>
      <c r="B29" s="487" t="s">
        <v>422</v>
      </c>
      <c r="C29" s="488" t="s">
        <v>1575</v>
      </c>
      <c r="D29" s="489" t="s">
        <v>1576</v>
      </c>
      <c r="E29" s="487" t="s">
        <v>1577</v>
      </c>
      <c r="F29" s="490">
        <v>10500</v>
      </c>
      <c r="G29" s="489">
        <v>193.81</v>
      </c>
      <c r="H29" s="489">
        <v>54.176769999999998</v>
      </c>
      <c r="I29" s="487" t="s">
        <v>1499</v>
      </c>
      <c r="J29" s="487" t="s">
        <v>424</v>
      </c>
    </row>
    <row r="30" spans="1:10" ht="15" x14ac:dyDescent="0.2">
      <c r="A30" s="486" t="s">
        <v>423</v>
      </c>
      <c r="B30" s="487" t="s">
        <v>422</v>
      </c>
      <c r="C30" s="488" t="s">
        <v>1578</v>
      </c>
      <c r="D30" s="489" t="s">
        <v>1579</v>
      </c>
      <c r="E30" s="487" t="s">
        <v>1580</v>
      </c>
      <c r="F30" s="490">
        <v>613907</v>
      </c>
      <c r="G30" s="489">
        <v>4150.55</v>
      </c>
      <c r="H30" s="489">
        <v>147.90979999999999</v>
      </c>
      <c r="I30" s="487" t="s">
        <v>1499</v>
      </c>
      <c r="J30" s="487" t="s">
        <v>424</v>
      </c>
    </row>
    <row r="31" spans="1:10" ht="15" x14ac:dyDescent="0.2">
      <c r="A31" s="486" t="s">
        <v>423</v>
      </c>
      <c r="B31" s="487" t="s">
        <v>422</v>
      </c>
      <c r="C31" s="488" t="s">
        <v>1581</v>
      </c>
      <c r="D31" s="489" t="s">
        <v>1582</v>
      </c>
      <c r="E31" s="487" t="s">
        <v>1583</v>
      </c>
      <c r="F31" s="490">
        <v>13661</v>
      </c>
      <c r="G31" s="489">
        <v>190.24</v>
      </c>
      <c r="H31" s="489">
        <v>71.809290000000004</v>
      </c>
      <c r="I31" s="487" t="s">
        <v>1499</v>
      </c>
      <c r="J31" s="487" t="s">
        <v>424</v>
      </c>
    </row>
    <row r="32" spans="1:10" ht="15" x14ac:dyDescent="0.2">
      <c r="A32" s="486" t="s">
        <v>423</v>
      </c>
      <c r="B32" s="487" t="s">
        <v>422</v>
      </c>
      <c r="C32" s="488" t="s">
        <v>1584</v>
      </c>
      <c r="D32" s="489" t="s">
        <v>1585</v>
      </c>
      <c r="E32" s="487" t="s">
        <v>1586</v>
      </c>
      <c r="F32" s="490">
        <v>6693</v>
      </c>
      <c r="G32" s="489">
        <v>112.17</v>
      </c>
      <c r="H32" s="489">
        <v>59.66836</v>
      </c>
      <c r="I32" s="487" t="s">
        <v>1499</v>
      </c>
      <c r="J32" s="487" t="s">
        <v>424</v>
      </c>
    </row>
    <row r="33" spans="1:10" ht="15" x14ac:dyDescent="0.2">
      <c r="A33" s="486" t="s">
        <v>423</v>
      </c>
      <c r="B33" s="487" t="s">
        <v>422</v>
      </c>
      <c r="C33" s="488" t="s">
        <v>1587</v>
      </c>
      <c r="D33" s="489" t="s">
        <v>1588</v>
      </c>
      <c r="E33" s="487" t="s">
        <v>1589</v>
      </c>
      <c r="F33" s="490">
        <v>11043</v>
      </c>
      <c r="G33" s="489">
        <v>77.75</v>
      </c>
      <c r="H33" s="489">
        <v>142.03215</v>
      </c>
      <c r="I33" s="487" t="s">
        <v>1499</v>
      </c>
      <c r="J33" s="487" t="s">
        <v>424</v>
      </c>
    </row>
    <row r="34" spans="1:10" ht="15" x14ac:dyDescent="0.2">
      <c r="A34" s="486" t="s">
        <v>423</v>
      </c>
      <c r="B34" s="487" t="s">
        <v>422</v>
      </c>
      <c r="C34" s="488" t="s">
        <v>1590</v>
      </c>
      <c r="D34" s="489" t="s">
        <v>1591</v>
      </c>
      <c r="E34" s="487" t="s">
        <v>1592</v>
      </c>
      <c r="F34" s="490">
        <v>0</v>
      </c>
      <c r="G34" s="489">
        <v>52.81</v>
      </c>
      <c r="H34" s="489">
        <v>0</v>
      </c>
      <c r="I34" s="487" t="s">
        <v>1593</v>
      </c>
      <c r="J34" s="487" t="s">
        <v>424</v>
      </c>
    </row>
    <row r="35" spans="1:10" ht="15" x14ac:dyDescent="0.2">
      <c r="A35" s="486" t="s">
        <v>423</v>
      </c>
      <c r="B35" s="487" t="s">
        <v>422</v>
      </c>
      <c r="C35" s="488" t="s">
        <v>1594</v>
      </c>
      <c r="D35" s="489" t="s">
        <v>1595</v>
      </c>
      <c r="E35" s="487" t="s">
        <v>1596</v>
      </c>
      <c r="F35" s="490">
        <v>4000</v>
      </c>
      <c r="G35" s="489">
        <v>111.97</v>
      </c>
      <c r="H35" s="489">
        <v>35.723849999999999</v>
      </c>
      <c r="I35" s="487" t="s">
        <v>1499</v>
      </c>
      <c r="J35" s="487" t="s">
        <v>424</v>
      </c>
    </row>
    <row r="36" spans="1:10" ht="15" x14ac:dyDescent="0.2">
      <c r="A36" s="486" t="s">
        <v>423</v>
      </c>
      <c r="B36" s="487" t="s">
        <v>422</v>
      </c>
      <c r="C36" s="488" t="s">
        <v>1597</v>
      </c>
      <c r="D36" s="489" t="s">
        <v>1598</v>
      </c>
      <c r="E36" s="487" t="s">
        <v>1599</v>
      </c>
      <c r="F36" s="490">
        <v>326985.46999999997</v>
      </c>
      <c r="G36" s="489">
        <v>2150.7800000000002</v>
      </c>
      <c r="H36" s="489">
        <v>152.03111000000001</v>
      </c>
      <c r="I36" s="487" t="s">
        <v>1499</v>
      </c>
      <c r="J36" s="487" t="s">
        <v>424</v>
      </c>
    </row>
    <row r="37" spans="1:10" ht="15" x14ac:dyDescent="0.2">
      <c r="A37" s="486" t="s">
        <v>423</v>
      </c>
      <c r="B37" s="487" t="s">
        <v>422</v>
      </c>
      <c r="C37" s="488" t="s">
        <v>1600</v>
      </c>
      <c r="D37" s="489" t="s">
        <v>1601</v>
      </c>
      <c r="E37" s="487" t="s">
        <v>1602</v>
      </c>
      <c r="F37" s="490">
        <v>362271</v>
      </c>
      <c r="G37" s="489">
        <v>2168.25</v>
      </c>
      <c r="H37" s="489">
        <v>167.07990000000001</v>
      </c>
      <c r="I37" s="487" t="s">
        <v>1499</v>
      </c>
      <c r="J37" s="487" t="s">
        <v>424</v>
      </c>
    </row>
    <row r="38" spans="1:10" ht="15" x14ac:dyDescent="0.2">
      <c r="A38" s="486" t="s">
        <v>423</v>
      </c>
      <c r="B38" s="487" t="s">
        <v>422</v>
      </c>
      <c r="C38" s="488" t="s">
        <v>1603</v>
      </c>
      <c r="D38" s="489" t="s">
        <v>1604</v>
      </c>
      <c r="E38" s="487" t="s">
        <v>1605</v>
      </c>
      <c r="F38" s="490">
        <v>8768</v>
      </c>
      <c r="G38" s="489">
        <v>130.30000000000001</v>
      </c>
      <c r="H38" s="489">
        <v>67.290869999999998</v>
      </c>
      <c r="I38" s="487" t="s">
        <v>1499</v>
      </c>
      <c r="J38" s="487" t="s">
        <v>424</v>
      </c>
    </row>
    <row r="39" spans="1:10" ht="15" x14ac:dyDescent="0.2">
      <c r="A39" s="486" t="s">
        <v>423</v>
      </c>
      <c r="B39" s="487" t="s">
        <v>422</v>
      </c>
      <c r="C39" s="488" t="s">
        <v>1606</v>
      </c>
      <c r="D39" s="489" t="s">
        <v>1607</v>
      </c>
      <c r="E39" s="487" t="s">
        <v>1608</v>
      </c>
      <c r="F39" s="490">
        <v>28159</v>
      </c>
      <c r="G39" s="489">
        <v>504.13</v>
      </c>
      <c r="H39" s="489">
        <v>55.856619999999999</v>
      </c>
      <c r="I39" s="487" t="s">
        <v>1499</v>
      </c>
      <c r="J39" s="487" t="s">
        <v>424</v>
      </c>
    </row>
    <row r="40" spans="1:10" ht="15" x14ac:dyDescent="0.2">
      <c r="A40" s="486" t="s">
        <v>423</v>
      </c>
      <c r="B40" s="487" t="s">
        <v>422</v>
      </c>
      <c r="C40" s="488" t="s">
        <v>1609</v>
      </c>
      <c r="D40" s="489" t="s">
        <v>1610</v>
      </c>
      <c r="E40" s="487" t="s">
        <v>1611</v>
      </c>
      <c r="F40" s="490">
        <v>335811</v>
      </c>
      <c r="G40" s="489">
        <v>1785.84</v>
      </c>
      <c r="H40" s="489">
        <v>188.04092</v>
      </c>
      <c r="I40" s="487" t="s">
        <v>1499</v>
      </c>
      <c r="J40" s="487" t="s">
        <v>424</v>
      </c>
    </row>
    <row r="41" spans="1:10" ht="15" x14ac:dyDescent="0.2">
      <c r="A41" s="486" t="s">
        <v>423</v>
      </c>
      <c r="B41" s="487" t="s">
        <v>422</v>
      </c>
      <c r="C41" s="488" t="s">
        <v>1612</v>
      </c>
      <c r="D41" s="489" t="s">
        <v>1613</v>
      </c>
      <c r="E41" s="487" t="s">
        <v>1614</v>
      </c>
      <c r="F41" s="490">
        <v>59417</v>
      </c>
      <c r="G41" s="489">
        <v>1831.83</v>
      </c>
      <c r="H41" s="489">
        <v>32.435870000000001</v>
      </c>
      <c r="I41" s="487" t="s">
        <v>1499</v>
      </c>
      <c r="J41" s="487" t="s">
        <v>424</v>
      </c>
    </row>
    <row r="42" spans="1:10" ht="15" x14ac:dyDescent="0.2">
      <c r="A42" s="486" t="s">
        <v>423</v>
      </c>
      <c r="B42" s="487" t="s">
        <v>422</v>
      </c>
      <c r="C42" s="488" t="s">
        <v>1615</v>
      </c>
      <c r="D42" s="489" t="s">
        <v>1616</v>
      </c>
      <c r="E42" s="487" t="s">
        <v>1617</v>
      </c>
      <c r="F42" s="490">
        <v>11379.76</v>
      </c>
      <c r="G42" s="489">
        <v>180.41</v>
      </c>
      <c r="H42" s="489">
        <v>63.077210000000001</v>
      </c>
      <c r="I42" s="487" t="s">
        <v>1499</v>
      </c>
      <c r="J42" s="487" t="s">
        <v>424</v>
      </c>
    </row>
    <row r="43" spans="1:10" ht="15" x14ac:dyDescent="0.2">
      <c r="A43" s="486" t="s">
        <v>423</v>
      </c>
      <c r="B43" s="487" t="s">
        <v>422</v>
      </c>
      <c r="C43" s="488" t="s">
        <v>1618</v>
      </c>
      <c r="D43" s="489" t="s">
        <v>1619</v>
      </c>
      <c r="E43" s="487" t="s">
        <v>1620</v>
      </c>
      <c r="F43" s="490">
        <v>23398</v>
      </c>
      <c r="G43" s="489">
        <v>381.38</v>
      </c>
      <c r="H43" s="489">
        <v>61.350879999999997</v>
      </c>
      <c r="I43" s="487" t="s">
        <v>1499</v>
      </c>
      <c r="J43" s="487" t="s">
        <v>424</v>
      </c>
    </row>
    <row r="44" spans="1:10" ht="15" x14ac:dyDescent="0.2">
      <c r="A44" s="486" t="s">
        <v>423</v>
      </c>
      <c r="B44" s="487" t="s">
        <v>422</v>
      </c>
      <c r="C44" s="488" t="s">
        <v>1621</v>
      </c>
      <c r="D44" s="489" t="s">
        <v>1622</v>
      </c>
      <c r="E44" s="487" t="s">
        <v>1623</v>
      </c>
      <c r="F44" s="490">
        <v>750</v>
      </c>
      <c r="G44" s="489">
        <v>47.57</v>
      </c>
      <c r="H44" s="489">
        <v>15.76624</v>
      </c>
      <c r="I44" s="487" t="s">
        <v>1499</v>
      </c>
      <c r="J44" s="487" t="s">
        <v>424</v>
      </c>
    </row>
    <row r="45" spans="1:10" ht="15" x14ac:dyDescent="0.2">
      <c r="A45" s="486" t="s">
        <v>423</v>
      </c>
      <c r="B45" s="487" t="s">
        <v>422</v>
      </c>
      <c r="C45" s="488" t="s">
        <v>1624</v>
      </c>
      <c r="D45" s="489" t="s">
        <v>1625</v>
      </c>
      <c r="E45" s="487" t="s">
        <v>1626</v>
      </c>
      <c r="F45" s="490">
        <v>19372</v>
      </c>
      <c r="G45" s="489">
        <v>327.33999999999997</v>
      </c>
      <c r="H45" s="489">
        <v>59.180059999999997</v>
      </c>
      <c r="I45" s="487" t="s">
        <v>1499</v>
      </c>
      <c r="J45" s="487" t="s">
        <v>424</v>
      </c>
    </row>
    <row r="46" spans="1:10" ht="15" x14ac:dyDescent="0.2">
      <c r="A46" s="486" t="s">
        <v>423</v>
      </c>
      <c r="B46" s="487" t="s">
        <v>422</v>
      </c>
      <c r="C46" s="488" t="s">
        <v>1627</v>
      </c>
      <c r="D46" s="489" t="s">
        <v>1628</v>
      </c>
      <c r="E46" s="487" t="s">
        <v>1629</v>
      </c>
      <c r="F46" s="490">
        <v>35000</v>
      </c>
      <c r="G46" s="489">
        <v>691.64</v>
      </c>
      <c r="H46" s="489">
        <v>50.60436</v>
      </c>
      <c r="I46" s="487" t="s">
        <v>1499</v>
      </c>
      <c r="J46" s="487" t="s">
        <v>424</v>
      </c>
    </row>
    <row r="47" spans="1:10" ht="15" x14ac:dyDescent="0.2">
      <c r="A47" s="486" t="s">
        <v>423</v>
      </c>
      <c r="B47" s="487" t="s">
        <v>422</v>
      </c>
      <c r="C47" s="488" t="s">
        <v>1630</v>
      </c>
      <c r="D47" s="489" t="s">
        <v>1631</v>
      </c>
      <c r="E47" s="487" t="s">
        <v>1632</v>
      </c>
      <c r="F47" s="490">
        <v>4000</v>
      </c>
      <c r="G47" s="489">
        <v>136.1</v>
      </c>
      <c r="H47" s="489">
        <v>29.390149999999998</v>
      </c>
      <c r="I47" s="487" t="s">
        <v>1499</v>
      </c>
      <c r="J47" s="487" t="s">
        <v>424</v>
      </c>
    </row>
    <row r="48" spans="1:10" ht="15" x14ac:dyDescent="0.2">
      <c r="A48" s="486" t="s">
        <v>423</v>
      </c>
      <c r="B48" s="487" t="s">
        <v>422</v>
      </c>
      <c r="C48" s="488" t="s">
        <v>1633</v>
      </c>
      <c r="D48" s="489" t="s">
        <v>1634</v>
      </c>
      <c r="E48" s="487" t="s">
        <v>1635</v>
      </c>
      <c r="F48" s="490">
        <v>107100</v>
      </c>
      <c r="G48" s="489">
        <v>974.85</v>
      </c>
      <c r="H48" s="489">
        <v>109.86306</v>
      </c>
      <c r="I48" s="487" t="s">
        <v>1499</v>
      </c>
      <c r="J48" s="487" t="s">
        <v>424</v>
      </c>
    </row>
    <row r="49" spans="1:10" ht="15" x14ac:dyDescent="0.2">
      <c r="A49" s="486" t="s">
        <v>423</v>
      </c>
      <c r="B49" s="487" t="s">
        <v>422</v>
      </c>
      <c r="C49" s="488" t="s">
        <v>1636</v>
      </c>
      <c r="D49" s="489" t="s">
        <v>1637</v>
      </c>
      <c r="E49" s="487" t="s">
        <v>1638</v>
      </c>
      <c r="F49" s="490">
        <v>16600</v>
      </c>
      <c r="G49" s="489">
        <v>185.02</v>
      </c>
      <c r="H49" s="489">
        <v>89.720029999999994</v>
      </c>
      <c r="I49" s="487" t="s">
        <v>1499</v>
      </c>
      <c r="J49" s="487" t="s">
        <v>424</v>
      </c>
    </row>
    <row r="50" spans="1:10" ht="15" x14ac:dyDescent="0.2">
      <c r="A50" s="486" t="s">
        <v>423</v>
      </c>
      <c r="B50" s="487" t="s">
        <v>422</v>
      </c>
      <c r="C50" s="488" t="s">
        <v>1639</v>
      </c>
      <c r="D50" s="489" t="s">
        <v>1640</v>
      </c>
      <c r="E50" s="487" t="s">
        <v>1641</v>
      </c>
      <c r="F50" s="490">
        <v>16842</v>
      </c>
      <c r="G50" s="489">
        <v>259.33999999999997</v>
      </c>
      <c r="H50" s="489">
        <v>64.941779999999994</v>
      </c>
      <c r="I50" s="487" t="s">
        <v>1499</v>
      </c>
      <c r="J50" s="487" t="s">
        <v>424</v>
      </c>
    </row>
    <row r="51" spans="1:10" ht="15" x14ac:dyDescent="0.2">
      <c r="A51" s="486" t="s">
        <v>423</v>
      </c>
      <c r="B51" s="487" t="s">
        <v>422</v>
      </c>
      <c r="C51" s="488" t="s">
        <v>1642</v>
      </c>
      <c r="D51" s="489" t="s">
        <v>1643</v>
      </c>
      <c r="E51" s="487" t="s">
        <v>1644</v>
      </c>
      <c r="F51" s="490">
        <v>13752</v>
      </c>
      <c r="G51" s="489">
        <v>239.69</v>
      </c>
      <c r="H51" s="489">
        <v>57.374110000000002</v>
      </c>
      <c r="I51" s="487" t="s">
        <v>1499</v>
      </c>
      <c r="J51" s="487" t="s">
        <v>424</v>
      </c>
    </row>
    <row r="52" spans="1:10" ht="15" x14ac:dyDescent="0.2">
      <c r="A52" s="486" t="s">
        <v>423</v>
      </c>
      <c r="B52" s="487" t="s">
        <v>422</v>
      </c>
      <c r="C52" s="488" t="s">
        <v>1645</v>
      </c>
      <c r="D52" s="489" t="s">
        <v>1646</v>
      </c>
      <c r="E52" s="487" t="s">
        <v>1647</v>
      </c>
      <c r="F52" s="490">
        <v>274500</v>
      </c>
      <c r="G52" s="489">
        <v>1923.02</v>
      </c>
      <c r="H52" s="489">
        <v>142.74422999999999</v>
      </c>
      <c r="I52" s="487" t="s">
        <v>1499</v>
      </c>
      <c r="J52" s="487" t="s">
        <v>424</v>
      </c>
    </row>
    <row r="53" spans="1:10" ht="15" x14ac:dyDescent="0.2">
      <c r="A53" s="486" t="s">
        <v>423</v>
      </c>
      <c r="B53" s="487" t="s">
        <v>422</v>
      </c>
      <c r="C53" s="488" t="s">
        <v>1648</v>
      </c>
      <c r="D53" s="489" t="s">
        <v>1649</v>
      </c>
      <c r="E53" s="487" t="s">
        <v>1650</v>
      </c>
      <c r="F53" s="490">
        <v>45000</v>
      </c>
      <c r="G53" s="489">
        <v>695.61</v>
      </c>
      <c r="H53" s="489">
        <v>64.691419999999994</v>
      </c>
      <c r="I53" s="487" t="s">
        <v>1499</v>
      </c>
      <c r="J53" s="487" t="s">
        <v>424</v>
      </c>
    </row>
    <row r="54" spans="1:10" ht="15" x14ac:dyDescent="0.2">
      <c r="A54" s="486" t="s">
        <v>423</v>
      </c>
      <c r="B54" s="487" t="s">
        <v>422</v>
      </c>
      <c r="C54" s="488" t="s">
        <v>1651</v>
      </c>
      <c r="D54" s="489" t="s">
        <v>1652</v>
      </c>
      <c r="E54" s="487" t="s">
        <v>1653</v>
      </c>
      <c r="F54" s="490">
        <v>269138</v>
      </c>
      <c r="G54" s="489">
        <v>34285.01</v>
      </c>
      <c r="H54" s="489">
        <v>7.8500199999999998</v>
      </c>
      <c r="I54" s="487" t="s">
        <v>1654</v>
      </c>
      <c r="J54" s="487" t="s">
        <v>424</v>
      </c>
    </row>
    <row r="55" spans="1:10" ht="15" x14ac:dyDescent="0.2">
      <c r="A55" s="486" t="s">
        <v>1189</v>
      </c>
      <c r="B55" s="487" t="s">
        <v>1188</v>
      </c>
      <c r="C55" s="488" t="s">
        <v>1655</v>
      </c>
      <c r="D55" s="489" t="s">
        <v>1656</v>
      </c>
      <c r="E55" s="487" t="s">
        <v>1657</v>
      </c>
      <c r="F55" s="490">
        <v>5934</v>
      </c>
      <c r="G55" s="489">
        <v>161</v>
      </c>
      <c r="H55" s="489">
        <v>36.857140000000001</v>
      </c>
      <c r="I55" s="487" t="s">
        <v>1499</v>
      </c>
      <c r="J55" s="487" t="s">
        <v>1190</v>
      </c>
    </row>
    <row r="56" spans="1:10" ht="15" x14ac:dyDescent="0.2">
      <c r="A56" s="486" t="s">
        <v>1189</v>
      </c>
      <c r="B56" s="487" t="s">
        <v>1188</v>
      </c>
      <c r="C56" s="488" t="s">
        <v>1658</v>
      </c>
      <c r="D56" s="489" t="s">
        <v>1659</v>
      </c>
      <c r="E56" s="487" t="s">
        <v>1660</v>
      </c>
      <c r="F56" s="490">
        <v>290615</v>
      </c>
      <c r="G56" s="489">
        <v>2854</v>
      </c>
      <c r="H56" s="489">
        <v>101.82726</v>
      </c>
      <c r="I56" s="487" t="s">
        <v>1499</v>
      </c>
      <c r="J56" s="487" t="s">
        <v>1190</v>
      </c>
    </row>
    <row r="57" spans="1:10" ht="15" x14ac:dyDescent="0.2">
      <c r="A57" s="486" t="s">
        <v>1189</v>
      </c>
      <c r="B57" s="487" t="s">
        <v>1188</v>
      </c>
      <c r="C57" s="488" t="s">
        <v>1661</v>
      </c>
      <c r="D57" s="489" t="s">
        <v>1662</v>
      </c>
      <c r="E57" s="487" t="s">
        <v>1663</v>
      </c>
      <c r="F57" s="490">
        <v>87500</v>
      </c>
      <c r="G57" s="489">
        <v>1370</v>
      </c>
      <c r="H57" s="489">
        <v>63.868609999999997</v>
      </c>
      <c r="I57" s="487" t="s">
        <v>1499</v>
      </c>
      <c r="J57" s="487" t="s">
        <v>1190</v>
      </c>
    </row>
    <row r="58" spans="1:10" ht="15" x14ac:dyDescent="0.2">
      <c r="A58" s="486" t="s">
        <v>1189</v>
      </c>
      <c r="B58" s="487" t="s">
        <v>1188</v>
      </c>
      <c r="C58" s="488" t="s">
        <v>1664</v>
      </c>
      <c r="D58" s="489" t="s">
        <v>1665</v>
      </c>
      <c r="E58" s="487" t="s">
        <v>1666</v>
      </c>
      <c r="F58" s="490">
        <v>6952</v>
      </c>
      <c r="G58" s="489">
        <v>242</v>
      </c>
      <c r="H58" s="489">
        <v>28.727270000000001</v>
      </c>
      <c r="I58" s="487" t="s">
        <v>1499</v>
      </c>
      <c r="J58" s="487" t="s">
        <v>1190</v>
      </c>
    </row>
    <row r="59" spans="1:10" ht="15" x14ac:dyDescent="0.2">
      <c r="A59" s="486" t="s">
        <v>1189</v>
      </c>
      <c r="B59" s="487" t="s">
        <v>1188</v>
      </c>
      <c r="C59" s="488" t="s">
        <v>1667</v>
      </c>
      <c r="D59" s="489" t="s">
        <v>1668</v>
      </c>
      <c r="E59" s="487" t="s">
        <v>1669</v>
      </c>
      <c r="F59" s="490">
        <v>2760</v>
      </c>
      <c r="G59" s="489">
        <v>109</v>
      </c>
      <c r="H59" s="489">
        <v>25.321100000000001</v>
      </c>
      <c r="I59" s="487" t="s">
        <v>1499</v>
      </c>
      <c r="J59" s="487" t="s">
        <v>1190</v>
      </c>
    </row>
    <row r="60" spans="1:10" ht="15" x14ac:dyDescent="0.2">
      <c r="A60" s="486" t="s">
        <v>1189</v>
      </c>
      <c r="B60" s="487" t="s">
        <v>1188</v>
      </c>
      <c r="C60" s="488" t="s">
        <v>1670</v>
      </c>
      <c r="D60" s="489" t="s">
        <v>1671</v>
      </c>
      <c r="E60" s="487" t="s">
        <v>1672</v>
      </c>
      <c r="F60" s="490">
        <v>131992</v>
      </c>
      <c r="G60" s="489">
        <v>3401</v>
      </c>
      <c r="H60" s="489">
        <v>38.809759999999997</v>
      </c>
      <c r="I60" s="487" t="s">
        <v>1499</v>
      </c>
      <c r="J60" s="487" t="s">
        <v>1190</v>
      </c>
    </row>
    <row r="61" spans="1:10" ht="15" x14ac:dyDescent="0.2">
      <c r="A61" s="486" t="s">
        <v>1189</v>
      </c>
      <c r="B61" s="487" t="s">
        <v>1188</v>
      </c>
      <c r="C61" s="488" t="s">
        <v>1673</v>
      </c>
      <c r="D61" s="489" t="s">
        <v>1674</v>
      </c>
      <c r="E61" s="487" t="s">
        <v>1675</v>
      </c>
      <c r="F61" s="490">
        <v>903214</v>
      </c>
      <c r="G61" s="489">
        <v>7006</v>
      </c>
      <c r="H61" s="489">
        <v>128.92007000000001</v>
      </c>
      <c r="I61" s="487" t="s">
        <v>1499</v>
      </c>
      <c r="J61" s="487" t="s">
        <v>1190</v>
      </c>
    </row>
    <row r="62" spans="1:10" ht="15" x14ac:dyDescent="0.2">
      <c r="A62" s="486" t="s">
        <v>1189</v>
      </c>
      <c r="B62" s="487" t="s">
        <v>1188</v>
      </c>
      <c r="C62" s="488" t="s">
        <v>1676</v>
      </c>
      <c r="D62" s="489" t="s">
        <v>1677</v>
      </c>
      <c r="E62" s="487" t="s">
        <v>1678</v>
      </c>
      <c r="F62" s="490">
        <v>62000</v>
      </c>
      <c r="G62" s="489">
        <v>1192</v>
      </c>
      <c r="H62" s="489">
        <v>52.013420000000004</v>
      </c>
      <c r="I62" s="487" t="s">
        <v>1499</v>
      </c>
      <c r="J62" s="487" t="s">
        <v>1190</v>
      </c>
    </row>
    <row r="63" spans="1:10" ht="15" x14ac:dyDescent="0.2">
      <c r="A63" s="486" t="s">
        <v>1189</v>
      </c>
      <c r="B63" s="487" t="s">
        <v>1188</v>
      </c>
      <c r="C63" s="488" t="s">
        <v>1679</v>
      </c>
      <c r="D63" s="489" t="s">
        <v>1680</v>
      </c>
      <c r="E63" s="487" t="s">
        <v>1681</v>
      </c>
      <c r="F63" s="490">
        <v>5000</v>
      </c>
      <c r="G63" s="489">
        <v>129</v>
      </c>
      <c r="H63" s="489">
        <v>38.759689999999999</v>
      </c>
      <c r="I63" s="487" t="s">
        <v>1499</v>
      </c>
      <c r="J63" s="487" t="s">
        <v>1190</v>
      </c>
    </row>
    <row r="64" spans="1:10" ht="15" x14ac:dyDescent="0.2">
      <c r="A64" s="486" t="s">
        <v>1189</v>
      </c>
      <c r="B64" s="487" t="s">
        <v>1188</v>
      </c>
      <c r="C64" s="488" t="s">
        <v>1682</v>
      </c>
      <c r="D64" s="489" t="s">
        <v>1683</v>
      </c>
      <c r="E64" s="487" t="s">
        <v>1684</v>
      </c>
      <c r="F64" s="490">
        <v>25213</v>
      </c>
      <c r="G64" s="489">
        <v>320</v>
      </c>
      <c r="H64" s="489">
        <v>78.790629999999993</v>
      </c>
      <c r="I64" s="487" t="s">
        <v>1499</v>
      </c>
      <c r="J64" s="487" t="s">
        <v>1190</v>
      </c>
    </row>
    <row r="65" spans="1:10" ht="15" x14ac:dyDescent="0.2">
      <c r="A65" s="486" t="s">
        <v>1189</v>
      </c>
      <c r="B65" s="487" t="s">
        <v>1188</v>
      </c>
      <c r="C65" s="488" t="s">
        <v>1685</v>
      </c>
      <c r="D65" s="489" t="s">
        <v>1686</v>
      </c>
      <c r="E65" s="487" t="s">
        <v>1687</v>
      </c>
      <c r="F65" s="490">
        <v>420599</v>
      </c>
      <c r="G65" s="489">
        <v>2388</v>
      </c>
      <c r="H65" s="489">
        <v>176.13023000000001</v>
      </c>
      <c r="I65" s="487" t="s">
        <v>1499</v>
      </c>
      <c r="J65" s="487" t="s">
        <v>1190</v>
      </c>
    </row>
    <row r="66" spans="1:10" ht="15" x14ac:dyDescent="0.2">
      <c r="A66" s="486" t="s">
        <v>1189</v>
      </c>
      <c r="B66" s="487" t="s">
        <v>1188</v>
      </c>
      <c r="C66" s="488" t="s">
        <v>1688</v>
      </c>
      <c r="D66" s="489" t="s">
        <v>1689</v>
      </c>
      <c r="E66" s="487" t="s">
        <v>1690</v>
      </c>
      <c r="F66" s="490">
        <v>319725</v>
      </c>
      <c r="G66" s="489">
        <v>4672</v>
      </c>
      <c r="H66" s="489">
        <v>68.434290000000004</v>
      </c>
      <c r="I66" s="487" t="s">
        <v>1499</v>
      </c>
      <c r="J66" s="487" t="s">
        <v>1190</v>
      </c>
    </row>
    <row r="67" spans="1:10" ht="15" x14ac:dyDescent="0.2">
      <c r="A67" s="486" t="s">
        <v>1189</v>
      </c>
      <c r="B67" s="487" t="s">
        <v>1188</v>
      </c>
      <c r="C67" s="488" t="s">
        <v>1691</v>
      </c>
      <c r="D67" s="489" t="s">
        <v>1692</v>
      </c>
      <c r="E67" s="487" t="s">
        <v>1693</v>
      </c>
      <c r="F67" s="490">
        <v>6300</v>
      </c>
      <c r="G67" s="489">
        <v>160</v>
      </c>
      <c r="H67" s="489">
        <v>39.375</v>
      </c>
      <c r="I67" s="487" t="s">
        <v>1499</v>
      </c>
      <c r="J67" s="487" t="s">
        <v>1190</v>
      </c>
    </row>
    <row r="68" spans="1:10" ht="15" x14ac:dyDescent="0.2">
      <c r="A68" s="486" t="s">
        <v>1189</v>
      </c>
      <c r="B68" s="487" t="s">
        <v>1188</v>
      </c>
      <c r="C68" s="488" t="s">
        <v>1694</v>
      </c>
      <c r="D68" s="489" t="s">
        <v>1695</v>
      </c>
      <c r="E68" s="487" t="s">
        <v>1696</v>
      </c>
      <c r="F68" s="490">
        <v>11132</v>
      </c>
      <c r="G68" s="489">
        <v>150</v>
      </c>
      <c r="H68" s="489">
        <v>74.213329999999999</v>
      </c>
      <c r="I68" s="487" t="s">
        <v>1499</v>
      </c>
      <c r="J68" s="487" t="s">
        <v>1190</v>
      </c>
    </row>
    <row r="69" spans="1:10" ht="15" x14ac:dyDescent="0.2">
      <c r="A69" s="486" t="s">
        <v>1189</v>
      </c>
      <c r="B69" s="487" t="s">
        <v>1188</v>
      </c>
      <c r="C69" s="488" t="s">
        <v>1697</v>
      </c>
      <c r="D69" s="489" t="s">
        <v>1698</v>
      </c>
      <c r="E69" s="487" t="s">
        <v>1699</v>
      </c>
      <c r="F69" s="490">
        <v>11075</v>
      </c>
      <c r="G69" s="489">
        <v>355</v>
      </c>
      <c r="H69" s="489">
        <v>31.197179999999999</v>
      </c>
      <c r="I69" s="487" t="s">
        <v>1499</v>
      </c>
      <c r="J69" s="487" t="s">
        <v>1190</v>
      </c>
    </row>
    <row r="70" spans="1:10" ht="15" x14ac:dyDescent="0.2">
      <c r="A70" s="486" t="s">
        <v>1189</v>
      </c>
      <c r="B70" s="487" t="s">
        <v>1188</v>
      </c>
      <c r="C70" s="488" t="s">
        <v>1700</v>
      </c>
      <c r="D70" s="489" t="s">
        <v>1701</v>
      </c>
      <c r="E70" s="487" t="s">
        <v>1702</v>
      </c>
      <c r="F70" s="490">
        <v>978523</v>
      </c>
      <c r="G70" s="489">
        <v>3133</v>
      </c>
      <c r="H70" s="489">
        <v>312.32780000000002</v>
      </c>
      <c r="I70" s="487" t="s">
        <v>1499</v>
      </c>
      <c r="J70" s="487" t="s">
        <v>1190</v>
      </c>
    </row>
    <row r="71" spans="1:10" ht="15" x14ac:dyDescent="0.2">
      <c r="A71" s="486" t="s">
        <v>1189</v>
      </c>
      <c r="B71" s="487" t="s">
        <v>1188</v>
      </c>
      <c r="C71" s="488" t="s">
        <v>1703</v>
      </c>
      <c r="D71" s="489" t="s">
        <v>1704</v>
      </c>
      <c r="E71" s="487" t="s">
        <v>1705</v>
      </c>
      <c r="F71" s="490">
        <v>444692</v>
      </c>
      <c r="G71" s="489">
        <v>2682</v>
      </c>
      <c r="H71" s="489">
        <v>165.80610999999999</v>
      </c>
      <c r="I71" s="487" t="s">
        <v>1499</v>
      </c>
      <c r="J71" s="487" t="s">
        <v>1190</v>
      </c>
    </row>
    <row r="72" spans="1:10" ht="15" x14ac:dyDescent="0.2">
      <c r="A72" s="486" t="s">
        <v>1189</v>
      </c>
      <c r="B72" s="487" t="s">
        <v>1188</v>
      </c>
      <c r="C72" s="488" t="s">
        <v>1706</v>
      </c>
      <c r="D72" s="489" t="s">
        <v>1707</v>
      </c>
      <c r="E72" s="487" t="s">
        <v>1708</v>
      </c>
      <c r="F72" s="490">
        <v>58700</v>
      </c>
      <c r="G72" s="489">
        <v>2179</v>
      </c>
      <c r="H72" s="489">
        <v>26.938960000000002</v>
      </c>
      <c r="I72" s="487" t="s">
        <v>1499</v>
      </c>
      <c r="J72" s="487" t="s">
        <v>1190</v>
      </c>
    </row>
    <row r="73" spans="1:10" ht="15" x14ac:dyDescent="0.2">
      <c r="A73" s="486" t="s">
        <v>1189</v>
      </c>
      <c r="B73" s="487" t="s">
        <v>1188</v>
      </c>
      <c r="C73" s="488" t="s">
        <v>1709</v>
      </c>
      <c r="D73" s="489" t="s">
        <v>1710</v>
      </c>
      <c r="E73" s="487" t="s">
        <v>1711</v>
      </c>
      <c r="F73" s="490">
        <v>89574</v>
      </c>
      <c r="G73" s="489">
        <v>2383</v>
      </c>
      <c r="H73" s="489">
        <v>37.588749999999997</v>
      </c>
      <c r="I73" s="487" t="s">
        <v>1499</v>
      </c>
      <c r="J73" s="487" t="s">
        <v>1190</v>
      </c>
    </row>
    <row r="74" spans="1:10" ht="15" x14ac:dyDescent="0.2">
      <c r="A74" s="486" t="s">
        <v>1189</v>
      </c>
      <c r="B74" s="487" t="s">
        <v>1188</v>
      </c>
      <c r="C74" s="488" t="s">
        <v>1712</v>
      </c>
      <c r="D74" s="489" t="s">
        <v>1713</v>
      </c>
      <c r="E74" s="487" t="s">
        <v>1714</v>
      </c>
      <c r="F74" s="490">
        <v>32868</v>
      </c>
      <c r="G74" s="489">
        <v>565</v>
      </c>
      <c r="H74" s="489">
        <v>58.173450000000003</v>
      </c>
      <c r="I74" s="487" t="s">
        <v>1499</v>
      </c>
      <c r="J74" s="487" t="s">
        <v>1190</v>
      </c>
    </row>
    <row r="75" spans="1:10" ht="15" x14ac:dyDescent="0.2">
      <c r="A75" s="486" t="s">
        <v>1189</v>
      </c>
      <c r="B75" s="487" t="s">
        <v>1188</v>
      </c>
      <c r="C75" s="488" t="s">
        <v>1715</v>
      </c>
      <c r="D75" s="489" t="s">
        <v>1716</v>
      </c>
      <c r="E75" s="487" t="s">
        <v>1717</v>
      </c>
      <c r="F75" s="490">
        <v>500</v>
      </c>
      <c r="G75" s="489">
        <v>53</v>
      </c>
      <c r="H75" s="489">
        <v>9.4339600000000008</v>
      </c>
      <c r="I75" s="487" t="s">
        <v>1499</v>
      </c>
      <c r="J75" s="487" t="s">
        <v>1190</v>
      </c>
    </row>
    <row r="76" spans="1:10" ht="15" x14ac:dyDescent="0.2">
      <c r="A76" s="486" t="s">
        <v>1189</v>
      </c>
      <c r="B76" s="487" t="s">
        <v>1188</v>
      </c>
      <c r="C76" s="488" t="s">
        <v>1718</v>
      </c>
      <c r="D76" s="489" t="s">
        <v>1719</v>
      </c>
      <c r="E76" s="487" t="s">
        <v>1720</v>
      </c>
      <c r="F76" s="490">
        <v>7550</v>
      </c>
      <c r="G76" s="489">
        <v>246</v>
      </c>
      <c r="H76" s="489">
        <v>30.69106</v>
      </c>
      <c r="I76" s="487" t="s">
        <v>1499</v>
      </c>
      <c r="J76" s="487" t="s">
        <v>1190</v>
      </c>
    </row>
    <row r="77" spans="1:10" ht="15" x14ac:dyDescent="0.2">
      <c r="A77" s="486" t="s">
        <v>1189</v>
      </c>
      <c r="B77" s="487" t="s">
        <v>1188</v>
      </c>
      <c r="C77" s="488" t="s">
        <v>1721</v>
      </c>
      <c r="D77" s="489" t="s">
        <v>1722</v>
      </c>
      <c r="E77" s="487" t="s">
        <v>1723</v>
      </c>
      <c r="F77" s="490">
        <v>91540</v>
      </c>
      <c r="G77" s="489">
        <v>741</v>
      </c>
      <c r="H77" s="489">
        <v>123.53576</v>
      </c>
      <c r="I77" s="487" t="s">
        <v>1499</v>
      </c>
      <c r="J77" s="487" t="s">
        <v>1190</v>
      </c>
    </row>
    <row r="78" spans="1:10" ht="15" x14ac:dyDescent="0.2">
      <c r="A78" s="486" t="s">
        <v>1189</v>
      </c>
      <c r="B78" s="487" t="s">
        <v>1188</v>
      </c>
      <c r="C78" s="488" t="s">
        <v>1724</v>
      </c>
      <c r="D78" s="489" t="s">
        <v>1725</v>
      </c>
      <c r="E78" s="487" t="s">
        <v>1726</v>
      </c>
      <c r="F78" s="490">
        <v>80000</v>
      </c>
      <c r="G78" s="489">
        <v>766</v>
      </c>
      <c r="H78" s="489">
        <v>104.43864000000001</v>
      </c>
      <c r="I78" s="487" t="s">
        <v>1499</v>
      </c>
      <c r="J78" s="487" t="s">
        <v>1190</v>
      </c>
    </row>
    <row r="79" spans="1:10" ht="15" x14ac:dyDescent="0.2">
      <c r="A79" s="486" t="s">
        <v>1189</v>
      </c>
      <c r="B79" s="487" t="s">
        <v>1188</v>
      </c>
      <c r="C79" s="488" t="s">
        <v>1727</v>
      </c>
      <c r="D79" s="489" t="s">
        <v>1728</v>
      </c>
      <c r="E79" s="487" t="s">
        <v>1729</v>
      </c>
      <c r="F79" s="490">
        <v>23768</v>
      </c>
      <c r="G79" s="489">
        <v>380</v>
      </c>
      <c r="H79" s="489">
        <v>62.547370000000001</v>
      </c>
      <c r="I79" s="487" t="s">
        <v>1499</v>
      </c>
      <c r="J79" s="487" t="s">
        <v>1190</v>
      </c>
    </row>
    <row r="80" spans="1:10" ht="15" x14ac:dyDescent="0.2">
      <c r="A80" s="486" t="s">
        <v>1189</v>
      </c>
      <c r="B80" s="487" t="s">
        <v>1188</v>
      </c>
      <c r="C80" s="488" t="s">
        <v>1730</v>
      </c>
      <c r="D80" s="489" t="s">
        <v>1731</v>
      </c>
      <c r="E80" s="487" t="s">
        <v>1732</v>
      </c>
      <c r="F80" s="490">
        <v>211185</v>
      </c>
      <c r="G80" s="489">
        <v>4934</v>
      </c>
      <c r="H80" s="489">
        <v>42.801990000000004</v>
      </c>
      <c r="I80" s="487" t="s">
        <v>1499</v>
      </c>
      <c r="J80" s="487" t="s">
        <v>1190</v>
      </c>
    </row>
    <row r="81" spans="1:10" ht="15" x14ac:dyDescent="0.2">
      <c r="A81" s="486" t="s">
        <v>1189</v>
      </c>
      <c r="B81" s="487" t="s">
        <v>1188</v>
      </c>
      <c r="C81" s="488" t="s">
        <v>1733</v>
      </c>
      <c r="D81" s="489" t="s">
        <v>1734</v>
      </c>
      <c r="E81" s="487" t="s">
        <v>1735</v>
      </c>
      <c r="F81" s="490">
        <v>81250</v>
      </c>
      <c r="G81" s="489">
        <v>896</v>
      </c>
      <c r="H81" s="489">
        <v>90.680800000000005</v>
      </c>
      <c r="I81" s="487" t="s">
        <v>1499</v>
      </c>
      <c r="J81" s="487" t="s">
        <v>1190</v>
      </c>
    </row>
    <row r="82" spans="1:10" ht="15" x14ac:dyDescent="0.2">
      <c r="A82" s="486" t="s">
        <v>1189</v>
      </c>
      <c r="B82" s="487" t="s">
        <v>1188</v>
      </c>
      <c r="C82" s="488" t="s">
        <v>1736</v>
      </c>
      <c r="D82" s="489" t="s">
        <v>1737</v>
      </c>
      <c r="E82" s="487" t="s">
        <v>1738</v>
      </c>
      <c r="F82" s="490">
        <v>541459</v>
      </c>
      <c r="G82" s="489">
        <v>2293</v>
      </c>
      <c r="H82" s="489">
        <v>236.13562999999999</v>
      </c>
      <c r="I82" s="487" t="s">
        <v>1499</v>
      </c>
      <c r="J82" s="487" t="s">
        <v>1190</v>
      </c>
    </row>
    <row r="83" spans="1:10" ht="15" x14ac:dyDescent="0.2">
      <c r="A83" s="486" t="s">
        <v>1189</v>
      </c>
      <c r="B83" s="487" t="s">
        <v>1188</v>
      </c>
      <c r="C83" s="488" t="s">
        <v>1739</v>
      </c>
      <c r="D83" s="489" t="s">
        <v>1740</v>
      </c>
      <c r="E83" s="487" t="s">
        <v>1741</v>
      </c>
      <c r="F83" s="490">
        <v>88510</v>
      </c>
      <c r="G83" s="489">
        <v>1215</v>
      </c>
      <c r="H83" s="489">
        <v>72.847740000000002</v>
      </c>
      <c r="I83" s="487" t="s">
        <v>1499</v>
      </c>
      <c r="J83" s="487" t="s">
        <v>1190</v>
      </c>
    </row>
    <row r="84" spans="1:10" ht="15" x14ac:dyDescent="0.2">
      <c r="A84" s="486" t="s">
        <v>1189</v>
      </c>
      <c r="B84" s="487" t="s">
        <v>1188</v>
      </c>
      <c r="C84" s="488" t="s">
        <v>1742</v>
      </c>
      <c r="D84" s="489" t="s">
        <v>1743</v>
      </c>
      <c r="E84" s="487" t="s">
        <v>1744</v>
      </c>
      <c r="F84" s="490">
        <v>146960</v>
      </c>
      <c r="G84" s="489">
        <v>947</v>
      </c>
      <c r="H84" s="489">
        <v>155.18478999999999</v>
      </c>
      <c r="I84" s="487" t="s">
        <v>1499</v>
      </c>
      <c r="J84" s="487" t="s">
        <v>1190</v>
      </c>
    </row>
    <row r="85" spans="1:10" ht="15" x14ac:dyDescent="0.2">
      <c r="A85" s="486" t="s">
        <v>1189</v>
      </c>
      <c r="B85" s="487" t="s">
        <v>1188</v>
      </c>
      <c r="C85" s="488" t="s">
        <v>1745</v>
      </c>
      <c r="D85" s="489" t="s">
        <v>1746</v>
      </c>
      <c r="E85" s="487" t="s">
        <v>1747</v>
      </c>
      <c r="F85" s="490">
        <v>20163</v>
      </c>
      <c r="G85" s="489">
        <v>353</v>
      </c>
      <c r="H85" s="489">
        <v>57.118980000000001</v>
      </c>
      <c r="I85" s="487" t="s">
        <v>1499</v>
      </c>
      <c r="J85" s="487" t="s">
        <v>1190</v>
      </c>
    </row>
    <row r="86" spans="1:10" ht="15" x14ac:dyDescent="0.2">
      <c r="A86" s="486" t="s">
        <v>1189</v>
      </c>
      <c r="B86" s="487" t="s">
        <v>1188</v>
      </c>
      <c r="C86" s="488" t="s">
        <v>1748</v>
      </c>
      <c r="D86" s="489" t="s">
        <v>1749</v>
      </c>
      <c r="E86" s="487" t="s">
        <v>1750</v>
      </c>
      <c r="F86" s="490">
        <v>3850</v>
      </c>
      <c r="G86" s="489">
        <v>86</v>
      </c>
      <c r="H86" s="489">
        <v>44.767440000000001</v>
      </c>
      <c r="I86" s="487" t="s">
        <v>1499</v>
      </c>
      <c r="J86" s="487" t="s">
        <v>1190</v>
      </c>
    </row>
    <row r="87" spans="1:10" ht="15" x14ac:dyDescent="0.2">
      <c r="A87" s="486" t="s">
        <v>1189</v>
      </c>
      <c r="B87" s="487" t="s">
        <v>1188</v>
      </c>
      <c r="C87" s="488" t="s">
        <v>1751</v>
      </c>
      <c r="D87" s="489" t="s">
        <v>1752</v>
      </c>
      <c r="E87" s="487" t="s">
        <v>1753</v>
      </c>
      <c r="F87" s="490">
        <v>58000</v>
      </c>
      <c r="G87" s="489">
        <v>1738</v>
      </c>
      <c r="H87" s="489">
        <v>33.371690000000001</v>
      </c>
      <c r="I87" s="487" t="s">
        <v>1499</v>
      </c>
      <c r="J87" s="487" t="s">
        <v>1190</v>
      </c>
    </row>
    <row r="88" spans="1:10" ht="15" x14ac:dyDescent="0.2">
      <c r="A88" s="486" t="s">
        <v>1189</v>
      </c>
      <c r="B88" s="487" t="s">
        <v>1188</v>
      </c>
      <c r="C88" s="488" t="s">
        <v>1754</v>
      </c>
      <c r="D88" s="489" t="s">
        <v>1755</v>
      </c>
      <c r="E88" s="487" t="s">
        <v>1756</v>
      </c>
      <c r="F88" s="490">
        <v>383266</v>
      </c>
      <c r="G88" s="489">
        <v>2237</v>
      </c>
      <c r="H88" s="489">
        <v>171.33035000000001</v>
      </c>
      <c r="I88" s="487" t="s">
        <v>1499</v>
      </c>
      <c r="J88" s="487" t="s">
        <v>1190</v>
      </c>
    </row>
    <row r="89" spans="1:10" ht="15" x14ac:dyDescent="0.2">
      <c r="A89" s="486" t="s">
        <v>1189</v>
      </c>
      <c r="B89" s="487" t="s">
        <v>1188</v>
      </c>
      <c r="C89" s="488" t="s">
        <v>1757</v>
      </c>
      <c r="D89" s="489" t="s">
        <v>1758</v>
      </c>
      <c r="E89" s="487" t="s">
        <v>1759</v>
      </c>
      <c r="F89" s="490">
        <v>400000</v>
      </c>
      <c r="G89" s="489">
        <v>4742</v>
      </c>
      <c r="H89" s="489">
        <v>84.352590000000006</v>
      </c>
      <c r="I89" s="487" t="s">
        <v>1499</v>
      </c>
      <c r="J89" s="487" t="s">
        <v>1190</v>
      </c>
    </row>
    <row r="90" spans="1:10" ht="15" x14ac:dyDescent="0.2">
      <c r="A90" s="486" t="s">
        <v>1189</v>
      </c>
      <c r="B90" s="487" t="s">
        <v>1188</v>
      </c>
      <c r="C90" s="488" t="s">
        <v>1760</v>
      </c>
      <c r="D90" s="489" t="s">
        <v>1761</v>
      </c>
      <c r="E90" s="487" t="s">
        <v>1762</v>
      </c>
      <c r="F90" s="490">
        <v>967612</v>
      </c>
      <c r="G90" s="489">
        <v>5840</v>
      </c>
      <c r="H90" s="489">
        <v>165.68699000000001</v>
      </c>
      <c r="I90" s="487" t="s">
        <v>1499</v>
      </c>
      <c r="J90" s="487" t="s">
        <v>1190</v>
      </c>
    </row>
    <row r="91" spans="1:10" ht="15" x14ac:dyDescent="0.2">
      <c r="A91" s="486" t="s">
        <v>1189</v>
      </c>
      <c r="B91" s="487" t="s">
        <v>1188</v>
      </c>
      <c r="C91" s="488" t="s">
        <v>1763</v>
      </c>
      <c r="D91" s="489" t="s">
        <v>1764</v>
      </c>
      <c r="E91" s="487" t="s">
        <v>1765</v>
      </c>
      <c r="F91" s="490">
        <v>10794</v>
      </c>
      <c r="G91" s="489">
        <v>178</v>
      </c>
      <c r="H91" s="489">
        <v>60.640450000000001</v>
      </c>
      <c r="I91" s="487" t="s">
        <v>1499</v>
      </c>
      <c r="J91" s="487" t="s">
        <v>1190</v>
      </c>
    </row>
    <row r="92" spans="1:10" ht="15" x14ac:dyDescent="0.2">
      <c r="A92" s="486" t="s">
        <v>1189</v>
      </c>
      <c r="B92" s="487" t="s">
        <v>1188</v>
      </c>
      <c r="C92" s="488" t="s">
        <v>1766</v>
      </c>
      <c r="D92" s="489" t="s">
        <v>1767</v>
      </c>
      <c r="E92" s="487" t="s">
        <v>1768</v>
      </c>
      <c r="F92" s="490">
        <v>200</v>
      </c>
      <c r="G92" s="489">
        <v>59</v>
      </c>
      <c r="H92" s="489">
        <v>3.3898299999999999</v>
      </c>
      <c r="I92" s="487" t="s">
        <v>1499</v>
      </c>
      <c r="J92" s="487" t="s">
        <v>1190</v>
      </c>
    </row>
    <row r="93" spans="1:10" ht="15" x14ac:dyDescent="0.2">
      <c r="A93" s="486" t="s">
        <v>1189</v>
      </c>
      <c r="B93" s="487" t="s">
        <v>1188</v>
      </c>
      <c r="C93" s="488" t="s">
        <v>1769</v>
      </c>
      <c r="D93" s="489" t="s">
        <v>1770</v>
      </c>
      <c r="E93" s="487" t="s">
        <v>1771</v>
      </c>
      <c r="F93" s="490">
        <v>42000</v>
      </c>
      <c r="G93" s="489">
        <v>405</v>
      </c>
      <c r="H93" s="489">
        <v>103.7037</v>
      </c>
      <c r="I93" s="487" t="s">
        <v>1499</v>
      </c>
      <c r="J93" s="487" t="s">
        <v>1190</v>
      </c>
    </row>
    <row r="94" spans="1:10" ht="15" x14ac:dyDescent="0.2">
      <c r="A94" s="486" t="s">
        <v>1189</v>
      </c>
      <c r="B94" s="487" t="s">
        <v>1188</v>
      </c>
      <c r="C94" s="488" t="s">
        <v>1772</v>
      </c>
      <c r="D94" s="489" t="s">
        <v>1773</v>
      </c>
      <c r="E94" s="487" t="s">
        <v>1774</v>
      </c>
      <c r="F94" s="490">
        <v>101220</v>
      </c>
      <c r="G94" s="489">
        <v>1648</v>
      </c>
      <c r="H94" s="489">
        <v>61.419899999999998</v>
      </c>
      <c r="I94" s="487" t="s">
        <v>1499</v>
      </c>
      <c r="J94" s="487" t="s">
        <v>1190</v>
      </c>
    </row>
    <row r="95" spans="1:10" ht="15" x14ac:dyDescent="0.2">
      <c r="A95" s="486" t="s">
        <v>1189</v>
      </c>
      <c r="B95" s="487" t="s">
        <v>1188</v>
      </c>
      <c r="C95" s="488" t="s">
        <v>1775</v>
      </c>
      <c r="D95" s="489" t="s">
        <v>1776</v>
      </c>
      <c r="E95" s="487" t="s">
        <v>1777</v>
      </c>
      <c r="F95" s="490">
        <v>91300</v>
      </c>
      <c r="G95" s="489">
        <v>757</v>
      </c>
      <c r="H95" s="489">
        <v>120.60766</v>
      </c>
      <c r="I95" s="487" t="s">
        <v>1499</v>
      </c>
      <c r="J95" s="487" t="s">
        <v>1190</v>
      </c>
    </row>
    <row r="96" spans="1:10" ht="15" x14ac:dyDescent="0.2">
      <c r="A96" s="486" t="s">
        <v>1189</v>
      </c>
      <c r="B96" s="487" t="s">
        <v>1188</v>
      </c>
      <c r="C96" s="488" t="s">
        <v>1778</v>
      </c>
      <c r="D96" s="489" t="s">
        <v>1779</v>
      </c>
      <c r="E96" s="487" t="s">
        <v>1780</v>
      </c>
      <c r="F96" s="490">
        <v>64852</v>
      </c>
      <c r="G96" s="489">
        <v>903</v>
      </c>
      <c r="H96" s="489">
        <v>71.818380000000005</v>
      </c>
      <c r="I96" s="487" t="s">
        <v>1499</v>
      </c>
      <c r="J96" s="487" t="s">
        <v>1190</v>
      </c>
    </row>
    <row r="97" spans="1:10" ht="15" x14ac:dyDescent="0.2">
      <c r="A97" s="486" t="s">
        <v>1189</v>
      </c>
      <c r="B97" s="487" t="s">
        <v>1188</v>
      </c>
      <c r="C97" s="488" t="s">
        <v>1781</v>
      </c>
      <c r="D97" s="489" t="s">
        <v>1782</v>
      </c>
      <c r="E97" s="487" t="s">
        <v>1783</v>
      </c>
      <c r="F97" s="490">
        <v>223065</v>
      </c>
      <c r="G97" s="489">
        <v>4335</v>
      </c>
      <c r="H97" s="489">
        <v>51.45675</v>
      </c>
      <c r="I97" s="487" t="s">
        <v>1499</v>
      </c>
      <c r="J97" s="487" t="s">
        <v>1190</v>
      </c>
    </row>
    <row r="98" spans="1:10" ht="15" x14ac:dyDescent="0.2">
      <c r="A98" s="486" t="s">
        <v>1189</v>
      </c>
      <c r="B98" s="487" t="s">
        <v>1188</v>
      </c>
      <c r="C98" s="488" t="s">
        <v>1784</v>
      </c>
      <c r="D98" s="489" t="s">
        <v>1785</v>
      </c>
      <c r="E98" s="487" t="s">
        <v>1786</v>
      </c>
      <c r="F98" s="490">
        <v>1949080</v>
      </c>
      <c r="G98" s="489">
        <v>8745</v>
      </c>
      <c r="H98" s="489">
        <v>222.87935999999999</v>
      </c>
      <c r="I98" s="487" t="s">
        <v>1499</v>
      </c>
      <c r="J98" s="487" t="s">
        <v>1190</v>
      </c>
    </row>
    <row r="99" spans="1:10" ht="15" x14ac:dyDescent="0.2">
      <c r="A99" s="486" t="s">
        <v>1189</v>
      </c>
      <c r="B99" s="487" t="s">
        <v>1188</v>
      </c>
      <c r="C99" s="488" t="s">
        <v>1787</v>
      </c>
      <c r="D99" s="489" t="s">
        <v>1788</v>
      </c>
      <c r="E99" s="487" t="s">
        <v>1789</v>
      </c>
      <c r="F99" s="490">
        <v>816102</v>
      </c>
      <c r="G99" s="489">
        <v>6920</v>
      </c>
      <c r="H99" s="489">
        <v>117.93382</v>
      </c>
      <c r="I99" s="487" t="s">
        <v>1499</v>
      </c>
      <c r="J99" s="487" t="s">
        <v>1190</v>
      </c>
    </row>
    <row r="100" spans="1:10" ht="15" x14ac:dyDescent="0.2">
      <c r="A100" s="486" t="s">
        <v>1189</v>
      </c>
      <c r="B100" s="487" t="s">
        <v>1188</v>
      </c>
      <c r="C100" s="488" t="s">
        <v>1790</v>
      </c>
      <c r="D100" s="489" t="s">
        <v>1791</v>
      </c>
      <c r="E100" s="487" t="s">
        <v>1792</v>
      </c>
      <c r="F100" s="490">
        <v>65654</v>
      </c>
      <c r="G100" s="489">
        <v>721</v>
      </c>
      <c r="H100" s="489">
        <v>91.059640000000002</v>
      </c>
      <c r="I100" s="487" t="s">
        <v>1499</v>
      </c>
      <c r="J100" s="487" t="s">
        <v>1190</v>
      </c>
    </row>
    <row r="101" spans="1:10" ht="15" x14ac:dyDescent="0.2">
      <c r="A101" s="486" t="s">
        <v>1189</v>
      </c>
      <c r="B101" s="487" t="s">
        <v>1188</v>
      </c>
      <c r="C101" s="488" t="s">
        <v>1793</v>
      </c>
      <c r="D101" s="489" t="s">
        <v>1794</v>
      </c>
      <c r="E101" s="487" t="s">
        <v>1795</v>
      </c>
      <c r="F101" s="490">
        <v>237706</v>
      </c>
      <c r="G101" s="489">
        <v>1958</v>
      </c>
      <c r="H101" s="489">
        <v>121.40245</v>
      </c>
      <c r="I101" s="487" t="s">
        <v>1499</v>
      </c>
      <c r="J101" s="487" t="s">
        <v>1190</v>
      </c>
    </row>
    <row r="102" spans="1:10" ht="15" x14ac:dyDescent="0.2">
      <c r="A102" s="486" t="s">
        <v>1189</v>
      </c>
      <c r="B102" s="487" t="s">
        <v>1188</v>
      </c>
      <c r="C102" s="488" t="s">
        <v>1796</v>
      </c>
      <c r="D102" s="489" t="s">
        <v>1797</v>
      </c>
      <c r="E102" s="487" t="s">
        <v>1798</v>
      </c>
      <c r="F102" s="490">
        <v>830336</v>
      </c>
      <c r="G102" s="489">
        <v>8398</v>
      </c>
      <c r="H102" s="489">
        <v>98.873069999999998</v>
      </c>
      <c r="I102" s="487" t="s">
        <v>1499</v>
      </c>
      <c r="J102" s="487" t="s">
        <v>1190</v>
      </c>
    </row>
    <row r="103" spans="1:10" ht="15" x14ac:dyDescent="0.2">
      <c r="A103" s="486" t="s">
        <v>1189</v>
      </c>
      <c r="B103" s="487" t="s">
        <v>1188</v>
      </c>
      <c r="C103" s="488" t="s">
        <v>1799</v>
      </c>
      <c r="D103" s="489" t="s">
        <v>1800</v>
      </c>
      <c r="E103" s="487" t="s">
        <v>1801</v>
      </c>
      <c r="F103" s="490">
        <v>151795</v>
      </c>
      <c r="G103" s="489">
        <v>4035</v>
      </c>
      <c r="H103" s="489">
        <v>37.619579999999999</v>
      </c>
      <c r="I103" s="487" t="s">
        <v>1499</v>
      </c>
      <c r="J103" s="487" t="s">
        <v>1190</v>
      </c>
    </row>
    <row r="104" spans="1:10" ht="15" x14ac:dyDescent="0.2">
      <c r="A104" s="486" t="s">
        <v>1189</v>
      </c>
      <c r="B104" s="487" t="s">
        <v>1188</v>
      </c>
      <c r="C104" s="488" t="s">
        <v>1802</v>
      </c>
      <c r="D104" s="489" t="s">
        <v>1803</v>
      </c>
      <c r="E104" s="487" t="s">
        <v>1804</v>
      </c>
      <c r="F104" s="490">
        <v>120000</v>
      </c>
      <c r="G104" s="489">
        <v>1651</v>
      </c>
      <c r="H104" s="489">
        <v>72.683220000000006</v>
      </c>
      <c r="I104" s="487" t="s">
        <v>1499</v>
      </c>
      <c r="J104" s="487" t="s">
        <v>1190</v>
      </c>
    </row>
    <row r="105" spans="1:10" ht="15" x14ac:dyDescent="0.2">
      <c r="A105" s="486" t="s">
        <v>1046</v>
      </c>
      <c r="B105" s="487" t="s">
        <v>421</v>
      </c>
      <c r="C105" s="488" t="s">
        <v>1805</v>
      </c>
      <c r="D105" s="489" t="s">
        <v>1806</v>
      </c>
      <c r="E105" s="487" t="s">
        <v>1807</v>
      </c>
      <c r="F105" s="490">
        <v>33700</v>
      </c>
      <c r="G105" s="489">
        <v>433.6</v>
      </c>
      <c r="H105" s="489">
        <v>77.721400000000003</v>
      </c>
      <c r="I105" s="487" t="s">
        <v>1499</v>
      </c>
      <c r="J105" s="487" t="s">
        <v>1047</v>
      </c>
    </row>
    <row r="106" spans="1:10" ht="15" x14ac:dyDescent="0.2">
      <c r="A106" s="486" t="s">
        <v>1046</v>
      </c>
      <c r="B106" s="487" t="s">
        <v>421</v>
      </c>
      <c r="C106" s="488" t="s">
        <v>1808</v>
      </c>
      <c r="D106" s="489" t="s">
        <v>1809</v>
      </c>
      <c r="E106" s="487" t="s">
        <v>1810</v>
      </c>
      <c r="F106" s="490">
        <v>171500</v>
      </c>
      <c r="G106" s="489">
        <v>2034.9</v>
      </c>
      <c r="H106" s="489">
        <v>84.279330000000002</v>
      </c>
      <c r="I106" s="487" t="s">
        <v>1499</v>
      </c>
      <c r="J106" s="487" t="s">
        <v>1047</v>
      </c>
    </row>
    <row r="107" spans="1:10" ht="15" x14ac:dyDescent="0.2">
      <c r="A107" s="486" t="s">
        <v>1046</v>
      </c>
      <c r="B107" s="487" t="s">
        <v>421</v>
      </c>
      <c r="C107" s="488" t="s">
        <v>1811</v>
      </c>
      <c r="D107" s="489" t="s">
        <v>1812</v>
      </c>
      <c r="E107" s="487" t="s">
        <v>1813</v>
      </c>
      <c r="F107" s="490">
        <v>139365.19</v>
      </c>
      <c r="G107" s="489">
        <v>1620.3</v>
      </c>
      <c r="H107" s="489">
        <v>86.011970000000005</v>
      </c>
      <c r="I107" s="487" t="s">
        <v>1499</v>
      </c>
      <c r="J107" s="487" t="s">
        <v>1047</v>
      </c>
    </row>
    <row r="108" spans="1:10" ht="15" x14ac:dyDescent="0.2">
      <c r="A108" s="486" t="s">
        <v>1046</v>
      </c>
      <c r="B108" s="487" t="s">
        <v>421</v>
      </c>
      <c r="C108" s="488" t="s">
        <v>1814</v>
      </c>
      <c r="D108" s="489" t="s">
        <v>1815</v>
      </c>
      <c r="E108" s="487" t="s">
        <v>1816</v>
      </c>
      <c r="F108" s="490">
        <v>13500</v>
      </c>
      <c r="G108" s="489">
        <v>312.60000000000002</v>
      </c>
      <c r="H108" s="489">
        <v>43.18618</v>
      </c>
      <c r="I108" s="487" t="s">
        <v>1499</v>
      </c>
      <c r="J108" s="487" t="s">
        <v>1047</v>
      </c>
    </row>
    <row r="109" spans="1:10" ht="15" x14ac:dyDescent="0.2">
      <c r="A109" s="486" t="s">
        <v>1046</v>
      </c>
      <c r="B109" s="487" t="s">
        <v>421</v>
      </c>
      <c r="C109" s="488" t="s">
        <v>1817</v>
      </c>
      <c r="D109" s="489" t="s">
        <v>1818</v>
      </c>
      <c r="E109" s="487" t="s">
        <v>1819</v>
      </c>
      <c r="F109" s="490">
        <v>56000</v>
      </c>
      <c r="G109" s="489">
        <v>512</v>
      </c>
      <c r="H109" s="489">
        <v>109.375</v>
      </c>
      <c r="I109" s="487" t="s">
        <v>1499</v>
      </c>
      <c r="J109" s="487" t="s">
        <v>1047</v>
      </c>
    </row>
    <row r="110" spans="1:10" ht="15" x14ac:dyDescent="0.2">
      <c r="A110" s="486" t="s">
        <v>1046</v>
      </c>
      <c r="B110" s="487" t="s">
        <v>421</v>
      </c>
      <c r="C110" s="488" t="s">
        <v>1820</v>
      </c>
      <c r="D110" s="489" t="s">
        <v>1821</v>
      </c>
      <c r="E110" s="487" t="s">
        <v>1822</v>
      </c>
      <c r="F110" s="490">
        <v>67800</v>
      </c>
      <c r="G110" s="489">
        <v>583.5</v>
      </c>
      <c r="H110" s="489">
        <v>116.19537</v>
      </c>
      <c r="I110" s="487" t="s">
        <v>1499</v>
      </c>
      <c r="J110" s="487" t="s">
        <v>1047</v>
      </c>
    </row>
    <row r="111" spans="1:10" ht="15" x14ac:dyDescent="0.2">
      <c r="A111" s="486" t="s">
        <v>1046</v>
      </c>
      <c r="B111" s="487" t="s">
        <v>421</v>
      </c>
      <c r="C111" s="488" t="s">
        <v>1823</v>
      </c>
      <c r="D111" s="489" t="s">
        <v>1824</v>
      </c>
      <c r="E111" s="487" t="s">
        <v>1825</v>
      </c>
      <c r="F111" s="490">
        <v>6482</v>
      </c>
      <c r="G111" s="489">
        <v>141.9</v>
      </c>
      <c r="H111" s="489">
        <v>45.680059999999997</v>
      </c>
      <c r="I111" s="487" t="s">
        <v>1499</v>
      </c>
      <c r="J111" s="487" t="s">
        <v>1047</v>
      </c>
    </row>
    <row r="112" spans="1:10" ht="15" x14ac:dyDescent="0.2">
      <c r="A112" s="486" t="s">
        <v>1046</v>
      </c>
      <c r="B112" s="487" t="s">
        <v>421</v>
      </c>
      <c r="C112" s="488" t="s">
        <v>1826</v>
      </c>
      <c r="D112" s="489" t="s">
        <v>1827</v>
      </c>
      <c r="E112" s="487" t="s">
        <v>1828</v>
      </c>
      <c r="F112" s="490">
        <v>10000</v>
      </c>
      <c r="G112" s="489">
        <v>266.2</v>
      </c>
      <c r="H112" s="489">
        <v>37.565739999999998</v>
      </c>
      <c r="I112" s="487" t="s">
        <v>1499</v>
      </c>
      <c r="J112" s="487" t="s">
        <v>1047</v>
      </c>
    </row>
    <row r="113" spans="1:10" ht="15" x14ac:dyDescent="0.2">
      <c r="A113" s="486" t="s">
        <v>1046</v>
      </c>
      <c r="B113" s="487" t="s">
        <v>421</v>
      </c>
      <c r="C113" s="488" t="s">
        <v>1829</v>
      </c>
      <c r="D113" s="489" t="s">
        <v>1830</v>
      </c>
      <c r="E113" s="487" t="s">
        <v>1831</v>
      </c>
      <c r="F113" s="490">
        <v>4000</v>
      </c>
      <c r="G113" s="489">
        <v>122.3</v>
      </c>
      <c r="H113" s="489">
        <v>32.70646</v>
      </c>
      <c r="I113" s="487" t="s">
        <v>1499</v>
      </c>
      <c r="J113" s="487" t="s">
        <v>1047</v>
      </c>
    </row>
    <row r="114" spans="1:10" ht="15" x14ac:dyDescent="0.2">
      <c r="A114" s="486" t="s">
        <v>1046</v>
      </c>
      <c r="B114" s="487" t="s">
        <v>421</v>
      </c>
      <c r="C114" s="488" t="s">
        <v>1832</v>
      </c>
      <c r="D114" s="489" t="s">
        <v>1833</v>
      </c>
      <c r="E114" s="487" t="s">
        <v>1834</v>
      </c>
      <c r="F114" s="490">
        <v>130466</v>
      </c>
      <c r="G114" s="489">
        <v>1186.0999999999999</v>
      </c>
      <c r="H114" s="489">
        <v>109.99578</v>
      </c>
      <c r="I114" s="487" t="s">
        <v>1499</v>
      </c>
      <c r="J114" s="487" t="s">
        <v>1047</v>
      </c>
    </row>
    <row r="115" spans="1:10" ht="15" x14ac:dyDescent="0.2">
      <c r="A115" s="486" t="s">
        <v>1046</v>
      </c>
      <c r="B115" s="487" t="s">
        <v>421</v>
      </c>
      <c r="C115" s="488" t="s">
        <v>1835</v>
      </c>
      <c r="D115" s="489" t="s">
        <v>1836</v>
      </c>
      <c r="E115" s="487" t="s">
        <v>1837</v>
      </c>
      <c r="F115" s="490">
        <v>7959.82</v>
      </c>
      <c r="G115" s="489">
        <v>186.8</v>
      </c>
      <c r="H115" s="489">
        <v>42.611460000000001</v>
      </c>
      <c r="I115" s="487" t="s">
        <v>1499</v>
      </c>
      <c r="J115" s="487" t="s">
        <v>1047</v>
      </c>
    </row>
    <row r="116" spans="1:10" ht="15" x14ac:dyDescent="0.2">
      <c r="A116" s="486" t="s">
        <v>1046</v>
      </c>
      <c r="B116" s="487" t="s">
        <v>421</v>
      </c>
      <c r="C116" s="488" t="s">
        <v>1838</v>
      </c>
      <c r="D116" s="489" t="s">
        <v>1839</v>
      </c>
      <c r="E116" s="487" t="s">
        <v>1840</v>
      </c>
      <c r="F116" s="490">
        <v>19249</v>
      </c>
      <c r="G116" s="489">
        <v>377.1</v>
      </c>
      <c r="H116" s="489">
        <v>51.044820000000001</v>
      </c>
      <c r="I116" s="487" t="s">
        <v>1499</v>
      </c>
      <c r="J116" s="487" t="s">
        <v>1047</v>
      </c>
    </row>
    <row r="117" spans="1:10" ht="15" x14ac:dyDescent="0.2">
      <c r="A117" s="486" t="s">
        <v>1046</v>
      </c>
      <c r="B117" s="487" t="s">
        <v>421</v>
      </c>
      <c r="C117" s="488" t="s">
        <v>1841</v>
      </c>
      <c r="D117" s="489" t="s">
        <v>1842</v>
      </c>
      <c r="E117" s="487" t="s">
        <v>1843</v>
      </c>
      <c r="F117" s="490">
        <v>500309</v>
      </c>
      <c r="G117" s="489">
        <v>7934</v>
      </c>
      <c r="H117" s="489">
        <v>63.058860000000003</v>
      </c>
      <c r="I117" s="487" t="s">
        <v>1499</v>
      </c>
      <c r="J117" s="487" t="s">
        <v>1047</v>
      </c>
    </row>
    <row r="118" spans="1:10" ht="15" x14ac:dyDescent="0.2">
      <c r="A118" s="486" t="s">
        <v>1046</v>
      </c>
      <c r="B118" s="487" t="s">
        <v>421</v>
      </c>
      <c r="C118" s="488" t="s">
        <v>1844</v>
      </c>
      <c r="D118" s="489" t="s">
        <v>1845</v>
      </c>
      <c r="E118" s="487" t="s">
        <v>1846</v>
      </c>
      <c r="F118" s="490">
        <v>183865</v>
      </c>
      <c r="G118" s="489">
        <v>1573.9</v>
      </c>
      <c r="H118" s="489">
        <v>116.82127</v>
      </c>
      <c r="I118" s="487" t="s">
        <v>1499</v>
      </c>
      <c r="J118" s="487" t="s">
        <v>1047</v>
      </c>
    </row>
    <row r="119" spans="1:10" ht="15" x14ac:dyDescent="0.2">
      <c r="A119" s="486" t="s">
        <v>1046</v>
      </c>
      <c r="B119" s="487" t="s">
        <v>421</v>
      </c>
      <c r="C119" s="488" t="s">
        <v>1847</v>
      </c>
      <c r="D119" s="489" t="s">
        <v>1848</v>
      </c>
      <c r="E119" s="487" t="s">
        <v>1849</v>
      </c>
      <c r="F119" s="490">
        <v>19235</v>
      </c>
      <c r="G119" s="489">
        <v>387</v>
      </c>
      <c r="H119" s="489">
        <v>49.702840000000002</v>
      </c>
      <c r="I119" s="487" t="s">
        <v>1499</v>
      </c>
      <c r="J119" s="487" t="s">
        <v>1047</v>
      </c>
    </row>
    <row r="120" spans="1:10" ht="15" x14ac:dyDescent="0.2">
      <c r="A120" s="486" t="s">
        <v>1046</v>
      </c>
      <c r="B120" s="487" t="s">
        <v>421</v>
      </c>
      <c r="C120" s="488" t="s">
        <v>1850</v>
      </c>
      <c r="D120" s="489" t="s">
        <v>1851</v>
      </c>
      <c r="E120" s="487" t="s">
        <v>1852</v>
      </c>
      <c r="F120" s="490">
        <v>30000</v>
      </c>
      <c r="G120" s="489">
        <v>364.8</v>
      </c>
      <c r="H120" s="489">
        <v>82.236840000000001</v>
      </c>
      <c r="I120" s="487" t="s">
        <v>1499</v>
      </c>
      <c r="J120" s="487" t="s">
        <v>1047</v>
      </c>
    </row>
    <row r="121" spans="1:10" ht="15" x14ac:dyDescent="0.2">
      <c r="A121" s="486" t="s">
        <v>1046</v>
      </c>
      <c r="B121" s="487" t="s">
        <v>421</v>
      </c>
      <c r="C121" s="488" t="s">
        <v>1853</v>
      </c>
      <c r="D121" s="489" t="s">
        <v>1854</v>
      </c>
      <c r="E121" s="487" t="s">
        <v>1855</v>
      </c>
      <c r="F121" s="490">
        <v>167516</v>
      </c>
      <c r="G121" s="489">
        <v>1191.3</v>
      </c>
      <c r="H121" s="489">
        <v>140.61613</v>
      </c>
      <c r="I121" s="487" t="s">
        <v>1499</v>
      </c>
      <c r="J121" s="487" t="s">
        <v>1047</v>
      </c>
    </row>
    <row r="122" spans="1:10" ht="15" x14ac:dyDescent="0.2">
      <c r="A122" s="486" t="s">
        <v>1046</v>
      </c>
      <c r="B122" s="487" t="s">
        <v>421</v>
      </c>
      <c r="C122" s="488" t="s">
        <v>1856</v>
      </c>
      <c r="D122" s="489" t="s">
        <v>1857</v>
      </c>
      <c r="E122" s="487" t="s">
        <v>1858</v>
      </c>
      <c r="F122" s="490">
        <v>9000</v>
      </c>
      <c r="G122" s="489">
        <v>196.5</v>
      </c>
      <c r="H122" s="489">
        <v>45.80153</v>
      </c>
      <c r="I122" s="487" t="s">
        <v>1499</v>
      </c>
      <c r="J122" s="487" t="s">
        <v>1047</v>
      </c>
    </row>
    <row r="123" spans="1:10" ht="15" x14ac:dyDescent="0.2">
      <c r="A123" s="486" t="s">
        <v>1046</v>
      </c>
      <c r="B123" s="487" t="s">
        <v>421</v>
      </c>
      <c r="C123" s="488" t="s">
        <v>1859</v>
      </c>
      <c r="D123" s="489" t="s">
        <v>1860</v>
      </c>
      <c r="E123" s="487" t="s">
        <v>1861</v>
      </c>
      <c r="F123" s="490">
        <v>58000</v>
      </c>
      <c r="G123" s="489">
        <v>689.8</v>
      </c>
      <c r="H123" s="489">
        <v>84.082340000000002</v>
      </c>
      <c r="I123" s="487" t="s">
        <v>1499</v>
      </c>
      <c r="J123" s="487" t="s">
        <v>1047</v>
      </c>
    </row>
    <row r="124" spans="1:10" ht="15" x14ac:dyDescent="0.2">
      <c r="A124" s="486" t="s">
        <v>1046</v>
      </c>
      <c r="B124" s="487" t="s">
        <v>421</v>
      </c>
      <c r="C124" s="488" t="s">
        <v>1862</v>
      </c>
      <c r="D124" s="489" t="s">
        <v>1863</v>
      </c>
      <c r="E124" s="487" t="s">
        <v>1864</v>
      </c>
      <c r="F124" s="490">
        <v>13885</v>
      </c>
      <c r="G124" s="489">
        <v>191.1</v>
      </c>
      <c r="H124" s="489">
        <v>72.658289999999994</v>
      </c>
      <c r="I124" s="487" t="s">
        <v>1499</v>
      </c>
      <c r="J124" s="487" t="s">
        <v>1047</v>
      </c>
    </row>
    <row r="125" spans="1:10" ht="15" x14ac:dyDescent="0.2">
      <c r="A125" s="486" t="s">
        <v>1046</v>
      </c>
      <c r="B125" s="487" t="s">
        <v>421</v>
      </c>
      <c r="C125" s="488" t="s">
        <v>1865</v>
      </c>
      <c r="D125" s="489" t="s">
        <v>1866</v>
      </c>
      <c r="E125" s="487" t="s">
        <v>1867</v>
      </c>
      <c r="F125" s="490">
        <v>155423</v>
      </c>
      <c r="G125" s="489">
        <v>1595.2</v>
      </c>
      <c r="H125" s="489">
        <v>97.431669999999997</v>
      </c>
      <c r="I125" s="487" t="s">
        <v>1499</v>
      </c>
      <c r="J125" s="487" t="s">
        <v>1047</v>
      </c>
    </row>
    <row r="126" spans="1:10" ht="15" x14ac:dyDescent="0.2">
      <c r="A126" s="486" t="s">
        <v>1046</v>
      </c>
      <c r="B126" s="487" t="s">
        <v>421</v>
      </c>
      <c r="C126" s="488" t="s">
        <v>1868</v>
      </c>
      <c r="D126" s="489" t="s">
        <v>1869</v>
      </c>
      <c r="E126" s="487" t="s">
        <v>1870</v>
      </c>
      <c r="F126" s="490">
        <v>243680</v>
      </c>
      <c r="G126" s="489">
        <v>2831.5</v>
      </c>
      <c r="H126" s="489">
        <v>86.060389999999998</v>
      </c>
      <c r="I126" s="487" t="s">
        <v>1499</v>
      </c>
      <c r="J126" s="487" t="s">
        <v>1047</v>
      </c>
    </row>
    <row r="127" spans="1:10" ht="15" x14ac:dyDescent="0.2">
      <c r="A127" s="486" t="s">
        <v>1046</v>
      </c>
      <c r="B127" s="487" t="s">
        <v>421</v>
      </c>
      <c r="C127" s="488" t="s">
        <v>1871</v>
      </c>
      <c r="D127" s="489" t="s">
        <v>1872</v>
      </c>
      <c r="E127" s="487" t="s">
        <v>1873</v>
      </c>
      <c r="F127" s="490">
        <v>7400</v>
      </c>
      <c r="G127" s="489">
        <v>100.2</v>
      </c>
      <c r="H127" s="489">
        <v>73.8523</v>
      </c>
      <c r="I127" s="487" t="s">
        <v>1499</v>
      </c>
      <c r="J127" s="487" t="s">
        <v>1047</v>
      </c>
    </row>
    <row r="128" spans="1:10" ht="15" x14ac:dyDescent="0.2">
      <c r="A128" s="486" t="s">
        <v>1046</v>
      </c>
      <c r="B128" s="487" t="s">
        <v>421</v>
      </c>
      <c r="C128" s="488" t="s">
        <v>1874</v>
      </c>
      <c r="D128" s="489" t="s">
        <v>1875</v>
      </c>
      <c r="E128" s="487" t="s">
        <v>1876</v>
      </c>
      <c r="F128" s="490">
        <v>696215</v>
      </c>
      <c r="G128" s="489">
        <v>6487.3</v>
      </c>
      <c r="H128" s="489">
        <v>107.31968999999999</v>
      </c>
      <c r="I128" s="487" t="s">
        <v>1499</v>
      </c>
      <c r="J128" s="487" t="s">
        <v>1047</v>
      </c>
    </row>
    <row r="129" spans="1:10" ht="15" x14ac:dyDescent="0.2">
      <c r="A129" s="486" t="s">
        <v>1046</v>
      </c>
      <c r="B129" s="487" t="s">
        <v>421</v>
      </c>
      <c r="C129" s="488" t="s">
        <v>1877</v>
      </c>
      <c r="D129" s="489" t="s">
        <v>1878</v>
      </c>
      <c r="E129" s="487" t="s">
        <v>1879</v>
      </c>
      <c r="F129" s="490">
        <v>125500</v>
      </c>
      <c r="G129" s="489">
        <v>1790</v>
      </c>
      <c r="H129" s="489">
        <v>70.111729999999994</v>
      </c>
      <c r="I129" s="487" t="s">
        <v>1499</v>
      </c>
      <c r="J129" s="487" t="s">
        <v>1047</v>
      </c>
    </row>
    <row r="130" spans="1:10" ht="15" x14ac:dyDescent="0.2">
      <c r="A130" s="486" t="s">
        <v>1046</v>
      </c>
      <c r="B130" s="487" t="s">
        <v>421</v>
      </c>
      <c r="C130" s="488" t="s">
        <v>1880</v>
      </c>
      <c r="D130" s="489" t="s">
        <v>1881</v>
      </c>
      <c r="E130" s="487" t="s">
        <v>1882</v>
      </c>
      <c r="F130" s="490">
        <v>33045</v>
      </c>
      <c r="G130" s="489">
        <v>446.5</v>
      </c>
      <c r="H130" s="489">
        <v>74.008960000000002</v>
      </c>
      <c r="I130" s="487" t="s">
        <v>1499</v>
      </c>
      <c r="J130" s="487" t="s">
        <v>1047</v>
      </c>
    </row>
    <row r="131" spans="1:10" ht="15" x14ac:dyDescent="0.2">
      <c r="A131" s="486" t="s">
        <v>1046</v>
      </c>
      <c r="B131" s="487" t="s">
        <v>421</v>
      </c>
      <c r="C131" s="488" t="s">
        <v>1883</v>
      </c>
      <c r="D131" s="489" t="s">
        <v>1884</v>
      </c>
      <c r="E131" s="487" t="s">
        <v>1885</v>
      </c>
      <c r="F131" s="490">
        <v>1484085</v>
      </c>
      <c r="G131" s="489">
        <v>10445.799999999999</v>
      </c>
      <c r="H131" s="489">
        <v>142.07481000000001</v>
      </c>
      <c r="I131" s="487" t="s">
        <v>1499</v>
      </c>
      <c r="J131" s="487" t="s">
        <v>1047</v>
      </c>
    </row>
    <row r="132" spans="1:10" ht="15" x14ac:dyDescent="0.2">
      <c r="A132" s="486" t="s">
        <v>1046</v>
      </c>
      <c r="B132" s="487" t="s">
        <v>421</v>
      </c>
      <c r="C132" s="488" t="s">
        <v>1886</v>
      </c>
      <c r="D132" s="489" t="s">
        <v>1887</v>
      </c>
      <c r="E132" s="487" t="s">
        <v>1888</v>
      </c>
      <c r="F132" s="490">
        <v>12752</v>
      </c>
      <c r="G132" s="489">
        <v>150.1</v>
      </c>
      <c r="H132" s="489">
        <v>84.956699999999998</v>
      </c>
      <c r="I132" s="487" t="s">
        <v>1499</v>
      </c>
      <c r="J132" s="487" t="s">
        <v>1047</v>
      </c>
    </row>
    <row r="133" spans="1:10" ht="15" x14ac:dyDescent="0.2">
      <c r="A133" s="486" t="s">
        <v>1046</v>
      </c>
      <c r="B133" s="487" t="s">
        <v>421</v>
      </c>
      <c r="C133" s="488" t="s">
        <v>1889</v>
      </c>
      <c r="D133" s="489" t="s">
        <v>1890</v>
      </c>
      <c r="E133" s="487" t="s">
        <v>1891</v>
      </c>
      <c r="F133" s="490">
        <v>41250</v>
      </c>
      <c r="G133" s="489">
        <v>1144.4000000000001</v>
      </c>
      <c r="H133" s="489">
        <v>36.045090000000002</v>
      </c>
      <c r="I133" s="487" t="s">
        <v>1499</v>
      </c>
      <c r="J133" s="487" t="s">
        <v>1047</v>
      </c>
    </row>
    <row r="134" spans="1:10" ht="15" x14ac:dyDescent="0.2">
      <c r="A134" s="486" t="s">
        <v>1046</v>
      </c>
      <c r="B134" s="487" t="s">
        <v>421</v>
      </c>
      <c r="C134" s="488" t="s">
        <v>1892</v>
      </c>
      <c r="D134" s="489" t="s">
        <v>1893</v>
      </c>
      <c r="E134" s="487" t="s">
        <v>1894</v>
      </c>
      <c r="F134" s="490">
        <v>15808</v>
      </c>
      <c r="G134" s="489">
        <v>540.20000000000005</v>
      </c>
      <c r="H134" s="489">
        <v>29.26324</v>
      </c>
      <c r="I134" s="487" t="s">
        <v>1499</v>
      </c>
      <c r="J134" s="487" t="s">
        <v>1047</v>
      </c>
    </row>
    <row r="135" spans="1:10" ht="15" x14ac:dyDescent="0.2">
      <c r="A135" s="486" t="s">
        <v>1046</v>
      </c>
      <c r="B135" s="487" t="s">
        <v>421</v>
      </c>
      <c r="C135" s="488" t="s">
        <v>1895</v>
      </c>
      <c r="D135" s="489" t="s">
        <v>1896</v>
      </c>
      <c r="E135" s="487" t="s">
        <v>1897</v>
      </c>
      <c r="F135" s="490">
        <v>9390</v>
      </c>
      <c r="G135" s="489">
        <v>140.80000000000001</v>
      </c>
      <c r="H135" s="489">
        <v>66.690340000000006</v>
      </c>
      <c r="I135" s="487" t="s">
        <v>1499</v>
      </c>
      <c r="J135" s="487" t="s">
        <v>1047</v>
      </c>
    </row>
    <row r="136" spans="1:10" ht="15" x14ac:dyDescent="0.2">
      <c r="A136" s="486" t="s">
        <v>1046</v>
      </c>
      <c r="B136" s="487" t="s">
        <v>421</v>
      </c>
      <c r="C136" s="488" t="s">
        <v>1898</v>
      </c>
      <c r="D136" s="489" t="s">
        <v>1899</v>
      </c>
      <c r="E136" s="487" t="s">
        <v>1900</v>
      </c>
      <c r="F136" s="490">
        <v>14750</v>
      </c>
      <c r="G136" s="489">
        <v>145</v>
      </c>
      <c r="H136" s="489">
        <v>101.72414000000001</v>
      </c>
      <c r="I136" s="487" t="s">
        <v>1499</v>
      </c>
      <c r="J136" s="487" t="s">
        <v>1047</v>
      </c>
    </row>
    <row r="137" spans="1:10" ht="15" x14ac:dyDescent="0.2">
      <c r="A137" s="486" t="s">
        <v>1046</v>
      </c>
      <c r="B137" s="487" t="s">
        <v>421</v>
      </c>
      <c r="C137" s="488" t="s">
        <v>1901</v>
      </c>
      <c r="D137" s="489" t="s">
        <v>1902</v>
      </c>
      <c r="E137" s="487" t="s">
        <v>1903</v>
      </c>
      <c r="F137" s="490">
        <v>4450668</v>
      </c>
      <c r="G137" s="489">
        <v>27142.3</v>
      </c>
      <c r="H137" s="489">
        <v>163.97533999999999</v>
      </c>
      <c r="I137" s="487" t="s">
        <v>1499</v>
      </c>
      <c r="J137" s="487" t="s">
        <v>1047</v>
      </c>
    </row>
    <row r="138" spans="1:10" ht="15" x14ac:dyDescent="0.2">
      <c r="A138" s="486" t="s">
        <v>1046</v>
      </c>
      <c r="B138" s="487" t="s">
        <v>421</v>
      </c>
      <c r="C138" s="488" t="s">
        <v>1904</v>
      </c>
      <c r="D138" s="489" t="s">
        <v>1905</v>
      </c>
      <c r="E138" s="487" t="s">
        <v>1906</v>
      </c>
      <c r="F138" s="490">
        <v>28000</v>
      </c>
      <c r="G138" s="489">
        <v>559.79999999999995</v>
      </c>
      <c r="H138" s="489">
        <v>50.017859999999999</v>
      </c>
      <c r="I138" s="487" t="s">
        <v>1499</v>
      </c>
      <c r="J138" s="487" t="s">
        <v>1047</v>
      </c>
    </row>
    <row r="139" spans="1:10" ht="15" x14ac:dyDescent="0.2">
      <c r="A139" s="486" t="s">
        <v>1046</v>
      </c>
      <c r="B139" s="487" t="s">
        <v>421</v>
      </c>
      <c r="C139" s="488" t="s">
        <v>1907</v>
      </c>
      <c r="D139" s="489" t="s">
        <v>1908</v>
      </c>
      <c r="E139" s="487" t="s">
        <v>1909</v>
      </c>
      <c r="F139" s="490">
        <v>36000</v>
      </c>
      <c r="G139" s="489">
        <v>1014.5</v>
      </c>
      <c r="H139" s="489">
        <v>35.485460000000003</v>
      </c>
      <c r="I139" s="487" t="s">
        <v>1499</v>
      </c>
      <c r="J139" s="487" t="s">
        <v>1047</v>
      </c>
    </row>
    <row r="140" spans="1:10" ht="15" x14ac:dyDescent="0.2">
      <c r="A140" s="486" t="s">
        <v>1046</v>
      </c>
      <c r="B140" s="487" t="s">
        <v>421</v>
      </c>
      <c r="C140" s="488" t="s">
        <v>1910</v>
      </c>
      <c r="D140" s="489" t="s">
        <v>1911</v>
      </c>
      <c r="E140" s="487" t="s">
        <v>1912</v>
      </c>
      <c r="F140" s="490">
        <v>204500</v>
      </c>
      <c r="G140" s="489">
        <v>2275.9</v>
      </c>
      <c r="H140" s="489">
        <v>89.854560000000006</v>
      </c>
      <c r="I140" s="487" t="s">
        <v>1499</v>
      </c>
      <c r="J140" s="487" t="s">
        <v>1047</v>
      </c>
    </row>
    <row r="141" spans="1:10" ht="15" x14ac:dyDescent="0.2">
      <c r="A141" s="486" t="s">
        <v>1046</v>
      </c>
      <c r="B141" s="487" t="s">
        <v>421</v>
      </c>
      <c r="C141" s="488" t="s">
        <v>1913</v>
      </c>
      <c r="D141" s="489" t="s">
        <v>1914</v>
      </c>
      <c r="E141" s="487" t="s">
        <v>1915</v>
      </c>
      <c r="F141" s="490">
        <v>56089</v>
      </c>
      <c r="G141" s="489">
        <v>1186.5999999999999</v>
      </c>
      <c r="H141" s="489">
        <v>47.26867</v>
      </c>
      <c r="I141" s="487" t="s">
        <v>1499</v>
      </c>
      <c r="J141" s="487" t="s">
        <v>1047</v>
      </c>
    </row>
    <row r="142" spans="1:10" ht="15" x14ac:dyDescent="0.2">
      <c r="A142" s="486" t="s">
        <v>1046</v>
      </c>
      <c r="B142" s="487" t="s">
        <v>421</v>
      </c>
      <c r="C142" s="488" t="s">
        <v>1916</v>
      </c>
      <c r="D142" s="489" t="s">
        <v>1917</v>
      </c>
      <c r="E142" s="487" t="s">
        <v>1918</v>
      </c>
      <c r="F142" s="490">
        <v>139800</v>
      </c>
      <c r="G142" s="489">
        <v>1278.0999999999999</v>
      </c>
      <c r="H142" s="489">
        <v>109.38111000000001</v>
      </c>
      <c r="I142" s="487" t="s">
        <v>1499</v>
      </c>
      <c r="J142" s="487" t="s">
        <v>1047</v>
      </c>
    </row>
    <row r="143" spans="1:10" ht="15" x14ac:dyDescent="0.2">
      <c r="A143" s="486" t="s">
        <v>1046</v>
      </c>
      <c r="B143" s="487" t="s">
        <v>421</v>
      </c>
      <c r="C143" s="488" t="s">
        <v>1919</v>
      </c>
      <c r="D143" s="489" t="s">
        <v>1920</v>
      </c>
      <c r="E143" s="487" t="s">
        <v>1921</v>
      </c>
      <c r="F143" s="490">
        <v>332991</v>
      </c>
      <c r="G143" s="489">
        <v>3180.9</v>
      </c>
      <c r="H143" s="489">
        <v>104.68452000000001</v>
      </c>
      <c r="I143" s="487" t="s">
        <v>1499</v>
      </c>
      <c r="J143" s="487" t="s">
        <v>1047</v>
      </c>
    </row>
    <row r="144" spans="1:10" ht="15" x14ac:dyDescent="0.2">
      <c r="A144" s="486" t="s">
        <v>432</v>
      </c>
      <c r="B144" s="487" t="s">
        <v>431</v>
      </c>
      <c r="C144" s="488" t="s">
        <v>1922</v>
      </c>
      <c r="D144" s="489" t="s">
        <v>1923</v>
      </c>
      <c r="E144" s="487" t="s">
        <v>1924</v>
      </c>
      <c r="F144" s="490">
        <v>65851</v>
      </c>
      <c r="G144" s="489">
        <v>1977.61</v>
      </c>
      <c r="H144" s="489">
        <v>33.298270000000002</v>
      </c>
      <c r="I144" s="487" t="s">
        <v>1499</v>
      </c>
      <c r="J144" s="487" t="s">
        <v>433</v>
      </c>
    </row>
    <row r="145" spans="1:10" ht="15" x14ac:dyDescent="0.2">
      <c r="A145" s="486" t="s">
        <v>432</v>
      </c>
      <c r="B145" s="487" t="s">
        <v>431</v>
      </c>
      <c r="C145" s="488" t="s">
        <v>1925</v>
      </c>
      <c r="D145" s="489" t="s">
        <v>1926</v>
      </c>
      <c r="E145" s="487" t="s">
        <v>1927</v>
      </c>
      <c r="F145" s="490">
        <v>14533</v>
      </c>
      <c r="G145" s="489">
        <v>123.18</v>
      </c>
      <c r="H145" s="489">
        <v>117.98182</v>
      </c>
      <c r="I145" s="487" t="s">
        <v>1499</v>
      </c>
      <c r="J145" s="487" t="s">
        <v>433</v>
      </c>
    </row>
    <row r="146" spans="1:10" ht="15" x14ac:dyDescent="0.2">
      <c r="A146" s="486" t="s">
        <v>432</v>
      </c>
      <c r="B146" s="487" t="s">
        <v>431</v>
      </c>
      <c r="C146" s="488" t="s">
        <v>1928</v>
      </c>
      <c r="D146" s="489" t="s">
        <v>1929</v>
      </c>
      <c r="E146" s="487" t="s">
        <v>1930</v>
      </c>
      <c r="F146" s="490">
        <v>18045</v>
      </c>
      <c r="G146" s="489">
        <v>372.28</v>
      </c>
      <c r="H146" s="489">
        <v>48.471580000000003</v>
      </c>
      <c r="I146" s="487" t="s">
        <v>1499</v>
      </c>
      <c r="J146" s="487" t="s">
        <v>433</v>
      </c>
    </row>
    <row r="147" spans="1:10" ht="15" x14ac:dyDescent="0.2">
      <c r="A147" s="486" t="s">
        <v>432</v>
      </c>
      <c r="B147" s="487" t="s">
        <v>431</v>
      </c>
      <c r="C147" s="488" t="s">
        <v>1931</v>
      </c>
      <c r="D147" s="489" t="s">
        <v>1932</v>
      </c>
      <c r="E147" s="487" t="s">
        <v>1933</v>
      </c>
      <c r="F147" s="490">
        <v>126030</v>
      </c>
      <c r="G147" s="489">
        <v>3568.21</v>
      </c>
      <c r="H147" s="489">
        <v>35.320230000000002</v>
      </c>
      <c r="I147" s="487" t="s">
        <v>1499</v>
      </c>
      <c r="J147" s="487" t="s">
        <v>433</v>
      </c>
    </row>
    <row r="148" spans="1:10" ht="15" x14ac:dyDescent="0.2">
      <c r="A148" s="486" t="s">
        <v>432</v>
      </c>
      <c r="B148" s="487" t="s">
        <v>431</v>
      </c>
      <c r="C148" s="488" t="s">
        <v>1934</v>
      </c>
      <c r="D148" s="489" t="s">
        <v>1935</v>
      </c>
      <c r="E148" s="487" t="s">
        <v>1936</v>
      </c>
      <c r="F148" s="490">
        <v>178520</v>
      </c>
      <c r="G148" s="489">
        <v>2234.2199999999998</v>
      </c>
      <c r="H148" s="489">
        <v>79.902609999999996</v>
      </c>
      <c r="I148" s="487" t="s">
        <v>1499</v>
      </c>
      <c r="J148" s="487" t="s">
        <v>433</v>
      </c>
    </row>
    <row r="149" spans="1:10" ht="15" x14ac:dyDescent="0.2">
      <c r="A149" s="486" t="s">
        <v>432</v>
      </c>
      <c r="B149" s="487" t="s">
        <v>431</v>
      </c>
      <c r="C149" s="488" t="s">
        <v>1937</v>
      </c>
      <c r="D149" s="489" t="s">
        <v>1938</v>
      </c>
      <c r="E149" s="487" t="s">
        <v>1939</v>
      </c>
      <c r="F149" s="490">
        <v>9600</v>
      </c>
      <c r="G149" s="489">
        <v>143.55000000000001</v>
      </c>
      <c r="H149" s="489">
        <v>66.875649999999993</v>
      </c>
      <c r="I149" s="487" t="s">
        <v>1499</v>
      </c>
      <c r="J149" s="487" t="s">
        <v>433</v>
      </c>
    </row>
    <row r="150" spans="1:10" ht="15" x14ac:dyDescent="0.2">
      <c r="A150" s="486" t="s">
        <v>432</v>
      </c>
      <c r="B150" s="487" t="s">
        <v>431</v>
      </c>
      <c r="C150" s="488" t="s">
        <v>1940</v>
      </c>
      <c r="D150" s="489" t="s">
        <v>1941</v>
      </c>
      <c r="E150" s="487" t="s">
        <v>1942</v>
      </c>
      <c r="F150" s="490">
        <v>23500</v>
      </c>
      <c r="G150" s="489">
        <v>416.74</v>
      </c>
      <c r="H150" s="489">
        <v>56.390079999999998</v>
      </c>
      <c r="I150" s="487" t="s">
        <v>1499</v>
      </c>
      <c r="J150" s="487" t="s">
        <v>433</v>
      </c>
    </row>
    <row r="151" spans="1:10" ht="15" x14ac:dyDescent="0.2">
      <c r="A151" s="486" t="s">
        <v>432</v>
      </c>
      <c r="B151" s="487" t="s">
        <v>431</v>
      </c>
      <c r="C151" s="488" t="s">
        <v>1943</v>
      </c>
      <c r="D151" s="489" t="s">
        <v>1944</v>
      </c>
      <c r="E151" s="487" t="s">
        <v>1945</v>
      </c>
      <c r="F151" s="490">
        <v>78500</v>
      </c>
      <c r="G151" s="489">
        <v>1534.41</v>
      </c>
      <c r="H151" s="489">
        <v>51.159730000000003</v>
      </c>
      <c r="I151" s="487" t="s">
        <v>1499</v>
      </c>
      <c r="J151" s="487" t="s">
        <v>433</v>
      </c>
    </row>
    <row r="152" spans="1:10" ht="15" x14ac:dyDescent="0.2">
      <c r="A152" s="486" t="s">
        <v>432</v>
      </c>
      <c r="B152" s="487" t="s">
        <v>431</v>
      </c>
      <c r="C152" s="488" t="s">
        <v>1946</v>
      </c>
      <c r="D152" s="489" t="s">
        <v>1947</v>
      </c>
      <c r="E152" s="487" t="s">
        <v>1948</v>
      </c>
      <c r="F152" s="490">
        <v>17491</v>
      </c>
      <c r="G152" s="489">
        <v>199.22</v>
      </c>
      <c r="H152" s="489">
        <v>87.797409999999999</v>
      </c>
      <c r="I152" s="487" t="s">
        <v>1499</v>
      </c>
      <c r="J152" s="487" t="s">
        <v>433</v>
      </c>
    </row>
    <row r="153" spans="1:10" ht="15" x14ac:dyDescent="0.2">
      <c r="A153" s="486" t="s">
        <v>432</v>
      </c>
      <c r="B153" s="487" t="s">
        <v>431</v>
      </c>
      <c r="C153" s="488" t="s">
        <v>1949</v>
      </c>
      <c r="D153" s="489" t="s">
        <v>1950</v>
      </c>
      <c r="E153" s="487" t="s">
        <v>1951</v>
      </c>
      <c r="F153" s="490">
        <v>26415</v>
      </c>
      <c r="G153" s="489">
        <v>330.82</v>
      </c>
      <c r="H153" s="489">
        <v>79.847049999999996</v>
      </c>
      <c r="I153" s="487" t="s">
        <v>1499</v>
      </c>
      <c r="J153" s="487" t="s">
        <v>433</v>
      </c>
    </row>
    <row r="154" spans="1:10" ht="15" x14ac:dyDescent="0.2">
      <c r="A154" s="486" t="s">
        <v>432</v>
      </c>
      <c r="B154" s="487" t="s">
        <v>431</v>
      </c>
      <c r="C154" s="488" t="s">
        <v>1952</v>
      </c>
      <c r="D154" s="489" t="s">
        <v>1953</v>
      </c>
      <c r="E154" s="487" t="s">
        <v>1954</v>
      </c>
      <c r="F154" s="490">
        <v>25500</v>
      </c>
      <c r="G154" s="489">
        <v>280.20999999999998</v>
      </c>
      <c r="H154" s="489">
        <v>91.00318</v>
      </c>
      <c r="I154" s="487" t="s">
        <v>1499</v>
      </c>
      <c r="J154" s="487" t="s">
        <v>433</v>
      </c>
    </row>
    <row r="155" spans="1:10" ht="15" x14ac:dyDescent="0.2">
      <c r="A155" s="486" t="s">
        <v>432</v>
      </c>
      <c r="B155" s="487" t="s">
        <v>431</v>
      </c>
      <c r="C155" s="488" t="s">
        <v>1955</v>
      </c>
      <c r="D155" s="489" t="s">
        <v>1956</v>
      </c>
      <c r="E155" s="487" t="s">
        <v>1957</v>
      </c>
      <c r="F155" s="490">
        <v>7259</v>
      </c>
      <c r="G155" s="489">
        <v>214.51</v>
      </c>
      <c r="H155" s="489">
        <v>33.839910000000003</v>
      </c>
      <c r="I155" s="487" t="s">
        <v>1499</v>
      </c>
      <c r="J155" s="487" t="s">
        <v>433</v>
      </c>
    </row>
    <row r="156" spans="1:10" ht="15" x14ac:dyDescent="0.2">
      <c r="A156" s="486" t="s">
        <v>432</v>
      </c>
      <c r="B156" s="487" t="s">
        <v>431</v>
      </c>
      <c r="C156" s="488" t="s">
        <v>1958</v>
      </c>
      <c r="D156" s="489" t="s">
        <v>1959</v>
      </c>
      <c r="E156" s="487" t="s">
        <v>1960</v>
      </c>
      <c r="F156" s="490">
        <v>35800</v>
      </c>
      <c r="G156" s="489">
        <v>1007.27</v>
      </c>
      <c r="H156" s="489">
        <v>35.541609999999999</v>
      </c>
      <c r="I156" s="487" t="s">
        <v>1499</v>
      </c>
      <c r="J156" s="487" t="s">
        <v>433</v>
      </c>
    </row>
    <row r="157" spans="1:10" ht="15" x14ac:dyDescent="0.2">
      <c r="A157" s="486" t="s">
        <v>432</v>
      </c>
      <c r="B157" s="487" t="s">
        <v>431</v>
      </c>
      <c r="C157" s="488" t="s">
        <v>1961</v>
      </c>
      <c r="D157" s="489" t="s">
        <v>1962</v>
      </c>
      <c r="E157" s="487" t="s">
        <v>1963</v>
      </c>
      <c r="F157" s="490">
        <v>21000</v>
      </c>
      <c r="G157" s="489">
        <v>368.94</v>
      </c>
      <c r="H157" s="489">
        <v>56.919820000000001</v>
      </c>
      <c r="I157" s="487" t="s">
        <v>1499</v>
      </c>
      <c r="J157" s="487" t="s">
        <v>433</v>
      </c>
    </row>
    <row r="158" spans="1:10" ht="15" x14ac:dyDescent="0.2">
      <c r="A158" s="486" t="s">
        <v>432</v>
      </c>
      <c r="B158" s="487" t="s">
        <v>431</v>
      </c>
      <c r="C158" s="488" t="s">
        <v>1964</v>
      </c>
      <c r="D158" s="489" t="s">
        <v>1965</v>
      </c>
      <c r="E158" s="487" t="s">
        <v>1966</v>
      </c>
      <c r="F158" s="490">
        <v>106000</v>
      </c>
      <c r="G158" s="489">
        <v>936.52</v>
      </c>
      <c r="H158" s="489">
        <v>113.18498</v>
      </c>
      <c r="I158" s="487" t="s">
        <v>1499</v>
      </c>
      <c r="J158" s="487" t="s">
        <v>433</v>
      </c>
    </row>
    <row r="159" spans="1:10" ht="15" x14ac:dyDescent="0.2">
      <c r="A159" s="486" t="s">
        <v>432</v>
      </c>
      <c r="B159" s="487" t="s">
        <v>431</v>
      </c>
      <c r="C159" s="488" t="s">
        <v>1967</v>
      </c>
      <c r="D159" s="489" t="s">
        <v>1968</v>
      </c>
      <c r="E159" s="487" t="s">
        <v>1969</v>
      </c>
      <c r="F159" s="490">
        <v>41901</v>
      </c>
      <c r="G159" s="489">
        <v>1780.9</v>
      </c>
      <c r="H159" s="489">
        <v>23.527989999999999</v>
      </c>
      <c r="I159" s="487" t="s">
        <v>1499</v>
      </c>
      <c r="J159" s="487" t="s">
        <v>433</v>
      </c>
    </row>
    <row r="160" spans="1:10" ht="15" x14ac:dyDescent="0.2">
      <c r="A160" s="486" t="s">
        <v>432</v>
      </c>
      <c r="B160" s="487" t="s">
        <v>431</v>
      </c>
      <c r="C160" s="488" t="s">
        <v>1970</v>
      </c>
      <c r="D160" s="489" t="s">
        <v>1971</v>
      </c>
      <c r="E160" s="487" t="s">
        <v>1972</v>
      </c>
      <c r="F160" s="490">
        <v>100070</v>
      </c>
      <c r="G160" s="489">
        <v>710.57</v>
      </c>
      <c r="H160" s="489">
        <v>140.8306</v>
      </c>
      <c r="I160" s="487" t="s">
        <v>1499</v>
      </c>
      <c r="J160" s="487" t="s">
        <v>433</v>
      </c>
    </row>
    <row r="161" spans="1:10" ht="15" x14ac:dyDescent="0.2">
      <c r="A161" s="486" t="s">
        <v>432</v>
      </c>
      <c r="B161" s="487" t="s">
        <v>431</v>
      </c>
      <c r="C161" s="488" t="s">
        <v>1973</v>
      </c>
      <c r="D161" s="489" t="s">
        <v>1974</v>
      </c>
      <c r="E161" s="487" t="s">
        <v>1975</v>
      </c>
      <c r="F161" s="490">
        <v>350000</v>
      </c>
      <c r="G161" s="489">
        <v>6197.32</v>
      </c>
      <c r="H161" s="489">
        <v>56.476030000000002</v>
      </c>
      <c r="I161" s="487" t="s">
        <v>1499</v>
      </c>
      <c r="J161" s="487" t="s">
        <v>433</v>
      </c>
    </row>
    <row r="162" spans="1:10" ht="15" x14ac:dyDescent="0.2">
      <c r="A162" s="486" t="s">
        <v>432</v>
      </c>
      <c r="B162" s="487" t="s">
        <v>431</v>
      </c>
      <c r="C162" s="488" t="s">
        <v>1976</v>
      </c>
      <c r="D162" s="489" t="s">
        <v>1977</v>
      </c>
      <c r="E162" s="487" t="s">
        <v>1978</v>
      </c>
      <c r="F162" s="490">
        <v>40935</v>
      </c>
      <c r="G162" s="489">
        <v>974.85</v>
      </c>
      <c r="H162" s="489">
        <v>41.991079999999997</v>
      </c>
      <c r="I162" s="487" t="s">
        <v>1499</v>
      </c>
      <c r="J162" s="487" t="s">
        <v>433</v>
      </c>
    </row>
    <row r="163" spans="1:10" ht="15" x14ac:dyDescent="0.2">
      <c r="A163" s="486" t="s">
        <v>432</v>
      </c>
      <c r="B163" s="487" t="s">
        <v>431</v>
      </c>
      <c r="C163" s="488" t="s">
        <v>1979</v>
      </c>
      <c r="D163" s="489" t="s">
        <v>1980</v>
      </c>
      <c r="E163" s="487" t="s">
        <v>1981</v>
      </c>
      <c r="F163" s="490">
        <v>6350</v>
      </c>
      <c r="G163" s="489">
        <v>123.16</v>
      </c>
      <c r="H163" s="489">
        <v>51.558950000000003</v>
      </c>
      <c r="I163" s="487" t="s">
        <v>1499</v>
      </c>
      <c r="J163" s="487" t="s">
        <v>433</v>
      </c>
    </row>
    <row r="164" spans="1:10" ht="15" x14ac:dyDescent="0.2">
      <c r="A164" s="486" t="s">
        <v>432</v>
      </c>
      <c r="B164" s="487" t="s">
        <v>431</v>
      </c>
      <c r="C164" s="488" t="s">
        <v>1982</v>
      </c>
      <c r="D164" s="489" t="s">
        <v>1983</v>
      </c>
      <c r="E164" s="487" t="s">
        <v>1984</v>
      </c>
      <c r="F164" s="490">
        <v>0</v>
      </c>
      <c r="G164" s="489">
        <v>20.8</v>
      </c>
      <c r="H164" s="489">
        <v>0</v>
      </c>
      <c r="I164" s="487" t="s">
        <v>1593</v>
      </c>
      <c r="J164" s="487" t="s">
        <v>433</v>
      </c>
    </row>
    <row r="165" spans="1:10" ht="15" x14ac:dyDescent="0.2">
      <c r="A165" s="486" t="s">
        <v>432</v>
      </c>
      <c r="B165" s="487" t="s">
        <v>431</v>
      </c>
      <c r="C165" s="488" t="s">
        <v>1985</v>
      </c>
      <c r="D165" s="489" t="s">
        <v>1986</v>
      </c>
      <c r="E165" s="487" t="s">
        <v>1987</v>
      </c>
      <c r="F165" s="490">
        <v>7915.16</v>
      </c>
      <c r="G165" s="489">
        <v>242.84</v>
      </c>
      <c r="H165" s="489">
        <v>32.594140000000003</v>
      </c>
      <c r="I165" s="487" t="s">
        <v>1499</v>
      </c>
      <c r="J165" s="487" t="s">
        <v>433</v>
      </c>
    </row>
    <row r="166" spans="1:10" ht="15" x14ac:dyDescent="0.2">
      <c r="A166" s="486" t="s">
        <v>432</v>
      </c>
      <c r="B166" s="487" t="s">
        <v>431</v>
      </c>
      <c r="C166" s="488" t="s">
        <v>1988</v>
      </c>
      <c r="D166" s="489" t="s">
        <v>1989</v>
      </c>
      <c r="E166" s="487" t="s">
        <v>1990</v>
      </c>
      <c r="F166" s="490">
        <v>8910</v>
      </c>
      <c r="G166" s="489">
        <v>206.22</v>
      </c>
      <c r="H166" s="489">
        <v>43.20628</v>
      </c>
      <c r="I166" s="487" t="s">
        <v>1499</v>
      </c>
      <c r="J166" s="487" t="s">
        <v>433</v>
      </c>
    </row>
    <row r="167" spans="1:10" ht="15" x14ac:dyDescent="0.2">
      <c r="A167" s="486" t="s">
        <v>432</v>
      </c>
      <c r="B167" s="487" t="s">
        <v>431</v>
      </c>
      <c r="C167" s="488" t="s">
        <v>1991</v>
      </c>
      <c r="D167" s="489" t="s">
        <v>1992</v>
      </c>
      <c r="E167" s="487" t="s">
        <v>1993</v>
      </c>
      <c r="F167" s="490">
        <v>17156</v>
      </c>
      <c r="G167" s="489">
        <v>327.69</v>
      </c>
      <c r="H167" s="489">
        <v>52.35436</v>
      </c>
      <c r="I167" s="487" t="s">
        <v>1499</v>
      </c>
      <c r="J167" s="487" t="s">
        <v>433</v>
      </c>
    </row>
    <row r="168" spans="1:10" ht="15" x14ac:dyDescent="0.2">
      <c r="A168" s="486" t="s">
        <v>432</v>
      </c>
      <c r="B168" s="487" t="s">
        <v>431</v>
      </c>
      <c r="C168" s="488" t="s">
        <v>1994</v>
      </c>
      <c r="D168" s="489" t="s">
        <v>1995</v>
      </c>
      <c r="E168" s="487" t="s">
        <v>1996</v>
      </c>
      <c r="F168" s="490">
        <v>61100</v>
      </c>
      <c r="G168" s="489">
        <v>995.39</v>
      </c>
      <c r="H168" s="489">
        <v>61.382980000000003</v>
      </c>
      <c r="I168" s="487" t="s">
        <v>1499</v>
      </c>
      <c r="J168" s="487" t="s">
        <v>433</v>
      </c>
    </row>
    <row r="169" spans="1:10" ht="15" x14ac:dyDescent="0.2">
      <c r="A169" s="486" t="s">
        <v>432</v>
      </c>
      <c r="B169" s="487" t="s">
        <v>431</v>
      </c>
      <c r="C169" s="488" t="s">
        <v>1997</v>
      </c>
      <c r="D169" s="489" t="s">
        <v>1998</v>
      </c>
      <c r="E169" s="487" t="s">
        <v>1999</v>
      </c>
      <c r="F169" s="490">
        <v>11645</v>
      </c>
      <c r="G169" s="489">
        <v>136.74</v>
      </c>
      <c r="H169" s="489">
        <v>85.161619999999999</v>
      </c>
      <c r="I169" s="487" t="s">
        <v>1499</v>
      </c>
      <c r="J169" s="487" t="s">
        <v>433</v>
      </c>
    </row>
    <row r="170" spans="1:10" ht="15" x14ac:dyDescent="0.2">
      <c r="A170" s="486" t="s">
        <v>432</v>
      </c>
      <c r="B170" s="487" t="s">
        <v>431</v>
      </c>
      <c r="C170" s="488" t="s">
        <v>2000</v>
      </c>
      <c r="D170" s="489" t="s">
        <v>2001</v>
      </c>
      <c r="E170" s="487" t="s">
        <v>2002</v>
      </c>
      <c r="F170" s="490">
        <v>16200</v>
      </c>
      <c r="G170" s="489">
        <v>355.71</v>
      </c>
      <c r="H170" s="489">
        <v>45.542720000000003</v>
      </c>
      <c r="I170" s="487" t="s">
        <v>1499</v>
      </c>
      <c r="J170" s="487" t="s">
        <v>433</v>
      </c>
    </row>
    <row r="171" spans="1:10" ht="15" x14ac:dyDescent="0.2">
      <c r="A171" s="486" t="s">
        <v>432</v>
      </c>
      <c r="B171" s="487" t="s">
        <v>431</v>
      </c>
      <c r="C171" s="488" t="s">
        <v>2003</v>
      </c>
      <c r="D171" s="489" t="s">
        <v>2004</v>
      </c>
      <c r="E171" s="487" t="s">
        <v>2005</v>
      </c>
      <c r="F171" s="490">
        <v>7910</v>
      </c>
      <c r="G171" s="489">
        <v>169.86</v>
      </c>
      <c r="H171" s="489">
        <v>46.56776</v>
      </c>
      <c r="I171" s="487" t="s">
        <v>1499</v>
      </c>
      <c r="J171" s="487" t="s">
        <v>433</v>
      </c>
    </row>
    <row r="172" spans="1:10" ht="15" x14ac:dyDescent="0.2">
      <c r="A172" s="486" t="s">
        <v>432</v>
      </c>
      <c r="B172" s="487" t="s">
        <v>431</v>
      </c>
      <c r="C172" s="488" t="s">
        <v>2006</v>
      </c>
      <c r="D172" s="489" t="s">
        <v>2007</v>
      </c>
      <c r="E172" s="487" t="s">
        <v>2008</v>
      </c>
      <c r="F172" s="490">
        <v>15325</v>
      </c>
      <c r="G172" s="489">
        <v>202.09</v>
      </c>
      <c r="H172" s="489">
        <v>75.832549999999998</v>
      </c>
      <c r="I172" s="487" t="s">
        <v>1499</v>
      </c>
      <c r="J172" s="487" t="s">
        <v>433</v>
      </c>
    </row>
    <row r="173" spans="1:10" ht="15" x14ac:dyDescent="0.2">
      <c r="A173" s="486" t="s">
        <v>432</v>
      </c>
      <c r="B173" s="487" t="s">
        <v>431</v>
      </c>
      <c r="C173" s="488" t="s">
        <v>2009</v>
      </c>
      <c r="D173" s="489" t="s">
        <v>2010</v>
      </c>
      <c r="E173" s="487" t="s">
        <v>2011</v>
      </c>
      <c r="F173" s="490">
        <v>11000</v>
      </c>
      <c r="G173" s="489">
        <v>395.98</v>
      </c>
      <c r="H173" s="489">
        <v>27.77918</v>
      </c>
      <c r="I173" s="487" t="s">
        <v>1499</v>
      </c>
      <c r="J173" s="487" t="s">
        <v>433</v>
      </c>
    </row>
    <row r="174" spans="1:10" ht="15" x14ac:dyDescent="0.2">
      <c r="A174" s="486" t="s">
        <v>432</v>
      </c>
      <c r="B174" s="487" t="s">
        <v>431</v>
      </c>
      <c r="C174" s="488" t="s">
        <v>2012</v>
      </c>
      <c r="D174" s="489" t="s">
        <v>2013</v>
      </c>
      <c r="E174" s="487" t="s">
        <v>2014</v>
      </c>
      <c r="F174" s="490">
        <v>27336</v>
      </c>
      <c r="G174" s="489">
        <v>1328.28</v>
      </c>
      <c r="H174" s="489">
        <v>20.58</v>
      </c>
      <c r="I174" s="487" t="s">
        <v>1499</v>
      </c>
      <c r="J174" s="487" t="s">
        <v>433</v>
      </c>
    </row>
    <row r="175" spans="1:10" ht="15" x14ac:dyDescent="0.2">
      <c r="A175" s="486" t="s">
        <v>432</v>
      </c>
      <c r="B175" s="487" t="s">
        <v>431</v>
      </c>
      <c r="C175" s="488" t="s">
        <v>2015</v>
      </c>
      <c r="D175" s="489" t="s">
        <v>2016</v>
      </c>
      <c r="E175" s="487" t="s">
        <v>2017</v>
      </c>
      <c r="F175" s="490">
        <v>34787.5</v>
      </c>
      <c r="G175" s="489">
        <v>545.76</v>
      </c>
      <c r="H175" s="489">
        <v>63.741390000000003</v>
      </c>
      <c r="I175" s="487" t="s">
        <v>1499</v>
      </c>
      <c r="J175" s="487" t="s">
        <v>433</v>
      </c>
    </row>
    <row r="176" spans="1:10" ht="15" x14ac:dyDescent="0.2">
      <c r="A176" s="486" t="s">
        <v>432</v>
      </c>
      <c r="B176" s="487" t="s">
        <v>431</v>
      </c>
      <c r="C176" s="488" t="s">
        <v>2018</v>
      </c>
      <c r="D176" s="489" t="s">
        <v>2019</v>
      </c>
      <c r="E176" s="487" t="s">
        <v>2020</v>
      </c>
      <c r="F176" s="490">
        <v>26000</v>
      </c>
      <c r="G176" s="489">
        <v>247.13</v>
      </c>
      <c r="H176" s="489">
        <v>105.20779</v>
      </c>
      <c r="I176" s="487" t="s">
        <v>1499</v>
      </c>
      <c r="J176" s="487" t="s">
        <v>433</v>
      </c>
    </row>
    <row r="177" spans="1:10" ht="15" x14ac:dyDescent="0.2">
      <c r="A177" s="486" t="s">
        <v>432</v>
      </c>
      <c r="B177" s="487" t="s">
        <v>431</v>
      </c>
      <c r="C177" s="488" t="s">
        <v>2021</v>
      </c>
      <c r="D177" s="489" t="s">
        <v>2022</v>
      </c>
      <c r="E177" s="487" t="s">
        <v>2023</v>
      </c>
      <c r="F177" s="490">
        <v>75300</v>
      </c>
      <c r="G177" s="489">
        <v>1007.34</v>
      </c>
      <c r="H177" s="489">
        <v>74.751329999999996</v>
      </c>
      <c r="I177" s="487" t="s">
        <v>1499</v>
      </c>
      <c r="J177" s="487" t="s">
        <v>433</v>
      </c>
    </row>
    <row r="178" spans="1:10" ht="15" x14ac:dyDescent="0.2">
      <c r="A178" s="486" t="s">
        <v>432</v>
      </c>
      <c r="B178" s="487" t="s">
        <v>431</v>
      </c>
      <c r="C178" s="488" t="s">
        <v>2024</v>
      </c>
      <c r="D178" s="489" t="s">
        <v>2025</v>
      </c>
      <c r="E178" s="487" t="s">
        <v>2026</v>
      </c>
      <c r="F178" s="490">
        <v>135874</v>
      </c>
      <c r="G178" s="489">
        <v>1896.78</v>
      </c>
      <c r="H178" s="489">
        <v>71.634029999999996</v>
      </c>
      <c r="I178" s="487" t="s">
        <v>1499</v>
      </c>
      <c r="J178" s="487" t="s">
        <v>433</v>
      </c>
    </row>
    <row r="179" spans="1:10" ht="15" x14ac:dyDescent="0.2">
      <c r="A179" s="486" t="s">
        <v>432</v>
      </c>
      <c r="B179" s="487" t="s">
        <v>431</v>
      </c>
      <c r="C179" s="488" t="s">
        <v>2027</v>
      </c>
      <c r="D179" s="489" t="s">
        <v>2028</v>
      </c>
      <c r="E179" s="487" t="s">
        <v>2029</v>
      </c>
      <c r="F179" s="490">
        <v>10000</v>
      </c>
      <c r="G179" s="489">
        <v>203.68</v>
      </c>
      <c r="H179" s="489">
        <v>49.096620000000001</v>
      </c>
      <c r="I179" s="487" t="s">
        <v>1499</v>
      </c>
      <c r="J179" s="487" t="s">
        <v>433</v>
      </c>
    </row>
    <row r="180" spans="1:10" ht="15" x14ac:dyDescent="0.2">
      <c r="A180" s="486" t="s">
        <v>432</v>
      </c>
      <c r="B180" s="487" t="s">
        <v>431</v>
      </c>
      <c r="C180" s="488" t="s">
        <v>2030</v>
      </c>
      <c r="D180" s="489" t="s">
        <v>2031</v>
      </c>
      <c r="E180" s="487" t="s">
        <v>2032</v>
      </c>
      <c r="F180" s="490">
        <v>15510</v>
      </c>
      <c r="G180" s="489">
        <v>146.06</v>
      </c>
      <c r="H180" s="489">
        <v>106.18924</v>
      </c>
      <c r="I180" s="487" t="s">
        <v>1499</v>
      </c>
      <c r="J180" s="487" t="s">
        <v>433</v>
      </c>
    </row>
    <row r="181" spans="1:10" ht="15" x14ac:dyDescent="0.2">
      <c r="A181" s="486" t="s">
        <v>432</v>
      </c>
      <c r="B181" s="487" t="s">
        <v>431</v>
      </c>
      <c r="C181" s="488" t="s">
        <v>2033</v>
      </c>
      <c r="D181" s="489" t="s">
        <v>2034</v>
      </c>
      <c r="E181" s="487" t="s">
        <v>2035</v>
      </c>
      <c r="F181" s="490">
        <v>20400</v>
      </c>
      <c r="G181" s="489">
        <v>281.31</v>
      </c>
      <c r="H181" s="489">
        <v>72.517859999999999</v>
      </c>
      <c r="I181" s="487" t="s">
        <v>1499</v>
      </c>
      <c r="J181" s="487" t="s">
        <v>433</v>
      </c>
    </row>
    <row r="182" spans="1:10" ht="15" x14ac:dyDescent="0.2">
      <c r="A182" s="486" t="s">
        <v>432</v>
      </c>
      <c r="B182" s="487" t="s">
        <v>431</v>
      </c>
      <c r="C182" s="488" t="s">
        <v>2036</v>
      </c>
      <c r="D182" s="489" t="s">
        <v>2037</v>
      </c>
      <c r="E182" s="487" t="s">
        <v>2038</v>
      </c>
      <c r="F182" s="490">
        <v>131450</v>
      </c>
      <c r="G182" s="489">
        <v>947.44</v>
      </c>
      <c r="H182" s="489">
        <v>138.7423</v>
      </c>
      <c r="I182" s="487" t="s">
        <v>1499</v>
      </c>
      <c r="J182" s="487" t="s">
        <v>433</v>
      </c>
    </row>
    <row r="183" spans="1:10" ht="15" x14ac:dyDescent="0.2">
      <c r="A183" s="486" t="s">
        <v>432</v>
      </c>
      <c r="B183" s="487" t="s">
        <v>431</v>
      </c>
      <c r="C183" s="488" t="s">
        <v>2039</v>
      </c>
      <c r="D183" s="489" t="s">
        <v>2040</v>
      </c>
      <c r="E183" s="487" t="s">
        <v>2041</v>
      </c>
      <c r="F183" s="490">
        <v>11665</v>
      </c>
      <c r="G183" s="489">
        <v>302.5</v>
      </c>
      <c r="H183" s="489">
        <v>38.561979999999998</v>
      </c>
      <c r="I183" s="487" t="s">
        <v>1499</v>
      </c>
      <c r="J183" s="487" t="s">
        <v>433</v>
      </c>
    </row>
    <row r="184" spans="1:10" ht="15" x14ac:dyDescent="0.2">
      <c r="A184" s="486" t="s">
        <v>432</v>
      </c>
      <c r="B184" s="487" t="s">
        <v>431</v>
      </c>
      <c r="C184" s="488" t="s">
        <v>2042</v>
      </c>
      <c r="D184" s="489" t="s">
        <v>2043</v>
      </c>
      <c r="E184" s="487" t="s">
        <v>2044</v>
      </c>
      <c r="F184" s="490">
        <v>36643</v>
      </c>
      <c r="G184" s="489">
        <v>621.80999999999995</v>
      </c>
      <c r="H184" s="489">
        <v>58.929580000000001</v>
      </c>
      <c r="I184" s="487" t="s">
        <v>1499</v>
      </c>
      <c r="J184" s="487" t="s">
        <v>433</v>
      </c>
    </row>
    <row r="185" spans="1:10" ht="15" x14ac:dyDescent="0.2">
      <c r="A185" s="486" t="s">
        <v>432</v>
      </c>
      <c r="B185" s="487" t="s">
        <v>431</v>
      </c>
      <c r="C185" s="488" t="s">
        <v>2045</v>
      </c>
      <c r="D185" s="489" t="s">
        <v>2046</v>
      </c>
      <c r="E185" s="487" t="s">
        <v>2047</v>
      </c>
      <c r="F185" s="490">
        <v>10200</v>
      </c>
      <c r="G185" s="489">
        <v>204.78</v>
      </c>
      <c r="H185" s="489">
        <v>49.809550000000002</v>
      </c>
      <c r="I185" s="487" t="s">
        <v>1499</v>
      </c>
      <c r="J185" s="487" t="s">
        <v>433</v>
      </c>
    </row>
    <row r="186" spans="1:10" ht="15" x14ac:dyDescent="0.2">
      <c r="A186" s="486" t="s">
        <v>432</v>
      </c>
      <c r="B186" s="487" t="s">
        <v>431</v>
      </c>
      <c r="C186" s="488" t="s">
        <v>2048</v>
      </c>
      <c r="D186" s="489" t="s">
        <v>2049</v>
      </c>
      <c r="E186" s="487" t="s">
        <v>2050</v>
      </c>
      <c r="F186" s="490">
        <v>18546</v>
      </c>
      <c r="G186" s="489">
        <v>394.43</v>
      </c>
      <c r="H186" s="489">
        <v>47.019750000000002</v>
      </c>
      <c r="I186" s="487" t="s">
        <v>1499</v>
      </c>
      <c r="J186" s="487" t="s">
        <v>433</v>
      </c>
    </row>
    <row r="187" spans="1:10" ht="15" x14ac:dyDescent="0.2">
      <c r="A187" s="486" t="s">
        <v>432</v>
      </c>
      <c r="B187" s="487" t="s">
        <v>431</v>
      </c>
      <c r="C187" s="488" t="s">
        <v>2051</v>
      </c>
      <c r="D187" s="489" t="s">
        <v>2052</v>
      </c>
      <c r="E187" s="487" t="s">
        <v>2053</v>
      </c>
      <c r="F187" s="490">
        <v>57000</v>
      </c>
      <c r="G187" s="489">
        <v>1016.71</v>
      </c>
      <c r="H187" s="489">
        <v>56.063180000000003</v>
      </c>
      <c r="I187" s="487" t="s">
        <v>1499</v>
      </c>
      <c r="J187" s="487" t="s">
        <v>433</v>
      </c>
    </row>
    <row r="188" spans="1:10" ht="15" x14ac:dyDescent="0.2">
      <c r="A188" s="486" t="s">
        <v>432</v>
      </c>
      <c r="B188" s="487" t="s">
        <v>431</v>
      </c>
      <c r="C188" s="488" t="s">
        <v>2054</v>
      </c>
      <c r="D188" s="489" t="s">
        <v>2055</v>
      </c>
      <c r="E188" s="487" t="s">
        <v>2056</v>
      </c>
      <c r="F188" s="490">
        <v>89186</v>
      </c>
      <c r="G188" s="489">
        <v>2158.87</v>
      </c>
      <c r="H188" s="489">
        <v>41.311430000000001</v>
      </c>
      <c r="I188" s="487" t="s">
        <v>1499</v>
      </c>
      <c r="J188" s="487" t="s">
        <v>433</v>
      </c>
    </row>
    <row r="189" spans="1:10" ht="15" x14ac:dyDescent="0.2">
      <c r="A189" s="486" t="s">
        <v>432</v>
      </c>
      <c r="B189" s="487" t="s">
        <v>431</v>
      </c>
      <c r="C189" s="488" t="s">
        <v>2057</v>
      </c>
      <c r="D189" s="489" t="s">
        <v>2058</v>
      </c>
      <c r="E189" s="487" t="s">
        <v>2059</v>
      </c>
      <c r="F189" s="490">
        <v>295314.37</v>
      </c>
      <c r="G189" s="489">
        <v>2797.2</v>
      </c>
      <c r="H189" s="489">
        <v>105.57499</v>
      </c>
      <c r="I189" s="487" t="s">
        <v>1499</v>
      </c>
      <c r="J189" s="487" t="s">
        <v>433</v>
      </c>
    </row>
    <row r="190" spans="1:10" ht="15" x14ac:dyDescent="0.2">
      <c r="A190" s="486" t="s">
        <v>432</v>
      </c>
      <c r="B190" s="487" t="s">
        <v>431</v>
      </c>
      <c r="C190" s="488" t="s">
        <v>2060</v>
      </c>
      <c r="D190" s="489" t="s">
        <v>2061</v>
      </c>
      <c r="E190" s="487" t="s">
        <v>2062</v>
      </c>
      <c r="F190" s="490">
        <v>19120</v>
      </c>
      <c r="G190" s="489">
        <v>326.64</v>
      </c>
      <c r="H190" s="489">
        <v>58.53539</v>
      </c>
      <c r="I190" s="487" t="s">
        <v>1499</v>
      </c>
      <c r="J190" s="487" t="s">
        <v>433</v>
      </c>
    </row>
    <row r="191" spans="1:10" ht="15" x14ac:dyDescent="0.2">
      <c r="A191" s="486" t="s">
        <v>432</v>
      </c>
      <c r="B191" s="487" t="s">
        <v>431</v>
      </c>
      <c r="C191" s="488" t="s">
        <v>2063</v>
      </c>
      <c r="D191" s="489" t="s">
        <v>2064</v>
      </c>
      <c r="E191" s="487" t="s">
        <v>2065</v>
      </c>
      <c r="F191" s="490">
        <v>25300</v>
      </c>
      <c r="G191" s="489">
        <v>289.92</v>
      </c>
      <c r="H191" s="489">
        <v>87.265450000000001</v>
      </c>
      <c r="I191" s="487" t="s">
        <v>1499</v>
      </c>
      <c r="J191" s="487" t="s">
        <v>433</v>
      </c>
    </row>
    <row r="192" spans="1:10" ht="15" x14ac:dyDescent="0.2">
      <c r="A192" s="486" t="s">
        <v>610</v>
      </c>
      <c r="B192" s="487" t="s">
        <v>609</v>
      </c>
      <c r="C192" s="488" t="s">
        <v>2066</v>
      </c>
      <c r="D192" s="489" t="s">
        <v>2067</v>
      </c>
      <c r="E192" s="487" t="s">
        <v>2068</v>
      </c>
      <c r="F192" s="490">
        <v>854416</v>
      </c>
      <c r="G192" s="489">
        <v>3595</v>
      </c>
      <c r="H192" s="489">
        <v>237.66786999999999</v>
      </c>
      <c r="I192" s="487" t="s">
        <v>1499</v>
      </c>
      <c r="J192" s="487" t="s">
        <v>611</v>
      </c>
    </row>
    <row r="193" spans="1:10" ht="15" x14ac:dyDescent="0.2">
      <c r="A193" s="486" t="s">
        <v>610</v>
      </c>
      <c r="B193" s="487" t="s">
        <v>609</v>
      </c>
      <c r="C193" s="488" t="s">
        <v>2069</v>
      </c>
      <c r="D193" s="489" t="s">
        <v>2070</v>
      </c>
      <c r="E193" s="487" t="s">
        <v>2071</v>
      </c>
      <c r="F193" s="490">
        <v>352236</v>
      </c>
      <c r="G193" s="489">
        <v>2164</v>
      </c>
      <c r="H193" s="489">
        <v>162.77079000000001</v>
      </c>
      <c r="I193" s="487" t="s">
        <v>1499</v>
      </c>
      <c r="J193" s="487" t="s">
        <v>611</v>
      </c>
    </row>
    <row r="194" spans="1:10" ht="15" x14ac:dyDescent="0.2">
      <c r="A194" s="486" t="s">
        <v>610</v>
      </c>
      <c r="B194" s="487" t="s">
        <v>609</v>
      </c>
      <c r="C194" s="488" t="s">
        <v>2072</v>
      </c>
      <c r="D194" s="489" t="s">
        <v>2073</v>
      </c>
      <c r="E194" s="487" t="s">
        <v>2074</v>
      </c>
      <c r="F194" s="490">
        <v>114067</v>
      </c>
      <c r="G194" s="489">
        <v>1081</v>
      </c>
      <c r="H194" s="489">
        <v>105.51989</v>
      </c>
      <c r="I194" s="487" t="s">
        <v>1499</v>
      </c>
      <c r="J194" s="487" t="s">
        <v>611</v>
      </c>
    </row>
    <row r="195" spans="1:10" ht="15" x14ac:dyDescent="0.2">
      <c r="A195" s="486" t="s">
        <v>610</v>
      </c>
      <c r="B195" s="487" t="s">
        <v>609</v>
      </c>
      <c r="C195" s="488" t="s">
        <v>2075</v>
      </c>
      <c r="D195" s="489" t="s">
        <v>2076</v>
      </c>
      <c r="E195" s="487" t="s">
        <v>2077</v>
      </c>
      <c r="F195" s="490">
        <v>10516</v>
      </c>
      <c r="G195" s="489">
        <v>386</v>
      </c>
      <c r="H195" s="489">
        <v>27.24352</v>
      </c>
      <c r="I195" s="487" t="s">
        <v>1499</v>
      </c>
      <c r="J195" s="487" t="s">
        <v>611</v>
      </c>
    </row>
    <row r="196" spans="1:10" ht="15" x14ac:dyDescent="0.2">
      <c r="A196" s="486" t="s">
        <v>610</v>
      </c>
      <c r="B196" s="487" t="s">
        <v>609</v>
      </c>
      <c r="C196" s="488" t="s">
        <v>2078</v>
      </c>
      <c r="D196" s="489" t="s">
        <v>2079</v>
      </c>
      <c r="E196" s="487" t="s">
        <v>2080</v>
      </c>
      <c r="F196" s="490">
        <v>0</v>
      </c>
      <c r="G196" s="489">
        <v>19</v>
      </c>
      <c r="H196" s="489">
        <v>0</v>
      </c>
      <c r="I196" s="487" t="s">
        <v>1593</v>
      </c>
      <c r="J196" s="487" t="s">
        <v>611</v>
      </c>
    </row>
    <row r="197" spans="1:10" ht="15" x14ac:dyDescent="0.2">
      <c r="A197" s="486" t="s">
        <v>610</v>
      </c>
      <c r="B197" s="487" t="s">
        <v>609</v>
      </c>
      <c r="C197" s="488" t="s">
        <v>2081</v>
      </c>
      <c r="D197" s="489" t="s">
        <v>2082</v>
      </c>
      <c r="E197" s="487" t="s">
        <v>2083</v>
      </c>
      <c r="F197" s="490">
        <v>243059</v>
      </c>
      <c r="G197" s="489">
        <v>1977</v>
      </c>
      <c r="H197" s="489">
        <v>122.94335</v>
      </c>
      <c r="I197" s="487" t="s">
        <v>1499</v>
      </c>
      <c r="J197" s="487" t="s">
        <v>611</v>
      </c>
    </row>
    <row r="198" spans="1:10" ht="15" x14ac:dyDescent="0.2">
      <c r="A198" s="486" t="s">
        <v>610</v>
      </c>
      <c r="B198" s="487" t="s">
        <v>609</v>
      </c>
      <c r="C198" s="488" t="s">
        <v>2084</v>
      </c>
      <c r="D198" s="489" t="s">
        <v>2085</v>
      </c>
      <c r="E198" s="487" t="s">
        <v>2086</v>
      </c>
      <c r="F198" s="490">
        <v>0</v>
      </c>
      <c r="G198" s="489">
        <v>24</v>
      </c>
      <c r="H198" s="489">
        <v>0</v>
      </c>
      <c r="I198" s="487" t="s">
        <v>1593</v>
      </c>
      <c r="J198" s="487" t="s">
        <v>611</v>
      </c>
    </row>
    <row r="199" spans="1:10" ht="15" x14ac:dyDescent="0.2">
      <c r="A199" s="486" t="s">
        <v>610</v>
      </c>
      <c r="B199" s="487" t="s">
        <v>609</v>
      </c>
      <c r="C199" s="488" t="s">
        <v>2087</v>
      </c>
      <c r="D199" s="489" t="s">
        <v>2088</v>
      </c>
      <c r="E199" s="487" t="s">
        <v>2089</v>
      </c>
      <c r="F199" s="490">
        <v>1838460</v>
      </c>
      <c r="G199" s="489">
        <v>7930</v>
      </c>
      <c r="H199" s="489">
        <v>231.83607000000001</v>
      </c>
      <c r="I199" s="487" t="s">
        <v>1499</v>
      </c>
      <c r="J199" s="487" t="s">
        <v>611</v>
      </c>
    </row>
    <row r="200" spans="1:10" ht="15" x14ac:dyDescent="0.2">
      <c r="A200" s="486" t="s">
        <v>610</v>
      </c>
      <c r="B200" s="487" t="s">
        <v>609</v>
      </c>
      <c r="C200" s="488" t="s">
        <v>2090</v>
      </c>
      <c r="D200" s="489" t="s">
        <v>2091</v>
      </c>
      <c r="E200" s="487" t="s">
        <v>2092</v>
      </c>
      <c r="F200" s="490">
        <v>59252</v>
      </c>
      <c r="G200" s="489">
        <v>630</v>
      </c>
      <c r="H200" s="489">
        <v>94.050790000000006</v>
      </c>
      <c r="I200" s="487" t="s">
        <v>1499</v>
      </c>
      <c r="J200" s="487" t="s">
        <v>611</v>
      </c>
    </row>
    <row r="201" spans="1:10" ht="15" x14ac:dyDescent="0.2">
      <c r="A201" s="486" t="s">
        <v>610</v>
      </c>
      <c r="B201" s="487" t="s">
        <v>609</v>
      </c>
      <c r="C201" s="488" t="s">
        <v>2093</v>
      </c>
      <c r="D201" s="489" t="s">
        <v>2094</v>
      </c>
      <c r="E201" s="487" t="s">
        <v>2095</v>
      </c>
      <c r="F201" s="490">
        <v>11535</v>
      </c>
      <c r="G201" s="489">
        <v>115</v>
      </c>
      <c r="H201" s="489">
        <v>100.30435</v>
      </c>
      <c r="I201" s="487" t="s">
        <v>1499</v>
      </c>
      <c r="J201" s="487" t="s">
        <v>611</v>
      </c>
    </row>
    <row r="202" spans="1:10" ht="15" x14ac:dyDescent="0.2">
      <c r="A202" s="486" t="s">
        <v>610</v>
      </c>
      <c r="B202" s="487" t="s">
        <v>609</v>
      </c>
      <c r="C202" s="488" t="s">
        <v>2096</v>
      </c>
      <c r="D202" s="489" t="s">
        <v>2097</v>
      </c>
      <c r="E202" s="487" t="s">
        <v>2098</v>
      </c>
      <c r="F202" s="490">
        <v>189440</v>
      </c>
      <c r="G202" s="489">
        <v>1939</v>
      </c>
      <c r="H202" s="489">
        <v>97.699849999999998</v>
      </c>
      <c r="I202" s="487" t="s">
        <v>1499</v>
      </c>
      <c r="J202" s="487" t="s">
        <v>611</v>
      </c>
    </row>
    <row r="203" spans="1:10" ht="15" x14ac:dyDescent="0.2">
      <c r="A203" s="486" t="s">
        <v>610</v>
      </c>
      <c r="B203" s="487" t="s">
        <v>609</v>
      </c>
      <c r="C203" s="488" t="s">
        <v>2099</v>
      </c>
      <c r="D203" s="489" t="s">
        <v>2100</v>
      </c>
      <c r="E203" s="487" t="s">
        <v>2101</v>
      </c>
      <c r="F203" s="490">
        <v>32495</v>
      </c>
      <c r="G203" s="489">
        <v>617</v>
      </c>
      <c r="H203" s="489">
        <v>52.666130000000003</v>
      </c>
      <c r="I203" s="487" t="s">
        <v>1499</v>
      </c>
      <c r="J203" s="487" t="s">
        <v>611</v>
      </c>
    </row>
    <row r="204" spans="1:10" ht="15" x14ac:dyDescent="0.2">
      <c r="A204" s="486" t="s">
        <v>610</v>
      </c>
      <c r="B204" s="487" t="s">
        <v>609</v>
      </c>
      <c r="C204" s="488" t="s">
        <v>2102</v>
      </c>
      <c r="D204" s="489" t="s">
        <v>2103</v>
      </c>
      <c r="E204" s="487" t="s">
        <v>2104</v>
      </c>
      <c r="F204" s="490">
        <v>10000</v>
      </c>
      <c r="G204" s="489">
        <v>242</v>
      </c>
      <c r="H204" s="489">
        <v>41.322310000000002</v>
      </c>
      <c r="I204" s="487" t="s">
        <v>1499</v>
      </c>
      <c r="J204" s="487" t="s">
        <v>611</v>
      </c>
    </row>
    <row r="205" spans="1:10" ht="15" x14ac:dyDescent="0.2">
      <c r="A205" s="486" t="s">
        <v>610</v>
      </c>
      <c r="B205" s="487" t="s">
        <v>609</v>
      </c>
      <c r="C205" s="488" t="s">
        <v>2105</v>
      </c>
      <c r="D205" s="489" t="s">
        <v>2106</v>
      </c>
      <c r="E205" s="487" t="s">
        <v>2107</v>
      </c>
      <c r="F205" s="490">
        <v>18538</v>
      </c>
      <c r="G205" s="489">
        <v>227</v>
      </c>
      <c r="H205" s="489">
        <v>81.665199999999999</v>
      </c>
      <c r="I205" s="487" t="s">
        <v>1499</v>
      </c>
      <c r="J205" s="487" t="s">
        <v>611</v>
      </c>
    </row>
    <row r="206" spans="1:10" ht="15" x14ac:dyDescent="0.2">
      <c r="A206" s="486" t="s">
        <v>610</v>
      </c>
      <c r="B206" s="487" t="s">
        <v>609</v>
      </c>
      <c r="C206" s="488" t="s">
        <v>2108</v>
      </c>
      <c r="D206" s="489" t="s">
        <v>2109</v>
      </c>
      <c r="E206" s="487" t="s">
        <v>2110</v>
      </c>
      <c r="F206" s="490">
        <v>67529</v>
      </c>
      <c r="G206" s="489">
        <v>1546</v>
      </c>
      <c r="H206" s="489">
        <v>43.679819999999999</v>
      </c>
      <c r="I206" s="487" t="s">
        <v>1499</v>
      </c>
      <c r="J206" s="487" t="s">
        <v>611</v>
      </c>
    </row>
    <row r="207" spans="1:10" ht="15" x14ac:dyDescent="0.2">
      <c r="A207" s="486" t="s">
        <v>610</v>
      </c>
      <c r="B207" s="487" t="s">
        <v>609</v>
      </c>
      <c r="C207" s="488" t="s">
        <v>2111</v>
      </c>
      <c r="D207" s="489" t="s">
        <v>2112</v>
      </c>
      <c r="E207" s="487" t="s">
        <v>2113</v>
      </c>
      <c r="F207" s="490">
        <v>43851</v>
      </c>
      <c r="G207" s="489">
        <v>842</v>
      </c>
      <c r="H207" s="489">
        <v>52.079569999999997</v>
      </c>
      <c r="I207" s="487" t="s">
        <v>1499</v>
      </c>
      <c r="J207" s="487" t="s">
        <v>611</v>
      </c>
    </row>
    <row r="208" spans="1:10" ht="15" x14ac:dyDescent="0.2">
      <c r="A208" s="486" t="s">
        <v>610</v>
      </c>
      <c r="B208" s="487" t="s">
        <v>609</v>
      </c>
      <c r="C208" s="488" t="s">
        <v>2114</v>
      </c>
      <c r="D208" s="489" t="s">
        <v>2115</v>
      </c>
      <c r="E208" s="487" t="s">
        <v>2116</v>
      </c>
      <c r="F208" s="490">
        <v>158140</v>
      </c>
      <c r="G208" s="489">
        <v>2401</v>
      </c>
      <c r="H208" s="489">
        <v>65.864220000000003</v>
      </c>
      <c r="I208" s="487" t="s">
        <v>1499</v>
      </c>
      <c r="J208" s="487" t="s">
        <v>611</v>
      </c>
    </row>
    <row r="209" spans="1:10" ht="15" x14ac:dyDescent="0.2">
      <c r="A209" s="486" t="s">
        <v>610</v>
      </c>
      <c r="B209" s="487" t="s">
        <v>609</v>
      </c>
      <c r="C209" s="488" t="s">
        <v>2117</v>
      </c>
      <c r="D209" s="489" t="s">
        <v>2118</v>
      </c>
      <c r="E209" s="487" t="s">
        <v>2119</v>
      </c>
      <c r="F209" s="490">
        <v>3282168</v>
      </c>
      <c r="G209" s="489">
        <v>13335</v>
      </c>
      <c r="H209" s="489">
        <v>246.13183000000001</v>
      </c>
      <c r="I209" s="487" t="s">
        <v>1499</v>
      </c>
      <c r="J209" s="487" t="s">
        <v>611</v>
      </c>
    </row>
    <row r="210" spans="1:10" ht="15" x14ac:dyDescent="0.2">
      <c r="A210" s="486" t="s">
        <v>610</v>
      </c>
      <c r="B210" s="487" t="s">
        <v>609</v>
      </c>
      <c r="C210" s="488" t="s">
        <v>2120</v>
      </c>
      <c r="D210" s="489" t="s">
        <v>2121</v>
      </c>
      <c r="E210" s="487" t="s">
        <v>2122</v>
      </c>
      <c r="F210" s="490">
        <v>16176</v>
      </c>
      <c r="G210" s="489">
        <v>306</v>
      </c>
      <c r="H210" s="489">
        <v>52.862749999999998</v>
      </c>
      <c r="I210" s="487" t="s">
        <v>1499</v>
      </c>
      <c r="J210" s="487" t="s">
        <v>611</v>
      </c>
    </row>
    <row r="211" spans="1:10" ht="15" x14ac:dyDescent="0.2">
      <c r="A211" s="486" t="s">
        <v>610</v>
      </c>
      <c r="B211" s="487" t="s">
        <v>609</v>
      </c>
      <c r="C211" s="488" t="s">
        <v>2123</v>
      </c>
      <c r="D211" s="489" t="s">
        <v>2124</v>
      </c>
      <c r="E211" s="487" t="s">
        <v>2125</v>
      </c>
      <c r="F211" s="490">
        <v>105152</v>
      </c>
      <c r="G211" s="489">
        <v>1185</v>
      </c>
      <c r="H211" s="489">
        <v>88.735860000000002</v>
      </c>
      <c r="I211" s="487" t="s">
        <v>1499</v>
      </c>
      <c r="J211" s="487" t="s">
        <v>611</v>
      </c>
    </row>
    <row r="212" spans="1:10" ht="15" x14ac:dyDescent="0.2">
      <c r="A212" s="486" t="s">
        <v>610</v>
      </c>
      <c r="B212" s="487" t="s">
        <v>609</v>
      </c>
      <c r="C212" s="488" t="s">
        <v>2126</v>
      </c>
      <c r="D212" s="489" t="s">
        <v>2127</v>
      </c>
      <c r="E212" s="487" t="s">
        <v>2128</v>
      </c>
      <c r="F212" s="490">
        <v>0</v>
      </c>
      <c r="G212" s="489">
        <v>32</v>
      </c>
      <c r="H212" s="489">
        <v>0</v>
      </c>
      <c r="I212" s="487" t="s">
        <v>1593</v>
      </c>
      <c r="J212" s="487" t="s">
        <v>611</v>
      </c>
    </row>
    <row r="213" spans="1:10" ht="15" x14ac:dyDescent="0.2">
      <c r="A213" s="486" t="s">
        <v>610</v>
      </c>
      <c r="B213" s="487" t="s">
        <v>609</v>
      </c>
      <c r="C213" s="488" t="s">
        <v>2129</v>
      </c>
      <c r="D213" s="489" t="s">
        <v>2130</v>
      </c>
      <c r="E213" s="487" t="s">
        <v>2131</v>
      </c>
      <c r="F213" s="490">
        <v>20000</v>
      </c>
      <c r="G213" s="489">
        <v>1057</v>
      </c>
      <c r="H213" s="489">
        <v>18.921479999999999</v>
      </c>
      <c r="I213" s="487" t="s">
        <v>1499</v>
      </c>
      <c r="J213" s="487" t="s">
        <v>611</v>
      </c>
    </row>
    <row r="214" spans="1:10" ht="15" x14ac:dyDescent="0.2">
      <c r="A214" s="486" t="s">
        <v>610</v>
      </c>
      <c r="B214" s="487" t="s">
        <v>609</v>
      </c>
      <c r="C214" s="488" t="s">
        <v>2132</v>
      </c>
      <c r="D214" s="489" t="s">
        <v>2133</v>
      </c>
      <c r="E214" s="487" t="s">
        <v>2134</v>
      </c>
      <c r="F214" s="490">
        <v>8891</v>
      </c>
      <c r="G214" s="489">
        <v>205</v>
      </c>
      <c r="H214" s="489">
        <v>43.370730000000002</v>
      </c>
      <c r="I214" s="487" t="s">
        <v>1499</v>
      </c>
      <c r="J214" s="487" t="s">
        <v>611</v>
      </c>
    </row>
    <row r="215" spans="1:10" ht="15" x14ac:dyDescent="0.2">
      <c r="A215" s="486" t="s">
        <v>610</v>
      </c>
      <c r="B215" s="487" t="s">
        <v>609</v>
      </c>
      <c r="C215" s="488" t="s">
        <v>2135</v>
      </c>
      <c r="D215" s="489" t="s">
        <v>2136</v>
      </c>
      <c r="E215" s="487" t="s">
        <v>2137</v>
      </c>
      <c r="F215" s="490">
        <v>15007</v>
      </c>
      <c r="G215" s="489">
        <v>218</v>
      </c>
      <c r="H215" s="489">
        <v>68.839449999999999</v>
      </c>
      <c r="I215" s="487" t="s">
        <v>1499</v>
      </c>
      <c r="J215" s="487" t="s">
        <v>611</v>
      </c>
    </row>
    <row r="216" spans="1:10" ht="15" x14ac:dyDescent="0.2">
      <c r="A216" s="486" t="s">
        <v>610</v>
      </c>
      <c r="B216" s="487" t="s">
        <v>609</v>
      </c>
      <c r="C216" s="488" t="s">
        <v>2138</v>
      </c>
      <c r="D216" s="489" t="s">
        <v>2139</v>
      </c>
      <c r="E216" s="487" t="s">
        <v>2140</v>
      </c>
      <c r="F216" s="490">
        <v>0</v>
      </c>
      <c r="G216" s="489">
        <v>54</v>
      </c>
      <c r="H216" s="489">
        <v>0</v>
      </c>
      <c r="I216" s="487" t="s">
        <v>1593</v>
      </c>
      <c r="J216" s="487" t="s">
        <v>611</v>
      </c>
    </row>
    <row r="217" spans="1:10" ht="15" x14ac:dyDescent="0.2">
      <c r="A217" s="486" t="s">
        <v>610</v>
      </c>
      <c r="B217" s="487" t="s">
        <v>609</v>
      </c>
      <c r="C217" s="488" t="s">
        <v>2141</v>
      </c>
      <c r="D217" s="489" t="s">
        <v>2142</v>
      </c>
      <c r="E217" s="487" t="s">
        <v>2143</v>
      </c>
      <c r="F217" s="490">
        <v>54600</v>
      </c>
      <c r="G217" s="489">
        <v>717</v>
      </c>
      <c r="H217" s="489">
        <v>76.150630000000007</v>
      </c>
      <c r="I217" s="487" t="s">
        <v>1499</v>
      </c>
      <c r="J217" s="487" t="s">
        <v>611</v>
      </c>
    </row>
    <row r="218" spans="1:10" ht="15" x14ac:dyDescent="0.2">
      <c r="A218" s="486" t="s">
        <v>610</v>
      </c>
      <c r="B218" s="487" t="s">
        <v>609</v>
      </c>
      <c r="C218" s="488" t="s">
        <v>2144</v>
      </c>
      <c r="D218" s="489" t="s">
        <v>2145</v>
      </c>
      <c r="E218" s="487" t="s">
        <v>2146</v>
      </c>
      <c r="F218" s="490">
        <v>1062179</v>
      </c>
      <c r="G218" s="489">
        <v>5088</v>
      </c>
      <c r="H218" s="489">
        <v>208.76159999999999</v>
      </c>
      <c r="I218" s="487" t="s">
        <v>1499</v>
      </c>
      <c r="J218" s="487" t="s">
        <v>611</v>
      </c>
    </row>
    <row r="219" spans="1:10" ht="15" x14ac:dyDescent="0.2">
      <c r="A219" s="486" t="s">
        <v>610</v>
      </c>
      <c r="B219" s="487" t="s">
        <v>609</v>
      </c>
      <c r="C219" s="488" t="s">
        <v>2147</v>
      </c>
      <c r="D219" s="489" t="s">
        <v>2148</v>
      </c>
      <c r="E219" s="487" t="s">
        <v>2149</v>
      </c>
      <c r="F219" s="490">
        <v>37100</v>
      </c>
      <c r="G219" s="489">
        <v>314</v>
      </c>
      <c r="H219" s="489">
        <v>118.15286999999999</v>
      </c>
      <c r="I219" s="487" t="s">
        <v>1499</v>
      </c>
      <c r="J219" s="487" t="s">
        <v>611</v>
      </c>
    </row>
    <row r="220" spans="1:10" ht="15" x14ac:dyDescent="0.2">
      <c r="A220" s="486" t="s">
        <v>610</v>
      </c>
      <c r="B220" s="487" t="s">
        <v>609</v>
      </c>
      <c r="C220" s="488" t="s">
        <v>2150</v>
      </c>
      <c r="D220" s="489" t="s">
        <v>2151</v>
      </c>
      <c r="E220" s="487" t="s">
        <v>2152</v>
      </c>
      <c r="F220" s="490">
        <v>13261</v>
      </c>
      <c r="G220" s="489">
        <v>199</v>
      </c>
      <c r="H220" s="489">
        <v>66.638189999999994</v>
      </c>
      <c r="I220" s="487" t="s">
        <v>1499</v>
      </c>
      <c r="J220" s="487" t="s">
        <v>611</v>
      </c>
    </row>
    <row r="221" spans="1:10" ht="15" x14ac:dyDescent="0.2">
      <c r="A221" s="486" t="s">
        <v>610</v>
      </c>
      <c r="B221" s="487" t="s">
        <v>609</v>
      </c>
      <c r="C221" s="488" t="s">
        <v>2153</v>
      </c>
      <c r="D221" s="489" t="s">
        <v>2154</v>
      </c>
      <c r="E221" s="487" t="s">
        <v>2155</v>
      </c>
      <c r="F221" s="490">
        <v>159348</v>
      </c>
      <c r="G221" s="489">
        <v>1071</v>
      </c>
      <c r="H221" s="489">
        <v>148.78431</v>
      </c>
      <c r="I221" s="487" t="s">
        <v>1499</v>
      </c>
      <c r="J221" s="487" t="s">
        <v>611</v>
      </c>
    </row>
    <row r="222" spans="1:10" ht="15" x14ac:dyDescent="0.2">
      <c r="A222" s="486" t="s">
        <v>610</v>
      </c>
      <c r="B222" s="487" t="s">
        <v>609</v>
      </c>
      <c r="C222" s="488" t="s">
        <v>2156</v>
      </c>
      <c r="D222" s="489" t="s">
        <v>2157</v>
      </c>
      <c r="E222" s="487" t="s">
        <v>2158</v>
      </c>
      <c r="F222" s="490">
        <v>46000</v>
      </c>
      <c r="G222" s="489">
        <v>552</v>
      </c>
      <c r="H222" s="489">
        <v>83.333330000000004</v>
      </c>
      <c r="I222" s="487" t="s">
        <v>1499</v>
      </c>
      <c r="J222" s="487" t="s">
        <v>611</v>
      </c>
    </row>
    <row r="223" spans="1:10" ht="15" x14ac:dyDescent="0.2">
      <c r="A223" s="486" t="s">
        <v>610</v>
      </c>
      <c r="B223" s="487" t="s">
        <v>609</v>
      </c>
      <c r="C223" s="488" t="s">
        <v>2159</v>
      </c>
      <c r="D223" s="489" t="s">
        <v>2160</v>
      </c>
      <c r="E223" s="487" t="s">
        <v>2161</v>
      </c>
      <c r="F223" s="490">
        <v>35067</v>
      </c>
      <c r="G223" s="489">
        <v>653</v>
      </c>
      <c r="H223" s="489">
        <v>53.70138</v>
      </c>
      <c r="I223" s="487" t="s">
        <v>1499</v>
      </c>
      <c r="J223" s="487" t="s">
        <v>611</v>
      </c>
    </row>
    <row r="224" spans="1:10" ht="15" x14ac:dyDescent="0.2">
      <c r="A224" s="486" t="s">
        <v>610</v>
      </c>
      <c r="B224" s="487" t="s">
        <v>609</v>
      </c>
      <c r="C224" s="488" t="s">
        <v>2162</v>
      </c>
      <c r="D224" s="489" t="s">
        <v>2163</v>
      </c>
      <c r="E224" s="487" t="s">
        <v>2164</v>
      </c>
      <c r="F224" s="490">
        <v>193100</v>
      </c>
      <c r="G224" s="489">
        <v>1639</v>
      </c>
      <c r="H224" s="489">
        <v>117.81574000000001</v>
      </c>
      <c r="I224" s="487" t="s">
        <v>1499</v>
      </c>
      <c r="J224" s="487" t="s">
        <v>611</v>
      </c>
    </row>
    <row r="225" spans="1:10" ht="15" x14ac:dyDescent="0.2">
      <c r="A225" s="486" t="s">
        <v>610</v>
      </c>
      <c r="B225" s="487" t="s">
        <v>609</v>
      </c>
      <c r="C225" s="488" t="s">
        <v>2165</v>
      </c>
      <c r="D225" s="489" t="s">
        <v>2166</v>
      </c>
      <c r="E225" s="487" t="s">
        <v>2167</v>
      </c>
      <c r="F225" s="490">
        <v>23118</v>
      </c>
      <c r="G225" s="489">
        <v>407</v>
      </c>
      <c r="H225" s="489">
        <v>56.800980000000003</v>
      </c>
      <c r="I225" s="487" t="s">
        <v>1499</v>
      </c>
      <c r="J225" s="487" t="s">
        <v>611</v>
      </c>
    </row>
    <row r="226" spans="1:10" ht="15" x14ac:dyDescent="0.2">
      <c r="A226" s="486" t="s">
        <v>610</v>
      </c>
      <c r="B226" s="487" t="s">
        <v>609</v>
      </c>
      <c r="C226" s="488" t="s">
        <v>2168</v>
      </c>
      <c r="D226" s="489" t="s">
        <v>2169</v>
      </c>
      <c r="E226" s="487" t="s">
        <v>2170</v>
      </c>
      <c r="F226" s="490">
        <v>105584</v>
      </c>
      <c r="G226" s="489">
        <v>1740</v>
      </c>
      <c r="H226" s="489">
        <v>60.680459999999997</v>
      </c>
      <c r="I226" s="487" t="s">
        <v>1499</v>
      </c>
      <c r="J226" s="487" t="s">
        <v>611</v>
      </c>
    </row>
    <row r="227" spans="1:10" ht="15" x14ac:dyDescent="0.2">
      <c r="A227" s="486" t="s">
        <v>610</v>
      </c>
      <c r="B227" s="487" t="s">
        <v>609</v>
      </c>
      <c r="C227" s="488" t="s">
        <v>2171</v>
      </c>
      <c r="D227" s="489" t="s">
        <v>2172</v>
      </c>
      <c r="E227" s="487" t="s">
        <v>2173</v>
      </c>
      <c r="F227" s="490">
        <v>1660722</v>
      </c>
      <c r="G227" s="489">
        <v>7235</v>
      </c>
      <c r="H227" s="489">
        <v>229.54001</v>
      </c>
      <c r="I227" s="487" t="s">
        <v>1499</v>
      </c>
      <c r="J227" s="487" t="s">
        <v>611</v>
      </c>
    </row>
    <row r="228" spans="1:10" ht="15" x14ac:dyDescent="0.2">
      <c r="A228" s="486" t="s">
        <v>610</v>
      </c>
      <c r="B228" s="487" t="s">
        <v>609</v>
      </c>
      <c r="C228" s="488" t="s">
        <v>2174</v>
      </c>
      <c r="D228" s="489" t="s">
        <v>2175</v>
      </c>
      <c r="E228" s="487" t="s">
        <v>2176</v>
      </c>
      <c r="F228" s="490">
        <v>8000</v>
      </c>
      <c r="G228" s="489">
        <v>104</v>
      </c>
      <c r="H228" s="489">
        <v>76.923079999999999</v>
      </c>
      <c r="I228" s="487" t="s">
        <v>1499</v>
      </c>
      <c r="J228" s="487" t="s">
        <v>611</v>
      </c>
    </row>
    <row r="229" spans="1:10" ht="15" x14ac:dyDescent="0.2">
      <c r="A229" s="486" t="s">
        <v>610</v>
      </c>
      <c r="B229" s="487" t="s">
        <v>609</v>
      </c>
      <c r="C229" s="488" t="s">
        <v>2177</v>
      </c>
      <c r="D229" s="489" t="s">
        <v>2178</v>
      </c>
      <c r="E229" s="487" t="s">
        <v>2179</v>
      </c>
      <c r="F229" s="490">
        <v>6233</v>
      </c>
      <c r="G229" s="489">
        <v>113</v>
      </c>
      <c r="H229" s="489">
        <v>55.159289999999999</v>
      </c>
      <c r="I229" s="487" t="s">
        <v>1499</v>
      </c>
      <c r="J229" s="487" t="s">
        <v>611</v>
      </c>
    </row>
    <row r="230" spans="1:10" ht="15" x14ac:dyDescent="0.2">
      <c r="A230" s="486" t="s">
        <v>610</v>
      </c>
      <c r="B230" s="487" t="s">
        <v>609</v>
      </c>
      <c r="C230" s="488" t="s">
        <v>2180</v>
      </c>
      <c r="D230" s="489" t="s">
        <v>2181</v>
      </c>
      <c r="E230" s="487" t="s">
        <v>2182</v>
      </c>
      <c r="F230" s="490">
        <v>5098</v>
      </c>
      <c r="G230" s="489">
        <v>174</v>
      </c>
      <c r="H230" s="489">
        <v>29.298850000000002</v>
      </c>
      <c r="I230" s="487" t="s">
        <v>1499</v>
      </c>
      <c r="J230" s="487" t="s">
        <v>611</v>
      </c>
    </row>
    <row r="231" spans="1:10" ht="15" x14ac:dyDescent="0.2">
      <c r="A231" s="486" t="s">
        <v>610</v>
      </c>
      <c r="B231" s="487" t="s">
        <v>609</v>
      </c>
      <c r="C231" s="488" t="s">
        <v>2183</v>
      </c>
      <c r="D231" s="489" t="s">
        <v>2184</v>
      </c>
      <c r="E231" s="487" t="s">
        <v>2185</v>
      </c>
      <c r="F231" s="490">
        <v>80000</v>
      </c>
      <c r="G231" s="489">
        <v>628</v>
      </c>
      <c r="H231" s="489">
        <v>127.38854000000001</v>
      </c>
      <c r="I231" s="487" t="s">
        <v>1499</v>
      </c>
      <c r="J231" s="487" t="s">
        <v>611</v>
      </c>
    </row>
    <row r="232" spans="1:10" ht="15" x14ac:dyDescent="0.2">
      <c r="A232" s="486" t="s">
        <v>610</v>
      </c>
      <c r="B232" s="487" t="s">
        <v>609</v>
      </c>
      <c r="C232" s="488" t="s">
        <v>2186</v>
      </c>
      <c r="D232" s="489" t="s">
        <v>2187</v>
      </c>
      <c r="E232" s="487" t="s">
        <v>2188</v>
      </c>
      <c r="F232" s="490">
        <v>136500</v>
      </c>
      <c r="G232" s="489">
        <v>1729</v>
      </c>
      <c r="H232" s="489">
        <v>78.947370000000006</v>
      </c>
      <c r="I232" s="487" t="s">
        <v>1499</v>
      </c>
      <c r="J232" s="487" t="s">
        <v>611</v>
      </c>
    </row>
    <row r="233" spans="1:10" ht="15" x14ac:dyDescent="0.2">
      <c r="A233" s="486" t="s">
        <v>610</v>
      </c>
      <c r="B233" s="487" t="s">
        <v>609</v>
      </c>
      <c r="C233" s="488" t="s">
        <v>2189</v>
      </c>
      <c r="D233" s="489" t="s">
        <v>2190</v>
      </c>
      <c r="E233" s="487" t="s">
        <v>2191</v>
      </c>
      <c r="F233" s="490">
        <v>2944974</v>
      </c>
      <c r="G233" s="489">
        <v>15573</v>
      </c>
      <c r="H233" s="489">
        <v>189.10768999999999</v>
      </c>
      <c r="I233" s="487" t="s">
        <v>1499</v>
      </c>
      <c r="J233" s="487" t="s">
        <v>611</v>
      </c>
    </row>
    <row r="234" spans="1:10" ht="15" x14ac:dyDescent="0.2">
      <c r="A234" s="486" t="s">
        <v>610</v>
      </c>
      <c r="B234" s="487" t="s">
        <v>609</v>
      </c>
      <c r="C234" s="488" t="s">
        <v>2192</v>
      </c>
      <c r="D234" s="489" t="s">
        <v>2193</v>
      </c>
      <c r="E234" s="487" t="s">
        <v>2194</v>
      </c>
      <c r="F234" s="490">
        <v>31000</v>
      </c>
      <c r="G234" s="489">
        <v>546</v>
      </c>
      <c r="H234" s="489">
        <v>56.776560000000003</v>
      </c>
      <c r="I234" s="487" t="s">
        <v>1499</v>
      </c>
      <c r="J234" s="487" t="s">
        <v>611</v>
      </c>
    </row>
    <row r="235" spans="1:10" ht="15" x14ac:dyDescent="0.2">
      <c r="A235" s="486" t="s">
        <v>610</v>
      </c>
      <c r="B235" s="487" t="s">
        <v>609</v>
      </c>
      <c r="C235" s="488" t="s">
        <v>2195</v>
      </c>
      <c r="D235" s="489" t="s">
        <v>2196</v>
      </c>
      <c r="E235" s="487" t="s">
        <v>2197</v>
      </c>
      <c r="F235" s="490">
        <v>206091</v>
      </c>
      <c r="G235" s="489">
        <v>2597</v>
      </c>
      <c r="H235" s="489">
        <v>79.357339999999994</v>
      </c>
      <c r="I235" s="487" t="s">
        <v>1499</v>
      </c>
      <c r="J235" s="487" t="s">
        <v>611</v>
      </c>
    </row>
    <row r="236" spans="1:10" ht="15" x14ac:dyDescent="0.2">
      <c r="A236" s="486" t="s">
        <v>610</v>
      </c>
      <c r="B236" s="487" t="s">
        <v>609</v>
      </c>
      <c r="C236" s="488" t="s">
        <v>2198</v>
      </c>
      <c r="D236" s="489" t="s">
        <v>2199</v>
      </c>
      <c r="E236" s="487" t="s">
        <v>2200</v>
      </c>
      <c r="F236" s="490">
        <v>86933</v>
      </c>
      <c r="G236" s="489">
        <v>1466</v>
      </c>
      <c r="H236" s="489">
        <v>59.29945</v>
      </c>
      <c r="I236" s="487" t="s">
        <v>1499</v>
      </c>
      <c r="J236" s="487" t="s">
        <v>611</v>
      </c>
    </row>
    <row r="237" spans="1:10" ht="15" x14ac:dyDescent="0.2">
      <c r="A237" s="486" t="s">
        <v>610</v>
      </c>
      <c r="B237" s="487" t="s">
        <v>609</v>
      </c>
      <c r="C237" s="488" t="s">
        <v>2201</v>
      </c>
      <c r="D237" s="489" t="s">
        <v>2202</v>
      </c>
      <c r="E237" s="487" t="s">
        <v>2203</v>
      </c>
      <c r="F237" s="490">
        <v>91134</v>
      </c>
      <c r="G237" s="489">
        <v>1098</v>
      </c>
      <c r="H237" s="489">
        <v>83</v>
      </c>
      <c r="I237" s="487" t="s">
        <v>1499</v>
      </c>
      <c r="J237" s="487" t="s">
        <v>611</v>
      </c>
    </row>
    <row r="238" spans="1:10" ht="15" x14ac:dyDescent="0.2">
      <c r="A238" s="486" t="s">
        <v>610</v>
      </c>
      <c r="B238" s="487" t="s">
        <v>609</v>
      </c>
      <c r="C238" s="488" t="s">
        <v>2204</v>
      </c>
      <c r="D238" s="489" t="s">
        <v>2205</v>
      </c>
      <c r="E238" s="487" t="s">
        <v>2206</v>
      </c>
      <c r="F238" s="490">
        <v>6000</v>
      </c>
      <c r="G238" s="489">
        <v>83</v>
      </c>
      <c r="H238" s="489">
        <v>72.289159999999995</v>
      </c>
      <c r="I238" s="487" t="s">
        <v>1499</v>
      </c>
      <c r="J238" s="487" t="s">
        <v>611</v>
      </c>
    </row>
    <row r="239" spans="1:10" ht="15" x14ac:dyDescent="0.2">
      <c r="A239" s="486" t="s">
        <v>610</v>
      </c>
      <c r="B239" s="487" t="s">
        <v>609</v>
      </c>
      <c r="C239" s="488" t="s">
        <v>2207</v>
      </c>
      <c r="D239" s="489" t="s">
        <v>2208</v>
      </c>
      <c r="E239" s="487" t="s">
        <v>2209</v>
      </c>
      <c r="F239" s="490">
        <v>2860</v>
      </c>
      <c r="G239" s="489">
        <v>79</v>
      </c>
      <c r="H239" s="489">
        <v>36.202530000000003</v>
      </c>
      <c r="I239" s="487" t="s">
        <v>1499</v>
      </c>
      <c r="J239" s="487" t="s">
        <v>611</v>
      </c>
    </row>
    <row r="240" spans="1:10" ht="15" x14ac:dyDescent="0.2">
      <c r="A240" s="486" t="s">
        <v>610</v>
      </c>
      <c r="B240" s="487" t="s">
        <v>609</v>
      </c>
      <c r="C240" s="488" t="s">
        <v>2210</v>
      </c>
      <c r="D240" s="489" t="s">
        <v>2211</v>
      </c>
      <c r="E240" s="487" t="s">
        <v>2212</v>
      </c>
      <c r="F240" s="490">
        <v>26044</v>
      </c>
      <c r="G240" s="489">
        <v>308</v>
      </c>
      <c r="H240" s="489">
        <v>84.558440000000004</v>
      </c>
      <c r="I240" s="487" t="s">
        <v>1499</v>
      </c>
      <c r="J240" s="487" t="s">
        <v>611</v>
      </c>
    </row>
    <row r="241" spans="1:10" ht="15" x14ac:dyDescent="0.2">
      <c r="A241" s="486" t="s">
        <v>610</v>
      </c>
      <c r="B241" s="487" t="s">
        <v>609</v>
      </c>
      <c r="C241" s="488" t="s">
        <v>2213</v>
      </c>
      <c r="D241" s="489" t="s">
        <v>2214</v>
      </c>
      <c r="E241" s="487" t="s">
        <v>2215</v>
      </c>
      <c r="F241" s="490">
        <v>77000</v>
      </c>
      <c r="G241" s="489">
        <v>1213</v>
      </c>
      <c r="H241" s="489">
        <v>63.47898</v>
      </c>
      <c r="I241" s="487" t="s">
        <v>1499</v>
      </c>
      <c r="J241" s="487" t="s">
        <v>611</v>
      </c>
    </row>
    <row r="242" spans="1:10" ht="15" x14ac:dyDescent="0.2">
      <c r="A242" s="486" t="s">
        <v>610</v>
      </c>
      <c r="B242" s="487" t="s">
        <v>609</v>
      </c>
      <c r="C242" s="488" t="s">
        <v>2216</v>
      </c>
      <c r="D242" s="489" t="s">
        <v>2217</v>
      </c>
      <c r="E242" s="487" t="s">
        <v>2218</v>
      </c>
      <c r="F242" s="490">
        <v>11273</v>
      </c>
      <c r="G242" s="489">
        <v>131</v>
      </c>
      <c r="H242" s="489">
        <v>86.053439999999995</v>
      </c>
      <c r="I242" s="487" t="s">
        <v>1499</v>
      </c>
      <c r="J242" s="487" t="s">
        <v>611</v>
      </c>
    </row>
    <row r="243" spans="1:10" ht="15" x14ac:dyDescent="0.2">
      <c r="A243" s="486" t="s">
        <v>610</v>
      </c>
      <c r="B243" s="487" t="s">
        <v>609</v>
      </c>
      <c r="C243" s="488" t="s">
        <v>2219</v>
      </c>
      <c r="D243" s="489" t="s">
        <v>2220</v>
      </c>
      <c r="E243" s="487" t="s">
        <v>2221</v>
      </c>
      <c r="F243" s="490">
        <v>0</v>
      </c>
      <c r="G243" s="489">
        <v>22</v>
      </c>
      <c r="H243" s="489">
        <v>0</v>
      </c>
      <c r="I243" s="487" t="s">
        <v>1593</v>
      </c>
      <c r="J243" s="487" t="s">
        <v>611</v>
      </c>
    </row>
    <row r="244" spans="1:10" ht="15" x14ac:dyDescent="0.2">
      <c r="A244" s="486" t="s">
        <v>610</v>
      </c>
      <c r="B244" s="487" t="s">
        <v>609</v>
      </c>
      <c r="C244" s="488" t="s">
        <v>2222</v>
      </c>
      <c r="D244" s="489" t="s">
        <v>2223</v>
      </c>
      <c r="E244" s="487" t="s">
        <v>2224</v>
      </c>
      <c r="F244" s="490">
        <v>443611</v>
      </c>
      <c r="G244" s="489">
        <v>2355</v>
      </c>
      <c r="H244" s="489">
        <v>188.36985000000001</v>
      </c>
      <c r="I244" s="487" t="s">
        <v>1499</v>
      </c>
      <c r="J244" s="487" t="s">
        <v>611</v>
      </c>
    </row>
    <row r="245" spans="1:10" ht="15" x14ac:dyDescent="0.2">
      <c r="A245" s="486" t="s">
        <v>610</v>
      </c>
      <c r="B245" s="487" t="s">
        <v>609</v>
      </c>
      <c r="C245" s="488" t="s">
        <v>2225</v>
      </c>
      <c r="D245" s="489" t="s">
        <v>2226</v>
      </c>
      <c r="E245" s="487" t="s">
        <v>2227</v>
      </c>
      <c r="F245" s="490">
        <v>13400</v>
      </c>
      <c r="G245" s="489">
        <v>477</v>
      </c>
      <c r="H245" s="489">
        <v>28.09224</v>
      </c>
      <c r="I245" s="487" t="s">
        <v>1499</v>
      </c>
      <c r="J245" s="487" t="s">
        <v>611</v>
      </c>
    </row>
    <row r="246" spans="1:10" ht="15" x14ac:dyDescent="0.2">
      <c r="A246" s="486" t="s">
        <v>610</v>
      </c>
      <c r="B246" s="487" t="s">
        <v>609</v>
      </c>
      <c r="C246" s="488" t="s">
        <v>2228</v>
      </c>
      <c r="D246" s="489" t="s">
        <v>2229</v>
      </c>
      <c r="E246" s="487" t="s">
        <v>2230</v>
      </c>
      <c r="F246" s="490">
        <v>20000</v>
      </c>
      <c r="G246" s="489">
        <v>170</v>
      </c>
      <c r="H246" s="489">
        <v>117.64706</v>
      </c>
      <c r="I246" s="487" t="s">
        <v>1499</v>
      </c>
      <c r="J246" s="487" t="s">
        <v>611</v>
      </c>
    </row>
    <row r="247" spans="1:10" ht="15" x14ac:dyDescent="0.2">
      <c r="A247" s="486" t="s">
        <v>610</v>
      </c>
      <c r="B247" s="487" t="s">
        <v>609</v>
      </c>
      <c r="C247" s="488" t="s">
        <v>2231</v>
      </c>
      <c r="D247" s="489" t="s">
        <v>2232</v>
      </c>
      <c r="E247" s="487" t="s">
        <v>2233</v>
      </c>
      <c r="F247" s="490">
        <v>733404</v>
      </c>
      <c r="G247" s="489">
        <v>4066</v>
      </c>
      <c r="H247" s="489">
        <v>180.37482</v>
      </c>
      <c r="I247" s="487" t="s">
        <v>1499</v>
      </c>
      <c r="J247" s="487" t="s">
        <v>611</v>
      </c>
    </row>
    <row r="248" spans="1:10" ht="15" x14ac:dyDescent="0.2">
      <c r="A248" s="486" t="s">
        <v>610</v>
      </c>
      <c r="B248" s="487" t="s">
        <v>609</v>
      </c>
      <c r="C248" s="488" t="s">
        <v>2234</v>
      </c>
      <c r="D248" s="489" t="s">
        <v>2235</v>
      </c>
      <c r="E248" s="487" t="s">
        <v>2236</v>
      </c>
      <c r="F248" s="490">
        <v>443559</v>
      </c>
      <c r="G248" s="489">
        <v>2876</v>
      </c>
      <c r="H248" s="489">
        <v>154.22774999999999</v>
      </c>
      <c r="I248" s="487" t="s">
        <v>1499</v>
      </c>
      <c r="J248" s="487" t="s">
        <v>611</v>
      </c>
    </row>
    <row r="249" spans="1:10" ht="15" x14ac:dyDescent="0.2">
      <c r="A249" s="486" t="s">
        <v>610</v>
      </c>
      <c r="B249" s="487" t="s">
        <v>609</v>
      </c>
      <c r="C249" s="488" t="s">
        <v>2237</v>
      </c>
      <c r="D249" s="489" t="s">
        <v>2238</v>
      </c>
      <c r="E249" s="487" t="s">
        <v>2239</v>
      </c>
      <c r="F249" s="490">
        <v>49231</v>
      </c>
      <c r="G249" s="489">
        <v>860</v>
      </c>
      <c r="H249" s="489">
        <v>57.245350000000002</v>
      </c>
      <c r="I249" s="487" t="s">
        <v>1499</v>
      </c>
      <c r="J249" s="487" t="s">
        <v>611</v>
      </c>
    </row>
    <row r="250" spans="1:10" ht="15" x14ac:dyDescent="0.2">
      <c r="A250" s="486" t="s">
        <v>610</v>
      </c>
      <c r="B250" s="487" t="s">
        <v>609</v>
      </c>
      <c r="C250" s="488" t="s">
        <v>2240</v>
      </c>
      <c r="D250" s="489" t="s">
        <v>2241</v>
      </c>
      <c r="E250" s="487" t="s">
        <v>2242</v>
      </c>
      <c r="F250" s="490">
        <v>80952</v>
      </c>
      <c r="G250" s="489">
        <v>1430</v>
      </c>
      <c r="H250" s="489">
        <v>56.609789999999997</v>
      </c>
      <c r="I250" s="487" t="s">
        <v>1499</v>
      </c>
      <c r="J250" s="487" t="s">
        <v>611</v>
      </c>
    </row>
    <row r="251" spans="1:10" ht="15" x14ac:dyDescent="0.2">
      <c r="A251" s="486" t="s">
        <v>610</v>
      </c>
      <c r="B251" s="487" t="s">
        <v>609</v>
      </c>
      <c r="C251" s="488" t="s">
        <v>2243</v>
      </c>
      <c r="D251" s="489" t="s">
        <v>2244</v>
      </c>
      <c r="E251" s="487" t="s">
        <v>2245</v>
      </c>
      <c r="F251" s="490">
        <v>52000</v>
      </c>
      <c r="G251" s="489">
        <v>733</v>
      </c>
      <c r="H251" s="489">
        <v>70.941339999999997</v>
      </c>
      <c r="I251" s="487" t="s">
        <v>1499</v>
      </c>
      <c r="J251" s="487" t="s">
        <v>611</v>
      </c>
    </row>
    <row r="252" spans="1:10" ht="15" x14ac:dyDescent="0.2">
      <c r="A252" s="486" t="s">
        <v>610</v>
      </c>
      <c r="B252" s="487" t="s">
        <v>609</v>
      </c>
      <c r="C252" s="488" t="s">
        <v>2246</v>
      </c>
      <c r="D252" s="489" t="s">
        <v>2247</v>
      </c>
      <c r="E252" s="487" t="s">
        <v>2248</v>
      </c>
      <c r="F252" s="490">
        <v>13660</v>
      </c>
      <c r="G252" s="489">
        <v>483</v>
      </c>
      <c r="H252" s="489">
        <v>28.281569999999999</v>
      </c>
      <c r="I252" s="487" t="s">
        <v>1499</v>
      </c>
      <c r="J252" s="487" t="s">
        <v>611</v>
      </c>
    </row>
    <row r="253" spans="1:10" ht="15" x14ac:dyDescent="0.2">
      <c r="A253" s="486" t="s">
        <v>610</v>
      </c>
      <c r="B253" s="487" t="s">
        <v>609</v>
      </c>
      <c r="C253" s="488" t="s">
        <v>2249</v>
      </c>
      <c r="D253" s="489" t="s">
        <v>2250</v>
      </c>
      <c r="E253" s="487" t="s">
        <v>2251</v>
      </c>
      <c r="F253" s="490">
        <v>28211</v>
      </c>
      <c r="G253" s="489">
        <v>367</v>
      </c>
      <c r="H253" s="489">
        <v>76.869209999999995</v>
      </c>
      <c r="I253" s="487" t="s">
        <v>1499</v>
      </c>
      <c r="J253" s="487" t="s">
        <v>611</v>
      </c>
    </row>
    <row r="254" spans="1:10" ht="15" x14ac:dyDescent="0.2">
      <c r="A254" s="486" t="s">
        <v>610</v>
      </c>
      <c r="B254" s="487" t="s">
        <v>609</v>
      </c>
      <c r="C254" s="488" t="s">
        <v>2252</v>
      </c>
      <c r="D254" s="489" t="s">
        <v>2253</v>
      </c>
      <c r="E254" s="487" t="s">
        <v>2254</v>
      </c>
      <c r="F254" s="490">
        <v>8960</v>
      </c>
      <c r="G254" s="489">
        <v>105</v>
      </c>
      <c r="H254" s="489">
        <v>85.333330000000004</v>
      </c>
      <c r="I254" s="487" t="s">
        <v>1499</v>
      </c>
      <c r="J254" s="487" t="s">
        <v>611</v>
      </c>
    </row>
    <row r="255" spans="1:10" ht="15" x14ac:dyDescent="0.2">
      <c r="A255" s="486" t="s">
        <v>610</v>
      </c>
      <c r="B255" s="487" t="s">
        <v>609</v>
      </c>
      <c r="C255" s="488" t="s">
        <v>2255</v>
      </c>
      <c r="D255" s="489" t="s">
        <v>2256</v>
      </c>
      <c r="E255" s="487" t="s">
        <v>2257</v>
      </c>
      <c r="F255" s="490">
        <v>120059</v>
      </c>
      <c r="G255" s="489">
        <v>1523</v>
      </c>
      <c r="H255" s="489">
        <v>78.830600000000004</v>
      </c>
      <c r="I255" s="487" t="s">
        <v>1499</v>
      </c>
      <c r="J255" s="487" t="s">
        <v>611</v>
      </c>
    </row>
    <row r="256" spans="1:10" ht="15" x14ac:dyDescent="0.2">
      <c r="A256" s="486" t="s">
        <v>610</v>
      </c>
      <c r="B256" s="487" t="s">
        <v>609</v>
      </c>
      <c r="C256" s="488" t="s">
        <v>2258</v>
      </c>
      <c r="D256" s="489" t="s">
        <v>2259</v>
      </c>
      <c r="E256" s="487" t="s">
        <v>2260</v>
      </c>
      <c r="F256" s="490">
        <v>951481</v>
      </c>
      <c r="G256" s="489">
        <v>3722</v>
      </c>
      <c r="H256" s="489">
        <v>255.63702000000001</v>
      </c>
      <c r="I256" s="487" t="s">
        <v>1499</v>
      </c>
      <c r="J256" s="487" t="s">
        <v>611</v>
      </c>
    </row>
    <row r="257" spans="1:10" ht="15" x14ac:dyDescent="0.2">
      <c r="A257" s="486" t="s">
        <v>610</v>
      </c>
      <c r="B257" s="487" t="s">
        <v>609</v>
      </c>
      <c r="C257" s="488" t="s">
        <v>2261</v>
      </c>
      <c r="D257" s="489" t="s">
        <v>2262</v>
      </c>
      <c r="E257" s="487" t="s">
        <v>2263</v>
      </c>
      <c r="F257" s="490">
        <v>18646</v>
      </c>
      <c r="G257" s="489">
        <v>683</v>
      </c>
      <c r="H257" s="489">
        <v>27.300149999999999</v>
      </c>
      <c r="I257" s="487" t="s">
        <v>1499</v>
      </c>
      <c r="J257" s="487" t="s">
        <v>611</v>
      </c>
    </row>
    <row r="258" spans="1:10" ht="15" x14ac:dyDescent="0.2">
      <c r="A258" s="486" t="s">
        <v>610</v>
      </c>
      <c r="B258" s="487" t="s">
        <v>609</v>
      </c>
      <c r="C258" s="488" t="s">
        <v>2264</v>
      </c>
      <c r="D258" s="489" t="s">
        <v>2265</v>
      </c>
      <c r="E258" s="487" t="s">
        <v>2266</v>
      </c>
      <c r="F258" s="490">
        <v>26997</v>
      </c>
      <c r="G258" s="489">
        <v>684</v>
      </c>
      <c r="H258" s="489">
        <v>39.469299999999997</v>
      </c>
      <c r="I258" s="487" t="s">
        <v>1499</v>
      </c>
      <c r="J258" s="487" t="s">
        <v>611</v>
      </c>
    </row>
    <row r="259" spans="1:10" ht="15" x14ac:dyDescent="0.2">
      <c r="A259" s="486" t="s">
        <v>610</v>
      </c>
      <c r="B259" s="487" t="s">
        <v>609</v>
      </c>
      <c r="C259" s="488" t="s">
        <v>2267</v>
      </c>
      <c r="D259" s="489" t="s">
        <v>2268</v>
      </c>
      <c r="E259" s="487" t="s">
        <v>2269</v>
      </c>
      <c r="F259" s="490">
        <v>15850</v>
      </c>
      <c r="G259" s="489">
        <v>172</v>
      </c>
      <c r="H259" s="489">
        <v>92.151160000000004</v>
      </c>
      <c r="I259" s="487" t="s">
        <v>1499</v>
      </c>
      <c r="J259" s="487" t="s">
        <v>611</v>
      </c>
    </row>
    <row r="260" spans="1:10" ht="15" x14ac:dyDescent="0.2">
      <c r="A260" s="486" t="s">
        <v>610</v>
      </c>
      <c r="B260" s="487" t="s">
        <v>609</v>
      </c>
      <c r="C260" s="488" t="s">
        <v>2270</v>
      </c>
      <c r="D260" s="489" t="s">
        <v>2271</v>
      </c>
      <c r="E260" s="487" t="s">
        <v>1263</v>
      </c>
      <c r="F260" s="490">
        <v>10902</v>
      </c>
      <c r="G260" s="489">
        <v>158</v>
      </c>
      <c r="H260" s="489">
        <v>69</v>
      </c>
      <c r="I260" s="487" t="s">
        <v>1499</v>
      </c>
      <c r="J260" s="487" t="s">
        <v>611</v>
      </c>
    </row>
    <row r="261" spans="1:10" ht="15" x14ac:dyDescent="0.2">
      <c r="A261" s="486" t="s">
        <v>610</v>
      </c>
      <c r="B261" s="487" t="s">
        <v>609</v>
      </c>
      <c r="C261" s="488" t="s">
        <v>2272</v>
      </c>
      <c r="D261" s="489" t="s">
        <v>2273</v>
      </c>
      <c r="E261" s="487" t="s">
        <v>2274</v>
      </c>
      <c r="F261" s="490">
        <v>18000</v>
      </c>
      <c r="G261" s="489">
        <v>256</v>
      </c>
      <c r="H261" s="489">
        <v>70.3125</v>
      </c>
      <c r="I261" s="487" t="s">
        <v>1499</v>
      </c>
      <c r="J261" s="487" t="s">
        <v>611</v>
      </c>
    </row>
    <row r="262" spans="1:10" ht="15" x14ac:dyDescent="0.2">
      <c r="A262" s="486" t="s">
        <v>610</v>
      </c>
      <c r="B262" s="487" t="s">
        <v>609</v>
      </c>
      <c r="C262" s="488" t="s">
        <v>2275</v>
      </c>
      <c r="D262" s="489" t="s">
        <v>2276</v>
      </c>
      <c r="E262" s="487" t="s">
        <v>2277</v>
      </c>
      <c r="F262" s="490">
        <v>12574</v>
      </c>
      <c r="G262" s="489">
        <v>172</v>
      </c>
      <c r="H262" s="489">
        <v>73.104650000000007</v>
      </c>
      <c r="I262" s="487" t="s">
        <v>1499</v>
      </c>
      <c r="J262" s="487" t="s">
        <v>611</v>
      </c>
    </row>
    <row r="263" spans="1:10" ht="15" x14ac:dyDescent="0.2">
      <c r="A263" s="486" t="s">
        <v>610</v>
      </c>
      <c r="B263" s="487" t="s">
        <v>609</v>
      </c>
      <c r="C263" s="488" t="s">
        <v>2278</v>
      </c>
      <c r="D263" s="489" t="s">
        <v>2279</v>
      </c>
      <c r="E263" s="487" t="s">
        <v>2280</v>
      </c>
      <c r="F263" s="490">
        <v>2500</v>
      </c>
      <c r="G263" s="489">
        <v>95</v>
      </c>
      <c r="H263" s="489">
        <v>26.31579</v>
      </c>
      <c r="I263" s="487" t="s">
        <v>1499</v>
      </c>
      <c r="J263" s="487" t="s">
        <v>611</v>
      </c>
    </row>
    <row r="264" spans="1:10" ht="15" x14ac:dyDescent="0.2">
      <c r="A264" s="486" t="s">
        <v>610</v>
      </c>
      <c r="B264" s="487" t="s">
        <v>609</v>
      </c>
      <c r="C264" s="488" t="s">
        <v>2281</v>
      </c>
      <c r="D264" s="489" t="s">
        <v>2282</v>
      </c>
      <c r="E264" s="487" t="s">
        <v>2283</v>
      </c>
      <c r="F264" s="490">
        <v>203049</v>
      </c>
      <c r="G264" s="489">
        <v>1925</v>
      </c>
      <c r="H264" s="489">
        <v>105.48</v>
      </c>
      <c r="I264" s="487" t="s">
        <v>1499</v>
      </c>
      <c r="J264" s="487" t="s">
        <v>611</v>
      </c>
    </row>
    <row r="265" spans="1:10" ht="15" x14ac:dyDescent="0.2">
      <c r="A265" s="486" t="s">
        <v>610</v>
      </c>
      <c r="B265" s="487" t="s">
        <v>609</v>
      </c>
      <c r="C265" s="488" t="s">
        <v>2284</v>
      </c>
      <c r="D265" s="489" t="s">
        <v>2285</v>
      </c>
      <c r="E265" s="487" t="s">
        <v>2286</v>
      </c>
      <c r="F265" s="490">
        <v>30000</v>
      </c>
      <c r="G265" s="489">
        <v>518</v>
      </c>
      <c r="H265" s="489">
        <v>57.915059999999997</v>
      </c>
      <c r="I265" s="487" t="s">
        <v>1499</v>
      </c>
      <c r="J265" s="487" t="s">
        <v>611</v>
      </c>
    </row>
    <row r="266" spans="1:10" ht="15" x14ac:dyDescent="0.2">
      <c r="A266" s="486" t="s">
        <v>610</v>
      </c>
      <c r="B266" s="487" t="s">
        <v>609</v>
      </c>
      <c r="C266" s="488" t="s">
        <v>2287</v>
      </c>
      <c r="D266" s="489" t="s">
        <v>2288</v>
      </c>
      <c r="E266" s="487" t="s">
        <v>2289</v>
      </c>
      <c r="F266" s="490">
        <v>45905</v>
      </c>
      <c r="G266" s="489">
        <v>929</v>
      </c>
      <c r="H266" s="489">
        <v>49.413350000000001</v>
      </c>
      <c r="I266" s="487" t="s">
        <v>1499</v>
      </c>
      <c r="J266" s="487" t="s">
        <v>611</v>
      </c>
    </row>
    <row r="267" spans="1:10" ht="15" x14ac:dyDescent="0.2">
      <c r="A267" s="486" t="s">
        <v>610</v>
      </c>
      <c r="B267" s="487" t="s">
        <v>609</v>
      </c>
      <c r="C267" s="488" t="s">
        <v>2290</v>
      </c>
      <c r="D267" s="489" t="s">
        <v>2291</v>
      </c>
      <c r="E267" s="487" t="s">
        <v>2292</v>
      </c>
      <c r="F267" s="490">
        <v>9429</v>
      </c>
      <c r="G267" s="489">
        <v>245</v>
      </c>
      <c r="H267" s="489">
        <v>38.485709999999997</v>
      </c>
      <c r="I267" s="487" t="s">
        <v>1499</v>
      </c>
      <c r="J267" s="487" t="s">
        <v>611</v>
      </c>
    </row>
    <row r="268" spans="1:10" ht="15" x14ac:dyDescent="0.2">
      <c r="A268" s="486" t="s">
        <v>610</v>
      </c>
      <c r="B268" s="487" t="s">
        <v>609</v>
      </c>
      <c r="C268" s="488" t="s">
        <v>2293</v>
      </c>
      <c r="D268" s="489" t="s">
        <v>2294</v>
      </c>
      <c r="E268" s="487" t="s">
        <v>2295</v>
      </c>
      <c r="F268" s="490">
        <v>27354</v>
      </c>
      <c r="G268" s="489">
        <v>466</v>
      </c>
      <c r="H268" s="489">
        <v>58.699570000000001</v>
      </c>
      <c r="I268" s="487" t="s">
        <v>1499</v>
      </c>
      <c r="J268" s="487" t="s">
        <v>611</v>
      </c>
    </row>
    <row r="269" spans="1:10" ht="15" x14ac:dyDescent="0.2">
      <c r="A269" s="486" t="s">
        <v>610</v>
      </c>
      <c r="B269" s="487" t="s">
        <v>609</v>
      </c>
      <c r="C269" s="488" t="s">
        <v>2296</v>
      </c>
      <c r="D269" s="489" t="s">
        <v>2297</v>
      </c>
      <c r="E269" s="487" t="s">
        <v>2298</v>
      </c>
      <c r="F269" s="490">
        <v>30219</v>
      </c>
      <c r="G269" s="489">
        <v>366</v>
      </c>
      <c r="H269" s="489">
        <v>82.565569999999994</v>
      </c>
      <c r="I269" s="487" t="s">
        <v>1499</v>
      </c>
      <c r="J269" s="487" t="s">
        <v>611</v>
      </c>
    </row>
    <row r="270" spans="1:10" ht="15" x14ac:dyDescent="0.2">
      <c r="A270" s="486" t="s">
        <v>610</v>
      </c>
      <c r="B270" s="487" t="s">
        <v>609</v>
      </c>
      <c r="C270" s="488" t="s">
        <v>2299</v>
      </c>
      <c r="D270" s="489" t="s">
        <v>2300</v>
      </c>
      <c r="E270" s="487" t="s">
        <v>2301</v>
      </c>
      <c r="F270" s="490">
        <v>137839</v>
      </c>
      <c r="G270" s="489">
        <v>1467</v>
      </c>
      <c r="H270" s="489">
        <v>93.959779999999995</v>
      </c>
      <c r="I270" s="487" t="s">
        <v>1499</v>
      </c>
      <c r="J270" s="487" t="s">
        <v>611</v>
      </c>
    </row>
    <row r="271" spans="1:10" ht="15" x14ac:dyDescent="0.2">
      <c r="A271" s="486" t="s">
        <v>498</v>
      </c>
      <c r="B271" s="487" t="s">
        <v>497</v>
      </c>
      <c r="C271" s="488" t="s">
        <v>2302</v>
      </c>
      <c r="D271" s="489" t="s">
        <v>2303</v>
      </c>
      <c r="E271" s="487" t="s">
        <v>2304</v>
      </c>
      <c r="F271" s="490">
        <v>303916.7</v>
      </c>
      <c r="G271" s="489">
        <v>4892</v>
      </c>
      <c r="H271" s="489">
        <v>62.125250000000001</v>
      </c>
      <c r="I271" s="487" t="s">
        <v>1499</v>
      </c>
      <c r="J271" s="487" t="s">
        <v>499</v>
      </c>
    </row>
    <row r="272" spans="1:10" ht="15" x14ac:dyDescent="0.2">
      <c r="A272" s="486" t="s">
        <v>498</v>
      </c>
      <c r="B272" s="487" t="s">
        <v>497</v>
      </c>
      <c r="C272" s="488" t="s">
        <v>2305</v>
      </c>
      <c r="D272" s="489" t="s">
        <v>2306</v>
      </c>
      <c r="E272" s="487" t="s">
        <v>2307</v>
      </c>
      <c r="F272" s="490">
        <v>2222402</v>
      </c>
      <c r="G272" s="489">
        <v>21318</v>
      </c>
      <c r="H272" s="489">
        <v>104.25002000000001</v>
      </c>
      <c r="I272" s="487" t="s">
        <v>1499</v>
      </c>
      <c r="J272" s="487" t="s">
        <v>499</v>
      </c>
    </row>
    <row r="273" spans="1:10" ht="15" x14ac:dyDescent="0.2">
      <c r="A273" s="486" t="s">
        <v>498</v>
      </c>
      <c r="B273" s="487" t="s">
        <v>497</v>
      </c>
      <c r="C273" s="488" t="s">
        <v>2308</v>
      </c>
      <c r="D273" s="489" t="s">
        <v>2309</v>
      </c>
      <c r="E273" s="487" t="s">
        <v>2310</v>
      </c>
      <c r="F273" s="490">
        <v>373784</v>
      </c>
      <c r="G273" s="489">
        <v>3679</v>
      </c>
      <c r="H273" s="489">
        <v>101.59935</v>
      </c>
      <c r="I273" s="487" t="s">
        <v>1499</v>
      </c>
      <c r="J273" s="487" t="s">
        <v>499</v>
      </c>
    </row>
    <row r="274" spans="1:10" ht="15" x14ac:dyDescent="0.2">
      <c r="A274" s="486" t="s">
        <v>498</v>
      </c>
      <c r="B274" s="487" t="s">
        <v>497</v>
      </c>
      <c r="C274" s="488" t="s">
        <v>2311</v>
      </c>
      <c r="D274" s="489" t="s">
        <v>2312</v>
      </c>
      <c r="E274" s="487" t="s">
        <v>2313</v>
      </c>
      <c r="F274" s="490">
        <v>656135.43999999994</v>
      </c>
      <c r="G274" s="489">
        <v>8033</v>
      </c>
      <c r="H274" s="489">
        <v>81.680000000000007</v>
      </c>
      <c r="I274" s="487" t="s">
        <v>1499</v>
      </c>
      <c r="J274" s="487" t="s">
        <v>499</v>
      </c>
    </row>
    <row r="275" spans="1:10" ht="15" x14ac:dyDescent="0.2">
      <c r="A275" s="486" t="s">
        <v>498</v>
      </c>
      <c r="B275" s="487" t="s">
        <v>497</v>
      </c>
      <c r="C275" s="488" t="s">
        <v>2314</v>
      </c>
      <c r="D275" s="489" t="s">
        <v>2315</v>
      </c>
      <c r="E275" s="487" t="s">
        <v>2316</v>
      </c>
      <c r="F275" s="490">
        <v>322072</v>
      </c>
      <c r="G275" s="489">
        <v>5577</v>
      </c>
      <c r="H275" s="489">
        <v>57.750039999999998</v>
      </c>
      <c r="I275" s="487" t="s">
        <v>1499</v>
      </c>
      <c r="J275" s="487" t="s">
        <v>499</v>
      </c>
    </row>
    <row r="276" spans="1:10" ht="15" x14ac:dyDescent="0.2">
      <c r="A276" s="486" t="s">
        <v>498</v>
      </c>
      <c r="B276" s="487" t="s">
        <v>497</v>
      </c>
      <c r="C276" s="488" t="s">
        <v>2317</v>
      </c>
      <c r="D276" s="489" t="s">
        <v>2318</v>
      </c>
      <c r="E276" s="487" t="s">
        <v>2319</v>
      </c>
      <c r="F276" s="490">
        <v>607413.99</v>
      </c>
      <c r="G276" s="489">
        <v>6989</v>
      </c>
      <c r="H276" s="489">
        <v>86.91</v>
      </c>
      <c r="I276" s="487" t="s">
        <v>1499</v>
      </c>
      <c r="J276" s="487" t="s">
        <v>499</v>
      </c>
    </row>
    <row r="277" spans="1:10" ht="15" x14ac:dyDescent="0.2">
      <c r="A277" s="486" t="s">
        <v>1360</v>
      </c>
      <c r="B277" s="487" t="s">
        <v>1359</v>
      </c>
      <c r="C277" s="488" t="s">
        <v>2320</v>
      </c>
      <c r="D277" s="489" t="s">
        <v>2321</v>
      </c>
      <c r="E277" s="487" t="s">
        <v>2322</v>
      </c>
      <c r="F277" s="490">
        <v>13500</v>
      </c>
      <c r="G277" s="489">
        <v>479.44</v>
      </c>
      <c r="H277" s="489">
        <v>28.15785</v>
      </c>
      <c r="I277" s="487" t="s">
        <v>1499</v>
      </c>
      <c r="J277" s="487" t="s">
        <v>1361</v>
      </c>
    </row>
    <row r="278" spans="1:10" ht="15" x14ac:dyDescent="0.2">
      <c r="A278" s="486" t="s">
        <v>1360</v>
      </c>
      <c r="B278" s="487" t="s">
        <v>1359</v>
      </c>
      <c r="C278" s="488" t="s">
        <v>2323</v>
      </c>
      <c r="D278" s="489" t="s">
        <v>2324</v>
      </c>
      <c r="E278" s="487" t="s">
        <v>2325</v>
      </c>
      <c r="F278" s="490">
        <v>13500</v>
      </c>
      <c r="G278" s="489">
        <v>135.61000000000001</v>
      </c>
      <c r="H278" s="489">
        <v>99.550179999999997</v>
      </c>
      <c r="I278" s="487" t="s">
        <v>1499</v>
      </c>
      <c r="J278" s="487" t="s">
        <v>1361</v>
      </c>
    </row>
    <row r="279" spans="1:10" ht="15" x14ac:dyDescent="0.2">
      <c r="A279" s="486" t="s">
        <v>1360</v>
      </c>
      <c r="B279" s="487" t="s">
        <v>1359</v>
      </c>
      <c r="C279" s="488" t="s">
        <v>2326</v>
      </c>
      <c r="D279" s="489" t="s">
        <v>2327</v>
      </c>
      <c r="E279" s="487" t="s">
        <v>2328</v>
      </c>
      <c r="F279" s="490">
        <v>10080</v>
      </c>
      <c r="G279" s="489">
        <v>188.94</v>
      </c>
      <c r="H279" s="489">
        <v>53.350270000000002</v>
      </c>
      <c r="I279" s="487" t="s">
        <v>1499</v>
      </c>
      <c r="J279" s="487" t="s">
        <v>1361</v>
      </c>
    </row>
    <row r="280" spans="1:10" ht="15" x14ac:dyDescent="0.2">
      <c r="A280" s="486" t="s">
        <v>1360</v>
      </c>
      <c r="B280" s="487" t="s">
        <v>1359</v>
      </c>
      <c r="C280" s="488" t="s">
        <v>2329</v>
      </c>
      <c r="D280" s="489" t="s">
        <v>2330</v>
      </c>
      <c r="E280" s="487" t="s">
        <v>398</v>
      </c>
      <c r="F280" s="490">
        <v>23000</v>
      </c>
      <c r="G280" s="489">
        <v>972.7</v>
      </c>
      <c r="H280" s="489">
        <v>23.645520000000001</v>
      </c>
      <c r="I280" s="487" t="s">
        <v>1499</v>
      </c>
      <c r="J280" s="487" t="s">
        <v>1361</v>
      </c>
    </row>
    <row r="281" spans="1:10" ht="15" x14ac:dyDescent="0.2">
      <c r="A281" s="486" t="s">
        <v>1360</v>
      </c>
      <c r="B281" s="487" t="s">
        <v>1359</v>
      </c>
      <c r="C281" s="488" t="s">
        <v>2331</v>
      </c>
      <c r="D281" s="489" t="s">
        <v>2332</v>
      </c>
      <c r="E281" s="487" t="s">
        <v>2333</v>
      </c>
      <c r="F281" s="490">
        <v>13000</v>
      </c>
      <c r="G281" s="489">
        <v>153.13999999999999</v>
      </c>
      <c r="H281" s="489">
        <v>84.88964</v>
      </c>
      <c r="I281" s="487" t="s">
        <v>1499</v>
      </c>
      <c r="J281" s="487" t="s">
        <v>1361</v>
      </c>
    </row>
    <row r="282" spans="1:10" ht="15" x14ac:dyDescent="0.2">
      <c r="A282" s="486" t="s">
        <v>1360</v>
      </c>
      <c r="B282" s="487" t="s">
        <v>1359</v>
      </c>
      <c r="C282" s="488" t="s">
        <v>2334</v>
      </c>
      <c r="D282" s="489" t="s">
        <v>2335</v>
      </c>
      <c r="E282" s="487" t="s">
        <v>2336</v>
      </c>
      <c r="F282" s="490">
        <v>10700</v>
      </c>
      <c r="G282" s="489">
        <v>197.86</v>
      </c>
      <c r="H282" s="489">
        <v>54.07864</v>
      </c>
      <c r="I282" s="487" t="s">
        <v>1499</v>
      </c>
      <c r="J282" s="487" t="s">
        <v>1361</v>
      </c>
    </row>
    <row r="283" spans="1:10" ht="15" x14ac:dyDescent="0.2">
      <c r="A283" s="486" t="s">
        <v>1360</v>
      </c>
      <c r="B283" s="487" t="s">
        <v>1359</v>
      </c>
      <c r="C283" s="488" t="s">
        <v>2337</v>
      </c>
      <c r="D283" s="489" t="s">
        <v>2338</v>
      </c>
      <c r="E283" s="487" t="s">
        <v>2339</v>
      </c>
      <c r="F283" s="490">
        <v>19215</v>
      </c>
      <c r="G283" s="489">
        <v>520.63</v>
      </c>
      <c r="H283" s="489">
        <v>36.907209999999999</v>
      </c>
      <c r="I283" s="487" t="s">
        <v>1499</v>
      </c>
      <c r="J283" s="487" t="s">
        <v>1361</v>
      </c>
    </row>
    <row r="284" spans="1:10" ht="15" x14ac:dyDescent="0.2">
      <c r="A284" s="486" t="s">
        <v>1360</v>
      </c>
      <c r="B284" s="487" t="s">
        <v>1359</v>
      </c>
      <c r="C284" s="488" t="s">
        <v>2340</v>
      </c>
      <c r="D284" s="489" t="s">
        <v>2341</v>
      </c>
      <c r="E284" s="487" t="s">
        <v>2342</v>
      </c>
      <c r="F284" s="490">
        <v>10400</v>
      </c>
      <c r="G284" s="489">
        <v>249.1</v>
      </c>
      <c r="H284" s="489">
        <v>41.750300000000003</v>
      </c>
      <c r="I284" s="487" t="s">
        <v>1499</v>
      </c>
      <c r="J284" s="487" t="s">
        <v>1361</v>
      </c>
    </row>
    <row r="285" spans="1:10" ht="15" x14ac:dyDescent="0.2">
      <c r="A285" s="486" t="s">
        <v>1360</v>
      </c>
      <c r="B285" s="487" t="s">
        <v>1359</v>
      </c>
      <c r="C285" s="488" t="s">
        <v>2343</v>
      </c>
      <c r="D285" s="489" t="s">
        <v>2344</v>
      </c>
      <c r="E285" s="487" t="s">
        <v>2345</v>
      </c>
      <c r="F285" s="490">
        <v>23500</v>
      </c>
      <c r="G285" s="489">
        <v>864.25</v>
      </c>
      <c r="H285" s="489">
        <v>27.191210000000002</v>
      </c>
      <c r="I285" s="487" t="s">
        <v>1499</v>
      </c>
      <c r="J285" s="487" t="s">
        <v>1361</v>
      </c>
    </row>
    <row r="286" spans="1:10" ht="15" x14ac:dyDescent="0.2">
      <c r="A286" s="486" t="s">
        <v>1360</v>
      </c>
      <c r="B286" s="487" t="s">
        <v>1359</v>
      </c>
      <c r="C286" s="488" t="s">
        <v>2346</v>
      </c>
      <c r="D286" s="489" t="s">
        <v>2347</v>
      </c>
      <c r="E286" s="487" t="s">
        <v>2348</v>
      </c>
      <c r="F286" s="490">
        <v>13200</v>
      </c>
      <c r="G286" s="489">
        <v>174.98</v>
      </c>
      <c r="H286" s="489">
        <v>75.437190000000001</v>
      </c>
      <c r="I286" s="487" t="s">
        <v>1499</v>
      </c>
      <c r="J286" s="487" t="s">
        <v>1361</v>
      </c>
    </row>
    <row r="287" spans="1:10" ht="15" x14ac:dyDescent="0.2">
      <c r="A287" s="486" t="s">
        <v>1360</v>
      </c>
      <c r="B287" s="487" t="s">
        <v>1359</v>
      </c>
      <c r="C287" s="488" t="s">
        <v>2349</v>
      </c>
      <c r="D287" s="489" t="s">
        <v>2350</v>
      </c>
      <c r="E287" s="487" t="s">
        <v>2351</v>
      </c>
      <c r="F287" s="490">
        <v>11850</v>
      </c>
      <c r="G287" s="489">
        <v>315.73</v>
      </c>
      <c r="H287" s="489">
        <v>37.532069999999997</v>
      </c>
      <c r="I287" s="487" t="s">
        <v>1499</v>
      </c>
      <c r="J287" s="487" t="s">
        <v>1361</v>
      </c>
    </row>
    <row r="288" spans="1:10" ht="15" x14ac:dyDescent="0.2">
      <c r="A288" s="486" t="s">
        <v>1360</v>
      </c>
      <c r="B288" s="487" t="s">
        <v>1359</v>
      </c>
      <c r="C288" s="488" t="s">
        <v>2352</v>
      </c>
      <c r="D288" s="489" t="s">
        <v>2353</v>
      </c>
      <c r="E288" s="487" t="s">
        <v>2354</v>
      </c>
      <c r="F288" s="490">
        <v>40000</v>
      </c>
      <c r="G288" s="489">
        <v>1074.72</v>
      </c>
      <c r="H288" s="489">
        <v>37.219000000000001</v>
      </c>
      <c r="I288" s="487" t="s">
        <v>1499</v>
      </c>
      <c r="J288" s="487" t="s">
        <v>1361</v>
      </c>
    </row>
    <row r="289" spans="1:10" ht="15" x14ac:dyDescent="0.2">
      <c r="A289" s="486" t="s">
        <v>1360</v>
      </c>
      <c r="B289" s="487" t="s">
        <v>1359</v>
      </c>
      <c r="C289" s="488" t="s">
        <v>2355</v>
      </c>
      <c r="D289" s="489" t="s">
        <v>2356</v>
      </c>
      <c r="E289" s="487" t="s">
        <v>2357</v>
      </c>
      <c r="F289" s="490">
        <v>309511</v>
      </c>
      <c r="G289" s="489">
        <v>2650.1</v>
      </c>
      <c r="H289" s="489">
        <v>116.79219999999999</v>
      </c>
      <c r="I289" s="487" t="s">
        <v>1499</v>
      </c>
      <c r="J289" s="487" t="s">
        <v>1361</v>
      </c>
    </row>
    <row r="290" spans="1:10" ht="15" x14ac:dyDescent="0.2">
      <c r="A290" s="486" t="s">
        <v>1360</v>
      </c>
      <c r="B290" s="487" t="s">
        <v>1359</v>
      </c>
      <c r="C290" s="488" t="s">
        <v>2358</v>
      </c>
      <c r="D290" s="489" t="s">
        <v>2359</v>
      </c>
      <c r="E290" s="487" t="s">
        <v>2360</v>
      </c>
      <c r="F290" s="490">
        <v>0</v>
      </c>
      <c r="G290" s="489">
        <v>14.09</v>
      </c>
      <c r="H290" s="489">
        <v>0</v>
      </c>
      <c r="I290" s="487" t="s">
        <v>1593</v>
      </c>
      <c r="J290" s="487" t="s">
        <v>1361</v>
      </c>
    </row>
    <row r="291" spans="1:10" ht="15" x14ac:dyDescent="0.2">
      <c r="A291" s="486" t="s">
        <v>1360</v>
      </c>
      <c r="B291" s="487" t="s">
        <v>1359</v>
      </c>
      <c r="C291" s="488" t="s">
        <v>2361</v>
      </c>
      <c r="D291" s="489" t="s">
        <v>2362</v>
      </c>
      <c r="E291" s="487" t="s">
        <v>2363</v>
      </c>
      <c r="F291" s="490">
        <v>15000</v>
      </c>
      <c r="G291" s="489">
        <v>199.64</v>
      </c>
      <c r="H291" s="489">
        <v>75.135239999999996</v>
      </c>
      <c r="I291" s="487" t="s">
        <v>1499</v>
      </c>
      <c r="J291" s="487" t="s">
        <v>1361</v>
      </c>
    </row>
    <row r="292" spans="1:10" ht="15" x14ac:dyDescent="0.2">
      <c r="A292" s="486" t="s">
        <v>1360</v>
      </c>
      <c r="B292" s="487" t="s">
        <v>1359</v>
      </c>
      <c r="C292" s="488" t="s">
        <v>2364</v>
      </c>
      <c r="D292" s="489" t="s">
        <v>2365</v>
      </c>
      <c r="E292" s="487" t="s">
        <v>2366</v>
      </c>
      <c r="F292" s="490">
        <v>42500</v>
      </c>
      <c r="G292" s="489">
        <v>1150.5</v>
      </c>
      <c r="H292" s="489">
        <v>36.940460000000002</v>
      </c>
      <c r="I292" s="487" t="s">
        <v>1499</v>
      </c>
      <c r="J292" s="487" t="s">
        <v>1361</v>
      </c>
    </row>
    <row r="293" spans="1:10" ht="15" x14ac:dyDescent="0.2">
      <c r="A293" s="486" t="s">
        <v>1360</v>
      </c>
      <c r="B293" s="487" t="s">
        <v>1359</v>
      </c>
      <c r="C293" s="488" t="s">
        <v>2367</v>
      </c>
      <c r="D293" s="489" t="s">
        <v>2368</v>
      </c>
      <c r="E293" s="487" t="s">
        <v>2369</v>
      </c>
      <c r="F293" s="490">
        <v>73928</v>
      </c>
      <c r="G293" s="489">
        <v>1664.87</v>
      </c>
      <c r="H293" s="489">
        <v>44.404670000000003</v>
      </c>
      <c r="I293" s="487" t="s">
        <v>1499</v>
      </c>
      <c r="J293" s="487" t="s">
        <v>1361</v>
      </c>
    </row>
    <row r="294" spans="1:10" ht="15" x14ac:dyDescent="0.2">
      <c r="A294" s="486" t="s">
        <v>1360</v>
      </c>
      <c r="B294" s="487" t="s">
        <v>1359</v>
      </c>
      <c r="C294" s="488" t="s">
        <v>2370</v>
      </c>
      <c r="D294" s="489" t="s">
        <v>2371</v>
      </c>
      <c r="E294" s="487" t="s">
        <v>2372</v>
      </c>
      <c r="F294" s="490">
        <v>0</v>
      </c>
      <c r="G294" s="489">
        <v>23.51</v>
      </c>
      <c r="H294" s="489">
        <v>0</v>
      </c>
      <c r="I294" s="487" t="s">
        <v>1593</v>
      </c>
      <c r="J294" s="487" t="s">
        <v>1361</v>
      </c>
    </row>
    <row r="295" spans="1:10" ht="15" x14ac:dyDescent="0.2">
      <c r="A295" s="486" t="s">
        <v>1360</v>
      </c>
      <c r="B295" s="487" t="s">
        <v>1359</v>
      </c>
      <c r="C295" s="488" t="s">
        <v>2373</v>
      </c>
      <c r="D295" s="489" t="s">
        <v>2374</v>
      </c>
      <c r="E295" s="487" t="s">
        <v>2375</v>
      </c>
      <c r="F295" s="490">
        <v>84403</v>
      </c>
      <c r="G295" s="489">
        <v>699.16</v>
      </c>
      <c r="H295" s="489">
        <v>120.72058</v>
      </c>
      <c r="I295" s="487" t="s">
        <v>1499</v>
      </c>
      <c r="J295" s="487" t="s">
        <v>1361</v>
      </c>
    </row>
    <row r="296" spans="1:10" ht="15" x14ac:dyDescent="0.2">
      <c r="A296" s="486" t="s">
        <v>1360</v>
      </c>
      <c r="B296" s="487" t="s">
        <v>1359</v>
      </c>
      <c r="C296" s="488" t="s">
        <v>2376</v>
      </c>
      <c r="D296" s="489" t="s">
        <v>2377</v>
      </c>
      <c r="E296" s="487" t="s">
        <v>2378</v>
      </c>
      <c r="F296" s="490">
        <v>10500</v>
      </c>
      <c r="G296" s="489">
        <v>284.48</v>
      </c>
      <c r="H296" s="489">
        <v>36.90945</v>
      </c>
      <c r="I296" s="487" t="s">
        <v>1499</v>
      </c>
      <c r="J296" s="487" t="s">
        <v>1361</v>
      </c>
    </row>
    <row r="297" spans="1:10" ht="15" x14ac:dyDescent="0.2">
      <c r="A297" s="486" t="s">
        <v>1360</v>
      </c>
      <c r="B297" s="487" t="s">
        <v>1359</v>
      </c>
      <c r="C297" s="488" t="s">
        <v>2379</v>
      </c>
      <c r="D297" s="489" t="s">
        <v>2380</v>
      </c>
      <c r="E297" s="487" t="s">
        <v>2381</v>
      </c>
      <c r="F297" s="490">
        <v>23000</v>
      </c>
      <c r="G297" s="489">
        <v>264.76</v>
      </c>
      <c r="H297" s="489">
        <v>86.871129999999994</v>
      </c>
      <c r="I297" s="487" t="s">
        <v>1499</v>
      </c>
      <c r="J297" s="487" t="s">
        <v>1361</v>
      </c>
    </row>
    <row r="298" spans="1:10" ht="15" x14ac:dyDescent="0.2">
      <c r="A298" s="486" t="s">
        <v>1360</v>
      </c>
      <c r="B298" s="487" t="s">
        <v>1359</v>
      </c>
      <c r="C298" s="488" t="s">
        <v>2382</v>
      </c>
      <c r="D298" s="489" t="s">
        <v>2383</v>
      </c>
      <c r="E298" s="487" t="s">
        <v>2384</v>
      </c>
      <c r="F298" s="490">
        <v>15993</v>
      </c>
      <c r="G298" s="489">
        <v>382.33</v>
      </c>
      <c r="H298" s="489">
        <v>41.830359999999999</v>
      </c>
      <c r="I298" s="487" t="s">
        <v>1499</v>
      </c>
      <c r="J298" s="487" t="s">
        <v>1361</v>
      </c>
    </row>
    <row r="299" spans="1:10" ht="15" x14ac:dyDescent="0.2">
      <c r="A299" s="486" t="s">
        <v>1360</v>
      </c>
      <c r="B299" s="487" t="s">
        <v>1359</v>
      </c>
      <c r="C299" s="488" t="s">
        <v>2385</v>
      </c>
      <c r="D299" s="489" t="s">
        <v>2386</v>
      </c>
      <c r="E299" s="487" t="s">
        <v>2387</v>
      </c>
      <c r="F299" s="490">
        <v>5000</v>
      </c>
      <c r="G299" s="489">
        <v>123.69</v>
      </c>
      <c r="H299" s="489">
        <v>40.423639999999999</v>
      </c>
      <c r="I299" s="487" t="s">
        <v>1499</v>
      </c>
      <c r="J299" s="487" t="s">
        <v>1361</v>
      </c>
    </row>
    <row r="300" spans="1:10" ht="15" x14ac:dyDescent="0.2">
      <c r="A300" s="486" t="s">
        <v>1360</v>
      </c>
      <c r="B300" s="487" t="s">
        <v>1359</v>
      </c>
      <c r="C300" s="488" t="s">
        <v>2388</v>
      </c>
      <c r="D300" s="489" t="s">
        <v>2389</v>
      </c>
      <c r="E300" s="487" t="s">
        <v>2390</v>
      </c>
      <c r="F300" s="490">
        <v>0</v>
      </c>
      <c r="G300" s="489">
        <v>48.45</v>
      </c>
      <c r="H300" s="489">
        <v>0</v>
      </c>
      <c r="I300" s="487" t="s">
        <v>1593</v>
      </c>
      <c r="J300" s="487" t="s">
        <v>1361</v>
      </c>
    </row>
    <row r="301" spans="1:10" ht="15" x14ac:dyDescent="0.2">
      <c r="A301" s="486" t="s">
        <v>1360</v>
      </c>
      <c r="B301" s="487" t="s">
        <v>1359</v>
      </c>
      <c r="C301" s="488" t="s">
        <v>2391</v>
      </c>
      <c r="D301" s="489" t="s">
        <v>2392</v>
      </c>
      <c r="E301" s="487" t="s">
        <v>2393</v>
      </c>
      <c r="F301" s="490">
        <v>0</v>
      </c>
      <c r="G301" s="489">
        <v>74.58</v>
      </c>
      <c r="H301" s="489">
        <v>0</v>
      </c>
      <c r="I301" s="487" t="s">
        <v>1593</v>
      </c>
      <c r="J301" s="487" t="s">
        <v>1361</v>
      </c>
    </row>
    <row r="302" spans="1:10" ht="15" x14ac:dyDescent="0.2">
      <c r="A302" s="486" t="s">
        <v>1360</v>
      </c>
      <c r="B302" s="487" t="s">
        <v>1359</v>
      </c>
      <c r="C302" s="488" t="s">
        <v>2394</v>
      </c>
      <c r="D302" s="489" t="s">
        <v>2395</v>
      </c>
      <c r="E302" s="487" t="s">
        <v>2396</v>
      </c>
      <c r="F302" s="490">
        <v>9500</v>
      </c>
      <c r="G302" s="489">
        <v>165.61</v>
      </c>
      <c r="H302" s="489">
        <v>57.363689999999998</v>
      </c>
      <c r="I302" s="487" t="s">
        <v>1499</v>
      </c>
      <c r="J302" s="487" t="s">
        <v>1361</v>
      </c>
    </row>
    <row r="303" spans="1:10" ht="15" x14ac:dyDescent="0.2">
      <c r="A303" s="486" t="s">
        <v>1360</v>
      </c>
      <c r="B303" s="487" t="s">
        <v>1359</v>
      </c>
      <c r="C303" s="488" t="s">
        <v>2397</v>
      </c>
      <c r="D303" s="489" t="s">
        <v>2398</v>
      </c>
      <c r="E303" s="487" t="s">
        <v>2399</v>
      </c>
      <c r="F303" s="490">
        <v>23300</v>
      </c>
      <c r="G303" s="489">
        <v>420.29</v>
      </c>
      <c r="H303" s="489">
        <v>55.437910000000002</v>
      </c>
      <c r="I303" s="487" t="s">
        <v>1499</v>
      </c>
      <c r="J303" s="487" t="s">
        <v>1361</v>
      </c>
    </row>
    <row r="304" spans="1:10" ht="15" x14ac:dyDescent="0.2">
      <c r="A304" s="486" t="s">
        <v>1360</v>
      </c>
      <c r="B304" s="487" t="s">
        <v>1359</v>
      </c>
      <c r="C304" s="488" t="s">
        <v>2400</v>
      </c>
      <c r="D304" s="489" t="s">
        <v>2401</v>
      </c>
      <c r="E304" s="487" t="s">
        <v>2402</v>
      </c>
      <c r="F304" s="490">
        <v>103774</v>
      </c>
      <c r="G304" s="489">
        <v>2983.96</v>
      </c>
      <c r="H304" s="489">
        <v>34.777279999999998</v>
      </c>
      <c r="I304" s="487" t="s">
        <v>1499</v>
      </c>
      <c r="J304" s="487" t="s">
        <v>1361</v>
      </c>
    </row>
    <row r="305" spans="1:10" ht="15" x14ac:dyDescent="0.2">
      <c r="A305" s="486" t="s">
        <v>1360</v>
      </c>
      <c r="B305" s="487" t="s">
        <v>1359</v>
      </c>
      <c r="C305" s="488" t="s">
        <v>2403</v>
      </c>
      <c r="D305" s="489" t="s">
        <v>2404</v>
      </c>
      <c r="E305" s="487" t="s">
        <v>2405</v>
      </c>
      <c r="F305" s="490">
        <v>5643</v>
      </c>
      <c r="G305" s="489">
        <v>155.12</v>
      </c>
      <c r="H305" s="489">
        <v>36.37829</v>
      </c>
      <c r="I305" s="487" t="s">
        <v>1499</v>
      </c>
      <c r="J305" s="487" t="s">
        <v>1361</v>
      </c>
    </row>
    <row r="306" spans="1:10" ht="15" x14ac:dyDescent="0.2">
      <c r="A306" s="486" t="s">
        <v>1360</v>
      </c>
      <c r="B306" s="487" t="s">
        <v>1359</v>
      </c>
      <c r="C306" s="488" t="s">
        <v>2406</v>
      </c>
      <c r="D306" s="489" t="s">
        <v>2407</v>
      </c>
      <c r="E306" s="487" t="s">
        <v>2408</v>
      </c>
      <c r="F306" s="490">
        <v>26821</v>
      </c>
      <c r="G306" s="489">
        <v>358.33</v>
      </c>
      <c r="H306" s="489">
        <v>74.849999999999994</v>
      </c>
      <c r="I306" s="487" t="s">
        <v>1499</v>
      </c>
      <c r="J306" s="487" t="s">
        <v>1361</v>
      </c>
    </row>
    <row r="307" spans="1:10" ht="15" x14ac:dyDescent="0.2">
      <c r="A307" s="486" t="s">
        <v>1360</v>
      </c>
      <c r="B307" s="487" t="s">
        <v>1359</v>
      </c>
      <c r="C307" s="488" t="s">
        <v>2409</v>
      </c>
      <c r="D307" s="489" t="s">
        <v>2410</v>
      </c>
      <c r="E307" s="487" t="s">
        <v>2411</v>
      </c>
      <c r="F307" s="490">
        <v>63500</v>
      </c>
      <c r="G307" s="489">
        <v>911.5</v>
      </c>
      <c r="H307" s="489">
        <v>69.665390000000002</v>
      </c>
      <c r="I307" s="487" t="s">
        <v>1499</v>
      </c>
      <c r="J307" s="487" t="s">
        <v>1361</v>
      </c>
    </row>
    <row r="308" spans="1:10" ht="15" x14ac:dyDescent="0.2">
      <c r="A308" s="486" t="s">
        <v>1360</v>
      </c>
      <c r="B308" s="487" t="s">
        <v>1359</v>
      </c>
      <c r="C308" s="488" t="s">
        <v>2412</v>
      </c>
      <c r="D308" s="489" t="s">
        <v>2413</v>
      </c>
      <c r="E308" s="487" t="s">
        <v>2414</v>
      </c>
      <c r="F308" s="490">
        <v>143357</v>
      </c>
      <c r="G308" s="489">
        <v>2751.15</v>
      </c>
      <c r="H308" s="489">
        <v>52.108029999999999</v>
      </c>
      <c r="I308" s="487" t="s">
        <v>1499</v>
      </c>
      <c r="J308" s="487" t="s">
        <v>1361</v>
      </c>
    </row>
    <row r="309" spans="1:10" ht="15" x14ac:dyDescent="0.2">
      <c r="A309" s="486" t="s">
        <v>1360</v>
      </c>
      <c r="B309" s="487" t="s">
        <v>1359</v>
      </c>
      <c r="C309" s="488" t="s">
        <v>2415</v>
      </c>
      <c r="D309" s="489" t="s">
        <v>2416</v>
      </c>
      <c r="E309" s="487" t="s">
        <v>2417</v>
      </c>
      <c r="F309" s="490">
        <v>383939</v>
      </c>
      <c r="G309" s="489">
        <v>2513.98</v>
      </c>
      <c r="H309" s="489">
        <v>152.72157999999999</v>
      </c>
      <c r="I309" s="487" t="s">
        <v>1499</v>
      </c>
      <c r="J309" s="487" t="s">
        <v>1361</v>
      </c>
    </row>
    <row r="310" spans="1:10" ht="15" x14ac:dyDescent="0.2">
      <c r="A310" s="486" t="s">
        <v>1360</v>
      </c>
      <c r="B310" s="487" t="s">
        <v>1359</v>
      </c>
      <c r="C310" s="488" t="s">
        <v>2418</v>
      </c>
      <c r="D310" s="489" t="s">
        <v>2419</v>
      </c>
      <c r="E310" s="487" t="s">
        <v>2420</v>
      </c>
      <c r="F310" s="490">
        <v>15000</v>
      </c>
      <c r="G310" s="489">
        <v>440.22</v>
      </c>
      <c r="H310" s="489">
        <v>34.073869999999999</v>
      </c>
      <c r="I310" s="487" t="s">
        <v>1499</v>
      </c>
      <c r="J310" s="487" t="s">
        <v>1361</v>
      </c>
    </row>
    <row r="311" spans="1:10" ht="15" x14ac:dyDescent="0.2">
      <c r="A311" s="486" t="s">
        <v>1360</v>
      </c>
      <c r="B311" s="487" t="s">
        <v>1359</v>
      </c>
      <c r="C311" s="488" t="s">
        <v>2421</v>
      </c>
      <c r="D311" s="489" t="s">
        <v>2422</v>
      </c>
      <c r="E311" s="487" t="s">
        <v>2423</v>
      </c>
      <c r="F311" s="490">
        <v>71150</v>
      </c>
      <c r="G311" s="489">
        <v>1236.68</v>
      </c>
      <c r="H311" s="489">
        <v>57.533070000000002</v>
      </c>
      <c r="I311" s="487" t="s">
        <v>1499</v>
      </c>
      <c r="J311" s="487" t="s">
        <v>1361</v>
      </c>
    </row>
    <row r="312" spans="1:10" ht="15" x14ac:dyDescent="0.2">
      <c r="A312" s="486" t="s">
        <v>1360</v>
      </c>
      <c r="B312" s="487" t="s">
        <v>1359</v>
      </c>
      <c r="C312" s="488" t="s">
        <v>2424</v>
      </c>
      <c r="D312" s="489" t="s">
        <v>2425</v>
      </c>
      <c r="E312" s="487" t="s">
        <v>2426</v>
      </c>
      <c r="F312" s="490">
        <v>182115</v>
      </c>
      <c r="G312" s="489">
        <v>1798.87</v>
      </c>
      <c r="H312" s="489">
        <v>101.23856000000001</v>
      </c>
      <c r="I312" s="487" t="s">
        <v>1499</v>
      </c>
      <c r="J312" s="487" t="s">
        <v>1361</v>
      </c>
    </row>
    <row r="313" spans="1:10" ht="15" x14ac:dyDescent="0.2">
      <c r="A313" s="486" t="s">
        <v>1360</v>
      </c>
      <c r="B313" s="487" t="s">
        <v>1359</v>
      </c>
      <c r="C313" s="488" t="s">
        <v>2427</v>
      </c>
      <c r="D313" s="489" t="s">
        <v>2428</v>
      </c>
      <c r="E313" s="487" t="s">
        <v>2429</v>
      </c>
      <c r="F313" s="490">
        <v>9400</v>
      </c>
      <c r="G313" s="489">
        <v>175.63</v>
      </c>
      <c r="H313" s="489">
        <v>53.521610000000003</v>
      </c>
      <c r="I313" s="487" t="s">
        <v>1499</v>
      </c>
      <c r="J313" s="487" t="s">
        <v>1361</v>
      </c>
    </row>
    <row r="314" spans="1:10" ht="15" x14ac:dyDescent="0.2">
      <c r="A314" s="486" t="s">
        <v>1360</v>
      </c>
      <c r="B314" s="487" t="s">
        <v>1359</v>
      </c>
      <c r="C314" s="488" t="s">
        <v>2430</v>
      </c>
      <c r="D314" s="489" t="s">
        <v>2431</v>
      </c>
      <c r="E314" s="487" t="s">
        <v>2432</v>
      </c>
      <c r="F314" s="490">
        <v>10000</v>
      </c>
      <c r="G314" s="489">
        <v>168.57</v>
      </c>
      <c r="H314" s="489">
        <v>59.322539999999996</v>
      </c>
      <c r="I314" s="487" t="s">
        <v>1499</v>
      </c>
      <c r="J314" s="487" t="s">
        <v>1361</v>
      </c>
    </row>
    <row r="315" spans="1:10" ht="15" x14ac:dyDescent="0.2">
      <c r="A315" s="486" t="s">
        <v>1360</v>
      </c>
      <c r="B315" s="487" t="s">
        <v>1359</v>
      </c>
      <c r="C315" s="488" t="s">
        <v>2433</v>
      </c>
      <c r="D315" s="489" t="s">
        <v>2434</v>
      </c>
      <c r="E315" s="487" t="s">
        <v>2435</v>
      </c>
      <c r="F315" s="490">
        <v>1817641</v>
      </c>
      <c r="G315" s="489">
        <v>13491.52</v>
      </c>
      <c r="H315" s="489">
        <v>134.72470000000001</v>
      </c>
      <c r="I315" s="487" t="s">
        <v>1499</v>
      </c>
      <c r="J315" s="487" t="s">
        <v>1361</v>
      </c>
    </row>
    <row r="316" spans="1:10" ht="15" x14ac:dyDescent="0.2">
      <c r="A316" s="486" t="s">
        <v>1360</v>
      </c>
      <c r="B316" s="487" t="s">
        <v>1359</v>
      </c>
      <c r="C316" s="488" t="s">
        <v>2436</v>
      </c>
      <c r="D316" s="489" t="s">
        <v>2437</v>
      </c>
      <c r="E316" s="487" t="s">
        <v>2438</v>
      </c>
      <c r="F316" s="490">
        <v>20000</v>
      </c>
      <c r="G316" s="489">
        <v>442.53</v>
      </c>
      <c r="H316" s="489">
        <v>45.194679999999998</v>
      </c>
      <c r="I316" s="487" t="s">
        <v>1499</v>
      </c>
      <c r="J316" s="487" t="s">
        <v>1361</v>
      </c>
    </row>
    <row r="317" spans="1:10" ht="15" x14ac:dyDescent="0.2">
      <c r="A317" s="486" t="s">
        <v>1360</v>
      </c>
      <c r="B317" s="487" t="s">
        <v>1359</v>
      </c>
      <c r="C317" s="488" t="s">
        <v>2439</v>
      </c>
      <c r="D317" s="489" t="s">
        <v>2440</v>
      </c>
      <c r="E317" s="487" t="s">
        <v>2441</v>
      </c>
      <c r="F317" s="490">
        <v>232227.68</v>
      </c>
      <c r="G317" s="489">
        <v>1587.47</v>
      </c>
      <c r="H317" s="489">
        <v>146.28792000000001</v>
      </c>
      <c r="I317" s="487" t="s">
        <v>1499</v>
      </c>
      <c r="J317" s="487" t="s">
        <v>1361</v>
      </c>
    </row>
    <row r="318" spans="1:10" ht="15" x14ac:dyDescent="0.2">
      <c r="A318" s="486" t="s">
        <v>1360</v>
      </c>
      <c r="B318" s="487" t="s">
        <v>1359</v>
      </c>
      <c r="C318" s="488" t="s">
        <v>2442</v>
      </c>
      <c r="D318" s="489" t="s">
        <v>2443</v>
      </c>
      <c r="E318" s="487" t="s">
        <v>2444</v>
      </c>
      <c r="F318" s="490">
        <v>10000</v>
      </c>
      <c r="G318" s="489">
        <v>154.66999999999999</v>
      </c>
      <c r="H318" s="489">
        <v>64.653779999999998</v>
      </c>
      <c r="I318" s="487" t="s">
        <v>1499</v>
      </c>
      <c r="J318" s="487" t="s">
        <v>1361</v>
      </c>
    </row>
    <row r="319" spans="1:10" ht="15" x14ac:dyDescent="0.2">
      <c r="A319" s="486" t="s">
        <v>1360</v>
      </c>
      <c r="B319" s="487" t="s">
        <v>1359</v>
      </c>
      <c r="C319" s="488" t="s">
        <v>2445</v>
      </c>
      <c r="D319" s="489" t="s">
        <v>2446</v>
      </c>
      <c r="E319" s="487" t="s">
        <v>2447</v>
      </c>
      <c r="F319" s="490">
        <v>190000</v>
      </c>
      <c r="G319" s="489">
        <v>2052.65</v>
      </c>
      <c r="H319" s="489">
        <v>92.563270000000003</v>
      </c>
      <c r="I319" s="487" t="s">
        <v>1499</v>
      </c>
      <c r="J319" s="487" t="s">
        <v>1361</v>
      </c>
    </row>
    <row r="320" spans="1:10" ht="15" x14ac:dyDescent="0.2">
      <c r="A320" s="486" t="s">
        <v>1360</v>
      </c>
      <c r="B320" s="487" t="s">
        <v>1359</v>
      </c>
      <c r="C320" s="488" t="s">
        <v>2448</v>
      </c>
      <c r="D320" s="489" t="s">
        <v>2449</v>
      </c>
      <c r="E320" s="487" t="s">
        <v>2450</v>
      </c>
      <c r="F320" s="490">
        <v>62400</v>
      </c>
      <c r="G320" s="489">
        <v>1057.3</v>
      </c>
      <c r="H320" s="489">
        <v>59.018250000000002</v>
      </c>
      <c r="I320" s="487" t="s">
        <v>1499</v>
      </c>
      <c r="J320" s="487" t="s">
        <v>1361</v>
      </c>
    </row>
    <row r="321" spans="1:10" ht="15" x14ac:dyDescent="0.2">
      <c r="A321" s="486" t="s">
        <v>1360</v>
      </c>
      <c r="B321" s="487" t="s">
        <v>1359</v>
      </c>
      <c r="C321" s="488" t="s">
        <v>2451</v>
      </c>
      <c r="D321" s="489" t="s">
        <v>2452</v>
      </c>
      <c r="E321" s="487" t="s">
        <v>2453</v>
      </c>
      <c r="F321" s="490">
        <v>64381</v>
      </c>
      <c r="G321" s="489">
        <v>1155.22</v>
      </c>
      <c r="H321" s="489">
        <v>55.730510000000002</v>
      </c>
      <c r="I321" s="487" t="s">
        <v>1499</v>
      </c>
      <c r="J321" s="487" t="s">
        <v>1361</v>
      </c>
    </row>
    <row r="322" spans="1:10" ht="15" x14ac:dyDescent="0.2">
      <c r="A322" s="486" t="s">
        <v>1360</v>
      </c>
      <c r="B322" s="487" t="s">
        <v>1359</v>
      </c>
      <c r="C322" s="488" t="s">
        <v>2454</v>
      </c>
      <c r="D322" s="489" t="s">
        <v>2455</v>
      </c>
      <c r="E322" s="487" t="s">
        <v>2456</v>
      </c>
      <c r="F322" s="490">
        <v>6000</v>
      </c>
      <c r="G322" s="489">
        <v>125.22</v>
      </c>
      <c r="H322" s="489">
        <v>47.915669999999999</v>
      </c>
      <c r="I322" s="487" t="s">
        <v>1499</v>
      </c>
      <c r="J322" s="487" t="s">
        <v>1361</v>
      </c>
    </row>
    <row r="323" spans="1:10" ht="15" x14ac:dyDescent="0.2">
      <c r="A323" s="486" t="s">
        <v>1360</v>
      </c>
      <c r="B323" s="487" t="s">
        <v>1359</v>
      </c>
      <c r="C323" s="488" t="s">
        <v>2457</v>
      </c>
      <c r="D323" s="489" t="s">
        <v>2458</v>
      </c>
      <c r="E323" s="487" t="s">
        <v>2459</v>
      </c>
      <c r="F323" s="490">
        <v>161729</v>
      </c>
      <c r="G323" s="489">
        <v>1815.26</v>
      </c>
      <c r="H323" s="489">
        <v>89.094120000000004</v>
      </c>
      <c r="I323" s="487" t="s">
        <v>1499</v>
      </c>
      <c r="J323" s="487" t="s">
        <v>1361</v>
      </c>
    </row>
    <row r="324" spans="1:10" ht="15" x14ac:dyDescent="0.2">
      <c r="A324" s="486" t="s">
        <v>1360</v>
      </c>
      <c r="B324" s="487" t="s">
        <v>1359</v>
      </c>
      <c r="C324" s="488" t="s">
        <v>2460</v>
      </c>
      <c r="D324" s="489" t="s">
        <v>2461</v>
      </c>
      <c r="E324" s="487" t="s">
        <v>2263</v>
      </c>
      <c r="F324" s="490">
        <v>46776</v>
      </c>
      <c r="G324" s="489">
        <v>573.88</v>
      </c>
      <c r="H324" s="489">
        <v>81.508330000000001</v>
      </c>
      <c r="I324" s="487" t="s">
        <v>1499</v>
      </c>
      <c r="J324" s="487" t="s">
        <v>1361</v>
      </c>
    </row>
    <row r="325" spans="1:10" ht="15" x14ac:dyDescent="0.2">
      <c r="A325" s="486" t="s">
        <v>1360</v>
      </c>
      <c r="B325" s="487" t="s">
        <v>1359</v>
      </c>
      <c r="C325" s="488" t="s">
        <v>2462</v>
      </c>
      <c r="D325" s="489" t="s">
        <v>2463</v>
      </c>
      <c r="E325" s="487" t="s">
        <v>2464</v>
      </c>
      <c r="F325" s="490">
        <v>0</v>
      </c>
      <c r="G325" s="489">
        <v>0</v>
      </c>
      <c r="H325" s="489">
        <v>0</v>
      </c>
      <c r="I325" s="487" t="s">
        <v>2465</v>
      </c>
      <c r="J325" s="487" t="s">
        <v>1361</v>
      </c>
    </row>
    <row r="326" spans="1:10" ht="15" x14ac:dyDescent="0.2">
      <c r="A326" s="486" t="s">
        <v>1360</v>
      </c>
      <c r="B326" s="487" t="s">
        <v>1359</v>
      </c>
      <c r="C326" s="488" t="s">
        <v>2466</v>
      </c>
      <c r="D326" s="489" t="s">
        <v>2467</v>
      </c>
      <c r="E326" s="487" t="s">
        <v>2468</v>
      </c>
      <c r="F326" s="490">
        <v>22000</v>
      </c>
      <c r="G326" s="489">
        <v>655.8</v>
      </c>
      <c r="H326" s="489">
        <v>33.546810000000001</v>
      </c>
      <c r="I326" s="487" t="s">
        <v>1499</v>
      </c>
      <c r="J326" s="487" t="s">
        <v>1361</v>
      </c>
    </row>
    <row r="327" spans="1:10" ht="15" x14ac:dyDescent="0.2">
      <c r="A327" s="486" t="s">
        <v>1360</v>
      </c>
      <c r="B327" s="487" t="s">
        <v>1359</v>
      </c>
      <c r="C327" s="488" t="s">
        <v>2469</v>
      </c>
      <c r="D327" s="489" t="s">
        <v>2470</v>
      </c>
      <c r="E327" s="487" t="s">
        <v>2471</v>
      </c>
      <c r="F327" s="490">
        <v>1179921</v>
      </c>
      <c r="G327" s="489">
        <v>9365.94</v>
      </c>
      <c r="H327" s="489">
        <v>125.97999</v>
      </c>
      <c r="I327" s="487" t="s">
        <v>1499</v>
      </c>
      <c r="J327" s="487" t="s">
        <v>1361</v>
      </c>
    </row>
    <row r="328" spans="1:10" ht="15" x14ac:dyDescent="0.2">
      <c r="A328" s="486" t="s">
        <v>1360</v>
      </c>
      <c r="B328" s="487" t="s">
        <v>1359</v>
      </c>
      <c r="C328" s="488" t="s">
        <v>2472</v>
      </c>
      <c r="D328" s="489" t="s">
        <v>2473</v>
      </c>
      <c r="E328" s="487" t="s">
        <v>2474</v>
      </c>
      <c r="F328" s="490">
        <v>229135</v>
      </c>
      <c r="G328" s="489">
        <v>1569.56</v>
      </c>
      <c r="H328" s="489">
        <v>145.98677000000001</v>
      </c>
      <c r="I328" s="487" t="s">
        <v>1499</v>
      </c>
      <c r="J328" s="487" t="s">
        <v>1361</v>
      </c>
    </row>
    <row r="329" spans="1:10" ht="15" x14ac:dyDescent="0.2">
      <c r="A329" s="486" t="s">
        <v>1360</v>
      </c>
      <c r="B329" s="487" t="s">
        <v>1359</v>
      </c>
      <c r="C329" s="488" t="s">
        <v>2475</v>
      </c>
      <c r="D329" s="489" t="s">
        <v>2476</v>
      </c>
      <c r="E329" s="487" t="s">
        <v>2477</v>
      </c>
      <c r="F329" s="490">
        <v>10500</v>
      </c>
      <c r="G329" s="489">
        <v>305</v>
      </c>
      <c r="H329" s="489">
        <v>34.426229999999997</v>
      </c>
      <c r="I329" s="487" t="s">
        <v>2465</v>
      </c>
      <c r="J329" s="487" t="s">
        <v>1361</v>
      </c>
    </row>
    <row r="330" spans="1:10" ht="15" x14ac:dyDescent="0.2">
      <c r="A330" s="486" t="s">
        <v>1360</v>
      </c>
      <c r="B330" s="487" t="s">
        <v>1359</v>
      </c>
      <c r="C330" s="488" t="s">
        <v>2478</v>
      </c>
      <c r="D330" s="489" t="s">
        <v>2479</v>
      </c>
      <c r="E330" s="487" t="s">
        <v>2480</v>
      </c>
      <c r="F330" s="490">
        <v>336712</v>
      </c>
      <c r="G330" s="489">
        <v>5635.94</v>
      </c>
      <c r="H330" s="489">
        <v>59.743720000000003</v>
      </c>
      <c r="I330" s="487" t="s">
        <v>1499</v>
      </c>
      <c r="J330" s="487" t="s">
        <v>1361</v>
      </c>
    </row>
    <row r="331" spans="1:10" ht="15" x14ac:dyDescent="0.2">
      <c r="A331" s="486" t="s">
        <v>1360</v>
      </c>
      <c r="B331" s="487" t="s">
        <v>1359</v>
      </c>
      <c r="C331" s="488" t="s">
        <v>2481</v>
      </c>
      <c r="D331" s="489" t="s">
        <v>2482</v>
      </c>
      <c r="E331" s="487" t="s">
        <v>2483</v>
      </c>
      <c r="F331" s="490">
        <v>4500</v>
      </c>
      <c r="G331" s="489">
        <v>143.21</v>
      </c>
      <c r="H331" s="489">
        <v>31.42239</v>
      </c>
      <c r="I331" s="487" t="s">
        <v>1499</v>
      </c>
      <c r="J331" s="487" t="s">
        <v>1361</v>
      </c>
    </row>
    <row r="332" spans="1:10" ht="15" x14ac:dyDescent="0.2">
      <c r="A332" s="486" t="s">
        <v>1360</v>
      </c>
      <c r="B332" s="487" t="s">
        <v>1359</v>
      </c>
      <c r="C332" s="488" t="s">
        <v>2484</v>
      </c>
      <c r="D332" s="489" t="s">
        <v>2485</v>
      </c>
      <c r="E332" s="487" t="s">
        <v>2486</v>
      </c>
      <c r="F332" s="490">
        <v>0</v>
      </c>
      <c r="G332" s="489">
        <v>26.62</v>
      </c>
      <c r="H332" s="489">
        <v>0</v>
      </c>
      <c r="I332" s="487" t="s">
        <v>1593</v>
      </c>
      <c r="J332" s="487" t="s">
        <v>1361</v>
      </c>
    </row>
    <row r="333" spans="1:10" ht="15" x14ac:dyDescent="0.2">
      <c r="A333" s="486" t="s">
        <v>1360</v>
      </c>
      <c r="B333" s="487" t="s">
        <v>1359</v>
      </c>
      <c r="C333" s="488" t="s">
        <v>2487</v>
      </c>
      <c r="D333" s="489" t="s">
        <v>2488</v>
      </c>
      <c r="E333" s="487" t="s">
        <v>2489</v>
      </c>
      <c r="F333" s="490">
        <v>12428</v>
      </c>
      <c r="G333" s="489">
        <v>258.42</v>
      </c>
      <c r="H333" s="489">
        <v>48.09225</v>
      </c>
      <c r="I333" s="487" t="s">
        <v>1499</v>
      </c>
      <c r="J333" s="487" t="s">
        <v>1361</v>
      </c>
    </row>
    <row r="334" spans="1:10" ht="15" x14ac:dyDescent="0.2">
      <c r="A334" s="486" t="s">
        <v>1360</v>
      </c>
      <c r="B334" s="487" t="s">
        <v>1359</v>
      </c>
      <c r="C334" s="488" t="s">
        <v>2490</v>
      </c>
      <c r="D334" s="489" t="s">
        <v>2491</v>
      </c>
      <c r="E334" s="487" t="s">
        <v>2492</v>
      </c>
      <c r="F334" s="490">
        <v>11000</v>
      </c>
      <c r="G334" s="489">
        <v>153.97999999999999</v>
      </c>
      <c r="H334" s="489">
        <v>71.437849999999997</v>
      </c>
      <c r="I334" s="487" t="s">
        <v>1499</v>
      </c>
      <c r="J334" s="487" t="s">
        <v>1361</v>
      </c>
    </row>
    <row r="335" spans="1:10" ht="15" x14ac:dyDescent="0.2">
      <c r="A335" s="486" t="s">
        <v>1360</v>
      </c>
      <c r="B335" s="487" t="s">
        <v>1359</v>
      </c>
      <c r="C335" s="488" t="s">
        <v>2493</v>
      </c>
      <c r="D335" s="489" t="s">
        <v>2494</v>
      </c>
      <c r="E335" s="487" t="s">
        <v>2495</v>
      </c>
      <c r="F335" s="490">
        <v>0</v>
      </c>
      <c r="G335" s="489">
        <v>60.03</v>
      </c>
      <c r="H335" s="489">
        <v>0</v>
      </c>
      <c r="I335" s="487" t="s">
        <v>1593</v>
      </c>
      <c r="J335" s="487" t="s">
        <v>1361</v>
      </c>
    </row>
    <row r="336" spans="1:10" ht="15" x14ac:dyDescent="0.2">
      <c r="A336" s="486" t="s">
        <v>1360</v>
      </c>
      <c r="B336" s="487" t="s">
        <v>1359</v>
      </c>
      <c r="C336" s="488" t="s">
        <v>2496</v>
      </c>
      <c r="D336" s="489" t="s">
        <v>2497</v>
      </c>
      <c r="E336" s="487" t="s">
        <v>1783</v>
      </c>
      <c r="F336" s="490">
        <v>5500</v>
      </c>
      <c r="G336" s="489">
        <v>106.85</v>
      </c>
      <c r="H336" s="489">
        <v>51.474029999999999</v>
      </c>
      <c r="I336" s="487" t="s">
        <v>1499</v>
      </c>
      <c r="J336" s="487" t="s">
        <v>1361</v>
      </c>
    </row>
    <row r="337" spans="1:10" ht="15" x14ac:dyDescent="0.2">
      <c r="A337" s="486" t="s">
        <v>1360</v>
      </c>
      <c r="B337" s="487" t="s">
        <v>1359</v>
      </c>
      <c r="C337" s="488" t="s">
        <v>2498</v>
      </c>
      <c r="D337" s="489" t="s">
        <v>2499</v>
      </c>
      <c r="E337" s="487" t="s">
        <v>2500</v>
      </c>
      <c r="F337" s="490">
        <v>1750</v>
      </c>
      <c r="G337" s="489">
        <v>151.82</v>
      </c>
      <c r="H337" s="489">
        <v>11.526809999999999</v>
      </c>
      <c r="I337" s="487" t="s">
        <v>1499</v>
      </c>
      <c r="J337" s="487" t="s">
        <v>1361</v>
      </c>
    </row>
    <row r="338" spans="1:10" ht="15" x14ac:dyDescent="0.2">
      <c r="A338" s="486" t="s">
        <v>1360</v>
      </c>
      <c r="B338" s="487" t="s">
        <v>1359</v>
      </c>
      <c r="C338" s="488" t="s">
        <v>2501</v>
      </c>
      <c r="D338" s="489" t="s">
        <v>2502</v>
      </c>
      <c r="E338" s="487" t="s">
        <v>2503</v>
      </c>
      <c r="F338" s="490">
        <v>26000</v>
      </c>
      <c r="G338" s="489">
        <v>460.04</v>
      </c>
      <c r="H338" s="489">
        <v>56.516820000000003</v>
      </c>
      <c r="I338" s="487" t="s">
        <v>1499</v>
      </c>
      <c r="J338" s="487" t="s">
        <v>1361</v>
      </c>
    </row>
    <row r="339" spans="1:10" ht="15" x14ac:dyDescent="0.2">
      <c r="A339" s="486" t="s">
        <v>1360</v>
      </c>
      <c r="B339" s="487" t="s">
        <v>1359</v>
      </c>
      <c r="C339" s="488" t="s">
        <v>2504</v>
      </c>
      <c r="D339" s="489" t="s">
        <v>2505</v>
      </c>
      <c r="E339" s="487" t="s">
        <v>2506</v>
      </c>
      <c r="F339" s="490">
        <v>12589</v>
      </c>
      <c r="G339" s="489">
        <v>175.28</v>
      </c>
      <c r="H339" s="489">
        <v>71.822230000000005</v>
      </c>
      <c r="I339" s="487" t="s">
        <v>1499</v>
      </c>
      <c r="J339" s="487" t="s">
        <v>1361</v>
      </c>
    </row>
    <row r="340" spans="1:10" ht="15" x14ac:dyDescent="0.2">
      <c r="A340" s="486" t="s">
        <v>1174</v>
      </c>
      <c r="B340" s="487" t="s">
        <v>1173</v>
      </c>
      <c r="C340" s="488" t="s">
        <v>2507</v>
      </c>
      <c r="D340" s="489" t="s">
        <v>2508</v>
      </c>
      <c r="E340" s="487" t="s">
        <v>2509</v>
      </c>
      <c r="F340" s="490">
        <v>59529.3</v>
      </c>
      <c r="G340" s="489">
        <v>879.7</v>
      </c>
      <c r="H340" s="489">
        <v>67.67</v>
      </c>
      <c r="I340" s="487" t="s">
        <v>1499</v>
      </c>
      <c r="J340" s="487" t="s">
        <v>1175</v>
      </c>
    </row>
    <row r="341" spans="1:10" ht="15" x14ac:dyDescent="0.2">
      <c r="A341" s="486" t="s">
        <v>1174</v>
      </c>
      <c r="B341" s="487" t="s">
        <v>1173</v>
      </c>
      <c r="C341" s="488" t="s">
        <v>2510</v>
      </c>
      <c r="D341" s="489" t="s">
        <v>2511</v>
      </c>
      <c r="E341" s="487" t="s">
        <v>2512</v>
      </c>
      <c r="F341" s="490">
        <v>93592</v>
      </c>
      <c r="G341" s="489">
        <v>1885.8</v>
      </c>
      <c r="H341" s="489">
        <v>49.629869999999997</v>
      </c>
      <c r="I341" s="487" t="s">
        <v>1499</v>
      </c>
      <c r="J341" s="487" t="s">
        <v>1175</v>
      </c>
    </row>
    <row r="342" spans="1:10" ht="15" x14ac:dyDescent="0.2">
      <c r="A342" s="486" t="s">
        <v>1174</v>
      </c>
      <c r="B342" s="487" t="s">
        <v>1173</v>
      </c>
      <c r="C342" s="488" t="s">
        <v>2513</v>
      </c>
      <c r="D342" s="489" t="s">
        <v>2514</v>
      </c>
      <c r="E342" s="487" t="s">
        <v>2515</v>
      </c>
      <c r="F342" s="490">
        <v>110679.8</v>
      </c>
      <c r="G342" s="489">
        <v>1437.4</v>
      </c>
      <c r="H342" s="489">
        <v>77</v>
      </c>
      <c r="I342" s="487" t="s">
        <v>1499</v>
      </c>
      <c r="J342" s="487" t="s">
        <v>1175</v>
      </c>
    </row>
    <row r="343" spans="1:10" ht="15" x14ac:dyDescent="0.2">
      <c r="A343" s="486" t="s">
        <v>1395</v>
      </c>
      <c r="B343" s="487" t="s">
        <v>417</v>
      </c>
      <c r="C343" s="488" t="s">
        <v>2516</v>
      </c>
      <c r="D343" s="489" t="s">
        <v>2517</v>
      </c>
      <c r="E343" s="487" t="s">
        <v>2518</v>
      </c>
      <c r="F343" s="490">
        <v>49567</v>
      </c>
      <c r="G343" s="489">
        <v>764.43</v>
      </c>
      <c r="H343" s="489">
        <v>64.84178</v>
      </c>
      <c r="I343" s="487" t="s">
        <v>1499</v>
      </c>
      <c r="J343" s="487" t="s">
        <v>1396</v>
      </c>
    </row>
    <row r="344" spans="1:10" ht="15" x14ac:dyDescent="0.2">
      <c r="A344" s="486" t="s">
        <v>1395</v>
      </c>
      <c r="B344" s="487" t="s">
        <v>417</v>
      </c>
      <c r="C344" s="488" t="s">
        <v>2519</v>
      </c>
      <c r="D344" s="489" t="s">
        <v>2520</v>
      </c>
      <c r="E344" s="487" t="s">
        <v>2521</v>
      </c>
      <c r="F344" s="490">
        <v>255806</v>
      </c>
      <c r="G344" s="489">
        <v>4544.68</v>
      </c>
      <c r="H344" s="489">
        <v>56.286909999999999</v>
      </c>
      <c r="I344" s="487" t="s">
        <v>1499</v>
      </c>
      <c r="J344" s="487" t="s">
        <v>1396</v>
      </c>
    </row>
    <row r="345" spans="1:10" ht="15" x14ac:dyDescent="0.2">
      <c r="A345" s="486" t="s">
        <v>1395</v>
      </c>
      <c r="B345" s="487" t="s">
        <v>417</v>
      </c>
      <c r="C345" s="488" t="s">
        <v>2522</v>
      </c>
      <c r="D345" s="489" t="s">
        <v>2523</v>
      </c>
      <c r="E345" s="487" t="s">
        <v>2524</v>
      </c>
      <c r="F345" s="490">
        <v>168196</v>
      </c>
      <c r="G345" s="489">
        <v>2961.92</v>
      </c>
      <c r="H345" s="489">
        <v>56.786140000000003</v>
      </c>
      <c r="I345" s="487" t="s">
        <v>1499</v>
      </c>
      <c r="J345" s="487" t="s">
        <v>1396</v>
      </c>
    </row>
    <row r="346" spans="1:10" ht="15" x14ac:dyDescent="0.2">
      <c r="A346" s="486" t="s">
        <v>1395</v>
      </c>
      <c r="B346" s="487" t="s">
        <v>417</v>
      </c>
      <c r="C346" s="488" t="s">
        <v>2525</v>
      </c>
      <c r="D346" s="489" t="s">
        <v>2526</v>
      </c>
      <c r="E346" s="487" t="s">
        <v>2527</v>
      </c>
      <c r="F346" s="490">
        <v>206943</v>
      </c>
      <c r="G346" s="489">
        <v>3020.24</v>
      </c>
      <c r="H346" s="489">
        <v>68.518730000000005</v>
      </c>
      <c r="I346" s="487" t="s">
        <v>1499</v>
      </c>
      <c r="J346" s="487" t="s">
        <v>1396</v>
      </c>
    </row>
    <row r="347" spans="1:10" ht="15" x14ac:dyDescent="0.2">
      <c r="A347" s="486" t="s">
        <v>1395</v>
      </c>
      <c r="B347" s="487" t="s">
        <v>417</v>
      </c>
      <c r="C347" s="488" t="s">
        <v>2528</v>
      </c>
      <c r="D347" s="489" t="s">
        <v>2529</v>
      </c>
      <c r="E347" s="487" t="s">
        <v>2530</v>
      </c>
      <c r="F347" s="490">
        <v>264787</v>
      </c>
      <c r="G347" s="489">
        <v>2271.29</v>
      </c>
      <c r="H347" s="489">
        <v>116.58001</v>
      </c>
      <c r="I347" s="487" t="s">
        <v>1499</v>
      </c>
      <c r="J347" s="487" t="s">
        <v>1396</v>
      </c>
    </row>
    <row r="348" spans="1:10" ht="15" x14ac:dyDescent="0.2">
      <c r="A348" s="486" t="s">
        <v>1395</v>
      </c>
      <c r="B348" s="487" t="s">
        <v>417</v>
      </c>
      <c r="C348" s="488" t="s">
        <v>2531</v>
      </c>
      <c r="D348" s="489" t="s">
        <v>2532</v>
      </c>
      <c r="E348" s="487" t="s">
        <v>2533</v>
      </c>
      <c r="F348" s="490">
        <v>154735</v>
      </c>
      <c r="G348" s="489">
        <v>1866.53</v>
      </c>
      <c r="H348" s="489">
        <v>82.899820000000005</v>
      </c>
      <c r="I348" s="487" t="s">
        <v>1499</v>
      </c>
      <c r="J348" s="487" t="s">
        <v>1396</v>
      </c>
    </row>
    <row r="349" spans="1:10" ht="15" x14ac:dyDescent="0.2">
      <c r="A349" s="486" t="s">
        <v>1395</v>
      </c>
      <c r="B349" s="487" t="s">
        <v>417</v>
      </c>
      <c r="C349" s="488" t="s">
        <v>2534</v>
      </c>
      <c r="D349" s="489" t="s">
        <v>2535</v>
      </c>
      <c r="E349" s="487" t="s">
        <v>1720</v>
      </c>
      <c r="F349" s="490">
        <v>49805</v>
      </c>
      <c r="G349" s="489">
        <v>467.96</v>
      </c>
      <c r="H349" s="489">
        <v>106.43004000000001</v>
      </c>
      <c r="I349" s="487" t="s">
        <v>1499</v>
      </c>
      <c r="J349" s="487" t="s">
        <v>1396</v>
      </c>
    </row>
    <row r="350" spans="1:10" ht="15" x14ac:dyDescent="0.2">
      <c r="A350" s="486" t="s">
        <v>1395</v>
      </c>
      <c r="B350" s="487" t="s">
        <v>417</v>
      </c>
      <c r="C350" s="488" t="s">
        <v>2536</v>
      </c>
      <c r="D350" s="489" t="s">
        <v>2537</v>
      </c>
      <c r="E350" s="487" t="s">
        <v>2538</v>
      </c>
      <c r="F350" s="490">
        <v>38500</v>
      </c>
      <c r="G350" s="489">
        <v>1028.2</v>
      </c>
      <c r="H350" s="489">
        <v>37.44408</v>
      </c>
      <c r="I350" s="487" t="s">
        <v>1499</v>
      </c>
      <c r="J350" s="487" t="s">
        <v>1396</v>
      </c>
    </row>
    <row r="351" spans="1:10" ht="15" x14ac:dyDescent="0.2">
      <c r="A351" s="486" t="s">
        <v>1395</v>
      </c>
      <c r="B351" s="487" t="s">
        <v>417</v>
      </c>
      <c r="C351" s="488" t="s">
        <v>2539</v>
      </c>
      <c r="D351" s="489" t="s">
        <v>2540</v>
      </c>
      <c r="E351" s="487" t="s">
        <v>2541</v>
      </c>
      <c r="F351" s="490">
        <v>176805</v>
      </c>
      <c r="G351" s="489">
        <v>2404.5300000000002</v>
      </c>
      <c r="H351" s="489">
        <v>73.529960000000003</v>
      </c>
      <c r="I351" s="487" t="s">
        <v>1499</v>
      </c>
      <c r="J351" s="487" t="s">
        <v>1396</v>
      </c>
    </row>
    <row r="352" spans="1:10" ht="15" x14ac:dyDescent="0.2">
      <c r="A352" s="486" t="s">
        <v>1395</v>
      </c>
      <c r="B352" s="487" t="s">
        <v>417</v>
      </c>
      <c r="C352" s="488" t="s">
        <v>2542</v>
      </c>
      <c r="D352" s="489" t="s">
        <v>2543</v>
      </c>
      <c r="E352" s="487" t="s">
        <v>2544</v>
      </c>
      <c r="F352" s="490">
        <v>0</v>
      </c>
      <c r="G352" s="489">
        <v>85.73</v>
      </c>
      <c r="H352" s="489">
        <v>0</v>
      </c>
      <c r="I352" s="487" t="s">
        <v>1593</v>
      </c>
      <c r="J352" s="487" t="s">
        <v>1396</v>
      </c>
    </row>
    <row r="353" spans="1:10" ht="15" x14ac:dyDescent="0.2">
      <c r="A353" s="486" t="s">
        <v>1395</v>
      </c>
      <c r="B353" s="487" t="s">
        <v>417</v>
      </c>
      <c r="C353" s="488" t="s">
        <v>2545</v>
      </c>
      <c r="D353" s="489" t="s">
        <v>2546</v>
      </c>
      <c r="E353" s="487" t="s">
        <v>2547</v>
      </c>
      <c r="F353" s="490">
        <v>260811</v>
      </c>
      <c r="G353" s="489">
        <v>3744.79</v>
      </c>
      <c r="H353" s="489">
        <v>69.646360000000001</v>
      </c>
      <c r="I353" s="487" t="s">
        <v>1499</v>
      </c>
      <c r="J353" s="487" t="s">
        <v>1396</v>
      </c>
    </row>
    <row r="354" spans="1:10" ht="15" x14ac:dyDescent="0.2">
      <c r="A354" s="486" t="s">
        <v>1395</v>
      </c>
      <c r="B354" s="487" t="s">
        <v>417</v>
      </c>
      <c r="C354" s="488" t="s">
        <v>2548</v>
      </c>
      <c r="D354" s="489" t="s">
        <v>2549</v>
      </c>
      <c r="E354" s="487" t="s">
        <v>2550</v>
      </c>
      <c r="F354" s="490">
        <v>404376.86</v>
      </c>
      <c r="G354" s="489">
        <v>6926.73</v>
      </c>
      <c r="H354" s="489">
        <v>58.379190000000001</v>
      </c>
      <c r="I354" s="487" t="s">
        <v>1499</v>
      </c>
      <c r="J354" s="487" t="s">
        <v>1396</v>
      </c>
    </row>
    <row r="355" spans="1:10" ht="15" x14ac:dyDescent="0.2">
      <c r="A355" s="486" t="s">
        <v>1395</v>
      </c>
      <c r="B355" s="487" t="s">
        <v>417</v>
      </c>
      <c r="C355" s="488" t="s">
        <v>2551</v>
      </c>
      <c r="D355" s="489" t="s">
        <v>2552</v>
      </c>
      <c r="E355" s="487" t="s">
        <v>2553</v>
      </c>
      <c r="F355" s="490">
        <v>33000</v>
      </c>
      <c r="G355" s="489">
        <v>693.3</v>
      </c>
      <c r="H355" s="489">
        <v>47.598439999999997</v>
      </c>
      <c r="I355" s="487" t="s">
        <v>1499</v>
      </c>
      <c r="J355" s="487" t="s">
        <v>1396</v>
      </c>
    </row>
    <row r="356" spans="1:10" ht="15" x14ac:dyDescent="0.2">
      <c r="A356" s="486" t="s">
        <v>1395</v>
      </c>
      <c r="B356" s="487" t="s">
        <v>417</v>
      </c>
      <c r="C356" s="488" t="s">
        <v>2554</v>
      </c>
      <c r="D356" s="489" t="s">
        <v>2555</v>
      </c>
      <c r="E356" s="487" t="s">
        <v>2556</v>
      </c>
      <c r="F356" s="490">
        <v>181692</v>
      </c>
      <c r="G356" s="489">
        <v>1315.16</v>
      </c>
      <c r="H356" s="489">
        <v>138.15200999999999</v>
      </c>
      <c r="I356" s="487" t="s">
        <v>1499</v>
      </c>
      <c r="J356" s="487" t="s">
        <v>1396</v>
      </c>
    </row>
    <row r="357" spans="1:10" ht="15" x14ac:dyDescent="0.2">
      <c r="A357" s="486" t="s">
        <v>1395</v>
      </c>
      <c r="B357" s="487" t="s">
        <v>417</v>
      </c>
      <c r="C357" s="488" t="s">
        <v>2557</v>
      </c>
      <c r="D357" s="489" t="s">
        <v>2558</v>
      </c>
      <c r="E357" s="487" t="s">
        <v>2559</v>
      </c>
      <c r="F357" s="490">
        <v>146496</v>
      </c>
      <c r="G357" s="489">
        <v>2137.48</v>
      </c>
      <c r="H357" s="489">
        <v>68.536779999999993</v>
      </c>
      <c r="I357" s="487" t="s">
        <v>1499</v>
      </c>
      <c r="J357" s="487" t="s">
        <v>1396</v>
      </c>
    </row>
    <row r="358" spans="1:10" ht="15" x14ac:dyDescent="0.2">
      <c r="A358" s="486" t="s">
        <v>1404</v>
      </c>
      <c r="B358" s="487" t="s">
        <v>1403</v>
      </c>
      <c r="C358" s="488" t="s">
        <v>2560</v>
      </c>
      <c r="D358" s="489" t="s">
        <v>2561</v>
      </c>
      <c r="E358" s="487" t="s">
        <v>2562</v>
      </c>
      <c r="F358" s="490">
        <v>115948</v>
      </c>
      <c r="G358" s="489">
        <v>1303.7</v>
      </c>
      <c r="H358" s="489">
        <v>88.937640000000002</v>
      </c>
      <c r="I358" s="487" t="s">
        <v>1499</v>
      </c>
      <c r="J358" s="487" t="s">
        <v>1405</v>
      </c>
    </row>
    <row r="359" spans="1:10" ht="15" x14ac:dyDescent="0.2">
      <c r="A359" s="486" t="s">
        <v>1404</v>
      </c>
      <c r="B359" s="487" t="s">
        <v>1403</v>
      </c>
      <c r="C359" s="488" t="s">
        <v>2563</v>
      </c>
      <c r="D359" s="489" t="s">
        <v>2564</v>
      </c>
      <c r="E359" s="487" t="s">
        <v>2565</v>
      </c>
      <c r="F359" s="490">
        <v>69734</v>
      </c>
      <c r="G359" s="489">
        <v>2653.7</v>
      </c>
      <c r="H359" s="489">
        <v>26.278030000000001</v>
      </c>
      <c r="I359" s="487" t="s">
        <v>1499</v>
      </c>
      <c r="J359" s="487" t="s">
        <v>1405</v>
      </c>
    </row>
    <row r="360" spans="1:10" ht="15" x14ac:dyDescent="0.2">
      <c r="A360" s="486" t="s">
        <v>1404</v>
      </c>
      <c r="B360" s="487" t="s">
        <v>1403</v>
      </c>
      <c r="C360" s="488" t="s">
        <v>2566</v>
      </c>
      <c r="D360" s="489" t="s">
        <v>2567</v>
      </c>
      <c r="E360" s="487" t="s">
        <v>2568</v>
      </c>
      <c r="F360" s="490">
        <v>130445</v>
      </c>
      <c r="G360" s="489">
        <v>1476.3</v>
      </c>
      <c r="H360" s="489">
        <v>88.359409999999997</v>
      </c>
      <c r="I360" s="487" t="s">
        <v>1499</v>
      </c>
      <c r="J360" s="487" t="s">
        <v>1405</v>
      </c>
    </row>
    <row r="361" spans="1:10" ht="15" x14ac:dyDescent="0.2">
      <c r="A361" s="486" t="s">
        <v>1404</v>
      </c>
      <c r="B361" s="487" t="s">
        <v>1403</v>
      </c>
      <c r="C361" s="488" t="s">
        <v>2569</v>
      </c>
      <c r="D361" s="489" t="s">
        <v>2570</v>
      </c>
      <c r="E361" s="487" t="s">
        <v>2571</v>
      </c>
      <c r="F361" s="490">
        <v>1058105</v>
      </c>
      <c r="G361" s="489">
        <v>12016.1</v>
      </c>
      <c r="H361" s="489">
        <v>88.057270000000003</v>
      </c>
      <c r="I361" s="487" t="s">
        <v>1499</v>
      </c>
      <c r="J361" s="487" t="s">
        <v>1405</v>
      </c>
    </row>
    <row r="362" spans="1:10" ht="15" x14ac:dyDescent="0.2">
      <c r="A362" s="486" t="s">
        <v>1404</v>
      </c>
      <c r="B362" s="487" t="s">
        <v>1403</v>
      </c>
      <c r="C362" s="488" t="s">
        <v>2572</v>
      </c>
      <c r="D362" s="489" t="s">
        <v>2573</v>
      </c>
      <c r="E362" s="487" t="s">
        <v>2574</v>
      </c>
      <c r="F362" s="490">
        <v>221188</v>
      </c>
      <c r="G362" s="489">
        <v>7075.5</v>
      </c>
      <c r="H362" s="489">
        <v>31.261109999999999</v>
      </c>
      <c r="I362" s="487" t="s">
        <v>1499</v>
      </c>
      <c r="J362" s="487" t="s">
        <v>1405</v>
      </c>
    </row>
    <row r="363" spans="1:10" ht="15" x14ac:dyDescent="0.2">
      <c r="A363" s="486" t="s">
        <v>1404</v>
      </c>
      <c r="B363" s="487" t="s">
        <v>1403</v>
      </c>
      <c r="C363" s="488" t="s">
        <v>2575</v>
      </c>
      <c r="D363" s="489" t="s">
        <v>2576</v>
      </c>
      <c r="E363" s="487" t="s">
        <v>2577</v>
      </c>
      <c r="F363" s="490">
        <v>30018</v>
      </c>
      <c r="G363" s="489">
        <v>335.5</v>
      </c>
      <c r="H363" s="489">
        <v>89.472430000000003</v>
      </c>
      <c r="I363" s="487" t="s">
        <v>1499</v>
      </c>
      <c r="J363" s="487" t="s">
        <v>1405</v>
      </c>
    </row>
    <row r="364" spans="1:10" ht="15" x14ac:dyDescent="0.2">
      <c r="A364" s="486" t="s">
        <v>1404</v>
      </c>
      <c r="B364" s="487" t="s">
        <v>1403</v>
      </c>
      <c r="C364" s="488" t="s">
        <v>2578</v>
      </c>
      <c r="D364" s="489" t="s">
        <v>2579</v>
      </c>
      <c r="E364" s="487" t="s">
        <v>2580</v>
      </c>
      <c r="F364" s="490">
        <v>28000</v>
      </c>
      <c r="G364" s="489">
        <v>580.4</v>
      </c>
      <c r="H364" s="489">
        <v>48.24259</v>
      </c>
      <c r="I364" s="487" t="s">
        <v>1499</v>
      </c>
      <c r="J364" s="487" t="s">
        <v>1405</v>
      </c>
    </row>
    <row r="365" spans="1:10" ht="15" x14ac:dyDescent="0.2">
      <c r="A365" s="486" t="s">
        <v>1404</v>
      </c>
      <c r="B365" s="487" t="s">
        <v>1403</v>
      </c>
      <c r="C365" s="488" t="s">
        <v>2581</v>
      </c>
      <c r="D365" s="489" t="s">
        <v>2582</v>
      </c>
      <c r="E365" s="487" t="s">
        <v>2583</v>
      </c>
      <c r="F365" s="490">
        <v>667229</v>
      </c>
      <c r="G365" s="489">
        <v>7872.1</v>
      </c>
      <c r="H365" s="489">
        <v>84.758700000000005</v>
      </c>
      <c r="I365" s="487" t="s">
        <v>1499</v>
      </c>
      <c r="J365" s="487" t="s">
        <v>1405</v>
      </c>
    </row>
    <row r="366" spans="1:10" ht="15" x14ac:dyDescent="0.2">
      <c r="A366" s="486" t="s">
        <v>1404</v>
      </c>
      <c r="B366" s="487" t="s">
        <v>1403</v>
      </c>
      <c r="C366" s="488" t="s">
        <v>2584</v>
      </c>
      <c r="D366" s="489" t="s">
        <v>2585</v>
      </c>
      <c r="E366" s="487" t="s">
        <v>2586</v>
      </c>
      <c r="F366" s="490">
        <v>45204</v>
      </c>
      <c r="G366" s="489">
        <v>832.2</v>
      </c>
      <c r="H366" s="489">
        <v>54.318669999999997</v>
      </c>
      <c r="I366" s="487" t="s">
        <v>1499</v>
      </c>
      <c r="J366" s="487" t="s">
        <v>1405</v>
      </c>
    </row>
    <row r="367" spans="1:10" ht="15" x14ac:dyDescent="0.2">
      <c r="A367" s="486" t="s">
        <v>1404</v>
      </c>
      <c r="B367" s="487" t="s">
        <v>1403</v>
      </c>
      <c r="C367" s="488" t="s">
        <v>2587</v>
      </c>
      <c r="D367" s="489" t="s">
        <v>2588</v>
      </c>
      <c r="E367" s="487" t="s">
        <v>2589</v>
      </c>
      <c r="F367" s="490">
        <v>59580</v>
      </c>
      <c r="G367" s="489">
        <v>1136.8</v>
      </c>
      <c r="H367" s="489">
        <v>52.410269999999997</v>
      </c>
      <c r="I367" s="487" t="s">
        <v>1499</v>
      </c>
      <c r="J367" s="487" t="s">
        <v>1405</v>
      </c>
    </row>
    <row r="368" spans="1:10" ht="15" x14ac:dyDescent="0.2">
      <c r="A368" s="486" t="s">
        <v>1404</v>
      </c>
      <c r="B368" s="487" t="s">
        <v>1403</v>
      </c>
      <c r="C368" s="488" t="s">
        <v>2590</v>
      </c>
      <c r="D368" s="489" t="s">
        <v>2591</v>
      </c>
      <c r="E368" s="487" t="s">
        <v>2592</v>
      </c>
      <c r="F368" s="490">
        <v>37463</v>
      </c>
      <c r="G368" s="489">
        <v>1108.0999999999999</v>
      </c>
      <c r="H368" s="489">
        <v>33.808320000000002</v>
      </c>
      <c r="I368" s="487" t="s">
        <v>1499</v>
      </c>
      <c r="J368" s="487" t="s">
        <v>1405</v>
      </c>
    </row>
    <row r="369" spans="1:10" ht="15" x14ac:dyDescent="0.2">
      <c r="A369" s="486" t="s">
        <v>1404</v>
      </c>
      <c r="B369" s="487" t="s">
        <v>1403</v>
      </c>
      <c r="C369" s="488" t="s">
        <v>2593</v>
      </c>
      <c r="D369" s="489" t="s">
        <v>2594</v>
      </c>
      <c r="E369" s="487" t="s">
        <v>2595</v>
      </c>
      <c r="F369" s="490">
        <v>231646</v>
      </c>
      <c r="G369" s="489">
        <v>3041.4</v>
      </c>
      <c r="H369" s="489">
        <v>76.164270000000002</v>
      </c>
      <c r="I369" s="487" t="s">
        <v>1499</v>
      </c>
      <c r="J369" s="487" t="s">
        <v>1405</v>
      </c>
    </row>
    <row r="370" spans="1:10" ht="15" x14ac:dyDescent="0.2">
      <c r="A370" s="486" t="s">
        <v>1404</v>
      </c>
      <c r="B370" s="487" t="s">
        <v>1403</v>
      </c>
      <c r="C370" s="488" t="s">
        <v>2596</v>
      </c>
      <c r="D370" s="489" t="s">
        <v>2597</v>
      </c>
      <c r="E370" s="487" t="s">
        <v>2598</v>
      </c>
      <c r="F370" s="490">
        <v>236439</v>
      </c>
      <c r="G370" s="489">
        <v>2169</v>
      </c>
      <c r="H370" s="489">
        <v>109.00830000000001</v>
      </c>
      <c r="I370" s="487" t="s">
        <v>1499</v>
      </c>
      <c r="J370" s="487" t="s">
        <v>1405</v>
      </c>
    </row>
    <row r="371" spans="1:10" ht="15" x14ac:dyDescent="0.2">
      <c r="A371" s="486" t="s">
        <v>1404</v>
      </c>
      <c r="B371" s="487" t="s">
        <v>1403</v>
      </c>
      <c r="C371" s="488" t="s">
        <v>2599</v>
      </c>
      <c r="D371" s="489" t="s">
        <v>2600</v>
      </c>
      <c r="E371" s="487" t="s">
        <v>2601</v>
      </c>
      <c r="F371" s="490">
        <v>203353</v>
      </c>
      <c r="G371" s="489">
        <v>4422.5</v>
      </c>
      <c r="H371" s="489">
        <v>45.981459999999998</v>
      </c>
      <c r="I371" s="487" t="s">
        <v>1499</v>
      </c>
      <c r="J371" s="487" t="s">
        <v>1405</v>
      </c>
    </row>
    <row r="372" spans="1:10" ht="15" x14ac:dyDescent="0.2">
      <c r="A372" s="486" t="s">
        <v>1404</v>
      </c>
      <c r="B372" s="487" t="s">
        <v>1403</v>
      </c>
      <c r="C372" s="488" t="s">
        <v>2602</v>
      </c>
      <c r="D372" s="489" t="s">
        <v>2603</v>
      </c>
      <c r="E372" s="487" t="s">
        <v>1403</v>
      </c>
      <c r="F372" s="490">
        <v>1307942</v>
      </c>
      <c r="G372" s="489">
        <v>17474</v>
      </c>
      <c r="H372" s="489">
        <v>74.850750000000005</v>
      </c>
      <c r="I372" s="487" t="s">
        <v>1499</v>
      </c>
      <c r="J372" s="487" t="s">
        <v>1405</v>
      </c>
    </row>
    <row r="373" spans="1:10" ht="15" x14ac:dyDescent="0.2">
      <c r="A373" s="486" t="s">
        <v>1404</v>
      </c>
      <c r="B373" s="487" t="s">
        <v>1403</v>
      </c>
      <c r="C373" s="488" t="s">
        <v>2604</v>
      </c>
      <c r="D373" s="489" t="s">
        <v>2605</v>
      </c>
      <c r="E373" s="487" t="s">
        <v>2606</v>
      </c>
      <c r="F373" s="490">
        <v>262682</v>
      </c>
      <c r="G373" s="489">
        <v>3356.1</v>
      </c>
      <c r="H373" s="489">
        <v>78.270020000000002</v>
      </c>
      <c r="I373" s="487" t="s">
        <v>1499</v>
      </c>
      <c r="J373" s="487" t="s">
        <v>1405</v>
      </c>
    </row>
    <row r="374" spans="1:10" ht="15" x14ac:dyDescent="0.2">
      <c r="A374" s="486" t="s">
        <v>1404</v>
      </c>
      <c r="B374" s="487" t="s">
        <v>1403</v>
      </c>
      <c r="C374" s="488" t="s">
        <v>2607</v>
      </c>
      <c r="D374" s="489" t="s">
        <v>2608</v>
      </c>
      <c r="E374" s="487" t="s">
        <v>2609</v>
      </c>
      <c r="F374" s="490">
        <v>1165759</v>
      </c>
      <c r="G374" s="489">
        <v>10926.6</v>
      </c>
      <c r="H374" s="489">
        <v>106.69</v>
      </c>
      <c r="I374" s="487" t="s">
        <v>1499</v>
      </c>
      <c r="J374" s="487" t="s">
        <v>1405</v>
      </c>
    </row>
    <row r="375" spans="1:10" ht="15" x14ac:dyDescent="0.2">
      <c r="A375" s="486" t="s">
        <v>998</v>
      </c>
      <c r="B375" s="487" t="s">
        <v>997</v>
      </c>
      <c r="C375" s="488" t="s">
        <v>2610</v>
      </c>
      <c r="D375" s="489" t="s">
        <v>2611</v>
      </c>
      <c r="E375" s="487" t="s">
        <v>2612</v>
      </c>
      <c r="F375" s="490">
        <v>100310</v>
      </c>
      <c r="G375" s="489">
        <v>1460.14</v>
      </c>
      <c r="H375" s="489">
        <v>68.698890000000006</v>
      </c>
      <c r="I375" s="487" t="s">
        <v>1499</v>
      </c>
      <c r="J375" s="487" t="s">
        <v>999</v>
      </c>
    </row>
    <row r="376" spans="1:10" ht="15" x14ac:dyDescent="0.2">
      <c r="A376" s="486" t="s">
        <v>998</v>
      </c>
      <c r="B376" s="487" t="s">
        <v>997</v>
      </c>
      <c r="C376" s="488" t="s">
        <v>2613</v>
      </c>
      <c r="D376" s="489" t="s">
        <v>2614</v>
      </c>
      <c r="E376" s="487" t="s">
        <v>2615</v>
      </c>
      <c r="F376" s="490">
        <v>9521.9500000000007</v>
      </c>
      <c r="G376" s="489">
        <v>144.01</v>
      </c>
      <c r="H376" s="489">
        <v>66.120059999999995</v>
      </c>
      <c r="I376" s="487" t="s">
        <v>1499</v>
      </c>
      <c r="J376" s="487" t="s">
        <v>999</v>
      </c>
    </row>
    <row r="377" spans="1:10" ht="15" x14ac:dyDescent="0.2">
      <c r="A377" s="486" t="s">
        <v>998</v>
      </c>
      <c r="B377" s="487" t="s">
        <v>997</v>
      </c>
      <c r="C377" s="488" t="s">
        <v>2616</v>
      </c>
      <c r="D377" s="489" t="s">
        <v>2617</v>
      </c>
      <c r="E377" s="487" t="s">
        <v>2618</v>
      </c>
      <c r="F377" s="490">
        <v>1326613.57</v>
      </c>
      <c r="G377" s="489">
        <v>6402.22</v>
      </c>
      <c r="H377" s="489">
        <v>207.21149</v>
      </c>
      <c r="I377" s="487" t="s">
        <v>1499</v>
      </c>
      <c r="J377" s="487" t="s">
        <v>999</v>
      </c>
    </row>
    <row r="378" spans="1:10" ht="15" x14ac:dyDescent="0.2">
      <c r="A378" s="486" t="s">
        <v>998</v>
      </c>
      <c r="B378" s="487" t="s">
        <v>997</v>
      </c>
      <c r="C378" s="488" t="s">
        <v>2619</v>
      </c>
      <c r="D378" s="489" t="s">
        <v>2620</v>
      </c>
      <c r="E378" s="487" t="s">
        <v>2621</v>
      </c>
      <c r="F378" s="490">
        <v>57377.94</v>
      </c>
      <c r="G378" s="489">
        <v>325.81</v>
      </c>
      <c r="H378" s="489">
        <v>176.10858999999999</v>
      </c>
      <c r="I378" s="487" t="s">
        <v>1499</v>
      </c>
      <c r="J378" s="487" t="s">
        <v>999</v>
      </c>
    </row>
    <row r="379" spans="1:10" ht="15" x14ac:dyDescent="0.2">
      <c r="A379" s="486" t="s">
        <v>998</v>
      </c>
      <c r="B379" s="487" t="s">
        <v>997</v>
      </c>
      <c r="C379" s="488" t="s">
        <v>2622</v>
      </c>
      <c r="D379" s="489" t="s">
        <v>2623</v>
      </c>
      <c r="E379" s="487" t="s">
        <v>2624</v>
      </c>
      <c r="F379" s="490">
        <v>219415.22</v>
      </c>
      <c r="G379" s="489">
        <v>2837.42</v>
      </c>
      <c r="H379" s="489">
        <v>77.329130000000006</v>
      </c>
      <c r="I379" s="487" t="s">
        <v>1499</v>
      </c>
      <c r="J379" s="487" t="s">
        <v>999</v>
      </c>
    </row>
    <row r="380" spans="1:10" ht="15" x14ac:dyDescent="0.2">
      <c r="A380" s="486" t="s">
        <v>998</v>
      </c>
      <c r="B380" s="487" t="s">
        <v>997</v>
      </c>
      <c r="C380" s="488" t="s">
        <v>2625</v>
      </c>
      <c r="D380" s="489" t="s">
        <v>2626</v>
      </c>
      <c r="E380" s="487" t="s">
        <v>2627</v>
      </c>
      <c r="F380" s="490">
        <v>424390</v>
      </c>
      <c r="G380" s="489">
        <v>6847.7</v>
      </c>
      <c r="H380" s="489">
        <v>61.975549999999998</v>
      </c>
      <c r="I380" s="487" t="s">
        <v>1499</v>
      </c>
      <c r="J380" s="487" t="s">
        <v>999</v>
      </c>
    </row>
    <row r="381" spans="1:10" ht="15" x14ac:dyDescent="0.2">
      <c r="A381" s="486" t="s">
        <v>998</v>
      </c>
      <c r="B381" s="487" t="s">
        <v>997</v>
      </c>
      <c r="C381" s="488" t="s">
        <v>2628</v>
      </c>
      <c r="D381" s="489" t="s">
        <v>2629</v>
      </c>
      <c r="E381" s="487" t="s">
        <v>2630</v>
      </c>
      <c r="F381" s="490">
        <v>0</v>
      </c>
      <c r="G381" s="489">
        <v>96.61</v>
      </c>
      <c r="H381" s="489">
        <v>0</v>
      </c>
      <c r="I381" s="487" t="s">
        <v>1593</v>
      </c>
      <c r="J381" s="487" t="s">
        <v>999</v>
      </c>
    </row>
    <row r="382" spans="1:10" ht="15" x14ac:dyDescent="0.2">
      <c r="A382" s="486" t="s">
        <v>998</v>
      </c>
      <c r="B382" s="487" t="s">
        <v>997</v>
      </c>
      <c r="C382" s="488" t="s">
        <v>2631</v>
      </c>
      <c r="D382" s="489" t="s">
        <v>2632</v>
      </c>
      <c r="E382" s="487" t="s">
        <v>2633</v>
      </c>
      <c r="F382" s="490">
        <v>939755</v>
      </c>
      <c r="G382" s="489">
        <v>4106.28</v>
      </c>
      <c r="H382" s="489">
        <v>228.85799</v>
      </c>
      <c r="I382" s="487" t="s">
        <v>1499</v>
      </c>
      <c r="J382" s="487" t="s">
        <v>999</v>
      </c>
    </row>
    <row r="383" spans="1:10" ht="15" x14ac:dyDescent="0.2">
      <c r="A383" s="486" t="s">
        <v>998</v>
      </c>
      <c r="B383" s="487" t="s">
        <v>997</v>
      </c>
      <c r="C383" s="488" t="s">
        <v>2634</v>
      </c>
      <c r="D383" s="489" t="s">
        <v>2635</v>
      </c>
      <c r="E383" s="487" t="s">
        <v>2636</v>
      </c>
      <c r="F383" s="490">
        <v>42677</v>
      </c>
      <c r="G383" s="489">
        <v>467.8</v>
      </c>
      <c r="H383" s="489">
        <v>91.229159999999993</v>
      </c>
      <c r="I383" s="487" t="s">
        <v>1499</v>
      </c>
      <c r="J383" s="487" t="s">
        <v>999</v>
      </c>
    </row>
    <row r="384" spans="1:10" ht="15" x14ac:dyDescent="0.2">
      <c r="A384" s="486" t="s">
        <v>998</v>
      </c>
      <c r="B384" s="487" t="s">
        <v>997</v>
      </c>
      <c r="C384" s="488" t="s">
        <v>2637</v>
      </c>
      <c r="D384" s="489" t="s">
        <v>2638</v>
      </c>
      <c r="E384" s="487" t="s">
        <v>2639</v>
      </c>
      <c r="F384" s="490">
        <v>130007</v>
      </c>
      <c r="G384" s="489">
        <v>3722.92</v>
      </c>
      <c r="H384" s="489">
        <v>34.92071</v>
      </c>
      <c r="I384" s="487" t="s">
        <v>1499</v>
      </c>
      <c r="J384" s="487" t="s">
        <v>999</v>
      </c>
    </row>
    <row r="385" spans="1:10" ht="15" x14ac:dyDescent="0.2">
      <c r="A385" s="486" t="s">
        <v>998</v>
      </c>
      <c r="B385" s="487" t="s">
        <v>997</v>
      </c>
      <c r="C385" s="488" t="s">
        <v>2640</v>
      </c>
      <c r="D385" s="489" t="s">
        <v>2641</v>
      </c>
      <c r="E385" s="487" t="s">
        <v>2642</v>
      </c>
      <c r="F385" s="490">
        <v>1220</v>
      </c>
      <c r="G385" s="489">
        <v>40.68</v>
      </c>
      <c r="H385" s="489">
        <v>29.990169999999999</v>
      </c>
      <c r="I385" s="487" t="s">
        <v>1499</v>
      </c>
      <c r="J385" s="487" t="s">
        <v>999</v>
      </c>
    </row>
    <row r="386" spans="1:10" ht="15" x14ac:dyDescent="0.2">
      <c r="A386" s="486" t="s">
        <v>998</v>
      </c>
      <c r="B386" s="487" t="s">
        <v>997</v>
      </c>
      <c r="C386" s="488" t="s">
        <v>2643</v>
      </c>
      <c r="D386" s="489" t="s">
        <v>2644</v>
      </c>
      <c r="E386" s="487" t="s">
        <v>2645</v>
      </c>
      <c r="F386" s="490">
        <v>8101.44</v>
      </c>
      <c r="G386" s="489">
        <v>199.66</v>
      </c>
      <c r="H386" s="489">
        <v>40.576180000000001</v>
      </c>
      <c r="I386" s="487" t="s">
        <v>1499</v>
      </c>
      <c r="J386" s="487" t="s">
        <v>999</v>
      </c>
    </row>
    <row r="387" spans="1:10" ht="15" x14ac:dyDescent="0.2">
      <c r="A387" s="486" t="s">
        <v>998</v>
      </c>
      <c r="B387" s="487" t="s">
        <v>997</v>
      </c>
      <c r="C387" s="488" t="s">
        <v>2646</v>
      </c>
      <c r="D387" s="489" t="s">
        <v>2647</v>
      </c>
      <c r="E387" s="487" t="s">
        <v>2648</v>
      </c>
      <c r="F387" s="490">
        <v>0</v>
      </c>
      <c r="G387" s="489">
        <v>42.05</v>
      </c>
      <c r="H387" s="489">
        <v>0</v>
      </c>
      <c r="I387" s="487" t="s">
        <v>1593</v>
      </c>
      <c r="J387" s="487" t="s">
        <v>999</v>
      </c>
    </row>
    <row r="388" spans="1:10" ht="15" x14ac:dyDescent="0.2">
      <c r="A388" s="486" t="s">
        <v>998</v>
      </c>
      <c r="B388" s="487" t="s">
        <v>997</v>
      </c>
      <c r="C388" s="488" t="s">
        <v>2649</v>
      </c>
      <c r="D388" s="489" t="s">
        <v>2650</v>
      </c>
      <c r="E388" s="487" t="s">
        <v>2651</v>
      </c>
      <c r="F388" s="490">
        <v>20000</v>
      </c>
      <c r="G388" s="489">
        <v>294.52999999999997</v>
      </c>
      <c r="H388" s="489">
        <v>67.904799999999994</v>
      </c>
      <c r="I388" s="487" t="s">
        <v>1499</v>
      </c>
      <c r="J388" s="487" t="s">
        <v>999</v>
      </c>
    </row>
    <row r="389" spans="1:10" ht="15" x14ac:dyDescent="0.2">
      <c r="A389" s="486" t="s">
        <v>998</v>
      </c>
      <c r="B389" s="487" t="s">
        <v>997</v>
      </c>
      <c r="C389" s="488" t="s">
        <v>2652</v>
      </c>
      <c r="D389" s="489" t="s">
        <v>2653</v>
      </c>
      <c r="E389" s="487" t="s">
        <v>2654</v>
      </c>
      <c r="F389" s="490">
        <v>128094</v>
      </c>
      <c r="G389" s="489">
        <v>1286.55</v>
      </c>
      <c r="H389" s="489">
        <v>99.563950000000006</v>
      </c>
      <c r="I389" s="487" t="s">
        <v>1499</v>
      </c>
      <c r="J389" s="487" t="s">
        <v>999</v>
      </c>
    </row>
    <row r="390" spans="1:10" ht="15" x14ac:dyDescent="0.2">
      <c r="A390" s="486" t="s">
        <v>998</v>
      </c>
      <c r="B390" s="487" t="s">
        <v>997</v>
      </c>
      <c r="C390" s="488" t="s">
        <v>2655</v>
      </c>
      <c r="D390" s="489" t="s">
        <v>2656</v>
      </c>
      <c r="E390" s="487" t="s">
        <v>2657</v>
      </c>
      <c r="F390" s="490">
        <v>2000</v>
      </c>
      <c r="G390" s="489">
        <v>80.63</v>
      </c>
      <c r="H390" s="489">
        <v>24.804659999999998</v>
      </c>
      <c r="I390" s="487" t="s">
        <v>1499</v>
      </c>
      <c r="J390" s="487" t="s">
        <v>999</v>
      </c>
    </row>
    <row r="391" spans="1:10" ht="15" x14ac:dyDescent="0.2">
      <c r="A391" s="486" t="s">
        <v>998</v>
      </c>
      <c r="B391" s="487" t="s">
        <v>997</v>
      </c>
      <c r="C391" s="488" t="s">
        <v>2658</v>
      </c>
      <c r="D391" s="489" t="s">
        <v>2659</v>
      </c>
      <c r="E391" s="487" t="s">
        <v>2660</v>
      </c>
      <c r="F391" s="490">
        <v>768961</v>
      </c>
      <c r="G391" s="489">
        <v>6376.01</v>
      </c>
      <c r="H391" s="489">
        <v>120.60223000000001</v>
      </c>
      <c r="I391" s="487" t="s">
        <v>1499</v>
      </c>
      <c r="J391" s="487" t="s">
        <v>999</v>
      </c>
    </row>
    <row r="392" spans="1:10" ht="15" x14ac:dyDescent="0.2">
      <c r="A392" s="486" t="s">
        <v>998</v>
      </c>
      <c r="B392" s="487" t="s">
        <v>997</v>
      </c>
      <c r="C392" s="488" t="s">
        <v>2661</v>
      </c>
      <c r="D392" s="489" t="s">
        <v>2662</v>
      </c>
      <c r="E392" s="487" t="s">
        <v>2663</v>
      </c>
      <c r="F392" s="490">
        <v>128194</v>
      </c>
      <c r="G392" s="489">
        <v>1345.07</v>
      </c>
      <c r="H392" s="489">
        <v>95.306560000000005</v>
      </c>
      <c r="I392" s="487" t="s">
        <v>1499</v>
      </c>
      <c r="J392" s="487" t="s">
        <v>999</v>
      </c>
    </row>
    <row r="393" spans="1:10" ht="15" x14ac:dyDescent="0.2">
      <c r="A393" s="486" t="s">
        <v>998</v>
      </c>
      <c r="B393" s="487" t="s">
        <v>997</v>
      </c>
      <c r="C393" s="488" t="s">
        <v>2664</v>
      </c>
      <c r="D393" s="489" t="s">
        <v>2665</v>
      </c>
      <c r="E393" s="487" t="s">
        <v>2666</v>
      </c>
      <c r="F393" s="490">
        <v>31592.5</v>
      </c>
      <c r="G393" s="489">
        <v>330.42</v>
      </c>
      <c r="H393" s="489">
        <v>95.613159999999993</v>
      </c>
      <c r="I393" s="487" t="s">
        <v>1499</v>
      </c>
      <c r="J393" s="487" t="s">
        <v>999</v>
      </c>
    </row>
    <row r="394" spans="1:10" ht="15" x14ac:dyDescent="0.2">
      <c r="A394" s="486" t="s">
        <v>998</v>
      </c>
      <c r="B394" s="487" t="s">
        <v>997</v>
      </c>
      <c r="C394" s="488" t="s">
        <v>2667</v>
      </c>
      <c r="D394" s="489" t="s">
        <v>2668</v>
      </c>
      <c r="E394" s="487" t="s">
        <v>2669</v>
      </c>
      <c r="F394" s="490">
        <v>180613</v>
      </c>
      <c r="G394" s="489">
        <v>2707.49</v>
      </c>
      <c r="H394" s="489">
        <v>66.708650000000006</v>
      </c>
      <c r="I394" s="487" t="s">
        <v>1499</v>
      </c>
      <c r="J394" s="487" t="s">
        <v>999</v>
      </c>
    </row>
    <row r="395" spans="1:10" ht="15" x14ac:dyDescent="0.2">
      <c r="A395" s="486" t="s">
        <v>998</v>
      </c>
      <c r="B395" s="487" t="s">
        <v>997</v>
      </c>
      <c r="C395" s="488" t="s">
        <v>2670</v>
      </c>
      <c r="D395" s="489" t="s">
        <v>2671</v>
      </c>
      <c r="E395" s="487" t="s">
        <v>2672</v>
      </c>
      <c r="F395" s="490">
        <v>1000</v>
      </c>
      <c r="G395" s="489">
        <v>58.42</v>
      </c>
      <c r="H395" s="489">
        <v>17.117429999999999</v>
      </c>
      <c r="I395" s="487" t="s">
        <v>1499</v>
      </c>
      <c r="J395" s="487" t="s">
        <v>999</v>
      </c>
    </row>
    <row r="396" spans="1:10" ht="15" x14ac:dyDescent="0.2">
      <c r="A396" s="486" t="s">
        <v>998</v>
      </c>
      <c r="B396" s="487" t="s">
        <v>997</v>
      </c>
      <c r="C396" s="488" t="s">
        <v>2673</v>
      </c>
      <c r="D396" s="489" t="s">
        <v>2674</v>
      </c>
      <c r="E396" s="487" t="s">
        <v>2675</v>
      </c>
      <c r="F396" s="490">
        <v>44517.53</v>
      </c>
      <c r="G396" s="489">
        <v>711.37</v>
      </c>
      <c r="H396" s="489">
        <v>62.579990000000002</v>
      </c>
      <c r="I396" s="487" t="s">
        <v>1499</v>
      </c>
      <c r="J396" s="487" t="s">
        <v>999</v>
      </c>
    </row>
    <row r="397" spans="1:10" ht="15" x14ac:dyDescent="0.2">
      <c r="A397" s="486" t="s">
        <v>998</v>
      </c>
      <c r="B397" s="487" t="s">
        <v>997</v>
      </c>
      <c r="C397" s="488" t="s">
        <v>2676</v>
      </c>
      <c r="D397" s="489" t="s">
        <v>2677</v>
      </c>
      <c r="E397" s="487" t="s">
        <v>2678</v>
      </c>
      <c r="F397" s="490">
        <v>20300</v>
      </c>
      <c r="G397" s="489">
        <v>200.75</v>
      </c>
      <c r="H397" s="489">
        <v>101.1208</v>
      </c>
      <c r="I397" s="487" t="s">
        <v>1499</v>
      </c>
      <c r="J397" s="487" t="s">
        <v>999</v>
      </c>
    </row>
    <row r="398" spans="1:10" ht="15" x14ac:dyDescent="0.2">
      <c r="A398" s="486" t="s">
        <v>998</v>
      </c>
      <c r="B398" s="487" t="s">
        <v>997</v>
      </c>
      <c r="C398" s="488" t="s">
        <v>2679</v>
      </c>
      <c r="D398" s="489" t="s">
        <v>2680</v>
      </c>
      <c r="E398" s="487" t="s">
        <v>2681</v>
      </c>
      <c r="F398" s="490">
        <v>104272</v>
      </c>
      <c r="G398" s="489">
        <v>2278.35</v>
      </c>
      <c r="H398" s="489">
        <v>45.766449999999999</v>
      </c>
      <c r="I398" s="487" t="s">
        <v>1499</v>
      </c>
      <c r="J398" s="487" t="s">
        <v>999</v>
      </c>
    </row>
    <row r="399" spans="1:10" ht="15" x14ac:dyDescent="0.2">
      <c r="A399" s="486" t="s">
        <v>998</v>
      </c>
      <c r="B399" s="487" t="s">
        <v>997</v>
      </c>
      <c r="C399" s="488" t="s">
        <v>2682</v>
      </c>
      <c r="D399" s="489" t="s">
        <v>2683</v>
      </c>
      <c r="E399" s="487" t="s">
        <v>2684</v>
      </c>
      <c r="F399" s="490">
        <v>8759.56</v>
      </c>
      <c r="G399" s="489">
        <v>187.14</v>
      </c>
      <c r="H399" s="489">
        <v>46.807519999999997</v>
      </c>
      <c r="I399" s="487" t="s">
        <v>1499</v>
      </c>
      <c r="J399" s="487" t="s">
        <v>999</v>
      </c>
    </row>
    <row r="400" spans="1:10" ht="15" x14ac:dyDescent="0.2">
      <c r="A400" s="486" t="s">
        <v>998</v>
      </c>
      <c r="B400" s="487" t="s">
        <v>997</v>
      </c>
      <c r="C400" s="488" t="s">
        <v>2685</v>
      </c>
      <c r="D400" s="489" t="s">
        <v>2686</v>
      </c>
      <c r="E400" s="487" t="s">
        <v>2687</v>
      </c>
      <c r="F400" s="490">
        <v>80395.37</v>
      </c>
      <c r="G400" s="489">
        <v>942.17</v>
      </c>
      <c r="H400" s="489">
        <v>85.33</v>
      </c>
      <c r="I400" s="487" t="s">
        <v>1499</v>
      </c>
      <c r="J400" s="487" t="s">
        <v>999</v>
      </c>
    </row>
    <row r="401" spans="1:10" ht="15" x14ac:dyDescent="0.2">
      <c r="A401" s="486" t="s">
        <v>998</v>
      </c>
      <c r="B401" s="487" t="s">
        <v>997</v>
      </c>
      <c r="C401" s="488" t="s">
        <v>2688</v>
      </c>
      <c r="D401" s="489" t="s">
        <v>2689</v>
      </c>
      <c r="E401" s="487" t="s">
        <v>2690</v>
      </c>
      <c r="F401" s="490">
        <v>1238930</v>
      </c>
      <c r="G401" s="489">
        <v>5314.17</v>
      </c>
      <c r="H401" s="489">
        <v>233.13706999999999</v>
      </c>
      <c r="I401" s="487" t="s">
        <v>1499</v>
      </c>
      <c r="J401" s="487" t="s">
        <v>999</v>
      </c>
    </row>
    <row r="402" spans="1:10" ht="15" x14ac:dyDescent="0.2">
      <c r="A402" s="486" t="s">
        <v>998</v>
      </c>
      <c r="B402" s="487" t="s">
        <v>997</v>
      </c>
      <c r="C402" s="488" t="s">
        <v>2691</v>
      </c>
      <c r="D402" s="489" t="s">
        <v>2692</v>
      </c>
      <c r="E402" s="487" t="s">
        <v>2693</v>
      </c>
      <c r="F402" s="490">
        <v>28167</v>
      </c>
      <c r="G402" s="489">
        <v>352.65</v>
      </c>
      <c r="H402" s="489">
        <v>79.872389999999996</v>
      </c>
      <c r="I402" s="487" t="s">
        <v>1499</v>
      </c>
      <c r="J402" s="487" t="s">
        <v>999</v>
      </c>
    </row>
    <row r="403" spans="1:10" ht="15" x14ac:dyDescent="0.2">
      <c r="A403" s="486" t="s">
        <v>998</v>
      </c>
      <c r="B403" s="487" t="s">
        <v>997</v>
      </c>
      <c r="C403" s="488" t="s">
        <v>2694</v>
      </c>
      <c r="D403" s="489" t="s">
        <v>2695</v>
      </c>
      <c r="E403" s="487" t="s">
        <v>2696</v>
      </c>
      <c r="F403" s="490">
        <v>394621</v>
      </c>
      <c r="G403" s="489">
        <v>3090.15</v>
      </c>
      <c r="H403" s="489">
        <v>127.70286</v>
      </c>
      <c r="I403" s="487" t="s">
        <v>1499</v>
      </c>
      <c r="J403" s="487" t="s">
        <v>999</v>
      </c>
    </row>
    <row r="404" spans="1:10" ht="15" x14ac:dyDescent="0.2">
      <c r="A404" s="486" t="s">
        <v>998</v>
      </c>
      <c r="B404" s="487" t="s">
        <v>997</v>
      </c>
      <c r="C404" s="488" t="s">
        <v>2697</v>
      </c>
      <c r="D404" s="489" t="s">
        <v>2698</v>
      </c>
      <c r="E404" s="487" t="s">
        <v>2699</v>
      </c>
      <c r="F404" s="490">
        <v>11250</v>
      </c>
      <c r="G404" s="489">
        <v>125.08</v>
      </c>
      <c r="H404" s="489">
        <v>89.942440000000005</v>
      </c>
      <c r="I404" s="487" t="s">
        <v>1499</v>
      </c>
      <c r="J404" s="487" t="s">
        <v>999</v>
      </c>
    </row>
    <row r="405" spans="1:10" ht="15" x14ac:dyDescent="0.2">
      <c r="A405" s="486" t="s">
        <v>998</v>
      </c>
      <c r="B405" s="487" t="s">
        <v>997</v>
      </c>
      <c r="C405" s="488" t="s">
        <v>2700</v>
      </c>
      <c r="D405" s="489" t="s">
        <v>2701</v>
      </c>
      <c r="E405" s="487" t="s">
        <v>2702</v>
      </c>
      <c r="F405" s="490">
        <v>1066086</v>
      </c>
      <c r="G405" s="489">
        <v>9691.69</v>
      </c>
      <c r="H405" s="489">
        <v>110.00001</v>
      </c>
      <c r="I405" s="487" t="s">
        <v>1499</v>
      </c>
      <c r="J405" s="487" t="s">
        <v>999</v>
      </c>
    </row>
    <row r="406" spans="1:10" ht="15" x14ac:dyDescent="0.2">
      <c r="A406" s="486" t="s">
        <v>998</v>
      </c>
      <c r="B406" s="487" t="s">
        <v>997</v>
      </c>
      <c r="C406" s="488" t="s">
        <v>2703</v>
      </c>
      <c r="D406" s="489" t="s">
        <v>2704</v>
      </c>
      <c r="E406" s="487" t="s">
        <v>2705</v>
      </c>
      <c r="F406" s="490">
        <v>402925</v>
      </c>
      <c r="G406" s="489">
        <v>4913.72</v>
      </c>
      <c r="H406" s="489">
        <v>81.999989999999997</v>
      </c>
      <c r="I406" s="487" t="s">
        <v>1499</v>
      </c>
      <c r="J406" s="487" t="s">
        <v>999</v>
      </c>
    </row>
    <row r="407" spans="1:10" ht="15" x14ac:dyDescent="0.2">
      <c r="A407" s="486" t="s">
        <v>998</v>
      </c>
      <c r="B407" s="487" t="s">
        <v>997</v>
      </c>
      <c r="C407" s="488" t="s">
        <v>2706</v>
      </c>
      <c r="D407" s="489" t="s">
        <v>2707</v>
      </c>
      <c r="E407" s="487" t="s">
        <v>2708</v>
      </c>
      <c r="F407" s="490">
        <v>39000</v>
      </c>
      <c r="G407" s="489">
        <v>469.54</v>
      </c>
      <c r="H407" s="489">
        <v>83.060019999999994</v>
      </c>
      <c r="I407" s="487" t="s">
        <v>1499</v>
      </c>
      <c r="J407" s="487" t="s">
        <v>999</v>
      </c>
    </row>
    <row r="408" spans="1:10" ht="15" x14ac:dyDescent="0.2">
      <c r="A408" s="486" t="s">
        <v>998</v>
      </c>
      <c r="B408" s="487" t="s">
        <v>997</v>
      </c>
      <c r="C408" s="488" t="s">
        <v>2709</v>
      </c>
      <c r="D408" s="489" t="s">
        <v>2710</v>
      </c>
      <c r="E408" s="487" t="s">
        <v>2711</v>
      </c>
      <c r="F408" s="490">
        <v>47000</v>
      </c>
      <c r="G408" s="489">
        <v>581.88</v>
      </c>
      <c r="H408" s="489">
        <v>80.772670000000005</v>
      </c>
      <c r="I408" s="487" t="s">
        <v>1499</v>
      </c>
      <c r="J408" s="487" t="s">
        <v>999</v>
      </c>
    </row>
    <row r="409" spans="1:10" ht="15" x14ac:dyDescent="0.2">
      <c r="A409" s="486" t="s">
        <v>998</v>
      </c>
      <c r="B409" s="487" t="s">
        <v>997</v>
      </c>
      <c r="C409" s="488" t="s">
        <v>2712</v>
      </c>
      <c r="D409" s="489" t="s">
        <v>2713</v>
      </c>
      <c r="E409" s="487" t="s">
        <v>2714</v>
      </c>
      <c r="F409" s="490">
        <v>506849.47</v>
      </c>
      <c r="G409" s="489">
        <v>3386.85</v>
      </c>
      <c r="H409" s="489">
        <v>149.65217999999999</v>
      </c>
      <c r="I409" s="487" t="s">
        <v>1499</v>
      </c>
      <c r="J409" s="487" t="s">
        <v>999</v>
      </c>
    </row>
    <row r="410" spans="1:10" ht="15" x14ac:dyDescent="0.2">
      <c r="A410" s="486" t="s">
        <v>998</v>
      </c>
      <c r="B410" s="487" t="s">
        <v>997</v>
      </c>
      <c r="C410" s="488" t="s">
        <v>2715</v>
      </c>
      <c r="D410" s="489" t="s">
        <v>2716</v>
      </c>
      <c r="E410" s="487" t="s">
        <v>2717</v>
      </c>
      <c r="F410" s="490">
        <v>26600</v>
      </c>
      <c r="G410" s="489">
        <v>276.39</v>
      </c>
      <c r="H410" s="489">
        <v>96.240819999999999</v>
      </c>
      <c r="I410" s="487" t="s">
        <v>1499</v>
      </c>
      <c r="J410" s="487" t="s">
        <v>999</v>
      </c>
    </row>
    <row r="411" spans="1:10" ht="15" x14ac:dyDescent="0.2">
      <c r="A411" s="486" t="s">
        <v>998</v>
      </c>
      <c r="B411" s="487" t="s">
        <v>997</v>
      </c>
      <c r="C411" s="488" t="s">
        <v>2718</v>
      </c>
      <c r="D411" s="489" t="s">
        <v>2719</v>
      </c>
      <c r="E411" s="487" t="s">
        <v>2720</v>
      </c>
      <c r="F411" s="490">
        <v>305464</v>
      </c>
      <c r="G411" s="489">
        <v>2636.71</v>
      </c>
      <c r="H411" s="489">
        <v>115.85043</v>
      </c>
      <c r="I411" s="487" t="s">
        <v>1499</v>
      </c>
      <c r="J411" s="487" t="s">
        <v>999</v>
      </c>
    </row>
    <row r="412" spans="1:10" ht="15" x14ac:dyDescent="0.2">
      <c r="A412" s="486" t="s">
        <v>998</v>
      </c>
      <c r="B412" s="487" t="s">
        <v>997</v>
      </c>
      <c r="C412" s="488" t="s">
        <v>2721</v>
      </c>
      <c r="D412" s="489" t="s">
        <v>2722</v>
      </c>
      <c r="E412" s="487" t="s">
        <v>2723</v>
      </c>
      <c r="F412" s="490">
        <v>1800</v>
      </c>
      <c r="G412" s="489">
        <v>112.02</v>
      </c>
      <c r="H412" s="489">
        <v>16.068560000000002</v>
      </c>
      <c r="I412" s="487" t="s">
        <v>1499</v>
      </c>
      <c r="J412" s="487" t="s">
        <v>999</v>
      </c>
    </row>
    <row r="413" spans="1:10" ht="15" x14ac:dyDescent="0.2">
      <c r="A413" s="486" t="s">
        <v>998</v>
      </c>
      <c r="B413" s="487" t="s">
        <v>997</v>
      </c>
      <c r="C413" s="488" t="s">
        <v>2724</v>
      </c>
      <c r="D413" s="489" t="s">
        <v>2725</v>
      </c>
      <c r="E413" s="487" t="s">
        <v>2726</v>
      </c>
      <c r="F413" s="490">
        <v>494205</v>
      </c>
      <c r="G413" s="489">
        <v>4524.42</v>
      </c>
      <c r="H413" s="489">
        <v>109.23058</v>
      </c>
      <c r="I413" s="487" t="s">
        <v>1499</v>
      </c>
      <c r="J413" s="487" t="s">
        <v>999</v>
      </c>
    </row>
    <row r="414" spans="1:10" ht="15" x14ac:dyDescent="0.2">
      <c r="A414" s="486" t="s">
        <v>998</v>
      </c>
      <c r="B414" s="487" t="s">
        <v>997</v>
      </c>
      <c r="C414" s="488" t="s">
        <v>2727</v>
      </c>
      <c r="D414" s="489" t="s">
        <v>2728</v>
      </c>
      <c r="E414" s="487" t="s">
        <v>407</v>
      </c>
      <c r="F414" s="490">
        <v>0</v>
      </c>
      <c r="G414" s="489">
        <v>17.649999999999999</v>
      </c>
      <c r="H414" s="489">
        <v>0</v>
      </c>
      <c r="I414" s="487" t="s">
        <v>1593</v>
      </c>
      <c r="J414" s="487" t="s">
        <v>999</v>
      </c>
    </row>
    <row r="415" spans="1:10" ht="15" x14ac:dyDescent="0.2">
      <c r="A415" s="486" t="s">
        <v>998</v>
      </c>
      <c r="B415" s="487" t="s">
        <v>997</v>
      </c>
      <c r="C415" s="488" t="s">
        <v>2729</v>
      </c>
      <c r="D415" s="489" t="s">
        <v>2730</v>
      </c>
      <c r="E415" s="487" t="s">
        <v>2731</v>
      </c>
      <c r="F415" s="490">
        <v>185320</v>
      </c>
      <c r="G415" s="489">
        <v>2787.91</v>
      </c>
      <c r="H415" s="489">
        <v>66.472729999999999</v>
      </c>
      <c r="I415" s="487" t="s">
        <v>1499</v>
      </c>
      <c r="J415" s="487" t="s">
        <v>999</v>
      </c>
    </row>
    <row r="416" spans="1:10" ht="15" x14ac:dyDescent="0.2">
      <c r="A416" s="486" t="s">
        <v>998</v>
      </c>
      <c r="B416" s="487" t="s">
        <v>997</v>
      </c>
      <c r="C416" s="488" t="s">
        <v>2732</v>
      </c>
      <c r="D416" s="489" t="s">
        <v>2733</v>
      </c>
      <c r="E416" s="487" t="s">
        <v>2734</v>
      </c>
      <c r="F416" s="490">
        <v>1290198</v>
      </c>
      <c r="G416" s="489">
        <v>7079.64</v>
      </c>
      <c r="H416" s="489">
        <v>182.24062000000001</v>
      </c>
      <c r="I416" s="487" t="s">
        <v>1499</v>
      </c>
      <c r="J416" s="487" t="s">
        <v>999</v>
      </c>
    </row>
    <row r="417" spans="1:10" ht="15" x14ac:dyDescent="0.2">
      <c r="A417" s="486" t="s">
        <v>998</v>
      </c>
      <c r="B417" s="487" t="s">
        <v>997</v>
      </c>
      <c r="C417" s="488" t="s">
        <v>2735</v>
      </c>
      <c r="D417" s="489" t="s">
        <v>2736</v>
      </c>
      <c r="E417" s="487" t="s">
        <v>2737</v>
      </c>
      <c r="F417" s="490">
        <v>11860</v>
      </c>
      <c r="G417" s="489">
        <v>130.88999999999999</v>
      </c>
      <c r="H417" s="489">
        <v>90.610439999999997</v>
      </c>
      <c r="I417" s="487" t="s">
        <v>1499</v>
      </c>
      <c r="J417" s="487" t="s">
        <v>999</v>
      </c>
    </row>
    <row r="418" spans="1:10" ht="15" x14ac:dyDescent="0.2">
      <c r="A418" s="486" t="s">
        <v>998</v>
      </c>
      <c r="B418" s="487" t="s">
        <v>997</v>
      </c>
      <c r="C418" s="488" t="s">
        <v>2738</v>
      </c>
      <c r="D418" s="489" t="s">
        <v>2739</v>
      </c>
      <c r="E418" s="487" t="s">
        <v>2740</v>
      </c>
      <c r="F418" s="490">
        <v>209150</v>
      </c>
      <c r="G418" s="489">
        <v>2280.5100000000002</v>
      </c>
      <c r="H418" s="489">
        <v>91.711939999999998</v>
      </c>
      <c r="I418" s="487" t="s">
        <v>1499</v>
      </c>
      <c r="J418" s="487" t="s">
        <v>999</v>
      </c>
    </row>
    <row r="419" spans="1:10" ht="15" x14ac:dyDescent="0.2">
      <c r="A419" s="486" t="s">
        <v>998</v>
      </c>
      <c r="B419" s="487" t="s">
        <v>997</v>
      </c>
      <c r="C419" s="488" t="s">
        <v>2741</v>
      </c>
      <c r="D419" s="489" t="s">
        <v>2742</v>
      </c>
      <c r="E419" s="487" t="s">
        <v>2743</v>
      </c>
      <c r="F419" s="490">
        <v>186800</v>
      </c>
      <c r="G419" s="489">
        <v>1482.63</v>
      </c>
      <c r="H419" s="489">
        <v>125.99232000000001</v>
      </c>
      <c r="I419" s="487" t="s">
        <v>1499</v>
      </c>
      <c r="J419" s="487" t="s">
        <v>999</v>
      </c>
    </row>
    <row r="420" spans="1:10" ht="15" x14ac:dyDescent="0.2">
      <c r="A420" s="486" t="s">
        <v>998</v>
      </c>
      <c r="B420" s="487" t="s">
        <v>997</v>
      </c>
      <c r="C420" s="488" t="s">
        <v>2744</v>
      </c>
      <c r="D420" s="489" t="s">
        <v>2745</v>
      </c>
      <c r="E420" s="487" t="s">
        <v>2746</v>
      </c>
      <c r="F420" s="490">
        <v>863189.81</v>
      </c>
      <c r="G420" s="489">
        <v>3881.2</v>
      </c>
      <c r="H420" s="489">
        <v>222.40281999999999</v>
      </c>
      <c r="I420" s="487" t="s">
        <v>1499</v>
      </c>
      <c r="J420" s="487" t="s">
        <v>999</v>
      </c>
    </row>
    <row r="421" spans="1:10" ht="15" x14ac:dyDescent="0.2">
      <c r="A421" s="486" t="s">
        <v>998</v>
      </c>
      <c r="B421" s="487" t="s">
        <v>997</v>
      </c>
      <c r="C421" s="488" t="s">
        <v>2747</v>
      </c>
      <c r="D421" s="489" t="s">
        <v>2748</v>
      </c>
      <c r="E421" s="487" t="s">
        <v>2749</v>
      </c>
      <c r="F421" s="490">
        <v>888385.38</v>
      </c>
      <c r="G421" s="489">
        <v>2582.02</v>
      </c>
      <c r="H421" s="489">
        <v>344.06603000000001</v>
      </c>
      <c r="I421" s="487" t="s">
        <v>1499</v>
      </c>
      <c r="J421" s="487" t="s">
        <v>999</v>
      </c>
    </row>
    <row r="422" spans="1:10" ht="15" x14ac:dyDescent="0.2">
      <c r="A422" s="486" t="s">
        <v>998</v>
      </c>
      <c r="B422" s="487" t="s">
        <v>997</v>
      </c>
      <c r="C422" s="488" t="s">
        <v>2750</v>
      </c>
      <c r="D422" s="489" t="s">
        <v>2751</v>
      </c>
      <c r="E422" s="487" t="s">
        <v>2752</v>
      </c>
      <c r="F422" s="490">
        <v>28000</v>
      </c>
      <c r="G422" s="489">
        <v>424.83</v>
      </c>
      <c r="H422" s="489">
        <v>65.908720000000002</v>
      </c>
      <c r="I422" s="487" t="s">
        <v>1499</v>
      </c>
      <c r="J422" s="487" t="s">
        <v>999</v>
      </c>
    </row>
    <row r="423" spans="1:10" ht="15" x14ac:dyDescent="0.2">
      <c r="A423" s="486" t="s">
        <v>565</v>
      </c>
      <c r="B423" s="487" t="s">
        <v>564</v>
      </c>
      <c r="C423" s="488" t="s">
        <v>2753</v>
      </c>
      <c r="D423" s="489" t="s">
        <v>2754</v>
      </c>
      <c r="E423" s="487" t="s">
        <v>2755</v>
      </c>
      <c r="F423" s="490">
        <v>0</v>
      </c>
      <c r="G423" s="489">
        <v>72.37</v>
      </c>
      <c r="H423" s="489">
        <v>0</v>
      </c>
      <c r="I423" s="487" t="s">
        <v>1593</v>
      </c>
      <c r="J423" s="487" t="s">
        <v>566</v>
      </c>
    </row>
    <row r="424" spans="1:10" ht="15" x14ac:dyDescent="0.2">
      <c r="A424" s="486" t="s">
        <v>565</v>
      </c>
      <c r="B424" s="487" t="s">
        <v>564</v>
      </c>
      <c r="C424" s="488" t="s">
        <v>2756</v>
      </c>
      <c r="D424" s="489" t="s">
        <v>2757</v>
      </c>
      <c r="E424" s="487" t="s">
        <v>2758</v>
      </c>
      <c r="F424" s="490">
        <v>13500</v>
      </c>
      <c r="G424" s="489">
        <v>169.05</v>
      </c>
      <c r="H424" s="489">
        <v>79.858029999999999</v>
      </c>
      <c r="I424" s="487" t="s">
        <v>1499</v>
      </c>
      <c r="J424" s="487" t="s">
        <v>566</v>
      </c>
    </row>
    <row r="425" spans="1:10" ht="15" x14ac:dyDescent="0.2">
      <c r="A425" s="486" t="s">
        <v>565</v>
      </c>
      <c r="B425" s="487" t="s">
        <v>564</v>
      </c>
      <c r="C425" s="488" t="s">
        <v>2759</v>
      </c>
      <c r="D425" s="489" t="s">
        <v>2760</v>
      </c>
      <c r="E425" s="487" t="s">
        <v>2761</v>
      </c>
      <c r="F425" s="490">
        <v>20000</v>
      </c>
      <c r="G425" s="489">
        <v>227.24</v>
      </c>
      <c r="H425" s="489">
        <v>88.01267</v>
      </c>
      <c r="I425" s="487" t="s">
        <v>1499</v>
      </c>
      <c r="J425" s="487" t="s">
        <v>566</v>
      </c>
    </row>
    <row r="426" spans="1:10" ht="15" x14ac:dyDescent="0.2">
      <c r="A426" s="486" t="s">
        <v>565</v>
      </c>
      <c r="B426" s="487" t="s">
        <v>564</v>
      </c>
      <c r="C426" s="488" t="s">
        <v>2762</v>
      </c>
      <c r="D426" s="489" t="s">
        <v>2763</v>
      </c>
      <c r="E426" s="487" t="s">
        <v>2764</v>
      </c>
      <c r="F426" s="490">
        <v>1079277</v>
      </c>
      <c r="G426" s="489">
        <v>6977.46</v>
      </c>
      <c r="H426" s="489">
        <v>154.68049999999999</v>
      </c>
      <c r="I426" s="487" t="s">
        <v>1499</v>
      </c>
      <c r="J426" s="487" t="s">
        <v>566</v>
      </c>
    </row>
    <row r="427" spans="1:10" ht="15" x14ac:dyDescent="0.2">
      <c r="A427" s="486" t="s">
        <v>565</v>
      </c>
      <c r="B427" s="487" t="s">
        <v>564</v>
      </c>
      <c r="C427" s="488" t="s">
        <v>2765</v>
      </c>
      <c r="D427" s="489" t="s">
        <v>2766</v>
      </c>
      <c r="E427" s="487" t="s">
        <v>2767</v>
      </c>
      <c r="F427" s="490">
        <v>19000</v>
      </c>
      <c r="G427" s="489">
        <v>131.79</v>
      </c>
      <c r="H427" s="489">
        <v>144.16874999999999</v>
      </c>
      <c r="I427" s="487" t="s">
        <v>1499</v>
      </c>
      <c r="J427" s="487" t="s">
        <v>566</v>
      </c>
    </row>
    <row r="428" spans="1:10" ht="15" x14ac:dyDescent="0.2">
      <c r="A428" s="486" t="s">
        <v>565</v>
      </c>
      <c r="B428" s="487" t="s">
        <v>564</v>
      </c>
      <c r="C428" s="488" t="s">
        <v>2768</v>
      </c>
      <c r="D428" s="489" t="s">
        <v>2769</v>
      </c>
      <c r="E428" s="487" t="s">
        <v>2770</v>
      </c>
      <c r="F428" s="490">
        <v>24090</v>
      </c>
      <c r="G428" s="489">
        <v>473.13</v>
      </c>
      <c r="H428" s="489">
        <v>50.916240000000002</v>
      </c>
      <c r="I428" s="487" t="s">
        <v>1499</v>
      </c>
      <c r="J428" s="487" t="s">
        <v>566</v>
      </c>
    </row>
    <row r="429" spans="1:10" ht="15" x14ac:dyDescent="0.2">
      <c r="A429" s="486" t="s">
        <v>565</v>
      </c>
      <c r="B429" s="487" t="s">
        <v>564</v>
      </c>
      <c r="C429" s="488" t="s">
        <v>2771</v>
      </c>
      <c r="D429" s="489" t="s">
        <v>2772</v>
      </c>
      <c r="E429" s="487" t="s">
        <v>2773</v>
      </c>
      <c r="F429" s="490">
        <v>21982</v>
      </c>
      <c r="G429" s="489">
        <v>201.58</v>
      </c>
      <c r="H429" s="489">
        <v>109.04852</v>
      </c>
      <c r="I429" s="487" t="s">
        <v>1499</v>
      </c>
      <c r="J429" s="487" t="s">
        <v>566</v>
      </c>
    </row>
    <row r="430" spans="1:10" ht="15" x14ac:dyDescent="0.2">
      <c r="A430" s="486" t="s">
        <v>565</v>
      </c>
      <c r="B430" s="487" t="s">
        <v>564</v>
      </c>
      <c r="C430" s="488" t="s">
        <v>2774</v>
      </c>
      <c r="D430" s="489" t="s">
        <v>2775</v>
      </c>
      <c r="E430" s="487" t="s">
        <v>2776</v>
      </c>
      <c r="F430" s="490">
        <v>317326</v>
      </c>
      <c r="G430" s="489">
        <v>2237.5500000000002</v>
      </c>
      <c r="H430" s="489">
        <v>141.81851</v>
      </c>
      <c r="I430" s="487" t="s">
        <v>1499</v>
      </c>
      <c r="J430" s="487" t="s">
        <v>566</v>
      </c>
    </row>
    <row r="431" spans="1:10" ht="15" x14ac:dyDescent="0.2">
      <c r="A431" s="486" t="s">
        <v>565</v>
      </c>
      <c r="B431" s="487" t="s">
        <v>564</v>
      </c>
      <c r="C431" s="488" t="s">
        <v>2777</v>
      </c>
      <c r="D431" s="489" t="s">
        <v>2778</v>
      </c>
      <c r="E431" s="487" t="s">
        <v>2779</v>
      </c>
      <c r="F431" s="490">
        <v>0</v>
      </c>
      <c r="G431" s="489">
        <v>30.38</v>
      </c>
      <c r="H431" s="489">
        <v>0</v>
      </c>
      <c r="I431" s="487" t="s">
        <v>1593</v>
      </c>
      <c r="J431" s="487" t="s">
        <v>566</v>
      </c>
    </row>
    <row r="432" spans="1:10" ht="15" x14ac:dyDescent="0.2">
      <c r="A432" s="486" t="s">
        <v>565</v>
      </c>
      <c r="B432" s="487" t="s">
        <v>564</v>
      </c>
      <c r="C432" s="488" t="s">
        <v>2780</v>
      </c>
      <c r="D432" s="489" t="s">
        <v>2781</v>
      </c>
      <c r="E432" s="487" t="s">
        <v>2782</v>
      </c>
      <c r="F432" s="490">
        <v>2585171</v>
      </c>
      <c r="G432" s="489">
        <v>19288.21</v>
      </c>
      <c r="H432" s="489">
        <v>134.02856</v>
      </c>
      <c r="I432" s="487" t="s">
        <v>1499</v>
      </c>
      <c r="J432" s="487" t="s">
        <v>566</v>
      </c>
    </row>
    <row r="433" spans="1:10" ht="15" x14ac:dyDescent="0.2">
      <c r="A433" s="486" t="s">
        <v>565</v>
      </c>
      <c r="B433" s="487" t="s">
        <v>564</v>
      </c>
      <c r="C433" s="488" t="s">
        <v>2783</v>
      </c>
      <c r="D433" s="489" t="s">
        <v>2784</v>
      </c>
      <c r="E433" s="487" t="s">
        <v>2785</v>
      </c>
      <c r="F433" s="490">
        <v>0</v>
      </c>
      <c r="G433" s="489">
        <v>39.97</v>
      </c>
      <c r="H433" s="489">
        <v>0</v>
      </c>
      <c r="I433" s="487" t="s">
        <v>1593</v>
      </c>
      <c r="J433" s="487" t="s">
        <v>566</v>
      </c>
    </row>
    <row r="434" spans="1:10" ht="15" x14ac:dyDescent="0.2">
      <c r="A434" s="486" t="s">
        <v>565</v>
      </c>
      <c r="B434" s="487" t="s">
        <v>564</v>
      </c>
      <c r="C434" s="488" t="s">
        <v>2786</v>
      </c>
      <c r="D434" s="489" t="s">
        <v>2787</v>
      </c>
      <c r="E434" s="487" t="s">
        <v>2788</v>
      </c>
      <c r="F434" s="490">
        <v>2200</v>
      </c>
      <c r="G434" s="489">
        <v>83.91</v>
      </c>
      <c r="H434" s="489">
        <v>26.21857</v>
      </c>
      <c r="I434" s="487" t="s">
        <v>1499</v>
      </c>
      <c r="J434" s="487" t="s">
        <v>566</v>
      </c>
    </row>
    <row r="435" spans="1:10" ht="15" x14ac:dyDescent="0.2">
      <c r="A435" s="486" t="s">
        <v>565</v>
      </c>
      <c r="B435" s="487" t="s">
        <v>564</v>
      </c>
      <c r="C435" s="488" t="s">
        <v>2789</v>
      </c>
      <c r="D435" s="489" t="s">
        <v>2790</v>
      </c>
      <c r="E435" s="487" t="s">
        <v>2791</v>
      </c>
      <c r="F435" s="490">
        <v>568676</v>
      </c>
      <c r="G435" s="489">
        <v>6529.35</v>
      </c>
      <c r="H435" s="489">
        <v>87.095349999999996</v>
      </c>
      <c r="I435" s="487" t="s">
        <v>1499</v>
      </c>
      <c r="J435" s="487" t="s">
        <v>566</v>
      </c>
    </row>
    <row r="436" spans="1:10" ht="15" x14ac:dyDescent="0.2">
      <c r="A436" s="486" t="s">
        <v>565</v>
      </c>
      <c r="B436" s="487" t="s">
        <v>564</v>
      </c>
      <c r="C436" s="488" t="s">
        <v>2792</v>
      </c>
      <c r="D436" s="489" t="s">
        <v>2793</v>
      </c>
      <c r="E436" s="487" t="s">
        <v>2794</v>
      </c>
      <c r="F436" s="490">
        <v>0</v>
      </c>
      <c r="G436" s="489">
        <v>52.41</v>
      </c>
      <c r="H436" s="489">
        <v>0</v>
      </c>
      <c r="I436" s="487" t="s">
        <v>1593</v>
      </c>
      <c r="J436" s="487" t="s">
        <v>566</v>
      </c>
    </row>
    <row r="437" spans="1:10" ht="15" x14ac:dyDescent="0.2">
      <c r="A437" s="486" t="s">
        <v>565</v>
      </c>
      <c r="B437" s="487" t="s">
        <v>564</v>
      </c>
      <c r="C437" s="488" t="s">
        <v>2795</v>
      </c>
      <c r="D437" s="489" t="s">
        <v>2796</v>
      </c>
      <c r="E437" s="487" t="s">
        <v>2797</v>
      </c>
      <c r="F437" s="490">
        <v>21331.97</v>
      </c>
      <c r="G437" s="489">
        <v>1380.42</v>
      </c>
      <c r="H437" s="489">
        <v>15.453250000000001</v>
      </c>
      <c r="I437" s="487" t="s">
        <v>1499</v>
      </c>
      <c r="J437" s="487" t="s">
        <v>566</v>
      </c>
    </row>
    <row r="438" spans="1:10" ht="15" x14ac:dyDescent="0.2">
      <c r="A438" s="486" t="s">
        <v>565</v>
      </c>
      <c r="B438" s="487" t="s">
        <v>564</v>
      </c>
      <c r="C438" s="488" t="s">
        <v>2798</v>
      </c>
      <c r="D438" s="489" t="s">
        <v>2799</v>
      </c>
      <c r="E438" s="487" t="s">
        <v>2800</v>
      </c>
      <c r="F438" s="490">
        <v>1350</v>
      </c>
      <c r="G438" s="489">
        <v>81.38</v>
      </c>
      <c r="H438" s="489">
        <v>16.588840000000001</v>
      </c>
      <c r="I438" s="487" t="s">
        <v>1499</v>
      </c>
      <c r="J438" s="487" t="s">
        <v>566</v>
      </c>
    </row>
    <row r="439" spans="1:10" ht="15" x14ac:dyDescent="0.2">
      <c r="A439" s="486" t="s">
        <v>565</v>
      </c>
      <c r="B439" s="487" t="s">
        <v>564</v>
      </c>
      <c r="C439" s="488" t="s">
        <v>2801</v>
      </c>
      <c r="D439" s="489" t="s">
        <v>2802</v>
      </c>
      <c r="E439" s="487" t="s">
        <v>2803</v>
      </c>
      <c r="F439" s="490">
        <v>11061</v>
      </c>
      <c r="G439" s="489">
        <v>225.04</v>
      </c>
      <c r="H439" s="489">
        <v>49.151260000000001</v>
      </c>
      <c r="I439" s="487" t="s">
        <v>1499</v>
      </c>
      <c r="J439" s="487" t="s">
        <v>566</v>
      </c>
    </row>
    <row r="440" spans="1:10" ht="15" x14ac:dyDescent="0.2">
      <c r="A440" s="486" t="s">
        <v>565</v>
      </c>
      <c r="B440" s="487" t="s">
        <v>564</v>
      </c>
      <c r="C440" s="488" t="s">
        <v>2804</v>
      </c>
      <c r="D440" s="489" t="s">
        <v>2805</v>
      </c>
      <c r="E440" s="487" t="s">
        <v>2806</v>
      </c>
      <c r="F440" s="490">
        <v>56000</v>
      </c>
      <c r="G440" s="489">
        <v>542.82000000000005</v>
      </c>
      <c r="H440" s="489">
        <v>103.16495</v>
      </c>
      <c r="I440" s="487" t="s">
        <v>1499</v>
      </c>
      <c r="J440" s="487" t="s">
        <v>566</v>
      </c>
    </row>
    <row r="441" spans="1:10" ht="15" x14ac:dyDescent="0.2">
      <c r="A441" s="486" t="s">
        <v>565</v>
      </c>
      <c r="B441" s="487" t="s">
        <v>564</v>
      </c>
      <c r="C441" s="488" t="s">
        <v>2807</v>
      </c>
      <c r="D441" s="489" t="s">
        <v>2808</v>
      </c>
      <c r="E441" s="487" t="s">
        <v>2809</v>
      </c>
      <c r="F441" s="490">
        <v>1307690</v>
      </c>
      <c r="G441" s="489">
        <v>5605.59</v>
      </c>
      <c r="H441" s="489">
        <v>233.28319999999999</v>
      </c>
      <c r="I441" s="487" t="s">
        <v>1499</v>
      </c>
      <c r="J441" s="487" t="s">
        <v>566</v>
      </c>
    </row>
    <row r="442" spans="1:10" ht="15" x14ac:dyDescent="0.2">
      <c r="A442" s="486" t="s">
        <v>565</v>
      </c>
      <c r="B442" s="487" t="s">
        <v>564</v>
      </c>
      <c r="C442" s="488" t="s">
        <v>2810</v>
      </c>
      <c r="D442" s="489" t="s">
        <v>2811</v>
      </c>
      <c r="E442" s="487" t="s">
        <v>2812</v>
      </c>
      <c r="F442" s="490">
        <v>153836</v>
      </c>
      <c r="G442" s="489">
        <v>843.33</v>
      </c>
      <c r="H442" s="489">
        <v>182.41495</v>
      </c>
      <c r="I442" s="487" t="s">
        <v>1499</v>
      </c>
      <c r="J442" s="487" t="s">
        <v>566</v>
      </c>
    </row>
    <row r="443" spans="1:10" ht="15" x14ac:dyDescent="0.2">
      <c r="A443" s="486" t="s">
        <v>565</v>
      </c>
      <c r="B443" s="487" t="s">
        <v>564</v>
      </c>
      <c r="C443" s="488" t="s">
        <v>2813</v>
      </c>
      <c r="D443" s="489" t="s">
        <v>2814</v>
      </c>
      <c r="E443" s="487" t="s">
        <v>2815</v>
      </c>
      <c r="F443" s="490">
        <v>40659</v>
      </c>
      <c r="G443" s="489">
        <v>385.69</v>
      </c>
      <c r="H443" s="489">
        <v>105.41886</v>
      </c>
      <c r="I443" s="487" t="s">
        <v>1499</v>
      </c>
      <c r="J443" s="487" t="s">
        <v>566</v>
      </c>
    </row>
    <row r="444" spans="1:10" ht="15" x14ac:dyDescent="0.2">
      <c r="A444" s="486" t="s">
        <v>565</v>
      </c>
      <c r="B444" s="487" t="s">
        <v>564</v>
      </c>
      <c r="C444" s="488" t="s">
        <v>2816</v>
      </c>
      <c r="D444" s="489" t="s">
        <v>2817</v>
      </c>
      <c r="E444" s="487" t="s">
        <v>2818</v>
      </c>
      <c r="F444" s="490">
        <v>833147.97</v>
      </c>
      <c r="G444" s="489">
        <v>5227.8599999999997</v>
      </c>
      <c r="H444" s="489">
        <v>159.36691999999999</v>
      </c>
      <c r="I444" s="487" t="s">
        <v>1499</v>
      </c>
      <c r="J444" s="487" t="s">
        <v>566</v>
      </c>
    </row>
    <row r="445" spans="1:10" ht="15" x14ac:dyDescent="0.2">
      <c r="A445" s="486" t="s">
        <v>565</v>
      </c>
      <c r="B445" s="487" t="s">
        <v>564</v>
      </c>
      <c r="C445" s="488" t="s">
        <v>2819</v>
      </c>
      <c r="D445" s="489" t="s">
        <v>2820</v>
      </c>
      <c r="E445" s="487" t="s">
        <v>2821</v>
      </c>
      <c r="F445" s="490">
        <v>40391.919999999998</v>
      </c>
      <c r="G445" s="489">
        <v>393.53</v>
      </c>
      <c r="H445" s="489">
        <v>102.64</v>
      </c>
      <c r="I445" s="487" t="s">
        <v>1499</v>
      </c>
      <c r="J445" s="487" t="s">
        <v>566</v>
      </c>
    </row>
    <row r="446" spans="1:10" ht="15" x14ac:dyDescent="0.2">
      <c r="A446" s="486" t="s">
        <v>565</v>
      </c>
      <c r="B446" s="487" t="s">
        <v>564</v>
      </c>
      <c r="C446" s="488" t="s">
        <v>2822</v>
      </c>
      <c r="D446" s="489" t="s">
        <v>2823</v>
      </c>
      <c r="E446" s="487" t="s">
        <v>2824</v>
      </c>
      <c r="F446" s="490">
        <v>294460</v>
      </c>
      <c r="G446" s="489">
        <v>3224.67</v>
      </c>
      <c r="H446" s="489">
        <v>91.314769999999996</v>
      </c>
      <c r="I446" s="487" t="s">
        <v>1499</v>
      </c>
      <c r="J446" s="487" t="s">
        <v>566</v>
      </c>
    </row>
    <row r="447" spans="1:10" ht="15" x14ac:dyDescent="0.2">
      <c r="A447" s="486" t="s">
        <v>565</v>
      </c>
      <c r="B447" s="487" t="s">
        <v>564</v>
      </c>
      <c r="C447" s="488" t="s">
        <v>2825</v>
      </c>
      <c r="D447" s="489" t="s">
        <v>2826</v>
      </c>
      <c r="E447" s="487" t="s">
        <v>2827</v>
      </c>
      <c r="F447" s="490">
        <v>589100</v>
      </c>
      <c r="G447" s="489">
        <v>7121.66</v>
      </c>
      <c r="H447" s="489">
        <v>82.719480000000004</v>
      </c>
      <c r="I447" s="487" t="s">
        <v>1499</v>
      </c>
      <c r="J447" s="487" t="s">
        <v>566</v>
      </c>
    </row>
    <row r="448" spans="1:10" ht="15" x14ac:dyDescent="0.2">
      <c r="A448" s="486" t="s">
        <v>565</v>
      </c>
      <c r="B448" s="487" t="s">
        <v>564</v>
      </c>
      <c r="C448" s="488" t="s">
        <v>2828</v>
      </c>
      <c r="D448" s="489" t="s">
        <v>2829</v>
      </c>
      <c r="E448" s="487" t="s">
        <v>2830</v>
      </c>
      <c r="F448" s="490">
        <v>19500</v>
      </c>
      <c r="G448" s="489">
        <v>124.86</v>
      </c>
      <c r="H448" s="489">
        <v>156.17491999999999</v>
      </c>
      <c r="I448" s="487" t="s">
        <v>1499</v>
      </c>
      <c r="J448" s="487" t="s">
        <v>566</v>
      </c>
    </row>
    <row r="449" spans="1:10" ht="15" x14ac:dyDescent="0.2">
      <c r="A449" s="486" t="s">
        <v>565</v>
      </c>
      <c r="B449" s="487" t="s">
        <v>564</v>
      </c>
      <c r="C449" s="488" t="s">
        <v>2831</v>
      </c>
      <c r="D449" s="489" t="s">
        <v>2832</v>
      </c>
      <c r="E449" s="487" t="s">
        <v>2833</v>
      </c>
      <c r="F449" s="490">
        <v>17615</v>
      </c>
      <c r="G449" s="489">
        <v>865.54</v>
      </c>
      <c r="H449" s="489">
        <v>20.351459999999999</v>
      </c>
      <c r="I449" s="487" t="s">
        <v>1499</v>
      </c>
      <c r="J449" s="487" t="s">
        <v>566</v>
      </c>
    </row>
    <row r="450" spans="1:10" ht="15" x14ac:dyDescent="0.2">
      <c r="A450" s="486" t="s">
        <v>565</v>
      </c>
      <c r="B450" s="487" t="s">
        <v>564</v>
      </c>
      <c r="C450" s="488" t="s">
        <v>2834</v>
      </c>
      <c r="D450" s="489" t="s">
        <v>2835</v>
      </c>
      <c r="E450" s="487" t="s">
        <v>2836</v>
      </c>
      <c r="F450" s="490">
        <v>39000</v>
      </c>
      <c r="G450" s="489">
        <v>302.2</v>
      </c>
      <c r="H450" s="489">
        <v>129.05360999999999</v>
      </c>
      <c r="I450" s="487" t="s">
        <v>1499</v>
      </c>
      <c r="J450" s="487" t="s">
        <v>566</v>
      </c>
    </row>
    <row r="451" spans="1:10" ht="15" x14ac:dyDescent="0.2">
      <c r="A451" s="486" t="s">
        <v>565</v>
      </c>
      <c r="B451" s="487" t="s">
        <v>564</v>
      </c>
      <c r="C451" s="488" t="s">
        <v>2837</v>
      </c>
      <c r="D451" s="489" t="s">
        <v>2838</v>
      </c>
      <c r="E451" s="487" t="s">
        <v>2839</v>
      </c>
      <c r="F451" s="490">
        <v>122500</v>
      </c>
      <c r="G451" s="489">
        <v>817.83</v>
      </c>
      <c r="H451" s="489">
        <v>149.78663</v>
      </c>
      <c r="I451" s="487" t="s">
        <v>1499</v>
      </c>
      <c r="J451" s="487" t="s">
        <v>566</v>
      </c>
    </row>
    <row r="452" spans="1:10" ht="15" x14ac:dyDescent="0.2">
      <c r="A452" s="486" t="s">
        <v>565</v>
      </c>
      <c r="B452" s="487" t="s">
        <v>564</v>
      </c>
      <c r="C452" s="488" t="s">
        <v>2840</v>
      </c>
      <c r="D452" s="489" t="s">
        <v>2841</v>
      </c>
      <c r="E452" s="487" t="s">
        <v>2842</v>
      </c>
      <c r="F452" s="490">
        <v>8825</v>
      </c>
      <c r="G452" s="489">
        <v>154.5</v>
      </c>
      <c r="H452" s="489">
        <v>57.11974</v>
      </c>
      <c r="I452" s="487" t="s">
        <v>1499</v>
      </c>
      <c r="J452" s="487" t="s">
        <v>566</v>
      </c>
    </row>
    <row r="453" spans="1:10" ht="15" x14ac:dyDescent="0.2">
      <c r="A453" s="486" t="s">
        <v>565</v>
      </c>
      <c r="B453" s="487" t="s">
        <v>564</v>
      </c>
      <c r="C453" s="488" t="s">
        <v>2843</v>
      </c>
      <c r="D453" s="489" t="s">
        <v>2844</v>
      </c>
      <c r="E453" s="487" t="s">
        <v>2845</v>
      </c>
      <c r="F453" s="490">
        <v>472468.64</v>
      </c>
      <c r="G453" s="489">
        <v>6850.35</v>
      </c>
      <c r="H453" s="489">
        <v>68.97</v>
      </c>
      <c r="I453" s="487" t="s">
        <v>1499</v>
      </c>
      <c r="J453" s="487" t="s">
        <v>566</v>
      </c>
    </row>
    <row r="454" spans="1:10" ht="15" x14ac:dyDescent="0.2">
      <c r="A454" s="486" t="s">
        <v>565</v>
      </c>
      <c r="B454" s="487" t="s">
        <v>564</v>
      </c>
      <c r="C454" s="488" t="s">
        <v>2846</v>
      </c>
      <c r="D454" s="489" t="s">
        <v>2847</v>
      </c>
      <c r="E454" s="487" t="s">
        <v>2848</v>
      </c>
      <c r="F454" s="490">
        <v>1290279</v>
      </c>
      <c r="G454" s="489">
        <v>8359.3799999999992</v>
      </c>
      <c r="H454" s="489">
        <v>154.35104000000001</v>
      </c>
      <c r="I454" s="487" t="s">
        <v>1499</v>
      </c>
      <c r="J454" s="487" t="s">
        <v>566</v>
      </c>
    </row>
    <row r="455" spans="1:10" ht="15" x14ac:dyDescent="0.2">
      <c r="A455" s="486" t="s">
        <v>565</v>
      </c>
      <c r="B455" s="487" t="s">
        <v>564</v>
      </c>
      <c r="C455" s="488" t="s">
        <v>2849</v>
      </c>
      <c r="D455" s="489" t="s">
        <v>2850</v>
      </c>
      <c r="E455" s="487" t="s">
        <v>2851</v>
      </c>
      <c r="F455" s="490">
        <v>98942</v>
      </c>
      <c r="G455" s="489">
        <v>1684.87</v>
      </c>
      <c r="H455" s="489">
        <v>58.723820000000003</v>
      </c>
      <c r="I455" s="487" t="s">
        <v>1499</v>
      </c>
      <c r="J455" s="487" t="s">
        <v>566</v>
      </c>
    </row>
    <row r="456" spans="1:10" ht="15" x14ac:dyDescent="0.2">
      <c r="A456" s="486" t="s">
        <v>565</v>
      </c>
      <c r="B456" s="487" t="s">
        <v>564</v>
      </c>
      <c r="C456" s="488" t="s">
        <v>2852</v>
      </c>
      <c r="D456" s="489" t="s">
        <v>2853</v>
      </c>
      <c r="E456" s="487" t="s">
        <v>2854</v>
      </c>
      <c r="F456" s="490">
        <v>0</v>
      </c>
      <c r="G456" s="489">
        <v>39.799999999999997</v>
      </c>
      <c r="H456" s="489">
        <v>0</v>
      </c>
      <c r="I456" s="487" t="s">
        <v>1593</v>
      </c>
      <c r="J456" s="487" t="s">
        <v>566</v>
      </c>
    </row>
    <row r="457" spans="1:10" ht="15" x14ac:dyDescent="0.2">
      <c r="A457" s="486" t="s">
        <v>565</v>
      </c>
      <c r="B457" s="487" t="s">
        <v>564</v>
      </c>
      <c r="C457" s="488" t="s">
        <v>2855</v>
      </c>
      <c r="D457" s="489" t="s">
        <v>2856</v>
      </c>
      <c r="E457" s="487" t="s">
        <v>2857</v>
      </c>
      <c r="F457" s="490">
        <v>7524.3</v>
      </c>
      <c r="G457" s="489">
        <v>134.30000000000001</v>
      </c>
      <c r="H457" s="489">
        <v>56.026060000000001</v>
      </c>
      <c r="I457" s="487" t="s">
        <v>1499</v>
      </c>
      <c r="J457" s="487" t="s">
        <v>566</v>
      </c>
    </row>
    <row r="458" spans="1:10" ht="15" x14ac:dyDescent="0.2">
      <c r="A458" s="486" t="s">
        <v>565</v>
      </c>
      <c r="B458" s="487" t="s">
        <v>564</v>
      </c>
      <c r="C458" s="488" t="s">
        <v>2858</v>
      </c>
      <c r="D458" s="489" t="s">
        <v>2859</v>
      </c>
      <c r="E458" s="487" t="s">
        <v>2860</v>
      </c>
      <c r="F458" s="490">
        <v>17550</v>
      </c>
      <c r="G458" s="489">
        <v>517.61</v>
      </c>
      <c r="H458" s="489">
        <v>33.905839999999998</v>
      </c>
      <c r="I458" s="487" t="s">
        <v>1499</v>
      </c>
      <c r="J458" s="487" t="s">
        <v>566</v>
      </c>
    </row>
    <row r="459" spans="1:10" ht="15" x14ac:dyDescent="0.2">
      <c r="A459" s="486" t="s">
        <v>565</v>
      </c>
      <c r="B459" s="487" t="s">
        <v>564</v>
      </c>
      <c r="C459" s="488" t="s">
        <v>2861</v>
      </c>
      <c r="D459" s="489" t="s">
        <v>2862</v>
      </c>
      <c r="E459" s="487" t="s">
        <v>2863</v>
      </c>
      <c r="F459" s="490">
        <v>251662</v>
      </c>
      <c r="G459" s="489">
        <v>1806.95</v>
      </c>
      <c r="H459" s="489">
        <v>139.27447000000001</v>
      </c>
      <c r="I459" s="487" t="s">
        <v>1499</v>
      </c>
      <c r="J459" s="487" t="s">
        <v>566</v>
      </c>
    </row>
    <row r="460" spans="1:10" ht="15" x14ac:dyDescent="0.2">
      <c r="A460" s="486" t="s">
        <v>565</v>
      </c>
      <c r="B460" s="487" t="s">
        <v>564</v>
      </c>
      <c r="C460" s="488" t="s">
        <v>2864</v>
      </c>
      <c r="D460" s="489" t="s">
        <v>2865</v>
      </c>
      <c r="E460" s="487" t="s">
        <v>2866</v>
      </c>
      <c r="F460" s="490">
        <v>15196</v>
      </c>
      <c r="G460" s="489">
        <v>326.08</v>
      </c>
      <c r="H460" s="489">
        <v>46.602060000000002</v>
      </c>
      <c r="I460" s="487" t="s">
        <v>1499</v>
      </c>
      <c r="J460" s="487" t="s">
        <v>566</v>
      </c>
    </row>
    <row r="461" spans="1:10" ht="15" x14ac:dyDescent="0.2">
      <c r="A461" s="486" t="s">
        <v>565</v>
      </c>
      <c r="B461" s="487" t="s">
        <v>564</v>
      </c>
      <c r="C461" s="488" t="s">
        <v>2867</v>
      </c>
      <c r="D461" s="489" t="s">
        <v>2868</v>
      </c>
      <c r="E461" s="487" t="s">
        <v>2869</v>
      </c>
      <c r="F461" s="490">
        <v>0</v>
      </c>
      <c r="G461" s="489">
        <v>7.1</v>
      </c>
      <c r="H461" s="489">
        <v>0</v>
      </c>
      <c r="I461" s="487" t="s">
        <v>1593</v>
      </c>
      <c r="J461" s="487" t="s">
        <v>566</v>
      </c>
    </row>
    <row r="462" spans="1:10" ht="15" x14ac:dyDescent="0.2">
      <c r="A462" s="486" t="s">
        <v>565</v>
      </c>
      <c r="B462" s="487" t="s">
        <v>564</v>
      </c>
      <c r="C462" s="488" t="s">
        <v>2870</v>
      </c>
      <c r="D462" s="489" t="s">
        <v>2871</v>
      </c>
      <c r="E462" s="487" t="s">
        <v>2872</v>
      </c>
      <c r="F462" s="490">
        <v>14555</v>
      </c>
      <c r="G462" s="489">
        <v>175.41</v>
      </c>
      <c r="H462" s="489">
        <v>82.977029999999999</v>
      </c>
      <c r="I462" s="487" t="s">
        <v>1499</v>
      </c>
      <c r="J462" s="487" t="s">
        <v>566</v>
      </c>
    </row>
    <row r="463" spans="1:10" ht="15" x14ac:dyDescent="0.2">
      <c r="A463" s="486" t="s">
        <v>565</v>
      </c>
      <c r="B463" s="487" t="s">
        <v>564</v>
      </c>
      <c r="C463" s="488" t="s">
        <v>2873</v>
      </c>
      <c r="D463" s="489" t="s">
        <v>2874</v>
      </c>
      <c r="E463" s="487" t="s">
        <v>2875</v>
      </c>
      <c r="F463" s="490">
        <v>39000</v>
      </c>
      <c r="G463" s="489">
        <v>304.69</v>
      </c>
      <c r="H463" s="489">
        <v>127.99894999999999</v>
      </c>
      <c r="I463" s="487" t="s">
        <v>1499</v>
      </c>
      <c r="J463" s="487" t="s">
        <v>566</v>
      </c>
    </row>
    <row r="464" spans="1:10" ht="15" x14ac:dyDescent="0.2">
      <c r="A464" s="486" t="s">
        <v>565</v>
      </c>
      <c r="B464" s="487" t="s">
        <v>564</v>
      </c>
      <c r="C464" s="488" t="s">
        <v>2876</v>
      </c>
      <c r="D464" s="489" t="s">
        <v>2877</v>
      </c>
      <c r="E464" s="487" t="s">
        <v>2878</v>
      </c>
      <c r="F464" s="490">
        <v>383452</v>
      </c>
      <c r="G464" s="489">
        <v>3691.53</v>
      </c>
      <c r="H464" s="489">
        <v>103.87345999999999</v>
      </c>
      <c r="I464" s="487" t="s">
        <v>1499</v>
      </c>
      <c r="J464" s="487" t="s">
        <v>566</v>
      </c>
    </row>
    <row r="465" spans="1:10" ht="15" x14ac:dyDescent="0.2">
      <c r="A465" s="486" t="s">
        <v>565</v>
      </c>
      <c r="B465" s="487" t="s">
        <v>564</v>
      </c>
      <c r="C465" s="488" t="s">
        <v>2879</v>
      </c>
      <c r="D465" s="489" t="s">
        <v>2880</v>
      </c>
      <c r="E465" s="487" t="s">
        <v>2881</v>
      </c>
      <c r="F465" s="490">
        <v>38382</v>
      </c>
      <c r="G465" s="489">
        <v>467.32</v>
      </c>
      <c r="H465" s="489">
        <v>82.132159999999999</v>
      </c>
      <c r="I465" s="487" t="s">
        <v>1499</v>
      </c>
      <c r="J465" s="487" t="s">
        <v>566</v>
      </c>
    </row>
    <row r="466" spans="1:10" ht="15" x14ac:dyDescent="0.2">
      <c r="A466" s="486" t="s">
        <v>565</v>
      </c>
      <c r="B466" s="487" t="s">
        <v>564</v>
      </c>
      <c r="C466" s="488" t="s">
        <v>2882</v>
      </c>
      <c r="D466" s="489" t="s">
        <v>2883</v>
      </c>
      <c r="E466" s="487" t="s">
        <v>2884</v>
      </c>
      <c r="F466" s="490">
        <v>28350</v>
      </c>
      <c r="G466" s="489">
        <v>371.74</v>
      </c>
      <c r="H466" s="489">
        <v>76.262979999999999</v>
      </c>
      <c r="I466" s="487" t="s">
        <v>1499</v>
      </c>
      <c r="J466" s="487" t="s">
        <v>566</v>
      </c>
    </row>
    <row r="467" spans="1:10" ht="15" x14ac:dyDescent="0.2">
      <c r="A467" s="486" t="s">
        <v>565</v>
      </c>
      <c r="B467" s="487" t="s">
        <v>564</v>
      </c>
      <c r="C467" s="488" t="s">
        <v>2885</v>
      </c>
      <c r="D467" s="489" t="s">
        <v>2886</v>
      </c>
      <c r="E467" s="487" t="s">
        <v>2887</v>
      </c>
      <c r="F467" s="490">
        <v>0</v>
      </c>
      <c r="G467" s="489">
        <v>76.16</v>
      </c>
      <c r="H467" s="489">
        <v>0</v>
      </c>
      <c r="I467" s="487" t="s">
        <v>1593</v>
      </c>
      <c r="J467" s="487" t="s">
        <v>566</v>
      </c>
    </row>
    <row r="468" spans="1:10" ht="15" x14ac:dyDescent="0.2">
      <c r="A468" s="486" t="s">
        <v>565</v>
      </c>
      <c r="B468" s="487" t="s">
        <v>564</v>
      </c>
      <c r="C468" s="488" t="s">
        <v>2888</v>
      </c>
      <c r="D468" s="489" t="s">
        <v>2889</v>
      </c>
      <c r="E468" s="487" t="s">
        <v>2890</v>
      </c>
      <c r="F468" s="490">
        <v>110000</v>
      </c>
      <c r="G468" s="489">
        <v>1979.43</v>
      </c>
      <c r="H468" s="489">
        <v>55.571550000000002</v>
      </c>
      <c r="I468" s="487" t="s">
        <v>1499</v>
      </c>
      <c r="J468" s="487" t="s">
        <v>566</v>
      </c>
    </row>
    <row r="469" spans="1:10" ht="15" x14ac:dyDescent="0.2">
      <c r="A469" s="486" t="s">
        <v>565</v>
      </c>
      <c r="B469" s="487" t="s">
        <v>564</v>
      </c>
      <c r="C469" s="488" t="s">
        <v>2891</v>
      </c>
      <c r="D469" s="489" t="s">
        <v>2892</v>
      </c>
      <c r="E469" s="487" t="s">
        <v>2893</v>
      </c>
      <c r="F469" s="490">
        <v>750</v>
      </c>
      <c r="G469" s="489">
        <v>78.25</v>
      </c>
      <c r="H469" s="489">
        <v>9.5846599999999995</v>
      </c>
      <c r="I469" s="487" t="s">
        <v>1499</v>
      </c>
      <c r="J469" s="487" t="s">
        <v>566</v>
      </c>
    </row>
    <row r="470" spans="1:10" ht="15" x14ac:dyDescent="0.2">
      <c r="A470" s="486" t="s">
        <v>565</v>
      </c>
      <c r="B470" s="487" t="s">
        <v>564</v>
      </c>
      <c r="C470" s="488" t="s">
        <v>2894</v>
      </c>
      <c r="D470" s="489" t="s">
        <v>2895</v>
      </c>
      <c r="E470" s="487" t="s">
        <v>2896</v>
      </c>
      <c r="F470" s="490">
        <v>40000</v>
      </c>
      <c r="G470" s="489">
        <v>284.32</v>
      </c>
      <c r="H470" s="489">
        <v>140.68655000000001</v>
      </c>
      <c r="I470" s="487" t="s">
        <v>1499</v>
      </c>
      <c r="J470" s="487" t="s">
        <v>566</v>
      </c>
    </row>
    <row r="471" spans="1:10" ht="15" x14ac:dyDescent="0.2">
      <c r="A471" s="486" t="s">
        <v>565</v>
      </c>
      <c r="B471" s="487" t="s">
        <v>564</v>
      </c>
      <c r="C471" s="488" t="s">
        <v>2897</v>
      </c>
      <c r="D471" s="489" t="s">
        <v>2898</v>
      </c>
      <c r="E471" s="487" t="s">
        <v>2122</v>
      </c>
      <c r="F471" s="490">
        <v>0</v>
      </c>
      <c r="G471" s="489">
        <v>50.62</v>
      </c>
      <c r="H471" s="489">
        <v>0</v>
      </c>
      <c r="I471" s="487" t="s">
        <v>1593</v>
      </c>
      <c r="J471" s="487" t="s">
        <v>566</v>
      </c>
    </row>
    <row r="472" spans="1:10" ht="15" x14ac:dyDescent="0.2">
      <c r="A472" s="486" t="s">
        <v>565</v>
      </c>
      <c r="B472" s="487" t="s">
        <v>564</v>
      </c>
      <c r="C472" s="488" t="s">
        <v>2899</v>
      </c>
      <c r="D472" s="489" t="s">
        <v>2900</v>
      </c>
      <c r="E472" s="487" t="s">
        <v>2901</v>
      </c>
      <c r="F472" s="490">
        <v>23603</v>
      </c>
      <c r="G472" s="489">
        <v>191.07</v>
      </c>
      <c r="H472" s="489">
        <v>123.53064000000001</v>
      </c>
      <c r="I472" s="487" t="s">
        <v>1499</v>
      </c>
      <c r="J472" s="487" t="s">
        <v>566</v>
      </c>
    </row>
    <row r="473" spans="1:10" ht="15" x14ac:dyDescent="0.2">
      <c r="A473" s="486" t="s">
        <v>565</v>
      </c>
      <c r="B473" s="487" t="s">
        <v>564</v>
      </c>
      <c r="C473" s="488" t="s">
        <v>2902</v>
      </c>
      <c r="D473" s="489" t="s">
        <v>2903</v>
      </c>
      <c r="E473" s="487" t="s">
        <v>2904</v>
      </c>
      <c r="F473" s="490">
        <v>10750</v>
      </c>
      <c r="G473" s="489">
        <v>114.84</v>
      </c>
      <c r="H473" s="489">
        <v>93.608500000000006</v>
      </c>
      <c r="I473" s="487" t="s">
        <v>1499</v>
      </c>
      <c r="J473" s="487" t="s">
        <v>566</v>
      </c>
    </row>
    <row r="474" spans="1:10" ht="15" x14ac:dyDescent="0.2">
      <c r="A474" s="486" t="s">
        <v>565</v>
      </c>
      <c r="B474" s="487" t="s">
        <v>564</v>
      </c>
      <c r="C474" s="488" t="s">
        <v>2905</v>
      </c>
      <c r="D474" s="489" t="s">
        <v>2906</v>
      </c>
      <c r="E474" s="487" t="s">
        <v>2907</v>
      </c>
      <c r="F474" s="490">
        <v>192412</v>
      </c>
      <c r="G474" s="489">
        <v>1392.76</v>
      </c>
      <c r="H474" s="489">
        <v>138.15158</v>
      </c>
      <c r="I474" s="487" t="s">
        <v>1499</v>
      </c>
      <c r="J474" s="487" t="s">
        <v>566</v>
      </c>
    </row>
    <row r="475" spans="1:10" ht="15" x14ac:dyDescent="0.2">
      <c r="A475" s="486" t="s">
        <v>565</v>
      </c>
      <c r="B475" s="487" t="s">
        <v>564</v>
      </c>
      <c r="C475" s="488" t="s">
        <v>2908</v>
      </c>
      <c r="D475" s="489" t="s">
        <v>2909</v>
      </c>
      <c r="E475" s="487" t="s">
        <v>2910</v>
      </c>
      <c r="F475" s="490">
        <v>22000</v>
      </c>
      <c r="G475" s="489">
        <v>445.01</v>
      </c>
      <c r="H475" s="489">
        <v>49.437089999999998</v>
      </c>
      <c r="I475" s="487" t="s">
        <v>1499</v>
      </c>
      <c r="J475" s="487" t="s">
        <v>566</v>
      </c>
    </row>
    <row r="476" spans="1:10" ht="15" x14ac:dyDescent="0.2">
      <c r="A476" s="486" t="s">
        <v>565</v>
      </c>
      <c r="B476" s="487" t="s">
        <v>564</v>
      </c>
      <c r="C476" s="488" t="s">
        <v>2911</v>
      </c>
      <c r="D476" s="489" t="s">
        <v>2912</v>
      </c>
      <c r="E476" s="487" t="s">
        <v>2913</v>
      </c>
      <c r="F476" s="490">
        <v>236040</v>
      </c>
      <c r="G476" s="489">
        <v>3250.93</v>
      </c>
      <c r="H476" s="489">
        <v>72.606920000000002</v>
      </c>
      <c r="I476" s="487" t="s">
        <v>1499</v>
      </c>
      <c r="J476" s="487" t="s">
        <v>566</v>
      </c>
    </row>
    <row r="477" spans="1:10" ht="15" x14ac:dyDescent="0.2">
      <c r="A477" s="486" t="s">
        <v>565</v>
      </c>
      <c r="B477" s="487" t="s">
        <v>564</v>
      </c>
      <c r="C477" s="488" t="s">
        <v>2914</v>
      </c>
      <c r="D477" s="489" t="s">
        <v>2915</v>
      </c>
      <c r="E477" s="487" t="s">
        <v>2393</v>
      </c>
      <c r="F477" s="490">
        <v>0</v>
      </c>
      <c r="G477" s="489">
        <v>149.29</v>
      </c>
      <c r="H477" s="489">
        <v>0</v>
      </c>
      <c r="I477" s="487" t="s">
        <v>1593</v>
      </c>
      <c r="J477" s="487" t="s">
        <v>566</v>
      </c>
    </row>
    <row r="478" spans="1:10" ht="15" x14ac:dyDescent="0.2">
      <c r="A478" s="486" t="s">
        <v>565</v>
      </c>
      <c r="B478" s="487" t="s">
        <v>564</v>
      </c>
      <c r="C478" s="488" t="s">
        <v>2916</v>
      </c>
      <c r="D478" s="489" t="s">
        <v>2917</v>
      </c>
      <c r="E478" s="487" t="s">
        <v>2918</v>
      </c>
      <c r="F478" s="490">
        <v>0</v>
      </c>
      <c r="G478" s="489">
        <v>22.14</v>
      </c>
      <c r="H478" s="489">
        <v>0</v>
      </c>
      <c r="I478" s="487" t="s">
        <v>1593</v>
      </c>
      <c r="J478" s="487" t="s">
        <v>566</v>
      </c>
    </row>
    <row r="479" spans="1:10" ht="15" x14ac:dyDescent="0.2">
      <c r="A479" s="486" t="s">
        <v>565</v>
      </c>
      <c r="B479" s="487" t="s">
        <v>564</v>
      </c>
      <c r="C479" s="488" t="s">
        <v>2919</v>
      </c>
      <c r="D479" s="489" t="s">
        <v>2920</v>
      </c>
      <c r="E479" s="487" t="s">
        <v>2921</v>
      </c>
      <c r="F479" s="490">
        <v>0</v>
      </c>
      <c r="G479" s="489">
        <v>17.45</v>
      </c>
      <c r="H479" s="489">
        <v>0</v>
      </c>
      <c r="I479" s="487" t="s">
        <v>1593</v>
      </c>
      <c r="J479" s="487" t="s">
        <v>566</v>
      </c>
    </row>
    <row r="480" spans="1:10" ht="15" x14ac:dyDescent="0.2">
      <c r="A480" s="486" t="s">
        <v>565</v>
      </c>
      <c r="B480" s="487" t="s">
        <v>564</v>
      </c>
      <c r="C480" s="488" t="s">
        <v>2922</v>
      </c>
      <c r="D480" s="489" t="s">
        <v>2923</v>
      </c>
      <c r="E480" s="487" t="s">
        <v>2924</v>
      </c>
      <c r="F480" s="490">
        <v>57620.15</v>
      </c>
      <c r="G480" s="489">
        <v>347.57</v>
      </c>
      <c r="H480" s="489">
        <v>165.77999</v>
      </c>
      <c r="I480" s="487" t="s">
        <v>1499</v>
      </c>
      <c r="J480" s="487" t="s">
        <v>566</v>
      </c>
    </row>
    <row r="481" spans="1:10" ht="15" x14ac:dyDescent="0.2">
      <c r="A481" s="486" t="s">
        <v>565</v>
      </c>
      <c r="B481" s="487" t="s">
        <v>564</v>
      </c>
      <c r="C481" s="488" t="s">
        <v>2925</v>
      </c>
      <c r="D481" s="489" t="s">
        <v>2926</v>
      </c>
      <c r="E481" s="487" t="s">
        <v>2927</v>
      </c>
      <c r="F481" s="490">
        <v>27000</v>
      </c>
      <c r="G481" s="489">
        <v>355.64</v>
      </c>
      <c r="H481" s="489">
        <v>75.919470000000004</v>
      </c>
      <c r="I481" s="487" t="s">
        <v>1499</v>
      </c>
      <c r="J481" s="487" t="s">
        <v>566</v>
      </c>
    </row>
    <row r="482" spans="1:10" ht="15" x14ac:dyDescent="0.2">
      <c r="A482" s="486" t="s">
        <v>565</v>
      </c>
      <c r="B482" s="487" t="s">
        <v>564</v>
      </c>
      <c r="C482" s="488" t="s">
        <v>2928</v>
      </c>
      <c r="D482" s="489" t="s">
        <v>2929</v>
      </c>
      <c r="E482" s="487" t="s">
        <v>2930</v>
      </c>
      <c r="F482" s="490">
        <v>369830</v>
      </c>
      <c r="G482" s="489">
        <v>4907.29</v>
      </c>
      <c r="H482" s="489">
        <v>75.363389999999995</v>
      </c>
      <c r="I482" s="487" t="s">
        <v>1499</v>
      </c>
      <c r="J482" s="487" t="s">
        <v>566</v>
      </c>
    </row>
    <row r="483" spans="1:10" ht="15" x14ac:dyDescent="0.2">
      <c r="A483" s="486" t="s">
        <v>565</v>
      </c>
      <c r="B483" s="487" t="s">
        <v>564</v>
      </c>
      <c r="C483" s="488" t="s">
        <v>2931</v>
      </c>
      <c r="D483" s="489" t="s">
        <v>2932</v>
      </c>
      <c r="E483" s="487" t="s">
        <v>2933</v>
      </c>
      <c r="F483" s="490">
        <v>26475</v>
      </c>
      <c r="G483" s="489">
        <v>271.81</v>
      </c>
      <c r="H483" s="489">
        <v>97.402600000000007</v>
      </c>
      <c r="I483" s="487" t="s">
        <v>1499</v>
      </c>
      <c r="J483" s="487" t="s">
        <v>566</v>
      </c>
    </row>
    <row r="484" spans="1:10" ht="15" x14ac:dyDescent="0.2">
      <c r="A484" s="486" t="s">
        <v>565</v>
      </c>
      <c r="B484" s="487" t="s">
        <v>564</v>
      </c>
      <c r="C484" s="488" t="s">
        <v>2934</v>
      </c>
      <c r="D484" s="489" t="s">
        <v>2935</v>
      </c>
      <c r="E484" s="487" t="s">
        <v>2936</v>
      </c>
      <c r="F484" s="490">
        <v>8665</v>
      </c>
      <c r="G484" s="489">
        <v>173.06</v>
      </c>
      <c r="H484" s="489">
        <v>50.069339999999997</v>
      </c>
      <c r="I484" s="487" t="s">
        <v>1499</v>
      </c>
      <c r="J484" s="487" t="s">
        <v>566</v>
      </c>
    </row>
    <row r="485" spans="1:10" ht="15" x14ac:dyDescent="0.2">
      <c r="A485" s="486" t="s">
        <v>565</v>
      </c>
      <c r="B485" s="487" t="s">
        <v>564</v>
      </c>
      <c r="C485" s="488" t="s">
        <v>2937</v>
      </c>
      <c r="D485" s="489" t="s">
        <v>2938</v>
      </c>
      <c r="E485" s="487" t="s">
        <v>2939</v>
      </c>
      <c r="F485" s="490">
        <v>42000</v>
      </c>
      <c r="G485" s="489">
        <v>556.16</v>
      </c>
      <c r="H485" s="489">
        <v>75.517840000000007</v>
      </c>
      <c r="I485" s="487" t="s">
        <v>1499</v>
      </c>
      <c r="J485" s="487" t="s">
        <v>566</v>
      </c>
    </row>
    <row r="486" spans="1:10" ht="15" x14ac:dyDescent="0.2">
      <c r="A486" s="486" t="s">
        <v>565</v>
      </c>
      <c r="B486" s="487" t="s">
        <v>564</v>
      </c>
      <c r="C486" s="488" t="s">
        <v>2940</v>
      </c>
      <c r="D486" s="489" t="s">
        <v>2941</v>
      </c>
      <c r="E486" s="487" t="s">
        <v>2942</v>
      </c>
      <c r="F486" s="490">
        <v>49324</v>
      </c>
      <c r="G486" s="489">
        <v>429.36</v>
      </c>
      <c r="H486" s="489">
        <v>114.87796</v>
      </c>
      <c r="I486" s="487" t="s">
        <v>1499</v>
      </c>
      <c r="J486" s="487" t="s">
        <v>566</v>
      </c>
    </row>
    <row r="487" spans="1:10" ht="15" x14ac:dyDescent="0.2">
      <c r="A487" s="486" t="s">
        <v>565</v>
      </c>
      <c r="B487" s="487" t="s">
        <v>564</v>
      </c>
      <c r="C487" s="488" t="s">
        <v>2943</v>
      </c>
      <c r="D487" s="489" t="s">
        <v>2944</v>
      </c>
      <c r="E487" s="487" t="s">
        <v>2945</v>
      </c>
      <c r="F487" s="490">
        <v>34000</v>
      </c>
      <c r="G487" s="489">
        <v>511.69</v>
      </c>
      <c r="H487" s="489">
        <v>66.446479999999994</v>
      </c>
      <c r="I487" s="487" t="s">
        <v>1499</v>
      </c>
      <c r="J487" s="487" t="s">
        <v>566</v>
      </c>
    </row>
    <row r="488" spans="1:10" ht="15" x14ac:dyDescent="0.2">
      <c r="A488" s="486" t="s">
        <v>565</v>
      </c>
      <c r="B488" s="487" t="s">
        <v>564</v>
      </c>
      <c r="C488" s="488" t="s">
        <v>2946</v>
      </c>
      <c r="D488" s="489" t="s">
        <v>2947</v>
      </c>
      <c r="E488" s="487" t="s">
        <v>2948</v>
      </c>
      <c r="F488" s="490">
        <v>17940</v>
      </c>
      <c r="G488" s="489">
        <v>759.91</v>
      </c>
      <c r="H488" s="489">
        <v>23.608059999999998</v>
      </c>
      <c r="I488" s="487" t="s">
        <v>1499</v>
      </c>
      <c r="J488" s="487" t="s">
        <v>566</v>
      </c>
    </row>
    <row r="489" spans="1:10" ht="15" x14ac:dyDescent="0.2">
      <c r="A489" s="486" t="s">
        <v>565</v>
      </c>
      <c r="B489" s="487" t="s">
        <v>564</v>
      </c>
      <c r="C489" s="488" t="s">
        <v>2949</v>
      </c>
      <c r="D489" s="489" t="s">
        <v>2950</v>
      </c>
      <c r="E489" s="487" t="s">
        <v>2951</v>
      </c>
      <c r="F489" s="490">
        <v>330168</v>
      </c>
      <c r="G489" s="489">
        <v>4977.5200000000004</v>
      </c>
      <c r="H489" s="489">
        <v>66.331829999999997</v>
      </c>
      <c r="I489" s="487" t="s">
        <v>1499</v>
      </c>
      <c r="J489" s="487" t="s">
        <v>566</v>
      </c>
    </row>
    <row r="490" spans="1:10" ht="15" x14ac:dyDescent="0.2">
      <c r="A490" s="486" t="s">
        <v>565</v>
      </c>
      <c r="B490" s="487" t="s">
        <v>564</v>
      </c>
      <c r="C490" s="488" t="s">
        <v>2952</v>
      </c>
      <c r="D490" s="489" t="s">
        <v>2953</v>
      </c>
      <c r="E490" s="487" t="s">
        <v>2954</v>
      </c>
      <c r="F490" s="490">
        <v>20851</v>
      </c>
      <c r="G490" s="489">
        <v>461.96</v>
      </c>
      <c r="H490" s="489">
        <v>45.135939999999998</v>
      </c>
      <c r="I490" s="487" t="s">
        <v>1499</v>
      </c>
      <c r="J490" s="487" t="s">
        <v>566</v>
      </c>
    </row>
    <row r="491" spans="1:10" ht="15" x14ac:dyDescent="0.2">
      <c r="A491" s="486" t="s">
        <v>565</v>
      </c>
      <c r="B491" s="487" t="s">
        <v>564</v>
      </c>
      <c r="C491" s="488" t="s">
        <v>2955</v>
      </c>
      <c r="D491" s="489" t="s">
        <v>2956</v>
      </c>
      <c r="E491" s="487" t="s">
        <v>2957</v>
      </c>
      <c r="F491" s="490">
        <v>585390</v>
      </c>
      <c r="G491" s="489">
        <v>3152.54</v>
      </c>
      <c r="H491" s="489">
        <v>185.68836999999999</v>
      </c>
      <c r="I491" s="487" t="s">
        <v>1499</v>
      </c>
      <c r="J491" s="487" t="s">
        <v>566</v>
      </c>
    </row>
    <row r="492" spans="1:10" ht="15" x14ac:dyDescent="0.2">
      <c r="A492" s="486" t="s">
        <v>565</v>
      </c>
      <c r="B492" s="487" t="s">
        <v>564</v>
      </c>
      <c r="C492" s="488" t="s">
        <v>2958</v>
      </c>
      <c r="D492" s="489" t="s">
        <v>2959</v>
      </c>
      <c r="E492" s="487" t="s">
        <v>831</v>
      </c>
      <c r="F492" s="490">
        <v>50107.9</v>
      </c>
      <c r="G492" s="489">
        <v>354.28</v>
      </c>
      <c r="H492" s="489">
        <v>141.43586999999999</v>
      </c>
      <c r="I492" s="487" t="s">
        <v>1499</v>
      </c>
      <c r="J492" s="487" t="s">
        <v>566</v>
      </c>
    </row>
    <row r="493" spans="1:10" ht="15" x14ac:dyDescent="0.2">
      <c r="A493" s="486" t="s">
        <v>565</v>
      </c>
      <c r="B493" s="487" t="s">
        <v>564</v>
      </c>
      <c r="C493" s="488" t="s">
        <v>2960</v>
      </c>
      <c r="D493" s="489" t="s">
        <v>2961</v>
      </c>
      <c r="E493" s="487" t="s">
        <v>2962</v>
      </c>
      <c r="F493" s="490">
        <v>57000</v>
      </c>
      <c r="G493" s="489">
        <v>847.8</v>
      </c>
      <c r="H493" s="489">
        <v>67.232839999999996</v>
      </c>
      <c r="I493" s="487" t="s">
        <v>1499</v>
      </c>
      <c r="J493" s="487" t="s">
        <v>566</v>
      </c>
    </row>
    <row r="494" spans="1:10" ht="15" x14ac:dyDescent="0.2">
      <c r="A494" s="486" t="s">
        <v>565</v>
      </c>
      <c r="B494" s="487" t="s">
        <v>564</v>
      </c>
      <c r="C494" s="488" t="s">
        <v>2963</v>
      </c>
      <c r="D494" s="489" t="s">
        <v>2964</v>
      </c>
      <c r="E494" s="487" t="s">
        <v>2965</v>
      </c>
      <c r="F494" s="490">
        <v>13500</v>
      </c>
      <c r="G494" s="489">
        <v>149.16</v>
      </c>
      <c r="H494" s="489">
        <v>90.506839999999997</v>
      </c>
      <c r="I494" s="487" t="s">
        <v>1499</v>
      </c>
      <c r="J494" s="487" t="s">
        <v>566</v>
      </c>
    </row>
    <row r="495" spans="1:10" ht="15" x14ac:dyDescent="0.2">
      <c r="A495" s="486" t="s">
        <v>565</v>
      </c>
      <c r="B495" s="487" t="s">
        <v>564</v>
      </c>
      <c r="C495" s="488" t="s">
        <v>2966</v>
      </c>
      <c r="D495" s="489" t="s">
        <v>2967</v>
      </c>
      <c r="E495" s="487" t="s">
        <v>2968</v>
      </c>
      <c r="F495" s="490">
        <v>293336.58</v>
      </c>
      <c r="G495" s="489">
        <v>4059.46</v>
      </c>
      <c r="H495" s="489">
        <v>72.260000000000005</v>
      </c>
      <c r="I495" s="487" t="s">
        <v>1499</v>
      </c>
      <c r="J495" s="487" t="s">
        <v>566</v>
      </c>
    </row>
    <row r="496" spans="1:10" ht="15" x14ac:dyDescent="0.2">
      <c r="A496" s="486" t="s">
        <v>565</v>
      </c>
      <c r="B496" s="487" t="s">
        <v>564</v>
      </c>
      <c r="C496" s="488" t="s">
        <v>2969</v>
      </c>
      <c r="D496" s="489" t="s">
        <v>2970</v>
      </c>
      <c r="E496" s="487" t="s">
        <v>2971</v>
      </c>
      <c r="F496" s="490">
        <v>24027</v>
      </c>
      <c r="G496" s="489">
        <v>406.82</v>
      </c>
      <c r="H496" s="489">
        <v>59.060519999999997</v>
      </c>
      <c r="I496" s="487" t="s">
        <v>1499</v>
      </c>
      <c r="J496" s="487" t="s">
        <v>566</v>
      </c>
    </row>
    <row r="497" spans="1:10" ht="15" x14ac:dyDescent="0.2">
      <c r="A497" s="486" t="s">
        <v>565</v>
      </c>
      <c r="B497" s="487" t="s">
        <v>564</v>
      </c>
      <c r="C497" s="488" t="s">
        <v>2972</v>
      </c>
      <c r="D497" s="489" t="s">
        <v>2973</v>
      </c>
      <c r="E497" s="487" t="s">
        <v>2974</v>
      </c>
      <c r="F497" s="490">
        <v>3000</v>
      </c>
      <c r="G497" s="489">
        <v>83.94</v>
      </c>
      <c r="H497" s="489">
        <v>35.739809999999999</v>
      </c>
      <c r="I497" s="487" t="s">
        <v>1499</v>
      </c>
      <c r="J497" s="487" t="s">
        <v>566</v>
      </c>
    </row>
    <row r="498" spans="1:10" ht="15" x14ac:dyDescent="0.2">
      <c r="A498" s="486" t="s">
        <v>565</v>
      </c>
      <c r="B498" s="487" t="s">
        <v>564</v>
      </c>
      <c r="C498" s="488" t="s">
        <v>2975</v>
      </c>
      <c r="D498" s="489" t="s">
        <v>2976</v>
      </c>
      <c r="E498" s="487" t="s">
        <v>2977</v>
      </c>
      <c r="F498" s="490">
        <v>59200</v>
      </c>
      <c r="G498" s="489">
        <v>24397.68</v>
      </c>
      <c r="H498" s="489">
        <v>2.4264600000000001</v>
      </c>
      <c r="I498" s="487" t="s">
        <v>1654</v>
      </c>
      <c r="J498" s="487" t="s">
        <v>566</v>
      </c>
    </row>
    <row r="499" spans="1:10" ht="15" x14ac:dyDescent="0.2">
      <c r="A499" s="486" t="s">
        <v>565</v>
      </c>
      <c r="B499" s="487" t="s">
        <v>564</v>
      </c>
      <c r="C499" s="488" t="s">
        <v>2978</v>
      </c>
      <c r="D499" s="489" t="s">
        <v>2979</v>
      </c>
      <c r="E499" s="487" t="s">
        <v>2980</v>
      </c>
      <c r="F499" s="490">
        <v>8000</v>
      </c>
      <c r="G499" s="489">
        <v>107.47</v>
      </c>
      <c r="H499" s="489">
        <v>74.43938</v>
      </c>
      <c r="I499" s="487" t="s">
        <v>1499</v>
      </c>
      <c r="J499" s="487" t="s">
        <v>566</v>
      </c>
    </row>
    <row r="500" spans="1:10" ht="15" x14ac:dyDescent="0.2">
      <c r="A500" s="486" t="s">
        <v>565</v>
      </c>
      <c r="B500" s="487" t="s">
        <v>564</v>
      </c>
      <c r="C500" s="488" t="s">
        <v>2981</v>
      </c>
      <c r="D500" s="489" t="s">
        <v>2982</v>
      </c>
      <c r="E500" s="487" t="s">
        <v>2983</v>
      </c>
      <c r="F500" s="490">
        <v>0</v>
      </c>
      <c r="G500" s="489">
        <v>50.85</v>
      </c>
      <c r="H500" s="489">
        <v>0</v>
      </c>
      <c r="I500" s="487" t="s">
        <v>1593</v>
      </c>
      <c r="J500" s="487" t="s">
        <v>566</v>
      </c>
    </row>
    <row r="501" spans="1:10" ht="15" x14ac:dyDescent="0.2">
      <c r="A501" s="486" t="s">
        <v>565</v>
      </c>
      <c r="B501" s="487" t="s">
        <v>564</v>
      </c>
      <c r="C501" s="488" t="s">
        <v>2984</v>
      </c>
      <c r="D501" s="489" t="s">
        <v>2985</v>
      </c>
      <c r="E501" s="487" t="s">
        <v>2986</v>
      </c>
      <c r="F501" s="490">
        <v>0</v>
      </c>
      <c r="G501" s="489">
        <v>33.29</v>
      </c>
      <c r="H501" s="489">
        <v>0</v>
      </c>
      <c r="I501" s="487" t="s">
        <v>1593</v>
      </c>
      <c r="J501" s="487" t="s">
        <v>566</v>
      </c>
    </row>
    <row r="502" spans="1:10" ht="15" x14ac:dyDescent="0.2">
      <c r="A502" s="486" t="s">
        <v>565</v>
      </c>
      <c r="B502" s="487" t="s">
        <v>564</v>
      </c>
      <c r="C502" s="488" t="s">
        <v>2987</v>
      </c>
      <c r="D502" s="489" t="s">
        <v>2988</v>
      </c>
      <c r="E502" s="487" t="s">
        <v>2989</v>
      </c>
      <c r="F502" s="490">
        <v>287532</v>
      </c>
      <c r="G502" s="489">
        <v>4138.01</v>
      </c>
      <c r="H502" s="489">
        <v>69.485569999999996</v>
      </c>
      <c r="I502" s="487" t="s">
        <v>1499</v>
      </c>
      <c r="J502" s="487" t="s">
        <v>566</v>
      </c>
    </row>
    <row r="503" spans="1:10" ht="15" x14ac:dyDescent="0.2">
      <c r="A503" s="486" t="s">
        <v>565</v>
      </c>
      <c r="B503" s="487" t="s">
        <v>564</v>
      </c>
      <c r="C503" s="488" t="s">
        <v>2990</v>
      </c>
      <c r="D503" s="489" t="s">
        <v>2991</v>
      </c>
      <c r="E503" s="487" t="s">
        <v>2992</v>
      </c>
      <c r="F503" s="490">
        <v>5844</v>
      </c>
      <c r="G503" s="489">
        <v>56.61</v>
      </c>
      <c r="H503" s="489">
        <v>103.23264</v>
      </c>
      <c r="I503" s="487" t="s">
        <v>1499</v>
      </c>
      <c r="J503" s="487" t="s">
        <v>566</v>
      </c>
    </row>
    <row r="504" spans="1:10" ht="15" x14ac:dyDescent="0.2">
      <c r="A504" s="486" t="s">
        <v>565</v>
      </c>
      <c r="B504" s="487" t="s">
        <v>564</v>
      </c>
      <c r="C504" s="488" t="s">
        <v>2993</v>
      </c>
      <c r="D504" s="489" t="s">
        <v>2994</v>
      </c>
      <c r="E504" s="487" t="s">
        <v>2995</v>
      </c>
      <c r="F504" s="490">
        <v>9500</v>
      </c>
      <c r="G504" s="489">
        <v>151.87</v>
      </c>
      <c r="H504" s="489">
        <v>62.5535</v>
      </c>
      <c r="I504" s="487" t="s">
        <v>1499</v>
      </c>
      <c r="J504" s="487" t="s">
        <v>566</v>
      </c>
    </row>
    <row r="505" spans="1:10" ht="15" x14ac:dyDescent="0.2">
      <c r="A505" s="486" t="s">
        <v>565</v>
      </c>
      <c r="B505" s="487" t="s">
        <v>564</v>
      </c>
      <c r="C505" s="488" t="s">
        <v>2996</v>
      </c>
      <c r="D505" s="489" t="s">
        <v>2997</v>
      </c>
      <c r="E505" s="487" t="s">
        <v>2998</v>
      </c>
      <c r="F505" s="490">
        <v>26128</v>
      </c>
      <c r="G505" s="489">
        <v>408.25</v>
      </c>
      <c r="H505" s="489">
        <v>64</v>
      </c>
      <c r="I505" s="487" t="s">
        <v>1499</v>
      </c>
      <c r="J505" s="487" t="s">
        <v>566</v>
      </c>
    </row>
    <row r="506" spans="1:10" ht="15" x14ac:dyDescent="0.2">
      <c r="A506" s="486" t="s">
        <v>565</v>
      </c>
      <c r="B506" s="487" t="s">
        <v>564</v>
      </c>
      <c r="C506" s="488" t="s">
        <v>2999</v>
      </c>
      <c r="D506" s="489" t="s">
        <v>3000</v>
      </c>
      <c r="E506" s="487" t="s">
        <v>3001</v>
      </c>
      <c r="F506" s="490">
        <v>691326.26</v>
      </c>
      <c r="G506" s="489">
        <v>4866.47</v>
      </c>
      <c r="H506" s="489">
        <v>142.05907999999999</v>
      </c>
      <c r="I506" s="487" t="s">
        <v>1499</v>
      </c>
      <c r="J506" s="487" t="s">
        <v>566</v>
      </c>
    </row>
    <row r="507" spans="1:10" ht="15" x14ac:dyDescent="0.2">
      <c r="A507" s="486" t="s">
        <v>565</v>
      </c>
      <c r="B507" s="487" t="s">
        <v>564</v>
      </c>
      <c r="C507" s="488" t="s">
        <v>3002</v>
      </c>
      <c r="D507" s="489" t="s">
        <v>3003</v>
      </c>
      <c r="E507" s="487" t="s">
        <v>3004</v>
      </c>
      <c r="F507" s="490">
        <v>81450</v>
      </c>
      <c r="G507" s="489">
        <v>430.38</v>
      </c>
      <c r="H507" s="489">
        <v>189.25136000000001</v>
      </c>
      <c r="I507" s="487" t="s">
        <v>1499</v>
      </c>
      <c r="J507" s="487" t="s">
        <v>566</v>
      </c>
    </row>
    <row r="508" spans="1:10" ht="15" x14ac:dyDescent="0.2">
      <c r="A508" s="486" t="s">
        <v>565</v>
      </c>
      <c r="B508" s="487" t="s">
        <v>564</v>
      </c>
      <c r="C508" s="488" t="s">
        <v>3005</v>
      </c>
      <c r="D508" s="489" t="s">
        <v>3006</v>
      </c>
      <c r="E508" s="487" t="s">
        <v>3007</v>
      </c>
      <c r="F508" s="490">
        <v>0</v>
      </c>
      <c r="G508" s="489">
        <v>75.77</v>
      </c>
      <c r="H508" s="489">
        <v>0</v>
      </c>
      <c r="I508" s="487" t="s">
        <v>1593</v>
      </c>
      <c r="J508" s="487" t="s">
        <v>566</v>
      </c>
    </row>
    <row r="509" spans="1:10" ht="15" x14ac:dyDescent="0.2">
      <c r="A509" s="486" t="s">
        <v>565</v>
      </c>
      <c r="B509" s="487" t="s">
        <v>564</v>
      </c>
      <c r="C509" s="488" t="s">
        <v>3008</v>
      </c>
      <c r="D509" s="489" t="s">
        <v>3009</v>
      </c>
      <c r="E509" s="487" t="s">
        <v>1798</v>
      </c>
      <c r="F509" s="490">
        <v>0</v>
      </c>
      <c r="G509" s="489">
        <v>40.229999999999997</v>
      </c>
      <c r="H509" s="489">
        <v>0</v>
      </c>
      <c r="I509" s="487" t="s">
        <v>1593</v>
      </c>
      <c r="J509" s="487" t="s">
        <v>566</v>
      </c>
    </row>
    <row r="510" spans="1:10" ht="15" x14ac:dyDescent="0.2">
      <c r="A510" s="486" t="s">
        <v>565</v>
      </c>
      <c r="B510" s="487" t="s">
        <v>564</v>
      </c>
      <c r="C510" s="488" t="s">
        <v>3010</v>
      </c>
      <c r="D510" s="489" t="s">
        <v>3011</v>
      </c>
      <c r="E510" s="487" t="s">
        <v>3012</v>
      </c>
      <c r="F510" s="490">
        <v>25774</v>
      </c>
      <c r="G510" s="489">
        <v>1260.28</v>
      </c>
      <c r="H510" s="489">
        <v>20.45101</v>
      </c>
      <c r="I510" s="487" t="s">
        <v>1499</v>
      </c>
      <c r="J510" s="487" t="s">
        <v>566</v>
      </c>
    </row>
    <row r="511" spans="1:10" ht="15" x14ac:dyDescent="0.2">
      <c r="A511" s="486" t="s">
        <v>565</v>
      </c>
      <c r="B511" s="487" t="s">
        <v>564</v>
      </c>
      <c r="C511" s="488" t="s">
        <v>3013</v>
      </c>
      <c r="D511" s="489" t="s">
        <v>3014</v>
      </c>
      <c r="E511" s="487" t="s">
        <v>3015</v>
      </c>
      <c r="F511" s="490">
        <v>194000</v>
      </c>
      <c r="G511" s="489">
        <v>1484.51</v>
      </c>
      <c r="H511" s="489">
        <v>130.68285</v>
      </c>
      <c r="I511" s="487" t="s">
        <v>1499</v>
      </c>
      <c r="J511" s="487" t="s">
        <v>566</v>
      </c>
    </row>
    <row r="512" spans="1:10" ht="15" x14ac:dyDescent="0.2">
      <c r="A512" s="486" t="s">
        <v>565</v>
      </c>
      <c r="B512" s="487" t="s">
        <v>564</v>
      </c>
      <c r="C512" s="488" t="s">
        <v>3016</v>
      </c>
      <c r="D512" s="489" t="s">
        <v>3017</v>
      </c>
      <c r="E512" s="487" t="s">
        <v>3018</v>
      </c>
      <c r="F512" s="490">
        <v>28242</v>
      </c>
      <c r="G512" s="489">
        <v>531.89</v>
      </c>
      <c r="H512" s="489">
        <v>53.097439999999999</v>
      </c>
      <c r="I512" s="487" t="s">
        <v>1499</v>
      </c>
      <c r="J512" s="487" t="s">
        <v>566</v>
      </c>
    </row>
    <row r="513" spans="1:10" ht="15" x14ac:dyDescent="0.2">
      <c r="A513" s="486" t="s">
        <v>565</v>
      </c>
      <c r="B513" s="487" t="s">
        <v>564</v>
      </c>
      <c r="C513" s="488" t="s">
        <v>3019</v>
      </c>
      <c r="D513" s="489" t="s">
        <v>3020</v>
      </c>
      <c r="E513" s="487" t="s">
        <v>2429</v>
      </c>
      <c r="F513" s="490">
        <v>8000</v>
      </c>
      <c r="G513" s="489">
        <v>93.29</v>
      </c>
      <c r="H513" s="489">
        <v>85.754099999999994</v>
      </c>
      <c r="I513" s="487" t="s">
        <v>1499</v>
      </c>
      <c r="J513" s="487" t="s">
        <v>566</v>
      </c>
    </row>
    <row r="514" spans="1:10" ht="15" x14ac:dyDescent="0.2">
      <c r="A514" s="486" t="s">
        <v>565</v>
      </c>
      <c r="B514" s="487" t="s">
        <v>564</v>
      </c>
      <c r="C514" s="488" t="s">
        <v>3021</v>
      </c>
      <c r="D514" s="489" t="s">
        <v>3022</v>
      </c>
      <c r="E514" s="487" t="s">
        <v>3023</v>
      </c>
      <c r="F514" s="490">
        <v>0</v>
      </c>
      <c r="G514" s="489">
        <v>50.24</v>
      </c>
      <c r="H514" s="489">
        <v>0</v>
      </c>
      <c r="I514" s="487" t="s">
        <v>1593</v>
      </c>
      <c r="J514" s="487" t="s">
        <v>566</v>
      </c>
    </row>
    <row r="515" spans="1:10" ht="15" x14ac:dyDescent="0.2">
      <c r="A515" s="486" t="s">
        <v>565</v>
      </c>
      <c r="B515" s="487" t="s">
        <v>564</v>
      </c>
      <c r="C515" s="488" t="s">
        <v>3024</v>
      </c>
      <c r="D515" s="489" t="s">
        <v>3025</v>
      </c>
      <c r="E515" s="487" t="s">
        <v>3026</v>
      </c>
      <c r="F515" s="490">
        <v>0</v>
      </c>
      <c r="G515" s="489">
        <v>75.209999999999994</v>
      </c>
      <c r="H515" s="489">
        <v>0</v>
      </c>
      <c r="I515" s="487" t="s">
        <v>1593</v>
      </c>
      <c r="J515" s="487" t="s">
        <v>566</v>
      </c>
    </row>
    <row r="516" spans="1:10" ht="15" x14ac:dyDescent="0.2">
      <c r="A516" s="486" t="s">
        <v>565</v>
      </c>
      <c r="B516" s="487" t="s">
        <v>564</v>
      </c>
      <c r="C516" s="488" t="s">
        <v>3027</v>
      </c>
      <c r="D516" s="489" t="s">
        <v>3028</v>
      </c>
      <c r="E516" s="487" t="s">
        <v>3029</v>
      </c>
      <c r="F516" s="490">
        <v>295610</v>
      </c>
      <c r="G516" s="489">
        <v>3155.93</v>
      </c>
      <c r="H516" s="489">
        <v>93.668109999999999</v>
      </c>
      <c r="I516" s="487" t="s">
        <v>1499</v>
      </c>
      <c r="J516" s="487" t="s">
        <v>566</v>
      </c>
    </row>
    <row r="517" spans="1:10" ht="15" x14ac:dyDescent="0.2">
      <c r="A517" s="486" t="s">
        <v>565</v>
      </c>
      <c r="B517" s="487" t="s">
        <v>564</v>
      </c>
      <c r="C517" s="488" t="s">
        <v>3030</v>
      </c>
      <c r="D517" s="489" t="s">
        <v>3031</v>
      </c>
      <c r="E517" s="487" t="s">
        <v>3032</v>
      </c>
      <c r="F517" s="490">
        <v>21000</v>
      </c>
      <c r="G517" s="489">
        <v>241.86</v>
      </c>
      <c r="H517" s="489">
        <v>86.827089999999998</v>
      </c>
      <c r="I517" s="487" t="s">
        <v>1499</v>
      </c>
      <c r="J517" s="487" t="s">
        <v>566</v>
      </c>
    </row>
    <row r="518" spans="1:10" ht="15" x14ac:dyDescent="0.2">
      <c r="A518" s="486" t="s">
        <v>565</v>
      </c>
      <c r="B518" s="487" t="s">
        <v>564</v>
      </c>
      <c r="C518" s="488" t="s">
        <v>3033</v>
      </c>
      <c r="D518" s="489" t="s">
        <v>3034</v>
      </c>
      <c r="E518" s="487" t="s">
        <v>3035</v>
      </c>
      <c r="F518" s="490">
        <v>58845</v>
      </c>
      <c r="G518" s="489">
        <v>823.93</v>
      </c>
      <c r="H518" s="489">
        <v>71.419899999999998</v>
      </c>
      <c r="I518" s="487" t="s">
        <v>1499</v>
      </c>
      <c r="J518" s="487" t="s">
        <v>566</v>
      </c>
    </row>
    <row r="519" spans="1:10" ht="15" x14ac:dyDescent="0.2">
      <c r="A519" s="486" t="s">
        <v>565</v>
      </c>
      <c r="B519" s="487" t="s">
        <v>564</v>
      </c>
      <c r="C519" s="488" t="s">
        <v>3036</v>
      </c>
      <c r="D519" s="489" t="s">
        <v>3037</v>
      </c>
      <c r="E519" s="487" t="s">
        <v>3038</v>
      </c>
      <c r="F519" s="490">
        <v>222610</v>
      </c>
      <c r="G519" s="489">
        <v>3190.3</v>
      </c>
      <c r="H519" s="489">
        <v>69.777140000000003</v>
      </c>
      <c r="I519" s="487" t="s">
        <v>1499</v>
      </c>
      <c r="J519" s="487" t="s">
        <v>566</v>
      </c>
    </row>
    <row r="520" spans="1:10" ht="15" x14ac:dyDescent="0.2">
      <c r="A520" s="486" t="s">
        <v>565</v>
      </c>
      <c r="B520" s="487" t="s">
        <v>564</v>
      </c>
      <c r="C520" s="488" t="s">
        <v>3039</v>
      </c>
      <c r="D520" s="489" t="s">
        <v>3040</v>
      </c>
      <c r="E520" s="487" t="s">
        <v>3041</v>
      </c>
      <c r="F520" s="490">
        <v>183000</v>
      </c>
      <c r="G520" s="489">
        <v>1272.71</v>
      </c>
      <c r="H520" s="489">
        <v>143.78766999999999</v>
      </c>
      <c r="I520" s="487" t="s">
        <v>1499</v>
      </c>
      <c r="J520" s="487" t="s">
        <v>566</v>
      </c>
    </row>
    <row r="521" spans="1:10" ht="15" x14ac:dyDescent="0.2">
      <c r="A521" s="486" t="s">
        <v>565</v>
      </c>
      <c r="B521" s="487" t="s">
        <v>564</v>
      </c>
      <c r="C521" s="488" t="s">
        <v>3042</v>
      </c>
      <c r="D521" s="489" t="s">
        <v>3043</v>
      </c>
      <c r="E521" s="487" t="s">
        <v>3044</v>
      </c>
      <c r="F521" s="490">
        <v>37293.31</v>
      </c>
      <c r="G521" s="489">
        <v>955.28</v>
      </c>
      <c r="H521" s="489">
        <v>39.039140000000003</v>
      </c>
      <c r="I521" s="487" t="s">
        <v>1499</v>
      </c>
      <c r="J521" s="487" t="s">
        <v>566</v>
      </c>
    </row>
    <row r="522" spans="1:10" ht="15" x14ac:dyDescent="0.2">
      <c r="A522" s="486" t="s">
        <v>565</v>
      </c>
      <c r="B522" s="487" t="s">
        <v>564</v>
      </c>
      <c r="C522" s="488" t="s">
        <v>3045</v>
      </c>
      <c r="D522" s="489" t="s">
        <v>3046</v>
      </c>
      <c r="E522" s="487" t="s">
        <v>3047</v>
      </c>
      <c r="F522" s="490">
        <v>10935</v>
      </c>
      <c r="G522" s="489">
        <v>194.21</v>
      </c>
      <c r="H522" s="489">
        <v>56.305030000000002</v>
      </c>
      <c r="I522" s="487" t="s">
        <v>1499</v>
      </c>
      <c r="J522" s="487" t="s">
        <v>566</v>
      </c>
    </row>
    <row r="523" spans="1:10" ht="15" x14ac:dyDescent="0.2">
      <c r="A523" s="486" t="s">
        <v>565</v>
      </c>
      <c r="B523" s="487" t="s">
        <v>564</v>
      </c>
      <c r="C523" s="488" t="s">
        <v>3048</v>
      </c>
      <c r="D523" s="489" t="s">
        <v>3049</v>
      </c>
      <c r="E523" s="487" t="s">
        <v>3050</v>
      </c>
      <c r="F523" s="490">
        <v>38478.269999999997</v>
      </c>
      <c r="G523" s="489">
        <v>359.47</v>
      </c>
      <c r="H523" s="489">
        <v>107.04167</v>
      </c>
      <c r="I523" s="487" t="s">
        <v>1499</v>
      </c>
      <c r="J523" s="487" t="s">
        <v>566</v>
      </c>
    </row>
    <row r="524" spans="1:10" ht="15" x14ac:dyDescent="0.2">
      <c r="A524" s="486" t="s">
        <v>565</v>
      </c>
      <c r="B524" s="487" t="s">
        <v>564</v>
      </c>
      <c r="C524" s="488" t="s">
        <v>3051</v>
      </c>
      <c r="D524" s="489" t="s">
        <v>3052</v>
      </c>
      <c r="E524" s="487" t="s">
        <v>3053</v>
      </c>
      <c r="F524" s="490">
        <v>384179.77</v>
      </c>
      <c r="G524" s="489">
        <v>6953.48</v>
      </c>
      <c r="H524" s="489">
        <v>55.25</v>
      </c>
      <c r="I524" s="487" t="s">
        <v>1499</v>
      </c>
      <c r="J524" s="487" t="s">
        <v>566</v>
      </c>
    </row>
    <row r="525" spans="1:10" ht="15" x14ac:dyDescent="0.2">
      <c r="A525" s="486" t="s">
        <v>565</v>
      </c>
      <c r="B525" s="487" t="s">
        <v>564</v>
      </c>
      <c r="C525" s="488" t="s">
        <v>3054</v>
      </c>
      <c r="D525" s="489" t="s">
        <v>3055</v>
      </c>
      <c r="E525" s="487" t="s">
        <v>3056</v>
      </c>
      <c r="F525" s="490">
        <v>47742</v>
      </c>
      <c r="G525" s="489">
        <v>1544.65</v>
      </c>
      <c r="H525" s="489">
        <v>30.907969999999999</v>
      </c>
      <c r="I525" s="487" t="s">
        <v>1499</v>
      </c>
      <c r="J525" s="487" t="s">
        <v>566</v>
      </c>
    </row>
    <row r="526" spans="1:10" ht="15" x14ac:dyDescent="0.2">
      <c r="A526" s="486" t="s">
        <v>565</v>
      </c>
      <c r="B526" s="487" t="s">
        <v>564</v>
      </c>
      <c r="C526" s="488" t="s">
        <v>3057</v>
      </c>
      <c r="D526" s="489" t="s">
        <v>3058</v>
      </c>
      <c r="E526" s="487" t="s">
        <v>3059</v>
      </c>
      <c r="F526" s="490">
        <v>29399</v>
      </c>
      <c r="G526" s="489">
        <v>479.71</v>
      </c>
      <c r="H526" s="489">
        <v>61.284939999999999</v>
      </c>
      <c r="I526" s="487" t="s">
        <v>1499</v>
      </c>
      <c r="J526" s="487" t="s">
        <v>566</v>
      </c>
    </row>
    <row r="527" spans="1:10" ht="15" x14ac:dyDescent="0.2">
      <c r="A527" s="486" t="s">
        <v>565</v>
      </c>
      <c r="B527" s="487" t="s">
        <v>564</v>
      </c>
      <c r="C527" s="488" t="s">
        <v>3060</v>
      </c>
      <c r="D527" s="489" t="s">
        <v>3061</v>
      </c>
      <c r="E527" s="487" t="s">
        <v>3062</v>
      </c>
      <c r="F527" s="490">
        <v>26000</v>
      </c>
      <c r="G527" s="489">
        <v>356.21</v>
      </c>
      <c r="H527" s="489">
        <v>72.990650000000002</v>
      </c>
      <c r="I527" s="487" t="s">
        <v>1499</v>
      </c>
      <c r="J527" s="487" t="s">
        <v>566</v>
      </c>
    </row>
    <row r="528" spans="1:10" ht="15" x14ac:dyDescent="0.2">
      <c r="A528" s="486" t="s">
        <v>565</v>
      </c>
      <c r="B528" s="487" t="s">
        <v>564</v>
      </c>
      <c r="C528" s="488" t="s">
        <v>3063</v>
      </c>
      <c r="D528" s="489" t="s">
        <v>3064</v>
      </c>
      <c r="E528" s="487" t="s">
        <v>3065</v>
      </c>
      <c r="F528" s="490">
        <v>26670</v>
      </c>
      <c r="G528" s="489">
        <v>517.91999999999996</v>
      </c>
      <c r="H528" s="489">
        <v>51.494439999999997</v>
      </c>
      <c r="I528" s="487" t="s">
        <v>1499</v>
      </c>
      <c r="J528" s="487" t="s">
        <v>566</v>
      </c>
    </row>
    <row r="529" spans="1:10" ht="15" x14ac:dyDescent="0.2">
      <c r="A529" s="486" t="s">
        <v>565</v>
      </c>
      <c r="B529" s="487" t="s">
        <v>564</v>
      </c>
      <c r="C529" s="488" t="s">
        <v>3066</v>
      </c>
      <c r="D529" s="489" t="s">
        <v>3067</v>
      </c>
      <c r="E529" s="487" t="s">
        <v>3068</v>
      </c>
      <c r="F529" s="490">
        <v>21800</v>
      </c>
      <c r="G529" s="489">
        <v>231.33</v>
      </c>
      <c r="H529" s="489">
        <v>94.237669999999994</v>
      </c>
      <c r="I529" s="487" t="s">
        <v>1499</v>
      </c>
      <c r="J529" s="487" t="s">
        <v>566</v>
      </c>
    </row>
    <row r="530" spans="1:10" ht="15" x14ac:dyDescent="0.2">
      <c r="A530" s="486" t="s">
        <v>565</v>
      </c>
      <c r="B530" s="487" t="s">
        <v>564</v>
      </c>
      <c r="C530" s="488" t="s">
        <v>3069</v>
      </c>
      <c r="D530" s="489" t="s">
        <v>3070</v>
      </c>
      <c r="E530" s="487" t="s">
        <v>3071</v>
      </c>
      <c r="F530" s="490">
        <v>3100</v>
      </c>
      <c r="G530" s="489">
        <v>71.97</v>
      </c>
      <c r="H530" s="489">
        <v>43.073500000000003</v>
      </c>
      <c r="I530" s="487" t="s">
        <v>1499</v>
      </c>
      <c r="J530" s="487" t="s">
        <v>566</v>
      </c>
    </row>
    <row r="531" spans="1:10" ht="15" x14ac:dyDescent="0.2">
      <c r="A531" s="486" t="s">
        <v>565</v>
      </c>
      <c r="B531" s="487" t="s">
        <v>564</v>
      </c>
      <c r="C531" s="488" t="s">
        <v>3072</v>
      </c>
      <c r="D531" s="489" t="s">
        <v>3073</v>
      </c>
      <c r="E531" s="487" t="s">
        <v>3074</v>
      </c>
      <c r="F531" s="490">
        <v>39700</v>
      </c>
      <c r="G531" s="489">
        <v>323.10000000000002</v>
      </c>
      <c r="H531" s="489">
        <v>122.87218</v>
      </c>
      <c r="I531" s="487" t="s">
        <v>1499</v>
      </c>
      <c r="J531" s="487" t="s">
        <v>566</v>
      </c>
    </row>
    <row r="532" spans="1:10" ht="15" x14ac:dyDescent="0.2">
      <c r="A532" s="486" t="s">
        <v>565</v>
      </c>
      <c r="B532" s="487" t="s">
        <v>564</v>
      </c>
      <c r="C532" s="488" t="s">
        <v>3075</v>
      </c>
      <c r="D532" s="489" t="s">
        <v>3076</v>
      </c>
      <c r="E532" s="487" t="s">
        <v>3077</v>
      </c>
      <c r="F532" s="490">
        <v>25467</v>
      </c>
      <c r="G532" s="489">
        <v>219.34</v>
      </c>
      <c r="H532" s="489">
        <v>116.10741</v>
      </c>
      <c r="I532" s="487" t="s">
        <v>1499</v>
      </c>
      <c r="J532" s="487" t="s">
        <v>566</v>
      </c>
    </row>
    <row r="533" spans="1:10" ht="15" x14ac:dyDescent="0.2">
      <c r="A533" s="486" t="s">
        <v>565</v>
      </c>
      <c r="B533" s="487" t="s">
        <v>564</v>
      </c>
      <c r="C533" s="488" t="s">
        <v>3078</v>
      </c>
      <c r="D533" s="489" t="s">
        <v>3079</v>
      </c>
      <c r="E533" s="487" t="s">
        <v>3080</v>
      </c>
      <c r="F533" s="490">
        <v>1620</v>
      </c>
      <c r="G533" s="489">
        <v>80.38</v>
      </c>
      <c r="H533" s="489">
        <v>20.15427</v>
      </c>
      <c r="I533" s="487" t="s">
        <v>1499</v>
      </c>
      <c r="J533" s="487" t="s">
        <v>566</v>
      </c>
    </row>
    <row r="534" spans="1:10" ht="15" x14ac:dyDescent="0.2">
      <c r="A534" s="486" t="s">
        <v>565</v>
      </c>
      <c r="B534" s="487" t="s">
        <v>564</v>
      </c>
      <c r="C534" s="488" t="s">
        <v>3081</v>
      </c>
      <c r="D534" s="489" t="s">
        <v>3082</v>
      </c>
      <c r="E534" s="487" t="s">
        <v>3083</v>
      </c>
      <c r="F534" s="490">
        <v>133000</v>
      </c>
      <c r="G534" s="489">
        <v>785.54</v>
      </c>
      <c r="H534" s="489">
        <v>169.31028000000001</v>
      </c>
      <c r="I534" s="487" t="s">
        <v>1499</v>
      </c>
      <c r="J534" s="487" t="s">
        <v>566</v>
      </c>
    </row>
    <row r="535" spans="1:10" ht="15" x14ac:dyDescent="0.2">
      <c r="A535" s="486" t="s">
        <v>565</v>
      </c>
      <c r="B535" s="487" t="s">
        <v>564</v>
      </c>
      <c r="C535" s="488" t="s">
        <v>3084</v>
      </c>
      <c r="D535" s="489" t="s">
        <v>3085</v>
      </c>
      <c r="E535" s="487" t="s">
        <v>3086</v>
      </c>
      <c r="F535" s="490">
        <v>36465.449999999997</v>
      </c>
      <c r="G535" s="489">
        <v>326.87</v>
      </c>
      <c r="H535" s="489">
        <v>111.55949</v>
      </c>
      <c r="I535" s="487" t="s">
        <v>1499</v>
      </c>
      <c r="J535" s="487" t="s">
        <v>566</v>
      </c>
    </row>
    <row r="536" spans="1:10" ht="15" x14ac:dyDescent="0.2">
      <c r="A536" s="486" t="s">
        <v>565</v>
      </c>
      <c r="B536" s="487" t="s">
        <v>564</v>
      </c>
      <c r="C536" s="488" t="s">
        <v>3087</v>
      </c>
      <c r="D536" s="489" t="s">
        <v>3088</v>
      </c>
      <c r="E536" s="487" t="s">
        <v>1996</v>
      </c>
      <c r="F536" s="490">
        <v>27650</v>
      </c>
      <c r="G536" s="489">
        <v>516.77</v>
      </c>
      <c r="H536" s="489">
        <v>53.505429999999997</v>
      </c>
      <c r="I536" s="487" t="s">
        <v>1499</v>
      </c>
      <c r="J536" s="487" t="s">
        <v>566</v>
      </c>
    </row>
    <row r="537" spans="1:10" ht="15" x14ac:dyDescent="0.2">
      <c r="A537" s="486" t="s">
        <v>565</v>
      </c>
      <c r="B537" s="487" t="s">
        <v>564</v>
      </c>
      <c r="C537" s="488" t="s">
        <v>3089</v>
      </c>
      <c r="D537" s="489" t="s">
        <v>3090</v>
      </c>
      <c r="E537" s="487" t="s">
        <v>3091</v>
      </c>
      <c r="F537" s="490">
        <v>32250</v>
      </c>
      <c r="G537" s="489">
        <v>234.63</v>
      </c>
      <c r="H537" s="489">
        <v>137.45044999999999</v>
      </c>
      <c r="I537" s="487" t="s">
        <v>1499</v>
      </c>
      <c r="J537" s="487" t="s">
        <v>566</v>
      </c>
    </row>
    <row r="538" spans="1:10" ht="15" x14ac:dyDescent="0.2">
      <c r="A538" s="486" t="s">
        <v>565</v>
      </c>
      <c r="B538" s="487" t="s">
        <v>564</v>
      </c>
      <c r="C538" s="488" t="s">
        <v>3092</v>
      </c>
      <c r="D538" s="489" t="s">
        <v>3093</v>
      </c>
      <c r="E538" s="487" t="s">
        <v>3094</v>
      </c>
      <c r="F538" s="490">
        <v>36000</v>
      </c>
      <c r="G538" s="489">
        <v>387.71</v>
      </c>
      <c r="H538" s="489">
        <v>92.852909999999994</v>
      </c>
      <c r="I538" s="487" t="s">
        <v>1499</v>
      </c>
      <c r="J538" s="487" t="s">
        <v>566</v>
      </c>
    </row>
    <row r="539" spans="1:10" ht="15" x14ac:dyDescent="0.2">
      <c r="A539" s="486" t="s">
        <v>565</v>
      </c>
      <c r="B539" s="487" t="s">
        <v>564</v>
      </c>
      <c r="C539" s="488" t="s">
        <v>3095</v>
      </c>
      <c r="D539" s="489" t="s">
        <v>3096</v>
      </c>
      <c r="E539" s="487" t="s">
        <v>3097</v>
      </c>
      <c r="F539" s="490">
        <v>76000</v>
      </c>
      <c r="G539" s="489">
        <v>2414.67</v>
      </c>
      <c r="H539" s="489">
        <v>31.47428</v>
      </c>
      <c r="I539" s="487" t="s">
        <v>1499</v>
      </c>
      <c r="J539" s="487" t="s">
        <v>566</v>
      </c>
    </row>
    <row r="540" spans="1:10" ht="15" x14ac:dyDescent="0.2">
      <c r="A540" s="486" t="s">
        <v>565</v>
      </c>
      <c r="B540" s="487" t="s">
        <v>564</v>
      </c>
      <c r="C540" s="488" t="s">
        <v>3098</v>
      </c>
      <c r="D540" s="489" t="s">
        <v>3099</v>
      </c>
      <c r="E540" s="487" t="s">
        <v>3100</v>
      </c>
      <c r="F540" s="490">
        <v>32772</v>
      </c>
      <c r="G540" s="489">
        <v>264.27</v>
      </c>
      <c r="H540" s="489">
        <v>124.00954</v>
      </c>
      <c r="I540" s="487" t="s">
        <v>1499</v>
      </c>
      <c r="J540" s="487" t="s">
        <v>566</v>
      </c>
    </row>
    <row r="541" spans="1:10" ht="15" x14ac:dyDescent="0.2">
      <c r="A541" s="486" t="s">
        <v>565</v>
      </c>
      <c r="B541" s="487" t="s">
        <v>564</v>
      </c>
      <c r="C541" s="488" t="s">
        <v>3101</v>
      </c>
      <c r="D541" s="489" t="s">
        <v>3102</v>
      </c>
      <c r="E541" s="487" t="s">
        <v>3103</v>
      </c>
      <c r="F541" s="490">
        <v>0</v>
      </c>
      <c r="G541" s="489">
        <v>28.31</v>
      </c>
      <c r="H541" s="489">
        <v>0</v>
      </c>
      <c r="I541" s="487" t="s">
        <v>1593</v>
      </c>
      <c r="J541" s="487" t="s">
        <v>566</v>
      </c>
    </row>
    <row r="542" spans="1:10" ht="15" x14ac:dyDescent="0.2">
      <c r="A542" s="486" t="s">
        <v>565</v>
      </c>
      <c r="B542" s="487" t="s">
        <v>564</v>
      </c>
      <c r="C542" s="488" t="s">
        <v>3104</v>
      </c>
      <c r="D542" s="489" t="s">
        <v>3105</v>
      </c>
      <c r="E542" s="487" t="s">
        <v>3106</v>
      </c>
      <c r="F542" s="490">
        <v>185400</v>
      </c>
      <c r="G542" s="489">
        <v>1405.43</v>
      </c>
      <c r="H542" s="489">
        <v>131.91692</v>
      </c>
      <c r="I542" s="487" t="s">
        <v>1499</v>
      </c>
      <c r="J542" s="487" t="s">
        <v>566</v>
      </c>
    </row>
    <row r="543" spans="1:10" ht="15" x14ac:dyDescent="0.2">
      <c r="A543" s="486" t="s">
        <v>565</v>
      </c>
      <c r="B543" s="487" t="s">
        <v>564</v>
      </c>
      <c r="C543" s="488" t="s">
        <v>3107</v>
      </c>
      <c r="D543" s="489" t="s">
        <v>3108</v>
      </c>
      <c r="E543" s="487" t="s">
        <v>3109</v>
      </c>
      <c r="F543" s="490">
        <v>0</v>
      </c>
      <c r="G543" s="489">
        <v>55.18</v>
      </c>
      <c r="H543" s="489">
        <v>0</v>
      </c>
      <c r="I543" s="487" t="s">
        <v>1593</v>
      </c>
      <c r="J543" s="487" t="s">
        <v>566</v>
      </c>
    </row>
    <row r="544" spans="1:10" ht="15" x14ac:dyDescent="0.2">
      <c r="A544" s="486" t="s">
        <v>565</v>
      </c>
      <c r="B544" s="487" t="s">
        <v>564</v>
      </c>
      <c r="C544" s="488" t="s">
        <v>3110</v>
      </c>
      <c r="D544" s="489" t="s">
        <v>3111</v>
      </c>
      <c r="E544" s="487" t="s">
        <v>3112</v>
      </c>
      <c r="F544" s="490">
        <v>6840</v>
      </c>
      <c r="G544" s="489">
        <v>141.38</v>
      </c>
      <c r="H544" s="489">
        <v>48.380249999999997</v>
      </c>
      <c r="I544" s="487" t="s">
        <v>1499</v>
      </c>
      <c r="J544" s="487" t="s">
        <v>566</v>
      </c>
    </row>
    <row r="545" spans="1:10" ht="15" x14ac:dyDescent="0.2">
      <c r="A545" s="486" t="s">
        <v>565</v>
      </c>
      <c r="B545" s="487" t="s">
        <v>564</v>
      </c>
      <c r="C545" s="488" t="s">
        <v>3113</v>
      </c>
      <c r="D545" s="489" t="s">
        <v>3114</v>
      </c>
      <c r="E545" s="487" t="s">
        <v>3115</v>
      </c>
      <c r="F545" s="490">
        <v>515912</v>
      </c>
      <c r="G545" s="489">
        <v>3810.52</v>
      </c>
      <c r="H545" s="489">
        <v>135.39150000000001</v>
      </c>
      <c r="I545" s="487" t="s">
        <v>1499</v>
      </c>
      <c r="J545" s="487" t="s">
        <v>566</v>
      </c>
    </row>
    <row r="546" spans="1:10" ht="15" x14ac:dyDescent="0.2">
      <c r="A546" s="486" t="s">
        <v>565</v>
      </c>
      <c r="B546" s="487" t="s">
        <v>564</v>
      </c>
      <c r="C546" s="488" t="s">
        <v>3116</v>
      </c>
      <c r="D546" s="489" t="s">
        <v>3117</v>
      </c>
      <c r="E546" s="487" t="s">
        <v>3118</v>
      </c>
      <c r="F546" s="490">
        <v>31340.84</v>
      </c>
      <c r="G546" s="489">
        <v>648.61</v>
      </c>
      <c r="H546" s="489">
        <v>48.320010000000003</v>
      </c>
      <c r="I546" s="487" t="s">
        <v>1499</v>
      </c>
      <c r="J546" s="487" t="s">
        <v>566</v>
      </c>
    </row>
    <row r="547" spans="1:10" ht="15" x14ac:dyDescent="0.2">
      <c r="A547" s="486" t="s">
        <v>565</v>
      </c>
      <c r="B547" s="487" t="s">
        <v>564</v>
      </c>
      <c r="C547" s="488" t="s">
        <v>3119</v>
      </c>
      <c r="D547" s="489" t="s">
        <v>3120</v>
      </c>
      <c r="E547" s="487" t="s">
        <v>3121</v>
      </c>
      <c r="F547" s="490">
        <v>6000</v>
      </c>
      <c r="G547" s="489">
        <v>123.67</v>
      </c>
      <c r="H547" s="489">
        <v>48.516210000000001</v>
      </c>
      <c r="I547" s="487" t="s">
        <v>1499</v>
      </c>
      <c r="J547" s="487" t="s">
        <v>566</v>
      </c>
    </row>
    <row r="548" spans="1:10" ht="15" x14ac:dyDescent="0.2">
      <c r="A548" s="486" t="s">
        <v>565</v>
      </c>
      <c r="B548" s="487" t="s">
        <v>564</v>
      </c>
      <c r="C548" s="488" t="s">
        <v>3122</v>
      </c>
      <c r="D548" s="489" t="s">
        <v>3123</v>
      </c>
      <c r="E548" s="487" t="s">
        <v>3124</v>
      </c>
      <c r="F548" s="490">
        <v>36717.5</v>
      </c>
      <c r="G548" s="489">
        <v>392.51</v>
      </c>
      <c r="H548" s="489">
        <v>93.545389999999998</v>
      </c>
      <c r="I548" s="487" t="s">
        <v>1499</v>
      </c>
      <c r="J548" s="487" t="s">
        <v>566</v>
      </c>
    </row>
    <row r="549" spans="1:10" ht="15" x14ac:dyDescent="0.2">
      <c r="A549" s="486" t="s">
        <v>565</v>
      </c>
      <c r="B549" s="487" t="s">
        <v>564</v>
      </c>
      <c r="C549" s="488" t="s">
        <v>3125</v>
      </c>
      <c r="D549" s="489" t="s">
        <v>3126</v>
      </c>
      <c r="E549" s="487" t="s">
        <v>3127</v>
      </c>
      <c r="F549" s="490">
        <v>70000</v>
      </c>
      <c r="G549" s="489">
        <v>1237.02</v>
      </c>
      <c r="H549" s="489">
        <v>56.587609999999998</v>
      </c>
      <c r="I549" s="487" t="s">
        <v>1499</v>
      </c>
      <c r="J549" s="487" t="s">
        <v>566</v>
      </c>
    </row>
    <row r="550" spans="1:10" ht="15" x14ac:dyDescent="0.2">
      <c r="A550" s="486" t="s">
        <v>565</v>
      </c>
      <c r="B550" s="487" t="s">
        <v>564</v>
      </c>
      <c r="C550" s="488" t="s">
        <v>3128</v>
      </c>
      <c r="D550" s="489" t="s">
        <v>3129</v>
      </c>
      <c r="E550" s="487" t="s">
        <v>3130</v>
      </c>
      <c r="F550" s="490">
        <v>32000</v>
      </c>
      <c r="G550" s="489">
        <v>260.45999999999998</v>
      </c>
      <c r="H550" s="489">
        <v>122.85956</v>
      </c>
      <c r="I550" s="487" t="s">
        <v>1499</v>
      </c>
      <c r="J550" s="487" t="s">
        <v>566</v>
      </c>
    </row>
    <row r="551" spans="1:10" ht="15" x14ac:dyDescent="0.2">
      <c r="A551" s="486" t="s">
        <v>565</v>
      </c>
      <c r="B551" s="487" t="s">
        <v>564</v>
      </c>
      <c r="C551" s="488" t="s">
        <v>3131</v>
      </c>
      <c r="D551" s="489" t="s">
        <v>3132</v>
      </c>
      <c r="E551" s="487" t="s">
        <v>3133</v>
      </c>
      <c r="F551" s="490">
        <v>0</v>
      </c>
      <c r="G551" s="489">
        <v>59.71</v>
      </c>
      <c r="H551" s="489">
        <v>0</v>
      </c>
      <c r="I551" s="487" t="s">
        <v>1593</v>
      </c>
      <c r="J551" s="487" t="s">
        <v>566</v>
      </c>
    </row>
    <row r="552" spans="1:10" ht="15" x14ac:dyDescent="0.2">
      <c r="A552" s="486" t="s">
        <v>565</v>
      </c>
      <c r="B552" s="487" t="s">
        <v>564</v>
      </c>
      <c r="C552" s="488" t="s">
        <v>3134</v>
      </c>
      <c r="D552" s="489" t="s">
        <v>3135</v>
      </c>
      <c r="E552" s="487" t="s">
        <v>3136</v>
      </c>
      <c r="F552" s="490">
        <v>37000</v>
      </c>
      <c r="G552" s="489">
        <v>285.45</v>
      </c>
      <c r="H552" s="489">
        <v>129.6199</v>
      </c>
      <c r="I552" s="487" t="s">
        <v>1499</v>
      </c>
      <c r="J552" s="487" t="s">
        <v>566</v>
      </c>
    </row>
    <row r="553" spans="1:10" ht="15" x14ac:dyDescent="0.2">
      <c r="A553" s="486" t="s">
        <v>565</v>
      </c>
      <c r="B553" s="487" t="s">
        <v>564</v>
      </c>
      <c r="C553" s="488" t="s">
        <v>3137</v>
      </c>
      <c r="D553" s="489" t="s">
        <v>3138</v>
      </c>
      <c r="E553" s="487" t="s">
        <v>3139</v>
      </c>
      <c r="F553" s="490">
        <v>26250</v>
      </c>
      <c r="G553" s="489">
        <v>407.92</v>
      </c>
      <c r="H553" s="489">
        <v>64.350849999999994</v>
      </c>
      <c r="I553" s="487" t="s">
        <v>1499</v>
      </c>
      <c r="J553" s="487" t="s">
        <v>566</v>
      </c>
    </row>
    <row r="554" spans="1:10" ht="15" x14ac:dyDescent="0.2">
      <c r="A554" s="486" t="s">
        <v>565</v>
      </c>
      <c r="B554" s="487" t="s">
        <v>564</v>
      </c>
      <c r="C554" s="488" t="s">
        <v>3140</v>
      </c>
      <c r="D554" s="489" t="s">
        <v>3141</v>
      </c>
      <c r="E554" s="487" t="s">
        <v>3142</v>
      </c>
      <c r="F554" s="490">
        <v>169950</v>
      </c>
      <c r="G554" s="489">
        <v>1162.03</v>
      </c>
      <c r="H554" s="489">
        <v>146.25268</v>
      </c>
      <c r="I554" s="487" t="s">
        <v>1499</v>
      </c>
      <c r="J554" s="487" t="s">
        <v>566</v>
      </c>
    </row>
    <row r="555" spans="1:10" ht="15" x14ac:dyDescent="0.2">
      <c r="A555" s="486" t="s">
        <v>565</v>
      </c>
      <c r="B555" s="487" t="s">
        <v>564</v>
      </c>
      <c r="C555" s="488" t="s">
        <v>3143</v>
      </c>
      <c r="D555" s="489" t="s">
        <v>3144</v>
      </c>
      <c r="E555" s="487" t="s">
        <v>3145</v>
      </c>
      <c r="F555" s="490">
        <v>59753</v>
      </c>
      <c r="G555" s="489">
        <v>921.33</v>
      </c>
      <c r="H555" s="489">
        <v>64.855159999999998</v>
      </c>
      <c r="I555" s="487" t="s">
        <v>1499</v>
      </c>
      <c r="J555" s="487" t="s">
        <v>566</v>
      </c>
    </row>
    <row r="556" spans="1:10" ht="15" x14ac:dyDescent="0.2">
      <c r="A556" s="486" t="s">
        <v>565</v>
      </c>
      <c r="B556" s="487" t="s">
        <v>564</v>
      </c>
      <c r="C556" s="488" t="s">
        <v>3146</v>
      </c>
      <c r="D556" s="489" t="s">
        <v>3147</v>
      </c>
      <c r="E556" s="487" t="s">
        <v>3148</v>
      </c>
      <c r="F556" s="490">
        <v>70587</v>
      </c>
      <c r="G556" s="489">
        <v>844.78</v>
      </c>
      <c r="H556" s="489">
        <v>83.556669999999997</v>
      </c>
      <c r="I556" s="487" t="s">
        <v>1499</v>
      </c>
      <c r="J556" s="487" t="s">
        <v>566</v>
      </c>
    </row>
    <row r="557" spans="1:10" ht="15" x14ac:dyDescent="0.2">
      <c r="A557" s="486" t="s">
        <v>565</v>
      </c>
      <c r="B557" s="487" t="s">
        <v>564</v>
      </c>
      <c r="C557" s="488" t="s">
        <v>3149</v>
      </c>
      <c r="D557" s="489" t="s">
        <v>3150</v>
      </c>
      <c r="E557" s="487" t="s">
        <v>3151</v>
      </c>
      <c r="F557" s="490">
        <v>210152</v>
      </c>
      <c r="G557" s="489">
        <v>2940.01</v>
      </c>
      <c r="H557" s="489">
        <v>71.480029999999999</v>
      </c>
      <c r="I557" s="487" t="s">
        <v>1499</v>
      </c>
      <c r="J557" s="487" t="s">
        <v>566</v>
      </c>
    </row>
    <row r="558" spans="1:10" ht="15" x14ac:dyDescent="0.2">
      <c r="A558" s="486" t="s">
        <v>565</v>
      </c>
      <c r="B558" s="487" t="s">
        <v>564</v>
      </c>
      <c r="C558" s="488" t="s">
        <v>3152</v>
      </c>
      <c r="D558" s="489" t="s">
        <v>3153</v>
      </c>
      <c r="E558" s="487" t="s">
        <v>3154</v>
      </c>
      <c r="F558" s="490">
        <v>182102.89</v>
      </c>
      <c r="G558" s="489">
        <v>2410.62</v>
      </c>
      <c r="H558" s="489">
        <v>75.541929999999994</v>
      </c>
      <c r="I558" s="487" t="s">
        <v>1499</v>
      </c>
      <c r="J558" s="487" t="s">
        <v>566</v>
      </c>
    </row>
    <row r="559" spans="1:10" ht="15" x14ac:dyDescent="0.2">
      <c r="A559" s="486" t="s">
        <v>565</v>
      </c>
      <c r="B559" s="487" t="s">
        <v>564</v>
      </c>
      <c r="C559" s="488" t="s">
        <v>3155</v>
      </c>
      <c r="D559" s="489" t="s">
        <v>3156</v>
      </c>
      <c r="E559" s="487" t="s">
        <v>3157</v>
      </c>
      <c r="F559" s="490">
        <v>98178</v>
      </c>
      <c r="G559" s="489">
        <v>2144.5700000000002</v>
      </c>
      <c r="H559" s="489">
        <v>45.779809999999998</v>
      </c>
      <c r="I559" s="487" t="s">
        <v>1499</v>
      </c>
      <c r="J559" s="487" t="s">
        <v>566</v>
      </c>
    </row>
    <row r="560" spans="1:10" ht="15" x14ac:dyDescent="0.2">
      <c r="A560" s="486" t="s">
        <v>565</v>
      </c>
      <c r="B560" s="487" t="s">
        <v>564</v>
      </c>
      <c r="C560" s="488" t="s">
        <v>3158</v>
      </c>
      <c r="D560" s="489" t="s">
        <v>3159</v>
      </c>
      <c r="E560" s="487" t="s">
        <v>3160</v>
      </c>
      <c r="F560" s="490">
        <v>142055</v>
      </c>
      <c r="G560" s="489">
        <v>1179.05</v>
      </c>
      <c r="H560" s="489">
        <v>120.48259</v>
      </c>
      <c r="I560" s="487" t="s">
        <v>1499</v>
      </c>
      <c r="J560" s="487" t="s">
        <v>566</v>
      </c>
    </row>
    <row r="561" spans="1:10" ht="15" x14ac:dyDescent="0.2">
      <c r="A561" s="486" t="s">
        <v>565</v>
      </c>
      <c r="B561" s="487" t="s">
        <v>564</v>
      </c>
      <c r="C561" s="488" t="s">
        <v>3161</v>
      </c>
      <c r="D561" s="489" t="s">
        <v>3162</v>
      </c>
      <c r="E561" s="487" t="s">
        <v>3163</v>
      </c>
      <c r="F561" s="490">
        <v>17500</v>
      </c>
      <c r="G561" s="489">
        <v>159.44999999999999</v>
      </c>
      <c r="H561" s="489">
        <v>109.75227</v>
      </c>
      <c r="I561" s="487" t="s">
        <v>1499</v>
      </c>
      <c r="J561" s="487" t="s">
        <v>566</v>
      </c>
    </row>
    <row r="562" spans="1:10" ht="15" x14ac:dyDescent="0.2">
      <c r="A562" s="486" t="s">
        <v>565</v>
      </c>
      <c r="B562" s="487" t="s">
        <v>564</v>
      </c>
      <c r="C562" s="488" t="s">
        <v>3164</v>
      </c>
      <c r="D562" s="489" t="s">
        <v>3165</v>
      </c>
      <c r="E562" s="487" t="s">
        <v>3166</v>
      </c>
      <c r="F562" s="490">
        <v>23100</v>
      </c>
      <c r="G562" s="489">
        <v>187.75</v>
      </c>
      <c r="H562" s="489">
        <v>123.03595</v>
      </c>
      <c r="I562" s="487" t="s">
        <v>1499</v>
      </c>
      <c r="J562" s="487" t="s">
        <v>566</v>
      </c>
    </row>
    <row r="563" spans="1:10" ht="15" x14ac:dyDescent="0.2">
      <c r="A563" s="486" t="s">
        <v>565</v>
      </c>
      <c r="B563" s="487" t="s">
        <v>564</v>
      </c>
      <c r="C563" s="488" t="s">
        <v>3167</v>
      </c>
      <c r="D563" s="489" t="s">
        <v>3168</v>
      </c>
      <c r="E563" s="487" t="s">
        <v>3169</v>
      </c>
      <c r="F563" s="490">
        <v>52300</v>
      </c>
      <c r="G563" s="489">
        <v>1476.63</v>
      </c>
      <c r="H563" s="489">
        <v>35.418489999999998</v>
      </c>
      <c r="I563" s="487" t="s">
        <v>1499</v>
      </c>
      <c r="J563" s="487" t="s">
        <v>566</v>
      </c>
    </row>
    <row r="564" spans="1:10" ht="15" x14ac:dyDescent="0.2">
      <c r="A564" s="486" t="s">
        <v>565</v>
      </c>
      <c r="B564" s="487" t="s">
        <v>564</v>
      </c>
      <c r="C564" s="488" t="s">
        <v>3170</v>
      </c>
      <c r="D564" s="489" t="s">
        <v>3171</v>
      </c>
      <c r="E564" s="487" t="s">
        <v>3172</v>
      </c>
      <c r="F564" s="490">
        <v>26750</v>
      </c>
      <c r="G564" s="489">
        <v>410.54</v>
      </c>
      <c r="H564" s="489">
        <v>65.158079999999998</v>
      </c>
      <c r="I564" s="487" t="s">
        <v>1499</v>
      </c>
      <c r="J564" s="487" t="s">
        <v>566</v>
      </c>
    </row>
    <row r="565" spans="1:10" ht="15" x14ac:dyDescent="0.2">
      <c r="A565" s="486" t="s">
        <v>565</v>
      </c>
      <c r="B565" s="487" t="s">
        <v>564</v>
      </c>
      <c r="C565" s="488" t="s">
        <v>3173</v>
      </c>
      <c r="D565" s="489" t="s">
        <v>3174</v>
      </c>
      <c r="E565" s="487" t="s">
        <v>3175</v>
      </c>
      <c r="F565" s="490">
        <v>34500</v>
      </c>
      <c r="G565" s="489">
        <v>310.27</v>
      </c>
      <c r="H565" s="489">
        <v>111.19347999999999</v>
      </c>
      <c r="I565" s="487" t="s">
        <v>1499</v>
      </c>
      <c r="J565" s="487" t="s">
        <v>566</v>
      </c>
    </row>
    <row r="566" spans="1:10" ht="15" x14ac:dyDescent="0.2">
      <c r="A566" s="486" t="s">
        <v>565</v>
      </c>
      <c r="B566" s="487" t="s">
        <v>564</v>
      </c>
      <c r="C566" s="488" t="s">
        <v>3176</v>
      </c>
      <c r="D566" s="489" t="s">
        <v>3177</v>
      </c>
      <c r="E566" s="487" t="s">
        <v>3178</v>
      </c>
      <c r="F566" s="490">
        <v>0</v>
      </c>
      <c r="G566" s="489">
        <v>59.55</v>
      </c>
      <c r="H566" s="489">
        <v>0</v>
      </c>
      <c r="I566" s="487" t="s">
        <v>1593</v>
      </c>
      <c r="J566" s="487" t="s">
        <v>566</v>
      </c>
    </row>
    <row r="567" spans="1:10" ht="15" x14ac:dyDescent="0.2">
      <c r="A567" s="486" t="s">
        <v>565</v>
      </c>
      <c r="B567" s="487" t="s">
        <v>564</v>
      </c>
      <c r="C567" s="488" t="s">
        <v>3179</v>
      </c>
      <c r="D567" s="489" t="s">
        <v>3180</v>
      </c>
      <c r="E567" s="487" t="s">
        <v>3181</v>
      </c>
      <c r="F567" s="490">
        <v>42000</v>
      </c>
      <c r="G567" s="489">
        <v>560.92999999999995</v>
      </c>
      <c r="H567" s="489">
        <v>74.875649999999993</v>
      </c>
      <c r="I567" s="487" t="s">
        <v>1499</v>
      </c>
      <c r="J567" s="487" t="s">
        <v>566</v>
      </c>
    </row>
    <row r="568" spans="1:10" ht="15" x14ac:dyDescent="0.2">
      <c r="A568" s="486" t="s">
        <v>565</v>
      </c>
      <c r="B568" s="487" t="s">
        <v>564</v>
      </c>
      <c r="C568" s="488" t="s">
        <v>3182</v>
      </c>
      <c r="D568" s="489" t="s">
        <v>3183</v>
      </c>
      <c r="E568" s="487" t="s">
        <v>3184</v>
      </c>
      <c r="F568" s="490">
        <v>10500</v>
      </c>
      <c r="G568" s="489">
        <v>223.17</v>
      </c>
      <c r="H568" s="489">
        <v>47.049329999999998</v>
      </c>
      <c r="I568" s="487" t="s">
        <v>1499</v>
      </c>
      <c r="J568" s="487" t="s">
        <v>566</v>
      </c>
    </row>
    <row r="569" spans="1:10" ht="15" x14ac:dyDescent="0.2">
      <c r="A569" s="486" t="s">
        <v>565</v>
      </c>
      <c r="B569" s="487" t="s">
        <v>564</v>
      </c>
      <c r="C569" s="488" t="s">
        <v>3185</v>
      </c>
      <c r="D569" s="489" t="s">
        <v>3186</v>
      </c>
      <c r="E569" s="487" t="s">
        <v>3187</v>
      </c>
      <c r="F569" s="490">
        <v>8500</v>
      </c>
      <c r="G569" s="489">
        <v>111.76</v>
      </c>
      <c r="H569" s="489">
        <v>76.05583</v>
      </c>
      <c r="I569" s="487" t="s">
        <v>1499</v>
      </c>
      <c r="J569" s="487" t="s">
        <v>566</v>
      </c>
    </row>
    <row r="570" spans="1:10" ht="15" x14ac:dyDescent="0.2">
      <c r="A570" s="486" t="s">
        <v>565</v>
      </c>
      <c r="B570" s="487" t="s">
        <v>564</v>
      </c>
      <c r="C570" s="488" t="s">
        <v>3188</v>
      </c>
      <c r="D570" s="489" t="s">
        <v>3189</v>
      </c>
      <c r="E570" s="487" t="s">
        <v>2595</v>
      </c>
      <c r="F570" s="490">
        <v>17600</v>
      </c>
      <c r="G570" s="489">
        <v>203.74</v>
      </c>
      <c r="H570" s="489">
        <v>86.384609999999995</v>
      </c>
      <c r="I570" s="487" t="s">
        <v>1499</v>
      </c>
      <c r="J570" s="487" t="s">
        <v>566</v>
      </c>
    </row>
    <row r="571" spans="1:10" ht="15" x14ac:dyDescent="0.2">
      <c r="A571" s="486" t="s">
        <v>565</v>
      </c>
      <c r="B571" s="487" t="s">
        <v>564</v>
      </c>
      <c r="C571" s="488" t="s">
        <v>3190</v>
      </c>
      <c r="D571" s="489" t="s">
        <v>3191</v>
      </c>
      <c r="E571" s="487" t="s">
        <v>3192</v>
      </c>
      <c r="F571" s="490">
        <v>0</v>
      </c>
      <c r="G571" s="489">
        <v>41.98</v>
      </c>
      <c r="H571" s="489">
        <v>0</v>
      </c>
      <c r="I571" s="487" t="s">
        <v>1593</v>
      </c>
      <c r="J571" s="487" t="s">
        <v>566</v>
      </c>
    </row>
    <row r="572" spans="1:10" ht="15" x14ac:dyDescent="0.2">
      <c r="A572" s="486" t="s">
        <v>565</v>
      </c>
      <c r="B572" s="487" t="s">
        <v>564</v>
      </c>
      <c r="C572" s="488" t="s">
        <v>3193</v>
      </c>
      <c r="D572" s="489" t="s">
        <v>3194</v>
      </c>
      <c r="E572" s="487" t="s">
        <v>3195</v>
      </c>
      <c r="F572" s="490">
        <v>127326.12</v>
      </c>
      <c r="G572" s="489">
        <v>766.84</v>
      </c>
      <c r="H572" s="489">
        <v>166.04001</v>
      </c>
      <c r="I572" s="487" t="s">
        <v>1499</v>
      </c>
      <c r="J572" s="487" t="s">
        <v>566</v>
      </c>
    </row>
    <row r="573" spans="1:10" ht="15" x14ac:dyDescent="0.2">
      <c r="A573" s="486" t="s">
        <v>565</v>
      </c>
      <c r="B573" s="487" t="s">
        <v>564</v>
      </c>
      <c r="C573" s="488" t="s">
        <v>3196</v>
      </c>
      <c r="D573" s="489" t="s">
        <v>3197</v>
      </c>
      <c r="E573" s="487" t="s">
        <v>3198</v>
      </c>
      <c r="F573" s="490">
        <v>1700</v>
      </c>
      <c r="G573" s="489">
        <v>64.959999999999994</v>
      </c>
      <c r="H573" s="489">
        <v>26.16995</v>
      </c>
      <c r="I573" s="487" t="s">
        <v>1499</v>
      </c>
      <c r="J573" s="487" t="s">
        <v>566</v>
      </c>
    </row>
    <row r="574" spans="1:10" ht="15" x14ac:dyDescent="0.2">
      <c r="A574" s="486" t="s">
        <v>565</v>
      </c>
      <c r="B574" s="487" t="s">
        <v>564</v>
      </c>
      <c r="C574" s="488" t="s">
        <v>3199</v>
      </c>
      <c r="D574" s="489" t="s">
        <v>3200</v>
      </c>
      <c r="E574" s="487" t="s">
        <v>3201</v>
      </c>
      <c r="F574" s="490">
        <v>93000</v>
      </c>
      <c r="G574" s="489">
        <v>955.74</v>
      </c>
      <c r="H574" s="489">
        <v>97.306799999999996</v>
      </c>
      <c r="I574" s="487" t="s">
        <v>1499</v>
      </c>
      <c r="J574" s="487" t="s">
        <v>566</v>
      </c>
    </row>
    <row r="575" spans="1:10" ht="15" x14ac:dyDescent="0.2">
      <c r="A575" s="486" t="s">
        <v>565</v>
      </c>
      <c r="B575" s="487" t="s">
        <v>564</v>
      </c>
      <c r="C575" s="488" t="s">
        <v>3202</v>
      </c>
      <c r="D575" s="489" t="s">
        <v>3203</v>
      </c>
      <c r="E575" s="487" t="s">
        <v>3204</v>
      </c>
      <c r="F575" s="490">
        <v>15163</v>
      </c>
      <c r="G575" s="489">
        <v>208.81</v>
      </c>
      <c r="H575" s="489">
        <v>72.616249999999994</v>
      </c>
      <c r="I575" s="487" t="s">
        <v>1499</v>
      </c>
      <c r="J575" s="487" t="s">
        <v>566</v>
      </c>
    </row>
    <row r="576" spans="1:10" ht="15" x14ac:dyDescent="0.2">
      <c r="A576" s="486" t="s">
        <v>565</v>
      </c>
      <c r="B576" s="487" t="s">
        <v>564</v>
      </c>
      <c r="C576" s="488" t="s">
        <v>3205</v>
      </c>
      <c r="D576" s="489" t="s">
        <v>3206</v>
      </c>
      <c r="E576" s="487" t="s">
        <v>3207</v>
      </c>
      <c r="F576" s="490">
        <v>413882.23</v>
      </c>
      <c r="G576" s="489">
        <v>3452.48</v>
      </c>
      <c r="H576" s="489">
        <v>119.87969</v>
      </c>
      <c r="I576" s="487" t="s">
        <v>1499</v>
      </c>
      <c r="J576" s="487" t="s">
        <v>566</v>
      </c>
    </row>
    <row r="577" spans="1:10" ht="15" x14ac:dyDescent="0.2">
      <c r="A577" s="486" t="s">
        <v>565</v>
      </c>
      <c r="B577" s="487" t="s">
        <v>564</v>
      </c>
      <c r="C577" s="488" t="s">
        <v>3208</v>
      </c>
      <c r="D577" s="489" t="s">
        <v>3209</v>
      </c>
      <c r="E577" s="487" t="s">
        <v>3210</v>
      </c>
      <c r="F577" s="490">
        <v>45000</v>
      </c>
      <c r="G577" s="489">
        <v>553.91</v>
      </c>
      <c r="H577" s="489">
        <v>81.240629999999996</v>
      </c>
      <c r="I577" s="487" t="s">
        <v>1499</v>
      </c>
      <c r="J577" s="487" t="s">
        <v>566</v>
      </c>
    </row>
    <row r="578" spans="1:10" ht="15" x14ac:dyDescent="0.2">
      <c r="A578" s="486" t="s">
        <v>565</v>
      </c>
      <c r="B578" s="487" t="s">
        <v>564</v>
      </c>
      <c r="C578" s="488" t="s">
        <v>3211</v>
      </c>
      <c r="D578" s="489" t="s">
        <v>3212</v>
      </c>
      <c r="E578" s="487" t="s">
        <v>3213</v>
      </c>
      <c r="F578" s="490">
        <v>25605</v>
      </c>
      <c r="G578" s="489">
        <v>224.47</v>
      </c>
      <c r="H578" s="489">
        <v>114.06870000000001</v>
      </c>
      <c r="I578" s="487" t="s">
        <v>1499</v>
      </c>
      <c r="J578" s="487" t="s">
        <v>566</v>
      </c>
    </row>
    <row r="579" spans="1:10" ht="15" x14ac:dyDescent="0.2">
      <c r="A579" s="486" t="s">
        <v>565</v>
      </c>
      <c r="B579" s="487" t="s">
        <v>564</v>
      </c>
      <c r="C579" s="488" t="s">
        <v>3214</v>
      </c>
      <c r="D579" s="489" t="s">
        <v>3215</v>
      </c>
      <c r="E579" s="487" t="s">
        <v>3216</v>
      </c>
      <c r="F579" s="490">
        <v>15906.45</v>
      </c>
      <c r="G579" s="489">
        <v>176.42</v>
      </c>
      <c r="H579" s="489">
        <v>90.162400000000005</v>
      </c>
      <c r="I579" s="487" t="s">
        <v>1499</v>
      </c>
      <c r="J579" s="487" t="s">
        <v>566</v>
      </c>
    </row>
    <row r="580" spans="1:10" ht="15" x14ac:dyDescent="0.2">
      <c r="A580" s="486" t="s">
        <v>565</v>
      </c>
      <c r="B580" s="487" t="s">
        <v>564</v>
      </c>
      <c r="C580" s="488" t="s">
        <v>3217</v>
      </c>
      <c r="D580" s="489" t="s">
        <v>3218</v>
      </c>
      <c r="E580" s="487" t="s">
        <v>3219</v>
      </c>
      <c r="F580" s="490">
        <v>141360</v>
      </c>
      <c r="G580" s="489">
        <v>2186.34</v>
      </c>
      <c r="H580" s="489">
        <v>64.656000000000006</v>
      </c>
      <c r="I580" s="487" t="s">
        <v>1499</v>
      </c>
      <c r="J580" s="487" t="s">
        <v>566</v>
      </c>
    </row>
    <row r="581" spans="1:10" ht="15" x14ac:dyDescent="0.2">
      <c r="A581" s="486" t="s">
        <v>565</v>
      </c>
      <c r="B581" s="487" t="s">
        <v>564</v>
      </c>
      <c r="C581" s="488" t="s">
        <v>3220</v>
      </c>
      <c r="D581" s="489" t="s">
        <v>3221</v>
      </c>
      <c r="E581" s="487" t="s">
        <v>3222</v>
      </c>
      <c r="F581" s="490">
        <v>35700</v>
      </c>
      <c r="G581" s="489">
        <v>941.08</v>
      </c>
      <c r="H581" s="489">
        <v>37.935139999999997</v>
      </c>
      <c r="I581" s="487" t="s">
        <v>1499</v>
      </c>
      <c r="J581" s="487" t="s">
        <v>566</v>
      </c>
    </row>
    <row r="582" spans="1:10" ht="15" x14ac:dyDescent="0.2">
      <c r="A582" s="486" t="s">
        <v>565</v>
      </c>
      <c r="B582" s="487" t="s">
        <v>564</v>
      </c>
      <c r="C582" s="488" t="s">
        <v>3223</v>
      </c>
      <c r="D582" s="489" t="s">
        <v>3224</v>
      </c>
      <c r="E582" s="487" t="s">
        <v>3225</v>
      </c>
      <c r="F582" s="490">
        <v>36750</v>
      </c>
      <c r="G582" s="489">
        <v>238.41</v>
      </c>
      <c r="H582" s="489">
        <v>154.14622</v>
      </c>
      <c r="I582" s="487" t="s">
        <v>1499</v>
      </c>
      <c r="J582" s="487" t="s">
        <v>566</v>
      </c>
    </row>
    <row r="583" spans="1:10" ht="15" x14ac:dyDescent="0.2">
      <c r="A583" s="486" t="s">
        <v>565</v>
      </c>
      <c r="B583" s="487" t="s">
        <v>564</v>
      </c>
      <c r="C583" s="488" t="s">
        <v>3226</v>
      </c>
      <c r="D583" s="489" t="s">
        <v>3227</v>
      </c>
      <c r="E583" s="487" t="s">
        <v>1650</v>
      </c>
      <c r="F583" s="490">
        <v>36235</v>
      </c>
      <c r="G583" s="489">
        <v>490.11</v>
      </c>
      <c r="H583" s="489">
        <v>73.932379999999995</v>
      </c>
      <c r="I583" s="487" t="s">
        <v>1499</v>
      </c>
      <c r="J583" s="487" t="s">
        <v>566</v>
      </c>
    </row>
    <row r="584" spans="1:10" ht="15" x14ac:dyDescent="0.2">
      <c r="A584" s="486" t="s">
        <v>565</v>
      </c>
      <c r="B584" s="487" t="s">
        <v>564</v>
      </c>
      <c r="C584" s="488" t="s">
        <v>3228</v>
      </c>
      <c r="D584" s="489" t="s">
        <v>3229</v>
      </c>
      <c r="E584" s="487" t="s">
        <v>3230</v>
      </c>
      <c r="F584" s="490">
        <v>166680</v>
      </c>
      <c r="G584" s="489">
        <v>1158.23</v>
      </c>
      <c r="H584" s="489">
        <v>143.90924000000001</v>
      </c>
      <c r="I584" s="487" t="s">
        <v>1499</v>
      </c>
      <c r="J584" s="487" t="s">
        <v>566</v>
      </c>
    </row>
    <row r="585" spans="1:10" ht="15" x14ac:dyDescent="0.2">
      <c r="A585" s="486" t="s">
        <v>565</v>
      </c>
      <c r="B585" s="487" t="s">
        <v>564</v>
      </c>
      <c r="C585" s="488" t="s">
        <v>3231</v>
      </c>
      <c r="D585" s="489" t="s">
        <v>3232</v>
      </c>
      <c r="E585" s="487" t="s">
        <v>3233</v>
      </c>
      <c r="F585" s="490">
        <v>65828.399999999994</v>
      </c>
      <c r="G585" s="489">
        <v>758.76</v>
      </c>
      <c r="H585" s="489">
        <v>86.757869999999997</v>
      </c>
      <c r="I585" s="487" t="s">
        <v>1499</v>
      </c>
      <c r="J585" s="487" t="s">
        <v>566</v>
      </c>
    </row>
    <row r="586" spans="1:10" ht="15" x14ac:dyDescent="0.2">
      <c r="A586" s="486" t="s">
        <v>565</v>
      </c>
      <c r="B586" s="487" t="s">
        <v>564</v>
      </c>
      <c r="C586" s="488" t="s">
        <v>3234</v>
      </c>
      <c r="D586" s="489" t="s">
        <v>3235</v>
      </c>
      <c r="E586" s="487" t="s">
        <v>3236</v>
      </c>
      <c r="F586" s="490">
        <v>388384</v>
      </c>
      <c r="G586" s="489">
        <v>2447.66</v>
      </c>
      <c r="H586" s="489">
        <v>158.67563000000001</v>
      </c>
      <c r="I586" s="487" t="s">
        <v>1499</v>
      </c>
      <c r="J586" s="487" t="s">
        <v>566</v>
      </c>
    </row>
    <row r="587" spans="1:10" ht="15" x14ac:dyDescent="0.2">
      <c r="A587" s="486" t="s">
        <v>565</v>
      </c>
      <c r="B587" s="487" t="s">
        <v>564</v>
      </c>
      <c r="C587" s="488" t="s">
        <v>3237</v>
      </c>
      <c r="D587" s="489" t="s">
        <v>3238</v>
      </c>
      <c r="E587" s="487" t="s">
        <v>3239</v>
      </c>
      <c r="F587" s="490">
        <v>534303</v>
      </c>
      <c r="G587" s="489">
        <v>4950.59</v>
      </c>
      <c r="H587" s="489">
        <v>107.92713999999999</v>
      </c>
      <c r="I587" s="487" t="s">
        <v>1499</v>
      </c>
      <c r="J587" s="487" t="s">
        <v>566</v>
      </c>
    </row>
    <row r="588" spans="1:10" ht="15" x14ac:dyDescent="0.2">
      <c r="A588" s="486" t="s">
        <v>565</v>
      </c>
      <c r="B588" s="487" t="s">
        <v>564</v>
      </c>
      <c r="C588" s="488" t="s">
        <v>3240</v>
      </c>
      <c r="D588" s="489" t="s">
        <v>3241</v>
      </c>
      <c r="E588" s="487" t="s">
        <v>3242</v>
      </c>
      <c r="F588" s="490">
        <v>0</v>
      </c>
      <c r="G588" s="489">
        <v>23.61</v>
      </c>
      <c r="H588" s="489">
        <v>0</v>
      </c>
      <c r="I588" s="487" t="s">
        <v>1593</v>
      </c>
      <c r="J588" s="487" t="s">
        <v>566</v>
      </c>
    </row>
    <row r="589" spans="1:10" ht="15" x14ac:dyDescent="0.2">
      <c r="A589" s="486" t="s">
        <v>565</v>
      </c>
      <c r="B589" s="487" t="s">
        <v>564</v>
      </c>
      <c r="C589" s="488" t="s">
        <v>3243</v>
      </c>
      <c r="D589" s="489" t="s">
        <v>3244</v>
      </c>
      <c r="E589" s="487" t="s">
        <v>3245</v>
      </c>
      <c r="F589" s="490">
        <v>14611.96</v>
      </c>
      <c r="G589" s="489">
        <v>307.62</v>
      </c>
      <c r="H589" s="489">
        <v>47.500030000000002</v>
      </c>
      <c r="I589" s="487" t="s">
        <v>1499</v>
      </c>
      <c r="J589" s="487" t="s">
        <v>566</v>
      </c>
    </row>
    <row r="590" spans="1:10" ht="15" x14ac:dyDescent="0.2">
      <c r="A590" s="486" t="s">
        <v>565</v>
      </c>
      <c r="B590" s="487" t="s">
        <v>564</v>
      </c>
      <c r="C590" s="488" t="s">
        <v>3246</v>
      </c>
      <c r="D590" s="489" t="s">
        <v>3247</v>
      </c>
      <c r="E590" s="487" t="s">
        <v>3248</v>
      </c>
      <c r="F590" s="490">
        <v>1050</v>
      </c>
      <c r="G590" s="489">
        <v>88.37</v>
      </c>
      <c r="H590" s="489">
        <v>11.88186</v>
      </c>
      <c r="I590" s="487" t="s">
        <v>1499</v>
      </c>
      <c r="J590" s="487" t="s">
        <v>566</v>
      </c>
    </row>
    <row r="591" spans="1:10" ht="15" x14ac:dyDescent="0.2">
      <c r="A591" s="486" t="s">
        <v>565</v>
      </c>
      <c r="B591" s="487" t="s">
        <v>564</v>
      </c>
      <c r="C591" s="488" t="s">
        <v>3249</v>
      </c>
      <c r="D591" s="489" t="s">
        <v>3250</v>
      </c>
      <c r="E591" s="487" t="s">
        <v>3251</v>
      </c>
      <c r="F591" s="490">
        <v>233500</v>
      </c>
      <c r="G591" s="489">
        <v>2979.47</v>
      </c>
      <c r="H591" s="489">
        <v>78.369640000000004</v>
      </c>
      <c r="I591" s="487" t="s">
        <v>1499</v>
      </c>
      <c r="J591" s="487" t="s">
        <v>566</v>
      </c>
    </row>
    <row r="592" spans="1:10" ht="15" x14ac:dyDescent="0.2">
      <c r="A592" s="486" t="s">
        <v>565</v>
      </c>
      <c r="B592" s="487" t="s">
        <v>564</v>
      </c>
      <c r="C592" s="488" t="s">
        <v>3252</v>
      </c>
      <c r="D592" s="489" t="s">
        <v>3253</v>
      </c>
      <c r="E592" s="487" t="s">
        <v>3254</v>
      </c>
      <c r="F592" s="490">
        <v>42634</v>
      </c>
      <c r="G592" s="489">
        <v>857.85</v>
      </c>
      <c r="H592" s="489">
        <v>49.69867</v>
      </c>
      <c r="I592" s="487" t="s">
        <v>1499</v>
      </c>
      <c r="J592" s="487" t="s">
        <v>566</v>
      </c>
    </row>
    <row r="593" spans="1:10" ht="15" x14ac:dyDescent="0.2">
      <c r="A593" s="486" t="s">
        <v>565</v>
      </c>
      <c r="B593" s="487" t="s">
        <v>564</v>
      </c>
      <c r="C593" s="488" t="s">
        <v>3255</v>
      </c>
      <c r="D593" s="489" t="s">
        <v>3256</v>
      </c>
      <c r="E593" s="487" t="s">
        <v>3257</v>
      </c>
      <c r="F593" s="490">
        <v>1000</v>
      </c>
      <c r="G593" s="489">
        <v>40.22</v>
      </c>
      <c r="H593" s="489">
        <v>24.863250000000001</v>
      </c>
      <c r="I593" s="487" t="s">
        <v>1499</v>
      </c>
      <c r="J593" s="487" t="s">
        <v>566</v>
      </c>
    </row>
    <row r="594" spans="1:10" ht="15" x14ac:dyDescent="0.2">
      <c r="A594" s="486" t="s">
        <v>565</v>
      </c>
      <c r="B594" s="487" t="s">
        <v>564</v>
      </c>
      <c r="C594" s="488" t="s">
        <v>3258</v>
      </c>
      <c r="D594" s="489" t="s">
        <v>3259</v>
      </c>
      <c r="E594" s="487" t="s">
        <v>3260</v>
      </c>
      <c r="F594" s="490">
        <v>395000</v>
      </c>
      <c r="G594" s="489">
        <v>1630.28</v>
      </c>
      <c r="H594" s="489">
        <v>242.28967</v>
      </c>
      <c r="I594" s="487" t="s">
        <v>1499</v>
      </c>
      <c r="J594" s="487" t="s">
        <v>566</v>
      </c>
    </row>
    <row r="595" spans="1:10" ht="15" x14ac:dyDescent="0.2">
      <c r="A595" s="486" t="s">
        <v>1092</v>
      </c>
      <c r="B595" s="487" t="s">
        <v>1091</v>
      </c>
      <c r="C595" s="488" t="s">
        <v>3261</v>
      </c>
      <c r="D595" s="489" t="s">
        <v>3262</v>
      </c>
      <c r="E595" s="487" t="s">
        <v>3263</v>
      </c>
      <c r="F595" s="490">
        <v>9624.25</v>
      </c>
      <c r="G595" s="489">
        <v>248.14</v>
      </c>
      <c r="H595" s="489">
        <v>38.785559999999997</v>
      </c>
      <c r="I595" s="487" t="s">
        <v>1499</v>
      </c>
      <c r="J595" s="487" t="s">
        <v>1093</v>
      </c>
    </row>
    <row r="596" spans="1:10" ht="15" x14ac:dyDescent="0.2">
      <c r="A596" s="486" t="s">
        <v>1092</v>
      </c>
      <c r="B596" s="487" t="s">
        <v>1091</v>
      </c>
      <c r="C596" s="488" t="s">
        <v>3264</v>
      </c>
      <c r="D596" s="489" t="s">
        <v>3265</v>
      </c>
      <c r="E596" s="487" t="s">
        <v>3266</v>
      </c>
      <c r="F596" s="490">
        <v>13107</v>
      </c>
      <c r="G596" s="489">
        <v>155.37</v>
      </c>
      <c r="H596" s="489">
        <v>84.359920000000002</v>
      </c>
      <c r="I596" s="487" t="s">
        <v>1499</v>
      </c>
      <c r="J596" s="487" t="s">
        <v>1093</v>
      </c>
    </row>
    <row r="597" spans="1:10" ht="15" x14ac:dyDescent="0.2">
      <c r="A597" s="486" t="s">
        <v>1092</v>
      </c>
      <c r="B597" s="487" t="s">
        <v>1091</v>
      </c>
      <c r="C597" s="488" t="s">
        <v>3267</v>
      </c>
      <c r="D597" s="489" t="s">
        <v>3268</v>
      </c>
      <c r="E597" s="487" t="s">
        <v>3269</v>
      </c>
      <c r="F597" s="490">
        <v>19200.8</v>
      </c>
      <c r="G597" s="489">
        <v>480.02</v>
      </c>
      <c r="H597" s="489">
        <v>40</v>
      </c>
      <c r="I597" s="487" t="s">
        <v>1499</v>
      </c>
      <c r="J597" s="487" t="s">
        <v>1093</v>
      </c>
    </row>
    <row r="598" spans="1:10" ht="15" x14ac:dyDescent="0.2">
      <c r="A598" s="486" t="s">
        <v>1092</v>
      </c>
      <c r="B598" s="487" t="s">
        <v>1091</v>
      </c>
      <c r="C598" s="488" t="s">
        <v>3270</v>
      </c>
      <c r="D598" s="489" t="s">
        <v>3271</v>
      </c>
      <c r="E598" s="487" t="s">
        <v>3272</v>
      </c>
      <c r="F598" s="490">
        <v>194000</v>
      </c>
      <c r="G598" s="489">
        <v>3270.98</v>
      </c>
      <c r="H598" s="489">
        <v>59.309440000000002</v>
      </c>
      <c r="I598" s="487" t="s">
        <v>1499</v>
      </c>
      <c r="J598" s="487" t="s">
        <v>1093</v>
      </c>
    </row>
    <row r="599" spans="1:10" ht="15" x14ac:dyDescent="0.2">
      <c r="A599" s="486" t="s">
        <v>1092</v>
      </c>
      <c r="B599" s="487" t="s">
        <v>1091</v>
      </c>
      <c r="C599" s="488" t="s">
        <v>3273</v>
      </c>
      <c r="D599" s="489" t="s">
        <v>3274</v>
      </c>
      <c r="E599" s="487" t="s">
        <v>3275</v>
      </c>
      <c r="F599" s="490">
        <v>30587.25</v>
      </c>
      <c r="G599" s="489">
        <v>359.85</v>
      </c>
      <c r="H599" s="489">
        <v>85</v>
      </c>
      <c r="I599" s="487" t="s">
        <v>1499</v>
      </c>
      <c r="J599" s="487" t="s">
        <v>1093</v>
      </c>
    </row>
    <row r="600" spans="1:10" ht="15" x14ac:dyDescent="0.2">
      <c r="A600" s="486" t="s">
        <v>1092</v>
      </c>
      <c r="B600" s="487" t="s">
        <v>1091</v>
      </c>
      <c r="C600" s="488" t="s">
        <v>3276</v>
      </c>
      <c r="D600" s="489" t="s">
        <v>3277</v>
      </c>
      <c r="E600" s="487" t="s">
        <v>3278</v>
      </c>
      <c r="F600" s="490">
        <v>7923</v>
      </c>
      <c r="G600" s="489">
        <v>221.12</v>
      </c>
      <c r="H600" s="489">
        <v>35.831220000000002</v>
      </c>
      <c r="I600" s="487" t="s">
        <v>1499</v>
      </c>
      <c r="J600" s="487" t="s">
        <v>1093</v>
      </c>
    </row>
    <row r="601" spans="1:10" ht="15" x14ac:dyDescent="0.2">
      <c r="A601" s="486" t="s">
        <v>1092</v>
      </c>
      <c r="B601" s="487" t="s">
        <v>1091</v>
      </c>
      <c r="C601" s="488" t="s">
        <v>3279</v>
      </c>
      <c r="D601" s="489" t="s">
        <v>3280</v>
      </c>
      <c r="E601" s="487" t="s">
        <v>3281</v>
      </c>
      <c r="F601" s="490">
        <v>2660</v>
      </c>
      <c r="G601" s="489">
        <v>50.78</v>
      </c>
      <c r="H601" s="489">
        <v>52.382829999999998</v>
      </c>
      <c r="I601" s="487" t="s">
        <v>1499</v>
      </c>
      <c r="J601" s="487" t="s">
        <v>1093</v>
      </c>
    </row>
    <row r="602" spans="1:10" ht="15" x14ac:dyDescent="0.2">
      <c r="A602" s="486" t="s">
        <v>1092</v>
      </c>
      <c r="B602" s="487" t="s">
        <v>1091</v>
      </c>
      <c r="C602" s="488" t="s">
        <v>3282</v>
      </c>
      <c r="D602" s="489" t="s">
        <v>3283</v>
      </c>
      <c r="E602" s="487" t="s">
        <v>3284</v>
      </c>
      <c r="F602" s="490">
        <v>60125</v>
      </c>
      <c r="G602" s="489">
        <v>1627.16</v>
      </c>
      <c r="H602" s="489">
        <v>36.950879999999998</v>
      </c>
      <c r="I602" s="487" t="s">
        <v>1499</v>
      </c>
      <c r="J602" s="487" t="s">
        <v>1093</v>
      </c>
    </row>
    <row r="603" spans="1:10" ht="15" x14ac:dyDescent="0.2">
      <c r="A603" s="486" t="s">
        <v>1092</v>
      </c>
      <c r="B603" s="487" t="s">
        <v>1091</v>
      </c>
      <c r="C603" s="488" t="s">
        <v>3285</v>
      </c>
      <c r="D603" s="489" t="s">
        <v>3286</v>
      </c>
      <c r="E603" s="487" t="s">
        <v>3287</v>
      </c>
      <c r="F603" s="490">
        <v>28712</v>
      </c>
      <c r="G603" s="489">
        <v>624.17999999999995</v>
      </c>
      <c r="H603" s="489">
        <v>45.999549999999999</v>
      </c>
      <c r="I603" s="487" t="s">
        <v>1499</v>
      </c>
      <c r="J603" s="487" t="s">
        <v>1093</v>
      </c>
    </row>
    <row r="604" spans="1:10" ht="15" x14ac:dyDescent="0.2">
      <c r="A604" s="486" t="s">
        <v>1092</v>
      </c>
      <c r="B604" s="487" t="s">
        <v>1091</v>
      </c>
      <c r="C604" s="488" t="s">
        <v>3288</v>
      </c>
      <c r="D604" s="489" t="s">
        <v>3289</v>
      </c>
      <c r="E604" s="487" t="s">
        <v>3290</v>
      </c>
      <c r="F604" s="490">
        <v>94980</v>
      </c>
      <c r="G604" s="489">
        <v>3939.02</v>
      </c>
      <c r="H604" s="489">
        <v>24.1126</v>
      </c>
      <c r="I604" s="487" t="s">
        <v>1499</v>
      </c>
      <c r="J604" s="487" t="s">
        <v>1093</v>
      </c>
    </row>
    <row r="605" spans="1:10" ht="15" x14ac:dyDescent="0.2">
      <c r="A605" s="486" t="s">
        <v>1092</v>
      </c>
      <c r="B605" s="487" t="s">
        <v>1091</v>
      </c>
      <c r="C605" s="488" t="s">
        <v>3291</v>
      </c>
      <c r="D605" s="489" t="s">
        <v>3292</v>
      </c>
      <c r="E605" s="487" t="s">
        <v>3293</v>
      </c>
      <c r="F605" s="490">
        <v>32670.97</v>
      </c>
      <c r="G605" s="489">
        <v>474.91</v>
      </c>
      <c r="H605" s="489">
        <v>68.794020000000003</v>
      </c>
      <c r="I605" s="487" t="s">
        <v>1499</v>
      </c>
      <c r="J605" s="487" t="s">
        <v>1093</v>
      </c>
    </row>
    <row r="606" spans="1:10" ht="15" x14ac:dyDescent="0.2">
      <c r="A606" s="486" t="s">
        <v>1092</v>
      </c>
      <c r="B606" s="487" t="s">
        <v>1091</v>
      </c>
      <c r="C606" s="488" t="s">
        <v>3294</v>
      </c>
      <c r="D606" s="489" t="s">
        <v>3295</v>
      </c>
      <c r="E606" s="487" t="s">
        <v>3296</v>
      </c>
      <c r="F606" s="490">
        <v>1410</v>
      </c>
      <c r="G606" s="489">
        <v>79.05</v>
      </c>
      <c r="H606" s="489">
        <v>17.83681</v>
      </c>
      <c r="I606" s="487" t="s">
        <v>1499</v>
      </c>
      <c r="J606" s="487" t="s">
        <v>1093</v>
      </c>
    </row>
    <row r="607" spans="1:10" ht="15" x14ac:dyDescent="0.2">
      <c r="A607" s="486" t="s">
        <v>1092</v>
      </c>
      <c r="B607" s="487" t="s">
        <v>1091</v>
      </c>
      <c r="C607" s="488" t="s">
        <v>3297</v>
      </c>
      <c r="D607" s="489" t="s">
        <v>3298</v>
      </c>
      <c r="E607" s="487" t="s">
        <v>3299</v>
      </c>
      <c r="F607" s="490">
        <v>13655.85</v>
      </c>
      <c r="G607" s="489">
        <v>322.67</v>
      </c>
      <c r="H607" s="489">
        <v>42.32141</v>
      </c>
      <c r="I607" s="487" t="s">
        <v>1499</v>
      </c>
      <c r="J607" s="487" t="s">
        <v>1093</v>
      </c>
    </row>
    <row r="608" spans="1:10" ht="15" x14ac:dyDescent="0.2">
      <c r="A608" s="486" t="s">
        <v>1092</v>
      </c>
      <c r="B608" s="487" t="s">
        <v>1091</v>
      </c>
      <c r="C608" s="488" t="s">
        <v>3300</v>
      </c>
      <c r="D608" s="489" t="s">
        <v>3301</v>
      </c>
      <c r="E608" s="487" t="s">
        <v>3302</v>
      </c>
      <c r="F608" s="490">
        <v>42333</v>
      </c>
      <c r="G608" s="489">
        <v>666.84</v>
      </c>
      <c r="H608" s="489">
        <v>63.482990000000001</v>
      </c>
      <c r="I608" s="487" t="s">
        <v>1499</v>
      </c>
      <c r="J608" s="487" t="s">
        <v>1093</v>
      </c>
    </row>
    <row r="609" spans="1:10" ht="15" x14ac:dyDescent="0.2">
      <c r="A609" s="486" t="s">
        <v>1092</v>
      </c>
      <c r="B609" s="487" t="s">
        <v>1091</v>
      </c>
      <c r="C609" s="488" t="s">
        <v>3303</v>
      </c>
      <c r="D609" s="489" t="s">
        <v>3304</v>
      </c>
      <c r="E609" s="487" t="s">
        <v>3305</v>
      </c>
      <c r="F609" s="490">
        <v>26805.71</v>
      </c>
      <c r="G609" s="489">
        <v>501.39</v>
      </c>
      <c r="H609" s="489">
        <v>53.462789999999998</v>
      </c>
      <c r="I609" s="487" t="s">
        <v>1499</v>
      </c>
      <c r="J609" s="487" t="s">
        <v>1093</v>
      </c>
    </row>
    <row r="610" spans="1:10" ht="15" x14ac:dyDescent="0.2">
      <c r="A610" s="486" t="s">
        <v>1092</v>
      </c>
      <c r="B610" s="487" t="s">
        <v>1091</v>
      </c>
      <c r="C610" s="488" t="s">
        <v>3306</v>
      </c>
      <c r="D610" s="489" t="s">
        <v>3307</v>
      </c>
      <c r="E610" s="487" t="s">
        <v>3308</v>
      </c>
      <c r="F610" s="490">
        <v>39023.75</v>
      </c>
      <c r="G610" s="489">
        <v>3263.59</v>
      </c>
      <c r="H610" s="489">
        <v>11.95731</v>
      </c>
      <c r="I610" s="487" t="s">
        <v>1499</v>
      </c>
      <c r="J610" s="487" t="s">
        <v>1093</v>
      </c>
    </row>
    <row r="611" spans="1:10" ht="15" x14ac:dyDescent="0.2">
      <c r="A611" s="486" t="s">
        <v>1092</v>
      </c>
      <c r="B611" s="487" t="s">
        <v>1091</v>
      </c>
      <c r="C611" s="488" t="s">
        <v>3309</v>
      </c>
      <c r="D611" s="489" t="s">
        <v>3310</v>
      </c>
      <c r="E611" s="487" t="s">
        <v>3311</v>
      </c>
      <c r="F611" s="490">
        <v>97125</v>
      </c>
      <c r="G611" s="489">
        <v>3719.15</v>
      </c>
      <c r="H611" s="489">
        <v>26.114840000000001</v>
      </c>
      <c r="I611" s="487" t="s">
        <v>1499</v>
      </c>
      <c r="J611" s="487" t="s">
        <v>1093</v>
      </c>
    </row>
    <row r="612" spans="1:10" ht="15" x14ac:dyDescent="0.2">
      <c r="A612" s="486" t="s">
        <v>1092</v>
      </c>
      <c r="B612" s="487" t="s">
        <v>1091</v>
      </c>
      <c r="C612" s="488" t="s">
        <v>3312</v>
      </c>
      <c r="D612" s="489" t="s">
        <v>3313</v>
      </c>
      <c r="E612" s="487" t="s">
        <v>3314</v>
      </c>
      <c r="F612" s="490">
        <v>9411.5</v>
      </c>
      <c r="G612" s="489">
        <v>191.33</v>
      </c>
      <c r="H612" s="489">
        <v>49.189880000000002</v>
      </c>
      <c r="I612" s="487" t="s">
        <v>1499</v>
      </c>
      <c r="J612" s="487" t="s">
        <v>1093</v>
      </c>
    </row>
    <row r="613" spans="1:10" ht="15" x14ac:dyDescent="0.2">
      <c r="A613" s="486" t="s">
        <v>1092</v>
      </c>
      <c r="B613" s="487" t="s">
        <v>1091</v>
      </c>
      <c r="C613" s="488" t="s">
        <v>3315</v>
      </c>
      <c r="D613" s="489" t="s">
        <v>3316</v>
      </c>
      <c r="E613" s="487" t="s">
        <v>3317</v>
      </c>
      <c r="F613" s="490">
        <v>3621</v>
      </c>
      <c r="G613" s="489">
        <v>74.069999999999993</v>
      </c>
      <c r="H613" s="489">
        <v>48.886189999999999</v>
      </c>
      <c r="I613" s="487" t="s">
        <v>1499</v>
      </c>
      <c r="J613" s="487" t="s">
        <v>1093</v>
      </c>
    </row>
    <row r="614" spans="1:10" ht="15" x14ac:dyDescent="0.2">
      <c r="A614" s="486" t="s">
        <v>1092</v>
      </c>
      <c r="B614" s="487" t="s">
        <v>1091</v>
      </c>
      <c r="C614" s="488" t="s">
        <v>3318</v>
      </c>
      <c r="D614" s="489" t="s">
        <v>3319</v>
      </c>
      <c r="E614" s="487" t="s">
        <v>3320</v>
      </c>
      <c r="F614" s="490">
        <v>0</v>
      </c>
      <c r="G614" s="489">
        <v>25.61</v>
      </c>
      <c r="H614" s="489">
        <v>0</v>
      </c>
      <c r="I614" s="487" t="s">
        <v>1593</v>
      </c>
      <c r="J614" s="487" t="s">
        <v>1093</v>
      </c>
    </row>
    <row r="615" spans="1:10" ht="15" x14ac:dyDescent="0.2">
      <c r="A615" s="486" t="s">
        <v>1092</v>
      </c>
      <c r="B615" s="487" t="s">
        <v>1091</v>
      </c>
      <c r="C615" s="488" t="s">
        <v>3321</v>
      </c>
      <c r="D615" s="489" t="s">
        <v>3322</v>
      </c>
      <c r="E615" s="487" t="s">
        <v>1263</v>
      </c>
      <c r="F615" s="490">
        <v>8145.5</v>
      </c>
      <c r="G615" s="489">
        <v>68.95</v>
      </c>
      <c r="H615" s="489">
        <v>118.13633</v>
      </c>
      <c r="I615" s="487" t="s">
        <v>1499</v>
      </c>
      <c r="J615" s="487" t="s">
        <v>1093</v>
      </c>
    </row>
    <row r="616" spans="1:10" ht="15" x14ac:dyDescent="0.2">
      <c r="A616" s="486" t="s">
        <v>1092</v>
      </c>
      <c r="B616" s="487" t="s">
        <v>1091</v>
      </c>
      <c r="C616" s="488" t="s">
        <v>3323</v>
      </c>
      <c r="D616" s="489" t="s">
        <v>3324</v>
      </c>
      <c r="E616" s="487" t="s">
        <v>3325</v>
      </c>
      <c r="F616" s="490">
        <v>37750</v>
      </c>
      <c r="G616" s="489">
        <v>988.78</v>
      </c>
      <c r="H616" s="489">
        <v>38.178359999999998</v>
      </c>
      <c r="I616" s="487" t="s">
        <v>1499</v>
      </c>
      <c r="J616" s="487" t="s">
        <v>1093</v>
      </c>
    </row>
    <row r="617" spans="1:10" ht="15" x14ac:dyDescent="0.2">
      <c r="A617" s="486" t="s">
        <v>1092</v>
      </c>
      <c r="B617" s="487" t="s">
        <v>1091</v>
      </c>
      <c r="C617" s="488" t="s">
        <v>3326</v>
      </c>
      <c r="D617" s="489" t="s">
        <v>3327</v>
      </c>
      <c r="E617" s="487" t="s">
        <v>3328</v>
      </c>
      <c r="F617" s="490">
        <v>6170</v>
      </c>
      <c r="G617" s="489">
        <v>95.18</v>
      </c>
      <c r="H617" s="489">
        <v>64.824539999999999</v>
      </c>
      <c r="I617" s="487" t="s">
        <v>1499</v>
      </c>
      <c r="J617" s="487" t="s">
        <v>1093</v>
      </c>
    </row>
    <row r="618" spans="1:10" ht="15" x14ac:dyDescent="0.2">
      <c r="A618" s="486" t="s">
        <v>1092</v>
      </c>
      <c r="B618" s="487" t="s">
        <v>1091</v>
      </c>
      <c r="C618" s="488" t="s">
        <v>3329</v>
      </c>
      <c r="D618" s="489" t="s">
        <v>3330</v>
      </c>
      <c r="E618" s="487" t="s">
        <v>3331</v>
      </c>
      <c r="F618" s="490">
        <v>9145</v>
      </c>
      <c r="G618" s="489">
        <v>135.38999999999999</v>
      </c>
      <c r="H618" s="489">
        <v>67.545609999999996</v>
      </c>
      <c r="I618" s="487" t="s">
        <v>1499</v>
      </c>
      <c r="J618" s="487" t="s">
        <v>1093</v>
      </c>
    </row>
    <row r="619" spans="1:10" ht="15" x14ac:dyDescent="0.2">
      <c r="A619" s="486" t="s">
        <v>1092</v>
      </c>
      <c r="B619" s="487" t="s">
        <v>1091</v>
      </c>
      <c r="C619" s="488" t="s">
        <v>3332</v>
      </c>
      <c r="D619" s="489" t="s">
        <v>3333</v>
      </c>
      <c r="E619" s="487" t="s">
        <v>3334</v>
      </c>
      <c r="F619" s="490">
        <v>0</v>
      </c>
      <c r="G619" s="489">
        <v>21.62</v>
      </c>
      <c r="H619" s="489">
        <v>0</v>
      </c>
      <c r="I619" s="487" t="s">
        <v>1593</v>
      </c>
      <c r="J619" s="487" t="s">
        <v>1093</v>
      </c>
    </row>
    <row r="620" spans="1:10" ht="15" x14ac:dyDescent="0.2">
      <c r="A620" s="486" t="s">
        <v>1092</v>
      </c>
      <c r="B620" s="487" t="s">
        <v>1091</v>
      </c>
      <c r="C620" s="488" t="s">
        <v>3335</v>
      </c>
      <c r="D620" s="489" t="s">
        <v>3336</v>
      </c>
      <c r="E620" s="487" t="s">
        <v>3337</v>
      </c>
      <c r="F620" s="490">
        <v>13500</v>
      </c>
      <c r="G620" s="489">
        <v>248.83</v>
      </c>
      <c r="H620" s="489">
        <v>54.253909999999998</v>
      </c>
      <c r="I620" s="487" t="s">
        <v>1499</v>
      </c>
      <c r="J620" s="487" t="s">
        <v>1093</v>
      </c>
    </row>
    <row r="621" spans="1:10" ht="15" x14ac:dyDescent="0.2">
      <c r="A621" s="486" t="s">
        <v>1092</v>
      </c>
      <c r="B621" s="487" t="s">
        <v>1091</v>
      </c>
      <c r="C621" s="488" t="s">
        <v>3338</v>
      </c>
      <c r="D621" s="489" t="s">
        <v>3339</v>
      </c>
      <c r="E621" s="487" t="s">
        <v>3340</v>
      </c>
      <c r="F621" s="490">
        <v>60115</v>
      </c>
      <c r="G621" s="489">
        <v>830.63</v>
      </c>
      <c r="H621" s="489">
        <v>72.372780000000006</v>
      </c>
      <c r="I621" s="487" t="s">
        <v>1499</v>
      </c>
      <c r="J621" s="487" t="s">
        <v>1093</v>
      </c>
    </row>
    <row r="622" spans="1:10" ht="15" x14ac:dyDescent="0.2">
      <c r="A622" s="486" t="s">
        <v>1092</v>
      </c>
      <c r="B622" s="487" t="s">
        <v>1091</v>
      </c>
      <c r="C622" s="488" t="s">
        <v>3341</v>
      </c>
      <c r="D622" s="489" t="s">
        <v>3342</v>
      </c>
      <c r="E622" s="487" t="s">
        <v>3343</v>
      </c>
      <c r="F622" s="490">
        <v>0</v>
      </c>
      <c r="G622" s="489">
        <v>186.03</v>
      </c>
      <c r="H622" s="489">
        <v>0</v>
      </c>
      <c r="I622" s="487" t="s">
        <v>1593</v>
      </c>
      <c r="J622" s="487" t="s">
        <v>1093</v>
      </c>
    </row>
    <row r="623" spans="1:10" ht="15" x14ac:dyDescent="0.2">
      <c r="A623" s="486" t="s">
        <v>1092</v>
      </c>
      <c r="B623" s="487" t="s">
        <v>1091</v>
      </c>
      <c r="C623" s="488" t="s">
        <v>3344</v>
      </c>
      <c r="D623" s="489" t="s">
        <v>3345</v>
      </c>
      <c r="E623" s="487" t="s">
        <v>3346</v>
      </c>
      <c r="F623" s="490">
        <v>0</v>
      </c>
      <c r="G623" s="489">
        <v>40198.949999999997</v>
      </c>
      <c r="H623" s="489">
        <v>0</v>
      </c>
      <c r="I623" s="487" t="s">
        <v>1593</v>
      </c>
      <c r="J623" s="487" t="s">
        <v>1093</v>
      </c>
    </row>
    <row r="624" spans="1:10" ht="15" x14ac:dyDescent="0.2">
      <c r="A624" s="486" t="s">
        <v>722</v>
      </c>
      <c r="B624" s="487" t="s">
        <v>721</v>
      </c>
      <c r="C624" s="488" t="s">
        <v>3347</v>
      </c>
      <c r="D624" s="489" t="s">
        <v>3348</v>
      </c>
      <c r="E624" s="487" t="s">
        <v>3349</v>
      </c>
      <c r="F624" s="490">
        <v>21250</v>
      </c>
      <c r="G624" s="489">
        <v>243.2</v>
      </c>
      <c r="H624" s="489">
        <v>87.376639999999995</v>
      </c>
      <c r="I624" s="487" t="s">
        <v>1499</v>
      </c>
      <c r="J624" s="487" t="s">
        <v>723</v>
      </c>
    </row>
    <row r="625" spans="1:10" ht="15" x14ac:dyDescent="0.2">
      <c r="A625" s="486" t="s">
        <v>722</v>
      </c>
      <c r="B625" s="487" t="s">
        <v>721</v>
      </c>
      <c r="C625" s="488" t="s">
        <v>3350</v>
      </c>
      <c r="D625" s="489" t="s">
        <v>3351</v>
      </c>
      <c r="E625" s="487" t="s">
        <v>3352</v>
      </c>
      <c r="F625" s="490">
        <v>70771</v>
      </c>
      <c r="G625" s="489">
        <v>875.7</v>
      </c>
      <c r="H625" s="489">
        <v>80.816490000000002</v>
      </c>
      <c r="I625" s="487" t="s">
        <v>1499</v>
      </c>
      <c r="J625" s="487" t="s">
        <v>723</v>
      </c>
    </row>
    <row r="626" spans="1:10" ht="15" x14ac:dyDescent="0.2">
      <c r="A626" s="486" t="s">
        <v>722</v>
      </c>
      <c r="B626" s="487" t="s">
        <v>721</v>
      </c>
      <c r="C626" s="488" t="s">
        <v>3353</v>
      </c>
      <c r="D626" s="489" t="s">
        <v>3354</v>
      </c>
      <c r="E626" s="487" t="s">
        <v>3355</v>
      </c>
      <c r="F626" s="490">
        <v>9706</v>
      </c>
      <c r="G626" s="489">
        <v>154.4</v>
      </c>
      <c r="H626" s="489">
        <v>62.862690000000001</v>
      </c>
      <c r="I626" s="487" t="s">
        <v>1499</v>
      </c>
      <c r="J626" s="487" t="s">
        <v>723</v>
      </c>
    </row>
    <row r="627" spans="1:10" ht="15" x14ac:dyDescent="0.2">
      <c r="A627" s="486" t="s">
        <v>722</v>
      </c>
      <c r="B627" s="487" t="s">
        <v>721</v>
      </c>
      <c r="C627" s="488" t="s">
        <v>3356</v>
      </c>
      <c r="D627" s="489" t="s">
        <v>3357</v>
      </c>
      <c r="E627" s="487" t="s">
        <v>3358</v>
      </c>
      <c r="F627" s="490">
        <v>13971</v>
      </c>
      <c r="G627" s="489">
        <v>143.1</v>
      </c>
      <c r="H627" s="489">
        <v>97.631029999999996</v>
      </c>
      <c r="I627" s="487" t="s">
        <v>1499</v>
      </c>
      <c r="J627" s="487" t="s">
        <v>723</v>
      </c>
    </row>
    <row r="628" spans="1:10" ht="15" x14ac:dyDescent="0.2">
      <c r="A628" s="486" t="s">
        <v>722</v>
      </c>
      <c r="B628" s="487" t="s">
        <v>721</v>
      </c>
      <c r="C628" s="488" t="s">
        <v>3359</v>
      </c>
      <c r="D628" s="489" t="s">
        <v>3360</v>
      </c>
      <c r="E628" s="487" t="s">
        <v>3361</v>
      </c>
      <c r="F628" s="490">
        <v>257037</v>
      </c>
      <c r="G628" s="489">
        <v>2464</v>
      </c>
      <c r="H628" s="489">
        <v>104.31695999999999</v>
      </c>
      <c r="I628" s="487" t="s">
        <v>1499</v>
      </c>
      <c r="J628" s="487" t="s">
        <v>723</v>
      </c>
    </row>
    <row r="629" spans="1:10" ht="15" x14ac:dyDescent="0.2">
      <c r="A629" s="486" t="s">
        <v>722</v>
      </c>
      <c r="B629" s="487" t="s">
        <v>721</v>
      </c>
      <c r="C629" s="488" t="s">
        <v>3362</v>
      </c>
      <c r="D629" s="489" t="s">
        <v>3363</v>
      </c>
      <c r="E629" s="487" t="s">
        <v>3364</v>
      </c>
      <c r="F629" s="490">
        <v>80000</v>
      </c>
      <c r="G629" s="489">
        <v>937.8</v>
      </c>
      <c r="H629" s="489">
        <v>85.306039999999996</v>
      </c>
      <c r="I629" s="487" t="s">
        <v>1499</v>
      </c>
      <c r="J629" s="487" t="s">
        <v>723</v>
      </c>
    </row>
    <row r="630" spans="1:10" ht="15" x14ac:dyDescent="0.2">
      <c r="A630" s="486" t="s">
        <v>722</v>
      </c>
      <c r="B630" s="487" t="s">
        <v>721</v>
      </c>
      <c r="C630" s="488" t="s">
        <v>3365</v>
      </c>
      <c r="D630" s="489" t="s">
        <v>3366</v>
      </c>
      <c r="E630" s="487" t="s">
        <v>3367</v>
      </c>
      <c r="F630" s="490">
        <v>15862</v>
      </c>
      <c r="G630" s="489">
        <v>223.4</v>
      </c>
      <c r="H630" s="489">
        <v>71.002690000000001</v>
      </c>
      <c r="I630" s="487" t="s">
        <v>1499</v>
      </c>
      <c r="J630" s="487" t="s">
        <v>723</v>
      </c>
    </row>
    <row r="631" spans="1:10" ht="15" x14ac:dyDescent="0.2">
      <c r="A631" s="486" t="s">
        <v>722</v>
      </c>
      <c r="B631" s="487" t="s">
        <v>721</v>
      </c>
      <c r="C631" s="488" t="s">
        <v>3368</v>
      </c>
      <c r="D631" s="489" t="s">
        <v>3369</v>
      </c>
      <c r="E631" s="487" t="s">
        <v>3370</v>
      </c>
      <c r="F631" s="490">
        <v>21000</v>
      </c>
      <c r="G631" s="489">
        <v>195.5</v>
      </c>
      <c r="H631" s="489">
        <v>107.41688000000001</v>
      </c>
      <c r="I631" s="487" t="s">
        <v>1499</v>
      </c>
      <c r="J631" s="487" t="s">
        <v>723</v>
      </c>
    </row>
    <row r="632" spans="1:10" ht="15" x14ac:dyDescent="0.2">
      <c r="A632" s="486" t="s">
        <v>722</v>
      </c>
      <c r="B632" s="487" t="s">
        <v>721</v>
      </c>
      <c r="C632" s="488" t="s">
        <v>3371</v>
      </c>
      <c r="D632" s="489" t="s">
        <v>3372</v>
      </c>
      <c r="E632" s="487" t="s">
        <v>3373</v>
      </c>
      <c r="F632" s="490">
        <v>108447</v>
      </c>
      <c r="G632" s="489">
        <v>986.8</v>
      </c>
      <c r="H632" s="489">
        <v>109.89765</v>
      </c>
      <c r="I632" s="487" t="s">
        <v>1499</v>
      </c>
      <c r="J632" s="487" t="s">
        <v>723</v>
      </c>
    </row>
    <row r="633" spans="1:10" ht="15" x14ac:dyDescent="0.2">
      <c r="A633" s="486" t="s">
        <v>722</v>
      </c>
      <c r="B633" s="487" t="s">
        <v>721</v>
      </c>
      <c r="C633" s="488" t="s">
        <v>3374</v>
      </c>
      <c r="D633" s="489" t="s">
        <v>3375</v>
      </c>
      <c r="E633" s="487" t="s">
        <v>3376</v>
      </c>
      <c r="F633" s="490">
        <v>31398</v>
      </c>
      <c r="G633" s="489">
        <v>348.2</v>
      </c>
      <c r="H633" s="489">
        <v>90.172309999999996</v>
      </c>
      <c r="I633" s="487" t="s">
        <v>1499</v>
      </c>
      <c r="J633" s="487" t="s">
        <v>723</v>
      </c>
    </row>
    <row r="634" spans="1:10" ht="15" x14ac:dyDescent="0.2">
      <c r="A634" s="486" t="s">
        <v>722</v>
      </c>
      <c r="B634" s="487" t="s">
        <v>721</v>
      </c>
      <c r="C634" s="488" t="s">
        <v>3377</v>
      </c>
      <c r="D634" s="489" t="s">
        <v>3378</v>
      </c>
      <c r="E634" s="487" t="s">
        <v>3379</v>
      </c>
      <c r="F634" s="490">
        <v>822558</v>
      </c>
      <c r="G634" s="489">
        <v>7646.9</v>
      </c>
      <c r="H634" s="489">
        <v>107.56751</v>
      </c>
      <c r="I634" s="487" t="s">
        <v>1499</v>
      </c>
      <c r="J634" s="487" t="s">
        <v>723</v>
      </c>
    </row>
    <row r="635" spans="1:10" ht="15" x14ac:dyDescent="0.2">
      <c r="A635" s="486" t="s">
        <v>722</v>
      </c>
      <c r="B635" s="487" t="s">
        <v>721</v>
      </c>
      <c r="C635" s="488" t="s">
        <v>3380</v>
      </c>
      <c r="D635" s="489" t="s">
        <v>3381</v>
      </c>
      <c r="E635" s="487" t="s">
        <v>3382</v>
      </c>
      <c r="F635" s="490">
        <v>106075</v>
      </c>
      <c r="G635" s="489">
        <v>1322</v>
      </c>
      <c r="H635" s="489">
        <v>80.238280000000003</v>
      </c>
      <c r="I635" s="487" t="s">
        <v>1499</v>
      </c>
      <c r="J635" s="487" t="s">
        <v>723</v>
      </c>
    </row>
    <row r="636" spans="1:10" ht="15" x14ac:dyDescent="0.2">
      <c r="A636" s="486" t="s">
        <v>722</v>
      </c>
      <c r="B636" s="487" t="s">
        <v>721</v>
      </c>
      <c r="C636" s="488" t="s">
        <v>3383</v>
      </c>
      <c r="D636" s="489" t="s">
        <v>3384</v>
      </c>
      <c r="E636" s="487" t="s">
        <v>2957</v>
      </c>
      <c r="F636" s="490">
        <v>155458</v>
      </c>
      <c r="G636" s="489">
        <v>1348</v>
      </c>
      <c r="H636" s="489">
        <v>115.32492999999999</v>
      </c>
      <c r="I636" s="487" t="s">
        <v>1499</v>
      </c>
      <c r="J636" s="487" t="s">
        <v>723</v>
      </c>
    </row>
    <row r="637" spans="1:10" ht="15" x14ac:dyDescent="0.2">
      <c r="A637" s="486" t="s">
        <v>722</v>
      </c>
      <c r="B637" s="487" t="s">
        <v>721</v>
      </c>
      <c r="C637" s="488" t="s">
        <v>3385</v>
      </c>
      <c r="D637" s="489" t="s">
        <v>3386</v>
      </c>
      <c r="E637" s="487" t="s">
        <v>3387</v>
      </c>
      <c r="F637" s="490">
        <v>128867</v>
      </c>
      <c r="G637" s="489">
        <v>976.7</v>
      </c>
      <c r="H637" s="489">
        <v>131.94122999999999</v>
      </c>
      <c r="I637" s="487" t="s">
        <v>1499</v>
      </c>
      <c r="J637" s="487" t="s">
        <v>723</v>
      </c>
    </row>
    <row r="638" spans="1:10" ht="15" x14ac:dyDescent="0.2">
      <c r="A638" s="486" t="s">
        <v>722</v>
      </c>
      <c r="B638" s="487" t="s">
        <v>721</v>
      </c>
      <c r="C638" s="488" t="s">
        <v>3388</v>
      </c>
      <c r="D638" s="489" t="s">
        <v>3389</v>
      </c>
      <c r="E638" s="487" t="s">
        <v>3390</v>
      </c>
      <c r="F638" s="490">
        <v>10500</v>
      </c>
      <c r="G638" s="489">
        <v>137.5</v>
      </c>
      <c r="H638" s="489">
        <v>76.363640000000004</v>
      </c>
      <c r="I638" s="487" t="s">
        <v>1499</v>
      </c>
      <c r="J638" s="487" t="s">
        <v>723</v>
      </c>
    </row>
    <row r="639" spans="1:10" ht="15" x14ac:dyDescent="0.2">
      <c r="A639" s="486" t="s">
        <v>722</v>
      </c>
      <c r="B639" s="487" t="s">
        <v>721</v>
      </c>
      <c r="C639" s="488" t="s">
        <v>3391</v>
      </c>
      <c r="D639" s="489" t="s">
        <v>3392</v>
      </c>
      <c r="E639" s="487" t="s">
        <v>3393</v>
      </c>
      <c r="F639" s="490">
        <v>12105</v>
      </c>
      <c r="G639" s="489">
        <v>202.5</v>
      </c>
      <c r="H639" s="489">
        <v>59.77778</v>
      </c>
      <c r="I639" s="487" t="s">
        <v>1499</v>
      </c>
      <c r="J639" s="487" t="s">
        <v>723</v>
      </c>
    </row>
    <row r="640" spans="1:10" ht="15" x14ac:dyDescent="0.2">
      <c r="A640" s="486" t="s">
        <v>722</v>
      </c>
      <c r="B640" s="487" t="s">
        <v>721</v>
      </c>
      <c r="C640" s="488" t="s">
        <v>3394</v>
      </c>
      <c r="D640" s="489" t="s">
        <v>3395</v>
      </c>
      <c r="E640" s="487" t="s">
        <v>3396</v>
      </c>
      <c r="F640" s="490">
        <v>493564</v>
      </c>
      <c r="G640" s="489">
        <v>3222.5</v>
      </c>
      <c r="H640" s="489">
        <v>153.16183000000001</v>
      </c>
      <c r="I640" s="487" t="s">
        <v>1499</v>
      </c>
      <c r="J640" s="487" t="s">
        <v>723</v>
      </c>
    </row>
    <row r="641" spans="1:10" ht="15" x14ac:dyDescent="0.2">
      <c r="A641" s="486" t="s">
        <v>722</v>
      </c>
      <c r="B641" s="487" t="s">
        <v>721</v>
      </c>
      <c r="C641" s="488" t="s">
        <v>3397</v>
      </c>
      <c r="D641" s="489" t="s">
        <v>3398</v>
      </c>
      <c r="E641" s="487" t="s">
        <v>3399</v>
      </c>
      <c r="F641" s="490">
        <v>23547</v>
      </c>
      <c r="G641" s="489">
        <v>366.9</v>
      </c>
      <c r="H641" s="489">
        <v>64.178250000000006</v>
      </c>
      <c r="I641" s="487" t="s">
        <v>1499</v>
      </c>
      <c r="J641" s="487" t="s">
        <v>723</v>
      </c>
    </row>
    <row r="642" spans="1:10" ht="15" x14ac:dyDescent="0.2">
      <c r="A642" s="486" t="s">
        <v>722</v>
      </c>
      <c r="B642" s="487" t="s">
        <v>721</v>
      </c>
      <c r="C642" s="488" t="s">
        <v>3400</v>
      </c>
      <c r="D642" s="489" t="s">
        <v>3401</v>
      </c>
      <c r="E642" s="487" t="s">
        <v>3402</v>
      </c>
      <c r="F642" s="490">
        <v>62560</v>
      </c>
      <c r="G642" s="489">
        <v>390.1</v>
      </c>
      <c r="H642" s="489">
        <v>160.36913999999999</v>
      </c>
      <c r="I642" s="487" t="s">
        <v>1499</v>
      </c>
      <c r="J642" s="487" t="s">
        <v>723</v>
      </c>
    </row>
    <row r="643" spans="1:10" ht="15" x14ac:dyDescent="0.2">
      <c r="A643" s="486" t="s">
        <v>722</v>
      </c>
      <c r="B643" s="487" t="s">
        <v>721</v>
      </c>
      <c r="C643" s="488" t="s">
        <v>3403</v>
      </c>
      <c r="D643" s="489" t="s">
        <v>3404</v>
      </c>
      <c r="E643" s="487" t="s">
        <v>3405</v>
      </c>
      <c r="F643" s="490">
        <v>16170</v>
      </c>
      <c r="G643" s="489">
        <v>144.80000000000001</v>
      </c>
      <c r="H643" s="489">
        <v>111.67127000000001</v>
      </c>
      <c r="I643" s="487" t="s">
        <v>1499</v>
      </c>
      <c r="J643" s="487" t="s">
        <v>723</v>
      </c>
    </row>
    <row r="644" spans="1:10" ht="15" x14ac:dyDescent="0.2">
      <c r="A644" s="486" t="s">
        <v>722</v>
      </c>
      <c r="B644" s="487" t="s">
        <v>721</v>
      </c>
      <c r="C644" s="488" t="s">
        <v>3406</v>
      </c>
      <c r="D644" s="489" t="s">
        <v>3407</v>
      </c>
      <c r="E644" s="487" t="s">
        <v>3408</v>
      </c>
      <c r="F644" s="490">
        <v>10749</v>
      </c>
      <c r="G644" s="489">
        <v>79.7</v>
      </c>
      <c r="H644" s="489">
        <v>134.86825999999999</v>
      </c>
      <c r="I644" s="487" t="s">
        <v>1499</v>
      </c>
      <c r="J644" s="487" t="s">
        <v>723</v>
      </c>
    </row>
    <row r="645" spans="1:10" ht="15" x14ac:dyDescent="0.2">
      <c r="A645" s="486" t="s">
        <v>722</v>
      </c>
      <c r="B645" s="487" t="s">
        <v>721</v>
      </c>
      <c r="C645" s="488" t="s">
        <v>3409</v>
      </c>
      <c r="D645" s="489" t="s">
        <v>3410</v>
      </c>
      <c r="E645" s="487" t="s">
        <v>3411</v>
      </c>
      <c r="F645" s="490">
        <v>463400</v>
      </c>
      <c r="G645" s="489">
        <v>3952.6</v>
      </c>
      <c r="H645" s="489">
        <v>117.23929</v>
      </c>
      <c r="I645" s="487" t="s">
        <v>1499</v>
      </c>
      <c r="J645" s="487" t="s">
        <v>723</v>
      </c>
    </row>
    <row r="646" spans="1:10" ht="15" x14ac:dyDescent="0.2">
      <c r="A646" s="486" t="s">
        <v>722</v>
      </c>
      <c r="B646" s="487" t="s">
        <v>721</v>
      </c>
      <c r="C646" s="488" t="s">
        <v>3412</v>
      </c>
      <c r="D646" s="489" t="s">
        <v>3413</v>
      </c>
      <c r="E646" s="487" t="s">
        <v>3414</v>
      </c>
      <c r="F646" s="490">
        <v>20079</v>
      </c>
      <c r="G646" s="489">
        <v>284.10000000000002</v>
      </c>
      <c r="H646" s="489">
        <v>70.675820000000002</v>
      </c>
      <c r="I646" s="487" t="s">
        <v>1499</v>
      </c>
      <c r="J646" s="487" t="s">
        <v>723</v>
      </c>
    </row>
    <row r="647" spans="1:10" ht="15" x14ac:dyDescent="0.2">
      <c r="A647" s="486" t="s">
        <v>722</v>
      </c>
      <c r="B647" s="487" t="s">
        <v>721</v>
      </c>
      <c r="C647" s="488" t="s">
        <v>3415</v>
      </c>
      <c r="D647" s="489" t="s">
        <v>3416</v>
      </c>
      <c r="E647" s="487" t="s">
        <v>3417</v>
      </c>
      <c r="F647" s="490">
        <v>94660</v>
      </c>
      <c r="G647" s="489">
        <v>738</v>
      </c>
      <c r="H647" s="489">
        <v>128.26558</v>
      </c>
      <c r="I647" s="487" t="s">
        <v>1499</v>
      </c>
      <c r="J647" s="487" t="s">
        <v>723</v>
      </c>
    </row>
    <row r="648" spans="1:10" ht="15" x14ac:dyDescent="0.2">
      <c r="A648" s="486" t="s">
        <v>722</v>
      </c>
      <c r="B648" s="487" t="s">
        <v>721</v>
      </c>
      <c r="C648" s="488" t="s">
        <v>3418</v>
      </c>
      <c r="D648" s="489" t="s">
        <v>3419</v>
      </c>
      <c r="E648" s="487" t="s">
        <v>1263</v>
      </c>
      <c r="F648" s="490">
        <v>200000</v>
      </c>
      <c r="G648" s="489">
        <v>1432.5</v>
      </c>
      <c r="H648" s="489">
        <v>139.61606</v>
      </c>
      <c r="I648" s="487" t="s">
        <v>1499</v>
      </c>
      <c r="J648" s="487" t="s">
        <v>723</v>
      </c>
    </row>
    <row r="649" spans="1:10" ht="15" x14ac:dyDescent="0.2">
      <c r="A649" s="486" t="s">
        <v>722</v>
      </c>
      <c r="B649" s="487" t="s">
        <v>721</v>
      </c>
      <c r="C649" s="488" t="s">
        <v>3420</v>
      </c>
      <c r="D649" s="489" t="s">
        <v>3421</v>
      </c>
      <c r="E649" s="487" t="s">
        <v>3422</v>
      </c>
      <c r="F649" s="490">
        <v>40500</v>
      </c>
      <c r="G649" s="489">
        <v>363.6</v>
      </c>
      <c r="H649" s="489">
        <v>111.38614</v>
      </c>
      <c r="I649" s="487" t="s">
        <v>1499</v>
      </c>
      <c r="J649" s="487" t="s">
        <v>723</v>
      </c>
    </row>
    <row r="650" spans="1:10" ht="15" x14ac:dyDescent="0.2">
      <c r="A650" s="486" t="s">
        <v>722</v>
      </c>
      <c r="B650" s="487" t="s">
        <v>721</v>
      </c>
      <c r="C650" s="488" t="s">
        <v>3423</v>
      </c>
      <c r="D650" s="489" t="s">
        <v>3424</v>
      </c>
      <c r="E650" s="487" t="s">
        <v>3425</v>
      </c>
      <c r="F650" s="490">
        <v>17500</v>
      </c>
      <c r="G650" s="489">
        <v>376.1</v>
      </c>
      <c r="H650" s="489">
        <v>46.530180000000001</v>
      </c>
      <c r="I650" s="487" t="s">
        <v>1499</v>
      </c>
      <c r="J650" s="487" t="s">
        <v>723</v>
      </c>
    </row>
    <row r="651" spans="1:10" ht="15" x14ac:dyDescent="0.2">
      <c r="A651" s="486" t="s">
        <v>722</v>
      </c>
      <c r="B651" s="487" t="s">
        <v>721</v>
      </c>
      <c r="C651" s="488" t="s">
        <v>3426</v>
      </c>
      <c r="D651" s="489" t="s">
        <v>3427</v>
      </c>
      <c r="E651" s="487" t="s">
        <v>3428</v>
      </c>
      <c r="F651" s="490">
        <v>28826</v>
      </c>
      <c r="G651" s="489">
        <v>288.60000000000002</v>
      </c>
      <c r="H651" s="489">
        <v>99.882189999999994</v>
      </c>
      <c r="I651" s="487" t="s">
        <v>1499</v>
      </c>
      <c r="J651" s="487" t="s">
        <v>723</v>
      </c>
    </row>
    <row r="652" spans="1:10" ht="15" x14ac:dyDescent="0.2">
      <c r="A652" s="486" t="s">
        <v>722</v>
      </c>
      <c r="B652" s="487" t="s">
        <v>721</v>
      </c>
      <c r="C652" s="488" t="s">
        <v>3429</v>
      </c>
      <c r="D652" s="489" t="s">
        <v>3430</v>
      </c>
      <c r="E652" s="487" t="s">
        <v>3431</v>
      </c>
      <c r="F652" s="490">
        <v>20500</v>
      </c>
      <c r="G652" s="489">
        <v>71</v>
      </c>
      <c r="H652" s="489">
        <v>288.73239000000001</v>
      </c>
      <c r="I652" s="487" t="s">
        <v>1499</v>
      </c>
      <c r="J652" s="487" t="s">
        <v>723</v>
      </c>
    </row>
    <row r="653" spans="1:10" ht="15" x14ac:dyDescent="0.2">
      <c r="A653" s="486" t="s">
        <v>722</v>
      </c>
      <c r="B653" s="487" t="s">
        <v>721</v>
      </c>
      <c r="C653" s="488" t="s">
        <v>3432</v>
      </c>
      <c r="D653" s="489" t="s">
        <v>3433</v>
      </c>
      <c r="E653" s="487" t="s">
        <v>3434</v>
      </c>
      <c r="F653" s="490">
        <v>3100</v>
      </c>
      <c r="G653" s="489">
        <v>88</v>
      </c>
      <c r="H653" s="489">
        <v>35.227269999999997</v>
      </c>
      <c r="I653" s="487" t="s">
        <v>1499</v>
      </c>
      <c r="J653" s="487" t="s">
        <v>723</v>
      </c>
    </row>
    <row r="654" spans="1:10" ht="15" x14ac:dyDescent="0.2">
      <c r="A654" s="486" t="s">
        <v>722</v>
      </c>
      <c r="B654" s="487" t="s">
        <v>721</v>
      </c>
      <c r="C654" s="488" t="s">
        <v>3435</v>
      </c>
      <c r="D654" s="489" t="s">
        <v>3436</v>
      </c>
      <c r="E654" s="487" t="s">
        <v>3437</v>
      </c>
      <c r="F654" s="490">
        <v>37000</v>
      </c>
      <c r="G654" s="489">
        <v>379.2</v>
      </c>
      <c r="H654" s="489">
        <v>97.573840000000004</v>
      </c>
      <c r="I654" s="487" t="s">
        <v>1499</v>
      </c>
      <c r="J654" s="487" t="s">
        <v>723</v>
      </c>
    </row>
    <row r="655" spans="1:10" ht="15" x14ac:dyDescent="0.2">
      <c r="A655" s="486" t="s">
        <v>722</v>
      </c>
      <c r="B655" s="487" t="s">
        <v>721</v>
      </c>
      <c r="C655" s="488" t="s">
        <v>3438</v>
      </c>
      <c r="D655" s="489" t="s">
        <v>3439</v>
      </c>
      <c r="E655" s="487" t="s">
        <v>3440</v>
      </c>
      <c r="F655" s="490">
        <v>65070</v>
      </c>
      <c r="G655" s="489">
        <v>532.29999999999995</v>
      </c>
      <c r="H655" s="489">
        <v>122.2431</v>
      </c>
      <c r="I655" s="487" t="s">
        <v>1499</v>
      </c>
      <c r="J655" s="487" t="s">
        <v>723</v>
      </c>
    </row>
    <row r="656" spans="1:10" ht="15" x14ac:dyDescent="0.2">
      <c r="A656" s="486" t="s">
        <v>722</v>
      </c>
      <c r="B656" s="487" t="s">
        <v>721</v>
      </c>
      <c r="C656" s="488" t="s">
        <v>3441</v>
      </c>
      <c r="D656" s="489" t="s">
        <v>3442</v>
      </c>
      <c r="E656" s="487" t="s">
        <v>3443</v>
      </c>
      <c r="F656" s="490">
        <v>19000</v>
      </c>
      <c r="G656" s="489">
        <v>192.1</v>
      </c>
      <c r="H656" s="489">
        <v>98.906819999999996</v>
      </c>
      <c r="I656" s="487" t="s">
        <v>1499</v>
      </c>
      <c r="J656" s="487" t="s">
        <v>723</v>
      </c>
    </row>
    <row r="657" spans="1:10" ht="15" x14ac:dyDescent="0.2">
      <c r="A657" s="486" t="s">
        <v>722</v>
      </c>
      <c r="B657" s="487" t="s">
        <v>721</v>
      </c>
      <c r="C657" s="488" t="s">
        <v>3444</v>
      </c>
      <c r="D657" s="489" t="s">
        <v>3445</v>
      </c>
      <c r="E657" s="487" t="s">
        <v>3446</v>
      </c>
      <c r="F657" s="490">
        <v>97503</v>
      </c>
      <c r="G657" s="489">
        <v>1176.7</v>
      </c>
      <c r="H657" s="489">
        <v>82.86139</v>
      </c>
      <c r="I657" s="487" t="s">
        <v>1499</v>
      </c>
      <c r="J657" s="487" t="s">
        <v>723</v>
      </c>
    </row>
    <row r="658" spans="1:10" ht="15" x14ac:dyDescent="0.2">
      <c r="A658" s="486" t="s">
        <v>722</v>
      </c>
      <c r="B658" s="487" t="s">
        <v>721</v>
      </c>
      <c r="C658" s="488" t="s">
        <v>3447</v>
      </c>
      <c r="D658" s="489" t="s">
        <v>3448</v>
      </c>
      <c r="E658" s="487" t="s">
        <v>3449</v>
      </c>
      <c r="F658" s="490">
        <v>17500</v>
      </c>
      <c r="G658" s="489">
        <v>796.9</v>
      </c>
      <c r="H658" s="489">
        <v>21.960100000000001</v>
      </c>
      <c r="I658" s="487" t="s">
        <v>1499</v>
      </c>
      <c r="J658" s="487" t="s">
        <v>723</v>
      </c>
    </row>
    <row r="659" spans="1:10" ht="15" x14ac:dyDescent="0.2">
      <c r="A659" s="486" t="s">
        <v>789</v>
      </c>
      <c r="B659" s="487" t="s">
        <v>788</v>
      </c>
      <c r="C659" s="488" t="s">
        <v>3450</v>
      </c>
      <c r="D659" s="489" t="s">
        <v>3451</v>
      </c>
      <c r="E659" s="487" t="s">
        <v>3452</v>
      </c>
      <c r="F659" s="490">
        <v>14000</v>
      </c>
      <c r="G659" s="489">
        <v>363</v>
      </c>
      <c r="H659" s="489">
        <v>38.567489999999999</v>
      </c>
      <c r="I659" s="487" t="s">
        <v>1499</v>
      </c>
      <c r="J659" s="487" t="s">
        <v>790</v>
      </c>
    </row>
    <row r="660" spans="1:10" ht="15" x14ac:dyDescent="0.2">
      <c r="A660" s="486" t="s">
        <v>789</v>
      </c>
      <c r="B660" s="487" t="s">
        <v>788</v>
      </c>
      <c r="C660" s="488" t="s">
        <v>3453</v>
      </c>
      <c r="D660" s="489" t="s">
        <v>3454</v>
      </c>
      <c r="E660" s="487" t="s">
        <v>3455</v>
      </c>
      <c r="F660" s="490">
        <v>189500</v>
      </c>
      <c r="G660" s="489">
        <v>3517</v>
      </c>
      <c r="H660" s="489">
        <v>53.881149999999998</v>
      </c>
      <c r="I660" s="487" t="s">
        <v>1499</v>
      </c>
      <c r="J660" s="487" t="s">
        <v>790</v>
      </c>
    </row>
    <row r="661" spans="1:10" ht="15" x14ac:dyDescent="0.2">
      <c r="A661" s="486" t="s">
        <v>789</v>
      </c>
      <c r="B661" s="487" t="s">
        <v>788</v>
      </c>
      <c r="C661" s="488" t="s">
        <v>3456</v>
      </c>
      <c r="D661" s="489" t="s">
        <v>3457</v>
      </c>
      <c r="E661" s="487" t="s">
        <v>3458</v>
      </c>
      <c r="F661" s="490">
        <v>22200</v>
      </c>
      <c r="G661" s="489">
        <v>298</v>
      </c>
      <c r="H661" s="489">
        <v>74.496639999999999</v>
      </c>
      <c r="I661" s="487" t="s">
        <v>1499</v>
      </c>
      <c r="J661" s="487" t="s">
        <v>790</v>
      </c>
    </row>
    <row r="662" spans="1:10" ht="15" x14ac:dyDescent="0.2">
      <c r="A662" s="486" t="s">
        <v>789</v>
      </c>
      <c r="B662" s="487" t="s">
        <v>788</v>
      </c>
      <c r="C662" s="488" t="s">
        <v>3459</v>
      </c>
      <c r="D662" s="489" t="s">
        <v>3460</v>
      </c>
      <c r="E662" s="487" t="s">
        <v>3461</v>
      </c>
      <c r="F662" s="490">
        <v>65000</v>
      </c>
      <c r="G662" s="489">
        <v>890</v>
      </c>
      <c r="H662" s="489">
        <v>73.033709999999999</v>
      </c>
      <c r="I662" s="487" t="s">
        <v>1499</v>
      </c>
      <c r="J662" s="487" t="s">
        <v>790</v>
      </c>
    </row>
    <row r="663" spans="1:10" ht="15" x14ac:dyDescent="0.2">
      <c r="A663" s="486" t="s">
        <v>789</v>
      </c>
      <c r="B663" s="487" t="s">
        <v>788</v>
      </c>
      <c r="C663" s="488" t="s">
        <v>3462</v>
      </c>
      <c r="D663" s="489" t="s">
        <v>3463</v>
      </c>
      <c r="E663" s="487" t="s">
        <v>3464</v>
      </c>
      <c r="F663" s="490">
        <v>80772</v>
      </c>
      <c r="G663" s="489">
        <v>1291</v>
      </c>
      <c r="H663" s="489">
        <v>62.565449999999998</v>
      </c>
      <c r="I663" s="487" t="s">
        <v>1499</v>
      </c>
      <c r="J663" s="487" t="s">
        <v>790</v>
      </c>
    </row>
    <row r="664" spans="1:10" ht="15" x14ac:dyDescent="0.2">
      <c r="A664" s="486" t="s">
        <v>789</v>
      </c>
      <c r="B664" s="487" t="s">
        <v>788</v>
      </c>
      <c r="C664" s="488" t="s">
        <v>3465</v>
      </c>
      <c r="D664" s="489" t="s">
        <v>3466</v>
      </c>
      <c r="E664" s="487" t="s">
        <v>3467</v>
      </c>
      <c r="F664" s="490">
        <v>23000</v>
      </c>
      <c r="G664" s="489">
        <v>406</v>
      </c>
      <c r="H664" s="489">
        <v>56.65025</v>
      </c>
      <c r="I664" s="487" t="s">
        <v>1499</v>
      </c>
      <c r="J664" s="487" t="s">
        <v>790</v>
      </c>
    </row>
    <row r="665" spans="1:10" ht="15" x14ac:dyDescent="0.2">
      <c r="A665" s="486" t="s">
        <v>789</v>
      </c>
      <c r="B665" s="487" t="s">
        <v>788</v>
      </c>
      <c r="C665" s="488" t="s">
        <v>3468</v>
      </c>
      <c r="D665" s="489" t="s">
        <v>3469</v>
      </c>
      <c r="E665" s="487" t="s">
        <v>3470</v>
      </c>
      <c r="F665" s="490">
        <v>62000</v>
      </c>
      <c r="G665" s="489">
        <v>1240</v>
      </c>
      <c r="H665" s="489">
        <v>50</v>
      </c>
      <c r="I665" s="487" t="s">
        <v>1499</v>
      </c>
      <c r="J665" s="487" t="s">
        <v>790</v>
      </c>
    </row>
    <row r="666" spans="1:10" ht="15" x14ac:dyDescent="0.2">
      <c r="A666" s="486" t="s">
        <v>789</v>
      </c>
      <c r="B666" s="487" t="s">
        <v>788</v>
      </c>
      <c r="C666" s="488" t="s">
        <v>3471</v>
      </c>
      <c r="D666" s="489" t="s">
        <v>3472</v>
      </c>
      <c r="E666" s="487" t="s">
        <v>3473</v>
      </c>
      <c r="F666" s="490">
        <v>90400</v>
      </c>
      <c r="G666" s="489">
        <v>932</v>
      </c>
      <c r="H666" s="489">
        <v>96.995710000000003</v>
      </c>
      <c r="I666" s="487" t="s">
        <v>1499</v>
      </c>
      <c r="J666" s="487" t="s">
        <v>790</v>
      </c>
    </row>
    <row r="667" spans="1:10" ht="15" x14ac:dyDescent="0.2">
      <c r="A667" s="486" t="s">
        <v>789</v>
      </c>
      <c r="B667" s="487" t="s">
        <v>788</v>
      </c>
      <c r="C667" s="488" t="s">
        <v>3474</v>
      </c>
      <c r="D667" s="489" t="s">
        <v>3475</v>
      </c>
      <c r="E667" s="487" t="s">
        <v>3476</v>
      </c>
      <c r="F667" s="490">
        <v>375000</v>
      </c>
      <c r="G667" s="489">
        <v>6945</v>
      </c>
      <c r="H667" s="489">
        <v>53.99568</v>
      </c>
      <c r="I667" s="487" t="s">
        <v>1499</v>
      </c>
      <c r="J667" s="487" t="s">
        <v>790</v>
      </c>
    </row>
    <row r="668" spans="1:10" ht="15" x14ac:dyDescent="0.2">
      <c r="A668" s="486" t="s">
        <v>789</v>
      </c>
      <c r="B668" s="487" t="s">
        <v>788</v>
      </c>
      <c r="C668" s="488" t="s">
        <v>3477</v>
      </c>
      <c r="D668" s="489" t="s">
        <v>3478</v>
      </c>
      <c r="E668" s="487" t="s">
        <v>3479</v>
      </c>
      <c r="F668" s="490">
        <v>26000</v>
      </c>
      <c r="G668" s="489">
        <v>251</v>
      </c>
      <c r="H668" s="489">
        <v>103.58566</v>
      </c>
      <c r="I668" s="487" t="s">
        <v>1499</v>
      </c>
      <c r="J668" s="487" t="s">
        <v>790</v>
      </c>
    </row>
    <row r="669" spans="1:10" ht="15" x14ac:dyDescent="0.2">
      <c r="A669" s="486" t="s">
        <v>789</v>
      </c>
      <c r="B669" s="487" t="s">
        <v>788</v>
      </c>
      <c r="C669" s="488" t="s">
        <v>3480</v>
      </c>
      <c r="D669" s="489" t="s">
        <v>3481</v>
      </c>
      <c r="E669" s="487" t="s">
        <v>3482</v>
      </c>
      <c r="F669" s="490">
        <v>20071</v>
      </c>
      <c r="G669" s="489">
        <v>469</v>
      </c>
      <c r="H669" s="489">
        <v>42.795310000000001</v>
      </c>
      <c r="I669" s="487" t="s">
        <v>1499</v>
      </c>
      <c r="J669" s="487" t="s">
        <v>790</v>
      </c>
    </row>
    <row r="670" spans="1:10" ht="15" x14ac:dyDescent="0.2">
      <c r="A670" s="486" t="s">
        <v>789</v>
      </c>
      <c r="B670" s="487" t="s">
        <v>788</v>
      </c>
      <c r="C670" s="488" t="s">
        <v>3483</v>
      </c>
      <c r="D670" s="489" t="s">
        <v>3484</v>
      </c>
      <c r="E670" s="487" t="s">
        <v>3485</v>
      </c>
      <c r="F670" s="490">
        <v>25600</v>
      </c>
      <c r="G670" s="489">
        <v>429</v>
      </c>
      <c r="H670" s="489">
        <v>59.673659999999998</v>
      </c>
      <c r="I670" s="487" t="s">
        <v>1499</v>
      </c>
      <c r="J670" s="487" t="s">
        <v>790</v>
      </c>
    </row>
    <row r="671" spans="1:10" ht="15" x14ac:dyDescent="0.2">
      <c r="A671" s="486" t="s">
        <v>789</v>
      </c>
      <c r="B671" s="487" t="s">
        <v>788</v>
      </c>
      <c r="C671" s="488" t="s">
        <v>3486</v>
      </c>
      <c r="D671" s="489" t="s">
        <v>3487</v>
      </c>
      <c r="E671" s="487" t="s">
        <v>3488</v>
      </c>
      <c r="F671" s="490">
        <v>177000</v>
      </c>
      <c r="G671" s="489">
        <v>6226</v>
      </c>
      <c r="H671" s="489">
        <v>28.429169999999999</v>
      </c>
      <c r="I671" s="487" t="s">
        <v>1499</v>
      </c>
      <c r="J671" s="487" t="s">
        <v>790</v>
      </c>
    </row>
    <row r="672" spans="1:10" ht="15" x14ac:dyDescent="0.2">
      <c r="A672" s="486" t="s">
        <v>789</v>
      </c>
      <c r="B672" s="487" t="s">
        <v>788</v>
      </c>
      <c r="C672" s="488" t="s">
        <v>3489</v>
      </c>
      <c r="D672" s="489" t="s">
        <v>3490</v>
      </c>
      <c r="E672" s="487" t="s">
        <v>3491</v>
      </c>
      <c r="F672" s="490">
        <v>67168</v>
      </c>
      <c r="G672" s="489">
        <v>903</v>
      </c>
      <c r="H672" s="489">
        <v>74.383170000000007</v>
      </c>
      <c r="I672" s="487" t="s">
        <v>1499</v>
      </c>
      <c r="J672" s="487" t="s">
        <v>790</v>
      </c>
    </row>
    <row r="673" spans="1:10" ht="15" x14ac:dyDescent="0.2">
      <c r="A673" s="486" t="s">
        <v>789</v>
      </c>
      <c r="B673" s="487" t="s">
        <v>788</v>
      </c>
      <c r="C673" s="488" t="s">
        <v>3492</v>
      </c>
      <c r="D673" s="489" t="s">
        <v>3493</v>
      </c>
      <c r="E673" s="487" t="s">
        <v>3494</v>
      </c>
      <c r="F673" s="490">
        <v>412060</v>
      </c>
      <c r="G673" s="489">
        <v>6694</v>
      </c>
      <c r="H673" s="489">
        <v>61.556620000000002</v>
      </c>
      <c r="I673" s="487" t="s">
        <v>1499</v>
      </c>
      <c r="J673" s="487" t="s">
        <v>790</v>
      </c>
    </row>
    <row r="674" spans="1:10" ht="15" x14ac:dyDescent="0.2">
      <c r="A674" s="486" t="s">
        <v>789</v>
      </c>
      <c r="B674" s="487" t="s">
        <v>788</v>
      </c>
      <c r="C674" s="488" t="s">
        <v>3495</v>
      </c>
      <c r="D674" s="489" t="s">
        <v>3496</v>
      </c>
      <c r="E674" s="487" t="s">
        <v>3497</v>
      </c>
      <c r="F674" s="490">
        <v>110257</v>
      </c>
      <c r="G674" s="489">
        <v>1300</v>
      </c>
      <c r="H674" s="489">
        <v>84.813079999999999</v>
      </c>
      <c r="I674" s="487" t="s">
        <v>1499</v>
      </c>
      <c r="J674" s="487" t="s">
        <v>790</v>
      </c>
    </row>
    <row r="675" spans="1:10" ht="15" x14ac:dyDescent="0.2">
      <c r="A675" s="486" t="s">
        <v>1183</v>
      </c>
      <c r="B675" s="487" t="s">
        <v>1182</v>
      </c>
      <c r="C675" s="488" t="s">
        <v>3498</v>
      </c>
      <c r="D675" s="489" t="s">
        <v>3499</v>
      </c>
      <c r="E675" s="487" t="s">
        <v>3500</v>
      </c>
      <c r="F675" s="490">
        <v>0</v>
      </c>
      <c r="G675" s="489">
        <v>75.3</v>
      </c>
      <c r="H675" s="489">
        <v>0</v>
      </c>
      <c r="I675" s="487" t="s">
        <v>1593</v>
      </c>
      <c r="J675" s="487" t="s">
        <v>1184</v>
      </c>
    </row>
    <row r="676" spans="1:10" ht="15" x14ac:dyDescent="0.2">
      <c r="A676" s="486" t="s">
        <v>1183</v>
      </c>
      <c r="B676" s="487" t="s">
        <v>1182</v>
      </c>
      <c r="C676" s="488" t="s">
        <v>3501</v>
      </c>
      <c r="D676" s="489" t="s">
        <v>3502</v>
      </c>
      <c r="E676" s="487" t="s">
        <v>3503</v>
      </c>
      <c r="F676" s="490">
        <v>14132</v>
      </c>
      <c r="G676" s="489">
        <v>168.5</v>
      </c>
      <c r="H676" s="489">
        <v>83.869439999999997</v>
      </c>
      <c r="I676" s="487" t="s">
        <v>1499</v>
      </c>
      <c r="J676" s="487" t="s">
        <v>1184</v>
      </c>
    </row>
    <row r="677" spans="1:10" ht="15" x14ac:dyDescent="0.2">
      <c r="A677" s="486" t="s">
        <v>1183</v>
      </c>
      <c r="B677" s="487" t="s">
        <v>1182</v>
      </c>
      <c r="C677" s="488" t="s">
        <v>3504</v>
      </c>
      <c r="D677" s="489" t="s">
        <v>3505</v>
      </c>
      <c r="E677" s="487" t="s">
        <v>3506</v>
      </c>
      <c r="F677" s="490">
        <v>14000</v>
      </c>
      <c r="G677" s="489">
        <v>126.5</v>
      </c>
      <c r="H677" s="489">
        <v>110.67194000000001</v>
      </c>
      <c r="I677" s="487" t="s">
        <v>1499</v>
      </c>
      <c r="J677" s="487" t="s">
        <v>1184</v>
      </c>
    </row>
    <row r="678" spans="1:10" ht="15" x14ac:dyDescent="0.2">
      <c r="A678" s="486" t="s">
        <v>1183</v>
      </c>
      <c r="B678" s="487" t="s">
        <v>1182</v>
      </c>
      <c r="C678" s="488" t="s">
        <v>3507</v>
      </c>
      <c r="D678" s="489" t="s">
        <v>3508</v>
      </c>
      <c r="E678" s="487" t="s">
        <v>3509</v>
      </c>
      <c r="F678" s="490">
        <v>78000</v>
      </c>
      <c r="G678" s="489">
        <v>760.7</v>
      </c>
      <c r="H678" s="489">
        <v>102.53713999999999</v>
      </c>
      <c r="I678" s="487" t="s">
        <v>1499</v>
      </c>
      <c r="J678" s="487" t="s">
        <v>1184</v>
      </c>
    </row>
    <row r="679" spans="1:10" ht="15" x14ac:dyDescent="0.2">
      <c r="A679" s="486" t="s">
        <v>1183</v>
      </c>
      <c r="B679" s="487" t="s">
        <v>1182</v>
      </c>
      <c r="C679" s="488" t="s">
        <v>3510</v>
      </c>
      <c r="D679" s="489" t="s">
        <v>3511</v>
      </c>
      <c r="E679" s="487" t="s">
        <v>3512</v>
      </c>
      <c r="F679" s="490">
        <v>186800</v>
      </c>
      <c r="G679" s="489">
        <v>1497.6</v>
      </c>
      <c r="H679" s="489">
        <v>124.73291</v>
      </c>
      <c r="I679" s="487" t="s">
        <v>1499</v>
      </c>
      <c r="J679" s="487" t="s">
        <v>1184</v>
      </c>
    </row>
    <row r="680" spans="1:10" ht="15" x14ac:dyDescent="0.2">
      <c r="A680" s="486" t="s">
        <v>1183</v>
      </c>
      <c r="B680" s="487" t="s">
        <v>1182</v>
      </c>
      <c r="C680" s="488" t="s">
        <v>3513</v>
      </c>
      <c r="D680" s="489" t="s">
        <v>3514</v>
      </c>
      <c r="E680" s="487" t="s">
        <v>3515</v>
      </c>
      <c r="F680" s="490">
        <v>94906</v>
      </c>
      <c r="G680" s="489">
        <v>630.6</v>
      </c>
      <c r="H680" s="489">
        <v>150.50111000000001</v>
      </c>
      <c r="I680" s="487" t="s">
        <v>1499</v>
      </c>
      <c r="J680" s="487" t="s">
        <v>1184</v>
      </c>
    </row>
    <row r="681" spans="1:10" ht="15" x14ac:dyDescent="0.2">
      <c r="A681" s="486" t="s">
        <v>1183</v>
      </c>
      <c r="B681" s="487" t="s">
        <v>1182</v>
      </c>
      <c r="C681" s="488" t="s">
        <v>3516</v>
      </c>
      <c r="D681" s="489" t="s">
        <v>3517</v>
      </c>
      <c r="E681" s="487" t="s">
        <v>3518</v>
      </c>
      <c r="F681" s="490">
        <v>0</v>
      </c>
      <c r="G681" s="489">
        <v>54.9</v>
      </c>
      <c r="H681" s="489">
        <v>0</v>
      </c>
      <c r="I681" s="487" t="s">
        <v>1593</v>
      </c>
      <c r="J681" s="487" t="s">
        <v>1184</v>
      </c>
    </row>
    <row r="682" spans="1:10" ht="15" x14ac:dyDescent="0.2">
      <c r="A682" s="486" t="s">
        <v>1183</v>
      </c>
      <c r="B682" s="487" t="s">
        <v>1182</v>
      </c>
      <c r="C682" s="488" t="s">
        <v>3519</v>
      </c>
      <c r="D682" s="489" t="s">
        <v>3520</v>
      </c>
      <c r="E682" s="487" t="s">
        <v>3521</v>
      </c>
      <c r="F682" s="490">
        <v>30000</v>
      </c>
      <c r="G682" s="489">
        <v>396.2</v>
      </c>
      <c r="H682" s="489">
        <v>75.719329999999999</v>
      </c>
      <c r="I682" s="487" t="s">
        <v>1499</v>
      </c>
      <c r="J682" s="487" t="s">
        <v>1184</v>
      </c>
    </row>
    <row r="683" spans="1:10" ht="15" x14ac:dyDescent="0.2">
      <c r="A683" s="486" t="s">
        <v>1183</v>
      </c>
      <c r="B683" s="487" t="s">
        <v>1182</v>
      </c>
      <c r="C683" s="488" t="s">
        <v>3522</v>
      </c>
      <c r="D683" s="489" t="s">
        <v>3523</v>
      </c>
      <c r="E683" s="487" t="s">
        <v>3524</v>
      </c>
      <c r="F683" s="490">
        <v>145830</v>
      </c>
      <c r="G683" s="489">
        <v>1287.4000000000001</v>
      </c>
      <c r="H683" s="489">
        <v>113.27482000000001</v>
      </c>
      <c r="I683" s="487" t="s">
        <v>1499</v>
      </c>
      <c r="J683" s="487" t="s">
        <v>1184</v>
      </c>
    </row>
    <row r="684" spans="1:10" ht="15" x14ac:dyDescent="0.2">
      <c r="A684" s="486" t="s">
        <v>1183</v>
      </c>
      <c r="B684" s="487" t="s">
        <v>1182</v>
      </c>
      <c r="C684" s="488" t="s">
        <v>3525</v>
      </c>
      <c r="D684" s="489" t="s">
        <v>3526</v>
      </c>
      <c r="E684" s="487" t="s">
        <v>3527</v>
      </c>
      <c r="F684" s="490">
        <v>36500</v>
      </c>
      <c r="G684" s="489">
        <v>453.5</v>
      </c>
      <c r="H684" s="489">
        <v>80.485119999999995</v>
      </c>
      <c r="I684" s="487" t="s">
        <v>1499</v>
      </c>
      <c r="J684" s="487" t="s">
        <v>1184</v>
      </c>
    </row>
    <row r="685" spans="1:10" ht="15" x14ac:dyDescent="0.2">
      <c r="A685" s="486" t="s">
        <v>1183</v>
      </c>
      <c r="B685" s="487" t="s">
        <v>1182</v>
      </c>
      <c r="C685" s="488" t="s">
        <v>3528</v>
      </c>
      <c r="D685" s="489" t="s">
        <v>3529</v>
      </c>
      <c r="E685" s="487" t="s">
        <v>3530</v>
      </c>
      <c r="F685" s="490">
        <v>2500</v>
      </c>
      <c r="G685" s="489">
        <v>100.9</v>
      </c>
      <c r="H685" s="489">
        <v>24.777010000000001</v>
      </c>
      <c r="I685" s="487" t="s">
        <v>1499</v>
      </c>
      <c r="J685" s="487" t="s">
        <v>1184</v>
      </c>
    </row>
    <row r="686" spans="1:10" ht="15" x14ac:dyDescent="0.2">
      <c r="A686" s="486" t="s">
        <v>1183</v>
      </c>
      <c r="B686" s="487" t="s">
        <v>1182</v>
      </c>
      <c r="C686" s="488" t="s">
        <v>3531</v>
      </c>
      <c r="D686" s="489" t="s">
        <v>3532</v>
      </c>
      <c r="E686" s="487" t="s">
        <v>3533</v>
      </c>
      <c r="F686" s="490">
        <v>101874</v>
      </c>
      <c r="G686" s="489">
        <v>913.9</v>
      </c>
      <c r="H686" s="489">
        <v>111.47171</v>
      </c>
      <c r="I686" s="487" t="s">
        <v>1499</v>
      </c>
      <c r="J686" s="487" t="s">
        <v>1184</v>
      </c>
    </row>
    <row r="687" spans="1:10" ht="15" x14ac:dyDescent="0.2">
      <c r="A687" s="486" t="s">
        <v>1183</v>
      </c>
      <c r="B687" s="487" t="s">
        <v>1182</v>
      </c>
      <c r="C687" s="488" t="s">
        <v>3534</v>
      </c>
      <c r="D687" s="489" t="s">
        <v>3535</v>
      </c>
      <c r="E687" s="487" t="s">
        <v>3536</v>
      </c>
      <c r="F687" s="490">
        <v>857037</v>
      </c>
      <c r="G687" s="489">
        <v>4497.8999999999996</v>
      </c>
      <c r="H687" s="489">
        <v>190.54159000000001</v>
      </c>
      <c r="I687" s="487" t="s">
        <v>1499</v>
      </c>
      <c r="J687" s="487" t="s">
        <v>1184</v>
      </c>
    </row>
    <row r="688" spans="1:10" ht="15" x14ac:dyDescent="0.2">
      <c r="A688" s="486" t="s">
        <v>1183</v>
      </c>
      <c r="B688" s="487" t="s">
        <v>1182</v>
      </c>
      <c r="C688" s="488" t="s">
        <v>3537</v>
      </c>
      <c r="D688" s="489" t="s">
        <v>3538</v>
      </c>
      <c r="E688" s="487" t="s">
        <v>3539</v>
      </c>
      <c r="F688" s="490">
        <v>6000</v>
      </c>
      <c r="G688" s="489">
        <v>97.4</v>
      </c>
      <c r="H688" s="489">
        <v>61.601640000000003</v>
      </c>
      <c r="I688" s="487" t="s">
        <v>1499</v>
      </c>
      <c r="J688" s="487" t="s">
        <v>1184</v>
      </c>
    </row>
    <row r="689" spans="1:10" ht="15" x14ac:dyDescent="0.2">
      <c r="A689" s="486" t="s">
        <v>1183</v>
      </c>
      <c r="B689" s="487" t="s">
        <v>1182</v>
      </c>
      <c r="C689" s="488" t="s">
        <v>3540</v>
      </c>
      <c r="D689" s="489" t="s">
        <v>3541</v>
      </c>
      <c r="E689" s="487" t="s">
        <v>3542</v>
      </c>
      <c r="F689" s="490">
        <v>22710</v>
      </c>
      <c r="G689" s="489">
        <v>284</v>
      </c>
      <c r="H689" s="489">
        <v>79.964789999999994</v>
      </c>
      <c r="I689" s="487" t="s">
        <v>1499</v>
      </c>
      <c r="J689" s="487" t="s">
        <v>1184</v>
      </c>
    </row>
    <row r="690" spans="1:10" ht="15" x14ac:dyDescent="0.2">
      <c r="A690" s="486" t="s">
        <v>1183</v>
      </c>
      <c r="B690" s="487" t="s">
        <v>1182</v>
      </c>
      <c r="C690" s="488" t="s">
        <v>3543</v>
      </c>
      <c r="D690" s="489" t="s">
        <v>3544</v>
      </c>
      <c r="E690" s="487" t="s">
        <v>3545</v>
      </c>
      <c r="F690" s="490">
        <v>22984</v>
      </c>
      <c r="G690" s="489">
        <v>262.10000000000002</v>
      </c>
      <c r="H690" s="489">
        <v>87.691720000000004</v>
      </c>
      <c r="I690" s="487" t="s">
        <v>1499</v>
      </c>
      <c r="J690" s="487" t="s">
        <v>1184</v>
      </c>
    </row>
    <row r="691" spans="1:10" ht="15" x14ac:dyDescent="0.2">
      <c r="A691" s="486" t="s">
        <v>1183</v>
      </c>
      <c r="B691" s="487" t="s">
        <v>1182</v>
      </c>
      <c r="C691" s="488" t="s">
        <v>3546</v>
      </c>
      <c r="D691" s="489" t="s">
        <v>3547</v>
      </c>
      <c r="E691" s="487" t="s">
        <v>3548</v>
      </c>
      <c r="F691" s="490">
        <v>0</v>
      </c>
      <c r="G691" s="489">
        <v>11.8</v>
      </c>
      <c r="H691" s="489">
        <v>0</v>
      </c>
      <c r="I691" s="487" t="s">
        <v>1593</v>
      </c>
      <c r="J691" s="487" t="s">
        <v>1184</v>
      </c>
    </row>
    <row r="692" spans="1:10" ht="15" x14ac:dyDescent="0.2">
      <c r="A692" s="486" t="s">
        <v>1183</v>
      </c>
      <c r="B692" s="487" t="s">
        <v>1182</v>
      </c>
      <c r="C692" s="488" t="s">
        <v>3549</v>
      </c>
      <c r="D692" s="489" t="s">
        <v>3550</v>
      </c>
      <c r="E692" s="487" t="s">
        <v>3551</v>
      </c>
      <c r="F692" s="490">
        <v>71546</v>
      </c>
      <c r="G692" s="489">
        <v>922.1</v>
      </c>
      <c r="H692" s="489">
        <v>77.590280000000007</v>
      </c>
      <c r="I692" s="487" t="s">
        <v>1499</v>
      </c>
      <c r="J692" s="487" t="s">
        <v>1184</v>
      </c>
    </row>
    <row r="693" spans="1:10" ht="15" x14ac:dyDescent="0.2">
      <c r="A693" s="486" t="s">
        <v>1183</v>
      </c>
      <c r="B693" s="487" t="s">
        <v>1182</v>
      </c>
      <c r="C693" s="488" t="s">
        <v>3552</v>
      </c>
      <c r="D693" s="489" t="s">
        <v>3553</v>
      </c>
      <c r="E693" s="487" t="s">
        <v>3554</v>
      </c>
      <c r="F693" s="490">
        <v>0</v>
      </c>
      <c r="G693" s="489">
        <v>64.8</v>
      </c>
      <c r="H693" s="489">
        <v>0</v>
      </c>
      <c r="I693" s="487" t="s">
        <v>1593</v>
      </c>
      <c r="J693" s="487" t="s">
        <v>1184</v>
      </c>
    </row>
    <row r="694" spans="1:10" ht="15" x14ac:dyDescent="0.2">
      <c r="A694" s="486" t="s">
        <v>1183</v>
      </c>
      <c r="B694" s="487" t="s">
        <v>1182</v>
      </c>
      <c r="C694" s="488" t="s">
        <v>3555</v>
      </c>
      <c r="D694" s="489" t="s">
        <v>3556</v>
      </c>
      <c r="E694" s="487" t="s">
        <v>3557</v>
      </c>
      <c r="F694" s="490">
        <v>28000</v>
      </c>
      <c r="G694" s="489">
        <v>399.8</v>
      </c>
      <c r="H694" s="489">
        <v>70.035020000000003</v>
      </c>
      <c r="I694" s="487" t="s">
        <v>1499</v>
      </c>
      <c r="J694" s="487" t="s">
        <v>1184</v>
      </c>
    </row>
    <row r="695" spans="1:10" ht="15" x14ac:dyDescent="0.2">
      <c r="A695" s="486" t="s">
        <v>1183</v>
      </c>
      <c r="B695" s="487" t="s">
        <v>1182</v>
      </c>
      <c r="C695" s="488" t="s">
        <v>3558</v>
      </c>
      <c r="D695" s="489" t="s">
        <v>3559</v>
      </c>
      <c r="E695" s="487" t="s">
        <v>3560</v>
      </c>
      <c r="F695" s="490">
        <v>383703</v>
      </c>
      <c r="G695" s="489">
        <v>2751.6</v>
      </c>
      <c r="H695" s="489">
        <v>139.44722999999999</v>
      </c>
      <c r="I695" s="487" t="s">
        <v>1499</v>
      </c>
      <c r="J695" s="487" t="s">
        <v>1184</v>
      </c>
    </row>
    <row r="696" spans="1:10" ht="15" x14ac:dyDescent="0.2">
      <c r="A696" s="486" t="s">
        <v>1183</v>
      </c>
      <c r="B696" s="487" t="s">
        <v>1182</v>
      </c>
      <c r="C696" s="488" t="s">
        <v>3561</v>
      </c>
      <c r="D696" s="489" t="s">
        <v>3562</v>
      </c>
      <c r="E696" s="487" t="s">
        <v>3563</v>
      </c>
      <c r="F696" s="490">
        <v>4500</v>
      </c>
      <c r="G696" s="489">
        <v>77.599999999999994</v>
      </c>
      <c r="H696" s="489">
        <v>57.989690000000003</v>
      </c>
      <c r="I696" s="487" t="s">
        <v>1499</v>
      </c>
      <c r="J696" s="487" t="s">
        <v>1184</v>
      </c>
    </row>
    <row r="697" spans="1:10" ht="15" x14ac:dyDescent="0.2">
      <c r="A697" s="486" t="s">
        <v>1183</v>
      </c>
      <c r="B697" s="487" t="s">
        <v>1182</v>
      </c>
      <c r="C697" s="488" t="s">
        <v>3564</v>
      </c>
      <c r="D697" s="489" t="s">
        <v>3565</v>
      </c>
      <c r="E697" s="487" t="s">
        <v>669</v>
      </c>
      <c r="F697" s="490">
        <v>8390</v>
      </c>
      <c r="G697" s="489">
        <v>107.4</v>
      </c>
      <c r="H697" s="489">
        <v>78.11918</v>
      </c>
      <c r="I697" s="487" t="s">
        <v>1499</v>
      </c>
      <c r="J697" s="487" t="s">
        <v>1184</v>
      </c>
    </row>
    <row r="698" spans="1:10" ht="15" x14ac:dyDescent="0.2">
      <c r="A698" s="486" t="s">
        <v>1183</v>
      </c>
      <c r="B698" s="487" t="s">
        <v>1182</v>
      </c>
      <c r="C698" s="488" t="s">
        <v>3566</v>
      </c>
      <c r="D698" s="489" t="s">
        <v>3567</v>
      </c>
      <c r="E698" s="487" t="s">
        <v>3568</v>
      </c>
      <c r="F698" s="490">
        <v>24500</v>
      </c>
      <c r="G698" s="489">
        <v>329.4</v>
      </c>
      <c r="H698" s="489">
        <v>74.377660000000006</v>
      </c>
      <c r="I698" s="487" t="s">
        <v>1499</v>
      </c>
      <c r="J698" s="487" t="s">
        <v>1184</v>
      </c>
    </row>
    <row r="699" spans="1:10" ht="15" x14ac:dyDescent="0.2">
      <c r="A699" s="486" t="s">
        <v>1183</v>
      </c>
      <c r="B699" s="487" t="s">
        <v>1182</v>
      </c>
      <c r="C699" s="488" t="s">
        <v>3569</v>
      </c>
      <c r="D699" s="489" t="s">
        <v>3570</v>
      </c>
      <c r="E699" s="487" t="s">
        <v>3571</v>
      </c>
      <c r="F699" s="490">
        <v>126773</v>
      </c>
      <c r="G699" s="489">
        <v>767.5</v>
      </c>
      <c r="H699" s="489">
        <v>165.17654999999999</v>
      </c>
      <c r="I699" s="487" t="s">
        <v>1499</v>
      </c>
      <c r="J699" s="487" t="s">
        <v>1184</v>
      </c>
    </row>
    <row r="700" spans="1:10" ht="15" x14ac:dyDescent="0.2">
      <c r="A700" s="486" t="s">
        <v>1183</v>
      </c>
      <c r="B700" s="487" t="s">
        <v>1182</v>
      </c>
      <c r="C700" s="488" t="s">
        <v>3572</v>
      </c>
      <c r="D700" s="489" t="s">
        <v>3573</v>
      </c>
      <c r="E700" s="487" t="s">
        <v>3574</v>
      </c>
      <c r="F700" s="490">
        <v>25000</v>
      </c>
      <c r="G700" s="489">
        <v>311.89999999999998</v>
      </c>
      <c r="H700" s="489">
        <v>80.153899999999993</v>
      </c>
      <c r="I700" s="487" t="s">
        <v>1499</v>
      </c>
      <c r="J700" s="487" t="s">
        <v>1184</v>
      </c>
    </row>
    <row r="701" spans="1:10" ht="15" x14ac:dyDescent="0.2">
      <c r="A701" s="486" t="s">
        <v>1183</v>
      </c>
      <c r="B701" s="487" t="s">
        <v>1182</v>
      </c>
      <c r="C701" s="488" t="s">
        <v>3575</v>
      </c>
      <c r="D701" s="489" t="s">
        <v>3576</v>
      </c>
      <c r="E701" s="487" t="s">
        <v>3577</v>
      </c>
      <c r="F701" s="490">
        <v>25676</v>
      </c>
      <c r="G701" s="489">
        <v>193.4</v>
      </c>
      <c r="H701" s="489">
        <v>132.76112000000001</v>
      </c>
      <c r="I701" s="487" t="s">
        <v>1499</v>
      </c>
      <c r="J701" s="487" t="s">
        <v>1184</v>
      </c>
    </row>
    <row r="702" spans="1:10" ht="15" x14ac:dyDescent="0.2">
      <c r="A702" s="486" t="s">
        <v>1183</v>
      </c>
      <c r="B702" s="487" t="s">
        <v>1182</v>
      </c>
      <c r="C702" s="488" t="s">
        <v>3578</v>
      </c>
      <c r="D702" s="489" t="s">
        <v>3579</v>
      </c>
      <c r="E702" s="487" t="s">
        <v>3580</v>
      </c>
      <c r="F702" s="490">
        <v>83750</v>
      </c>
      <c r="G702" s="489">
        <v>837.5</v>
      </c>
      <c r="H702" s="489">
        <v>100</v>
      </c>
      <c r="I702" s="487" t="s">
        <v>1499</v>
      </c>
      <c r="J702" s="487" t="s">
        <v>1184</v>
      </c>
    </row>
    <row r="703" spans="1:10" ht="15" x14ac:dyDescent="0.2">
      <c r="A703" s="486" t="s">
        <v>1183</v>
      </c>
      <c r="B703" s="487" t="s">
        <v>1182</v>
      </c>
      <c r="C703" s="488" t="s">
        <v>3581</v>
      </c>
      <c r="D703" s="489" t="s">
        <v>3582</v>
      </c>
      <c r="E703" s="487" t="s">
        <v>3583</v>
      </c>
      <c r="F703" s="490">
        <v>35900</v>
      </c>
      <c r="G703" s="489">
        <v>420.7</v>
      </c>
      <c r="H703" s="489">
        <v>85.333969999999994</v>
      </c>
      <c r="I703" s="487" t="s">
        <v>1499</v>
      </c>
      <c r="J703" s="487" t="s">
        <v>1184</v>
      </c>
    </row>
    <row r="704" spans="1:10" ht="15" x14ac:dyDescent="0.2">
      <c r="A704" s="486" t="s">
        <v>1183</v>
      </c>
      <c r="B704" s="487" t="s">
        <v>1182</v>
      </c>
      <c r="C704" s="488" t="s">
        <v>3584</v>
      </c>
      <c r="D704" s="489" t="s">
        <v>3585</v>
      </c>
      <c r="E704" s="487" t="s">
        <v>3586</v>
      </c>
      <c r="F704" s="490">
        <v>63552.32</v>
      </c>
      <c r="G704" s="489">
        <v>603.20000000000005</v>
      </c>
      <c r="H704" s="489">
        <v>105.35862</v>
      </c>
      <c r="I704" s="487" t="s">
        <v>1499</v>
      </c>
      <c r="J704" s="487" t="s">
        <v>1184</v>
      </c>
    </row>
    <row r="705" spans="1:10" ht="15" x14ac:dyDescent="0.2">
      <c r="A705" s="486" t="s">
        <v>1183</v>
      </c>
      <c r="B705" s="487" t="s">
        <v>1182</v>
      </c>
      <c r="C705" s="488" t="s">
        <v>3587</v>
      </c>
      <c r="D705" s="489" t="s">
        <v>3588</v>
      </c>
      <c r="E705" s="487" t="s">
        <v>3589</v>
      </c>
      <c r="F705" s="490">
        <v>59000</v>
      </c>
      <c r="G705" s="489">
        <v>575.6</v>
      </c>
      <c r="H705" s="489">
        <v>102.50174</v>
      </c>
      <c r="I705" s="487" t="s">
        <v>1499</v>
      </c>
      <c r="J705" s="487" t="s">
        <v>1184</v>
      </c>
    </row>
    <row r="706" spans="1:10" ht="15" x14ac:dyDescent="0.2">
      <c r="A706" s="486" t="s">
        <v>1183</v>
      </c>
      <c r="B706" s="487" t="s">
        <v>1182</v>
      </c>
      <c r="C706" s="488" t="s">
        <v>3590</v>
      </c>
      <c r="D706" s="489" t="s">
        <v>3591</v>
      </c>
      <c r="E706" s="487" t="s">
        <v>3592</v>
      </c>
      <c r="F706" s="490">
        <v>210000</v>
      </c>
      <c r="G706" s="489">
        <v>2022</v>
      </c>
      <c r="H706" s="489">
        <v>103.85757</v>
      </c>
      <c r="I706" s="487" t="s">
        <v>1499</v>
      </c>
      <c r="J706" s="487" t="s">
        <v>1184</v>
      </c>
    </row>
    <row r="707" spans="1:10" ht="15" x14ac:dyDescent="0.2">
      <c r="A707" s="486" t="s">
        <v>1183</v>
      </c>
      <c r="B707" s="487" t="s">
        <v>1182</v>
      </c>
      <c r="C707" s="488" t="s">
        <v>3593</v>
      </c>
      <c r="D707" s="489" t="s">
        <v>3594</v>
      </c>
      <c r="E707" s="487" t="s">
        <v>3595</v>
      </c>
      <c r="F707" s="490">
        <v>238150</v>
      </c>
      <c r="G707" s="489">
        <v>1575</v>
      </c>
      <c r="H707" s="489">
        <v>151.20634999999999</v>
      </c>
      <c r="I707" s="487" t="s">
        <v>1499</v>
      </c>
      <c r="J707" s="487" t="s">
        <v>1184</v>
      </c>
    </row>
    <row r="708" spans="1:10" ht="15" x14ac:dyDescent="0.2">
      <c r="A708" s="486" t="s">
        <v>1183</v>
      </c>
      <c r="B708" s="487" t="s">
        <v>1182</v>
      </c>
      <c r="C708" s="488" t="s">
        <v>3596</v>
      </c>
      <c r="D708" s="489" t="s">
        <v>3597</v>
      </c>
      <c r="E708" s="487" t="s">
        <v>3598</v>
      </c>
      <c r="F708" s="490">
        <v>214654.19</v>
      </c>
      <c r="G708" s="489">
        <v>2236</v>
      </c>
      <c r="H708" s="489">
        <v>95.999189999999999</v>
      </c>
      <c r="I708" s="487" t="s">
        <v>1499</v>
      </c>
      <c r="J708" s="487" t="s">
        <v>1184</v>
      </c>
    </row>
    <row r="709" spans="1:10" ht="15" x14ac:dyDescent="0.2">
      <c r="A709" s="486" t="s">
        <v>1183</v>
      </c>
      <c r="B709" s="487" t="s">
        <v>1182</v>
      </c>
      <c r="C709" s="488" t="s">
        <v>3599</v>
      </c>
      <c r="D709" s="489" t="s">
        <v>3600</v>
      </c>
      <c r="E709" s="487" t="s">
        <v>3601</v>
      </c>
      <c r="F709" s="490">
        <v>23801</v>
      </c>
      <c r="G709" s="489">
        <v>260.10000000000002</v>
      </c>
      <c r="H709" s="489">
        <v>91.507109999999997</v>
      </c>
      <c r="I709" s="487" t="s">
        <v>1499</v>
      </c>
      <c r="J709" s="487" t="s">
        <v>1184</v>
      </c>
    </row>
    <row r="710" spans="1:10" ht="15" x14ac:dyDescent="0.2">
      <c r="A710" s="486" t="s">
        <v>1183</v>
      </c>
      <c r="B710" s="487" t="s">
        <v>1182</v>
      </c>
      <c r="C710" s="488" t="s">
        <v>3602</v>
      </c>
      <c r="D710" s="489" t="s">
        <v>3603</v>
      </c>
      <c r="E710" s="487" t="s">
        <v>3604</v>
      </c>
      <c r="F710" s="490">
        <v>11644</v>
      </c>
      <c r="G710" s="489">
        <v>94.2</v>
      </c>
      <c r="H710" s="489">
        <v>123.60934</v>
      </c>
      <c r="I710" s="487" t="s">
        <v>1499</v>
      </c>
      <c r="J710" s="487" t="s">
        <v>1184</v>
      </c>
    </row>
    <row r="711" spans="1:10" ht="15" x14ac:dyDescent="0.2">
      <c r="A711" s="486" t="s">
        <v>1183</v>
      </c>
      <c r="B711" s="487" t="s">
        <v>1182</v>
      </c>
      <c r="C711" s="488" t="s">
        <v>3605</v>
      </c>
      <c r="D711" s="489" t="s">
        <v>3606</v>
      </c>
      <c r="E711" s="487" t="s">
        <v>3607</v>
      </c>
      <c r="F711" s="490">
        <v>18900</v>
      </c>
      <c r="G711" s="489">
        <v>483.1</v>
      </c>
      <c r="H711" s="489">
        <v>39.122329999999998</v>
      </c>
      <c r="I711" s="487" t="s">
        <v>1499</v>
      </c>
      <c r="J711" s="487" t="s">
        <v>1184</v>
      </c>
    </row>
    <row r="712" spans="1:10" ht="15" x14ac:dyDescent="0.2">
      <c r="A712" s="486" t="s">
        <v>1183</v>
      </c>
      <c r="B712" s="487" t="s">
        <v>1182</v>
      </c>
      <c r="C712" s="488" t="s">
        <v>3608</v>
      </c>
      <c r="D712" s="489" t="s">
        <v>3609</v>
      </c>
      <c r="E712" s="487" t="s">
        <v>3610</v>
      </c>
      <c r="F712" s="490">
        <v>23500</v>
      </c>
      <c r="G712" s="489">
        <v>328.6</v>
      </c>
      <c r="H712" s="489">
        <v>71.515519999999995</v>
      </c>
      <c r="I712" s="487" t="s">
        <v>1499</v>
      </c>
      <c r="J712" s="487" t="s">
        <v>1184</v>
      </c>
    </row>
    <row r="713" spans="1:10" ht="15" x14ac:dyDescent="0.2">
      <c r="A713" s="486" t="s">
        <v>1183</v>
      </c>
      <c r="B713" s="487" t="s">
        <v>1182</v>
      </c>
      <c r="C713" s="488" t="s">
        <v>3611</v>
      </c>
      <c r="D713" s="489" t="s">
        <v>3612</v>
      </c>
      <c r="E713" s="487" t="s">
        <v>3613</v>
      </c>
      <c r="F713" s="490">
        <v>37500</v>
      </c>
      <c r="G713" s="489">
        <v>393.7</v>
      </c>
      <c r="H713" s="489">
        <v>95.250190000000003</v>
      </c>
      <c r="I713" s="487" t="s">
        <v>1499</v>
      </c>
      <c r="J713" s="487" t="s">
        <v>1184</v>
      </c>
    </row>
    <row r="714" spans="1:10" ht="15" x14ac:dyDescent="0.2">
      <c r="A714" s="486" t="s">
        <v>1183</v>
      </c>
      <c r="B714" s="487" t="s">
        <v>1182</v>
      </c>
      <c r="C714" s="488" t="s">
        <v>3614</v>
      </c>
      <c r="D714" s="489" t="s">
        <v>3615</v>
      </c>
      <c r="E714" s="487" t="s">
        <v>3616</v>
      </c>
      <c r="F714" s="490">
        <v>390519</v>
      </c>
      <c r="G714" s="489">
        <v>2102.6999999999998</v>
      </c>
      <c r="H714" s="489">
        <v>185.72264000000001</v>
      </c>
      <c r="I714" s="487" t="s">
        <v>1499</v>
      </c>
      <c r="J714" s="487" t="s">
        <v>1184</v>
      </c>
    </row>
    <row r="715" spans="1:10" ht="15" x14ac:dyDescent="0.2">
      <c r="A715" s="486" t="s">
        <v>1183</v>
      </c>
      <c r="B715" s="487" t="s">
        <v>1182</v>
      </c>
      <c r="C715" s="488" t="s">
        <v>3617</v>
      </c>
      <c r="D715" s="489" t="s">
        <v>3618</v>
      </c>
      <c r="E715" s="487" t="s">
        <v>3619</v>
      </c>
      <c r="F715" s="490">
        <v>38500</v>
      </c>
      <c r="G715" s="489">
        <v>293.10000000000002</v>
      </c>
      <c r="H715" s="489">
        <v>131.35449</v>
      </c>
      <c r="I715" s="487" t="s">
        <v>1499</v>
      </c>
      <c r="J715" s="487" t="s">
        <v>1184</v>
      </c>
    </row>
    <row r="716" spans="1:10" ht="15" x14ac:dyDescent="0.2">
      <c r="A716" s="486" t="s">
        <v>1183</v>
      </c>
      <c r="B716" s="487" t="s">
        <v>1182</v>
      </c>
      <c r="C716" s="488" t="s">
        <v>3620</v>
      </c>
      <c r="D716" s="489" t="s">
        <v>3621</v>
      </c>
      <c r="E716" s="487" t="s">
        <v>3622</v>
      </c>
      <c r="F716" s="490">
        <v>42323</v>
      </c>
      <c r="G716" s="489">
        <v>458.9</v>
      </c>
      <c r="H716" s="489">
        <v>92.227059999999994</v>
      </c>
      <c r="I716" s="487" t="s">
        <v>1499</v>
      </c>
      <c r="J716" s="487" t="s">
        <v>1184</v>
      </c>
    </row>
    <row r="717" spans="1:10" ht="15" x14ac:dyDescent="0.2">
      <c r="A717" s="486" t="s">
        <v>1183</v>
      </c>
      <c r="B717" s="487" t="s">
        <v>1182</v>
      </c>
      <c r="C717" s="488" t="s">
        <v>3623</v>
      </c>
      <c r="D717" s="489" t="s">
        <v>3624</v>
      </c>
      <c r="E717" s="487" t="s">
        <v>2965</v>
      </c>
      <c r="F717" s="490">
        <v>86770</v>
      </c>
      <c r="G717" s="489">
        <v>1191.2</v>
      </c>
      <c r="H717" s="489">
        <v>72.842510000000004</v>
      </c>
      <c r="I717" s="487" t="s">
        <v>1499</v>
      </c>
      <c r="J717" s="487" t="s">
        <v>1184</v>
      </c>
    </row>
    <row r="718" spans="1:10" ht="15" x14ac:dyDescent="0.2">
      <c r="A718" s="486" t="s">
        <v>1183</v>
      </c>
      <c r="B718" s="487" t="s">
        <v>1182</v>
      </c>
      <c r="C718" s="488" t="s">
        <v>3625</v>
      </c>
      <c r="D718" s="489" t="s">
        <v>3626</v>
      </c>
      <c r="E718" s="487" t="s">
        <v>3627</v>
      </c>
      <c r="F718" s="490">
        <v>10000</v>
      </c>
      <c r="G718" s="489">
        <v>156</v>
      </c>
      <c r="H718" s="489">
        <v>64.102559999999997</v>
      </c>
      <c r="I718" s="487" t="s">
        <v>1499</v>
      </c>
      <c r="J718" s="487" t="s">
        <v>1184</v>
      </c>
    </row>
    <row r="719" spans="1:10" ht="15" x14ac:dyDescent="0.2">
      <c r="A719" s="486" t="s">
        <v>1183</v>
      </c>
      <c r="B719" s="487" t="s">
        <v>1182</v>
      </c>
      <c r="C719" s="488" t="s">
        <v>3628</v>
      </c>
      <c r="D719" s="489" t="s">
        <v>3629</v>
      </c>
      <c r="E719" s="487" t="s">
        <v>3630</v>
      </c>
      <c r="F719" s="490">
        <v>80000</v>
      </c>
      <c r="G719" s="489">
        <v>849.2</v>
      </c>
      <c r="H719" s="489">
        <v>94.206310000000002</v>
      </c>
      <c r="I719" s="487" t="s">
        <v>1499</v>
      </c>
      <c r="J719" s="487" t="s">
        <v>1184</v>
      </c>
    </row>
    <row r="720" spans="1:10" ht="15" x14ac:dyDescent="0.2">
      <c r="A720" s="486" t="s">
        <v>1183</v>
      </c>
      <c r="B720" s="487" t="s">
        <v>1182</v>
      </c>
      <c r="C720" s="488" t="s">
        <v>3631</v>
      </c>
      <c r="D720" s="489" t="s">
        <v>3632</v>
      </c>
      <c r="E720" s="487" t="s">
        <v>3633</v>
      </c>
      <c r="F720" s="490">
        <v>118000</v>
      </c>
      <c r="G720" s="489">
        <v>725</v>
      </c>
      <c r="H720" s="489">
        <v>162.75862000000001</v>
      </c>
      <c r="I720" s="487" t="s">
        <v>1499</v>
      </c>
      <c r="J720" s="487" t="s">
        <v>1184</v>
      </c>
    </row>
    <row r="721" spans="1:10" ht="15" x14ac:dyDescent="0.2">
      <c r="A721" s="486" t="s">
        <v>1183</v>
      </c>
      <c r="B721" s="487" t="s">
        <v>1182</v>
      </c>
      <c r="C721" s="488" t="s">
        <v>3634</v>
      </c>
      <c r="D721" s="489" t="s">
        <v>3635</v>
      </c>
      <c r="E721" s="487" t="s">
        <v>3636</v>
      </c>
      <c r="F721" s="490">
        <v>8000</v>
      </c>
      <c r="G721" s="489">
        <v>92.4</v>
      </c>
      <c r="H721" s="489">
        <v>86.580089999999998</v>
      </c>
      <c r="I721" s="487" t="s">
        <v>1499</v>
      </c>
      <c r="J721" s="487" t="s">
        <v>1184</v>
      </c>
    </row>
    <row r="722" spans="1:10" ht="15" x14ac:dyDescent="0.2">
      <c r="A722" s="486" t="s">
        <v>1183</v>
      </c>
      <c r="B722" s="487" t="s">
        <v>1182</v>
      </c>
      <c r="C722" s="488" t="s">
        <v>3637</v>
      </c>
      <c r="D722" s="489" t="s">
        <v>3638</v>
      </c>
      <c r="E722" s="487" t="s">
        <v>3639</v>
      </c>
      <c r="F722" s="490">
        <v>53707</v>
      </c>
      <c r="G722" s="489">
        <v>605.6</v>
      </c>
      <c r="H722" s="489">
        <v>88.683949999999996</v>
      </c>
      <c r="I722" s="487" t="s">
        <v>1499</v>
      </c>
      <c r="J722" s="487" t="s">
        <v>1184</v>
      </c>
    </row>
    <row r="723" spans="1:10" ht="15" x14ac:dyDescent="0.2">
      <c r="A723" s="486" t="s">
        <v>1183</v>
      </c>
      <c r="B723" s="487" t="s">
        <v>1182</v>
      </c>
      <c r="C723" s="488" t="s">
        <v>3640</v>
      </c>
      <c r="D723" s="489" t="s">
        <v>3641</v>
      </c>
      <c r="E723" s="487" t="s">
        <v>3642</v>
      </c>
      <c r="F723" s="490">
        <v>11025</v>
      </c>
      <c r="G723" s="489">
        <v>124.3</v>
      </c>
      <c r="H723" s="489">
        <v>88.696700000000007</v>
      </c>
      <c r="I723" s="487" t="s">
        <v>1499</v>
      </c>
      <c r="J723" s="487" t="s">
        <v>1184</v>
      </c>
    </row>
    <row r="724" spans="1:10" ht="15" x14ac:dyDescent="0.2">
      <c r="A724" s="486" t="s">
        <v>1183</v>
      </c>
      <c r="B724" s="487" t="s">
        <v>1182</v>
      </c>
      <c r="C724" s="488" t="s">
        <v>3643</v>
      </c>
      <c r="D724" s="489" t="s">
        <v>3644</v>
      </c>
      <c r="E724" s="487" t="s">
        <v>3645</v>
      </c>
      <c r="F724" s="490">
        <v>13500</v>
      </c>
      <c r="G724" s="489">
        <v>102.3</v>
      </c>
      <c r="H724" s="489">
        <v>131.96481</v>
      </c>
      <c r="I724" s="487" t="s">
        <v>1499</v>
      </c>
      <c r="J724" s="487" t="s">
        <v>1184</v>
      </c>
    </row>
    <row r="725" spans="1:10" ht="15" x14ac:dyDescent="0.2">
      <c r="A725" s="486" t="s">
        <v>1183</v>
      </c>
      <c r="B725" s="487" t="s">
        <v>1182</v>
      </c>
      <c r="C725" s="488" t="s">
        <v>3646</v>
      </c>
      <c r="D725" s="489" t="s">
        <v>3647</v>
      </c>
      <c r="E725" s="487" t="s">
        <v>3648</v>
      </c>
      <c r="F725" s="490">
        <v>16585</v>
      </c>
      <c r="G725" s="489">
        <v>162.30000000000001</v>
      </c>
      <c r="H725" s="489">
        <v>102.18731</v>
      </c>
      <c r="I725" s="487" t="s">
        <v>1499</v>
      </c>
      <c r="J725" s="487" t="s">
        <v>1184</v>
      </c>
    </row>
    <row r="726" spans="1:10" ht="15" x14ac:dyDescent="0.2">
      <c r="A726" s="486" t="s">
        <v>1183</v>
      </c>
      <c r="B726" s="487" t="s">
        <v>1182</v>
      </c>
      <c r="C726" s="488" t="s">
        <v>3649</v>
      </c>
      <c r="D726" s="489" t="s">
        <v>3650</v>
      </c>
      <c r="E726" s="487" t="s">
        <v>3651</v>
      </c>
      <c r="F726" s="490">
        <v>241036.23</v>
      </c>
      <c r="G726" s="489">
        <v>1808</v>
      </c>
      <c r="H726" s="489">
        <v>133.31649999999999</v>
      </c>
      <c r="I726" s="487" t="s">
        <v>1499</v>
      </c>
      <c r="J726" s="487" t="s">
        <v>1184</v>
      </c>
    </row>
    <row r="727" spans="1:10" ht="15" x14ac:dyDescent="0.2">
      <c r="A727" s="486" t="s">
        <v>1183</v>
      </c>
      <c r="B727" s="487" t="s">
        <v>1182</v>
      </c>
      <c r="C727" s="488" t="s">
        <v>3652</v>
      </c>
      <c r="D727" s="489" t="s">
        <v>3653</v>
      </c>
      <c r="E727" s="487" t="s">
        <v>3654</v>
      </c>
      <c r="F727" s="490">
        <v>20929</v>
      </c>
      <c r="G727" s="489">
        <v>168.5</v>
      </c>
      <c r="H727" s="489">
        <v>124.20771999999999</v>
      </c>
      <c r="I727" s="487" t="s">
        <v>1499</v>
      </c>
      <c r="J727" s="487" t="s">
        <v>1184</v>
      </c>
    </row>
    <row r="728" spans="1:10" ht="15" x14ac:dyDescent="0.2">
      <c r="A728" s="486" t="s">
        <v>1183</v>
      </c>
      <c r="B728" s="487" t="s">
        <v>1182</v>
      </c>
      <c r="C728" s="488" t="s">
        <v>3655</v>
      </c>
      <c r="D728" s="489" t="s">
        <v>3656</v>
      </c>
      <c r="E728" s="487" t="s">
        <v>3657</v>
      </c>
      <c r="F728" s="490">
        <v>18590</v>
      </c>
      <c r="G728" s="489">
        <v>210.9</v>
      </c>
      <c r="H728" s="489">
        <v>88.146039999999999</v>
      </c>
      <c r="I728" s="487" t="s">
        <v>1499</v>
      </c>
      <c r="J728" s="487" t="s">
        <v>1184</v>
      </c>
    </row>
    <row r="729" spans="1:10" ht="15" x14ac:dyDescent="0.2">
      <c r="A729" s="486" t="s">
        <v>1183</v>
      </c>
      <c r="B729" s="487" t="s">
        <v>1182</v>
      </c>
      <c r="C729" s="488" t="s">
        <v>3658</v>
      </c>
      <c r="D729" s="489" t="s">
        <v>3659</v>
      </c>
      <c r="E729" s="487" t="s">
        <v>3660</v>
      </c>
      <c r="F729" s="490">
        <v>40000</v>
      </c>
      <c r="G729" s="489">
        <v>348.8</v>
      </c>
      <c r="H729" s="489">
        <v>114.6789</v>
      </c>
      <c r="I729" s="487" t="s">
        <v>1499</v>
      </c>
      <c r="J729" s="487" t="s">
        <v>1184</v>
      </c>
    </row>
    <row r="730" spans="1:10" ht="15" x14ac:dyDescent="0.2">
      <c r="A730" s="486" t="s">
        <v>1183</v>
      </c>
      <c r="B730" s="487" t="s">
        <v>1182</v>
      </c>
      <c r="C730" s="488" t="s">
        <v>3661</v>
      </c>
      <c r="D730" s="489" t="s">
        <v>3662</v>
      </c>
      <c r="E730" s="487" t="s">
        <v>3663</v>
      </c>
      <c r="F730" s="490">
        <v>214452.92</v>
      </c>
      <c r="G730" s="489">
        <v>1608.6</v>
      </c>
      <c r="H730" s="489">
        <v>133.31649999999999</v>
      </c>
      <c r="I730" s="487" t="s">
        <v>1499</v>
      </c>
      <c r="J730" s="487" t="s">
        <v>1184</v>
      </c>
    </row>
    <row r="731" spans="1:10" ht="15" x14ac:dyDescent="0.2">
      <c r="A731" s="486" t="s">
        <v>1183</v>
      </c>
      <c r="B731" s="487" t="s">
        <v>1182</v>
      </c>
      <c r="C731" s="488" t="s">
        <v>3664</v>
      </c>
      <c r="D731" s="489" t="s">
        <v>3665</v>
      </c>
      <c r="E731" s="487" t="s">
        <v>3666</v>
      </c>
      <c r="F731" s="490">
        <v>13095</v>
      </c>
      <c r="G731" s="489">
        <v>139</v>
      </c>
      <c r="H731" s="489">
        <v>94.208629999999999</v>
      </c>
      <c r="I731" s="487" t="s">
        <v>1499</v>
      </c>
      <c r="J731" s="487" t="s">
        <v>1184</v>
      </c>
    </row>
    <row r="732" spans="1:10" ht="15" x14ac:dyDescent="0.2">
      <c r="A732" s="486" t="s">
        <v>1183</v>
      </c>
      <c r="B732" s="487" t="s">
        <v>1182</v>
      </c>
      <c r="C732" s="488" t="s">
        <v>3667</v>
      </c>
      <c r="D732" s="489" t="s">
        <v>3668</v>
      </c>
      <c r="E732" s="487" t="s">
        <v>3669</v>
      </c>
      <c r="F732" s="490">
        <v>2500</v>
      </c>
      <c r="G732" s="489">
        <v>49.6</v>
      </c>
      <c r="H732" s="489">
        <v>50.403230000000001</v>
      </c>
      <c r="I732" s="487" t="s">
        <v>1499</v>
      </c>
      <c r="J732" s="487" t="s">
        <v>1184</v>
      </c>
    </row>
    <row r="733" spans="1:10" ht="15" x14ac:dyDescent="0.2">
      <c r="A733" s="486" t="s">
        <v>1183</v>
      </c>
      <c r="B733" s="487" t="s">
        <v>1182</v>
      </c>
      <c r="C733" s="488" t="s">
        <v>3670</v>
      </c>
      <c r="D733" s="489" t="s">
        <v>3671</v>
      </c>
      <c r="E733" s="487" t="s">
        <v>3672</v>
      </c>
      <c r="F733" s="490">
        <v>30000</v>
      </c>
      <c r="G733" s="489">
        <v>400.5</v>
      </c>
      <c r="H733" s="489">
        <v>74.906369999999995</v>
      </c>
      <c r="I733" s="487" t="s">
        <v>1499</v>
      </c>
      <c r="J733" s="487" t="s">
        <v>1184</v>
      </c>
    </row>
    <row r="734" spans="1:10" ht="15" x14ac:dyDescent="0.2">
      <c r="A734" s="486" t="s">
        <v>1183</v>
      </c>
      <c r="B734" s="487" t="s">
        <v>1182</v>
      </c>
      <c r="C734" s="488" t="s">
        <v>3673</v>
      </c>
      <c r="D734" s="489" t="s">
        <v>3674</v>
      </c>
      <c r="E734" s="487" t="s">
        <v>3675</v>
      </c>
      <c r="F734" s="490">
        <v>282670.21999999997</v>
      </c>
      <c r="G734" s="489">
        <v>1867.8</v>
      </c>
      <c r="H734" s="489">
        <v>151.33859000000001</v>
      </c>
      <c r="I734" s="487" t="s">
        <v>1499</v>
      </c>
      <c r="J734" s="487" t="s">
        <v>1184</v>
      </c>
    </row>
    <row r="735" spans="1:10" ht="15" x14ac:dyDescent="0.2">
      <c r="A735" s="486" t="s">
        <v>1183</v>
      </c>
      <c r="B735" s="487" t="s">
        <v>1182</v>
      </c>
      <c r="C735" s="488" t="s">
        <v>3676</v>
      </c>
      <c r="D735" s="489" t="s">
        <v>3677</v>
      </c>
      <c r="E735" s="487" t="s">
        <v>3678</v>
      </c>
      <c r="F735" s="490">
        <v>29400</v>
      </c>
      <c r="G735" s="489">
        <v>374.4</v>
      </c>
      <c r="H735" s="489">
        <v>78.525639999999996</v>
      </c>
      <c r="I735" s="487" t="s">
        <v>1499</v>
      </c>
      <c r="J735" s="487" t="s">
        <v>1184</v>
      </c>
    </row>
    <row r="736" spans="1:10" ht="15" x14ac:dyDescent="0.2">
      <c r="A736" s="486" t="s">
        <v>1183</v>
      </c>
      <c r="B736" s="487" t="s">
        <v>1182</v>
      </c>
      <c r="C736" s="488" t="s">
        <v>3679</v>
      </c>
      <c r="D736" s="489" t="s">
        <v>3680</v>
      </c>
      <c r="E736" s="487" t="s">
        <v>3681</v>
      </c>
      <c r="F736" s="490">
        <v>22724</v>
      </c>
      <c r="G736" s="489">
        <v>260.7</v>
      </c>
      <c r="H736" s="489">
        <v>87.165319999999994</v>
      </c>
      <c r="I736" s="487" t="s">
        <v>1499</v>
      </c>
      <c r="J736" s="487" t="s">
        <v>1184</v>
      </c>
    </row>
    <row r="737" spans="1:10" ht="15" x14ac:dyDescent="0.2">
      <c r="A737" s="486" t="s">
        <v>1183</v>
      </c>
      <c r="B737" s="487" t="s">
        <v>1182</v>
      </c>
      <c r="C737" s="488" t="s">
        <v>3682</v>
      </c>
      <c r="D737" s="489" t="s">
        <v>3683</v>
      </c>
      <c r="E737" s="487" t="s">
        <v>3684</v>
      </c>
      <c r="F737" s="490">
        <v>5255</v>
      </c>
      <c r="G737" s="489">
        <v>153.19999999999999</v>
      </c>
      <c r="H737" s="489">
        <v>34.301569999999998</v>
      </c>
      <c r="I737" s="487" t="s">
        <v>1499</v>
      </c>
      <c r="J737" s="487" t="s">
        <v>1184</v>
      </c>
    </row>
    <row r="738" spans="1:10" ht="15" x14ac:dyDescent="0.2">
      <c r="A738" s="486" t="s">
        <v>1183</v>
      </c>
      <c r="B738" s="487" t="s">
        <v>1182</v>
      </c>
      <c r="C738" s="488" t="s">
        <v>3685</v>
      </c>
      <c r="D738" s="489" t="s">
        <v>3686</v>
      </c>
      <c r="E738" s="487" t="s">
        <v>3687</v>
      </c>
      <c r="F738" s="490">
        <v>37750</v>
      </c>
      <c r="G738" s="489">
        <v>385.7</v>
      </c>
      <c r="H738" s="489">
        <v>97.873999999999995</v>
      </c>
      <c r="I738" s="487" t="s">
        <v>1499</v>
      </c>
      <c r="J738" s="487" t="s">
        <v>1184</v>
      </c>
    </row>
    <row r="739" spans="1:10" ht="15" x14ac:dyDescent="0.2">
      <c r="A739" s="486" t="s">
        <v>1183</v>
      </c>
      <c r="B739" s="487" t="s">
        <v>1182</v>
      </c>
      <c r="C739" s="488" t="s">
        <v>3688</v>
      </c>
      <c r="D739" s="489" t="s">
        <v>3689</v>
      </c>
      <c r="E739" s="487" t="s">
        <v>3690</v>
      </c>
      <c r="F739" s="490">
        <v>17461</v>
      </c>
      <c r="G739" s="489">
        <v>206.3</v>
      </c>
      <c r="H739" s="489">
        <v>84.63888</v>
      </c>
      <c r="I739" s="487" t="s">
        <v>1499</v>
      </c>
      <c r="J739" s="487" t="s">
        <v>1184</v>
      </c>
    </row>
    <row r="740" spans="1:10" ht="15" x14ac:dyDescent="0.2">
      <c r="A740" s="486" t="s">
        <v>1183</v>
      </c>
      <c r="B740" s="487" t="s">
        <v>1182</v>
      </c>
      <c r="C740" s="488" t="s">
        <v>3691</v>
      </c>
      <c r="D740" s="489" t="s">
        <v>3692</v>
      </c>
      <c r="E740" s="487" t="s">
        <v>3693</v>
      </c>
      <c r="F740" s="490">
        <v>6500</v>
      </c>
      <c r="G740" s="489">
        <v>74.3</v>
      </c>
      <c r="H740" s="489">
        <v>87.483180000000004</v>
      </c>
      <c r="I740" s="487" t="s">
        <v>1499</v>
      </c>
      <c r="J740" s="487" t="s">
        <v>1184</v>
      </c>
    </row>
    <row r="741" spans="1:10" ht="15" x14ac:dyDescent="0.2">
      <c r="A741" s="486" t="s">
        <v>1183</v>
      </c>
      <c r="B741" s="487" t="s">
        <v>1182</v>
      </c>
      <c r="C741" s="488" t="s">
        <v>3694</v>
      </c>
      <c r="D741" s="489" t="s">
        <v>3695</v>
      </c>
      <c r="E741" s="487" t="s">
        <v>3696</v>
      </c>
      <c r="F741" s="490">
        <v>105144</v>
      </c>
      <c r="G741" s="489">
        <v>1192.2</v>
      </c>
      <c r="H741" s="489">
        <v>88.193259999999995</v>
      </c>
      <c r="I741" s="487" t="s">
        <v>1499</v>
      </c>
      <c r="J741" s="487" t="s">
        <v>1184</v>
      </c>
    </row>
    <row r="742" spans="1:10" ht="15" x14ac:dyDescent="0.2">
      <c r="A742" s="486" t="s">
        <v>1183</v>
      </c>
      <c r="B742" s="487" t="s">
        <v>1182</v>
      </c>
      <c r="C742" s="488" t="s">
        <v>3697</v>
      </c>
      <c r="D742" s="489" t="s">
        <v>3698</v>
      </c>
      <c r="E742" s="487" t="s">
        <v>3699</v>
      </c>
      <c r="F742" s="490">
        <v>9500</v>
      </c>
      <c r="G742" s="489">
        <v>89.8</v>
      </c>
      <c r="H742" s="489">
        <v>105.79065</v>
      </c>
      <c r="I742" s="487" t="s">
        <v>1499</v>
      </c>
      <c r="J742" s="487" t="s">
        <v>1184</v>
      </c>
    </row>
    <row r="743" spans="1:10" ht="15" x14ac:dyDescent="0.2">
      <c r="A743" s="486" t="s">
        <v>1183</v>
      </c>
      <c r="B743" s="487" t="s">
        <v>1182</v>
      </c>
      <c r="C743" s="488" t="s">
        <v>3700</v>
      </c>
      <c r="D743" s="489" t="s">
        <v>3701</v>
      </c>
      <c r="E743" s="487" t="s">
        <v>3702</v>
      </c>
      <c r="F743" s="490">
        <v>21841.759999999998</v>
      </c>
      <c r="G743" s="489">
        <v>111.6</v>
      </c>
      <c r="H743" s="489">
        <v>195.71469999999999</v>
      </c>
      <c r="I743" s="487" t="s">
        <v>1499</v>
      </c>
      <c r="J743" s="487" t="s">
        <v>1184</v>
      </c>
    </row>
    <row r="744" spans="1:10" ht="15" x14ac:dyDescent="0.2">
      <c r="A744" s="486" t="s">
        <v>1183</v>
      </c>
      <c r="B744" s="487" t="s">
        <v>1182</v>
      </c>
      <c r="C744" s="488" t="s">
        <v>3703</v>
      </c>
      <c r="D744" s="489" t="s">
        <v>3704</v>
      </c>
      <c r="E744" s="487" t="s">
        <v>3705</v>
      </c>
      <c r="F744" s="490">
        <v>350217</v>
      </c>
      <c r="G744" s="489">
        <v>2218.4</v>
      </c>
      <c r="H744" s="489">
        <v>157.86918</v>
      </c>
      <c r="I744" s="487" t="s">
        <v>1499</v>
      </c>
      <c r="J744" s="487" t="s">
        <v>1184</v>
      </c>
    </row>
    <row r="745" spans="1:10" ht="15" x14ac:dyDescent="0.2">
      <c r="A745" s="486" t="s">
        <v>1183</v>
      </c>
      <c r="B745" s="487" t="s">
        <v>1182</v>
      </c>
      <c r="C745" s="488" t="s">
        <v>3706</v>
      </c>
      <c r="D745" s="489" t="s">
        <v>3707</v>
      </c>
      <c r="E745" s="487" t="s">
        <v>3708</v>
      </c>
      <c r="F745" s="490">
        <v>72000</v>
      </c>
      <c r="G745" s="489">
        <v>838</v>
      </c>
      <c r="H745" s="489">
        <v>85.918850000000006</v>
      </c>
      <c r="I745" s="487" t="s">
        <v>1499</v>
      </c>
      <c r="J745" s="487" t="s">
        <v>1184</v>
      </c>
    </row>
    <row r="746" spans="1:10" ht="15" x14ac:dyDescent="0.2">
      <c r="A746" s="486" t="s">
        <v>1183</v>
      </c>
      <c r="B746" s="487" t="s">
        <v>1182</v>
      </c>
      <c r="C746" s="488" t="s">
        <v>3709</v>
      </c>
      <c r="D746" s="489" t="s">
        <v>3710</v>
      </c>
      <c r="E746" s="487" t="s">
        <v>3711</v>
      </c>
      <c r="F746" s="490">
        <v>133000</v>
      </c>
      <c r="G746" s="489">
        <v>1771.1</v>
      </c>
      <c r="H746" s="489">
        <v>75.094570000000004</v>
      </c>
      <c r="I746" s="487" t="s">
        <v>1499</v>
      </c>
      <c r="J746" s="487" t="s">
        <v>1184</v>
      </c>
    </row>
    <row r="747" spans="1:10" ht="15" x14ac:dyDescent="0.2">
      <c r="A747" s="486" t="s">
        <v>1183</v>
      </c>
      <c r="B747" s="487" t="s">
        <v>1182</v>
      </c>
      <c r="C747" s="488" t="s">
        <v>3712</v>
      </c>
      <c r="D747" s="489" t="s">
        <v>3713</v>
      </c>
      <c r="E747" s="487" t="s">
        <v>3479</v>
      </c>
      <c r="F747" s="490">
        <v>10500</v>
      </c>
      <c r="G747" s="489">
        <v>195.1</v>
      </c>
      <c r="H747" s="489">
        <v>53.818550000000002</v>
      </c>
      <c r="I747" s="487" t="s">
        <v>1499</v>
      </c>
      <c r="J747" s="487" t="s">
        <v>1184</v>
      </c>
    </row>
    <row r="748" spans="1:10" ht="15" x14ac:dyDescent="0.2">
      <c r="A748" s="486" t="s">
        <v>1183</v>
      </c>
      <c r="B748" s="487" t="s">
        <v>1182</v>
      </c>
      <c r="C748" s="488" t="s">
        <v>3714</v>
      </c>
      <c r="D748" s="489" t="s">
        <v>3715</v>
      </c>
      <c r="E748" s="487" t="s">
        <v>3716</v>
      </c>
      <c r="F748" s="490">
        <v>67356</v>
      </c>
      <c r="G748" s="489">
        <v>610</v>
      </c>
      <c r="H748" s="489">
        <v>110.41967</v>
      </c>
      <c r="I748" s="487" t="s">
        <v>1499</v>
      </c>
      <c r="J748" s="487" t="s">
        <v>1184</v>
      </c>
    </row>
    <row r="749" spans="1:10" ht="15" x14ac:dyDescent="0.2">
      <c r="A749" s="486" t="s">
        <v>1183</v>
      </c>
      <c r="B749" s="487" t="s">
        <v>1182</v>
      </c>
      <c r="C749" s="488" t="s">
        <v>3717</v>
      </c>
      <c r="D749" s="489" t="s">
        <v>3718</v>
      </c>
      <c r="E749" s="487" t="s">
        <v>3719</v>
      </c>
      <c r="F749" s="490">
        <v>95335</v>
      </c>
      <c r="G749" s="489">
        <v>861.2</v>
      </c>
      <c r="H749" s="489">
        <v>110.70019000000001</v>
      </c>
      <c r="I749" s="487" t="s">
        <v>1499</v>
      </c>
      <c r="J749" s="487" t="s">
        <v>1184</v>
      </c>
    </row>
    <row r="750" spans="1:10" ht="15" x14ac:dyDescent="0.2">
      <c r="A750" s="486" t="s">
        <v>1183</v>
      </c>
      <c r="B750" s="487" t="s">
        <v>1182</v>
      </c>
      <c r="C750" s="488" t="s">
        <v>3720</v>
      </c>
      <c r="D750" s="489" t="s">
        <v>3721</v>
      </c>
      <c r="E750" s="487" t="s">
        <v>3722</v>
      </c>
      <c r="F750" s="490">
        <v>63878</v>
      </c>
      <c r="G750" s="489">
        <v>538.6</v>
      </c>
      <c r="H750" s="489">
        <v>118.60007</v>
      </c>
      <c r="I750" s="487" t="s">
        <v>1499</v>
      </c>
      <c r="J750" s="487" t="s">
        <v>1184</v>
      </c>
    </row>
    <row r="751" spans="1:10" ht="15" x14ac:dyDescent="0.2">
      <c r="A751" s="486" t="s">
        <v>1183</v>
      </c>
      <c r="B751" s="487" t="s">
        <v>1182</v>
      </c>
      <c r="C751" s="488" t="s">
        <v>3723</v>
      </c>
      <c r="D751" s="489" t="s">
        <v>3724</v>
      </c>
      <c r="E751" s="487" t="s">
        <v>3725</v>
      </c>
      <c r="F751" s="490">
        <v>105000</v>
      </c>
      <c r="G751" s="489">
        <v>1271.7</v>
      </c>
      <c r="H751" s="489">
        <v>82.566640000000007</v>
      </c>
      <c r="I751" s="487" t="s">
        <v>1499</v>
      </c>
      <c r="J751" s="487" t="s">
        <v>1184</v>
      </c>
    </row>
    <row r="752" spans="1:10" ht="15" x14ac:dyDescent="0.2">
      <c r="A752" s="486" t="s">
        <v>1183</v>
      </c>
      <c r="B752" s="487" t="s">
        <v>1182</v>
      </c>
      <c r="C752" s="488" t="s">
        <v>3726</v>
      </c>
      <c r="D752" s="489" t="s">
        <v>3727</v>
      </c>
      <c r="E752" s="487" t="s">
        <v>3728</v>
      </c>
      <c r="F752" s="490">
        <v>15000</v>
      </c>
      <c r="G752" s="489">
        <v>157.30000000000001</v>
      </c>
      <c r="H752" s="489">
        <v>95.359189999999998</v>
      </c>
      <c r="I752" s="487" t="s">
        <v>1499</v>
      </c>
      <c r="J752" s="487" t="s">
        <v>1184</v>
      </c>
    </row>
    <row r="753" spans="1:10" ht="15" x14ac:dyDescent="0.2">
      <c r="A753" s="486" t="s">
        <v>1183</v>
      </c>
      <c r="B753" s="487" t="s">
        <v>1182</v>
      </c>
      <c r="C753" s="488" t="s">
        <v>3729</v>
      </c>
      <c r="D753" s="489" t="s">
        <v>3730</v>
      </c>
      <c r="E753" s="487" t="s">
        <v>3731</v>
      </c>
      <c r="F753" s="490">
        <v>119925</v>
      </c>
      <c r="G753" s="489">
        <v>1421.8</v>
      </c>
      <c r="H753" s="489">
        <v>84.347309999999993</v>
      </c>
      <c r="I753" s="487" t="s">
        <v>1499</v>
      </c>
      <c r="J753" s="487" t="s">
        <v>1184</v>
      </c>
    </row>
    <row r="754" spans="1:10" ht="15" x14ac:dyDescent="0.2">
      <c r="A754" s="486" t="s">
        <v>1183</v>
      </c>
      <c r="B754" s="487" t="s">
        <v>1182</v>
      </c>
      <c r="C754" s="488" t="s">
        <v>3732</v>
      </c>
      <c r="D754" s="489" t="s">
        <v>3733</v>
      </c>
      <c r="E754" s="487" t="s">
        <v>3734</v>
      </c>
      <c r="F754" s="490">
        <v>0</v>
      </c>
      <c r="G754" s="489">
        <v>34.4</v>
      </c>
      <c r="H754" s="489">
        <v>0</v>
      </c>
      <c r="I754" s="487" t="s">
        <v>1593</v>
      </c>
      <c r="J754" s="487" t="s">
        <v>1184</v>
      </c>
    </row>
    <row r="755" spans="1:10" ht="15" x14ac:dyDescent="0.2">
      <c r="A755" s="486" t="s">
        <v>1183</v>
      </c>
      <c r="B755" s="487" t="s">
        <v>1182</v>
      </c>
      <c r="C755" s="488" t="s">
        <v>3735</v>
      </c>
      <c r="D755" s="489" t="s">
        <v>3736</v>
      </c>
      <c r="E755" s="487" t="s">
        <v>3737</v>
      </c>
      <c r="F755" s="490">
        <v>14500</v>
      </c>
      <c r="G755" s="489">
        <v>207.6</v>
      </c>
      <c r="H755" s="489">
        <v>69.845860000000002</v>
      </c>
      <c r="I755" s="487" t="s">
        <v>1499</v>
      </c>
      <c r="J755" s="487" t="s">
        <v>1184</v>
      </c>
    </row>
    <row r="756" spans="1:10" ht="15" x14ac:dyDescent="0.2">
      <c r="A756" s="486" t="s">
        <v>1183</v>
      </c>
      <c r="B756" s="487" t="s">
        <v>1182</v>
      </c>
      <c r="C756" s="488" t="s">
        <v>3738</v>
      </c>
      <c r="D756" s="489" t="s">
        <v>3739</v>
      </c>
      <c r="E756" s="487" t="s">
        <v>3740</v>
      </c>
      <c r="F756" s="490">
        <v>419967</v>
      </c>
      <c r="G756" s="489">
        <v>2783.5</v>
      </c>
      <c r="H756" s="489">
        <v>150.87730999999999</v>
      </c>
      <c r="I756" s="487" t="s">
        <v>1499</v>
      </c>
      <c r="J756" s="487" t="s">
        <v>1184</v>
      </c>
    </row>
    <row r="757" spans="1:10" ht="15" x14ac:dyDescent="0.2">
      <c r="A757" s="486" t="s">
        <v>1183</v>
      </c>
      <c r="B757" s="487" t="s">
        <v>1182</v>
      </c>
      <c r="C757" s="488" t="s">
        <v>3741</v>
      </c>
      <c r="D757" s="489" t="s">
        <v>3742</v>
      </c>
      <c r="E757" s="487" t="s">
        <v>3743</v>
      </c>
      <c r="F757" s="490">
        <v>47061</v>
      </c>
      <c r="G757" s="489">
        <v>366.6</v>
      </c>
      <c r="H757" s="489">
        <v>128.37152</v>
      </c>
      <c r="I757" s="487" t="s">
        <v>1499</v>
      </c>
      <c r="J757" s="487" t="s">
        <v>1184</v>
      </c>
    </row>
    <row r="758" spans="1:10" ht="15" x14ac:dyDescent="0.2">
      <c r="A758" s="486" t="s">
        <v>1183</v>
      </c>
      <c r="B758" s="487" t="s">
        <v>1182</v>
      </c>
      <c r="C758" s="488" t="s">
        <v>3744</v>
      </c>
      <c r="D758" s="489" t="s">
        <v>3745</v>
      </c>
      <c r="E758" s="487" t="s">
        <v>3746</v>
      </c>
      <c r="F758" s="490">
        <v>3000</v>
      </c>
      <c r="G758" s="489">
        <v>71</v>
      </c>
      <c r="H758" s="489">
        <v>42.253520000000002</v>
      </c>
      <c r="I758" s="487" t="s">
        <v>1499</v>
      </c>
      <c r="J758" s="487" t="s">
        <v>1184</v>
      </c>
    </row>
    <row r="759" spans="1:10" ht="15" x14ac:dyDescent="0.2">
      <c r="A759" s="486" t="s">
        <v>1183</v>
      </c>
      <c r="B759" s="487" t="s">
        <v>1182</v>
      </c>
      <c r="C759" s="488" t="s">
        <v>3747</v>
      </c>
      <c r="D759" s="489" t="s">
        <v>3748</v>
      </c>
      <c r="E759" s="487" t="s">
        <v>3749</v>
      </c>
      <c r="F759" s="490">
        <v>12000</v>
      </c>
      <c r="G759" s="489">
        <v>149.4</v>
      </c>
      <c r="H759" s="489">
        <v>80.321290000000005</v>
      </c>
      <c r="I759" s="487" t="s">
        <v>1499</v>
      </c>
      <c r="J759" s="487" t="s">
        <v>1184</v>
      </c>
    </row>
    <row r="760" spans="1:10" ht="15" x14ac:dyDescent="0.2">
      <c r="A760" s="486" t="s">
        <v>1183</v>
      </c>
      <c r="B760" s="487" t="s">
        <v>1182</v>
      </c>
      <c r="C760" s="488" t="s">
        <v>3750</v>
      </c>
      <c r="D760" s="489" t="s">
        <v>3751</v>
      </c>
      <c r="E760" s="487" t="s">
        <v>3752</v>
      </c>
      <c r="F760" s="490">
        <v>115000</v>
      </c>
      <c r="G760" s="489">
        <v>1000.9</v>
      </c>
      <c r="H760" s="489">
        <v>114.89659</v>
      </c>
      <c r="I760" s="487" t="s">
        <v>1499</v>
      </c>
      <c r="J760" s="487" t="s">
        <v>1184</v>
      </c>
    </row>
    <row r="761" spans="1:10" ht="15" x14ac:dyDescent="0.2">
      <c r="A761" s="486" t="s">
        <v>1183</v>
      </c>
      <c r="B761" s="487" t="s">
        <v>1182</v>
      </c>
      <c r="C761" s="488" t="s">
        <v>3753</v>
      </c>
      <c r="D761" s="489" t="s">
        <v>3754</v>
      </c>
      <c r="E761" s="487" t="s">
        <v>3755</v>
      </c>
      <c r="F761" s="490">
        <v>34195</v>
      </c>
      <c r="G761" s="489">
        <v>536.79999999999995</v>
      </c>
      <c r="H761" s="489">
        <v>63.701560000000001</v>
      </c>
      <c r="I761" s="487" t="s">
        <v>1499</v>
      </c>
      <c r="J761" s="487" t="s">
        <v>1184</v>
      </c>
    </row>
    <row r="762" spans="1:10" ht="15" x14ac:dyDescent="0.2">
      <c r="A762" s="486" t="s">
        <v>1183</v>
      </c>
      <c r="B762" s="487" t="s">
        <v>1182</v>
      </c>
      <c r="C762" s="488" t="s">
        <v>3756</v>
      </c>
      <c r="D762" s="489" t="s">
        <v>3757</v>
      </c>
      <c r="E762" s="487" t="s">
        <v>3758</v>
      </c>
      <c r="F762" s="490">
        <v>25388.47</v>
      </c>
      <c r="G762" s="489">
        <v>213.7</v>
      </c>
      <c r="H762" s="489">
        <v>118.80426</v>
      </c>
      <c r="I762" s="487" t="s">
        <v>1499</v>
      </c>
      <c r="J762" s="487" t="s">
        <v>1184</v>
      </c>
    </row>
    <row r="763" spans="1:10" ht="15" x14ac:dyDescent="0.2">
      <c r="A763" s="486" t="s">
        <v>1183</v>
      </c>
      <c r="B763" s="487" t="s">
        <v>1182</v>
      </c>
      <c r="C763" s="488" t="s">
        <v>3759</v>
      </c>
      <c r="D763" s="489" t="s">
        <v>3760</v>
      </c>
      <c r="E763" s="487" t="s">
        <v>3761</v>
      </c>
      <c r="F763" s="490">
        <v>103806</v>
      </c>
      <c r="G763" s="489">
        <v>1089.5999999999999</v>
      </c>
      <c r="H763" s="489">
        <v>95.269819999999996</v>
      </c>
      <c r="I763" s="487" t="s">
        <v>1499</v>
      </c>
      <c r="J763" s="487" t="s">
        <v>1184</v>
      </c>
    </row>
    <row r="764" spans="1:10" ht="15" x14ac:dyDescent="0.2">
      <c r="A764" s="486" t="s">
        <v>1183</v>
      </c>
      <c r="B764" s="487" t="s">
        <v>1182</v>
      </c>
      <c r="C764" s="488" t="s">
        <v>3762</v>
      </c>
      <c r="D764" s="489" t="s">
        <v>3763</v>
      </c>
      <c r="E764" s="487" t="s">
        <v>3764</v>
      </c>
      <c r="F764" s="490">
        <v>1973</v>
      </c>
      <c r="G764" s="489">
        <v>81.5</v>
      </c>
      <c r="H764" s="489">
        <v>24.208590000000001</v>
      </c>
      <c r="I764" s="487" t="s">
        <v>1499</v>
      </c>
      <c r="J764" s="487" t="s">
        <v>1184</v>
      </c>
    </row>
    <row r="765" spans="1:10" ht="15" x14ac:dyDescent="0.2">
      <c r="A765" s="486" t="s">
        <v>1183</v>
      </c>
      <c r="B765" s="487" t="s">
        <v>1182</v>
      </c>
      <c r="C765" s="488" t="s">
        <v>3765</v>
      </c>
      <c r="D765" s="489" t="s">
        <v>3766</v>
      </c>
      <c r="E765" s="487" t="s">
        <v>3767</v>
      </c>
      <c r="F765" s="490">
        <v>83000</v>
      </c>
      <c r="G765" s="489">
        <v>1059.8</v>
      </c>
      <c r="H765" s="489">
        <v>78.316659999999999</v>
      </c>
      <c r="I765" s="487" t="s">
        <v>1499</v>
      </c>
      <c r="J765" s="487" t="s">
        <v>1184</v>
      </c>
    </row>
    <row r="766" spans="1:10" ht="15" x14ac:dyDescent="0.2">
      <c r="A766" s="486" t="s">
        <v>1183</v>
      </c>
      <c r="B766" s="487" t="s">
        <v>1182</v>
      </c>
      <c r="C766" s="488" t="s">
        <v>3768</v>
      </c>
      <c r="D766" s="489" t="s">
        <v>3769</v>
      </c>
      <c r="E766" s="487" t="s">
        <v>3770</v>
      </c>
      <c r="F766" s="490">
        <v>46508</v>
      </c>
      <c r="G766" s="489">
        <v>520</v>
      </c>
      <c r="H766" s="489">
        <v>89.438460000000006</v>
      </c>
      <c r="I766" s="487" t="s">
        <v>1499</v>
      </c>
      <c r="J766" s="487" t="s">
        <v>1184</v>
      </c>
    </row>
    <row r="767" spans="1:10" ht="15" x14ac:dyDescent="0.2">
      <c r="A767" s="486" t="s">
        <v>1183</v>
      </c>
      <c r="B767" s="487" t="s">
        <v>1182</v>
      </c>
      <c r="C767" s="488" t="s">
        <v>3771</v>
      </c>
      <c r="D767" s="489" t="s">
        <v>3772</v>
      </c>
      <c r="E767" s="487" t="s">
        <v>3773</v>
      </c>
      <c r="F767" s="490">
        <v>18806</v>
      </c>
      <c r="G767" s="489">
        <v>343.6</v>
      </c>
      <c r="H767" s="489">
        <v>54.732250000000001</v>
      </c>
      <c r="I767" s="487" t="s">
        <v>1499</v>
      </c>
      <c r="J767" s="487" t="s">
        <v>1184</v>
      </c>
    </row>
    <row r="768" spans="1:10" ht="15" x14ac:dyDescent="0.2">
      <c r="A768" s="486" t="s">
        <v>1183</v>
      </c>
      <c r="B768" s="487" t="s">
        <v>1182</v>
      </c>
      <c r="C768" s="488" t="s">
        <v>3774</v>
      </c>
      <c r="D768" s="489" t="s">
        <v>3775</v>
      </c>
      <c r="E768" s="487" t="s">
        <v>3776</v>
      </c>
      <c r="F768" s="490">
        <v>300385</v>
      </c>
      <c r="G768" s="489">
        <v>2176.6999999999998</v>
      </c>
      <c r="H768" s="489">
        <v>138.00018</v>
      </c>
      <c r="I768" s="487" t="s">
        <v>1499</v>
      </c>
      <c r="J768" s="487" t="s">
        <v>1184</v>
      </c>
    </row>
    <row r="769" spans="1:10" ht="15" x14ac:dyDescent="0.2">
      <c r="A769" s="486" t="s">
        <v>1183</v>
      </c>
      <c r="B769" s="487" t="s">
        <v>1182</v>
      </c>
      <c r="C769" s="488" t="s">
        <v>3777</v>
      </c>
      <c r="D769" s="489" t="s">
        <v>3778</v>
      </c>
      <c r="E769" s="487" t="s">
        <v>3779</v>
      </c>
      <c r="F769" s="490">
        <v>13650</v>
      </c>
      <c r="G769" s="489">
        <v>194.9</v>
      </c>
      <c r="H769" s="489">
        <v>70.035920000000004</v>
      </c>
      <c r="I769" s="487" t="s">
        <v>1499</v>
      </c>
      <c r="J769" s="487" t="s">
        <v>1184</v>
      </c>
    </row>
    <row r="770" spans="1:10" ht="15" x14ac:dyDescent="0.2">
      <c r="A770" s="486" t="s">
        <v>1183</v>
      </c>
      <c r="B770" s="487" t="s">
        <v>1182</v>
      </c>
      <c r="C770" s="488" t="s">
        <v>3780</v>
      </c>
      <c r="D770" s="489" t="s">
        <v>3781</v>
      </c>
      <c r="E770" s="487" t="s">
        <v>3782</v>
      </c>
      <c r="F770" s="490">
        <v>14300</v>
      </c>
      <c r="G770" s="489">
        <v>230.1</v>
      </c>
      <c r="H770" s="489">
        <v>62.146889999999999</v>
      </c>
      <c r="I770" s="487" t="s">
        <v>1499</v>
      </c>
      <c r="J770" s="487" t="s">
        <v>1184</v>
      </c>
    </row>
    <row r="771" spans="1:10" ht="15" x14ac:dyDescent="0.2">
      <c r="A771" s="486" t="s">
        <v>1183</v>
      </c>
      <c r="B771" s="487" t="s">
        <v>1182</v>
      </c>
      <c r="C771" s="488" t="s">
        <v>3783</v>
      </c>
      <c r="D771" s="489" t="s">
        <v>3784</v>
      </c>
      <c r="E771" s="487" t="s">
        <v>3785</v>
      </c>
      <c r="F771" s="490">
        <v>15000</v>
      </c>
      <c r="G771" s="489">
        <v>200.3</v>
      </c>
      <c r="H771" s="489">
        <v>74.88767</v>
      </c>
      <c r="I771" s="487" t="s">
        <v>1499</v>
      </c>
      <c r="J771" s="487" t="s">
        <v>1184</v>
      </c>
    </row>
    <row r="772" spans="1:10" ht="15" x14ac:dyDescent="0.2">
      <c r="A772" s="486" t="s">
        <v>1183</v>
      </c>
      <c r="B772" s="487" t="s">
        <v>1182</v>
      </c>
      <c r="C772" s="488" t="s">
        <v>3786</v>
      </c>
      <c r="D772" s="489" t="s">
        <v>3787</v>
      </c>
      <c r="E772" s="487" t="s">
        <v>3225</v>
      </c>
      <c r="F772" s="490">
        <v>19313</v>
      </c>
      <c r="G772" s="489">
        <v>225.6</v>
      </c>
      <c r="H772" s="489">
        <v>85.60727</v>
      </c>
      <c r="I772" s="487" t="s">
        <v>1499</v>
      </c>
      <c r="J772" s="487" t="s">
        <v>1184</v>
      </c>
    </row>
    <row r="773" spans="1:10" ht="15" x14ac:dyDescent="0.2">
      <c r="A773" s="486" t="s">
        <v>1183</v>
      </c>
      <c r="B773" s="487" t="s">
        <v>1182</v>
      </c>
      <c r="C773" s="488" t="s">
        <v>3788</v>
      </c>
      <c r="D773" s="489" t="s">
        <v>3789</v>
      </c>
      <c r="E773" s="487" t="s">
        <v>3790</v>
      </c>
      <c r="F773" s="490">
        <v>60000</v>
      </c>
      <c r="G773" s="489">
        <v>822.7</v>
      </c>
      <c r="H773" s="489">
        <v>72.930589999999995</v>
      </c>
      <c r="I773" s="487" t="s">
        <v>1499</v>
      </c>
      <c r="J773" s="487" t="s">
        <v>1184</v>
      </c>
    </row>
    <row r="774" spans="1:10" ht="15" x14ac:dyDescent="0.2">
      <c r="A774" s="486" t="s">
        <v>1183</v>
      </c>
      <c r="B774" s="487" t="s">
        <v>1182</v>
      </c>
      <c r="C774" s="488" t="s">
        <v>3791</v>
      </c>
      <c r="D774" s="489" t="s">
        <v>3792</v>
      </c>
      <c r="E774" s="487" t="s">
        <v>3793</v>
      </c>
      <c r="F774" s="490">
        <v>190434</v>
      </c>
      <c r="G774" s="489">
        <v>1743.5</v>
      </c>
      <c r="H774" s="489">
        <v>109.22512</v>
      </c>
      <c r="I774" s="487" t="s">
        <v>1499</v>
      </c>
      <c r="J774" s="487" t="s">
        <v>1184</v>
      </c>
    </row>
    <row r="775" spans="1:10" ht="15" x14ac:dyDescent="0.2">
      <c r="A775" s="486" t="s">
        <v>1183</v>
      </c>
      <c r="B775" s="487" t="s">
        <v>1182</v>
      </c>
      <c r="C775" s="488" t="s">
        <v>3794</v>
      </c>
      <c r="D775" s="489" t="s">
        <v>3795</v>
      </c>
      <c r="E775" s="487" t="s">
        <v>3796</v>
      </c>
      <c r="F775" s="490">
        <v>7000</v>
      </c>
      <c r="G775" s="489">
        <v>136.30000000000001</v>
      </c>
      <c r="H775" s="489">
        <v>51.357300000000002</v>
      </c>
      <c r="I775" s="487" t="s">
        <v>1499</v>
      </c>
      <c r="J775" s="487" t="s">
        <v>1184</v>
      </c>
    </row>
    <row r="776" spans="1:10" ht="15" x14ac:dyDescent="0.2">
      <c r="A776" s="486" t="s">
        <v>1183</v>
      </c>
      <c r="B776" s="487" t="s">
        <v>1182</v>
      </c>
      <c r="C776" s="488" t="s">
        <v>3797</v>
      </c>
      <c r="D776" s="489" t="s">
        <v>3798</v>
      </c>
      <c r="E776" s="487" t="s">
        <v>3799</v>
      </c>
      <c r="F776" s="490">
        <v>27561</v>
      </c>
      <c r="G776" s="489">
        <v>507.2</v>
      </c>
      <c r="H776" s="489">
        <v>54.339509999999997</v>
      </c>
      <c r="I776" s="487" t="s">
        <v>1499</v>
      </c>
      <c r="J776" s="487" t="s">
        <v>1184</v>
      </c>
    </row>
    <row r="777" spans="1:10" ht="15" x14ac:dyDescent="0.2">
      <c r="A777" s="486" t="s">
        <v>1183</v>
      </c>
      <c r="B777" s="487" t="s">
        <v>1182</v>
      </c>
      <c r="C777" s="488" t="s">
        <v>3800</v>
      </c>
      <c r="D777" s="489" t="s">
        <v>3801</v>
      </c>
      <c r="E777" s="487" t="s">
        <v>3802</v>
      </c>
      <c r="F777" s="490">
        <v>169586.96</v>
      </c>
      <c r="G777" s="489">
        <v>1604.6</v>
      </c>
      <c r="H777" s="489">
        <v>105.688</v>
      </c>
      <c r="I777" s="487" t="s">
        <v>1499</v>
      </c>
      <c r="J777" s="487" t="s">
        <v>1184</v>
      </c>
    </row>
    <row r="778" spans="1:10" ht="15" x14ac:dyDescent="0.2">
      <c r="A778" s="486" t="s">
        <v>892</v>
      </c>
      <c r="B778" s="487" t="s">
        <v>891</v>
      </c>
      <c r="C778" s="488" t="s">
        <v>3803</v>
      </c>
      <c r="D778" s="489" t="s">
        <v>3804</v>
      </c>
      <c r="E778" s="487" t="s">
        <v>3805</v>
      </c>
      <c r="F778" s="490">
        <v>13390</v>
      </c>
      <c r="G778" s="489">
        <v>141.80000000000001</v>
      </c>
      <c r="H778" s="489">
        <v>94.42877</v>
      </c>
      <c r="I778" s="487" t="s">
        <v>1499</v>
      </c>
      <c r="J778" s="487" t="s">
        <v>893</v>
      </c>
    </row>
    <row r="779" spans="1:10" ht="15" x14ac:dyDescent="0.2">
      <c r="A779" s="486" t="s">
        <v>892</v>
      </c>
      <c r="B779" s="487" t="s">
        <v>891</v>
      </c>
      <c r="C779" s="488" t="s">
        <v>3806</v>
      </c>
      <c r="D779" s="489" t="s">
        <v>3807</v>
      </c>
      <c r="E779" s="487" t="s">
        <v>3808</v>
      </c>
      <c r="F779" s="490">
        <v>30749</v>
      </c>
      <c r="G779" s="489">
        <v>269.60000000000002</v>
      </c>
      <c r="H779" s="489">
        <v>114.05415000000001</v>
      </c>
      <c r="I779" s="487" t="s">
        <v>1499</v>
      </c>
      <c r="J779" s="487" t="s">
        <v>893</v>
      </c>
    </row>
    <row r="780" spans="1:10" ht="15" x14ac:dyDescent="0.2">
      <c r="A780" s="486" t="s">
        <v>892</v>
      </c>
      <c r="B780" s="487" t="s">
        <v>891</v>
      </c>
      <c r="C780" s="488" t="s">
        <v>3809</v>
      </c>
      <c r="D780" s="489" t="s">
        <v>3810</v>
      </c>
      <c r="E780" s="487" t="s">
        <v>3811</v>
      </c>
      <c r="F780" s="490">
        <v>43400</v>
      </c>
      <c r="G780" s="489">
        <v>549.5</v>
      </c>
      <c r="H780" s="489">
        <v>78.980890000000002</v>
      </c>
      <c r="I780" s="487" t="s">
        <v>1499</v>
      </c>
      <c r="J780" s="487" t="s">
        <v>893</v>
      </c>
    </row>
    <row r="781" spans="1:10" ht="15" x14ac:dyDescent="0.2">
      <c r="A781" s="486" t="s">
        <v>892</v>
      </c>
      <c r="B781" s="487" t="s">
        <v>891</v>
      </c>
      <c r="C781" s="488" t="s">
        <v>3812</v>
      </c>
      <c r="D781" s="489" t="s">
        <v>3813</v>
      </c>
      <c r="E781" s="487" t="s">
        <v>3814</v>
      </c>
      <c r="F781" s="490">
        <v>18104</v>
      </c>
      <c r="G781" s="489">
        <v>300.10000000000002</v>
      </c>
      <c r="H781" s="489">
        <v>60.326560000000001</v>
      </c>
      <c r="I781" s="487" t="s">
        <v>1499</v>
      </c>
      <c r="J781" s="487" t="s">
        <v>893</v>
      </c>
    </row>
    <row r="782" spans="1:10" ht="15" x14ac:dyDescent="0.2">
      <c r="A782" s="486" t="s">
        <v>892</v>
      </c>
      <c r="B782" s="487" t="s">
        <v>891</v>
      </c>
      <c r="C782" s="488" t="s">
        <v>3815</v>
      </c>
      <c r="D782" s="489" t="s">
        <v>3816</v>
      </c>
      <c r="E782" s="487" t="s">
        <v>3817</v>
      </c>
      <c r="F782" s="490">
        <v>7000</v>
      </c>
      <c r="G782" s="489">
        <v>120</v>
      </c>
      <c r="H782" s="489">
        <v>58.333329999999997</v>
      </c>
      <c r="I782" s="487" t="s">
        <v>1499</v>
      </c>
      <c r="J782" s="487" t="s">
        <v>893</v>
      </c>
    </row>
    <row r="783" spans="1:10" ht="15" x14ac:dyDescent="0.2">
      <c r="A783" s="486" t="s">
        <v>892</v>
      </c>
      <c r="B783" s="487" t="s">
        <v>891</v>
      </c>
      <c r="C783" s="488" t="s">
        <v>3818</v>
      </c>
      <c r="D783" s="489" t="s">
        <v>3819</v>
      </c>
      <c r="E783" s="487" t="s">
        <v>3820</v>
      </c>
      <c r="F783" s="490">
        <v>1200</v>
      </c>
      <c r="G783" s="489">
        <v>29.4</v>
      </c>
      <c r="H783" s="489">
        <v>40.816330000000001</v>
      </c>
      <c r="I783" s="487" t="s">
        <v>1499</v>
      </c>
      <c r="J783" s="487" t="s">
        <v>893</v>
      </c>
    </row>
    <row r="784" spans="1:10" ht="15" x14ac:dyDescent="0.2">
      <c r="A784" s="486" t="s">
        <v>892</v>
      </c>
      <c r="B784" s="487" t="s">
        <v>891</v>
      </c>
      <c r="C784" s="488" t="s">
        <v>3821</v>
      </c>
      <c r="D784" s="489" t="s">
        <v>3822</v>
      </c>
      <c r="E784" s="487" t="s">
        <v>3823</v>
      </c>
      <c r="F784" s="490">
        <v>106582</v>
      </c>
      <c r="G784" s="489">
        <v>782.6</v>
      </c>
      <c r="H784" s="489">
        <v>136.18961999999999</v>
      </c>
      <c r="I784" s="487" t="s">
        <v>1499</v>
      </c>
      <c r="J784" s="487" t="s">
        <v>893</v>
      </c>
    </row>
    <row r="785" spans="1:10" ht="15" x14ac:dyDescent="0.2">
      <c r="A785" s="486" t="s">
        <v>892</v>
      </c>
      <c r="B785" s="487" t="s">
        <v>891</v>
      </c>
      <c r="C785" s="488" t="s">
        <v>3824</v>
      </c>
      <c r="D785" s="489" t="s">
        <v>3825</v>
      </c>
      <c r="E785" s="487" t="s">
        <v>3826</v>
      </c>
      <c r="F785" s="490">
        <v>324242</v>
      </c>
      <c r="G785" s="489">
        <v>2537.6</v>
      </c>
      <c r="H785" s="489">
        <v>127.77506</v>
      </c>
      <c r="I785" s="487" t="s">
        <v>1499</v>
      </c>
      <c r="J785" s="487" t="s">
        <v>893</v>
      </c>
    </row>
    <row r="786" spans="1:10" ht="15" x14ac:dyDescent="0.2">
      <c r="A786" s="486" t="s">
        <v>892</v>
      </c>
      <c r="B786" s="487" t="s">
        <v>891</v>
      </c>
      <c r="C786" s="488" t="s">
        <v>3827</v>
      </c>
      <c r="D786" s="489" t="s">
        <v>3828</v>
      </c>
      <c r="E786" s="487" t="s">
        <v>3829</v>
      </c>
      <c r="F786" s="490">
        <v>12750</v>
      </c>
      <c r="G786" s="489">
        <v>191.2</v>
      </c>
      <c r="H786" s="489">
        <v>66.684100000000001</v>
      </c>
      <c r="I786" s="487" t="s">
        <v>1499</v>
      </c>
      <c r="J786" s="487" t="s">
        <v>893</v>
      </c>
    </row>
    <row r="787" spans="1:10" ht="15" x14ac:dyDescent="0.2">
      <c r="A787" s="486" t="s">
        <v>892</v>
      </c>
      <c r="B787" s="487" t="s">
        <v>891</v>
      </c>
      <c r="C787" s="488" t="s">
        <v>3830</v>
      </c>
      <c r="D787" s="489" t="s">
        <v>3831</v>
      </c>
      <c r="E787" s="487" t="s">
        <v>2627</v>
      </c>
      <c r="F787" s="490">
        <v>6930</v>
      </c>
      <c r="G787" s="489">
        <v>104.3</v>
      </c>
      <c r="H787" s="489">
        <v>66.442949999999996</v>
      </c>
      <c r="I787" s="487" t="s">
        <v>1499</v>
      </c>
      <c r="J787" s="487" t="s">
        <v>893</v>
      </c>
    </row>
    <row r="788" spans="1:10" ht="15" x14ac:dyDescent="0.2">
      <c r="A788" s="486" t="s">
        <v>892</v>
      </c>
      <c r="B788" s="487" t="s">
        <v>891</v>
      </c>
      <c r="C788" s="488" t="s">
        <v>3832</v>
      </c>
      <c r="D788" s="489" t="s">
        <v>3833</v>
      </c>
      <c r="E788" s="487" t="s">
        <v>3834</v>
      </c>
      <c r="F788" s="490">
        <v>187554</v>
      </c>
      <c r="G788" s="489">
        <v>1339.8</v>
      </c>
      <c r="H788" s="489">
        <v>139.98657</v>
      </c>
      <c r="I788" s="487" t="s">
        <v>1499</v>
      </c>
      <c r="J788" s="487" t="s">
        <v>893</v>
      </c>
    </row>
    <row r="789" spans="1:10" ht="15" x14ac:dyDescent="0.2">
      <c r="A789" s="486" t="s">
        <v>892</v>
      </c>
      <c r="B789" s="487" t="s">
        <v>891</v>
      </c>
      <c r="C789" s="488" t="s">
        <v>3835</v>
      </c>
      <c r="D789" s="489" t="s">
        <v>3836</v>
      </c>
      <c r="E789" s="487" t="s">
        <v>3837</v>
      </c>
      <c r="F789" s="490">
        <v>4336</v>
      </c>
      <c r="G789" s="489">
        <v>55.4</v>
      </c>
      <c r="H789" s="489">
        <v>78.267150000000001</v>
      </c>
      <c r="I789" s="487" t="s">
        <v>1499</v>
      </c>
      <c r="J789" s="487" t="s">
        <v>893</v>
      </c>
    </row>
    <row r="790" spans="1:10" ht="15" x14ac:dyDescent="0.2">
      <c r="A790" s="486" t="s">
        <v>892</v>
      </c>
      <c r="B790" s="487" t="s">
        <v>891</v>
      </c>
      <c r="C790" s="488" t="s">
        <v>3838</v>
      </c>
      <c r="D790" s="489" t="s">
        <v>3839</v>
      </c>
      <c r="E790" s="487" t="s">
        <v>574</v>
      </c>
      <c r="F790" s="490">
        <v>140000</v>
      </c>
      <c r="G790" s="489">
        <v>784.9</v>
      </c>
      <c r="H790" s="489">
        <v>178.36667</v>
      </c>
      <c r="I790" s="487" t="s">
        <v>1499</v>
      </c>
      <c r="J790" s="487" t="s">
        <v>893</v>
      </c>
    </row>
    <row r="791" spans="1:10" ht="15" x14ac:dyDescent="0.2">
      <c r="A791" s="486" t="s">
        <v>892</v>
      </c>
      <c r="B791" s="487" t="s">
        <v>891</v>
      </c>
      <c r="C791" s="488" t="s">
        <v>3840</v>
      </c>
      <c r="D791" s="489" t="s">
        <v>3841</v>
      </c>
      <c r="E791" s="487" t="s">
        <v>3842</v>
      </c>
      <c r="F791" s="490">
        <v>12708</v>
      </c>
      <c r="G791" s="489">
        <v>156.9</v>
      </c>
      <c r="H791" s="489">
        <v>80.994259999999997</v>
      </c>
      <c r="I791" s="487" t="s">
        <v>1499</v>
      </c>
      <c r="J791" s="487" t="s">
        <v>893</v>
      </c>
    </row>
    <row r="792" spans="1:10" ht="15" x14ac:dyDescent="0.2">
      <c r="A792" s="486" t="s">
        <v>892</v>
      </c>
      <c r="B792" s="487" t="s">
        <v>891</v>
      </c>
      <c r="C792" s="488" t="s">
        <v>3843</v>
      </c>
      <c r="D792" s="489" t="s">
        <v>3844</v>
      </c>
      <c r="E792" s="487" t="s">
        <v>3845</v>
      </c>
      <c r="F792" s="490">
        <v>16555</v>
      </c>
      <c r="G792" s="489">
        <v>162.4</v>
      </c>
      <c r="H792" s="489">
        <v>101.93966</v>
      </c>
      <c r="I792" s="487" t="s">
        <v>1499</v>
      </c>
      <c r="J792" s="487" t="s">
        <v>893</v>
      </c>
    </row>
    <row r="793" spans="1:10" ht="15" x14ac:dyDescent="0.2">
      <c r="A793" s="486" t="s">
        <v>892</v>
      </c>
      <c r="B793" s="487" t="s">
        <v>891</v>
      </c>
      <c r="C793" s="488" t="s">
        <v>3846</v>
      </c>
      <c r="D793" s="489" t="s">
        <v>3847</v>
      </c>
      <c r="E793" s="487" t="s">
        <v>3848</v>
      </c>
      <c r="F793" s="490">
        <v>500</v>
      </c>
      <c r="G793" s="489">
        <v>69</v>
      </c>
      <c r="H793" s="489">
        <v>7.2463800000000003</v>
      </c>
      <c r="I793" s="487" t="s">
        <v>1499</v>
      </c>
      <c r="J793" s="487" t="s">
        <v>893</v>
      </c>
    </row>
    <row r="794" spans="1:10" ht="15" x14ac:dyDescent="0.2">
      <c r="A794" s="486" t="s">
        <v>892</v>
      </c>
      <c r="B794" s="487" t="s">
        <v>891</v>
      </c>
      <c r="C794" s="488" t="s">
        <v>3849</v>
      </c>
      <c r="D794" s="489" t="s">
        <v>3850</v>
      </c>
      <c r="E794" s="487" t="s">
        <v>3851</v>
      </c>
      <c r="F794" s="490">
        <v>25000</v>
      </c>
      <c r="G794" s="489">
        <v>394.7</v>
      </c>
      <c r="H794" s="489">
        <v>63.339239999999997</v>
      </c>
      <c r="I794" s="487" t="s">
        <v>1499</v>
      </c>
      <c r="J794" s="487" t="s">
        <v>893</v>
      </c>
    </row>
    <row r="795" spans="1:10" ht="15" x14ac:dyDescent="0.2">
      <c r="A795" s="486" t="s">
        <v>892</v>
      </c>
      <c r="B795" s="487" t="s">
        <v>891</v>
      </c>
      <c r="C795" s="488" t="s">
        <v>3852</v>
      </c>
      <c r="D795" s="489" t="s">
        <v>3853</v>
      </c>
      <c r="E795" s="487" t="s">
        <v>3554</v>
      </c>
      <c r="F795" s="490">
        <v>5000</v>
      </c>
      <c r="G795" s="489">
        <v>74.900000000000006</v>
      </c>
      <c r="H795" s="489">
        <v>66.755669999999995</v>
      </c>
      <c r="I795" s="487" t="s">
        <v>1499</v>
      </c>
      <c r="J795" s="487" t="s">
        <v>893</v>
      </c>
    </row>
    <row r="796" spans="1:10" ht="15" x14ac:dyDescent="0.2">
      <c r="A796" s="486" t="s">
        <v>892</v>
      </c>
      <c r="B796" s="487" t="s">
        <v>891</v>
      </c>
      <c r="C796" s="488" t="s">
        <v>3854</v>
      </c>
      <c r="D796" s="489" t="s">
        <v>3855</v>
      </c>
      <c r="E796" s="487" t="s">
        <v>3856</v>
      </c>
      <c r="F796" s="490">
        <v>1500</v>
      </c>
      <c r="G796" s="489">
        <v>48</v>
      </c>
      <c r="H796" s="489">
        <v>31.25</v>
      </c>
      <c r="I796" s="487" t="s">
        <v>1499</v>
      </c>
      <c r="J796" s="487" t="s">
        <v>893</v>
      </c>
    </row>
    <row r="797" spans="1:10" ht="15" x14ac:dyDescent="0.2">
      <c r="A797" s="486" t="s">
        <v>892</v>
      </c>
      <c r="B797" s="487" t="s">
        <v>891</v>
      </c>
      <c r="C797" s="488" t="s">
        <v>3857</v>
      </c>
      <c r="D797" s="489" t="s">
        <v>3858</v>
      </c>
      <c r="E797" s="487" t="s">
        <v>3859</v>
      </c>
      <c r="F797" s="490">
        <v>0</v>
      </c>
      <c r="G797" s="489">
        <v>29.3</v>
      </c>
      <c r="H797" s="489">
        <v>0</v>
      </c>
      <c r="I797" s="487" t="s">
        <v>1593</v>
      </c>
      <c r="J797" s="487" t="s">
        <v>893</v>
      </c>
    </row>
    <row r="798" spans="1:10" ht="15" x14ac:dyDescent="0.2">
      <c r="A798" s="486" t="s">
        <v>892</v>
      </c>
      <c r="B798" s="487" t="s">
        <v>891</v>
      </c>
      <c r="C798" s="488" t="s">
        <v>3860</v>
      </c>
      <c r="D798" s="489" t="s">
        <v>3861</v>
      </c>
      <c r="E798" s="487" t="s">
        <v>3862</v>
      </c>
      <c r="F798" s="490">
        <v>72000</v>
      </c>
      <c r="G798" s="489">
        <v>604</v>
      </c>
      <c r="H798" s="489">
        <v>119.20529999999999</v>
      </c>
      <c r="I798" s="487" t="s">
        <v>1499</v>
      </c>
      <c r="J798" s="487" t="s">
        <v>893</v>
      </c>
    </row>
    <row r="799" spans="1:10" ht="15" x14ac:dyDescent="0.2">
      <c r="A799" s="486" t="s">
        <v>892</v>
      </c>
      <c r="B799" s="487" t="s">
        <v>891</v>
      </c>
      <c r="C799" s="488" t="s">
        <v>3863</v>
      </c>
      <c r="D799" s="489" t="s">
        <v>3864</v>
      </c>
      <c r="E799" s="487" t="s">
        <v>3865</v>
      </c>
      <c r="F799" s="490">
        <v>5000</v>
      </c>
      <c r="G799" s="489">
        <v>82.5</v>
      </c>
      <c r="H799" s="489">
        <v>60.606059999999999</v>
      </c>
      <c r="I799" s="487" t="s">
        <v>1499</v>
      </c>
      <c r="J799" s="487" t="s">
        <v>893</v>
      </c>
    </row>
    <row r="800" spans="1:10" ht="15" x14ac:dyDescent="0.2">
      <c r="A800" s="486" t="s">
        <v>892</v>
      </c>
      <c r="B800" s="487" t="s">
        <v>891</v>
      </c>
      <c r="C800" s="488" t="s">
        <v>3866</v>
      </c>
      <c r="D800" s="489" t="s">
        <v>3867</v>
      </c>
      <c r="E800" s="487" t="s">
        <v>3868</v>
      </c>
      <c r="F800" s="490">
        <v>9834</v>
      </c>
      <c r="G800" s="489">
        <v>237.6</v>
      </c>
      <c r="H800" s="489">
        <v>41.388890000000004</v>
      </c>
      <c r="I800" s="487" t="s">
        <v>1499</v>
      </c>
      <c r="J800" s="487" t="s">
        <v>893</v>
      </c>
    </row>
    <row r="801" spans="1:10" ht="15" x14ac:dyDescent="0.2">
      <c r="A801" s="486" t="s">
        <v>892</v>
      </c>
      <c r="B801" s="487" t="s">
        <v>891</v>
      </c>
      <c r="C801" s="488" t="s">
        <v>3869</v>
      </c>
      <c r="D801" s="489" t="s">
        <v>3870</v>
      </c>
      <c r="E801" s="487" t="s">
        <v>3871</v>
      </c>
      <c r="F801" s="490">
        <v>17000</v>
      </c>
      <c r="G801" s="489">
        <v>298.3</v>
      </c>
      <c r="H801" s="489">
        <v>56.989609999999999</v>
      </c>
      <c r="I801" s="487" t="s">
        <v>1499</v>
      </c>
      <c r="J801" s="487" t="s">
        <v>893</v>
      </c>
    </row>
    <row r="802" spans="1:10" ht="15" x14ac:dyDescent="0.2">
      <c r="A802" s="486" t="s">
        <v>892</v>
      </c>
      <c r="B802" s="487" t="s">
        <v>891</v>
      </c>
      <c r="C802" s="488" t="s">
        <v>3872</v>
      </c>
      <c r="D802" s="489" t="s">
        <v>3873</v>
      </c>
      <c r="E802" s="487" t="s">
        <v>3874</v>
      </c>
      <c r="F802" s="490">
        <v>52000</v>
      </c>
      <c r="G802" s="489">
        <v>544</v>
      </c>
      <c r="H802" s="489">
        <v>95.588239999999999</v>
      </c>
      <c r="I802" s="487" t="s">
        <v>1499</v>
      </c>
      <c r="J802" s="487" t="s">
        <v>893</v>
      </c>
    </row>
    <row r="803" spans="1:10" ht="15" x14ac:dyDescent="0.2">
      <c r="A803" s="486" t="s">
        <v>892</v>
      </c>
      <c r="B803" s="487" t="s">
        <v>891</v>
      </c>
      <c r="C803" s="488" t="s">
        <v>3875</v>
      </c>
      <c r="D803" s="489" t="s">
        <v>3876</v>
      </c>
      <c r="E803" s="487" t="s">
        <v>3877</v>
      </c>
      <c r="F803" s="490">
        <v>204930</v>
      </c>
      <c r="G803" s="489">
        <v>1336.9</v>
      </c>
      <c r="H803" s="489">
        <v>153.28746000000001</v>
      </c>
      <c r="I803" s="487" t="s">
        <v>1499</v>
      </c>
      <c r="J803" s="487" t="s">
        <v>893</v>
      </c>
    </row>
    <row r="804" spans="1:10" ht="15" x14ac:dyDescent="0.2">
      <c r="A804" s="486" t="s">
        <v>892</v>
      </c>
      <c r="B804" s="487" t="s">
        <v>891</v>
      </c>
      <c r="C804" s="488" t="s">
        <v>3878</v>
      </c>
      <c r="D804" s="489" t="s">
        <v>3879</v>
      </c>
      <c r="E804" s="487" t="s">
        <v>3880</v>
      </c>
      <c r="F804" s="490">
        <v>43572</v>
      </c>
      <c r="G804" s="489">
        <v>355.7</v>
      </c>
      <c r="H804" s="489">
        <v>122.49648999999999</v>
      </c>
      <c r="I804" s="487" t="s">
        <v>1499</v>
      </c>
      <c r="J804" s="487" t="s">
        <v>893</v>
      </c>
    </row>
    <row r="805" spans="1:10" ht="15" x14ac:dyDescent="0.2">
      <c r="A805" s="486" t="s">
        <v>892</v>
      </c>
      <c r="B805" s="487" t="s">
        <v>891</v>
      </c>
      <c r="C805" s="488" t="s">
        <v>3881</v>
      </c>
      <c r="D805" s="489" t="s">
        <v>3882</v>
      </c>
      <c r="E805" s="487" t="s">
        <v>3883</v>
      </c>
      <c r="F805" s="490">
        <v>5000</v>
      </c>
      <c r="G805" s="489">
        <v>136.9</v>
      </c>
      <c r="H805" s="489">
        <v>36.523009999999999</v>
      </c>
      <c r="I805" s="487" t="s">
        <v>1499</v>
      </c>
      <c r="J805" s="487" t="s">
        <v>893</v>
      </c>
    </row>
    <row r="806" spans="1:10" ht="15" x14ac:dyDescent="0.2">
      <c r="A806" s="486" t="s">
        <v>892</v>
      </c>
      <c r="B806" s="487" t="s">
        <v>891</v>
      </c>
      <c r="C806" s="488" t="s">
        <v>3884</v>
      </c>
      <c r="D806" s="489" t="s">
        <v>3885</v>
      </c>
      <c r="E806" s="487" t="s">
        <v>3886</v>
      </c>
      <c r="F806" s="490">
        <v>399106</v>
      </c>
      <c r="G806" s="489">
        <v>3161.1</v>
      </c>
      <c r="H806" s="489">
        <v>126.25542</v>
      </c>
      <c r="I806" s="487" t="s">
        <v>1499</v>
      </c>
      <c r="J806" s="487" t="s">
        <v>893</v>
      </c>
    </row>
    <row r="807" spans="1:10" ht="15" x14ac:dyDescent="0.2">
      <c r="A807" s="486" t="s">
        <v>892</v>
      </c>
      <c r="B807" s="487" t="s">
        <v>891</v>
      </c>
      <c r="C807" s="488" t="s">
        <v>3887</v>
      </c>
      <c r="D807" s="489" t="s">
        <v>3888</v>
      </c>
      <c r="E807" s="487" t="s">
        <v>3889</v>
      </c>
      <c r="F807" s="490">
        <v>17000</v>
      </c>
      <c r="G807" s="489">
        <v>235.9</v>
      </c>
      <c r="H807" s="489">
        <v>72.064430000000002</v>
      </c>
      <c r="I807" s="487" t="s">
        <v>1499</v>
      </c>
      <c r="J807" s="487" t="s">
        <v>893</v>
      </c>
    </row>
    <row r="808" spans="1:10" ht="15" x14ac:dyDescent="0.2">
      <c r="A808" s="486" t="s">
        <v>892</v>
      </c>
      <c r="B808" s="487" t="s">
        <v>891</v>
      </c>
      <c r="C808" s="488" t="s">
        <v>3890</v>
      </c>
      <c r="D808" s="489" t="s">
        <v>3891</v>
      </c>
      <c r="E808" s="487" t="s">
        <v>3892</v>
      </c>
      <c r="F808" s="490">
        <v>11837</v>
      </c>
      <c r="G808" s="489">
        <v>126.4</v>
      </c>
      <c r="H808" s="489">
        <v>93.647149999999996</v>
      </c>
      <c r="I808" s="487" t="s">
        <v>1499</v>
      </c>
      <c r="J808" s="487" t="s">
        <v>893</v>
      </c>
    </row>
    <row r="809" spans="1:10" ht="15" x14ac:dyDescent="0.2">
      <c r="A809" s="486" t="s">
        <v>892</v>
      </c>
      <c r="B809" s="487" t="s">
        <v>891</v>
      </c>
      <c r="C809" s="488" t="s">
        <v>3893</v>
      </c>
      <c r="D809" s="489" t="s">
        <v>3894</v>
      </c>
      <c r="E809" s="487" t="s">
        <v>3895</v>
      </c>
      <c r="F809" s="490">
        <v>43000</v>
      </c>
      <c r="G809" s="489">
        <v>494.9</v>
      </c>
      <c r="H809" s="489">
        <v>86.886240000000001</v>
      </c>
      <c r="I809" s="487" t="s">
        <v>1499</v>
      </c>
      <c r="J809" s="487" t="s">
        <v>893</v>
      </c>
    </row>
    <row r="810" spans="1:10" ht="15" x14ac:dyDescent="0.2">
      <c r="A810" s="486" t="s">
        <v>892</v>
      </c>
      <c r="B810" s="487" t="s">
        <v>891</v>
      </c>
      <c r="C810" s="488" t="s">
        <v>3896</v>
      </c>
      <c r="D810" s="489" t="s">
        <v>3897</v>
      </c>
      <c r="E810" s="487" t="s">
        <v>3898</v>
      </c>
      <c r="F810" s="490">
        <v>40000</v>
      </c>
      <c r="G810" s="489">
        <v>367.4</v>
      </c>
      <c r="H810" s="489">
        <v>108.87316</v>
      </c>
      <c r="I810" s="487" t="s">
        <v>1499</v>
      </c>
      <c r="J810" s="487" t="s">
        <v>893</v>
      </c>
    </row>
    <row r="811" spans="1:10" ht="15" x14ac:dyDescent="0.2">
      <c r="A811" s="486" t="s">
        <v>892</v>
      </c>
      <c r="B811" s="487" t="s">
        <v>891</v>
      </c>
      <c r="C811" s="488" t="s">
        <v>3899</v>
      </c>
      <c r="D811" s="489" t="s">
        <v>3900</v>
      </c>
      <c r="E811" s="487" t="s">
        <v>3901</v>
      </c>
      <c r="F811" s="490">
        <v>23000</v>
      </c>
      <c r="G811" s="489">
        <v>335.6</v>
      </c>
      <c r="H811" s="489">
        <v>68.533969999999997</v>
      </c>
      <c r="I811" s="487" t="s">
        <v>1499</v>
      </c>
      <c r="J811" s="487" t="s">
        <v>893</v>
      </c>
    </row>
    <row r="812" spans="1:10" ht="15" x14ac:dyDescent="0.2">
      <c r="A812" s="486" t="s">
        <v>892</v>
      </c>
      <c r="B812" s="487" t="s">
        <v>891</v>
      </c>
      <c r="C812" s="488" t="s">
        <v>3902</v>
      </c>
      <c r="D812" s="489" t="s">
        <v>3903</v>
      </c>
      <c r="E812" s="487" t="s">
        <v>3904</v>
      </c>
      <c r="F812" s="490">
        <v>0</v>
      </c>
      <c r="G812" s="489">
        <v>23.7</v>
      </c>
      <c r="H812" s="489">
        <v>0</v>
      </c>
      <c r="I812" s="487" t="s">
        <v>1593</v>
      </c>
      <c r="J812" s="487" t="s">
        <v>893</v>
      </c>
    </row>
    <row r="813" spans="1:10" ht="15" x14ac:dyDescent="0.2">
      <c r="A813" s="486" t="s">
        <v>892</v>
      </c>
      <c r="B813" s="487" t="s">
        <v>891</v>
      </c>
      <c r="C813" s="488" t="s">
        <v>3905</v>
      </c>
      <c r="D813" s="489" t="s">
        <v>3906</v>
      </c>
      <c r="E813" s="487" t="s">
        <v>3907</v>
      </c>
      <c r="F813" s="490">
        <v>32093</v>
      </c>
      <c r="G813" s="489">
        <v>245.4</v>
      </c>
      <c r="H813" s="489">
        <v>130.77832000000001</v>
      </c>
      <c r="I813" s="487" t="s">
        <v>1499</v>
      </c>
      <c r="J813" s="487" t="s">
        <v>893</v>
      </c>
    </row>
    <row r="814" spans="1:10" ht="15" x14ac:dyDescent="0.2">
      <c r="A814" s="486" t="s">
        <v>892</v>
      </c>
      <c r="B814" s="487" t="s">
        <v>891</v>
      </c>
      <c r="C814" s="488" t="s">
        <v>3908</v>
      </c>
      <c r="D814" s="489" t="s">
        <v>3909</v>
      </c>
      <c r="E814" s="487" t="s">
        <v>3910</v>
      </c>
      <c r="F814" s="490">
        <v>1000</v>
      </c>
      <c r="G814" s="489">
        <v>53.4</v>
      </c>
      <c r="H814" s="489">
        <v>18.726590000000002</v>
      </c>
      <c r="I814" s="487" t="s">
        <v>1499</v>
      </c>
      <c r="J814" s="487" t="s">
        <v>893</v>
      </c>
    </row>
    <row r="815" spans="1:10" ht="15" x14ac:dyDescent="0.2">
      <c r="A815" s="486" t="s">
        <v>892</v>
      </c>
      <c r="B815" s="487" t="s">
        <v>891</v>
      </c>
      <c r="C815" s="488" t="s">
        <v>3911</v>
      </c>
      <c r="D815" s="489" t="s">
        <v>3912</v>
      </c>
      <c r="E815" s="487" t="s">
        <v>3913</v>
      </c>
      <c r="F815" s="490">
        <v>34606</v>
      </c>
      <c r="G815" s="489">
        <v>340.7</v>
      </c>
      <c r="H815" s="489">
        <v>101.57323</v>
      </c>
      <c r="I815" s="487" t="s">
        <v>1499</v>
      </c>
      <c r="J815" s="487" t="s">
        <v>893</v>
      </c>
    </row>
    <row r="816" spans="1:10" ht="15" x14ac:dyDescent="0.2">
      <c r="A816" s="486" t="s">
        <v>892</v>
      </c>
      <c r="B816" s="487" t="s">
        <v>891</v>
      </c>
      <c r="C816" s="488" t="s">
        <v>3914</v>
      </c>
      <c r="D816" s="489" t="s">
        <v>3915</v>
      </c>
      <c r="E816" s="487" t="s">
        <v>3916</v>
      </c>
      <c r="F816" s="490">
        <v>140000</v>
      </c>
      <c r="G816" s="489">
        <v>1298.3</v>
      </c>
      <c r="H816" s="489">
        <v>107.83332</v>
      </c>
      <c r="I816" s="487" t="s">
        <v>1499</v>
      </c>
      <c r="J816" s="487" t="s">
        <v>893</v>
      </c>
    </row>
    <row r="817" spans="1:10" ht="15" x14ac:dyDescent="0.2">
      <c r="A817" s="486" t="s">
        <v>892</v>
      </c>
      <c r="B817" s="487" t="s">
        <v>891</v>
      </c>
      <c r="C817" s="488" t="s">
        <v>3917</v>
      </c>
      <c r="D817" s="489" t="s">
        <v>3918</v>
      </c>
      <c r="E817" s="487" t="s">
        <v>3919</v>
      </c>
      <c r="F817" s="490">
        <v>39826</v>
      </c>
      <c r="G817" s="489">
        <v>453.3</v>
      </c>
      <c r="H817" s="489">
        <v>87.857929999999996</v>
      </c>
      <c r="I817" s="487" t="s">
        <v>1499</v>
      </c>
      <c r="J817" s="487" t="s">
        <v>893</v>
      </c>
    </row>
    <row r="818" spans="1:10" ht="15" x14ac:dyDescent="0.2">
      <c r="A818" s="486" t="s">
        <v>892</v>
      </c>
      <c r="B818" s="487" t="s">
        <v>891</v>
      </c>
      <c r="C818" s="488" t="s">
        <v>3920</v>
      </c>
      <c r="D818" s="489" t="s">
        <v>3921</v>
      </c>
      <c r="E818" s="487" t="s">
        <v>3922</v>
      </c>
      <c r="F818" s="490">
        <v>15250</v>
      </c>
      <c r="G818" s="489">
        <v>250</v>
      </c>
      <c r="H818" s="489">
        <v>61</v>
      </c>
      <c r="I818" s="487" t="s">
        <v>1499</v>
      </c>
      <c r="J818" s="487" t="s">
        <v>893</v>
      </c>
    </row>
    <row r="819" spans="1:10" ht="15" x14ac:dyDescent="0.2">
      <c r="A819" s="486" t="s">
        <v>892</v>
      </c>
      <c r="B819" s="487" t="s">
        <v>891</v>
      </c>
      <c r="C819" s="488" t="s">
        <v>3923</v>
      </c>
      <c r="D819" s="489" t="s">
        <v>3924</v>
      </c>
      <c r="E819" s="487" t="s">
        <v>3925</v>
      </c>
      <c r="F819" s="490">
        <v>141203</v>
      </c>
      <c r="G819" s="489">
        <v>1101.5999999999999</v>
      </c>
      <c r="H819" s="489">
        <v>128.17992000000001</v>
      </c>
      <c r="I819" s="487" t="s">
        <v>1499</v>
      </c>
      <c r="J819" s="487" t="s">
        <v>893</v>
      </c>
    </row>
    <row r="820" spans="1:10" ht="15" x14ac:dyDescent="0.2">
      <c r="A820" s="486" t="s">
        <v>892</v>
      </c>
      <c r="B820" s="487" t="s">
        <v>891</v>
      </c>
      <c r="C820" s="488" t="s">
        <v>3926</v>
      </c>
      <c r="D820" s="489" t="s">
        <v>3927</v>
      </c>
      <c r="E820" s="487" t="s">
        <v>3928</v>
      </c>
      <c r="F820" s="490">
        <v>113000</v>
      </c>
      <c r="G820" s="489">
        <v>843.8</v>
      </c>
      <c r="H820" s="489">
        <v>133.91799</v>
      </c>
      <c r="I820" s="487" t="s">
        <v>1499</v>
      </c>
      <c r="J820" s="487" t="s">
        <v>893</v>
      </c>
    </row>
    <row r="821" spans="1:10" ht="15" x14ac:dyDescent="0.2">
      <c r="A821" s="486" t="s">
        <v>892</v>
      </c>
      <c r="B821" s="487" t="s">
        <v>891</v>
      </c>
      <c r="C821" s="488" t="s">
        <v>3929</v>
      </c>
      <c r="D821" s="489" t="s">
        <v>3930</v>
      </c>
      <c r="E821" s="487" t="s">
        <v>3931</v>
      </c>
      <c r="F821" s="490">
        <v>2117046</v>
      </c>
      <c r="G821" s="489">
        <v>7726.5</v>
      </c>
      <c r="H821" s="489">
        <v>273.99806000000001</v>
      </c>
      <c r="I821" s="487" t="s">
        <v>1499</v>
      </c>
      <c r="J821" s="487" t="s">
        <v>893</v>
      </c>
    </row>
    <row r="822" spans="1:10" ht="15" x14ac:dyDescent="0.2">
      <c r="A822" s="486" t="s">
        <v>892</v>
      </c>
      <c r="B822" s="487" t="s">
        <v>891</v>
      </c>
      <c r="C822" s="488" t="s">
        <v>3932</v>
      </c>
      <c r="D822" s="489" t="s">
        <v>3933</v>
      </c>
      <c r="E822" s="487" t="s">
        <v>3934</v>
      </c>
      <c r="F822" s="490">
        <v>75000</v>
      </c>
      <c r="G822" s="489">
        <v>617.79999999999995</v>
      </c>
      <c r="H822" s="489">
        <v>121.39851</v>
      </c>
      <c r="I822" s="487" t="s">
        <v>1499</v>
      </c>
      <c r="J822" s="487" t="s">
        <v>893</v>
      </c>
    </row>
    <row r="823" spans="1:10" ht="15" x14ac:dyDescent="0.2">
      <c r="A823" s="486" t="s">
        <v>892</v>
      </c>
      <c r="B823" s="487" t="s">
        <v>891</v>
      </c>
      <c r="C823" s="488" t="s">
        <v>3935</v>
      </c>
      <c r="D823" s="489" t="s">
        <v>3936</v>
      </c>
      <c r="E823" s="487" t="s">
        <v>3937</v>
      </c>
      <c r="F823" s="490">
        <v>8250</v>
      </c>
      <c r="G823" s="489">
        <v>81.5</v>
      </c>
      <c r="H823" s="489">
        <v>101.22699</v>
      </c>
      <c r="I823" s="487" t="s">
        <v>1499</v>
      </c>
      <c r="J823" s="487" t="s">
        <v>893</v>
      </c>
    </row>
    <row r="824" spans="1:10" ht="15" x14ac:dyDescent="0.2">
      <c r="A824" s="486" t="s">
        <v>892</v>
      </c>
      <c r="B824" s="487" t="s">
        <v>891</v>
      </c>
      <c r="C824" s="488" t="s">
        <v>3938</v>
      </c>
      <c r="D824" s="489" t="s">
        <v>3939</v>
      </c>
      <c r="E824" s="487" t="s">
        <v>3940</v>
      </c>
      <c r="F824" s="490">
        <v>12000</v>
      </c>
      <c r="G824" s="489">
        <v>79.400000000000006</v>
      </c>
      <c r="H824" s="489">
        <v>151.1335</v>
      </c>
      <c r="I824" s="487" t="s">
        <v>1499</v>
      </c>
      <c r="J824" s="487" t="s">
        <v>893</v>
      </c>
    </row>
    <row r="825" spans="1:10" ht="15" x14ac:dyDescent="0.2">
      <c r="A825" s="486" t="s">
        <v>892</v>
      </c>
      <c r="B825" s="487" t="s">
        <v>891</v>
      </c>
      <c r="C825" s="488" t="s">
        <v>3941</v>
      </c>
      <c r="D825" s="489" t="s">
        <v>3942</v>
      </c>
      <c r="E825" s="487" t="s">
        <v>3943</v>
      </c>
      <c r="F825" s="490">
        <v>213978</v>
      </c>
      <c r="G825" s="489">
        <v>1738.5</v>
      </c>
      <c r="H825" s="489">
        <v>123.08197</v>
      </c>
      <c r="I825" s="487" t="s">
        <v>1499</v>
      </c>
      <c r="J825" s="487" t="s">
        <v>893</v>
      </c>
    </row>
    <row r="826" spans="1:10" ht="15" x14ac:dyDescent="0.2">
      <c r="A826" s="486" t="s">
        <v>892</v>
      </c>
      <c r="B826" s="487" t="s">
        <v>891</v>
      </c>
      <c r="C826" s="488" t="s">
        <v>3944</v>
      </c>
      <c r="D826" s="489" t="s">
        <v>3945</v>
      </c>
      <c r="E826" s="487" t="s">
        <v>3946</v>
      </c>
      <c r="F826" s="490">
        <v>0</v>
      </c>
      <c r="G826" s="489">
        <v>12.2</v>
      </c>
      <c r="H826" s="489">
        <v>0</v>
      </c>
      <c r="I826" s="487" t="s">
        <v>1593</v>
      </c>
      <c r="J826" s="487" t="s">
        <v>893</v>
      </c>
    </row>
    <row r="827" spans="1:10" ht="15" x14ac:dyDescent="0.2">
      <c r="A827" s="486" t="s">
        <v>892</v>
      </c>
      <c r="B827" s="487" t="s">
        <v>891</v>
      </c>
      <c r="C827" s="488" t="s">
        <v>3947</v>
      </c>
      <c r="D827" s="489" t="s">
        <v>3948</v>
      </c>
      <c r="E827" s="487" t="s">
        <v>3949</v>
      </c>
      <c r="F827" s="490">
        <v>61095</v>
      </c>
      <c r="G827" s="489">
        <v>538.79999999999995</v>
      </c>
      <c r="H827" s="489">
        <v>113.39087000000001</v>
      </c>
      <c r="I827" s="487" t="s">
        <v>1499</v>
      </c>
      <c r="J827" s="487" t="s">
        <v>893</v>
      </c>
    </row>
    <row r="828" spans="1:10" ht="15" x14ac:dyDescent="0.2">
      <c r="A828" s="486" t="s">
        <v>892</v>
      </c>
      <c r="B828" s="487" t="s">
        <v>891</v>
      </c>
      <c r="C828" s="488" t="s">
        <v>3950</v>
      </c>
      <c r="D828" s="489" t="s">
        <v>3951</v>
      </c>
      <c r="E828" s="487" t="s">
        <v>3952</v>
      </c>
      <c r="F828" s="490">
        <v>7550</v>
      </c>
      <c r="G828" s="489">
        <v>103.7</v>
      </c>
      <c r="H828" s="489">
        <v>72.806169999999995</v>
      </c>
      <c r="I828" s="487" t="s">
        <v>1499</v>
      </c>
      <c r="J828" s="487" t="s">
        <v>893</v>
      </c>
    </row>
    <row r="829" spans="1:10" ht="15" x14ac:dyDescent="0.2">
      <c r="A829" s="486" t="s">
        <v>892</v>
      </c>
      <c r="B829" s="487" t="s">
        <v>891</v>
      </c>
      <c r="C829" s="488" t="s">
        <v>3953</v>
      </c>
      <c r="D829" s="489" t="s">
        <v>3954</v>
      </c>
      <c r="E829" s="487" t="s">
        <v>3955</v>
      </c>
      <c r="F829" s="490">
        <v>6400</v>
      </c>
      <c r="G829" s="489">
        <v>106.5</v>
      </c>
      <c r="H829" s="489">
        <v>60.093899999999998</v>
      </c>
      <c r="I829" s="487" t="s">
        <v>1499</v>
      </c>
      <c r="J829" s="487" t="s">
        <v>893</v>
      </c>
    </row>
    <row r="830" spans="1:10" ht="15" x14ac:dyDescent="0.2">
      <c r="A830" s="486" t="s">
        <v>892</v>
      </c>
      <c r="B830" s="487" t="s">
        <v>891</v>
      </c>
      <c r="C830" s="488" t="s">
        <v>3956</v>
      </c>
      <c r="D830" s="489" t="s">
        <v>3957</v>
      </c>
      <c r="E830" s="487" t="s">
        <v>3958</v>
      </c>
      <c r="F830" s="490">
        <v>22791</v>
      </c>
      <c r="G830" s="489">
        <v>256.8</v>
      </c>
      <c r="H830" s="489">
        <v>88.75</v>
      </c>
      <c r="I830" s="487" t="s">
        <v>1499</v>
      </c>
      <c r="J830" s="487" t="s">
        <v>893</v>
      </c>
    </row>
    <row r="831" spans="1:10" ht="15" x14ac:dyDescent="0.2">
      <c r="A831" s="486" t="s">
        <v>892</v>
      </c>
      <c r="B831" s="487" t="s">
        <v>891</v>
      </c>
      <c r="C831" s="488" t="s">
        <v>3959</v>
      </c>
      <c r="D831" s="489" t="s">
        <v>3960</v>
      </c>
      <c r="E831" s="487" t="s">
        <v>3961</v>
      </c>
      <c r="F831" s="490">
        <v>14000</v>
      </c>
      <c r="G831" s="489">
        <v>204.7</v>
      </c>
      <c r="H831" s="489">
        <v>68.392769999999999</v>
      </c>
      <c r="I831" s="487" t="s">
        <v>1499</v>
      </c>
      <c r="J831" s="487" t="s">
        <v>893</v>
      </c>
    </row>
    <row r="832" spans="1:10" ht="15" x14ac:dyDescent="0.2">
      <c r="A832" s="486" t="s">
        <v>892</v>
      </c>
      <c r="B832" s="487" t="s">
        <v>891</v>
      </c>
      <c r="C832" s="488" t="s">
        <v>3962</v>
      </c>
      <c r="D832" s="489" t="s">
        <v>3963</v>
      </c>
      <c r="E832" s="487" t="s">
        <v>3964</v>
      </c>
      <c r="F832" s="490">
        <v>373000</v>
      </c>
      <c r="G832" s="489">
        <v>3247.8</v>
      </c>
      <c r="H832" s="489">
        <v>114.84697</v>
      </c>
      <c r="I832" s="487" t="s">
        <v>1499</v>
      </c>
      <c r="J832" s="487" t="s">
        <v>893</v>
      </c>
    </row>
    <row r="833" spans="1:10" ht="15" x14ac:dyDescent="0.2">
      <c r="A833" s="486" t="s">
        <v>892</v>
      </c>
      <c r="B833" s="487" t="s">
        <v>891</v>
      </c>
      <c r="C833" s="488" t="s">
        <v>3965</v>
      </c>
      <c r="D833" s="489" t="s">
        <v>3966</v>
      </c>
      <c r="E833" s="487" t="s">
        <v>3967</v>
      </c>
      <c r="F833" s="490">
        <v>186037</v>
      </c>
      <c r="G833" s="489">
        <v>2092.6</v>
      </c>
      <c r="H833" s="489">
        <v>88.902320000000003</v>
      </c>
      <c r="I833" s="487" t="s">
        <v>1499</v>
      </c>
      <c r="J833" s="487" t="s">
        <v>893</v>
      </c>
    </row>
    <row r="834" spans="1:10" ht="15" x14ac:dyDescent="0.2">
      <c r="A834" s="486" t="s">
        <v>892</v>
      </c>
      <c r="B834" s="487" t="s">
        <v>891</v>
      </c>
      <c r="C834" s="488" t="s">
        <v>3968</v>
      </c>
      <c r="D834" s="489" t="s">
        <v>3969</v>
      </c>
      <c r="E834" s="487" t="s">
        <v>3970</v>
      </c>
      <c r="F834" s="490">
        <v>11000</v>
      </c>
      <c r="G834" s="489">
        <v>234.2</v>
      </c>
      <c r="H834" s="489">
        <v>46.968400000000003</v>
      </c>
      <c r="I834" s="487" t="s">
        <v>1499</v>
      </c>
      <c r="J834" s="487" t="s">
        <v>893</v>
      </c>
    </row>
    <row r="835" spans="1:10" ht="15" x14ac:dyDescent="0.2">
      <c r="A835" s="486" t="s">
        <v>892</v>
      </c>
      <c r="B835" s="487" t="s">
        <v>891</v>
      </c>
      <c r="C835" s="488" t="s">
        <v>3971</v>
      </c>
      <c r="D835" s="489" t="s">
        <v>3972</v>
      </c>
      <c r="E835" s="487" t="s">
        <v>3973</v>
      </c>
      <c r="F835" s="490">
        <v>271089</v>
      </c>
      <c r="G835" s="489">
        <v>1425.4</v>
      </c>
      <c r="H835" s="489">
        <v>190.18450999999999</v>
      </c>
      <c r="I835" s="487" t="s">
        <v>1499</v>
      </c>
      <c r="J835" s="487" t="s">
        <v>893</v>
      </c>
    </row>
    <row r="836" spans="1:10" ht="15" x14ac:dyDescent="0.2">
      <c r="A836" s="486" t="s">
        <v>892</v>
      </c>
      <c r="B836" s="487" t="s">
        <v>891</v>
      </c>
      <c r="C836" s="488" t="s">
        <v>3974</v>
      </c>
      <c r="D836" s="489" t="s">
        <v>3975</v>
      </c>
      <c r="E836" s="487" t="s">
        <v>3976</v>
      </c>
      <c r="F836" s="490">
        <v>16185</v>
      </c>
      <c r="G836" s="489">
        <v>158.9</v>
      </c>
      <c r="H836" s="489">
        <v>101.85651</v>
      </c>
      <c r="I836" s="487" t="s">
        <v>1499</v>
      </c>
      <c r="J836" s="487" t="s">
        <v>893</v>
      </c>
    </row>
    <row r="837" spans="1:10" ht="15" x14ac:dyDescent="0.2">
      <c r="A837" s="486" t="s">
        <v>892</v>
      </c>
      <c r="B837" s="487" t="s">
        <v>891</v>
      </c>
      <c r="C837" s="488" t="s">
        <v>3977</v>
      </c>
      <c r="D837" s="489" t="s">
        <v>3978</v>
      </c>
      <c r="E837" s="487" t="s">
        <v>3979</v>
      </c>
      <c r="F837" s="490">
        <v>11670</v>
      </c>
      <c r="G837" s="489">
        <v>260.8</v>
      </c>
      <c r="H837" s="489">
        <v>44.746929999999999</v>
      </c>
      <c r="I837" s="487" t="s">
        <v>1499</v>
      </c>
      <c r="J837" s="487" t="s">
        <v>893</v>
      </c>
    </row>
    <row r="838" spans="1:10" ht="15" x14ac:dyDescent="0.2">
      <c r="A838" s="486" t="s">
        <v>892</v>
      </c>
      <c r="B838" s="487" t="s">
        <v>891</v>
      </c>
      <c r="C838" s="488" t="s">
        <v>3980</v>
      </c>
      <c r="D838" s="489" t="s">
        <v>3981</v>
      </c>
      <c r="E838" s="487" t="s">
        <v>3982</v>
      </c>
      <c r="F838" s="490">
        <v>1129514</v>
      </c>
      <c r="G838" s="489">
        <v>6070.8</v>
      </c>
      <c r="H838" s="489">
        <v>186.05686</v>
      </c>
      <c r="I838" s="487" t="s">
        <v>1499</v>
      </c>
      <c r="J838" s="487" t="s">
        <v>893</v>
      </c>
    </row>
    <row r="839" spans="1:10" ht="15" x14ac:dyDescent="0.2">
      <c r="A839" s="486" t="s">
        <v>892</v>
      </c>
      <c r="B839" s="487" t="s">
        <v>891</v>
      </c>
      <c r="C839" s="488" t="s">
        <v>3983</v>
      </c>
      <c r="D839" s="489" t="s">
        <v>3984</v>
      </c>
      <c r="E839" s="487" t="s">
        <v>3985</v>
      </c>
      <c r="F839" s="490">
        <v>2088330</v>
      </c>
      <c r="G839" s="489">
        <v>11694.4</v>
      </c>
      <c r="H839" s="489">
        <v>178.57522</v>
      </c>
      <c r="I839" s="487" t="s">
        <v>1499</v>
      </c>
      <c r="J839" s="487" t="s">
        <v>893</v>
      </c>
    </row>
    <row r="840" spans="1:10" ht="15" x14ac:dyDescent="0.2">
      <c r="A840" s="486" t="s">
        <v>892</v>
      </c>
      <c r="B840" s="487" t="s">
        <v>891</v>
      </c>
      <c r="C840" s="488" t="s">
        <v>3986</v>
      </c>
      <c r="D840" s="489" t="s">
        <v>3987</v>
      </c>
      <c r="E840" s="487" t="s">
        <v>3988</v>
      </c>
      <c r="F840" s="490">
        <v>123194</v>
      </c>
      <c r="G840" s="489">
        <v>822.3</v>
      </c>
      <c r="H840" s="489">
        <v>149.81637000000001</v>
      </c>
      <c r="I840" s="487" t="s">
        <v>1499</v>
      </c>
      <c r="J840" s="487" t="s">
        <v>893</v>
      </c>
    </row>
    <row r="841" spans="1:10" ht="15" x14ac:dyDescent="0.2">
      <c r="A841" s="486" t="s">
        <v>892</v>
      </c>
      <c r="B841" s="487" t="s">
        <v>891</v>
      </c>
      <c r="C841" s="488" t="s">
        <v>3989</v>
      </c>
      <c r="D841" s="489" t="s">
        <v>3990</v>
      </c>
      <c r="E841" s="487" t="s">
        <v>3991</v>
      </c>
      <c r="F841" s="490">
        <v>4625</v>
      </c>
      <c r="G841" s="489">
        <v>73.599999999999994</v>
      </c>
      <c r="H841" s="489">
        <v>62.839669999999998</v>
      </c>
      <c r="I841" s="487" t="s">
        <v>1499</v>
      </c>
      <c r="J841" s="487" t="s">
        <v>893</v>
      </c>
    </row>
    <row r="842" spans="1:10" ht="15" x14ac:dyDescent="0.2">
      <c r="A842" s="486" t="s">
        <v>892</v>
      </c>
      <c r="B842" s="487" t="s">
        <v>891</v>
      </c>
      <c r="C842" s="488" t="s">
        <v>3992</v>
      </c>
      <c r="D842" s="489" t="s">
        <v>3993</v>
      </c>
      <c r="E842" s="487" t="s">
        <v>3994</v>
      </c>
      <c r="F842" s="490">
        <v>64127</v>
      </c>
      <c r="G842" s="489">
        <v>1448.4</v>
      </c>
      <c r="H842" s="489">
        <v>44.274369999999998</v>
      </c>
      <c r="I842" s="487" t="s">
        <v>1499</v>
      </c>
      <c r="J842" s="487" t="s">
        <v>893</v>
      </c>
    </row>
    <row r="843" spans="1:10" ht="15" x14ac:dyDescent="0.2">
      <c r="A843" s="486" t="s">
        <v>892</v>
      </c>
      <c r="B843" s="487" t="s">
        <v>891</v>
      </c>
      <c r="C843" s="488" t="s">
        <v>3995</v>
      </c>
      <c r="D843" s="489" t="s">
        <v>3996</v>
      </c>
      <c r="E843" s="487" t="s">
        <v>3997</v>
      </c>
      <c r="F843" s="490">
        <v>11000</v>
      </c>
      <c r="G843" s="489">
        <v>129</v>
      </c>
      <c r="H843" s="489">
        <v>85.271320000000003</v>
      </c>
      <c r="I843" s="487" t="s">
        <v>1499</v>
      </c>
      <c r="J843" s="487" t="s">
        <v>893</v>
      </c>
    </row>
    <row r="844" spans="1:10" ht="15" x14ac:dyDescent="0.2">
      <c r="A844" s="486" t="s">
        <v>892</v>
      </c>
      <c r="B844" s="487" t="s">
        <v>891</v>
      </c>
      <c r="C844" s="488" t="s">
        <v>3998</v>
      </c>
      <c r="D844" s="489" t="s">
        <v>3999</v>
      </c>
      <c r="E844" s="487" t="s">
        <v>4000</v>
      </c>
      <c r="F844" s="490">
        <v>1260</v>
      </c>
      <c r="G844" s="489">
        <v>35.9</v>
      </c>
      <c r="H844" s="489">
        <v>35.097490000000001</v>
      </c>
      <c r="I844" s="487" t="s">
        <v>1499</v>
      </c>
      <c r="J844" s="487" t="s">
        <v>893</v>
      </c>
    </row>
    <row r="845" spans="1:10" ht="15" x14ac:dyDescent="0.2">
      <c r="A845" s="486" t="s">
        <v>892</v>
      </c>
      <c r="B845" s="487" t="s">
        <v>891</v>
      </c>
      <c r="C845" s="488" t="s">
        <v>4001</v>
      </c>
      <c r="D845" s="489" t="s">
        <v>4002</v>
      </c>
      <c r="E845" s="487" t="s">
        <v>4003</v>
      </c>
      <c r="F845" s="490">
        <v>10752</v>
      </c>
      <c r="G845" s="489">
        <v>91.3</v>
      </c>
      <c r="H845" s="489">
        <v>117.76561</v>
      </c>
      <c r="I845" s="487" t="s">
        <v>1499</v>
      </c>
      <c r="J845" s="487" t="s">
        <v>893</v>
      </c>
    </row>
    <row r="846" spans="1:10" ht="15" x14ac:dyDescent="0.2">
      <c r="A846" s="486" t="s">
        <v>892</v>
      </c>
      <c r="B846" s="487" t="s">
        <v>891</v>
      </c>
      <c r="C846" s="488" t="s">
        <v>4004</v>
      </c>
      <c r="D846" s="489" t="s">
        <v>4005</v>
      </c>
      <c r="E846" s="487" t="s">
        <v>4006</v>
      </c>
      <c r="F846" s="490">
        <v>33500</v>
      </c>
      <c r="G846" s="489">
        <v>460</v>
      </c>
      <c r="H846" s="489">
        <v>72.826089999999994</v>
      </c>
      <c r="I846" s="487" t="s">
        <v>1499</v>
      </c>
      <c r="J846" s="487" t="s">
        <v>893</v>
      </c>
    </row>
    <row r="847" spans="1:10" ht="15" x14ac:dyDescent="0.2">
      <c r="A847" s="486" t="s">
        <v>892</v>
      </c>
      <c r="B847" s="487" t="s">
        <v>891</v>
      </c>
      <c r="C847" s="488" t="s">
        <v>4007</v>
      </c>
      <c r="D847" s="489" t="s">
        <v>4008</v>
      </c>
      <c r="E847" s="487" t="s">
        <v>4009</v>
      </c>
      <c r="F847" s="490">
        <v>235050</v>
      </c>
      <c r="G847" s="489">
        <v>1592.8</v>
      </c>
      <c r="H847" s="489">
        <v>147.57032000000001</v>
      </c>
      <c r="I847" s="487" t="s">
        <v>1499</v>
      </c>
      <c r="J847" s="487" t="s">
        <v>893</v>
      </c>
    </row>
    <row r="848" spans="1:10" ht="15" x14ac:dyDescent="0.2">
      <c r="A848" s="486" t="s">
        <v>892</v>
      </c>
      <c r="B848" s="487" t="s">
        <v>891</v>
      </c>
      <c r="C848" s="488" t="s">
        <v>4010</v>
      </c>
      <c r="D848" s="489" t="s">
        <v>4011</v>
      </c>
      <c r="E848" s="487" t="s">
        <v>4012</v>
      </c>
      <c r="F848" s="490">
        <v>6600</v>
      </c>
      <c r="G848" s="489">
        <v>149.30000000000001</v>
      </c>
      <c r="H848" s="489">
        <v>44.206299999999999</v>
      </c>
      <c r="I848" s="487" t="s">
        <v>1499</v>
      </c>
      <c r="J848" s="487" t="s">
        <v>893</v>
      </c>
    </row>
    <row r="849" spans="1:10" ht="15" x14ac:dyDescent="0.2">
      <c r="A849" s="486" t="s">
        <v>892</v>
      </c>
      <c r="B849" s="487" t="s">
        <v>891</v>
      </c>
      <c r="C849" s="488" t="s">
        <v>4013</v>
      </c>
      <c r="D849" s="489" t="s">
        <v>4014</v>
      </c>
      <c r="E849" s="487" t="s">
        <v>4015</v>
      </c>
      <c r="F849" s="490">
        <v>0</v>
      </c>
      <c r="G849" s="489">
        <v>41.2</v>
      </c>
      <c r="H849" s="489">
        <v>0</v>
      </c>
      <c r="I849" s="487" t="s">
        <v>1593</v>
      </c>
      <c r="J849" s="487" t="s">
        <v>893</v>
      </c>
    </row>
    <row r="850" spans="1:10" ht="15" x14ac:dyDescent="0.2">
      <c r="A850" s="486" t="s">
        <v>892</v>
      </c>
      <c r="B850" s="487" t="s">
        <v>891</v>
      </c>
      <c r="C850" s="488" t="s">
        <v>4016</v>
      </c>
      <c r="D850" s="489" t="s">
        <v>4017</v>
      </c>
      <c r="E850" s="487" t="s">
        <v>4018</v>
      </c>
      <c r="F850" s="490">
        <v>635</v>
      </c>
      <c r="G850" s="489">
        <v>54</v>
      </c>
      <c r="H850" s="489">
        <v>11.759259999999999</v>
      </c>
      <c r="I850" s="487" t="s">
        <v>1499</v>
      </c>
      <c r="J850" s="487" t="s">
        <v>893</v>
      </c>
    </row>
    <row r="851" spans="1:10" ht="15" x14ac:dyDescent="0.2">
      <c r="A851" s="486" t="s">
        <v>892</v>
      </c>
      <c r="B851" s="487" t="s">
        <v>891</v>
      </c>
      <c r="C851" s="488" t="s">
        <v>4019</v>
      </c>
      <c r="D851" s="489" t="s">
        <v>4020</v>
      </c>
      <c r="E851" s="487" t="s">
        <v>4021</v>
      </c>
      <c r="F851" s="490">
        <v>17000</v>
      </c>
      <c r="G851" s="489">
        <v>231.2</v>
      </c>
      <c r="H851" s="489">
        <v>73.529409999999999</v>
      </c>
      <c r="I851" s="487" t="s">
        <v>1499</v>
      </c>
      <c r="J851" s="487" t="s">
        <v>893</v>
      </c>
    </row>
    <row r="852" spans="1:10" ht="15" x14ac:dyDescent="0.2">
      <c r="A852" s="486" t="s">
        <v>892</v>
      </c>
      <c r="B852" s="487" t="s">
        <v>891</v>
      </c>
      <c r="C852" s="488" t="s">
        <v>4022</v>
      </c>
      <c r="D852" s="489" t="s">
        <v>4023</v>
      </c>
      <c r="E852" s="487" t="s">
        <v>4024</v>
      </c>
      <c r="F852" s="490">
        <v>11400</v>
      </c>
      <c r="G852" s="489">
        <v>82.5</v>
      </c>
      <c r="H852" s="489">
        <v>138.18181999999999</v>
      </c>
      <c r="I852" s="487" t="s">
        <v>1499</v>
      </c>
      <c r="J852" s="487" t="s">
        <v>893</v>
      </c>
    </row>
    <row r="853" spans="1:10" ht="15" x14ac:dyDescent="0.2">
      <c r="A853" s="486" t="s">
        <v>892</v>
      </c>
      <c r="B853" s="487" t="s">
        <v>891</v>
      </c>
      <c r="C853" s="488" t="s">
        <v>4025</v>
      </c>
      <c r="D853" s="489" t="s">
        <v>4026</v>
      </c>
      <c r="E853" s="487" t="s">
        <v>4027</v>
      </c>
      <c r="F853" s="490">
        <v>6750</v>
      </c>
      <c r="G853" s="489">
        <v>155.30000000000001</v>
      </c>
      <c r="H853" s="489">
        <v>43.464260000000003</v>
      </c>
      <c r="I853" s="487" t="s">
        <v>1499</v>
      </c>
      <c r="J853" s="487" t="s">
        <v>893</v>
      </c>
    </row>
    <row r="854" spans="1:10" ht="15" x14ac:dyDescent="0.2">
      <c r="A854" s="486" t="s">
        <v>892</v>
      </c>
      <c r="B854" s="487" t="s">
        <v>891</v>
      </c>
      <c r="C854" s="488" t="s">
        <v>4028</v>
      </c>
      <c r="D854" s="489" t="s">
        <v>4029</v>
      </c>
      <c r="E854" s="487" t="s">
        <v>4030</v>
      </c>
      <c r="F854" s="490">
        <v>22500</v>
      </c>
      <c r="G854" s="489">
        <v>454.9</v>
      </c>
      <c r="H854" s="489">
        <v>49.461419999999997</v>
      </c>
      <c r="I854" s="487" t="s">
        <v>1499</v>
      </c>
      <c r="J854" s="487" t="s">
        <v>893</v>
      </c>
    </row>
    <row r="855" spans="1:10" ht="15" x14ac:dyDescent="0.2">
      <c r="A855" s="486" t="s">
        <v>892</v>
      </c>
      <c r="B855" s="487" t="s">
        <v>891</v>
      </c>
      <c r="C855" s="488" t="s">
        <v>4031</v>
      </c>
      <c r="D855" s="489" t="s">
        <v>4032</v>
      </c>
      <c r="E855" s="487" t="s">
        <v>4033</v>
      </c>
      <c r="F855" s="490">
        <v>434516</v>
      </c>
      <c r="G855" s="489">
        <v>2945.9</v>
      </c>
      <c r="H855" s="489">
        <v>147.49856</v>
      </c>
      <c r="I855" s="487" t="s">
        <v>1499</v>
      </c>
      <c r="J855" s="487" t="s">
        <v>893</v>
      </c>
    </row>
    <row r="856" spans="1:10" ht="15" x14ac:dyDescent="0.2">
      <c r="A856" s="486" t="s">
        <v>892</v>
      </c>
      <c r="B856" s="487" t="s">
        <v>891</v>
      </c>
      <c r="C856" s="488" t="s">
        <v>4034</v>
      </c>
      <c r="D856" s="489" t="s">
        <v>4035</v>
      </c>
      <c r="E856" s="487" t="s">
        <v>4036</v>
      </c>
      <c r="F856" s="490">
        <v>6000</v>
      </c>
      <c r="G856" s="489">
        <v>150.30000000000001</v>
      </c>
      <c r="H856" s="489">
        <v>39.920160000000003</v>
      </c>
      <c r="I856" s="487" t="s">
        <v>1499</v>
      </c>
      <c r="J856" s="487" t="s">
        <v>893</v>
      </c>
    </row>
    <row r="857" spans="1:10" ht="15" x14ac:dyDescent="0.2">
      <c r="A857" s="486" t="s">
        <v>832</v>
      </c>
      <c r="B857" s="487" t="s">
        <v>831</v>
      </c>
      <c r="C857" s="488" t="s">
        <v>4037</v>
      </c>
      <c r="D857" s="489" t="s">
        <v>4038</v>
      </c>
      <c r="E857" s="487" t="s">
        <v>4039</v>
      </c>
      <c r="F857" s="490">
        <v>14430</v>
      </c>
      <c r="G857" s="489">
        <v>301</v>
      </c>
      <c r="H857" s="489">
        <v>47.940199999999997</v>
      </c>
      <c r="I857" s="487" t="s">
        <v>1499</v>
      </c>
      <c r="J857" s="487" t="s">
        <v>833</v>
      </c>
    </row>
    <row r="858" spans="1:10" ht="15" x14ac:dyDescent="0.2">
      <c r="A858" s="486" t="s">
        <v>832</v>
      </c>
      <c r="B858" s="487" t="s">
        <v>831</v>
      </c>
      <c r="C858" s="488" t="s">
        <v>4040</v>
      </c>
      <c r="D858" s="489" t="s">
        <v>4041</v>
      </c>
      <c r="E858" s="487" t="s">
        <v>4042</v>
      </c>
      <c r="F858" s="490">
        <v>62433</v>
      </c>
      <c r="G858" s="489">
        <v>674</v>
      </c>
      <c r="H858" s="489">
        <v>92.630560000000003</v>
      </c>
      <c r="I858" s="487" t="s">
        <v>1499</v>
      </c>
      <c r="J858" s="487" t="s">
        <v>833</v>
      </c>
    </row>
    <row r="859" spans="1:10" ht="15" x14ac:dyDescent="0.2">
      <c r="A859" s="486" t="s">
        <v>832</v>
      </c>
      <c r="B859" s="487" t="s">
        <v>831</v>
      </c>
      <c r="C859" s="488" t="s">
        <v>4043</v>
      </c>
      <c r="D859" s="489" t="s">
        <v>4044</v>
      </c>
      <c r="E859" s="487" t="s">
        <v>4045</v>
      </c>
      <c r="F859" s="490">
        <v>40960</v>
      </c>
      <c r="G859" s="489">
        <v>546</v>
      </c>
      <c r="H859" s="489">
        <v>75.018320000000003</v>
      </c>
      <c r="I859" s="487" t="s">
        <v>1499</v>
      </c>
      <c r="J859" s="487" t="s">
        <v>833</v>
      </c>
    </row>
    <row r="860" spans="1:10" ht="15" x14ac:dyDescent="0.2">
      <c r="A860" s="486" t="s">
        <v>832</v>
      </c>
      <c r="B860" s="487" t="s">
        <v>831</v>
      </c>
      <c r="C860" s="488" t="s">
        <v>4046</v>
      </c>
      <c r="D860" s="489" t="s">
        <v>4047</v>
      </c>
      <c r="E860" s="487" t="s">
        <v>4048</v>
      </c>
      <c r="F860" s="490">
        <v>6271</v>
      </c>
      <c r="G860" s="489">
        <v>344</v>
      </c>
      <c r="H860" s="489">
        <v>18.229649999999999</v>
      </c>
      <c r="I860" s="487" t="s">
        <v>1499</v>
      </c>
      <c r="J860" s="487" t="s">
        <v>833</v>
      </c>
    </row>
    <row r="861" spans="1:10" ht="15" x14ac:dyDescent="0.2">
      <c r="A861" s="486" t="s">
        <v>832</v>
      </c>
      <c r="B861" s="487" t="s">
        <v>831</v>
      </c>
      <c r="C861" s="488" t="s">
        <v>4049</v>
      </c>
      <c r="D861" s="489" t="s">
        <v>4050</v>
      </c>
      <c r="E861" s="487" t="s">
        <v>4051</v>
      </c>
      <c r="F861" s="490">
        <v>73538</v>
      </c>
      <c r="G861" s="489">
        <v>373</v>
      </c>
      <c r="H861" s="489">
        <v>197.15281999999999</v>
      </c>
      <c r="I861" s="487" t="s">
        <v>1499</v>
      </c>
      <c r="J861" s="487" t="s">
        <v>833</v>
      </c>
    </row>
    <row r="862" spans="1:10" ht="15" x14ac:dyDescent="0.2">
      <c r="A862" s="486" t="s">
        <v>832</v>
      </c>
      <c r="B862" s="487" t="s">
        <v>831</v>
      </c>
      <c r="C862" s="488" t="s">
        <v>4052</v>
      </c>
      <c r="D862" s="489" t="s">
        <v>4053</v>
      </c>
      <c r="E862" s="487" t="s">
        <v>4054</v>
      </c>
      <c r="F862" s="490">
        <v>47853</v>
      </c>
      <c r="G862" s="489">
        <v>1645</v>
      </c>
      <c r="H862" s="489">
        <v>29.089970000000001</v>
      </c>
      <c r="I862" s="487" t="s">
        <v>1499</v>
      </c>
      <c r="J862" s="487" t="s">
        <v>833</v>
      </c>
    </row>
    <row r="863" spans="1:10" ht="15" x14ac:dyDescent="0.2">
      <c r="A863" s="486" t="s">
        <v>1342</v>
      </c>
      <c r="B863" s="487" t="s">
        <v>407</v>
      </c>
      <c r="C863" s="488" t="s">
        <v>4055</v>
      </c>
      <c r="D863" s="489" t="s">
        <v>4056</v>
      </c>
      <c r="E863" s="487" t="s">
        <v>4057</v>
      </c>
      <c r="F863" s="490">
        <v>186300</v>
      </c>
      <c r="G863" s="489">
        <v>5157</v>
      </c>
      <c r="H863" s="489">
        <v>36.12565</v>
      </c>
      <c r="I863" s="487" t="s">
        <v>1499</v>
      </c>
      <c r="J863" s="487" t="s">
        <v>1343</v>
      </c>
    </row>
    <row r="864" spans="1:10" ht="15" x14ac:dyDescent="0.2">
      <c r="A864" s="486" t="s">
        <v>1342</v>
      </c>
      <c r="B864" s="487" t="s">
        <v>407</v>
      </c>
      <c r="C864" s="488" t="s">
        <v>4058</v>
      </c>
      <c r="D864" s="489" t="s">
        <v>4059</v>
      </c>
      <c r="E864" s="487" t="s">
        <v>4060</v>
      </c>
      <c r="F864" s="490">
        <v>381044</v>
      </c>
      <c r="G864" s="489">
        <v>3158</v>
      </c>
      <c r="H864" s="489">
        <v>120.65991</v>
      </c>
      <c r="I864" s="487" t="s">
        <v>1499</v>
      </c>
      <c r="J864" s="487" t="s">
        <v>1343</v>
      </c>
    </row>
    <row r="865" spans="1:10" ht="15" x14ac:dyDescent="0.2">
      <c r="A865" s="486" t="s">
        <v>1342</v>
      </c>
      <c r="B865" s="487" t="s">
        <v>407</v>
      </c>
      <c r="C865" s="488" t="s">
        <v>4061</v>
      </c>
      <c r="D865" s="489" t="s">
        <v>4062</v>
      </c>
      <c r="E865" s="487" t="s">
        <v>4063</v>
      </c>
      <c r="F865" s="490">
        <v>126420</v>
      </c>
      <c r="G865" s="489">
        <v>3930</v>
      </c>
      <c r="H865" s="489">
        <v>32.167940000000002</v>
      </c>
      <c r="I865" s="487" t="s">
        <v>1499</v>
      </c>
      <c r="J865" s="487" t="s">
        <v>1343</v>
      </c>
    </row>
    <row r="866" spans="1:10" ht="15" x14ac:dyDescent="0.2">
      <c r="A866" s="486" t="s">
        <v>1342</v>
      </c>
      <c r="B866" s="487" t="s">
        <v>407</v>
      </c>
      <c r="C866" s="488" t="s">
        <v>4064</v>
      </c>
      <c r="D866" s="489" t="s">
        <v>4065</v>
      </c>
      <c r="E866" s="487" t="s">
        <v>4066</v>
      </c>
      <c r="F866" s="490">
        <v>74440</v>
      </c>
      <c r="G866" s="489">
        <v>950</v>
      </c>
      <c r="H866" s="489">
        <v>78.357889999999998</v>
      </c>
      <c r="I866" s="487" t="s">
        <v>1499</v>
      </c>
      <c r="J866" s="487" t="s">
        <v>1343</v>
      </c>
    </row>
    <row r="867" spans="1:10" ht="15" x14ac:dyDescent="0.2">
      <c r="A867" s="486" t="s">
        <v>1342</v>
      </c>
      <c r="B867" s="487" t="s">
        <v>407</v>
      </c>
      <c r="C867" s="488" t="s">
        <v>4067</v>
      </c>
      <c r="D867" s="489" t="s">
        <v>4068</v>
      </c>
      <c r="E867" s="487" t="s">
        <v>4069</v>
      </c>
      <c r="F867" s="490">
        <v>0</v>
      </c>
      <c r="G867" s="489">
        <v>46</v>
      </c>
      <c r="H867" s="489">
        <v>0</v>
      </c>
      <c r="I867" s="487" t="s">
        <v>1593</v>
      </c>
      <c r="J867" s="487" t="s">
        <v>1343</v>
      </c>
    </row>
    <row r="868" spans="1:10" ht="15" x14ac:dyDescent="0.2">
      <c r="A868" s="486" t="s">
        <v>1342</v>
      </c>
      <c r="B868" s="487" t="s">
        <v>407</v>
      </c>
      <c r="C868" s="488" t="s">
        <v>4070</v>
      </c>
      <c r="D868" s="489" t="s">
        <v>4071</v>
      </c>
      <c r="E868" s="487" t="s">
        <v>4072</v>
      </c>
      <c r="F868" s="490">
        <v>136130</v>
      </c>
      <c r="G868" s="489">
        <v>3431</v>
      </c>
      <c r="H868" s="489">
        <v>39.676479999999998</v>
      </c>
      <c r="I868" s="487" t="s">
        <v>1499</v>
      </c>
      <c r="J868" s="487" t="s">
        <v>1343</v>
      </c>
    </row>
    <row r="869" spans="1:10" ht="15" x14ac:dyDescent="0.2">
      <c r="A869" s="486" t="s">
        <v>1342</v>
      </c>
      <c r="B869" s="487" t="s">
        <v>407</v>
      </c>
      <c r="C869" s="488" t="s">
        <v>4073</v>
      </c>
      <c r="D869" s="489" t="s">
        <v>4074</v>
      </c>
      <c r="E869" s="487" t="s">
        <v>4075</v>
      </c>
      <c r="F869" s="490">
        <v>294576</v>
      </c>
      <c r="G869" s="489">
        <v>4071</v>
      </c>
      <c r="H869" s="489">
        <v>72.359620000000007</v>
      </c>
      <c r="I869" s="487" t="s">
        <v>1499</v>
      </c>
      <c r="J869" s="487" t="s">
        <v>1343</v>
      </c>
    </row>
    <row r="870" spans="1:10" ht="15" x14ac:dyDescent="0.2">
      <c r="A870" s="486" t="s">
        <v>1342</v>
      </c>
      <c r="B870" s="487" t="s">
        <v>407</v>
      </c>
      <c r="C870" s="488" t="s">
        <v>4076</v>
      </c>
      <c r="D870" s="489" t="s">
        <v>4077</v>
      </c>
      <c r="E870" s="487" t="s">
        <v>4078</v>
      </c>
      <c r="F870" s="490">
        <v>622671</v>
      </c>
      <c r="G870" s="489">
        <v>11143</v>
      </c>
      <c r="H870" s="489">
        <v>55.880009999999999</v>
      </c>
      <c r="I870" s="487" t="s">
        <v>1499</v>
      </c>
      <c r="J870" s="487" t="s">
        <v>1343</v>
      </c>
    </row>
    <row r="871" spans="1:10" ht="15" x14ac:dyDescent="0.2">
      <c r="A871" s="486" t="s">
        <v>1342</v>
      </c>
      <c r="B871" s="487" t="s">
        <v>407</v>
      </c>
      <c r="C871" s="488" t="s">
        <v>4079</v>
      </c>
      <c r="D871" s="489" t="s">
        <v>4080</v>
      </c>
      <c r="E871" s="487" t="s">
        <v>4081</v>
      </c>
      <c r="F871" s="490">
        <v>6283</v>
      </c>
      <c r="G871" s="489">
        <v>188</v>
      </c>
      <c r="H871" s="489">
        <v>33.420209999999997</v>
      </c>
      <c r="I871" s="487" t="s">
        <v>1499</v>
      </c>
      <c r="J871" s="487" t="s">
        <v>1343</v>
      </c>
    </row>
    <row r="872" spans="1:10" ht="15" x14ac:dyDescent="0.2">
      <c r="A872" s="486" t="s">
        <v>1342</v>
      </c>
      <c r="B872" s="487" t="s">
        <v>407</v>
      </c>
      <c r="C872" s="488" t="s">
        <v>4082</v>
      </c>
      <c r="D872" s="489" t="s">
        <v>4083</v>
      </c>
      <c r="E872" s="487" t="s">
        <v>4084</v>
      </c>
      <c r="F872" s="490">
        <v>361307</v>
      </c>
      <c r="G872" s="489">
        <v>5615</v>
      </c>
      <c r="H872" s="489">
        <v>64.34675</v>
      </c>
      <c r="I872" s="487" t="s">
        <v>1499</v>
      </c>
      <c r="J872" s="487" t="s">
        <v>1343</v>
      </c>
    </row>
    <row r="873" spans="1:10" ht="15" x14ac:dyDescent="0.2">
      <c r="A873" s="486" t="s">
        <v>1342</v>
      </c>
      <c r="B873" s="487" t="s">
        <v>407</v>
      </c>
      <c r="C873" s="488" t="s">
        <v>4085</v>
      </c>
      <c r="D873" s="489" t="s">
        <v>4086</v>
      </c>
      <c r="E873" s="487" t="s">
        <v>4087</v>
      </c>
      <c r="F873" s="490">
        <v>217388</v>
      </c>
      <c r="G873" s="489">
        <v>2741</v>
      </c>
      <c r="H873" s="489">
        <v>79.309740000000005</v>
      </c>
      <c r="I873" s="487" t="s">
        <v>1499</v>
      </c>
      <c r="J873" s="487" t="s">
        <v>1343</v>
      </c>
    </row>
    <row r="874" spans="1:10" ht="15" x14ac:dyDescent="0.2">
      <c r="A874" s="486" t="s">
        <v>1342</v>
      </c>
      <c r="B874" s="487" t="s">
        <v>407</v>
      </c>
      <c r="C874" s="488" t="s">
        <v>4088</v>
      </c>
      <c r="D874" s="489" t="s">
        <v>4089</v>
      </c>
      <c r="E874" s="487" t="s">
        <v>4090</v>
      </c>
      <c r="F874" s="490">
        <v>204428</v>
      </c>
      <c r="G874" s="489">
        <v>5401</v>
      </c>
      <c r="H874" s="489">
        <v>37.850029999999997</v>
      </c>
      <c r="I874" s="487" t="s">
        <v>1499</v>
      </c>
      <c r="J874" s="487" t="s">
        <v>1343</v>
      </c>
    </row>
    <row r="875" spans="1:10" ht="15" x14ac:dyDescent="0.2">
      <c r="A875" s="486" t="s">
        <v>1342</v>
      </c>
      <c r="B875" s="487" t="s">
        <v>407</v>
      </c>
      <c r="C875" s="488" t="s">
        <v>4091</v>
      </c>
      <c r="D875" s="489" t="s">
        <v>4092</v>
      </c>
      <c r="E875" s="487" t="s">
        <v>4093</v>
      </c>
      <c r="F875" s="490">
        <v>25867</v>
      </c>
      <c r="G875" s="489">
        <v>759</v>
      </c>
      <c r="H875" s="489">
        <v>34.080370000000002</v>
      </c>
      <c r="I875" s="487" t="s">
        <v>1499</v>
      </c>
      <c r="J875" s="487" t="s">
        <v>1343</v>
      </c>
    </row>
    <row r="876" spans="1:10" ht="15" x14ac:dyDescent="0.2">
      <c r="A876" s="486" t="s">
        <v>1342</v>
      </c>
      <c r="B876" s="487" t="s">
        <v>407</v>
      </c>
      <c r="C876" s="488" t="s">
        <v>4094</v>
      </c>
      <c r="D876" s="489" t="s">
        <v>4095</v>
      </c>
      <c r="E876" s="487" t="s">
        <v>4096</v>
      </c>
      <c r="F876" s="490">
        <v>152814</v>
      </c>
      <c r="G876" s="489">
        <v>2485</v>
      </c>
      <c r="H876" s="489">
        <v>61.494570000000003</v>
      </c>
      <c r="I876" s="487" t="s">
        <v>1499</v>
      </c>
      <c r="J876" s="487" t="s">
        <v>1343</v>
      </c>
    </row>
    <row r="877" spans="1:10" ht="15" x14ac:dyDescent="0.2">
      <c r="A877" s="486" t="s">
        <v>1342</v>
      </c>
      <c r="B877" s="487" t="s">
        <v>407</v>
      </c>
      <c r="C877" s="488" t="s">
        <v>4097</v>
      </c>
      <c r="D877" s="489" t="s">
        <v>4098</v>
      </c>
      <c r="E877" s="487" t="s">
        <v>4099</v>
      </c>
      <c r="F877" s="490">
        <v>22170</v>
      </c>
      <c r="G877" s="489">
        <v>773</v>
      </c>
      <c r="H877" s="489">
        <v>28.68047</v>
      </c>
      <c r="I877" s="487" t="s">
        <v>1499</v>
      </c>
      <c r="J877" s="487" t="s">
        <v>1343</v>
      </c>
    </row>
    <row r="878" spans="1:10" ht="15" x14ac:dyDescent="0.2">
      <c r="A878" s="486" t="s">
        <v>1342</v>
      </c>
      <c r="B878" s="487" t="s">
        <v>407</v>
      </c>
      <c r="C878" s="488" t="s">
        <v>4100</v>
      </c>
      <c r="D878" s="489" t="s">
        <v>4101</v>
      </c>
      <c r="E878" s="487" t="s">
        <v>2726</v>
      </c>
      <c r="F878" s="490">
        <v>19404</v>
      </c>
      <c r="G878" s="489">
        <v>755</v>
      </c>
      <c r="H878" s="489">
        <v>25.700659999999999</v>
      </c>
      <c r="I878" s="487" t="s">
        <v>1499</v>
      </c>
      <c r="J878" s="487" t="s">
        <v>1343</v>
      </c>
    </row>
    <row r="879" spans="1:10" ht="15" x14ac:dyDescent="0.2">
      <c r="A879" s="486" t="s">
        <v>1342</v>
      </c>
      <c r="B879" s="487" t="s">
        <v>407</v>
      </c>
      <c r="C879" s="488" t="s">
        <v>4102</v>
      </c>
      <c r="D879" s="489" t="s">
        <v>4103</v>
      </c>
      <c r="E879" s="487" t="s">
        <v>4018</v>
      </c>
      <c r="F879" s="490">
        <v>146894</v>
      </c>
      <c r="G879" s="489">
        <v>1422</v>
      </c>
      <c r="H879" s="489">
        <v>103.30098</v>
      </c>
      <c r="I879" s="487" t="s">
        <v>1499</v>
      </c>
      <c r="J879" s="487" t="s">
        <v>1343</v>
      </c>
    </row>
    <row r="880" spans="1:10" ht="15" x14ac:dyDescent="0.2">
      <c r="A880" s="486" t="s">
        <v>1342</v>
      </c>
      <c r="B880" s="487" t="s">
        <v>407</v>
      </c>
      <c r="C880" s="488" t="s">
        <v>4104</v>
      </c>
      <c r="D880" s="489" t="s">
        <v>4105</v>
      </c>
      <c r="E880" s="487" t="s">
        <v>4106</v>
      </c>
      <c r="F880" s="490">
        <v>26221</v>
      </c>
      <c r="G880" s="489">
        <v>2312</v>
      </c>
      <c r="H880" s="489">
        <v>11.34126</v>
      </c>
      <c r="I880" s="487" t="s">
        <v>1499</v>
      </c>
      <c r="J880" s="487" t="s">
        <v>1343</v>
      </c>
    </row>
    <row r="881" spans="1:10" ht="15" x14ac:dyDescent="0.2">
      <c r="A881" s="486" t="s">
        <v>631</v>
      </c>
      <c r="B881" s="487" t="s">
        <v>630</v>
      </c>
      <c r="C881" s="488" t="s">
        <v>4107</v>
      </c>
      <c r="D881" s="489" t="s">
        <v>4108</v>
      </c>
      <c r="E881" s="487" t="s">
        <v>4109</v>
      </c>
      <c r="F881" s="490">
        <v>20000</v>
      </c>
      <c r="G881" s="489">
        <v>638.92999999999995</v>
      </c>
      <c r="H881" s="489">
        <v>31.302330000000001</v>
      </c>
      <c r="I881" s="487" t="s">
        <v>1499</v>
      </c>
      <c r="J881" s="487" t="s">
        <v>632</v>
      </c>
    </row>
    <row r="882" spans="1:10" ht="15" x14ac:dyDescent="0.2">
      <c r="A882" s="486" t="s">
        <v>631</v>
      </c>
      <c r="B882" s="487" t="s">
        <v>630</v>
      </c>
      <c r="C882" s="488" t="s">
        <v>4110</v>
      </c>
      <c r="D882" s="489" t="s">
        <v>4111</v>
      </c>
      <c r="E882" s="487" t="s">
        <v>4112</v>
      </c>
      <c r="F882" s="490">
        <v>165000</v>
      </c>
      <c r="G882" s="489">
        <v>2778.58</v>
      </c>
      <c r="H882" s="489">
        <v>59.382849999999998</v>
      </c>
      <c r="I882" s="487" t="s">
        <v>1499</v>
      </c>
      <c r="J882" s="487" t="s">
        <v>632</v>
      </c>
    </row>
    <row r="883" spans="1:10" ht="15" x14ac:dyDescent="0.2">
      <c r="A883" s="486" t="s">
        <v>631</v>
      </c>
      <c r="B883" s="487" t="s">
        <v>630</v>
      </c>
      <c r="C883" s="488" t="s">
        <v>4113</v>
      </c>
      <c r="D883" s="489" t="s">
        <v>4114</v>
      </c>
      <c r="E883" s="487" t="s">
        <v>4115</v>
      </c>
      <c r="F883" s="490">
        <v>687904</v>
      </c>
      <c r="G883" s="489">
        <v>5794.91</v>
      </c>
      <c r="H883" s="489">
        <v>118.70831</v>
      </c>
      <c r="I883" s="487" t="s">
        <v>1499</v>
      </c>
      <c r="J883" s="487" t="s">
        <v>632</v>
      </c>
    </row>
    <row r="884" spans="1:10" ht="15" x14ac:dyDescent="0.2">
      <c r="A884" s="486" t="s">
        <v>631</v>
      </c>
      <c r="B884" s="487" t="s">
        <v>630</v>
      </c>
      <c r="C884" s="488" t="s">
        <v>4116</v>
      </c>
      <c r="D884" s="489" t="s">
        <v>4117</v>
      </c>
      <c r="E884" s="487" t="s">
        <v>4118</v>
      </c>
      <c r="F884" s="490">
        <v>4375</v>
      </c>
      <c r="G884" s="489">
        <v>195.62</v>
      </c>
      <c r="H884" s="489">
        <v>22.364789999999999</v>
      </c>
      <c r="I884" s="487" t="s">
        <v>1499</v>
      </c>
      <c r="J884" s="487" t="s">
        <v>632</v>
      </c>
    </row>
    <row r="885" spans="1:10" ht="15" x14ac:dyDescent="0.2">
      <c r="A885" s="486" t="s">
        <v>631</v>
      </c>
      <c r="B885" s="487" t="s">
        <v>630</v>
      </c>
      <c r="C885" s="488" t="s">
        <v>4119</v>
      </c>
      <c r="D885" s="489" t="s">
        <v>4120</v>
      </c>
      <c r="E885" s="487" t="s">
        <v>3349</v>
      </c>
      <c r="F885" s="490">
        <v>6100</v>
      </c>
      <c r="G885" s="489">
        <v>176.77</v>
      </c>
      <c r="H885" s="489">
        <v>34.508119999999998</v>
      </c>
      <c r="I885" s="487" t="s">
        <v>1499</v>
      </c>
      <c r="J885" s="487" t="s">
        <v>632</v>
      </c>
    </row>
    <row r="886" spans="1:10" ht="15" x14ac:dyDescent="0.2">
      <c r="A886" s="486" t="s">
        <v>631</v>
      </c>
      <c r="B886" s="487" t="s">
        <v>630</v>
      </c>
      <c r="C886" s="488" t="s">
        <v>4121</v>
      </c>
      <c r="D886" s="489" t="s">
        <v>4122</v>
      </c>
      <c r="E886" s="487" t="s">
        <v>4123</v>
      </c>
      <c r="F886" s="490">
        <v>3000</v>
      </c>
      <c r="G886" s="489">
        <v>202.16</v>
      </c>
      <c r="H886" s="489">
        <v>14.839729999999999</v>
      </c>
      <c r="I886" s="487" t="s">
        <v>1499</v>
      </c>
      <c r="J886" s="487" t="s">
        <v>632</v>
      </c>
    </row>
    <row r="887" spans="1:10" ht="15" x14ac:dyDescent="0.2">
      <c r="A887" s="486" t="s">
        <v>631</v>
      </c>
      <c r="B887" s="487" t="s">
        <v>630</v>
      </c>
      <c r="C887" s="488" t="s">
        <v>4124</v>
      </c>
      <c r="D887" s="489" t="s">
        <v>4125</v>
      </c>
      <c r="E887" s="487" t="s">
        <v>4126</v>
      </c>
      <c r="F887" s="490">
        <v>89878</v>
      </c>
      <c r="G887" s="489">
        <v>1054.29</v>
      </c>
      <c r="H887" s="489">
        <v>85.249790000000004</v>
      </c>
      <c r="I887" s="487" t="s">
        <v>1499</v>
      </c>
      <c r="J887" s="487" t="s">
        <v>632</v>
      </c>
    </row>
    <row r="888" spans="1:10" ht="15" x14ac:dyDescent="0.2">
      <c r="A888" s="486" t="s">
        <v>631</v>
      </c>
      <c r="B888" s="487" t="s">
        <v>630</v>
      </c>
      <c r="C888" s="488" t="s">
        <v>4127</v>
      </c>
      <c r="D888" s="489" t="s">
        <v>4128</v>
      </c>
      <c r="E888" s="487" t="s">
        <v>4129</v>
      </c>
      <c r="F888" s="490">
        <v>4000</v>
      </c>
      <c r="G888" s="489">
        <v>103.3</v>
      </c>
      <c r="H888" s="489">
        <v>38.722169999999998</v>
      </c>
      <c r="I888" s="487" t="s">
        <v>1499</v>
      </c>
      <c r="J888" s="487" t="s">
        <v>632</v>
      </c>
    </row>
    <row r="889" spans="1:10" ht="15" x14ac:dyDescent="0.2">
      <c r="A889" s="486" t="s">
        <v>631</v>
      </c>
      <c r="B889" s="487" t="s">
        <v>630</v>
      </c>
      <c r="C889" s="488" t="s">
        <v>4130</v>
      </c>
      <c r="D889" s="489" t="s">
        <v>4131</v>
      </c>
      <c r="E889" s="487" t="s">
        <v>4132</v>
      </c>
      <c r="F889" s="490">
        <v>5740</v>
      </c>
      <c r="G889" s="489">
        <v>297.79000000000002</v>
      </c>
      <c r="H889" s="489">
        <v>19.27533</v>
      </c>
      <c r="I889" s="487" t="s">
        <v>1499</v>
      </c>
      <c r="J889" s="487" t="s">
        <v>632</v>
      </c>
    </row>
    <row r="890" spans="1:10" ht="15" x14ac:dyDescent="0.2">
      <c r="A890" s="486" t="s">
        <v>631</v>
      </c>
      <c r="B890" s="487" t="s">
        <v>630</v>
      </c>
      <c r="C890" s="488" t="s">
        <v>4133</v>
      </c>
      <c r="D890" s="489" t="s">
        <v>4134</v>
      </c>
      <c r="E890" s="487" t="s">
        <v>4135</v>
      </c>
      <c r="F890" s="490">
        <v>2500</v>
      </c>
      <c r="G890" s="489">
        <v>166.88</v>
      </c>
      <c r="H890" s="489">
        <v>14.98082</v>
      </c>
      <c r="I890" s="487" t="s">
        <v>1499</v>
      </c>
      <c r="J890" s="487" t="s">
        <v>632</v>
      </c>
    </row>
    <row r="891" spans="1:10" ht="15" x14ac:dyDescent="0.2">
      <c r="A891" s="486" t="s">
        <v>631</v>
      </c>
      <c r="B891" s="487" t="s">
        <v>630</v>
      </c>
      <c r="C891" s="488" t="s">
        <v>4136</v>
      </c>
      <c r="D891" s="489" t="s">
        <v>4137</v>
      </c>
      <c r="E891" s="487" t="s">
        <v>4138</v>
      </c>
      <c r="F891" s="490">
        <v>438000</v>
      </c>
      <c r="G891" s="489">
        <v>3204.96</v>
      </c>
      <c r="H891" s="489">
        <v>136.66317000000001</v>
      </c>
      <c r="I891" s="487" t="s">
        <v>1499</v>
      </c>
      <c r="J891" s="487" t="s">
        <v>632</v>
      </c>
    </row>
    <row r="892" spans="1:10" ht="15" x14ac:dyDescent="0.2">
      <c r="A892" s="486" t="s">
        <v>631</v>
      </c>
      <c r="B892" s="487" t="s">
        <v>630</v>
      </c>
      <c r="C892" s="488" t="s">
        <v>4139</v>
      </c>
      <c r="D892" s="489" t="s">
        <v>4140</v>
      </c>
      <c r="E892" s="487" t="s">
        <v>4141</v>
      </c>
      <c r="F892" s="490">
        <v>4777</v>
      </c>
      <c r="G892" s="489">
        <v>227.71</v>
      </c>
      <c r="H892" s="489">
        <v>20.978439999999999</v>
      </c>
      <c r="I892" s="487" t="s">
        <v>1499</v>
      </c>
      <c r="J892" s="487" t="s">
        <v>632</v>
      </c>
    </row>
    <row r="893" spans="1:10" ht="15" x14ac:dyDescent="0.2">
      <c r="A893" s="486" t="s">
        <v>631</v>
      </c>
      <c r="B893" s="487" t="s">
        <v>630</v>
      </c>
      <c r="C893" s="488" t="s">
        <v>4142</v>
      </c>
      <c r="D893" s="489" t="s">
        <v>4143</v>
      </c>
      <c r="E893" s="487" t="s">
        <v>4144</v>
      </c>
      <c r="F893" s="490">
        <v>3000</v>
      </c>
      <c r="G893" s="489">
        <v>94.97</v>
      </c>
      <c r="H893" s="489">
        <v>31.588920000000002</v>
      </c>
      <c r="I893" s="487" t="s">
        <v>1499</v>
      </c>
      <c r="J893" s="487" t="s">
        <v>632</v>
      </c>
    </row>
    <row r="894" spans="1:10" ht="15" x14ac:dyDescent="0.2">
      <c r="A894" s="486" t="s">
        <v>631</v>
      </c>
      <c r="B894" s="487" t="s">
        <v>630</v>
      </c>
      <c r="C894" s="488" t="s">
        <v>4145</v>
      </c>
      <c r="D894" s="489" t="s">
        <v>4146</v>
      </c>
      <c r="E894" s="487" t="s">
        <v>4147</v>
      </c>
      <c r="F894" s="490">
        <v>26600</v>
      </c>
      <c r="G894" s="489">
        <v>857.83</v>
      </c>
      <c r="H894" s="489">
        <v>31.008469999999999</v>
      </c>
      <c r="I894" s="487" t="s">
        <v>1499</v>
      </c>
      <c r="J894" s="487" t="s">
        <v>632</v>
      </c>
    </row>
    <row r="895" spans="1:10" ht="15" x14ac:dyDescent="0.2">
      <c r="A895" s="486" t="s">
        <v>631</v>
      </c>
      <c r="B895" s="487" t="s">
        <v>630</v>
      </c>
      <c r="C895" s="488" t="s">
        <v>4148</v>
      </c>
      <c r="D895" s="489" t="s">
        <v>4149</v>
      </c>
      <c r="E895" s="487" t="s">
        <v>4150</v>
      </c>
      <c r="F895" s="490">
        <v>3600</v>
      </c>
      <c r="G895" s="489">
        <v>152.69</v>
      </c>
      <c r="H895" s="489">
        <v>23.577179999999998</v>
      </c>
      <c r="I895" s="487" t="s">
        <v>1499</v>
      </c>
      <c r="J895" s="487" t="s">
        <v>632</v>
      </c>
    </row>
    <row r="896" spans="1:10" ht="15" x14ac:dyDescent="0.2">
      <c r="A896" s="486" t="s">
        <v>631</v>
      </c>
      <c r="B896" s="487" t="s">
        <v>630</v>
      </c>
      <c r="C896" s="488" t="s">
        <v>4151</v>
      </c>
      <c r="D896" s="489" t="s">
        <v>4152</v>
      </c>
      <c r="E896" s="487" t="s">
        <v>4153</v>
      </c>
      <c r="F896" s="490">
        <v>9973</v>
      </c>
      <c r="G896" s="489">
        <v>250.89</v>
      </c>
      <c r="H896" s="489">
        <v>39.750489999999999</v>
      </c>
      <c r="I896" s="487" t="s">
        <v>1499</v>
      </c>
      <c r="J896" s="487" t="s">
        <v>632</v>
      </c>
    </row>
    <row r="897" spans="1:10" ht="15" x14ac:dyDescent="0.2">
      <c r="A897" s="486" t="s">
        <v>631</v>
      </c>
      <c r="B897" s="487" t="s">
        <v>630</v>
      </c>
      <c r="C897" s="488" t="s">
        <v>4154</v>
      </c>
      <c r="D897" s="489" t="s">
        <v>4155</v>
      </c>
      <c r="E897" s="487" t="s">
        <v>4156</v>
      </c>
      <c r="F897" s="490">
        <v>43582</v>
      </c>
      <c r="G897" s="489">
        <v>721.57</v>
      </c>
      <c r="H897" s="489">
        <v>60.398850000000003</v>
      </c>
      <c r="I897" s="487" t="s">
        <v>1499</v>
      </c>
      <c r="J897" s="487" t="s">
        <v>632</v>
      </c>
    </row>
    <row r="898" spans="1:10" ht="15" x14ac:dyDescent="0.2">
      <c r="A898" s="486" t="s">
        <v>631</v>
      </c>
      <c r="B898" s="487" t="s">
        <v>630</v>
      </c>
      <c r="C898" s="488" t="s">
        <v>4157</v>
      </c>
      <c r="D898" s="489" t="s">
        <v>4158</v>
      </c>
      <c r="E898" s="487" t="s">
        <v>4159</v>
      </c>
      <c r="F898" s="490">
        <v>53587</v>
      </c>
      <c r="G898" s="489">
        <v>828.26</v>
      </c>
      <c r="H898" s="489">
        <v>64.698279999999997</v>
      </c>
      <c r="I898" s="487" t="s">
        <v>1499</v>
      </c>
      <c r="J898" s="487" t="s">
        <v>632</v>
      </c>
    </row>
    <row r="899" spans="1:10" ht="15" x14ac:dyDescent="0.2">
      <c r="A899" s="486" t="s">
        <v>631</v>
      </c>
      <c r="B899" s="487" t="s">
        <v>630</v>
      </c>
      <c r="C899" s="488" t="s">
        <v>4160</v>
      </c>
      <c r="D899" s="489" t="s">
        <v>4161</v>
      </c>
      <c r="E899" s="487" t="s">
        <v>4162</v>
      </c>
      <c r="F899" s="490">
        <v>3300</v>
      </c>
      <c r="G899" s="489">
        <v>159.88999999999999</v>
      </c>
      <c r="H899" s="489">
        <v>20.639189999999999</v>
      </c>
      <c r="I899" s="487" t="s">
        <v>1499</v>
      </c>
      <c r="J899" s="487" t="s">
        <v>632</v>
      </c>
    </row>
    <row r="900" spans="1:10" ht="15" x14ac:dyDescent="0.2">
      <c r="A900" s="486" t="s">
        <v>631</v>
      </c>
      <c r="B900" s="487" t="s">
        <v>630</v>
      </c>
      <c r="C900" s="488" t="s">
        <v>4163</v>
      </c>
      <c r="D900" s="489" t="s">
        <v>4164</v>
      </c>
      <c r="E900" s="487" t="s">
        <v>4165</v>
      </c>
      <c r="F900" s="490">
        <v>5000</v>
      </c>
      <c r="G900" s="489">
        <v>206.33</v>
      </c>
      <c r="H900" s="489">
        <v>24.23302</v>
      </c>
      <c r="I900" s="487" t="s">
        <v>1499</v>
      </c>
      <c r="J900" s="487" t="s">
        <v>632</v>
      </c>
    </row>
    <row r="901" spans="1:10" ht="15" x14ac:dyDescent="0.2">
      <c r="A901" s="486" t="s">
        <v>631</v>
      </c>
      <c r="B901" s="487" t="s">
        <v>630</v>
      </c>
      <c r="C901" s="488" t="s">
        <v>4166</v>
      </c>
      <c r="D901" s="489" t="s">
        <v>4167</v>
      </c>
      <c r="E901" s="487" t="s">
        <v>4168</v>
      </c>
      <c r="F901" s="490">
        <v>4996</v>
      </c>
      <c r="G901" s="489">
        <v>281.63</v>
      </c>
      <c r="H901" s="489">
        <v>17.73959</v>
      </c>
      <c r="I901" s="487" t="s">
        <v>1499</v>
      </c>
      <c r="J901" s="487" t="s">
        <v>632</v>
      </c>
    </row>
    <row r="902" spans="1:10" ht="15" x14ac:dyDescent="0.2">
      <c r="A902" s="486" t="s">
        <v>631</v>
      </c>
      <c r="B902" s="487" t="s">
        <v>630</v>
      </c>
      <c r="C902" s="488" t="s">
        <v>4169</v>
      </c>
      <c r="D902" s="489" t="s">
        <v>4170</v>
      </c>
      <c r="E902" s="487" t="s">
        <v>4171</v>
      </c>
      <c r="F902" s="490">
        <v>42000</v>
      </c>
      <c r="G902" s="489">
        <v>882.05</v>
      </c>
      <c r="H902" s="489">
        <v>47.616349999999997</v>
      </c>
      <c r="I902" s="487" t="s">
        <v>1499</v>
      </c>
      <c r="J902" s="487" t="s">
        <v>632</v>
      </c>
    </row>
    <row r="903" spans="1:10" ht="15" x14ac:dyDescent="0.2">
      <c r="A903" s="486" t="s">
        <v>631</v>
      </c>
      <c r="B903" s="487" t="s">
        <v>630</v>
      </c>
      <c r="C903" s="488" t="s">
        <v>4172</v>
      </c>
      <c r="D903" s="489" t="s">
        <v>4173</v>
      </c>
      <c r="E903" s="487" t="s">
        <v>4174</v>
      </c>
      <c r="F903" s="490">
        <v>7000</v>
      </c>
      <c r="G903" s="489">
        <v>218.18</v>
      </c>
      <c r="H903" s="489">
        <v>32.083599999999997</v>
      </c>
      <c r="I903" s="487" t="s">
        <v>1499</v>
      </c>
      <c r="J903" s="487" t="s">
        <v>632</v>
      </c>
    </row>
    <row r="904" spans="1:10" ht="15" x14ac:dyDescent="0.2">
      <c r="A904" s="486" t="s">
        <v>631</v>
      </c>
      <c r="B904" s="487" t="s">
        <v>630</v>
      </c>
      <c r="C904" s="488" t="s">
        <v>4175</v>
      </c>
      <c r="D904" s="489" t="s">
        <v>4176</v>
      </c>
      <c r="E904" s="487" t="s">
        <v>4177</v>
      </c>
      <c r="F904" s="490">
        <v>1333233</v>
      </c>
      <c r="G904" s="489">
        <v>11355.29</v>
      </c>
      <c r="H904" s="489">
        <v>117.41074</v>
      </c>
      <c r="I904" s="487" t="s">
        <v>1499</v>
      </c>
      <c r="J904" s="487" t="s">
        <v>632</v>
      </c>
    </row>
    <row r="905" spans="1:10" ht="15" x14ac:dyDescent="0.2">
      <c r="A905" s="486" t="s">
        <v>631</v>
      </c>
      <c r="B905" s="487" t="s">
        <v>630</v>
      </c>
      <c r="C905" s="488" t="s">
        <v>4178</v>
      </c>
      <c r="D905" s="489" t="s">
        <v>4179</v>
      </c>
      <c r="E905" s="487" t="s">
        <v>4180</v>
      </c>
      <c r="F905" s="490">
        <v>23500</v>
      </c>
      <c r="G905" s="489">
        <v>679.76</v>
      </c>
      <c r="H905" s="489">
        <v>34.57103</v>
      </c>
      <c r="I905" s="487" t="s">
        <v>1499</v>
      </c>
      <c r="J905" s="487" t="s">
        <v>632</v>
      </c>
    </row>
    <row r="906" spans="1:10" ht="15" x14ac:dyDescent="0.2">
      <c r="A906" s="486" t="s">
        <v>631</v>
      </c>
      <c r="B906" s="487" t="s">
        <v>630</v>
      </c>
      <c r="C906" s="488" t="s">
        <v>4181</v>
      </c>
      <c r="D906" s="489" t="s">
        <v>4182</v>
      </c>
      <c r="E906" s="487" t="s">
        <v>4183</v>
      </c>
      <c r="F906" s="490">
        <v>204687</v>
      </c>
      <c r="G906" s="489">
        <v>2073.39</v>
      </c>
      <c r="H906" s="489">
        <v>98.720939999999999</v>
      </c>
      <c r="I906" s="487" t="s">
        <v>1499</v>
      </c>
      <c r="J906" s="487" t="s">
        <v>632</v>
      </c>
    </row>
    <row r="907" spans="1:10" ht="15" x14ac:dyDescent="0.2">
      <c r="A907" s="486" t="s">
        <v>631</v>
      </c>
      <c r="B907" s="487" t="s">
        <v>630</v>
      </c>
      <c r="C907" s="488" t="s">
        <v>4184</v>
      </c>
      <c r="D907" s="489" t="s">
        <v>4185</v>
      </c>
      <c r="E907" s="487" t="s">
        <v>4186</v>
      </c>
      <c r="F907" s="490">
        <v>7250</v>
      </c>
      <c r="G907" s="489">
        <v>210.99</v>
      </c>
      <c r="H907" s="489">
        <v>34.361820000000002</v>
      </c>
      <c r="I907" s="487" t="s">
        <v>1499</v>
      </c>
      <c r="J907" s="487" t="s">
        <v>632</v>
      </c>
    </row>
    <row r="908" spans="1:10" ht="15" x14ac:dyDescent="0.2">
      <c r="A908" s="486" t="s">
        <v>631</v>
      </c>
      <c r="B908" s="487" t="s">
        <v>630</v>
      </c>
      <c r="C908" s="488" t="s">
        <v>4187</v>
      </c>
      <c r="D908" s="489" t="s">
        <v>4188</v>
      </c>
      <c r="E908" s="487" t="s">
        <v>3461</v>
      </c>
      <c r="F908" s="490">
        <v>5000</v>
      </c>
      <c r="G908" s="489">
        <v>320.02</v>
      </c>
      <c r="H908" s="489">
        <v>15.62402</v>
      </c>
      <c r="I908" s="487" t="s">
        <v>1499</v>
      </c>
      <c r="J908" s="487" t="s">
        <v>632</v>
      </c>
    </row>
    <row r="909" spans="1:10" ht="15" x14ac:dyDescent="0.2">
      <c r="A909" s="486" t="s">
        <v>631</v>
      </c>
      <c r="B909" s="487" t="s">
        <v>630</v>
      </c>
      <c r="C909" s="488" t="s">
        <v>4189</v>
      </c>
      <c r="D909" s="489" t="s">
        <v>4190</v>
      </c>
      <c r="E909" s="487" t="s">
        <v>4191</v>
      </c>
      <c r="F909" s="490">
        <v>5600</v>
      </c>
      <c r="G909" s="489">
        <v>191.32</v>
      </c>
      <c r="H909" s="489">
        <v>29.270330000000001</v>
      </c>
      <c r="I909" s="487" t="s">
        <v>1499</v>
      </c>
      <c r="J909" s="487" t="s">
        <v>632</v>
      </c>
    </row>
    <row r="910" spans="1:10" ht="15" x14ac:dyDescent="0.2">
      <c r="A910" s="486" t="s">
        <v>631</v>
      </c>
      <c r="B910" s="487" t="s">
        <v>630</v>
      </c>
      <c r="C910" s="488" t="s">
        <v>4192</v>
      </c>
      <c r="D910" s="489" t="s">
        <v>4193</v>
      </c>
      <c r="E910" s="487" t="s">
        <v>4194</v>
      </c>
      <c r="F910" s="490">
        <v>43270</v>
      </c>
      <c r="G910" s="489">
        <v>832.08</v>
      </c>
      <c r="H910" s="489">
        <v>52.002209999999998</v>
      </c>
      <c r="I910" s="487" t="s">
        <v>1499</v>
      </c>
      <c r="J910" s="487" t="s">
        <v>632</v>
      </c>
    </row>
    <row r="911" spans="1:10" ht="15" x14ac:dyDescent="0.2">
      <c r="A911" s="486" t="s">
        <v>631</v>
      </c>
      <c r="B911" s="487" t="s">
        <v>630</v>
      </c>
      <c r="C911" s="488" t="s">
        <v>4195</v>
      </c>
      <c r="D911" s="489" t="s">
        <v>4196</v>
      </c>
      <c r="E911" s="487" t="s">
        <v>4197</v>
      </c>
      <c r="F911" s="490">
        <v>56210</v>
      </c>
      <c r="G911" s="489">
        <v>1097.27</v>
      </c>
      <c r="H911" s="489">
        <v>51.227139999999999</v>
      </c>
      <c r="I911" s="487" t="s">
        <v>1499</v>
      </c>
      <c r="J911" s="487" t="s">
        <v>632</v>
      </c>
    </row>
    <row r="912" spans="1:10" ht="15" x14ac:dyDescent="0.2">
      <c r="A912" s="486" t="s">
        <v>631</v>
      </c>
      <c r="B912" s="487" t="s">
        <v>630</v>
      </c>
      <c r="C912" s="488" t="s">
        <v>4198</v>
      </c>
      <c r="D912" s="489" t="s">
        <v>4199</v>
      </c>
      <c r="E912" s="487" t="s">
        <v>4200</v>
      </c>
      <c r="F912" s="490">
        <v>11242</v>
      </c>
      <c r="G912" s="489">
        <v>469.04</v>
      </c>
      <c r="H912" s="489">
        <v>23.968109999999999</v>
      </c>
      <c r="I912" s="487" t="s">
        <v>1499</v>
      </c>
      <c r="J912" s="487" t="s">
        <v>632</v>
      </c>
    </row>
    <row r="913" spans="1:10" ht="15" x14ac:dyDescent="0.2">
      <c r="A913" s="486" t="s">
        <v>631</v>
      </c>
      <c r="B913" s="487" t="s">
        <v>630</v>
      </c>
      <c r="C913" s="488" t="s">
        <v>4201</v>
      </c>
      <c r="D913" s="489" t="s">
        <v>4202</v>
      </c>
      <c r="E913" s="487" t="s">
        <v>4203</v>
      </c>
      <c r="F913" s="490">
        <v>170000</v>
      </c>
      <c r="G913" s="489">
        <v>2592.2399999999998</v>
      </c>
      <c r="H913" s="489">
        <v>65.580349999999996</v>
      </c>
      <c r="I913" s="487" t="s">
        <v>1499</v>
      </c>
      <c r="J913" s="487" t="s">
        <v>632</v>
      </c>
    </row>
    <row r="914" spans="1:10" ht="15" x14ac:dyDescent="0.2">
      <c r="A914" s="486" t="s">
        <v>631</v>
      </c>
      <c r="B914" s="487" t="s">
        <v>630</v>
      </c>
      <c r="C914" s="488" t="s">
        <v>4204</v>
      </c>
      <c r="D914" s="489" t="s">
        <v>4205</v>
      </c>
      <c r="E914" s="487" t="s">
        <v>4206</v>
      </c>
      <c r="F914" s="490">
        <v>1757</v>
      </c>
      <c r="G914" s="489">
        <v>181.2</v>
      </c>
      <c r="H914" s="489">
        <v>9.6964699999999997</v>
      </c>
      <c r="I914" s="487" t="s">
        <v>1499</v>
      </c>
      <c r="J914" s="487" t="s">
        <v>632</v>
      </c>
    </row>
    <row r="915" spans="1:10" ht="15" x14ac:dyDescent="0.2">
      <c r="A915" s="486" t="s">
        <v>631</v>
      </c>
      <c r="B915" s="487" t="s">
        <v>630</v>
      </c>
      <c r="C915" s="488" t="s">
        <v>4207</v>
      </c>
      <c r="D915" s="489" t="s">
        <v>4208</v>
      </c>
      <c r="E915" s="487" t="s">
        <v>4209</v>
      </c>
      <c r="F915" s="490">
        <v>92626</v>
      </c>
      <c r="G915" s="489">
        <v>2825.53</v>
      </c>
      <c r="H915" s="489">
        <v>32.78181</v>
      </c>
      <c r="I915" s="487" t="s">
        <v>1499</v>
      </c>
      <c r="J915" s="487" t="s">
        <v>632</v>
      </c>
    </row>
    <row r="916" spans="1:10" ht="15" x14ac:dyDescent="0.2">
      <c r="A916" s="486" t="s">
        <v>631</v>
      </c>
      <c r="B916" s="487" t="s">
        <v>630</v>
      </c>
      <c r="C916" s="488" t="s">
        <v>4210</v>
      </c>
      <c r="D916" s="489" t="s">
        <v>4211</v>
      </c>
      <c r="E916" s="487" t="s">
        <v>4212</v>
      </c>
      <c r="F916" s="490">
        <v>4725</v>
      </c>
      <c r="G916" s="489">
        <v>112.86</v>
      </c>
      <c r="H916" s="489">
        <v>41.866030000000002</v>
      </c>
      <c r="I916" s="487" t="s">
        <v>1499</v>
      </c>
      <c r="J916" s="487" t="s">
        <v>632</v>
      </c>
    </row>
    <row r="917" spans="1:10" ht="15" x14ac:dyDescent="0.2">
      <c r="A917" s="486" t="s">
        <v>631</v>
      </c>
      <c r="B917" s="487" t="s">
        <v>630</v>
      </c>
      <c r="C917" s="488" t="s">
        <v>4213</v>
      </c>
      <c r="D917" s="489" t="s">
        <v>4214</v>
      </c>
      <c r="E917" s="487" t="s">
        <v>4215</v>
      </c>
      <c r="F917" s="490">
        <v>6181</v>
      </c>
      <c r="G917" s="489">
        <v>259.58999999999997</v>
      </c>
      <c r="H917" s="489">
        <v>23.81062</v>
      </c>
      <c r="I917" s="487" t="s">
        <v>1499</v>
      </c>
      <c r="J917" s="487" t="s">
        <v>632</v>
      </c>
    </row>
    <row r="918" spans="1:10" ht="15" x14ac:dyDescent="0.2">
      <c r="A918" s="486" t="s">
        <v>631</v>
      </c>
      <c r="B918" s="487" t="s">
        <v>630</v>
      </c>
      <c r="C918" s="488" t="s">
        <v>4216</v>
      </c>
      <c r="D918" s="489" t="s">
        <v>4217</v>
      </c>
      <c r="E918" s="487" t="s">
        <v>4218</v>
      </c>
      <c r="F918" s="490">
        <v>875</v>
      </c>
      <c r="G918" s="489">
        <v>104.06</v>
      </c>
      <c r="H918" s="489">
        <v>8.4086099999999995</v>
      </c>
      <c r="I918" s="487" t="s">
        <v>1499</v>
      </c>
      <c r="J918" s="487" t="s">
        <v>632</v>
      </c>
    </row>
    <row r="919" spans="1:10" ht="15" x14ac:dyDescent="0.2">
      <c r="A919" s="486" t="s">
        <v>631</v>
      </c>
      <c r="B919" s="487" t="s">
        <v>630</v>
      </c>
      <c r="C919" s="488" t="s">
        <v>4219</v>
      </c>
      <c r="D919" s="489" t="s">
        <v>4220</v>
      </c>
      <c r="E919" s="487" t="s">
        <v>4221</v>
      </c>
      <c r="F919" s="490">
        <v>31000</v>
      </c>
      <c r="G919" s="489">
        <v>438.4</v>
      </c>
      <c r="H919" s="489">
        <v>70.711680000000001</v>
      </c>
      <c r="I919" s="487" t="s">
        <v>1499</v>
      </c>
      <c r="J919" s="487" t="s">
        <v>632</v>
      </c>
    </row>
    <row r="920" spans="1:10" ht="15" x14ac:dyDescent="0.2">
      <c r="A920" s="486" t="s">
        <v>631</v>
      </c>
      <c r="B920" s="487" t="s">
        <v>630</v>
      </c>
      <c r="C920" s="488" t="s">
        <v>4222</v>
      </c>
      <c r="D920" s="489" t="s">
        <v>4223</v>
      </c>
      <c r="E920" s="487" t="s">
        <v>4224</v>
      </c>
      <c r="F920" s="490">
        <v>12500</v>
      </c>
      <c r="G920" s="489">
        <v>898.42</v>
      </c>
      <c r="H920" s="489">
        <v>13.913309999999999</v>
      </c>
      <c r="I920" s="487" t="s">
        <v>1499</v>
      </c>
      <c r="J920" s="487" t="s">
        <v>632</v>
      </c>
    </row>
    <row r="921" spans="1:10" ht="15" x14ac:dyDescent="0.2">
      <c r="A921" s="486" t="s">
        <v>631</v>
      </c>
      <c r="B921" s="487" t="s">
        <v>630</v>
      </c>
      <c r="C921" s="488" t="s">
        <v>4225</v>
      </c>
      <c r="D921" s="489" t="s">
        <v>4226</v>
      </c>
      <c r="E921" s="487" t="s">
        <v>4227</v>
      </c>
      <c r="F921" s="490">
        <v>7500</v>
      </c>
      <c r="G921" s="489">
        <v>329</v>
      </c>
      <c r="H921" s="489">
        <v>22.79635</v>
      </c>
      <c r="I921" s="487" t="s">
        <v>1499</v>
      </c>
      <c r="J921" s="487" t="s">
        <v>632</v>
      </c>
    </row>
    <row r="922" spans="1:10" ht="15" x14ac:dyDescent="0.2">
      <c r="A922" s="486" t="s">
        <v>631</v>
      </c>
      <c r="B922" s="487" t="s">
        <v>630</v>
      </c>
      <c r="C922" s="488" t="s">
        <v>4228</v>
      </c>
      <c r="D922" s="489" t="s">
        <v>4229</v>
      </c>
      <c r="E922" s="487" t="s">
        <v>4230</v>
      </c>
      <c r="F922" s="490">
        <v>279992</v>
      </c>
      <c r="G922" s="489">
        <v>2958.98</v>
      </c>
      <c r="H922" s="489">
        <v>94.624499999999998</v>
      </c>
      <c r="I922" s="487" t="s">
        <v>1499</v>
      </c>
      <c r="J922" s="487" t="s">
        <v>632</v>
      </c>
    </row>
    <row r="923" spans="1:10" ht="15" x14ac:dyDescent="0.2">
      <c r="A923" s="486" t="s">
        <v>631</v>
      </c>
      <c r="B923" s="487" t="s">
        <v>630</v>
      </c>
      <c r="C923" s="488" t="s">
        <v>4231</v>
      </c>
      <c r="D923" s="489" t="s">
        <v>4232</v>
      </c>
      <c r="E923" s="487" t="s">
        <v>4233</v>
      </c>
      <c r="F923" s="490">
        <v>26000</v>
      </c>
      <c r="G923" s="489">
        <v>1020.88</v>
      </c>
      <c r="H923" s="489">
        <v>25.468219999999999</v>
      </c>
      <c r="I923" s="487" t="s">
        <v>1499</v>
      </c>
      <c r="J923" s="487" t="s">
        <v>632</v>
      </c>
    </row>
    <row r="924" spans="1:10" ht="15" x14ac:dyDescent="0.2">
      <c r="A924" s="486" t="s">
        <v>631</v>
      </c>
      <c r="B924" s="487" t="s">
        <v>630</v>
      </c>
      <c r="C924" s="488" t="s">
        <v>4234</v>
      </c>
      <c r="D924" s="489" t="s">
        <v>4235</v>
      </c>
      <c r="E924" s="487" t="s">
        <v>4236</v>
      </c>
      <c r="F924" s="490">
        <v>15300</v>
      </c>
      <c r="G924" s="489">
        <v>475.11</v>
      </c>
      <c r="H924" s="489">
        <v>32.203069999999997</v>
      </c>
      <c r="I924" s="487" t="s">
        <v>1499</v>
      </c>
      <c r="J924" s="487" t="s">
        <v>632</v>
      </c>
    </row>
    <row r="925" spans="1:10" ht="15" x14ac:dyDescent="0.2">
      <c r="A925" s="486" t="s">
        <v>631</v>
      </c>
      <c r="B925" s="487" t="s">
        <v>630</v>
      </c>
      <c r="C925" s="488" t="s">
        <v>4237</v>
      </c>
      <c r="D925" s="489" t="s">
        <v>4238</v>
      </c>
      <c r="E925" s="487" t="s">
        <v>4239</v>
      </c>
      <c r="F925" s="490">
        <v>816680</v>
      </c>
      <c r="G925" s="489">
        <v>6144.16</v>
      </c>
      <c r="H925" s="489">
        <v>132.91972000000001</v>
      </c>
      <c r="I925" s="487" t="s">
        <v>1499</v>
      </c>
      <c r="J925" s="487" t="s">
        <v>632</v>
      </c>
    </row>
    <row r="926" spans="1:10" ht="15" x14ac:dyDescent="0.2">
      <c r="A926" s="486" t="s">
        <v>631</v>
      </c>
      <c r="B926" s="487" t="s">
        <v>630</v>
      </c>
      <c r="C926" s="488" t="s">
        <v>4240</v>
      </c>
      <c r="D926" s="489" t="s">
        <v>4241</v>
      </c>
      <c r="E926" s="487" t="s">
        <v>4242</v>
      </c>
      <c r="F926" s="490">
        <v>0</v>
      </c>
      <c r="G926" s="489">
        <v>39.1</v>
      </c>
      <c r="H926" s="489">
        <v>0</v>
      </c>
      <c r="I926" s="487" t="s">
        <v>1593</v>
      </c>
      <c r="J926" s="487" t="s">
        <v>632</v>
      </c>
    </row>
    <row r="927" spans="1:10" ht="15" x14ac:dyDescent="0.2">
      <c r="A927" s="486" t="s">
        <v>631</v>
      </c>
      <c r="B927" s="487" t="s">
        <v>630</v>
      </c>
      <c r="C927" s="488" t="s">
        <v>4243</v>
      </c>
      <c r="D927" s="489" t="s">
        <v>4244</v>
      </c>
      <c r="E927" s="487" t="s">
        <v>4245</v>
      </c>
      <c r="F927" s="490">
        <v>11499</v>
      </c>
      <c r="G927" s="489">
        <v>329.45</v>
      </c>
      <c r="H927" s="489">
        <v>34.90363</v>
      </c>
      <c r="I927" s="487" t="s">
        <v>1499</v>
      </c>
      <c r="J927" s="487" t="s">
        <v>632</v>
      </c>
    </row>
    <row r="928" spans="1:10" ht="15" x14ac:dyDescent="0.2">
      <c r="A928" s="486" t="s">
        <v>631</v>
      </c>
      <c r="B928" s="487" t="s">
        <v>630</v>
      </c>
      <c r="C928" s="488" t="s">
        <v>4246</v>
      </c>
      <c r="D928" s="489" t="s">
        <v>4247</v>
      </c>
      <c r="E928" s="487" t="s">
        <v>4248</v>
      </c>
      <c r="F928" s="490">
        <v>0</v>
      </c>
      <c r="G928" s="489">
        <v>132.63</v>
      </c>
      <c r="H928" s="489">
        <v>0</v>
      </c>
      <c r="I928" s="487" t="s">
        <v>1593</v>
      </c>
      <c r="J928" s="487" t="s">
        <v>632</v>
      </c>
    </row>
    <row r="929" spans="1:10" ht="15" x14ac:dyDescent="0.2">
      <c r="A929" s="486" t="s">
        <v>631</v>
      </c>
      <c r="B929" s="487" t="s">
        <v>630</v>
      </c>
      <c r="C929" s="488" t="s">
        <v>4249</v>
      </c>
      <c r="D929" s="489" t="s">
        <v>4250</v>
      </c>
      <c r="E929" s="487" t="s">
        <v>4251</v>
      </c>
      <c r="F929" s="490">
        <v>9000</v>
      </c>
      <c r="G929" s="489">
        <v>293.01</v>
      </c>
      <c r="H929" s="489">
        <v>30.715679999999999</v>
      </c>
      <c r="I929" s="487" t="s">
        <v>1499</v>
      </c>
      <c r="J929" s="487" t="s">
        <v>632</v>
      </c>
    </row>
    <row r="930" spans="1:10" ht="15" x14ac:dyDescent="0.2">
      <c r="A930" s="486" t="s">
        <v>631</v>
      </c>
      <c r="B930" s="487" t="s">
        <v>630</v>
      </c>
      <c r="C930" s="488" t="s">
        <v>4252</v>
      </c>
      <c r="D930" s="489" t="s">
        <v>4253</v>
      </c>
      <c r="E930" s="487" t="s">
        <v>4254</v>
      </c>
      <c r="F930" s="490">
        <v>4000</v>
      </c>
      <c r="G930" s="489">
        <v>120.02</v>
      </c>
      <c r="H930" s="489">
        <v>33.327779999999997</v>
      </c>
      <c r="I930" s="487" t="s">
        <v>1499</v>
      </c>
      <c r="J930" s="487" t="s">
        <v>632</v>
      </c>
    </row>
    <row r="931" spans="1:10" ht="15" x14ac:dyDescent="0.2">
      <c r="A931" s="486" t="s">
        <v>631</v>
      </c>
      <c r="B931" s="487" t="s">
        <v>630</v>
      </c>
      <c r="C931" s="488" t="s">
        <v>4255</v>
      </c>
      <c r="D931" s="489" t="s">
        <v>4256</v>
      </c>
      <c r="E931" s="487" t="s">
        <v>4257</v>
      </c>
      <c r="F931" s="490">
        <v>9000</v>
      </c>
      <c r="G931" s="489">
        <v>476.54</v>
      </c>
      <c r="H931" s="489">
        <v>18.886140000000001</v>
      </c>
      <c r="I931" s="487" t="s">
        <v>1499</v>
      </c>
      <c r="J931" s="487" t="s">
        <v>632</v>
      </c>
    </row>
    <row r="932" spans="1:10" ht="15" x14ac:dyDescent="0.2">
      <c r="A932" s="486" t="s">
        <v>631</v>
      </c>
      <c r="B932" s="487" t="s">
        <v>630</v>
      </c>
      <c r="C932" s="488" t="s">
        <v>4258</v>
      </c>
      <c r="D932" s="489" t="s">
        <v>4259</v>
      </c>
      <c r="E932" s="487" t="s">
        <v>4260</v>
      </c>
      <c r="F932" s="490">
        <v>655220</v>
      </c>
      <c r="G932" s="489">
        <v>5138.8500000000004</v>
      </c>
      <c r="H932" s="489">
        <v>127.50324000000001</v>
      </c>
      <c r="I932" s="487" t="s">
        <v>1499</v>
      </c>
      <c r="J932" s="487" t="s">
        <v>632</v>
      </c>
    </row>
    <row r="933" spans="1:10" ht="15" x14ac:dyDescent="0.2">
      <c r="A933" s="486" t="s">
        <v>631</v>
      </c>
      <c r="B933" s="487" t="s">
        <v>630</v>
      </c>
      <c r="C933" s="488" t="s">
        <v>4261</v>
      </c>
      <c r="D933" s="489" t="s">
        <v>4262</v>
      </c>
      <c r="E933" s="487" t="s">
        <v>4263</v>
      </c>
      <c r="F933" s="490">
        <v>52259</v>
      </c>
      <c r="G933" s="489">
        <v>2375.61</v>
      </c>
      <c r="H933" s="489">
        <v>21.998139999999999</v>
      </c>
      <c r="I933" s="487" t="s">
        <v>1499</v>
      </c>
      <c r="J933" s="487" t="s">
        <v>632</v>
      </c>
    </row>
    <row r="934" spans="1:10" ht="15" x14ac:dyDescent="0.2">
      <c r="A934" s="486" t="s">
        <v>631</v>
      </c>
      <c r="B934" s="487" t="s">
        <v>630</v>
      </c>
      <c r="C934" s="488" t="s">
        <v>4264</v>
      </c>
      <c r="D934" s="489" t="s">
        <v>4265</v>
      </c>
      <c r="E934" s="487" t="s">
        <v>4266</v>
      </c>
      <c r="F934" s="490">
        <v>50000</v>
      </c>
      <c r="G934" s="489">
        <v>1495.01</v>
      </c>
      <c r="H934" s="489">
        <v>33.444589999999998</v>
      </c>
      <c r="I934" s="487" t="s">
        <v>1499</v>
      </c>
      <c r="J934" s="487" t="s">
        <v>632</v>
      </c>
    </row>
    <row r="935" spans="1:10" ht="15" x14ac:dyDescent="0.2">
      <c r="A935" s="486" t="s">
        <v>631</v>
      </c>
      <c r="B935" s="487" t="s">
        <v>630</v>
      </c>
      <c r="C935" s="488" t="s">
        <v>4267</v>
      </c>
      <c r="D935" s="489" t="s">
        <v>4268</v>
      </c>
      <c r="E935" s="487" t="s">
        <v>4269</v>
      </c>
      <c r="F935" s="490">
        <v>8021</v>
      </c>
      <c r="G935" s="489">
        <v>187.05</v>
      </c>
      <c r="H935" s="489">
        <v>42.88158</v>
      </c>
      <c r="I935" s="487" t="s">
        <v>1499</v>
      </c>
      <c r="J935" s="487" t="s">
        <v>632</v>
      </c>
    </row>
    <row r="936" spans="1:10" ht="15" x14ac:dyDescent="0.2">
      <c r="A936" s="486" t="s">
        <v>631</v>
      </c>
      <c r="B936" s="487" t="s">
        <v>630</v>
      </c>
      <c r="C936" s="488" t="s">
        <v>4270</v>
      </c>
      <c r="D936" s="489" t="s">
        <v>4271</v>
      </c>
      <c r="E936" s="487" t="s">
        <v>4272</v>
      </c>
      <c r="F936" s="490">
        <v>8035</v>
      </c>
      <c r="G936" s="489">
        <v>423.29</v>
      </c>
      <c r="H936" s="489">
        <v>18.98226</v>
      </c>
      <c r="I936" s="487" t="s">
        <v>1499</v>
      </c>
      <c r="J936" s="487" t="s">
        <v>632</v>
      </c>
    </row>
    <row r="937" spans="1:10" ht="15" x14ac:dyDescent="0.2">
      <c r="A937" s="486" t="s">
        <v>631</v>
      </c>
      <c r="B937" s="487" t="s">
        <v>630</v>
      </c>
      <c r="C937" s="488" t="s">
        <v>4273</v>
      </c>
      <c r="D937" s="489" t="s">
        <v>4274</v>
      </c>
      <c r="E937" s="487" t="s">
        <v>4275</v>
      </c>
      <c r="F937" s="490">
        <v>1086975</v>
      </c>
      <c r="G937" s="489">
        <v>6755.54</v>
      </c>
      <c r="H937" s="489">
        <v>160.90128000000001</v>
      </c>
      <c r="I937" s="487" t="s">
        <v>1499</v>
      </c>
      <c r="J937" s="487" t="s">
        <v>632</v>
      </c>
    </row>
    <row r="938" spans="1:10" ht="15" x14ac:dyDescent="0.2">
      <c r="A938" s="486" t="s">
        <v>631</v>
      </c>
      <c r="B938" s="487" t="s">
        <v>630</v>
      </c>
      <c r="C938" s="488" t="s">
        <v>4276</v>
      </c>
      <c r="D938" s="489" t="s">
        <v>4277</v>
      </c>
      <c r="E938" s="487" t="s">
        <v>4278</v>
      </c>
      <c r="F938" s="490">
        <v>69790</v>
      </c>
      <c r="G938" s="489">
        <v>670.54</v>
      </c>
      <c r="H938" s="489">
        <v>104.08029000000001</v>
      </c>
      <c r="I938" s="487" t="s">
        <v>1499</v>
      </c>
      <c r="J938" s="487" t="s">
        <v>632</v>
      </c>
    </row>
    <row r="939" spans="1:10" ht="15" x14ac:dyDescent="0.2">
      <c r="A939" s="486" t="s">
        <v>631</v>
      </c>
      <c r="B939" s="487" t="s">
        <v>630</v>
      </c>
      <c r="C939" s="488" t="s">
        <v>4279</v>
      </c>
      <c r="D939" s="489" t="s">
        <v>4280</v>
      </c>
      <c r="E939" s="487" t="s">
        <v>4281</v>
      </c>
      <c r="F939" s="490">
        <v>22000</v>
      </c>
      <c r="G939" s="489">
        <v>359.48</v>
      </c>
      <c r="H939" s="489">
        <v>61.199509999999997</v>
      </c>
      <c r="I939" s="487" t="s">
        <v>1499</v>
      </c>
      <c r="J939" s="487" t="s">
        <v>632</v>
      </c>
    </row>
    <row r="940" spans="1:10" ht="15" x14ac:dyDescent="0.2">
      <c r="A940" s="486" t="s">
        <v>631</v>
      </c>
      <c r="B940" s="487" t="s">
        <v>630</v>
      </c>
      <c r="C940" s="488" t="s">
        <v>4282</v>
      </c>
      <c r="D940" s="489" t="s">
        <v>4283</v>
      </c>
      <c r="E940" s="487" t="s">
        <v>4284</v>
      </c>
      <c r="F940" s="490">
        <v>4750</v>
      </c>
      <c r="G940" s="489">
        <v>476.57</v>
      </c>
      <c r="H940" s="489">
        <v>9.96706</v>
      </c>
      <c r="I940" s="487" t="s">
        <v>1499</v>
      </c>
      <c r="J940" s="487" t="s">
        <v>632</v>
      </c>
    </row>
    <row r="941" spans="1:10" ht="15" x14ac:dyDescent="0.2">
      <c r="A941" s="486" t="s">
        <v>631</v>
      </c>
      <c r="B941" s="487" t="s">
        <v>630</v>
      </c>
      <c r="C941" s="488" t="s">
        <v>4285</v>
      </c>
      <c r="D941" s="489" t="s">
        <v>4286</v>
      </c>
      <c r="E941" s="487" t="s">
        <v>4287</v>
      </c>
      <c r="F941" s="490">
        <v>2255</v>
      </c>
      <c r="G941" s="489">
        <v>136.56</v>
      </c>
      <c r="H941" s="489">
        <v>16.512889999999999</v>
      </c>
      <c r="I941" s="487" t="s">
        <v>1499</v>
      </c>
      <c r="J941" s="487" t="s">
        <v>632</v>
      </c>
    </row>
    <row r="942" spans="1:10" ht="15" x14ac:dyDescent="0.2">
      <c r="A942" s="486" t="s">
        <v>631</v>
      </c>
      <c r="B942" s="487" t="s">
        <v>630</v>
      </c>
      <c r="C942" s="488" t="s">
        <v>4288</v>
      </c>
      <c r="D942" s="489" t="s">
        <v>4289</v>
      </c>
      <c r="E942" s="487" t="s">
        <v>4290</v>
      </c>
      <c r="F942" s="490">
        <v>105143</v>
      </c>
      <c r="G942" s="489">
        <v>2028.22</v>
      </c>
      <c r="H942" s="489">
        <v>51.840040000000002</v>
      </c>
      <c r="I942" s="487" t="s">
        <v>1499</v>
      </c>
      <c r="J942" s="487" t="s">
        <v>632</v>
      </c>
    </row>
    <row r="943" spans="1:10" ht="15" x14ac:dyDescent="0.2">
      <c r="A943" s="486" t="s">
        <v>631</v>
      </c>
      <c r="B943" s="487" t="s">
        <v>630</v>
      </c>
      <c r="C943" s="488" t="s">
        <v>4291</v>
      </c>
      <c r="D943" s="489" t="s">
        <v>4292</v>
      </c>
      <c r="E943" s="487" t="s">
        <v>4293</v>
      </c>
      <c r="F943" s="490">
        <v>11487</v>
      </c>
      <c r="G943" s="489">
        <v>361.57</v>
      </c>
      <c r="H943" s="489">
        <v>31.769780000000001</v>
      </c>
      <c r="I943" s="487" t="s">
        <v>1499</v>
      </c>
      <c r="J943" s="487" t="s">
        <v>632</v>
      </c>
    </row>
    <row r="944" spans="1:10" ht="15" x14ac:dyDescent="0.2">
      <c r="A944" s="486" t="s">
        <v>631</v>
      </c>
      <c r="B944" s="487" t="s">
        <v>630</v>
      </c>
      <c r="C944" s="488" t="s">
        <v>4294</v>
      </c>
      <c r="D944" s="489" t="s">
        <v>4295</v>
      </c>
      <c r="E944" s="487" t="s">
        <v>4296</v>
      </c>
      <c r="F944" s="490">
        <v>6830</v>
      </c>
      <c r="G944" s="489">
        <v>299.77999999999997</v>
      </c>
      <c r="H944" s="489">
        <v>22.783370000000001</v>
      </c>
      <c r="I944" s="487" t="s">
        <v>1499</v>
      </c>
      <c r="J944" s="487" t="s">
        <v>632</v>
      </c>
    </row>
    <row r="945" spans="1:10" ht="15" x14ac:dyDescent="0.2">
      <c r="A945" s="486" t="s">
        <v>631</v>
      </c>
      <c r="B945" s="487" t="s">
        <v>630</v>
      </c>
      <c r="C945" s="488" t="s">
        <v>4297</v>
      </c>
      <c r="D945" s="489" t="s">
        <v>4298</v>
      </c>
      <c r="E945" s="487" t="s">
        <v>4299</v>
      </c>
      <c r="F945" s="490">
        <v>3300</v>
      </c>
      <c r="G945" s="489">
        <v>77.150000000000006</v>
      </c>
      <c r="H945" s="489">
        <v>42.773820000000001</v>
      </c>
      <c r="I945" s="487" t="s">
        <v>1499</v>
      </c>
      <c r="J945" s="487" t="s">
        <v>632</v>
      </c>
    </row>
    <row r="946" spans="1:10" ht="15" x14ac:dyDescent="0.2">
      <c r="A946" s="486" t="s">
        <v>631</v>
      </c>
      <c r="B946" s="487" t="s">
        <v>630</v>
      </c>
      <c r="C946" s="488" t="s">
        <v>4300</v>
      </c>
      <c r="D946" s="489" t="s">
        <v>4301</v>
      </c>
      <c r="E946" s="487" t="s">
        <v>4302</v>
      </c>
      <c r="F946" s="490">
        <v>3026</v>
      </c>
      <c r="G946" s="489">
        <v>75.489999999999995</v>
      </c>
      <c r="H946" s="489">
        <v>40.084780000000002</v>
      </c>
      <c r="I946" s="487" t="s">
        <v>1499</v>
      </c>
      <c r="J946" s="487" t="s">
        <v>632</v>
      </c>
    </row>
    <row r="947" spans="1:10" ht="15" x14ac:dyDescent="0.2">
      <c r="A947" s="486" t="s">
        <v>631</v>
      </c>
      <c r="B947" s="487" t="s">
        <v>630</v>
      </c>
      <c r="C947" s="488" t="s">
        <v>4303</v>
      </c>
      <c r="D947" s="489" t="s">
        <v>4304</v>
      </c>
      <c r="E947" s="487" t="s">
        <v>4305</v>
      </c>
      <c r="F947" s="490">
        <v>19640</v>
      </c>
      <c r="G947" s="489">
        <v>397.26</v>
      </c>
      <c r="H947" s="489">
        <v>49.438650000000003</v>
      </c>
      <c r="I947" s="487" t="s">
        <v>1499</v>
      </c>
      <c r="J947" s="487" t="s">
        <v>632</v>
      </c>
    </row>
    <row r="948" spans="1:10" ht="15" x14ac:dyDescent="0.2">
      <c r="A948" s="486" t="s">
        <v>631</v>
      </c>
      <c r="B948" s="487" t="s">
        <v>630</v>
      </c>
      <c r="C948" s="488" t="s">
        <v>4306</v>
      </c>
      <c r="D948" s="489" t="s">
        <v>4307</v>
      </c>
      <c r="E948" s="487" t="s">
        <v>4308</v>
      </c>
      <c r="F948" s="490">
        <v>22517</v>
      </c>
      <c r="G948" s="489">
        <v>429.17</v>
      </c>
      <c r="H948" s="489">
        <v>52.466389999999997</v>
      </c>
      <c r="I948" s="487" t="s">
        <v>1499</v>
      </c>
      <c r="J948" s="487" t="s">
        <v>632</v>
      </c>
    </row>
    <row r="949" spans="1:10" ht="15" x14ac:dyDescent="0.2">
      <c r="A949" s="486" t="s">
        <v>631</v>
      </c>
      <c r="B949" s="487" t="s">
        <v>630</v>
      </c>
      <c r="C949" s="488" t="s">
        <v>4309</v>
      </c>
      <c r="D949" s="489" t="s">
        <v>4310</v>
      </c>
      <c r="E949" s="487" t="s">
        <v>4311</v>
      </c>
      <c r="F949" s="490">
        <v>4500</v>
      </c>
      <c r="G949" s="489">
        <v>162.16999999999999</v>
      </c>
      <c r="H949" s="489">
        <v>27.748660000000001</v>
      </c>
      <c r="I949" s="487" t="s">
        <v>1499</v>
      </c>
      <c r="J949" s="487" t="s">
        <v>632</v>
      </c>
    </row>
    <row r="950" spans="1:10" ht="15" x14ac:dyDescent="0.2">
      <c r="A950" s="486" t="s">
        <v>631</v>
      </c>
      <c r="B950" s="487" t="s">
        <v>630</v>
      </c>
      <c r="C950" s="488" t="s">
        <v>4312</v>
      </c>
      <c r="D950" s="489" t="s">
        <v>4313</v>
      </c>
      <c r="E950" s="487" t="s">
        <v>4314</v>
      </c>
      <c r="F950" s="490">
        <v>659095</v>
      </c>
      <c r="G950" s="489">
        <v>6336.22</v>
      </c>
      <c r="H950" s="489">
        <v>104.02021999999999</v>
      </c>
      <c r="I950" s="487" t="s">
        <v>1499</v>
      </c>
      <c r="J950" s="487" t="s">
        <v>632</v>
      </c>
    </row>
    <row r="951" spans="1:10" ht="15" x14ac:dyDescent="0.2">
      <c r="A951" s="486" t="s">
        <v>631</v>
      </c>
      <c r="B951" s="487" t="s">
        <v>630</v>
      </c>
      <c r="C951" s="488" t="s">
        <v>4315</v>
      </c>
      <c r="D951" s="489" t="s">
        <v>4316</v>
      </c>
      <c r="E951" s="487" t="s">
        <v>4317</v>
      </c>
      <c r="F951" s="490">
        <v>150000</v>
      </c>
      <c r="G951" s="489">
        <v>2252.5700000000002</v>
      </c>
      <c r="H951" s="489">
        <v>66.590609999999998</v>
      </c>
      <c r="I951" s="487" t="s">
        <v>1499</v>
      </c>
      <c r="J951" s="487" t="s">
        <v>632</v>
      </c>
    </row>
    <row r="952" spans="1:10" ht="15" x14ac:dyDescent="0.2">
      <c r="A952" s="486" t="s">
        <v>631</v>
      </c>
      <c r="B952" s="487" t="s">
        <v>630</v>
      </c>
      <c r="C952" s="488" t="s">
        <v>4318</v>
      </c>
      <c r="D952" s="489" t="s">
        <v>4319</v>
      </c>
      <c r="E952" s="487" t="s">
        <v>4320</v>
      </c>
      <c r="F952" s="490">
        <v>15000</v>
      </c>
      <c r="G952" s="489">
        <v>615.99</v>
      </c>
      <c r="H952" s="489">
        <v>24.351040000000001</v>
      </c>
      <c r="I952" s="487" t="s">
        <v>1499</v>
      </c>
      <c r="J952" s="487" t="s">
        <v>632</v>
      </c>
    </row>
    <row r="953" spans="1:10" ht="15" x14ac:dyDescent="0.2">
      <c r="A953" s="486" t="s">
        <v>631</v>
      </c>
      <c r="B953" s="487" t="s">
        <v>630</v>
      </c>
      <c r="C953" s="488" t="s">
        <v>4321</v>
      </c>
      <c r="D953" s="489" t="s">
        <v>4322</v>
      </c>
      <c r="E953" s="487" t="s">
        <v>4323</v>
      </c>
      <c r="F953" s="490">
        <v>6105</v>
      </c>
      <c r="G953" s="489">
        <v>804.36</v>
      </c>
      <c r="H953" s="489">
        <v>7.5898899999999996</v>
      </c>
      <c r="I953" s="487" t="s">
        <v>1499</v>
      </c>
      <c r="J953" s="487" t="s">
        <v>632</v>
      </c>
    </row>
    <row r="954" spans="1:10" ht="15" x14ac:dyDescent="0.2">
      <c r="A954" s="486" t="s">
        <v>631</v>
      </c>
      <c r="B954" s="487" t="s">
        <v>630</v>
      </c>
      <c r="C954" s="488" t="s">
        <v>4324</v>
      </c>
      <c r="D954" s="489" t="s">
        <v>4325</v>
      </c>
      <c r="E954" s="487" t="s">
        <v>4326</v>
      </c>
      <c r="F954" s="490">
        <v>815067</v>
      </c>
      <c r="G954" s="489">
        <v>8969.31</v>
      </c>
      <c r="H954" s="489">
        <v>90.872879999999995</v>
      </c>
      <c r="I954" s="487" t="s">
        <v>1499</v>
      </c>
      <c r="J954" s="487" t="s">
        <v>632</v>
      </c>
    </row>
    <row r="955" spans="1:10" ht="15" x14ac:dyDescent="0.2">
      <c r="A955" s="486" t="s">
        <v>631</v>
      </c>
      <c r="B955" s="487" t="s">
        <v>630</v>
      </c>
      <c r="C955" s="488" t="s">
        <v>4327</v>
      </c>
      <c r="D955" s="489" t="s">
        <v>4328</v>
      </c>
      <c r="E955" s="487" t="s">
        <v>4329</v>
      </c>
      <c r="F955" s="490">
        <v>245224</v>
      </c>
      <c r="G955" s="489">
        <v>2632.61</v>
      </c>
      <c r="H955" s="489">
        <v>93.148619999999994</v>
      </c>
      <c r="I955" s="487" t="s">
        <v>1499</v>
      </c>
      <c r="J955" s="487" t="s">
        <v>632</v>
      </c>
    </row>
    <row r="956" spans="1:10" ht="15" x14ac:dyDescent="0.2">
      <c r="A956" s="486" t="s">
        <v>631</v>
      </c>
      <c r="B956" s="487" t="s">
        <v>630</v>
      </c>
      <c r="C956" s="488" t="s">
        <v>4330</v>
      </c>
      <c r="D956" s="489" t="s">
        <v>4331</v>
      </c>
      <c r="E956" s="487" t="s">
        <v>4332</v>
      </c>
      <c r="F956" s="490">
        <v>4500</v>
      </c>
      <c r="G956" s="489">
        <v>183.41</v>
      </c>
      <c r="H956" s="489">
        <v>24.53519</v>
      </c>
      <c r="I956" s="487" t="s">
        <v>1499</v>
      </c>
      <c r="J956" s="487" t="s">
        <v>632</v>
      </c>
    </row>
    <row r="957" spans="1:10" ht="15" x14ac:dyDescent="0.2">
      <c r="A957" s="486" t="s">
        <v>631</v>
      </c>
      <c r="B957" s="487" t="s">
        <v>630</v>
      </c>
      <c r="C957" s="488" t="s">
        <v>4333</v>
      </c>
      <c r="D957" s="489" t="s">
        <v>4334</v>
      </c>
      <c r="E957" s="487" t="s">
        <v>4335</v>
      </c>
      <c r="F957" s="490">
        <v>4000</v>
      </c>
      <c r="G957" s="489">
        <v>332.4</v>
      </c>
      <c r="H957" s="489">
        <v>12.03369</v>
      </c>
      <c r="I957" s="487" t="s">
        <v>1499</v>
      </c>
      <c r="J957" s="487" t="s">
        <v>632</v>
      </c>
    </row>
    <row r="958" spans="1:10" ht="15" x14ac:dyDescent="0.2">
      <c r="A958" s="486" t="s">
        <v>631</v>
      </c>
      <c r="B958" s="487" t="s">
        <v>630</v>
      </c>
      <c r="C958" s="488" t="s">
        <v>4336</v>
      </c>
      <c r="D958" s="489" t="s">
        <v>4337</v>
      </c>
      <c r="E958" s="487" t="s">
        <v>4338</v>
      </c>
      <c r="F958" s="490">
        <v>53210</v>
      </c>
      <c r="G958" s="489">
        <v>1040</v>
      </c>
      <c r="H958" s="489">
        <v>51.163460000000001</v>
      </c>
      <c r="I958" s="487" t="s">
        <v>1499</v>
      </c>
      <c r="J958" s="487" t="s">
        <v>632</v>
      </c>
    </row>
    <row r="959" spans="1:10" ht="15" x14ac:dyDescent="0.2">
      <c r="A959" s="486" t="s">
        <v>631</v>
      </c>
      <c r="B959" s="487" t="s">
        <v>630</v>
      </c>
      <c r="C959" s="488" t="s">
        <v>4339</v>
      </c>
      <c r="D959" s="489" t="s">
        <v>4340</v>
      </c>
      <c r="E959" s="487" t="s">
        <v>4341</v>
      </c>
      <c r="F959" s="490">
        <v>5000</v>
      </c>
      <c r="G959" s="489">
        <v>455.08</v>
      </c>
      <c r="H959" s="489">
        <v>10.987080000000001</v>
      </c>
      <c r="I959" s="487" t="s">
        <v>1499</v>
      </c>
      <c r="J959" s="487" t="s">
        <v>632</v>
      </c>
    </row>
    <row r="960" spans="1:10" ht="15" x14ac:dyDescent="0.2">
      <c r="A960" s="486" t="s">
        <v>631</v>
      </c>
      <c r="B960" s="487" t="s">
        <v>630</v>
      </c>
      <c r="C960" s="488" t="s">
        <v>4342</v>
      </c>
      <c r="D960" s="489" t="s">
        <v>4343</v>
      </c>
      <c r="E960" s="487" t="s">
        <v>4344</v>
      </c>
      <c r="F960" s="490">
        <v>5312</v>
      </c>
      <c r="G960" s="489">
        <v>208.43</v>
      </c>
      <c r="H960" s="489">
        <v>25.485769999999999</v>
      </c>
      <c r="I960" s="487" t="s">
        <v>1499</v>
      </c>
      <c r="J960" s="487" t="s">
        <v>632</v>
      </c>
    </row>
    <row r="961" spans="1:10" ht="15" x14ac:dyDescent="0.2">
      <c r="A961" s="486" t="s">
        <v>631</v>
      </c>
      <c r="B961" s="487" t="s">
        <v>630</v>
      </c>
      <c r="C961" s="488" t="s">
        <v>4345</v>
      </c>
      <c r="D961" s="489" t="s">
        <v>4346</v>
      </c>
      <c r="E961" s="487" t="s">
        <v>4347</v>
      </c>
      <c r="F961" s="490">
        <v>20000</v>
      </c>
      <c r="G961" s="489">
        <v>1729.99</v>
      </c>
      <c r="H961" s="489">
        <v>11.56076</v>
      </c>
      <c r="I961" s="487" t="s">
        <v>1499</v>
      </c>
      <c r="J961" s="487" t="s">
        <v>632</v>
      </c>
    </row>
    <row r="962" spans="1:10" ht="15" x14ac:dyDescent="0.2">
      <c r="A962" s="486" t="s">
        <v>631</v>
      </c>
      <c r="B962" s="487" t="s">
        <v>630</v>
      </c>
      <c r="C962" s="488" t="s">
        <v>4348</v>
      </c>
      <c r="D962" s="489" t="s">
        <v>4349</v>
      </c>
      <c r="E962" s="487" t="s">
        <v>4350</v>
      </c>
      <c r="F962" s="490">
        <v>6924</v>
      </c>
      <c r="G962" s="489">
        <v>153.12</v>
      </c>
      <c r="H962" s="489">
        <v>45.219439999999999</v>
      </c>
      <c r="I962" s="487" t="s">
        <v>1499</v>
      </c>
      <c r="J962" s="487" t="s">
        <v>632</v>
      </c>
    </row>
    <row r="963" spans="1:10" ht="15" x14ac:dyDescent="0.2">
      <c r="A963" s="486" t="s">
        <v>631</v>
      </c>
      <c r="B963" s="487" t="s">
        <v>630</v>
      </c>
      <c r="C963" s="488" t="s">
        <v>4351</v>
      </c>
      <c r="D963" s="489" t="s">
        <v>4352</v>
      </c>
      <c r="E963" s="487" t="s">
        <v>4353</v>
      </c>
      <c r="F963" s="490">
        <v>12935</v>
      </c>
      <c r="G963" s="489">
        <v>387.42</v>
      </c>
      <c r="H963" s="489">
        <v>33.387540000000001</v>
      </c>
      <c r="I963" s="487" t="s">
        <v>1499</v>
      </c>
      <c r="J963" s="487" t="s">
        <v>632</v>
      </c>
    </row>
    <row r="964" spans="1:10" ht="15" x14ac:dyDescent="0.2">
      <c r="A964" s="486" t="s">
        <v>631</v>
      </c>
      <c r="B964" s="487" t="s">
        <v>630</v>
      </c>
      <c r="C964" s="488" t="s">
        <v>4354</v>
      </c>
      <c r="D964" s="489" t="s">
        <v>4355</v>
      </c>
      <c r="E964" s="487" t="s">
        <v>1263</v>
      </c>
      <c r="F964" s="490">
        <v>29500</v>
      </c>
      <c r="G964" s="489">
        <v>1332.62</v>
      </c>
      <c r="H964" s="489">
        <v>22.136839999999999</v>
      </c>
      <c r="I964" s="487" t="s">
        <v>1499</v>
      </c>
      <c r="J964" s="487" t="s">
        <v>632</v>
      </c>
    </row>
    <row r="965" spans="1:10" ht="15" x14ac:dyDescent="0.2">
      <c r="A965" s="486" t="s">
        <v>631</v>
      </c>
      <c r="B965" s="487" t="s">
        <v>630</v>
      </c>
      <c r="C965" s="488" t="s">
        <v>4356</v>
      </c>
      <c r="D965" s="489" t="s">
        <v>4357</v>
      </c>
      <c r="E965" s="487" t="s">
        <v>4358</v>
      </c>
      <c r="F965" s="490">
        <v>7886</v>
      </c>
      <c r="G965" s="489">
        <v>187.6</v>
      </c>
      <c r="H965" s="489">
        <v>42.036250000000003</v>
      </c>
      <c r="I965" s="487" t="s">
        <v>1499</v>
      </c>
      <c r="J965" s="487" t="s">
        <v>632</v>
      </c>
    </row>
    <row r="966" spans="1:10" ht="15" x14ac:dyDescent="0.2">
      <c r="A966" s="486" t="s">
        <v>631</v>
      </c>
      <c r="B966" s="487" t="s">
        <v>630</v>
      </c>
      <c r="C966" s="488" t="s">
        <v>4359</v>
      </c>
      <c r="D966" s="489" t="s">
        <v>4360</v>
      </c>
      <c r="E966" s="487" t="s">
        <v>4361</v>
      </c>
      <c r="F966" s="490">
        <v>3907</v>
      </c>
      <c r="G966" s="489">
        <v>261.70999999999998</v>
      </c>
      <c r="H966" s="489">
        <v>14.928739999999999</v>
      </c>
      <c r="I966" s="487" t="s">
        <v>1499</v>
      </c>
      <c r="J966" s="487" t="s">
        <v>632</v>
      </c>
    </row>
    <row r="967" spans="1:10" ht="15" x14ac:dyDescent="0.2">
      <c r="A967" s="486" t="s">
        <v>631</v>
      </c>
      <c r="B967" s="487" t="s">
        <v>630</v>
      </c>
      <c r="C967" s="488" t="s">
        <v>4362</v>
      </c>
      <c r="D967" s="489" t="s">
        <v>4363</v>
      </c>
      <c r="E967" s="487" t="s">
        <v>4364</v>
      </c>
      <c r="F967" s="490">
        <v>4675</v>
      </c>
      <c r="G967" s="489">
        <v>125.02</v>
      </c>
      <c r="H967" s="489">
        <v>37.394019999999998</v>
      </c>
      <c r="I967" s="487" t="s">
        <v>1499</v>
      </c>
      <c r="J967" s="487" t="s">
        <v>632</v>
      </c>
    </row>
    <row r="968" spans="1:10" ht="15" x14ac:dyDescent="0.2">
      <c r="A968" s="486" t="s">
        <v>631</v>
      </c>
      <c r="B968" s="487" t="s">
        <v>630</v>
      </c>
      <c r="C968" s="488" t="s">
        <v>4365</v>
      </c>
      <c r="D968" s="489" t="s">
        <v>4366</v>
      </c>
      <c r="E968" s="487" t="s">
        <v>4367</v>
      </c>
      <c r="F968" s="490">
        <v>3027</v>
      </c>
      <c r="G968" s="489">
        <v>77.88</v>
      </c>
      <c r="H968" s="489">
        <v>38.867489999999997</v>
      </c>
      <c r="I968" s="487" t="s">
        <v>1499</v>
      </c>
      <c r="J968" s="487" t="s">
        <v>632</v>
      </c>
    </row>
    <row r="969" spans="1:10" ht="15" x14ac:dyDescent="0.2">
      <c r="A969" s="486" t="s">
        <v>631</v>
      </c>
      <c r="B969" s="487" t="s">
        <v>630</v>
      </c>
      <c r="C969" s="488" t="s">
        <v>4368</v>
      </c>
      <c r="D969" s="489" t="s">
        <v>4369</v>
      </c>
      <c r="E969" s="487" t="s">
        <v>4370</v>
      </c>
      <c r="F969" s="490">
        <v>4341</v>
      </c>
      <c r="G969" s="489">
        <v>118.52</v>
      </c>
      <c r="H969" s="489">
        <v>36.626730000000002</v>
      </c>
      <c r="I969" s="487" t="s">
        <v>1499</v>
      </c>
      <c r="J969" s="487" t="s">
        <v>632</v>
      </c>
    </row>
    <row r="970" spans="1:10" ht="15" x14ac:dyDescent="0.2">
      <c r="A970" s="486" t="s">
        <v>631</v>
      </c>
      <c r="B970" s="487" t="s">
        <v>630</v>
      </c>
      <c r="C970" s="488" t="s">
        <v>4371</v>
      </c>
      <c r="D970" s="489" t="s">
        <v>4372</v>
      </c>
      <c r="E970" s="487" t="s">
        <v>4373</v>
      </c>
      <c r="F970" s="490">
        <v>56572</v>
      </c>
      <c r="G970" s="489">
        <v>1589.29</v>
      </c>
      <c r="H970" s="489">
        <v>35.595770000000002</v>
      </c>
      <c r="I970" s="487" t="s">
        <v>1499</v>
      </c>
      <c r="J970" s="487" t="s">
        <v>632</v>
      </c>
    </row>
    <row r="971" spans="1:10" ht="15" x14ac:dyDescent="0.2">
      <c r="A971" s="486" t="s">
        <v>631</v>
      </c>
      <c r="B971" s="487" t="s">
        <v>630</v>
      </c>
      <c r="C971" s="488" t="s">
        <v>4374</v>
      </c>
      <c r="D971" s="489" t="s">
        <v>4375</v>
      </c>
      <c r="E971" s="487" t="s">
        <v>4376</v>
      </c>
      <c r="F971" s="490">
        <v>683295</v>
      </c>
      <c r="G971" s="489">
        <v>12215.9</v>
      </c>
      <c r="H971" s="489">
        <v>55.934890000000003</v>
      </c>
      <c r="I971" s="487" t="s">
        <v>1499</v>
      </c>
      <c r="J971" s="487" t="s">
        <v>632</v>
      </c>
    </row>
    <row r="972" spans="1:10" ht="15" x14ac:dyDescent="0.2">
      <c r="A972" s="486" t="s">
        <v>631</v>
      </c>
      <c r="B972" s="487" t="s">
        <v>630</v>
      </c>
      <c r="C972" s="488" t="s">
        <v>4377</v>
      </c>
      <c r="D972" s="489" t="s">
        <v>4378</v>
      </c>
      <c r="E972" s="487" t="s">
        <v>4379</v>
      </c>
      <c r="F972" s="490">
        <v>100</v>
      </c>
      <c r="G972" s="489">
        <v>95.24</v>
      </c>
      <c r="H972" s="489">
        <v>1.0499799999999999</v>
      </c>
      <c r="I972" s="487" t="s">
        <v>1499</v>
      </c>
      <c r="J972" s="487" t="s">
        <v>632</v>
      </c>
    </row>
    <row r="973" spans="1:10" ht="15" x14ac:dyDescent="0.2">
      <c r="A973" s="486" t="s">
        <v>631</v>
      </c>
      <c r="B973" s="487" t="s">
        <v>630</v>
      </c>
      <c r="C973" s="488" t="s">
        <v>4380</v>
      </c>
      <c r="D973" s="489" t="s">
        <v>4381</v>
      </c>
      <c r="E973" s="487" t="s">
        <v>4382</v>
      </c>
      <c r="F973" s="490">
        <v>76176</v>
      </c>
      <c r="G973" s="489">
        <v>3364.67</v>
      </c>
      <c r="H973" s="489">
        <v>22.639959999999999</v>
      </c>
      <c r="I973" s="487" t="s">
        <v>1499</v>
      </c>
      <c r="J973" s="487" t="s">
        <v>632</v>
      </c>
    </row>
    <row r="974" spans="1:10" ht="15" x14ac:dyDescent="0.2">
      <c r="A974" s="486" t="s">
        <v>631</v>
      </c>
      <c r="B974" s="487" t="s">
        <v>630</v>
      </c>
      <c r="C974" s="488" t="s">
        <v>4383</v>
      </c>
      <c r="D974" s="489" t="s">
        <v>4384</v>
      </c>
      <c r="E974" s="487" t="s">
        <v>4385</v>
      </c>
      <c r="F974" s="490">
        <v>4755</v>
      </c>
      <c r="G974" s="489">
        <v>298.13</v>
      </c>
      <c r="H974" s="489">
        <v>15.94942</v>
      </c>
      <c r="I974" s="487" t="s">
        <v>1499</v>
      </c>
      <c r="J974" s="487" t="s">
        <v>632</v>
      </c>
    </row>
    <row r="975" spans="1:10" ht="15" x14ac:dyDescent="0.2">
      <c r="A975" s="486" t="s">
        <v>631</v>
      </c>
      <c r="B975" s="487" t="s">
        <v>630</v>
      </c>
      <c r="C975" s="488" t="s">
        <v>4386</v>
      </c>
      <c r="D975" s="489" t="s">
        <v>4387</v>
      </c>
      <c r="E975" s="487" t="s">
        <v>4388</v>
      </c>
      <c r="F975" s="490">
        <v>20500</v>
      </c>
      <c r="G975" s="489">
        <v>535.34</v>
      </c>
      <c r="H975" s="489">
        <v>38.293419999999998</v>
      </c>
      <c r="I975" s="487" t="s">
        <v>1499</v>
      </c>
      <c r="J975" s="487" t="s">
        <v>632</v>
      </c>
    </row>
    <row r="976" spans="1:10" ht="15" x14ac:dyDescent="0.2">
      <c r="A976" s="486" t="s">
        <v>631</v>
      </c>
      <c r="B976" s="487" t="s">
        <v>630</v>
      </c>
      <c r="C976" s="488" t="s">
        <v>4389</v>
      </c>
      <c r="D976" s="489" t="s">
        <v>4390</v>
      </c>
      <c r="E976" s="487" t="s">
        <v>4391</v>
      </c>
      <c r="F976" s="490">
        <v>42604</v>
      </c>
      <c r="G976" s="489">
        <v>843.97</v>
      </c>
      <c r="H976" s="489">
        <v>50.480469999999997</v>
      </c>
      <c r="I976" s="487" t="s">
        <v>1499</v>
      </c>
      <c r="J976" s="487" t="s">
        <v>632</v>
      </c>
    </row>
    <row r="977" spans="1:10" ht="15" x14ac:dyDescent="0.2">
      <c r="A977" s="486" t="s">
        <v>631</v>
      </c>
      <c r="B977" s="487" t="s">
        <v>630</v>
      </c>
      <c r="C977" s="488" t="s">
        <v>4392</v>
      </c>
      <c r="D977" s="489" t="s">
        <v>4393</v>
      </c>
      <c r="E977" s="487" t="s">
        <v>4394</v>
      </c>
      <c r="F977" s="490">
        <v>1317527</v>
      </c>
      <c r="G977" s="489">
        <v>19436.66</v>
      </c>
      <c r="H977" s="489">
        <v>67.785669999999996</v>
      </c>
      <c r="I977" s="487" t="s">
        <v>1499</v>
      </c>
      <c r="J977" s="487" t="s">
        <v>632</v>
      </c>
    </row>
    <row r="978" spans="1:10" ht="15" x14ac:dyDescent="0.2">
      <c r="A978" s="486" t="s">
        <v>631</v>
      </c>
      <c r="B978" s="487" t="s">
        <v>630</v>
      </c>
      <c r="C978" s="488" t="s">
        <v>4395</v>
      </c>
      <c r="D978" s="489" t="s">
        <v>4396</v>
      </c>
      <c r="E978" s="487" t="s">
        <v>4397</v>
      </c>
      <c r="F978" s="490">
        <v>1440796</v>
      </c>
      <c r="G978" s="489">
        <v>14814.13</v>
      </c>
      <c r="H978" s="489">
        <v>97.258229999999998</v>
      </c>
      <c r="I978" s="487" t="s">
        <v>1499</v>
      </c>
      <c r="J978" s="487" t="s">
        <v>632</v>
      </c>
    </row>
    <row r="979" spans="1:10" ht="15" x14ac:dyDescent="0.2">
      <c r="A979" s="486" t="s">
        <v>631</v>
      </c>
      <c r="B979" s="487" t="s">
        <v>630</v>
      </c>
      <c r="C979" s="488" t="s">
        <v>4398</v>
      </c>
      <c r="D979" s="489" t="s">
        <v>4399</v>
      </c>
      <c r="E979" s="487" t="s">
        <v>4400</v>
      </c>
      <c r="F979" s="490">
        <v>25500</v>
      </c>
      <c r="G979" s="489">
        <v>414.52</v>
      </c>
      <c r="H979" s="489">
        <v>61.516939999999998</v>
      </c>
      <c r="I979" s="487" t="s">
        <v>1499</v>
      </c>
      <c r="J979" s="487" t="s">
        <v>632</v>
      </c>
    </row>
    <row r="980" spans="1:10" ht="15" x14ac:dyDescent="0.2">
      <c r="A980" s="486" t="s">
        <v>631</v>
      </c>
      <c r="B980" s="487" t="s">
        <v>630</v>
      </c>
      <c r="C980" s="488" t="s">
        <v>4401</v>
      </c>
      <c r="D980" s="489" t="s">
        <v>4402</v>
      </c>
      <c r="E980" s="487" t="s">
        <v>4403</v>
      </c>
      <c r="F980" s="490">
        <v>5500</v>
      </c>
      <c r="G980" s="489">
        <v>239.71</v>
      </c>
      <c r="H980" s="489">
        <v>22.944389999999999</v>
      </c>
      <c r="I980" s="487" t="s">
        <v>1499</v>
      </c>
      <c r="J980" s="487" t="s">
        <v>632</v>
      </c>
    </row>
    <row r="981" spans="1:10" ht="15" x14ac:dyDescent="0.2">
      <c r="A981" s="486" t="s">
        <v>631</v>
      </c>
      <c r="B981" s="487" t="s">
        <v>630</v>
      </c>
      <c r="C981" s="488" t="s">
        <v>4404</v>
      </c>
      <c r="D981" s="489" t="s">
        <v>4405</v>
      </c>
      <c r="E981" s="487" t="s">
        <v>4406</v>
      </c>
      <c r="F981" s="490">
        <v>17914</v>
      </c>
      <c r="G981" s="489">
        <v>537.20000000000005</v>
      </c>
      <c r="H981" s="489">
        <v>33.346980000000002</v>
      </c>
      <c r="I981" s="487" t="s">
        <v>1499</v>
      </c>
      <c r="J981" s="487" t="s">
        <v>632</v>
      </c>
    </row>
    <row r="982" spans="1:10" ht="15" x14ac:dyDescent="0.2">
      <c r="A982" s="486" t="s">
        <v>631</v>
      </c>
      <c r="B982" s="487" t="s">
        <v>630</v>
      </c>
      <c r="C982" s="488" t="s">
        <v>4407</v>
      </c>
      <c r="D982" s="489" t="s">
        <v>4408</v>
      </c>
      <c r="E982" s="487" t="s">
        <v>4409</v>
      </c>
      <c r="F982" s="490">
        <v>12700</v>
      </c>
      <c r="G982" s="489">
        <v>247.34</v>
      </c>
      <c r="H982" s="489">
        <v>51.346319999999999</v>
      </c>
      <c r="I982" s="487" t="s">
        <v>1499</v>
      </c>
      <c r="J982" s="487" t="s">
        <v>632</v>
      </c>
    </row>
    <row r="983" spans="1:10" ht="15" x14ac:dyDescent="0.2">
      <c r="A983" s="486" t="s">
        <v>631</v>
      </c>
      <c r="B983" s="487" t="s">
        <v>630</v>
      </c>
      <c r="C983" s="488" t="s">
        <v>4410</v>
      </c>
      <c r="D983" s="489" t="s">
        <v>4411</v>
      </c>
      <c r="E983" s="487" t="s">
        <v>4412</v>
      </c>
      <c r="F983" s="490">
        <v>4000</v>
      </c>
      <c r="G983" s="489">
        <v>219.66</v>
      </c>
      <c r="H983" s="489">
        <v>18.209959999999999</v>
      </c>
      <c r="I983" s="487" t="s">
        <v>1499</v>
      </c>
      <c r="J983" s="487" t="s">
        <v>632</v>
      </c>
    </row>
    <row r="984" spans="1:10" ht="15" x14ac:dyDescent="0.2">
      <c r="A984" s="486" t="s">
        <v>631</v>
      </c>
      <c r="B984" s="487" t="s">
        <v>630</v>
      </c>
      <c r="C984" s="488" t="s">
        <v>4413</v>
      </c>
      <c r="D984" s="489" t="s">
        <v>4414</v>
      </c>
      <c r="E984" s="487" t="s">
        <v>4415</v>
      </c>
      <c r="F984" s="490">
        <v>7308</v>
      </c>
      <c r="G984" s="489">
        <v>185</v>
      </c>
      <c r="H984" s="489">
        <v>39.502699999999997</v>
      </c>
      <c r="I984" s="487" t="s">
        <v>1499</v>
      </c>
      <c r="J984" s="487" t="s">
        <v>632</v>
      </c>
    </row>
    <row r="985" spans="1:10" ht="15" x14ac:dyDescent="0.2">
      <c r="A985" s="486" t="s">
        <v>631</v>
      </c>
      <c r="B985" s="487" t="s">
        <v>630</v>
      </c>
      <c r="C985" s="488" t="s">
        <v>4416</v>
      </c>
      <c r="D985" s="489" t="s">
        <v>4417</v>
      </c>
      <c r="E985" s="487" t="s">
        <v>4418</v>
      </c>
      <c r="F985" s="490">
        <v>32910</v>
      </c>
      <c r="G985" s="489">
        <v>506.27</v>
      </c>
      <c r="H985" s="489">
        <v>65.004840000000002</v>
      </c>
      <c r="I985" s="487" t="s">
        <v>1499</v>
      </c>
      <c r="J985" s="487" t="s">
        <v>632</v>
      </c>
    </row>
    <row r="986" spans="1:10" ht="15" x14ac:dyDescent="0.2">
      <c r="A986" s="486" t="s">
        <v>631</v>
      </c>
      <c r="B986" s="487" t="s">
        <v>630</v>
      </c>
      <c r="C986" s="488" t="s">
        <v>4419</v>
      </c>
      <c r="D986" s="489" t="s">
        <v>4420</v>
      </c>
      <c r="E986" s="487" t="s">
        <v>4421</v>
      </c>
      <c r="F986" s="490">
        <v>59682</v>
      </c>
      <c r="G986" s="489">
        <v>1207.97</v>
      </c>
      <c r="H986" s="489">
        <v>49.406860000000002</v>
      </c>
      <c r="I986" s="487" t="s">
        <v>1499</v>
      </c>
      <c r="J986" s="487" t="s">
        <v>632</v>
      </c>
    </row>
    <row r="987" spans="1:10" ht="15" x14ac:dyDescent="0.2">
      <c r="A987" s="486" t="s">
        <v>638</v>
      </c>
      <c r="B987" s="487" t="s">
        <v>637</v>
      </c>
      <c r="C987" s="488" t="s">
        <v>4422</v>
      </c>
      <c r="D987" s="489" t="s">
        <v>4423</v>
      </c>
      <c r="E987" s="487" t="s">
        <v>4424</v>
      </c>
      <c r="F987" s="490">
        <v>10620</v>
      </c>
      <c r="G987" s="489">
        <v>321.8</v>
      </c>
      <c r="H987" s="489">
        <v>33.001860000000001</v>
      </c>
      <c r="I987" s="487" t="s">
        <v>1499</v>
      </c>
      <c r="J987" s="487" t="s">
        <v>639</v>
      </c>
    </row>
    <row r="988" spans="1:10" ht="15" x14ac:dyDescent="0.2">
      <c r="A988" s="486" t="s">
        <v>638</v>
      </c>
      <c r="B988" s="487" t="s">
        <v>637</v>
      </c>
      <c r="C988" s="488" t="s">
        <v>4425</v>
      </c>
      <c r="D988" s="489" t="s">
        <v>4426</v>
      </c>
      <c r="E988" s="487" t="s">
        <v>4427</v>
      </c>
      <c r="F988" s="490">
        <v>0</v>
      </c>
      <c r="G988" s="489">
        <v>26.8</v>
      </c>
      <c r="H988" s="489">
        <v>0</v>
      </c>
      <c r="I988" s="487" t="s">
        <v>1593</v>
      </c>
      <c r="J988" s="487" t="s">
        <v>639</v>
      </c>
    </row>
    <row r="989" spans="1:10" ht="15" x14ac:dyDescent="0.2">
      <c r="A989" s="486" t="s">
        <v>638</v>
      </c>
      <c r="B989" s="487" t="s">
        <v>637</v>
      </c>
      <c r="C989" s="488" t="s">
        <v>4428</v>
      </c>
      <c r="D989" s="489" t="s">
        <v>4429</v>
      </c>
      <c r="E989" s="487" t="s">
        <v>4430</v>
      </c>
      <c r="F989" s="490">
        <v>8500</v>
      </c>
      <c r="G989" s="489">
        <v>413.7</v>
      </c>
      <c r="H989" s="489">
        <v>20.546289999999999</v>
      </c>
      <c r="I989" s="487" t="s">
        <v>1499</v>
      </c>
      <c r="J989" s="487" t="s">
        <v>639</v>
      </c>
    </row>
    <row r="990" spans="1:10" ht="15" x14ac:dyDescent="0.2">
      <c r="A990" s="486" t="s">
        <v>638</v>
      </c>
      <c r="B990" s="487" t="s">
        <v>637</v>
      </c>
      <c r="C990" s="488" t="s">
        <v>4431</v>
      </c>
      <c r="D990" s="489" t="s">
        <v>4432</v>
      </c>
      <c r="E990" s="487" t="s">
        <v>4433</v>
      </c>
      <c r="F990" s="490">
        <v>5500</v>
      </c>
      <c r="G990" s="489">
        <v>247.9</v>
      </c>
      <c r="H990" s="489">
        <v>22.18637</v>
      </c>
      <c r="I990" s="487" t="s">
        <v>1499</v>
      </c>
      <c r="J990" s="487" t="s">
        <v>639</v>
      </c>
    </row>
    <row r="991" spans="1:10" ht="15" x14ac:dyDescent="0.2">
      <c r="A991" s="486" t="s">
        <v>638</v>
      </c>
      <c r="B991" s="487" t="s">
        <v>637</v>
      </c>
      <c r="C991" s="488" t="s">
        <v>4434</v>
      </c>
      <c r="D991" s="489" t="s">
        <v>4435</v>
      </c>
      <c r="E991" s="487" t="s">
        <v>4436</v>
      </c>
      <c r="F991" s="490">
        <v>6212</v>
      </c>
      <c r="G991" s="489">
        <v>217.6</v>
      </c>
      <c r="H991" s="489">
        <v>28.547789999999999</v>
      </c>
      <c r="I991" s="487" t="s">
        <v>1499</v>
      </c>
      <c r="J991" s="487" t="s">
        <v>639</v>
      </c>
    </row>
    <row r="992" spans="1:10" ht="15" x14ac:dyDescent="0.2">
      <c r="A992" s="486" t="s">
        <v>638</v>
      </c>
      <c r="B992" s="487" t="s">
        <v>637</v>
      </c>
      <c r="C992" s="488" t="s">
        <v>4437</v>
      </c>
      <c r="D992" s="489" t="s">
        <v>4438</v>
      </c>
      <c r="E992" s="487" t="s">
        <v>4439</v>
      </c>
      <c r="F992" s="490">
        <v>12710</v>
      </c>
      <c r="G992" s="489">
        <v>411.9</v>
      </c>
      <c r="H992" s="489">
        <v>30.856999999999999</v>
      </c>
      <c r="I992" s="487" t="s">
        <v>1499</v>
      </c>
      <c r="J992" s="487" t="s">
        <v>639</v>
      </c>
    </row>
    <row r="993" spans="1:10" ht="15" x14ac:dyDescent="0.2">
      <c r="A993" s="486" t="s">
        <v>638</v>
      </c>
      <c r="B993" s="487" t="s">
        <v>637</v>
      </c>
      <c r="C993" s="488" t="s">
        <v>4440</v>
      </c>
      <c r="D993" s="489" t="s">
        <v>4441</v>
      </c>
      <c r="E993" s="487" t="s">
        <v>4442</v>
      </c>
      <c r="F993" s="490">
        <v>750</v>
      </c>
      <c r="G993" s="489">
        <v>48.2</v>
      </c>
      <c r="H993" s="489">
        <v>15.560169999999999</v>
      </c>
      <c r="I993" s="487" t="s">
        <v>1499</v>
      </c>
      <c r="J993" s="487" t="s">
        <v>639</v>
      </c>
    </row>
    <row r="994" spans="1:10" ht="15" x14ac:dyDescent="0.2">
      <c r="A994" s="486" t="s">
        <v>638</v>
      </c>
      <c r="B994" s="487" t="s">
        <v>637</v>
      </c>
      <c r="C994" s="488" t="s">
        <v>4443</v>
      </c>
      <c r="D994" s="489" t="s">
        <v>4444</v>
      </c>
      <c r="E994" s="487" t="s">
        <v>4445</v>
      </c>
      <c r="F994" s="490">
        <v>0</v>
      </c>
      <c r="G994" s="489">
        <v>0</v>
      </c>
      <c r="H994" s="489">
        <v>0</v>
      </c>
      <c r="I994" s="487" t="s">
        <v>2465</v>
      </c>
      <c r="J994" s="487" t="s">
        <v>639</v>
      </c>
    </row>
    <row r="995" spans="1:10" ht="15" x14ac:dyDescent="0.2">
      <c r="A995" s="486" t="s">
        <v>638</v>
      </c>
      <c r="B995" s="487" t="s">
        <v>637</v>
      </c>
      <c r="C995" s="488" t="s">
        <v>4446</v>
      </c>
      <c r="D995" s="489" t="s">
        <v>4447</v>
      </c>
      <c r="E995" s="487" t="s">
        <v>4448</v>
      </c>
      <c r="F995" s="490">
        <v>123750</v>
      </c>
      <c r="G995" s="489">
        <v>1759.9</v>
      </c>
      <c r="H995" s="489">
        <v>70.316500000000005</v>
      </c>
      <c r="I995" s="487" t="s">
        <v>1499</v>
      </c>
      <c r="J995" s="487" t="s">
        <v>639</v>
      </c>
    </row>
    <row r="996" spans="1:10" ht="15" x14ac:dyDescent="0.2">
      <c r="A996" s="486" t="s">
        <v>638</v>
      </c>
      <c r="B996" s="487" t="s">
        <v>637</v>
      </c>
      <c r="C996" s="488" t="s">
        <v>4449</v>
      </c>
      <c r="D996" s="489" t="s">
        <v>4450</v>
      </c>
      <c r="E996" s="487" t="s">
        <v>4451</v>
      </c>
      <c r="F996" s="490">
        <v>28000</v>
      </c>
      <c r="G996" s="489">
        <v>430.9</v>
      </c>
      <c r="H996" s="489">
        <v>64.980270000000004</v>
      </c>
      <c r="I996" s="487" t="s">
        <v>1499</v>
      </c>
      <c r="J996" s="487" t="s">
        <v>639</v>
      </c>
    </row>
    <row r="997" spans="1:10" ht="15" x14ac:dyDescent="0.2">
      <c r="A997" s="486" t="s">
        <v>638</v>
      </c>
      <c r="B997" s="487" t="s">
        <v>637</v>
      </c>
      <c r="C997" s="488" t="s">
        <v>4452</v>
      </c>
      <c r="D997" s="489" t="s">
        <v>4453</v>
      </c>
      <c r="E997" s="487" t="s">
        <v>4454</v>
      </c>
      <c r="F997" s="490">
        <v>6000</v>
      </c>
      <c r="G997" s="489">
        <v>153.9</v>
      </c>
      <c r="H997" s="489">
        <v>38.986350000000002</v>
      </c>
      <c r="I997" s="487" t="s">
        <v>1499</v>
      </c>
      <c r="J997" s="487" t="s">
        <v>639</v>
      </c>
    </row>
    <row r="998" spans="1:10" ht="15" x14ac:dyDescent="0.2">
      <c r="A998" s="486" t="s">
        <v>638</v>
      </c>
      <c r="B998" s="487" t="s">
        <v>637</v>
      </c>
      <c r="C998" s="488" t="s">
        <v>4455</v>
      </c>
      <c r="D998" s="489" t="s">
        <v>4456</v>
      </c>
      <c r="E998" s="487" t="s">
        <v>4457</v>
      </c>
      <c r="F998" s="490">
        <v>0</v>
      </c>
      <c r="G998" s="489">
        <v>0</v>
      </c>
      <c r="H998" s="489">
        <v>0</v>
      </c>
      <c r="I998" s="487" t="s">
        <v>2465</v>
      </c>
      <c r="J998" s="487" t="s">
        <v>639</v>
      </c>
    </row>
    <row r="999" spans="1:10" ht="15" x14ac:dyDescent="0.2">
      <c r="A999" s="486" t="s">
        <v>638</v>
      </c>
      <c r="B999" s="487" t="s">
        <v>637</v>
      </c>
      <c r="C999" s="488" t="s">
        <v>4458</v>
      </c>
      <c r="D999" s="489" t="s">
        <v>4459</v>
      </c>
      <c r="E999" s="487" t="s">
        <v>4460</v>
      </c>
      <c r="F999" s="490">
        <v>8000</v>
      </c>
      <c r="G999" s="489">
        <v>258.2</v>
      </c>
      <c r="H999" s="489">
        <v>30.983730000000001</v>
      </c>
      <c r="I999" s="487" t="s">
        <v>2465</v>
      </c>
      <c r="J999" s="487" t="s">
        <v>639</v>
      </c>
    </row>
    <row r="1000" spans="1:10" ht="15" x14ac:dyDescent="0.2">
      <c r="A1000" s="486" t="s">
        <v>638</v>
      </c>
      <c r="B1000" s="487" t="s">
        <v>637</v>
      </c>
      <c r="C1000" s="488" t="s">
        <v>4461</v>
      </c>
      <c r="D1000" s="489" t="s">
        <v>4462</v>
      </c>
      <c r="E1000" s="487" t="s">
        <v>4463</v>
      </c>
      <c r="F1000" s="490">
        <v>5000</v>
      </c>
      <c r="G1000" s="489">
        <v>97.5</v>
      </c>
      <c r="H1000" s="489">
        <v>51.282049999999998</v>
      </c>
      <c r="I1000" s="487" t="s">
        <v>1499</v>
      </c>
      <c r="J1000" s="487" t="s">
        <v>639</v>
      </c>
    </row>
    <row r="1001" spans="1:10" ht="15" x14ac:dyDescent="0.2">
      <c r="A1001" s="486" t="s">
        <v>638</v>
      </c>
      <c r="B1001" s="487" t="s">
        <v>637</v>
      </c>
      <c r="C1001" s="488" t="s">
        <v>4464</v>
      </c>
      <c r="D1001" s="489" t="s">
        <v>4465</v>
      </c>
      <c r="E1001" s="487" t="s">
        <v>4466</v>
      </c>
      <c r="F1001" s="490">
        <v>3225</v>
      </c>
      <c r="G1001" s="489">
        <v>115.2</v>
      </c>
      <c r="H1001" s="489">
        <v>27.994789999999998</v>
      </c>
      <c r="I1001" s="487" t="s">
        <v>1499</v>
      </c>
      <c r="J1001" s="487" t="s">
        <v>639</v>
      </c>
    </row>
    <row r="1002" spans="1:10" ht="15" x14ac:dyDescent="0.2">
      <c r="A1002" s="486" t="s">
        <v>638</v>
      </c>
      <c r="B1002" s="487" t="s">
        <v>637</v>
      </c>
      <c r="C1002" s="488" t="s">
        <v>4467</v>
      </c>
      <c r="D1002" s="489" t="s">
        <v>4468</v>
      </c>
      <c r="E1002" s="487" t="s">
        <v>4469</v>
      </c>
      <c r="F1002" s="490">
        <v>5500</v>
      </c>
      <c r="G1002" s="489">
        <v>152.69999999999999</v>
      </c>
      <c r="H1002" s="489">
        <v>36.018340000000002</v>
      </c>
      <c r="I1002" s="487" t="s">
        <v>2465</v>
      </c>
      <c r="J1002" s="487" t="s">
        <v>639</v>
      </c>
    </row>
    <row r="1003" spans="1:10" ht="15" x14ac:dyDescent="0.2">
      <c r="A1003" s="486" t="s">
        <v>638</v>
      </c>
      <c r="B1003" s="487" t="s">
        <v>637</v>
      </c>
      <c r="C1003" s="488" t="s">
        <v>4470</v>
      </c>
      <c r="D1003" s="489" t="s">
        <v>4471</v>
      </c>
      <c r="E1003" s="487" t="s">
        <v>4472</v>
      </c>
      <c r="F1003" s="490">
        <v>0</v>
      </c>
      <c r="G1003" s="489">
        <v>0</v>
      </c>
      <c r="H1003" s="489">
        <v>0</v>
      </c>
      <c r="I1003" s="487" t="s">
        <v>1593</v>
      </c>
      <c r="J1003" s="487" t="s">
        <v>639</v>
      </c>
    </row>
    <row r="1004" spans="1:10" ht="15" x14ac:dyDescent="0.2">
      <c r="A1004" s="486" t="s">
        <v>638</v>
      </c>
      <c r="B1004" s="487" t="s">
        <v>637</v>
      </c>
      <c r="C1004" s="488" t="s">
        <v>4473</v>
      </c>
      <c r="D1004" s="489" t="s">
        <v>4474</v>
      </c>
      <c r="E1004" s="487" t="s">
        <v>4475</v>
      </c>
      <c r="F1004" s="490">
        <v>0</v>
      </c>
      <c r="G1004" s="489">
        <v>1.8</v>
      </c>
      <c r="H1004" s="489">
        <v>0</v>
      </c>
      <c r="I1004" s="487" t="s">
        <v>1593</v>
      </c>
      <c r="J1004" s="487" t="s">
        <v>639</v>
      </c>
    </row>
    <row r="1005" spans="1:10" ht="15" x14ac:dyDescent="0.2">
      <c r="A1005" s="486" t="s">
        <v>638</v>
      </c>
      <c r="B1005" s="487" t="s">
        <v>637</v>
      </c>
      <c r="C1005" s="488" t="s">
        <v>4476</v>
      </c>
      <c r="D1005" s="489" t="s">
        <v>4477</v>
      </c>
      <c r="E1005" s="487" t="s">
        <v>4478</v>
      </c>
      <c r="F1005" s="490">
        <v>840</v>
      </c>
      <c r="G1005" s="489">
        <v>43.1</v>
      </c>
      <c r="H1005" s="489">
        <v>19.489560000000001</v>
      </c>
      <c r="I1005" s="487" t="s">
        <v>1499</v>
      </c>
      <c r="J1005" s="487" t="s">
        <v>639</v>
      </c>
    </row>
    <row r="1006" spans="1:10" ht="15" x14ac:dyDescent="0.2">
      <c r="A1006" s="486" t="s">
        <v>638</v>
      </c>
      <c r="B1006" s="487" t="s">
        <v>637</v>
      </c>
      <c r="C1006" s="488" t="s">
        <v>4479</v>
      </c>
      <c r="D1006" s="489" t="s">
        <v>4480</v>
      </c>
      <c r="E1006" s="487" t="s">
        <v>4481</v>
      </c>
      <c r="F1006" s="490">
        <v>76500</v>
      </c>
      <c r="G1006" s="489">
        <v>1069.9000000000001</v>
      </c>
      <c r="H1006" s="489">
        <v>71.502009999999999</v>
      </c>
      <c r="I1006" s="487" t="s">
        <v>1499</v>
      </c>
      <c r="J1006" s="487" t="s">
        <v>639</v>
      </c>
    </row>
    <row r="1007" spans="1:10" ht="15" x14ac:dyDescent="0.2">
      <c r="A1007" s="486" t="s">
        <v>638</v>
      </c>
      <c r="B1007" s="487" t="s">
        <v>637</v>
      </c>
      <c r="C1007" s="488" t="s">
        <v>4482</v>
      </c>
      <c r="D1007" s="489" t="s">
        <v>4483</v>
      </c>
      <c r="E1007" s="487" t="s">
        <v>4484</v>
      </c>
      <c r="F1007" s="490">
        <v>7142</v>
      </c>
      <c r="G1007" s="489">
        <v>178.5</v>
      </c>
      <c r="H1007" s="489">
        <v>40.011200000000002</v>
      </c>
      <c r="I1007" s="487" t="s">
        <v>1499</v>
      </c>
      <c r="J1007" s="487" t="s">
        <v>639</v>
      </c>
    </row>
    <row r="1008" spans="1:10" ht="15" x14ac:dyDescent="0.2">
      <c r="A1008" s="486" t="s">
        <v>638</v>
      </c>
      <c r="B1008" s="487" t="s">
        <v>637</v>
      </c>
      <c r="C1008" s="488" t="s">
        <v>4485</v>
      </c>
      <c r="D1008" s="489" t="s">
        <v>4486</v>
      </c>
      <c r="E1008" s="487" t="s">
        <v>4487</v>
      </c>
      <c r="F1008" s="490">
        <v>28129</v>
      </c>
      <c r="G1008" s="489">
        <v>446.8</v>
      </c>
      <c r="H1008" s="489">
        <v>62.956580000000002</v>
      </c>
      <c r="I1008" s="487" t="s">
        <v>1499</v>
      </c>
      <c r="J1008" s="487" t="s">
        <v>639</v>
      </c>
    </row>
    <row r="1009" spans="1:10" ht="15" x14ac:dyDescent="0.2">
      <c r="A1009" s="486" t="s">
        <v>638</v>
      </c>
      <c r="B1009" s="487" t="s">
        <v>637</v>
      </c>
      <c r="C1009" s="488" t="s">
        <v>4488</v>
      </c>
      <c r="D1009" s="489" t="s">
        <v>4489</v>
      </c>
      <c r="E1009" s="487" t="s">
        <v>4490</v>
      </c>
      <c r="F1009" s="490">
        <v>0</v>
      </c>
      <c r="G1009" s="489">
        <v>0</v>
      </c>
      <c r="H1009" s="489">
        <v>0</v>
      </c>
      <c r="I1009" s="487" t="s">
        <v>2465</v>
      </c>
      <c r="J1009" s="487" t="s">
        <v>639</v>
      </c>
    </row>
    <row r="1010" spans="1:10" ht="15" x14ac:dyDescent="0.2">
      <c r="A1010" s="486" t="s">
        <v>638</v>
      </c>
      <c r="B1010" s="487" t="s">
        <v>637</v>
      </c>
      <c r="C1010" s="488" t="s">
        <v>4491</v>
      </c>
      <c r="D1010" s="489" t="s">
        <v>4492</v>
      </c>
      <c r="E1010" s="487" t="s">
        <v>4493</v>
      </c>
      <c r="F1010" s="490">
        <v>11000</v>
      </c>
      <c r="G1010" s="489">
        <v>243.8</v>
      </c>
      <c r="H1010" s="489">
        <v>45.118949999999998</v>
      </c>
      <c r="I1010" s="487" t="s">
        <v>1499</v>
      </c>
      <c r="J1010" s="487" t="s">
        <v>639</v>
      </c>
    </row>
    <row r="1011" spans="1:10" ht="15" x14ac:dyDescent="0.2">
      <c r="A1011" s="486" t="s">
        <v>638</v>
      </c>
      <c r="B1011" s="487" t="s">
        <v>637</v>
      </c>
      <c r="C1011" s="488" t="s">
        <v>4494</v>
      </c>
      <c r="D1011" s="489" t="s">
        <v>4495</v>
      </c>
      <c r="E1011" s="487" t="s">
        <v>4496</v>
      </c>
      <c r="F1011" s="490">
        <v>0</v>
      </c>
      <c r="G1011" s="489">
        <v>127.2</v>
      </c>
      <c r="H1011" s="489">
        <v>0</v>
      </c>
      <c r="I1011" s="487" t="s">
        <v>1593</v>
      </c>
      <c r="J1011" s="487" t="s">
        <v>639</v>
      </c>
    </row>
    <row r="1012" spans="1:10" ht="15" x14ac:dyDescent="0.2">
      <c r="A1012" s="486" t="s">
        <v>638</v>
      </c>
      <c r="B1012" s="487" t="s">
        <v>637</v>
      </c>
      <c r="C1012" s="488" t="s">
        <v>4497</v>
      </c>
      <c r="D1012" s="489" t="s">
        <v>4498</v>
      </c>
      <c r="E1012" s="487" t="s">
        <v>4499</v>
      </c>
      <c r="F1012" s="490">
        <v>106500</v>
      </c>
      <c r="G1012" s="489">
        <v>2726</v>
      </c>
      <c r="H1012" s="489">
        <v>39.06823</v>
      </c>
      <c r="I1012" s="487" t="s">
        <v>1499</v>
      </c>
      <c r="J1012" s="487" t="s">
        <v>639</v>
      </c>
    </row>
    <row r="1013" spans="1:10" ht="15" x14ac:dyDescent="0.2">
      <c r="A1013" s="486" t="s">
        <v>638</v>
      </c>
      <c r="B1013" s="487" t="s">
        <v>637</v>
      </c>
      <c r="C1013" s="488" t="s">
        <v>4500</v>
      </c>
      <c r="D1013" s="489" t="s">
        <v>4501</v>
      </c>
      <c r="E1013" s="487" t="s">
        <v>4502</v>
      </c>
      <c r="F1013" s="490">
        <v>9000</v>
      </c>
      <c r="G1013" s="489">
        <v>99.7</v>
      </c>
      <c r="H1013" s="489">
        <v>90.270809999999997</v>
      </c>
      <c r="I1013" s="487" t="s">
        <v>1499</v>
      </c>
      <c r="J1013" s="487" t="s">
        <v>639</v>
      </c>
    </row>
    <row r="1014" spans="1:10" ht="15" x14ac:dyDescent="0.2">
      <c r="A1014" s="486" t="s">
        <v>638</v>
      </c>
      <c r="B1014" s="487" t="s">
        <v>637</v>
      </c>
      <c r="C1014" s="488" t="s">
        <v>4503</v>
      </c>
      <c r="D1014" s="489" t="s">
        <v>4504</v>
      </c>
      <c r="E1014" s="487" t="s">
        <v>4505</v>
      </c>
      <c r="F1014" s="490">
        <v>36058.050000000003</v>
      </c>
      <c r="G1014" s="489">
        <v>1419.3</v>
      </c>
      <c r="H1014" s="489">
        <v>25.405519999999999</v>
      </c>
      <c r="I1014" s="487" t="s">
        <v>2465</v>
      </c>
      <c r="J1014" s="487" t="s">
        <v>639</v>
      </c>
    </row>
    <row r="1015" spans="1:10" ht="15" x14ac:dyDescent="0.2">
      <c r="A1015" s="486" t="s">
        <v>638</v>
      </c>
      <c r="B1015" s="487" t="s">
        <v>637</v>
      </c>
      <c r="C1015" s="488" t="s">
        <v>4506</v>
      </c>
      <c r="D1015" s="489" t="s">
        <v>4507</v>
      </c>
      <c r="E1015" s="487" t="s">
        <v>4508</v>
      </c>
      <c r="F1015" s="490">
        <v>0</v>
      </c>
      <c r="G1015" s="489">
        <v>0</v>
      </c>
      <c r="H1015" s="489">
        <v>0</v>
      </c>
      <c r="I1015" s="487" t="s">
        <v>2465</v>
      </c>
      <c r="J1015" s="487" t="s">
        <v>639</v>
      </c>
    </row>
    <row r="1016" spans="1:10" ht="15" x14ac:dyDescent="0.2">
      <c r="A1016" s="486" t="s">
        <v>638</v>
      </c>
      <c r="B1016" s="487" t="s">
        <v>637</v>
      </c>
      <c r="C1016" s="488" t="s">
        <v>4509</v>
      </c>
      <c r="D1016" s="489" t="s">
        <v>4510</v>
      </c>
      <c r="E1016" s="487" t="s">
        <v>4511</v>
      </c>
      <c r="F1016" s="490">
        <v>9220</v>
      </c>
      <c r="G1016" s="489">
        <v>239.4</v>
      </c>
      <c r="H1016" s="489">
        <v>38.512949999999996</v>
      </c>
      <c r="I1016" s="487" t="s">
        <v>1499</v>
      </c>
      <c r="J1016" s="487" t="s">
        <v>639</v>
      </c>
    </row>
    <row r="1017" spans="1:10" ht="15" x14ac:dyDescent="0.2">
      <c r="A1017" s="486" t="s">
        <v>638</v>
      </c>
      <c r="B1017" s="487" t="s">
        <v>637</v>
      </c>
      <c r="C1017" s="488" t="s">
        <v>4512</v>
      </c>
      <c r="D1017" s="489" t="s">
        <v>4513</v>
      </c>
      <c r="E1017" s="487" t="s">
        <v>4514</v>
      </c>
      <c r="F1017" s="490">
        <v>5000</v>
      </c>
      <c r="G1017" s="489">
        <v>213.8</v>
      </c>
      <c r="H1017" s="489">
        <v>23.386340000000001</v>
      </c>
      <c r="I1017" s="487" t="s">
        <v>1499</v>
      </c>
      <c r="J1017" s="487" t="s">
        <v>639</v>
      </c>
    </row>
    <row r="1018" spans="1:10" ht="15" x14ac:dyDescent="0.2">
      <c r="A1018" s="486" t="s">
        <v>638</v>
      </c>
      <c r="B1018" s="487" t="s">
        <v>637</v>
      </c>
      <c r="C1018" s="488" t="s">
        <v>4515</v>
      </c>
      <c r="D1018" s="489" t="s">
        <v>4516</v>
      </c>
      <c r="E1018" s="487" t="s">
        <v>3871</v>
      </c>
      <c r="F1018" s="490">
        <v>66466</v>
      </c>
      <c r="G1018" s="489">
        <v>1078.4000000000001</v>
      </c>
      <c r="H1018" s="489">
        <v>61.633899999999997</v>
      </c>
      <c r="I1018" s="487" t="s">
        <v>1499</v>
      </c>
      <c r="J1018" s="487" t="s">
        <v>639</v>
      </c>
    </row>
    <row r="1019" spans="1:10" ht="15" x14ac:dyDescent="0.2">
      <c r="A1019" s="486" t="s">
        <v>638</v>
      </c>
      <c r="B1019" s="487" t="s">
        <v>637</v>
      </c>
      <c r="C1019" s="488" t="s">
        <v>4517</v>
      </c>
      <c r="D1019" s="489" t="s">
        <v>4518</v>
      </c>
      <c r="E1019" s="487" t="s">
        <v>4519</v>
      </c>
      <c r="F1019" s="490">
        <v>42000</v>
      </c>
      <c r="G1019" s="489">
        <v>978.7</v>
      </c>
      <c r="H1019" s="489">
        <v>42.914070000000002</v>
      </c>
      <c r="I1019" s="487" t="s">
        <v>1499</v>
      </c>
      <c r="J1019" s="487" t="s">
        <v>639</v>
      </c>
    </row>
    <row r="1020" spans="1:10" ht="15" x14ac:dyDescent="0.2">
      <c r="A1020" s="486" t="s">
        <v>638</v>
      </c>
      <c r="B1020" s="487" t="s">
        <v>637</v>
      </c>
      <c r="C1020" s="488" t="s">
        <v>4520</v>
      </c>
      <c r="D1020" s="489" t="s">
        <v>4521</v>
      </c>
      <c r="E1020" s="487" t="s">
        <v>4522</v>
      </c>
      <c r="F1020" s="490">
        <v>301646</v>
      </c>
      <c r="G1020" s="489">
        <v>3776.1</v>
      </c>
      <c r="H1020" s="489">
        <v>79.882949999999994</v>
      </c>
      <c r="I1020" s="487" t="s">
        <v>1499</v>
      </c>
      <c r="J1020" s="487" t="s">
        <v>639</v>
      </c>
    </row>
    <row r="1021" spans="1:10" ht="15" x14ac:dyDescent="0.2">
      <c r="A1021" s="486" t="s">
        <v>638</v>
      </c>
      <c r="B1021" s="487" t="s">
        <v>637</v>
      </c>
      <c r="C1021" s="488" t="s">
        <v>4523</v>
      </c>
      <c r="D1021" s="489" t="s">
        <v>4524</v>
      </c>
      <c r="E1021" s="487" t="s">
        <v>4525</v>
      </c>
      <c r="F1021" s="490">
        <v>98000</v>
      </c>
      <c r="G1021" s="489">
        <v>3310.4</v>
      </c>
      <c r="H1021" s="489">
        <v>29.603670000000001</v>
      </c>
      <c r="I1021" s="487" t="s">
        <v>1499</v>
      </c>
      <c r="J1021" s="487" t="s">
        <v>639</v>
      </c>
    </row>
    <row r="1022" spans="1:10" ht="15" x14ac:dyDescent="0.2">
      <c r="A1022" s="486" t="s">
        <v>638</v>
      </c>
      <c r="B1022" s="487" t="s">
        <v>637</v>
      </c>
      <c r="C1022" s="488" t="s">
        <v>4526</v>
      </c>
      <c r="D1022" s="489" t="s">
        <v>4527</v>
      </c>
      <c r="E1022" s="487" t="s">
        <v>4528</v>
      </c>
      <c r="F1022" s="490">
        <v>11508.31</v>
      </c>
      <c r="G1022" s="489">
        <v>211.6</v>
      </c>
      <c r="H1022" s="489">
        <v>54.387099999999997</v>
      </c>
      <c r="I1022" s="487" t="s">
        <v>1499</v>
      </c>
      <c r="J1022" s="487" t="s">
        <v>639</v>
      </c>
    </row>
    <row r="1023" spans="1:10" ht="15" x14ac:dyDescent="0.2">
      <c r="A1023" s="486" t="s">
        <v>638</v>
      </c>
      <c r="B1023" s="487" t="s">
        <v>637</v>
      </c>
      <c r="C1023" s="488" t="s">
        <v>4529</v>
      </c>
      <c r="D1023" s="489" t="s">
        <v>4530</v>
      </c>
      <c r="E1023" s="487" t="s">
        <v>4531</v>
      </c>
      <c r="F1023" s="490">
        <v>25782</v>
      </c>
      <c r="G1023" s="489">
        <v>679</v>
      </c>
      <c r="H1023" s="489">
        <v>37.97054</v>
      </c>
      <c r="I1023" s="487" t="s">
        <v>1499</v>
      </c>
      <c r="J1023" s="487" t="s">
        <v>639</v>
      </c>
    </row>
    <row r="1024" spans="1:10" ht="15" x14ac:dyDescent="0.2">
      <c r="A1024" s="486" t="s">
        <v>638</v>
      </c>
      <c r="B1024" s="487" t="s">
        <v>637</v>
      </c>
      <c r="C1024" s="488" t="s">
        <v>4532</v>
      </c>
      <c r="D1024" s="489" t="s">
        <v>4533</v>
      </c>
      <c r="E1024" s="487" t="s">
        <v>4534</v>
      </c>
      <c r="F1024" s="490">
        <v>210200</v>
      </c>
      <c r="G1024" s="489">
        <v>3582.5</v>
      </c>
      <c r="H1024" s="489">
        <v>58.674109999999999</v>
      </c>
      <c r="I1024" s="487" t="s">
        <v>1499</v>
      </c>
      <c r="J1024" s="487" t="s">
        <v>639</v>
      </c>
    </row>
    <row r="1025" spans="1:10" ht="15" x14ac:dyDescent="0.2">
      <c r="A1025" s="486" t="s">
        <v>638</v>
      </c>
      <c r="B1025" s="487" t="s">
        <v>637</v>
      </c>
      <c r="C1025" s="488" t="s">
        <v>4535</v>
      </c>
      <c r="D1025" s="489" t="s">
        <v>4536</v>
      </c>
      <c r="E1025" s="487" t="s">
        <v>4537</v>
      </c>
      <c r="F1025" s="490">
        <v>0</v>
      </c>
      <c r="G1025" s="489">
        <v>0</v>
      </c>
      <c r="H1025" s="489">
        <v>0</v>
      </c>
      <c r="I1025" s="487" t="s">
        <v>2465</v>
      </c>
      <c r="J1025" s="487" t="s">
        <v>639</v>
      </c>
    </row>
    <row r="1026" spans="1:10" ht="15" x14ac:dyDescent="0.2">
      <c r="A1026" s="486" t="s">
        <v>638</v>
      </c>
      <c r="B1026" s="487" t="s">
        <v>637</v>
      </c>
      <c r="C1026" s="488" t="s">
        <v>4538</v>
      </c>
      <c r="D1026" s="489" t="s">
        <v>4539</v>
      </c>
      <c r="E1026" s="487" t="s">
        <v>4540</v>
      </c>
      <c r="F1026" s="490">
        <v>124250</v>
      </c>
      <c r="G1026" s="489">
        <v>2171.8000000000002</v>
      </c>
      <c r="H1026" s="489">
        <v>57.210610000000003</v>
      </c>
      <c r="I1026" s="487" t="s">
        <v>1499</v>
      </c>
      <c r="J1026" s="487" t="s">
        <v>639</v>
      </c>
    </row>
    <row r="1027" spans="1:10" ht="15" x14ac:dyDescent="0.2">
      <c r="A1027" s="486" t="s">
        <v>638</v>
      </c>
      <c r="B1027" s="487" t="s">
        <v>637</v>
      </c>
      <c r="C1027" s="488" t="s">
        <v>4541</v>
      </c>
      <c r="D1027" s="489" t="s">
        <v>4542</v>
      </c>
      <c r="E1027" s="487" t="s">
        <v>4543</v>
      </c>
      <c r="F1027" s="490">
        <v>45603</v>
      </c>
      <c r="G1027" s="489">
        <v>1702.6</v>
      </c>
      <c r="H1027" s="489">
        <v>26.784330000000001</v>
      </c>
      <c r="I1027" s="487" t="s">
        <v>1499</v>
      </c>
      <c r="J1027" s="487" t="s">
        <v>639</v>
      </c>
    </row>
    <row r="1028" spans="1:10" ht="15" x14ac:dyDescent="0.2">
      <c r="A1028" s="486" t="s">
        <v>638</v>
      </c>
      <c r="B1028" s="487" t="s">
        <v>637</v>
      </c>
      <c r="C1028" s="488" t="s">
        <v>4544</v>
      </c>
      <c r="D1028" s="489" t="s">
        <v>4545</v>
      </c>
      <c r="E1028" s="487" t="s">
        <v>4546</v>
      </c>
      <c r="F1028" s="490">
        <v>4600</v>
      </c>
      <c r="G1028" s="489">
        <v>65.599999999999994</v>
      </c>
      <c r="H1028" s="489">
        <v>70.121949999999998</v>
      </c>
      <c r="I1028" s="487" t="s">
        <v>1499</v>
      </c>
      <c r="J1028" s="487" t="s">
        <v>639</v>
      </c>
    </row>
    <row r="1029" spans="1:10" ht="15" x14ac:dyDescent="0.2">
      <c r="A1029" s="486" t="s">
        <v>638</v>
      </c>
      <c r="B1029" s="487" t="s">
        <v>637</v>
      </c>
      <c r="C1029" s="488" t="s">
        <v>4547</v>
      </c>
      <c r="D1029" s="489" t="s">
        <v>4548</v>
      </c>
      <c r="E1029" s="487" t="s">
        <v>4549</v>
      </c>
      <c r="F1029" s="490">
        <v>52000</v>
      </c>
      <c r="G1029" s="489">
        <v>1482.1</v>
      </c>
      <c r="H1029" s="489">
        <v>35.085349999999998</v>
      </c>
      <c r="I1029" s="487" t="s">
        <v>1499</v>
      </c>
      <c r="J1029" s="487" t="s">
        <v>639</v>
      </c>
    </row>
    <row r="1030" spans="1:10" ht="15" x14ac:dyDescent="0.2">
      <c r="A1030" s="486" t="s">
        <v>638</v>
      </c>
      <c r="B1030" s="487" t="s">
        <v>637</v>
      </c>
      <c r="C1030" s="488" t="s">
        <v>4550</v>
      </c>
      <c r="D1030" s="489" t="s">
        <v>4551</v>
      </c>
      <c r="E1030" s="487" t="s">
        <v>4552</v>
      </c>
      <c r="F1030" s="490">
        <v>80375</v>
      </c>
      <c r="G1030" s="489">
        <v>938.9</v>
      </c>
      <c r="H1030" s="489">
        <v>85.605500000000006</v>
      </c>
      <c r="I1030" s="487" t="s">
        <v>1499</v>
      </c>
      <c r="J1030" s="487" t="s">
        <v>639</v>
      </c>
    </row>
    <row r="1031" spans="1:10" ht="15" x14ac:dyDescent="0.2">
      <c r="A1031" s="486" t="s">
        <v>638</v>
      </c>
      <c r="B1031" s="487" t="s">
        <v>637</v>
      </c>
      <c r="C1031" s="488" t="s">
        <v>4553</v>
      </c>
      <c r="D1031" s="489" t="s">
        <v>4554</v>
      </c>
      <c r="E1031" s="487" t="s">
        <v>4555</v>
      </c>
      <c r="F1031" s="490">
        <v>223601</v>
      </c>
      <c r="G1031" s="489">
        <v>1912.8</v>
      </c>
      <c r="H1031" s="489">
        <v>116.89722</v>
      </c>
      <c r="I1031" s="487" t="s">
        <v>1499</v>
      </c>
      <c r="J1031" s="487" t="s">
        <v>639</v>
      </c>
    </row>
    <row r="1032" spans="1:10" ht="15" x14ac:dyDescent="0.2">
      <c r="A1032" s="486" t="s">
        <v>638</v>
      </c>
      <c r="B1032" s="487" t="s">
        <v>637</v>
      </c>
      <c r="C1032" s="488" t="s">
        <v>4556</v>
      </c>
      <c r="D1032" s="489" t="s">
        <v>4557</v>
      </c>
      <c r="E1032" s="487" t="s">
        <v>4558</v>
      </c>
      <c r="F1032" s="490">
        <v>9887</v>
      </c>
      <c r="G1032" s="489">
        <v>320.39999999999998</v>
      </c>
      <c r="H1032" s="489">
        <v>30.8583</v>
      </c>
      <c r="I1032" s="487" t="s">
        <v>1499</v>
      </c>
      <c r="J1032" s="487" t="s">
        <v>639</v>
      </c>
    </row>
    <row r="1033" spans="1:10" ht="15" x14ac:dyDescent="0.2">
      <c r="A1033" s="486" t="s">
        <v>638</v>
      </c>
      <c r="B1033" s="487" t="s">
        <v>637</v>
      </c>
      <c r="C1033" s="488" t="s">
        <v>4559</v>
      </c>
      <c r="D1033" s="489" t="s">
        <v>4560</v>
      </c>
      <c r="E1033" s="487" t="s">
        <v>4561</v>
      </c>
      <c r="F1033" s="490">
        <v>6000</v>
      </c>
      <c r="G1033" s="489">
        <v>103.9</v>
      </c>
      <c r="H1033" s="489">
        <v>57.74783</v>
      </c>
      <c r="I1033" s="487" t="s">
        <v>1499</v>
      </c>
      <c r="J1033" s="487" t="s">
        <v>639</v>
      </c>
    </row>
    <row r="1034" spans="1:10" ht="15" x14ac:dyDescent="0.2">
      <c r="A1034" s="486" t="s">
        <v>638</v>
      </c>
      <c r="B1034" s="487" t="s">
        <v>637</v>
      </c>
      <c r="C1034" s="488" t="s">
        <v>4562</v>
      </c>
      <c r="D1034" s="489" t="s">
        <v>4563</v>
      </c>
      <c r="E1034" s="487" t="s">
        <v>4564</v>
      </c>
      <c r="F1034" s="490">
        <v>0</v>
      </c>
      <c r="G1034" s="489">
        <v>0</v>
      </c>
      <c r="H1034" s="489">
        <v>0</v>
      </c>
      <c r="I1034" s="487" t="s">
        <v>2465</v>
      </c>
      <c r="J1034" s="487" t="s">
        <v>639</v>
      </c>
    </row>
    <row r="1035" spans="1:10" ht="15" x14ac:dyDescent="0.2">
      <c r="A1035" s="486" t="s">
        <v>638</v>
      </c>
      <c r="B1035" s="487" t="s">
        <v>637</v>
      </c>
      <c r="C1035" s="488" t="s">
        <v>4565</v>
      </c>
      <c r="D1035" s="489" t="s">
        <v>4566</v>
      </c>
      <c r="E1035" s="487" t="s">
        <v>4567</v>
      </c>
      <c r="F1035" s="490">
        <v>11900</v>
      </c>
      <c r="G1035" s="489">
        <v>352.4</v>
      </c>
      <c r="H1035" s="489">
        <v>33.768439999999998</v>
      </c>
      <c r="I1035" s="487" t="s">
        <v>1499</v>
      </c>
      <c r="J1035" s="487" t="s">
        <v>639</v>
      </c>
    </row>
    <row r="1036" spans="1:10" ht="15" x14ac:dyDescent="0.2">
      <c r="A1036" s="486" t="s">
        <v>638</v>
      </c>
      <c r="B1036" s="487" t="s">
        <v>637</v>
      </c>
      <c r="C1036" s="488" t="s">
        <v>4568</v>
      </c>
      <c r="D1036" s="489" t="s">
        <v>4569</v>
      </c>
      <c r="E1036" s="487" t="s">
        <v>4570</v>
      </c>
      <c r="F1036" s="490">
        <v>9555</v>
      </c>
      <c r="G1036" s="489">
        <v>272.10000000000002</v>
      </c>
      <c r="H1036" s="489">
        <v>35.115769999999998</v>
      </c>
      <c r="I1036" s="487" t="s">
        <v>1499</v>
      </c>
      <c r="J1036" s="487" t="s">
        <v>639</v>
      </c>
    </row>
    <row r="1037" spans="1:10" ht="15" x14ac:dyDescent="0.2">
      <c r="A1037" s="486" t="s">
        <v>638</v>
      </c>
      <c r="B1037" s="487" t="s">
        <v>637</v>
      </c>
      <c r="C1037" s="488" t="s">
        <v>4571</v>
      </c>
      <c r="D1037" s="489" t="s">
        <v>4572</v>
      </c>
      <c r="E1037" s="487" t="s">
        <v>4573</v>
      </c>
      <c r="F1037" s="490">
        <v>11788</v>
      </c>
      <c r="G1037" s="489">
        <v>222</v>
      </c>
      <c r="H1037" s="489">
        <v>53.0991</v>
      </c>
      <c r="I1037" s="487" t="s">
        <v>2465</v>
      </c>
      <c r="J1037" s="487" t="s">
        <v>639</v>
      </c>
    </row>
    <row r="1038" spans="1:10" ht="15" x14ac:dyDescent="0.2">
      <c r="A1038" s="486" t="s">
        <v>638</v>
      </c>
      <c r="B1038" s="487" t="s">
        <v>637</v>
      </c>
      <c r="C1038" s="488" t="s">
        <v>4574</v>
      </c>
      <c r="D1038" s="489" t="s">
        <v>4575</v>
      </c>
      <c r="E1038" s="487" t="s">
        <v>4576</v>
      </c>
      <c r="F1038" s="490">
        <v>3500</v>
      </c>
      <c r="G1038" s="489">
        <v>241.2</v>
      </c>
      <c r="H1038" s="489">
        <v>14.51078</v>
      </c>
      <c r="I1038" s="487" t="s">
        <v>1499</v>
      </c>
      <c r="J1038" s="487" t="s">
        <v>639</v>
      </c>
    </row>
    <row r="1039" spans="1:10" ht="15" x14ac:dyDescent="0.2">
      <c r="A1039" s="486" t="s">
        <v>638</v>
      </c>
      <c r="B1039" s="487" t="s">
        <v>637</v>
      </c>
      <c r="C1039" s="488" t="s">
        <v>4577</v>
      </c>
      <c r="D1039" s="489" t="s">
        <v>4578</v>
      </c>
      <c r="E1039" s="487" t="s">
        <v>4579</v>
      </c>
      <c r="F1039" s="490">
        <v>32712</v>
      </c>
      <c r="G1039" s="489">
        <v>779.1</v>
      </c>
      <c r="H1039" s="489">
        <v>41.986910000000002</v>
      </c>
      <c r="I1039" s="487" t="s">
        <v>1499</v>
      </c>
      <c r="J1039" s="487" t="s">
        <v>639</v>
      </c>
    </row>
    <row r="1040" spans="1:10" ht="15" x14ac:dyDescent="0.2">
      <c r="A1040" s="486" t="s">
        <v>638</v>
      </c>
      <c r="B1040" s="487" t="s">
        <v>637</v>
      </c>
      <c r="C1040" s="488" t="s">
        <v>4580</v>
      </c>
      <c r="D1040" s="489" t="s">
        <v>4581</v>
      </c>
      <c r="E1040" s="487" t="s">
        <v>4582</v>
      </c>
      <c r="F1040" s="490">
        <v>31006</v>
      </c>
      <c r="G1040" s="489">
        <v>1119.2</v>
      </c>
      <c r="H1040" s="489">
        <v>27.703720000000001</v>
      </c>
      <c r="I1040" s="487" t="s">
        <v>1499</v>
      </c>
      <c r="J1040" s="487" t="s">
        <v>639</v>
      </c>
    </row>
    <row r="1041" spans="1:10" ht="15" x14ac:dyDescent="0.2">
      <c r="A1041" s="486" t="s">
        <v>638</v>
      </c>
      <c r="B1041" s="487" t="s">
        <v>637</v>
      </c>
      <c r="C1041" s="488" t="s">
        <v>4583</v>
      </c>
      <c r="D1041" s="489" t="s">
        <v>4584</v>
      </c>
      <c r="E1041" s="487" t="s">
        <v>4585</v>
      </c>
      <c r="F1041" s="490">
        <v>6160</v>
      </c>
      <c r="G1041" s="489">
        <v>361.9</v>
      </c>
      <c r="H1041" s="489">
        <v>17.021280000000001</v>
      </c>
      <c r="I1041" s="487" t="s">
        <v>1499</v>
      </c>
      <c r="J1041" s="487" t="s">
        <v>639</v>
      </c>
    </row>
    <row r="1042" spans="1:10" ht="15" x14ac:dyDescent="0.2">
      <c r="A1042" s="486" t="s">
        <v>638</v>
      </c>
      <c r="B1042" s="487" t="s">
        <v>637</v>
      </c>
      <c r="C1042" s="488" t="s">
        <v>4586</v>
      </c>
      <c r="D1042" s="489" t="s">
        <v>4587</v>
      </c>
      <c r="E1042" s="487" t="s">
        <v>4588</v>
      </c>
      <c r="F1042" s="490">
        <v>14500</v>
      </c>
      <c r="G1042" s="489">
        <v>224</v>
      </c>
      <c r="H1042" s="489">
        <v>64.732140000000001</v>
      </c>
      <c r="I1042" s="487" t="s">
        <v>1499</v>
      </c>
      <c r="J1042" s="487" t="s">
        <v>639</v>
      </c>
    </row>
    <row r="1043" spans="1:10" ht="15" x14ac:dyDescent="0.2">
      <c r="A1043" s="486" t="s">
        <v>638</v>
      </c>
      <c r="B1043" s="487" t="s">
        <v>637</v>
      </c>
      <c r="C1043" s="488" t="s">
        <v>4589</v>
      </c>
      <c r="D1043" s="489" t="s">
        <v>4590</v>
      </c>
      <c r="E1043" s="487" t="s">
        <v>4591</v>
      </c>
      <c r="F1043" s="490">
        <v>15000</v>
      </c>
      <c r="G1043" s="489">
        <v>383.6</v>
      </c>
      <c r="H1043" s="489">
        <v>39.103230000000003</v>
      </c>
      <c r="I1043" s="487" t="s">
        <v>1499</v>
      </c>
      <c r="J1043" s="487" t="s">
        <v>639</v>
      </c>
    </row>
    <row r="1044" spans="1:10" ht="15" x14ac:dyDescent="0.2">
      <c r="A1044" s="486" t="s">
        <v>638</v>
      </c>
      <c r="B1044" s="487" t="s">
        <v>637</v>
      </c>
      <c r="C1044" s="488" t="s">
        <v>4592</v>
      </c>
      <c r="D1044" s="489" t="s">
        <v>4593</v>
      </c>
      <c r="E1044" s="487" t="s">
        <v>4594</v>
      </c>
      <c r="F1044" s="490">
        <v>0</v>
      </c>
      <c r="G1044" s="489">
        <v>0</v>
      </c>
      <c r="H1044" s="489">
        <v>0</v>
      </c>
      <c r="I1044" s="487" t="s">
        <v>2465</v>
      </c>
      <c r="J1044" s="487" t="s">
        <v>639</v>
      </c>
    </row>
    <row r="1045" spans="1:10" ht="15" x14ac:dyDescent="0.2">
      <c r="A1045" s="486" t="s">
        <v>638</v>
      </c>
      <c r="B1045" s="487" t="s">
        <v>637</v>
      </c>
      <c r="C1045" s="488" t="s">
        <v>4595</v>
      </c>
      <c r="D1045" s="489" t="s">
        <v>4596</v>
      </c>
      <c r="E1045" s="487" t="s">
        <v>4597</v>
      </c>
      <c r="F1045" s="490">
        <v>1518</v>
      </c>
      <c r="G1045" s="489">
        <v>172.2</v>
      </c>
      <c r="H1045" s="489">
        <v>8.8153299999999994</v>
      </c>
      <c r="I1045" s="487" t="s">
        <v>1499</v>
      </c>
      <c r="J1045" s="487" t="s">
        <v>639</v>
      </c>
    </row>
    <row r="1046" spans="1:10" ht="15" x14ac:dyDescent="0.2">
      <c r="A1046" s="486" t="s">
        <v>638</v>
      </c>
      <c r="B1046" s="487" t="s">
        <v>637</v>
      </c>
      <c r="C1046" s="488" t="s">
        <v>4598</v>
      </c>
      <c r="D1046" s="489" t="s">
        <v>4599</v>
      </c>
      <c r="E1046" s="487" t="s">
        <v>4600</v>
      </c>
      <c r="F1046" s="490">
        <v>45482</v>
      </c>
      <c r="G1046" s="489">
        <v>992.2</v>
      </c>
      <c r="H1046" s="489">
        <v>45.839550000000003</v>
      </c>
      <c r="I1046" s="487" t="s">
        <v>1499</v>
      </c>
      <c r="J1046" s="487" t="s">
        <v>639</v>
      </c>
    </row>
    <row r="1047" spans="1:10" ht="15" x14ac:dyDescent="0.2">
      <c r="A1047" s="486" t="s">
        <v>638</v>
      </c>
      <c r="B1047" s="487" t="s">
        <v>637</v>
      </c>
      <c r="C1047" s="488" t="s">
        <v>4601</v>
      </c>
      <c r="D1047" s="489" t="s">
        <v>4602</v>
      </c>
      <c r="E1047" s="487" t="s">
        <v>4603</v>
      </c>
      <c r="F1047" s="490">
        <v>462962</v>
      </c>
      <c r="G1047" s="489">
        <v>5993.7</v>
      </c>
      <c r="H1047" s="489">
        <v>77.241439999999997</v>
      </c>
      <c r="I1047" s="487" t="s">
        <v>1499</v>
      </c>
      <c r="J1047" s="487" t="s">
        <v>639</v>
      </c>
    </row>
    <row r="1048" spans="1:10" ht="15" x14ac:dyDescent="0.2">
      <c r="A1048" s="486" t="s">
        <v>638</v>
      </c>
      <c r="B1048" s="487" t="s">
        <v>637</v>
      </c>
      <c r="C1048" s="488" t="s">
        <v>4604</v>
      </c>
      <c r="D1048" s="489" t="s">
        <v>4605</v>
      </c>
      <c r="E1048" s="487" t="s">
        <v>4606</v>
      </c>
      <c r="F1048" s="490">
        <v>10224</v>
      </c>
      <c r="G1048" s="489">
        <v>255.1</v>
      </c>
      <c r="H1048" s="489">
        <v>40.078400000000002</v>
      </c>
      <c r="I1048" s="487" t="s">
        <v>1499</v>
      </c>
      <c r="J1048" s="487" t="s">
        <v>639</v>
      </c>
    </row>
    <row r="1049" spans="1:10" ht="15" x14ac:dyDescent="0.2">
      <c r="A1049" s="486" t="s">
        <v>638</v>
      </c>
      <c r="B1049" s="487" t="s">
        <v>637</v>
      </c>
      <c r="C1049" s="488" t="s">
        <v>4607</v>
      </c>
      <c r="D1049" s="489" t="s">
        <v>4608</v>
      </c>
      <c r="E1049" s="487" t="s">
        <v>4609</v>
      </c>
      <c r="F1049" s="490">
        <v>13975</v>
      </c>
      <c r="G1049" s="489">
        <v>687.4</v>
      </c>
      <c r="H1049" s="489">
        <v>20.33023</v>
      </c>
      <c r="I1049" s="487" t="s">
        <v>1499</v>
      </c>
      <c r="J1049" s="487" t="s">
        <v>639</v>
      </c>
    </row>
    <row r="1050" spans="1:10" ht="15" x14ac:dyDescent="0.2">
      <c r="A1050" s="486" t="s">
        <v>638</v>
      </c>
      <c r="B1050" s="487" t="s">
        <v>637</v>
      </c>
      <c r="C1050" s="488" t="s">
        <v>4610</v>
      </c>
      <c r="D1050" s="489" t="s">
        <v>4611</v>
      </c>
      <c r="E1050" s="487" t="s">
        <v>4612</v>
      </c>
      <c r="F1050" s="490">
        <v>655743</v>
      </c>
      <c r="G1050" s="489">
        <v>7653.8</v>
      </c>
      <c r="H1050" s="489">
        <v>85.675479999999993</v>
      </c>
      <c r="I1050" s="487" t="s">
        <v>1499</v>
      </c>
      <c r="J1050" s="487" t="s">
        <v>639</v>
      </c>
    </row>
    <row r="1051" spans="1:10" ht="15" x14ac:dyDescent="0.2">
      <c r="A1051" s="486" t="s">
        <v>638</v>
      </c>
      <c r="B1051" s="487" t="s">
        <v>637</v>
      </c>
      <c r="C1051" s="488" t="s">
        <v>4613</v>
      </c>
      <c r="D1051" s="489" t="s">
        <v>4614</v>
      </c>
      <c r="E1051" s="487" t="s">
        <v>4615</v>
      </c>
      <c r="F1051" s="490">
        <v>0</v>
      </c>
      <c r="G1051" s="489">
        <v>262.39999999999998</v>
      </c>
      <c r="H1051" s="489">
        <v>0</v>
      </c>
      <c r="I1051" s="487" t="s">
        <v>1593</v>
      </c>
      <c r="J1051" s="487" t="s">
        <v>639</v>
      </c>
    </row>
    <row r="1052" spans="1:10" ht="15" x14ac:dyDescent="0.2">
      <c r="A1052" s="486" t="s">
        <v>638</v>
      </c>
      <c r="B1052" s="487" t="s">
        <v>637</v>
      </c>
      <c r="C1052" s="488" t="s">
        <v>4616</v>
      </c>
      <c r="D1052" s="489" t="s">
        <v>4617</v>
      </c>
      <c r="E1052" s="487" t="s">
        <v>4618</v>
      </c>
      <c r="F1052" s="490">
        <v>6200</v>
      </c>
      <c r="G1052" s="489">
        <v>227.3</v>
      </c>
      <c r="H1052" s="489">
        <v>27.276730000000001</v>
      </c>
      <c r="I1052" s="487" t="s">
        <v>1499</v>
      </c>
      <c r="J1052" s="487" t="s">
        <v>639</v>
      </c>
    </row>
    <row r="1053" spans="1:10" ht="15" x14ac:dyDescent="0.2">
      <c r="A1053" s="486" t="s">
        <v>638</v>
      </c>
      <c r="B1053" s="487" t="s">
        <v>637</v>
      </c>
      <c r="C1053" s="488" t="s">
        <v>4619</v>
      </c>
      <c r="D1053" s="489" t="s">
        <v>4620</v>
      </c>
      <c r="E1053" s="487" t="s">
        <v>4621</v>
      </c>
      <c r="F1053" s="490">
        <v>86698</v>
      </c>
      <c r="G1053" s="489">
        <v>1356.3</v>
      </c>
      <c r="H1053" s="489">
        <v>63.922440000000002</v>
      </c>
      <c r="I1053" s="487" t="s">
        <v>1499</v>
      </c>
      <c r="J1053" s="487" t="s">
        <v>639</v>
      </c>
    </row>
    <row r="1054" spans="1:10" ht="15" x14ac:dyDescent="0.2">
      <c r="A1054" s="486" t="s">
        <v>638</v>
      </c>
      <c r="B1054" s="487" t="s">
        <v>637</v>
      </c>
      <c r="C1054" s="488" t="s">
        <v>4622</v>
      </c>
      <c r="D1054" s="489" t="s">
        <v>4623</v>
      </c>
      <c r="E1054" s="487" t="s">
        <v>4624</v>
      </c>
      <c r="F1054" s="490">
        <v>7200</v>
      </c>
      <c r="G1054" s="489">
        <v>254.2</v>
      </c>
      <c r="H1054" s="489">
        <v>28.324149999999999</v>
      </c>
      <c r="I1054" s="487" t="s">
        <v>1499</v>
      </c>
      <c r="J1054" s="487" t="s">
        <v>639</v>
      </c>
    </row>
    <row r="1055" spans="1:10" ht="15" x14ac:dyDescent="0.2">
      <c r="A1055" s="486" t="s">
        <v>638</v>
      </c>
      <c r="B1055" s="487" t="s">
        <v>637</v>
      </c>
      <c r="C1055" s="488" t="s">
        <v>4625</v>
      </c>
      <c r="D1055" s="489" t="s">
        <v>4626</v>
      </c>
      <c r="E1055" s="487" t="s">
        <v>4627</v>
      </c>
      <c r="F1055" s="490">
        <v>3900</v>
      </c>
      <c r="G1055" s="489">
        <v>120.1</v>
      </c>
      <c r="H1055" s="489">
        <v>32.472940000000001</v>
      </c>
      <c r="I1055" s="487" t="s">
        <v>1499</v>
      </c>
      <c r="J1055" s="487" t="s">
        <v>639</v>
      </c>
    </row>
    <row r="1056" spans="1:10" ht="15" x14ac:dyDescent="0.2">
      <c r="A1056" s="486" t="s">
        <v>638</v>
      </c>
      <c r="B1056" s="487" t="s">
        <v>637</v>
      </c>
      <c r="C1056" s="488" t="s">
        <v>4628</v>
      </c>
      <c r="D1056" s="489" t="s">
        <v>4629</v>
      </c>
      <c r="E1056" s="487" t="s">
        <v>4630</v>
      </c>
      <c r="F1056" s="490">
        <v>0</v>
      </c>
      <c r="G1056" s="489">
        <v>0</v>
      </c>
      <c r="H1056" s="489">
        <v>0</v>
      </c>
      <c r="I1056" s="487" t="s">
        <v>2465</v>
      </c>
      <c r="J1056" s="487" t="s">
        <v>639</v>
      </c>
    </row>
    <row r="1057" spans="1:10" ht="15" x14ac:dyDescent="0.2">
      <c r="A1057" s="486" t="s">
        <v>638</v>
      </c>
      <c r="B1057" s="487" t="s">
        <v>637</v>
      </c>
      <c r="C1057" s="488" t="s">
        <v>4631</v>
      </c>
      <c r="D1057" s="489" t="s">
        <v>4632</v>
      </c>
      <c r="E1057" s="487" t="s">
        <v>4633</v>
      </c>
      <c r="F1057" s="490">
        <v>107608</v>
      </c>
      <c r="G1057" s="489">
        <v>1647.9</v>
      </c>
      <c r="H1057" s="489">
        <v>65.300079999999994</v>
      </c>
      <c r="I1057" s="487" t="s">
        <v>1499</v>
      </c>
      <c r="J1057" s="487" t="s">
        <v>639</v>
      </c>
    </row>
    <row r="1058" spans="1:10" ht="15" x14ac:dyDescent="0.2">
      <c r="A1058" s="486" t="s">
        <v>638</v>
      </c>
      <c r="B1058" s="487" t="s">
        <v>637</v>
      </c>
      <c r="C1058" s="488" t="s">
        <v>4634</v>
      </c>
      <c r="D1058" s="489" t="s">
        <v>4635</v>
      </c>
      <c r="E1058" s="487" t="s">
        <v>4636</v>
      </c>
      <c r="F1058" s="490">
        <v>63362</v>
      </c>
      <c r="G1058" s="489">
        <v>1357.7</v>
      </c>
      <c r="H1058" s="489">
        <v>46.66863</v>
      </c>
      <c r="I1058" s="487" t="s">
        <v>1499</v>
      </c>
      <c r="J1058" s="487" t="s">
        <v>639</v>
      </c>
    </row>
    <row r="1059" spans="1:10" ht="15" x14ac:dyDescent="0.2">
      <c r="A1059" s="486" t="s">
        <v>638</v>
      </c>
      <c r="B1059" s="487" t="s">
        <v>637</v>
      </c>
      <c r="C1059" s="488" t="s">
        <v>4637</v>
      </c>
      <c r="D1059" s="489" t="s">
        <v>4638</v>
      </c>
      <c r="E1059" s="487" t="s">
        <v>4639</v>
      </c>
      <c r="F1059" s="490">
        <v>3005</v>
      </c>
      <c r="G1059" s="489">
        <v>68.5</v>
      </c>
      <c r="H1059" s="489">
        <v>43.868609999999997</v>
      </c>
      <c r="I1059" s="487" t="s">
        <v>1499</v>
      </c>
      <c r="J1059" s="487" t="s">
        <v>639</v>
      </c>
    </row>
    <row r="1060" spans="1:10" ht="15" x14ac:dyDescent="0.2">
      <c r="A1060" s="486" t="s">
        <v>638</v>
      </c>
      <c r="B1060" s="487" t="s">
        <v>637</v>
      </c>
      <c r="C1060" s="488" t="s">
        <v>4640</v>
      </c>
      <c r="D1060" s="489" t="s">
        <v>4641</v>
      </c>
      <c r="E1060" s="487" t="s">
        <v>4642</v>
      </c>
      <c r="F1060" s="490">
        <v>5250</v>
      </c>
      <c r="G1060" s="489">
        <v>148</v>
      </c>
      <c r="H1060" s="489">
        <v>35.472969999999997</v>
      </c>
      <c r="I1060" s="487" t="s">
        <v>1499</v>
      </c>
      <c r="J1060" s="487" t="s">
        <v>639</v>
      </c>
    </row>
    <row r="1061" spans="1:10" ht="15" x14ac:dyDescent="0.2">
      <c r="A1061" s="486" t="s">
        <v>638</v>
      </c>
      <c r="B1061" s="487" t="s">
        <v>637</v>
      </c>
      <c r="C1061" s="488" t="s">
        <v>4643</v>
      </c>
      <c r="D1061" s="489" t="s">
        <v>4644</v>
      </c>
      <c r="E1061" s="487" t="s">
        <v>4645</v>
      </c>
      <c r="F1061" s="490">
        <v>12720</v>
      </c>
      <c r="G1061" s="489">
        <v>297</v>
      </c>
      <c r="H1061" s="489">
        <v>42.828279999999999</v>
      </c>
      <c r="I1061" s="487" t="s">
        <v>1499</v>
      </c>
      <c r="J1061" s="487" t="s">
        <v>639</v>
      </c>
    </row>
    <row r="1062" spans="1:10" ht="15" x14ac:dyDescent="0.2">
      <c r="A1062" s="486" t="s">
        <v>638</v>
      </c>
      <c r="B1062" s="487" t="s">
        <v>637</v>
      </c>
      <c r="C1062" s="488" t="s">
        <v>4646</v>
      </c>
      <c r="D1062" s="489" t="s">
        <v>4647</v>
      </c>
      <c r="E1062" s="487" t="s">
        <v>4648</v>
      </c>
      <c r="F1062" s="490">
        <v>229769</v>
      </c>
      <c r="G1062" s="489">
        <v>3471.4</v>
      </c>
      <c r="H1062" s="489">
        <v>66.189149999999998</v>
      </c>
      <c r="I1062" s="487" t="s">
        <v>2465</v>
      </c>
      <c r="J1062" s="487" t="s">
        <v>639</v>
      </c>
    </row>
    <row r="1063" spans="1:10" ht="15" x14ac:dyDescent="0.2">
      <c r="A1063" s="486" t="s">
        <v>638</v>
      </c>
      <c r="B1063" s="487" t="s">
        <v>637</v>
      </c>
      <c r="C1063" s="488" t="s">
        <v>4649</v>
      </c>
      <c r="D1063" s="489" t="s">
        <v>4650</v>
      </c>
      <c r="E1063" s="487" t="s">
        <v>4651</v>
      </c>
      <c r="F1063" s="490">
        <v>13100</v>
      </c>
      <c r="G1063" s="489">
        <v>383.2</v>
      </c>
      <c r="H1063" s="489">
        <v>34.1858</v>
      </c>
      <c r="I1063" s="487" t="s">
        <v>1499</v>
      </c>
      <c r="J1063" s="487" t="s">
        <v>639</v>
      </c>
    </row>
    <row r="1064" spans="1:10" ht="15" x14ac:dyDescent="0.2">
      <c r="A1064" s="486" t="s">
        <v>638</v>
      </c>
      <c r="B1064" s="487" t="s">
        <v>637</v>
      </c>
      <c r="C1064" s="488" t="s">
        <v>4652</v>
      </c>
      <c r="D1064" s="489" t="s">
        <v>4653</v>
      </c>
      <c r="E1064" s="487" t="s">
        <v>4654</v>
      </c>
      <c r="F1064" s="490">
        <v>55200</v>
      </c>
      <c r="G1064" s="489">
        <v>683.1</v>
      </c>
      <c r="H1064" s="489">
        <v>80.808080000000004</v>
      </c>
      <c r="I1064" s="487" t="s">
        <v>1499</v>
      </c>
      <c r="J1064" s="487" t="s">
        <v>639</v>
      </c>
    </row>
    <row r="1065" spans="1:10" ht="15" x14ac:dyDescent="0.2">
      <c r="A1065" s="486" t="s">
        <v>638</v>
      </c>
      <c r="B1065" s="487" t="s">
        <v>637</v>
      </c>
      <c r="C1065" s="488" t="s">
        <v>4655</v>
      </c>
      <c r="D1065" s="489" t="s">
        <v>4656</v>
      </c>
      <c r="E1065" s="487" t="s">
        <v>4657</v>
      </c>
      <c r="F1065" s="490">
        <v>135000</v>
      </c>
      <c r="G1065" s="489">
        <v>2030.5</v>
      </c>
      <c r="H1065" s="489">
        <v>66.486090000000004</v>
      </c>
      <c r="I1065" s="487" t="s">
        <v>1499</v>
      </c>
      <c r="J1065" s="487" t="s">
        <v>639</v>
      </c>
    </row>
    <row r="1066" spans="1:10" ht="15" x14ac:dyDescent="0.2">
      <c r="A1066" s="486" t="s">
        <v>638</v>
      </c>
      <c r="B1066" s="487" t="s">
        <v>637</v>
      </c>
      <c r="C1066" s="488" t="s">
        <v>4658</v>
      </c>
      <c r="D1066" s="489" t="s">
        <v>4659</v>
      </c>
      <c r="E1066" s="487" t="s">
        <v>4660</v>
      </c>
      <c r="F1066" s="490">
        <v>0</v>
      </c>
      <c r="G1066" s="489">
        <v>0</v>
      </c>
      <c r="H1066" s="489">
        <v>0</v>
      </c>
      <c r="I1066" s="487" t="s">
        <v>2465</v>
      </c>
      <c r="J1066" s="487" t="s">
        <v>639</v>
      </c>
    </row>
    <row r="1067" spans="1:10" ht="15" x14ac:dyDescent="0.2">
      <c r="A1067" s="486" t="s">
        <v>638</v>
      </c>
      <c r="B1067" s="487" t="s">
        <v>637</v>
      </c>
      <c r="C1067" s="488" t="s">
        <v>4661</v>
      </c>
      <c r="D1067" s="489" t="s">
        <v>4662</v>
      </c>
      <c r="E1067" s="487" t="s">
        <v>4663</v>
      </c>
      <c r="F1067" s="490">
        <v>19500</v>
      </c>
      <c r="G1067" s="489">
        <v>645.6</v>
      </c>
      <c r="H1067" s="489">
        <v>30.204460000000001</v>
      </c>
      <c r="I1067" s="487" t="s">
        <v>1499</v>
      </c>
      <c r="J1067" s="487" t="s">
        <v>639</v>
      </c>
    </row>
    <row r="1068" spans="1:10" ht="15" x14ac:dyDescent="0.2">
      <c r="A1068" s="486" t="s">
        <v>638</v>
      </c>
      <c r="B1068" s="487" t="s">
        <v>637</v>
      </c>
      <c r="C1068" s="488" t="s">
        <v>4664</v>
      </c>
      <c r="D1068" s="489" t="s">
        <v>4665</v>
      </c>
      <c r="E1068" s="487" t="s">
        <v>4666</v>
      </c>
      <c r="F1068" s="490">
        <v>11626</v>
      </c>
      <c r="G1068" s="489">
        <v>317.39999999999998</v>
      </c>
      <c r="H1068" s="489">
        <v>36.628860000000003</v>
      </c>
      <c r="I1068" s="487" t="s">
        <v>1499</v>
      </c>
      <c r="J1068" s="487" t="s">
        <v>639</v>
      </c>
    </row>
    <row r="1069" spans="1:10" ht="15" x14ac:dyDescent="0.2">
      <c r="A1069" s="486" t="s">
        <v>638</v>
      </c>
      <c r="B1069" s="487" t="s">
        <v>637</v>
      </c>
      <c r="C1069" s="488" t="s">
        <v>4667</v>
      </c>
      <c r="D1069" s="489" t="s">
        <v>4668</v>
      </c>
      <c r="E1069" s="487" t="s">
        <v>4669</v>
      </c>
      <c r="F1069" s="490">
        <v>0</v>
      </c>
      <c r="G1069" s="489">
        <v>50.6</v>
      </c>
      <c r="H1069" s="489">
        <v>0</v>
      </c>
      <c r="I1069" s="487" t="s">
        <v>1593</v>
      </c>
      <c r="J1069" s="487" t="s">
        <v>639</v>
      </c>
    </row>
    <row r="1070" spans="1:10" ht="15" x14ac:dyDescent="0.2">
      <c r="A1070" s="486" t="s">
        <v>638</v>
      </c>
      <c r="B1070" s="487" t="s">
        <v>637</v>
      </c>
      <c r="C1070" s="488" t="s">
        <v>4670</v>
      </c>
      <c r="D1070" s="489" t="s">
        <v>4671</v>
      </c>
      <c r="E1070" s="487" t="s">
        <v>4672</v>
      </c>
      <c r="F1070" s="490">
        <v>37627.32</v>
      </c>
      <c r="G1070" s="489">
        <v>845.5</v>
      </c>
      <c r="H1070" s="489">
        <v>44.503039999999999</v>
      </c>
      <c r="I1070" s="487" t="s">
        <v>1499</v>
      </c>
      <c r="J1070" s="487" t="s">
        <v>639</v>
      </c>
    </row>
    <row r="1071" spans="1:10" ht="15" x14ac:dyDescent="0.2">
      <c r="A1071" s="486" t="s">
        <v>638</v>
      </c>
      <c r="B1071" s="487" t="s">
        <v>637</v>
      </c>
      <c r="C1071" s="488" t="s">
        <v>4673</v>
      </c>
      <c r="D1071" s="489" t="s">
        <v>4674</v>
      </c>
      <c r="E1071" s="487" t="s">
        <v>4675</v>
      </c>
      <c r="F1071" s="490">
        <v>839751</v>
      </c>
      <c r="G1071" s="489">
        <v>9877.1</v>
      </c>
      <c r="H1071" s="489">
        <v>85.02</v>
      </c>
      <c r="I1071" s="487" t="s">
        <v>1499</v>
      </c>
      <c r="J1071" s="487" t="s">
        <v>639</v>
      </c>
    </row>
    <row r="1072" spans="1:10" ht="15" x14ac:dyDescent="0.2">
      <c r="A1072" s="486" t="s">
        <v>638</v>
      </c>
      <c r="B1072" s="487" t="s">
        <v>637</v>
      </c>
      <c r="C1072" s="488" t="s">
        <v>4676</v>
      </c>
      <c r="D1072" s="489" t="s">
        <v>4677</v>
      </c>
      <c r="E1072" s="487" t="s">
        <v>4678</v>
      </c>
      <c r="F1072" s="490">
        <v>99869</v>
      </c>
      <c r="G1072" s="489">
        <v>21979.7</v>
      </c>
      <c r="H1072" s="489">
        <v>4.5436899999999998</v>
      </c>
      <c r="I1072" s="487" t="s">
        <v>1654</v>
      </c>
      <c r="J1072" s="487" t="s">
        <v>639</v>
      </c>
    </row>
    <row r="1073" spans="1:10" ht="15" x14ac:dyDescent="0.2">
      <c r="A1073" s="486" t="s">
        <v>638</v>
      </c>
      <c r="B1073" s="487" t="s">
        <v>637</v>
      </c>
      <c r="C1073" s="488" t="s">
        <v>4679</v>
      </c>
      <c r="D1073" s="489" t="s">
        <v>4680</v>
      </c>
      <c r="E1073" s="487" t="s">
        <v>4681</v>
      </c>
      <c r="F1073" s="490">
        <v>262828</v>
      </c>
      <c r="G1073" s="489">
        <v>21928.400000000001</v>
      </c>
      <c r="H1073" s="489">
        <v>11.98574</v>
      </c>
      <c r="I1073" s="487" t="s">
        <v>1654</v>
      </c>
      <c r="J1073" s="487" t="s">
        <v>639</v>
      </c>
    </row>
    <row r="1074" spans="1:10" ht="15" x14ac:dyDescent="0.2">
      <c r="A1074" s="486" t="s">
        <v>638</v>
      </c>
      <c r="B1074" s="487" t="s">
        <v>637</v>
      </c>
      <c r="C1074" s="488" t="s">
        <v>4682</v>
      </c>
      <c r="D1074" s="489" t="s">
        <v>4683</v>
      </c>
      <c r="E1074" s="487" t="s">
        <v>4684</v>
      </c>
      <c r="F1074" s="490">
        <v>0</v>
      </c>
      <c r="G1074" s="489">
        <v>0</v>
      </c>
      <c r="H1074" s="489">
        <v>0</v>
      </c>
      <c r="I1074" s="487" t="s">
        <v>2465</v>
      </c>
      <c r="J1074" s="487" t="s">
        <v>639</v>
      </c>
    </row>
    <row r="1075" spans="1:10" ht="15" x14ac:dyDescent="0.2">
      <c r="A1075" s="486" t="s">
        <v>638</v>
      </c>
      <c r="B1075" s="487" t="s">
        <v>637</v>
      </c>
      <c r="C1075" s="488" t="s">
        <v>4685</v>
      </c>
      <c r="D1075" s="489" t="s">
        <v>4686</v>
      </c>
      <c r="E1075" s="487" t="s">
        <v>4687</v>
      </c>
      <c r="F1075" s="490">
        <v>5000</v>
      </c>
      <c r="G1075" s="489">
        <v>215.5</v>
      </c>
      <c r="H1075" s="489">
        <v>23.20186</v>
      </c>
      <c r="I1075" s="487" t="s">
        <v>1499</v>
      </c>
      <c r="J1075" s="487" t="s">
        <v>639</v>
      </c>
    </row>
    <row r="1076" spans="1:10" ht="15" x14ac:dyDescent="0.2">
      <c r="A1076" s="486" t="s">
        <v>638</v>
      </c>
      <c r="B1076" s="487" t="s">
        <v>637</v>
      </c>
      <c r="C1076" s="488" t="s">
        <v>4688</v>
      </c>
      <c r="D1076" s="489" t="s">
        <v>4689</v>
      </c>
      <c r="E1076" s="487" t="s">
        <v>4690</v>
      </c>
      <c r="F1076" s="490">
        <v>19920</v>
      </c>
      <c r="G1076" s="489">
        <v>483.4</v>
      </c>
      <c r="H1076" s="489">
        <v>41.208109999999998</v>
      </c>
      <c r="I1076" s="487" t="s">
        <v>1499</v>
      </c>
      <c r="J1076" s="487" t="s">
        <v>639</v>
      </c>
    </row>
    <row r="1077" spans="1:10" ht="15" x14ac:dyDescent="0.2">
      <c r="A1077" s="486" t="s">
        <v>638</v>
      </c>
      <c r="B1077" s="487" t="s">
        <v>637</v>
      </c>
      <c r="C1077" s="488" t="s">
        <v>4691</v>
      </c>
      <c r="D1077" s="489" t="s">
        <v>4692</v>
      </c>
      <c r="E1077" s="487" t="s">
        <v>4693</v>
      </c>
      <c r="F1077" s="490">
        <v>6331.67</v>
      </c>
      <c r="G1077" s="489">
        <v>263.60000000000002</v>
      </c>
      <c r="H1077" s="489">
        <v>24.01999</v>
      </c>
      <c r="I1077" s="487" t="s">
        <v>1499</v>
      </c>
      <c r="J1077" s="487" t="s">
        <v>639</v>
      </c>
    </row>
    <row r="1078" spans="1:10" ht="15" x14ac:dyDescent="0.2">
      <c r="A1078" s="486" t="s">
        <v>638</v>
      </c>
      <c r="B1078" s="487" t="s">
        <v>637</v>
      </c>
      <c r="C1078" s="488" t="s">
        <v>4694</v>
      </c>
      <c r="D1078" s="489" t="s">
        <v>4695</v>
      </c>
      <c r="E1078" s="487" t="s">
        <v>4696</v>
      </c>
      <c r="F1078" s="490">
        <v>0</v>
      </c>
      <c r="G1078" s="489">
        <v>0</v>
      </c>
      <c r="H1078" s="489">
        <v>0</v>
      </c>
      <c r="I1078" s="487" t="s">
        <v>2465</v>
      </c>
      <c r="J1078" s="487" t="s">
        <v>639</v>
      </c>
    </row>
    <row r="1079" spans="1:10" ht="15" x14ac:dyDescent="0.2">
      <c r="A1079" s="486" t="s">
        <v>638</v>
      </c>
      <c r="B1079" s="487" t="s">
        <v>637</v>
      </c>
      <c r="C1079" s="488" t="s">
        <v>4697</v>
      </c>
      <c r="D1079" s="489" t="s">
        <v>4698</v>
      </c>
      <c r="E1079" s="487" t="s">
        <v>4699</v>
      </c>
      <c r="F1079" s="490">
        <v>0</v>
      </c>
      <c r="G1079" s="489">
        <v>0</v>
      </c>
      <c r="H1079" s="489">
        <v>0</v>
      </c>
      <c r="I1079" s="487" t="s">
        <v>2465</v>
      </c>
      <c r="J1079" s="487" t="s">
        <v>639</v>
      </c>
    </row>
    <row r="1080" spans="1:10" ht="15" x14ac:dyDescent="0.2">
      <c r="A1080" s="486" t="s">
        <v>638</v>
      </c>
      <c r="B1080" s="487" t="s">
        <v>637</v>
      </c>
      <c r="C1080" s="488" t="s">
        <v>4700</v>
      </c>
      <c r="D1080" s="489" t="s">
        <v>4701</v>
      </c>
      <c r="E1080" s="487" t="s">
        <v>4702</v>
      </c>
      <c r="F1080" s="490">
        <v>0</v>
      </c>
      <c r="G1080" s="489">
        <v>0</v>
      </c>
      <c r="H1080" s="489">
        <v>0</v>
      </c>
      <c r="I1080" s="487" t="s">
        <v>2465</v>
      </c>
      <c r="J1080" s="487" t="s">
        <v>639</v>
      </c>
    </row>
    <row r="1081" spans="1:10" ht="15" x14ac:dyDescent="0.2">
      <c r="A1081" s="486" t="s">
        <v>638</v>
      </c>
      <c r="B1081" s="487" t="s">
        <v>637</v>
      </c>
      <c r="C1081" s="488" t="s">
        <v>4703</v>
      </c>
      <c r="D1081" s="489" t="s">
        <v>4704</v>
      </c>
      <c r="E1081" s="487" t="s">
        <v>4705</v>
      </c>
      <c r="F1081" s="490">
        <v>6300</v>
      </c>
      <c r="G1081" s="489">
        <v>158.30000000000001</v>
      </c>
      <c r="H1081" s="489">
        <v>39.797849999999997</v>
      </c>
      <c r="I1081" s="487" t="s">
        <v>1499</v>
      </c>
      <c r="J1081" s="487" t="s">
        <v>639</v>
      </c>
    </row>
    <row r="1082" spans="1:10" ht="15" x14ac:dyDescent="0.2">
      <c r="A1082" s="486" t="s">
        <v>638</v>
      </c>
      <c r="B1082" s="487" t="s">
        <v>637</v>
      </c>
      <c r="C1082" s="488" t="s">
        <v>4706</v>
      </c>
      <c r="D1082" s="489" t="s">
        <v>4707</v>
      </c>
      <c r="E1082" s="487" t="s">
        <v>4708</v>
      </c>
      <c r="F1082" s="490">
        <v>0</v>
      </c>
      <c r="G1082" s="489">
        <v>0</v>
      </c>
      <c r="H1082" s="489">
        <v>0</v>
      </c>
      <c r="I1082" s="487" t="s">
        <v>2465</v>
      </c>
      <c r="J1082" s="487" t="s">
        <v>639</v>
      </c>
    </row>
    <row r="1083" spans="1:10" ht="15" x14ac:dyDescent="0.2">
      <c r="A1083" s="486" t="s">
        <v>638</v>
      </c>
      <c r="B1083" s="487" t="s">
        <v>637</v>
      </c>
      <c r="C1083" s="488" t="s">
        <v>4709</v>
      </c>
      <c r="D1083" s="489" t="s">
        <v>4710</v>
      </c>
      <c r="E1083" s="487" t="s">
        <v>4711</v>
      </c>
      <c r="F1083" s="490">
        <v>5000</v>
      </c>
      <c r="G1083" s="489">
        <v>371.2</v>
      </c>
      <c r="H1083" s="489">
        <v>13.46983</v>
      </c>
      <c r="I1083" s="487" t="s">
        <v>2465</v>
      </c>
      <c r="J1083" s="487" t="s">
        <v>639</v>
      </c>
    </row>
    <row r="1084" spans="1:10" ht="15" x14ac:dyDescent="0.2">
      <c r="A1084" s="486" t="s">
        <v>638</v>
      </c>
      <c r="B1084" s="487" t="s">
        <v>637</v>
      </c>
      <c r="C1084" s="488" t="s">
        <v>4712</v>
      </c>
      <c r="D1084" s="489" t="s">
        <v>4713</v>
      </c>
      <c r="E1084" s="487" t="s">
        <v>4714</v>
      </c>
      <c r="F1084" s="490">
        <v>17520</v>
      </c>
      <c r="G1084" s="489">
        <v>833.5</v>
      </c>
      <c r="H1084" s="489">
        <v>21.0198</v>
      </c>
      <c r="I1084" s="487" t="s">
        <v>1499</v>
      </c>
      <c r="J1084" s="487" t="s">
        <v>639</v>
      </c>
    </row>
    <row r="1085" spans="1:10" ht="15" x14ac:dyDescent="0.2">
      <c r="A1085" s="486" t="s">
        <v>638</v>
      </c>
      <c r="B1085" s="487" t="s">
        <v>637</v>
      </c>
      <c r="C1085" s="488" t="s">
        <v>4715</v>
      </c>
      <c r="D1085" s="489" t="s">
        <v>4716</v>
      </c>
      <c r="E1085" s="487" t="s">
        <v>4717</v>
      </c>
      <c r="F1085" s="490">
        <v>51730</v>
      </c>
      <c r="G1085" s="489">
        <v>1149.8</v>
      </c>
      <c r="H1085" s="489">
        <v>44.990430000000003</v>
      </c>
      <c r="I1085" s="487" t="s">
        <v>1499</v>
      </c>
      <c r="J1085" s="487" t="s">
        <v>639</v>
      </c>
    </row>
    <row r="1086" spans="1:10" ht="15" x14ac:dyDescent="0.2">
      <c r="A1086" s="486" t="s">
        <v>638</v>
      </c>
      <c r="B1086" s="487" t="s">
        <v>637</v>
      </c>
      <c r="C1086" s="488" t="s">
        <v>4718</v>
      </c>
      <c r="D1086" s="489" t="s">
        <v>4719</v>
      </c>
      <c r="E1086" s="487" t="s">
        <v>4720</v>
      </c>
      <c r="F1086" s="490">
        <v>8900</v>
      </c>
      <c r="G1086" s="489">
        <v>248.4</v>
      </c>
      <c r="H1086" s="489">
        <v>35.82931</v>
      </c>
      <c r="I1086" s="487" t="s">
        <v>1499</v>
      </c>
      <c r="J1086" s="487" t="s">
        <v>639</v>
      </c>
    </row>
    <row r="1087" spans="1:10" ht="15" x14ac:dyDescent="0.2">
      <c r="A1087" s="486" t="s">
        <v>638</v>
      </c>
      <c r="B1087" s="487" t="s">
        <v>637</v>
      </c>
      <c r="C1087" s="488" t="s">
        <v>4721</v>
      </c>
      <c r="D1087" s="489" t="s">
        <v>4722</v>
      </c>
      <c r="E1087" s="487" t="s">
        <v>4723</v>
      </c>
      <c r="F1087" s="490">
        <v>9500</v>
      </c>
      <c r="G1087" s="489">
        <v>134</v>
      </c>
      <c r="H1087" s="489">
        <v>70.895520000000005</v>
      </c>
      <c r="I1087" s="487" t="s">
        <v>1499</v>
      </c>
      <c r="J1087" s="487" t="s">
        <v>639</v>
      </c>
    </row>
    <row r="1088" spans="1:10" ht="15" x14ac:dyDescent="0.2">
      <c r="A1088" s="486" t="s">
        <v>638</v>
      </c>
      <c r="B1088" s="487" t="s">
        <v>637</v>
      </c>
      <c r="C1088" s="488" t="s">
        <v>4724</v>
      </c>
      <c r="D1088" s="489" t="s">
        <v>4725</v>
      </c>
      <c r="E1088" s="487" t="s">
        <v>4726</v>
      </c>
      <c r="F1088" s="490">
        <v>0</v>
      </c>
      <c r="G1088" s="489">
        <v>0</v>
      </c>
      <c r="H1088" s="489">
        <v>0</v>
      </c>
      <c r="I1088" s="487" t="s">
        <v>2465</v>
      </c>
      <c r="J1088" s="487" t="s">
        <v>639</v>
      </c>
    </row>
    <row r="1089" spans="1:10" ht="15" x14ac:dyDescent="0.2">
      <c r="A1089" s="486" t="s">
        <v>638</v>
      </c>
      <c r="B1089" s="487" t="s">
        <v>637</v>
      </c>
      <c r="C1089" s="488" t="s">
        <v>4727</v>
      </c>
      <c r="D1089" s="489" t="s">
        <v>4728</v>
      </c>
      <c r="E1089" s="487" t="s">
        <v>4729</v>
      </c>
      <c r="F1089" s="490">
        <v>3752</v>
      </c>
      <c r="G1089" s="489">
        <v>154.30000000000001</v>
      </c>
      <c r="H1089" s="489">
        <v>24.316269999999999</v>
      </c>
      <c r="I1089" s="487" t="s">
        <v>2465</v>
      </c>
      <c r="J1089" s="487" t="s">
        <v>639</v>
      </c>
    </row>
    <row r="1090" spans="1:10" ht="15" x14ac:dyDescent="0.2">
      <c r="A1090" s="486" t="s">
        <v>638</v>
      </c>
      <c r="B1090" s="487" t="s">
        <v>637</v>
      </c>
      <c r="C1090" s="488" t="s">
        <v>4730</v>
      </c>
      <c r="D1090" s="489" t="s">
        <v>4731</v>
      </c>
      <c r="E1090" s="487" t="s">
        <v>4732</v>
      </c>
      <c r="F1090" s="490">
        <v>6360</v>
      </c>
      <c r="G1090" s="489">
        <v>266.2</v>
      </c>
      <c r="H1090" s="489">
        <v>23.89181</v>
      </c>
      <c r="I1090" s="487" t="s">
        <v>1499</v>
      </c>
      <c r="J1090" s="487" t="s">
        <v>639</v>
      </c>
    </row>
    <row r="1091" spans="1:10" ht="15" x14ac:dyDescent="0.2">
      <c r="A1091" s="486" t="s">
        <v>638</v>
      </c>
      <c r="B1091" s="487" t="s">
        <v>637</v>
      </c>
      <c r="C1091" s="488" t="s">
        <v>4733</v>
      </c>
      <c r="D1091" s="489" t="s">
        <v>4734</v>
      </c>
      <c r="E1091" s="487" t="s">
        <v>4735</v>
      </c>
      <c r="F1091" s="490">
        <v>30000</v>
      </c>
      <c r="G1091" s="489">
        <v>1012.5</v>
      </c>
      <c r="H1091" s="489">
        <v>29.629629999999999</v>
      </c>
      <c r="I1091" s="487" t="s">
        <v>1499</v>
      </c>
      <c r="J1091" s="487" t="s">
        <v>639</v>
      </c>
    </row>
    <row r="1092" spans="1:10" ht="15" x14ac:dyDescent="0.2">
      <c r="A1092" s="486" t="s">
        <v>638</v>
      </c>
      <c r="B1092" s="487" t="s">
        <v>637</v>
      </c>
      <c r="C1092" s="488" t="s">
        <v>4736</v>
      </c>
      <c r="D1092" s="489" t="s">
        <v>4737</v>
      </c>
      <c r="E1092" s="487" t="s">
        <v>4738</v>
      </c>
      <c r="F1092" s="490">
        <v>14400</v>
      </c>
      <c r="G1092" s="489">
        <v>547.29999999999995</v>
      </c>
      <c r="H1092" s="489">
        <v>26.310980000000001</v>
      </c>
      <c r="I1092" s="487" t="s">
        <v>1499</v>
      </c>
      <c r="J1092" s="487" t="s">
        <v>639</v>
      </c>
    </row>
    <row r="1093" spans="1:10" ht="15" x14ac:dyDescent="0.2">
      <c r="A1093" s="486" t="s">
        <v>638</v>
      </c>
      <c r="B1093" s="487" t="s">
        <v>637</v>
      </c>
      <c r="C1093" s="488" t="s">
        <v>4739</v>
      </c>
      <c r="D1093" s="489" t="s">
        <v>4740</v>
      </c>
      <c r="E1093" s="487" t="s">
        <v>4741</v>
      </c>
      <c r="F1093" s="490">
        <v>7900</v>
      </c>
      <c r="G1093" s="489">
        <v>337.3</v>
      </c>
      <c r="H1093" s="489">
        <v>23.421289999999999</v>
      </c>
      <c r="I1093" s="487" t="s">
        <v>1499</v>
      </c>
      <c r="J1093" s="487" t="s">
        <v>639</v>
      </c>
    </row>
    <row r="1094" spans="1:10" ht="15" x14ac:dyDescent="0.2">
      <c r="A1094" s="486" t="s">
        <v>638</v>
      </c>
      <c r="B1094" s="487" t="s">
        <v>637</v>
      </c>
      <c r="C1094" s="488" t="s">
        <v>4742</v>
      </c>
      <c r="D1094" s="489" t="s">
        <v>4743</v>
      </c>
      <c r="E1094" s="487" t="s">
        <v>4744</v>
      </c>
      <c r="F1094" s="490">
        <v>75418</v>
      </c>
      <c r="G1094" s="489">
        <v>1170</v>
      </c>
      <c r="H1094" s="489">
        <v>64.459829999999997</v>
      </c>
      <c r="I1094" s="487" t="s">
        <v>1499</v>
      </c>
      <c r="J1094" s="487" t="s">
        <v>639</v>
      </c>
    </row>
    <row r="1095" spans="1:10" ht="15" x14ac:dyDescent="0.2">
      <c r="A1095" s="486" t="s">
        <v>638</v>
      </c>
      <c r="B1095" s="487" t="s">
        <v>637</v>
      </c>
      <c r="C1095" s="488" t="s">
        <v>4745</v>
      </c>
      <c r="D1095" s="489" t="s">
        <v>4746</v>
      </c>
      <c r="E1095" s="487" t="s">
        <v>4747</v>
      </c>
      <c r="F1095" s="490">
        <v>4500</v>
      </c>
      <c r="G1095" s="489">
        <v>171.2</v>
      </c>
      <c r="H1095" s="489">
        <v>26.285049999999998</v>
      </c>
      <c r="I1095" s="487" t="s">
        <v>1499</v>
      </c>
      <c r="J1095" s="487" t="s">
        <v>639</v>
      </c>
    </row>
    <row r="1096" spans="1:10" ht="15" x14ac:dyDescent="0.2">
      <c r="A1096" s="486" t="s">
        <v>638</v>
      </c>
      <c r="B1096" s="487" t="s">
        <v>637</v>
      </c>
      <c r="C1096" s="488" t="s">
        <v>4748</v>
      </c>
      <c r="D1096" s="489" t="s">
        <v>4749</v>
      </c>
      <c r="E1096" s="487" t="s">
        <v>4750</v>
      </c>
      <c r="F1096" s="490">
        <v>0</v>
      </c>
      <c r="G1096" s="489">
        <v>164.8</v>
      </c>
      <c r="H1096" s="489">
        <v>0</v>
      </c>
      <c r="I1096" s="487" t="s">
        <v>1593</v>
      </c>
      <c r="J1096" s="487" t="s">
        <v>639</v>
      </c>
    </row>
    <row r="1097" spans="1:10" ht="15" x14ac:dyDescent="0.2">
      <c r="A1097" s="486" t="s">
        <v>638</v>
      </c>
      <c r="B1097" s="487" t="s">
        <v>637</v>
      </c>
      <c r="C1097" s="488" t="s">
        <v>4751</v>
      </c>
      <c r="D1097" s="489" t="s">
        <v>4752</v>
      </c>
      <c r="E1097" s="487" t="s">
        <v>4753</v>
      </c>
      <c r="F1097" s="490">
        <v>0</v>
      </c>
      <c r="G1097" s="489">
        <v>0</v>
      </c>
      <c r="H1097" s="489">
        <v>0</v>
      </c>
      <c r="I1097" s="487" t="s">
        <v>2465</v>
      </c>
      <c r="J1097" s="487" t="s">
        <v>639</v>
      </c>
    </row>
    <row r="1098" spans="1:10" ht="15" x14ac:dyDescent="0.2">
      <c r="A1098" s="486" t="s">
        <v>638</v>
      </c>
      <c r="B1098" s="487" t="s">
        <v>637</v>
      </c>
      <c r="C1098" s="488" t="s">
        <v>4754</v>
      </c>
      <c r="D1098" s="489" t="s">
        <v>4755</v>
      </c>
      <c r="E1098" s="487" t="s">
        <v>4756</v>
      </c>
      <c r="F1098" s="490">
        <v>16000</v>
      </c>
      <c r="G1098" s="489">
        <v>196.5</v>
      </c>
      <c r="H1098" s="489">
        <v>81.424940000000007</v>
      </c>
      <c r="I1098" s="487" t="s">
        <v>1499</v>
      </c>
      <c r="J1098" s="487" t="s">
        <v>639</v>
      </c>
    </row>
    <row r="1099" spans="1:10" ht="15" x14ac:dyDescent="0.2">
      <c r="A1099" s="486" t="s">
        <v>638</v>
      </c>
      <c r="B1099" s="487" t="s">
        <v>637</v>
      </c>
      <c r="C1099" s="488" t="s">
        <v>4757</v>
      </c>
      <c r="D1099" s="489" t="s">
        <v>4758</v>
      </c>
      <c r="E1099" s="487" t="s">
        <v>4759</v>
      </c>
      <c r="F1099" s="490">
        <v>75208</v>
      </c>
      <c r="G1099" s="489">
        <v>1348.2</v>
      </c>
      <c r="H1099" s="489">
        <v>55.784010000000002</v>
      </c>
      <c r="I1099" s="487" t="s">
        <v>1499</v>
      </c>
      <c r="J1099" s="487" t="s">
        <v>639</v>
      </c>
    </row>
    <row r="1100" spans="1:10" ht="15" x14ac:dyDescent="0.2">
      <c r="A1100" s="486" t="s">
        <v>638</v>
      </c>
      <c r="B1100" s="487" t="s">
        <v>637</v>
      </c>
      <c r="C1100" s="488" t="s">
        <v>4760</v>
      </c>
      <c r="D1100" s="489" t="s">
        <v>4761</v>
      </c>
      <c r="E1100" s="487" t="s">
        <v>4762</v>
      </c>
      <c r="F1100" s="490">
        <v>6500</v>
      </c>
      <c r="G1100" s="489">
        <v>250.9</v>
      </c>
      <c r="H1100" s="489">
        <v>25.906739999999999</v>
      </c>
      <c r="I1100" s="487" t="s">
        <v>1499</v>
      </c>
      <c r="J1100" s="487" t="s">
        <v>639</v>
      </c>
    </row>
    <row r="1101" spans="1:10" ht="15" x14ac:dyDescent="0.2">
      <c r="A1101" s="486" t="s">
        <v>638</v>
      </c>
      <c r="B1101" s="487" t="s">
        <v>637</v>
      </c>
      <c r="C1101" s="488" t="s">
        <v>4763</v>
      </c>
      <c r="D1101" s="489" t="s">
        <v>4764</v>
      </c>
      <c r="E1101" s="487" t="s">
        <v>4765</v>
      </c>
      <c r="F1101" s="490">
        <v>0</v>
      </c>
      <c r="G1101" s="489">
        <v>137.5</v>
      </c>
      <c r="H1101" s="489">
        <v>0</v>
      </c>
      <c r="I1101" s="487" t="s">
        <v>1593</v>
      </c>
      <c r="J1101" s="487" t="s">
        <v>639</v>
      </c>
    </row>
    <row r="1102" spans="1:10" ht="15" x14ac:dyDescent="0.2">
      <c r="A1102" s="486" t="s">
        <v>638</v>
      </c>
      <c r="B1102" s="487" t="s">
        <v>637</v>
      </c>
      <c r="C1102" s="488" t="s">
        <v>4766</v>
      </c>
      <c r="D1102" s="489" t="s">
        <v>4767</v>
      </c>
      <c r="E1102" s="487" t="s">
        <v>2050</v>
      </c>
      <c r="F1102" s="490">
        <v>6589</v>
      </c>
      <c r="G1102" s="489">
        <v>153.69999999999999</v>
      </c>
      <c r="H1102" s="489">
        <v>42.869230000000002</v>
      </c>
      <c r="I1102" s="487" t="s">
        <v>1499</v>
      </c>
      <c r="J1102" s="487" t="s">
        <v>639</v>
      </c>
    </row>
    <row r="1103" spans="1:10" ht="15" x14ac:dyDescent="0.2">
      <c r="A1103" s="486" t="s">
        <v>855</v>
      </c>
      <c r="B1103" s="487" t="s">
        <v>854</v>
      </c>
      <c r="C1103" s="488" t="s">
        <v>4768</v>
      </c>
      <c r="D1103" s="489" t="s">
        <v>4769</v>
      </c>
      <c r="E1103" s="487" t="s">
        <v>4770</v>
      </c>
      <c r="F1103" s="490">
        <v>0</v>
      </c>
      <c r="G1103" s="489">
        <v>15.9</v>
      </c>
      <c r="H1103" s="489">
        <v>0</v>
      </c>
      <c r="I1103" s="487" t="s">
        <v>1593</v>
      </c>
      <c r="J1103" s="487" t="s">
        <v>856</v>
      </c>
    </row>
    <row r="1104" spans="1:10" ht="15" x14ac:dyDescent="0.2">
      <c r="A1104" s="486" t="s">
        <v>855</v>
      </c>
      <c r="B1104" s="487" t="s">
        <v>854</v>
      </c>
      <c r="C1104" s="488" t="s">
        <v>4771</v>
      </c>
      <c r="D1104" s="489" t="s">
        <v>4772</v>
      </c>
      <c r="E1104" s="487" t="s">
        <v>4773</v>
      </c>
      <c r="F1104" s="490">
        <v>0</v>
      </c>
      <c r="G1104" s="489">
        <v>13.7</v>
      </c>
      <c r="H1104" s="489">
        <v>0</v>
      </c>
      <c r="I1104" s="487" t="s">
        <v>1593</v>
      </c>
      <c r="J1104" s="487" t="s">
        <v>856</v>
      </c>
    </row>
    <row r="1105" spans="1:10" ht="15" x14ac:dyDescent="0.2">
      <c r="A1105" s="486" t="s">
        <v>855</v>
      </c>
      <c r="B1105" s="487" t="s">
        <v>854</v>
      </c>
      <c r="C1105" s="488" t="s">
        <v>4774</v>
      </c>
      <c r="D1105" s="489" t="s">
        <v>4775</v>
      </c>
      <c r="E1105" s="487" t="s">
        <v>4776</v>
      </c>
      <c r="F1105" s="490">
        <v>13447</v>
      </c>
      <c r="G1105" s="489">
        <v>134.1</v>
      </c>
      <c r="H1105" s="489">
        <v>100.27591</v>
      </c>
      <c r="I1105" s="487" t="s">
        <v>1499</v>
      </c>
      <c r="J1105" s="487" t="s">
        <v>856</v>
      </c>
    </row>
    <row r="1106" spans="1:10" ht="15" x14ac:dyDescent="0.2">
      <c r="A1106" s="486" t="s">
        <v>855</v>
      </c>
      <c r="B1106" s="487" t="s">
        <v>854</v>
      </c>
      <c r="C1106" s="488" t="s">
        <v>4777</v>
      </c>
      <c r="D1106" s="489" t="s">
        <v>4778</v>
      </c>
      <c r="E1106" s="487" t="s">
        <v>4779</v>
      </c>
      <c r="F1106" s="490">
        <v>7936</v>
      </c>
      <c r="G1106" s="489">
        <v>237.6</v>
      </c>
      <c r="H1106" s="489">
        <v>33.400669999999998</v>
      </c>
      <c r="I1106" s="487" t="s">
        <v>1499</v>
      </c>
      <c r="J1106" s="487" t="s">
        <v>856</v>
      </c>
    </row>
    <row r="1107" spans="1:10" ht="15" x14ac:dyDescent="0.2">
      <c r="A1107" s="486" t="s">
        <v>855</v>
      </c>
      <c r="B1107" s="487" t="s">
        <v>854</v>
      </c>
      <c r="C1107" s="488" t="s">
        <v>4780</v>
      </c>
      <c r="D1107" s="489" t="s">
        <v>4781</v>
      </c>
      <c r="E1107" s="487" t="s">
        <v>4782</v>
      </c>
      <c r="F1107" s="490">
        <v>2870</v>
      </c>
      <c r="G1107" s="489">
        <v>274.10000000000002</v>
      </c>
      <c r="H1107" s="489">
        <v>10.47063</v>
      </c>
      <c r="I1107" s="487" t="s">
        <v>1499</v>
      </c>
      <c r="J1107" s="487" t="s">
        <v>856</v>
      </c>
    </row>
    <row r="1108" spans="1:10" ht="15" x14ac:dyDescent="0.2">
      <c r="A1108" s="486" t="s">
        <v>855</v>
      </c>
      <c r="B1108" s="487" t="s">
        <v>854</v>
      </c>
      <c r="C1108" s="488" t="s">
        <v>4783</v>
      </c>
      <c r="D1108" s="489" t="s">
        <v>4784</v>
      </c>
      <c r="E1108" s="487" t="s">
        <v>851</v>
      </c>
      <c r="F1108" s="490">
        <v>9858</v>
      </c>
      <c r="G1108" s="489">
        <v>489.2</v>
      </c>
      <c r="H1108" s="489">
        <v>20.15127</v>
      </c>
      <c r="I1108" s="487" t="s">
        <v>1499</v>
      </c>
      <c r="J1108" s="487" t="s">
        <v>856</v>
      </c>
    </row>
    <row r="1109" spans="1:10" ht="15" x14ac:dyDescent="0.2">
      <c r="A1109" s="486" t="s">
        <v>855</v>
      </c>
      <c r="B1109" s="487" t="s">
        <v>854</v>
      </c>
      <c r="C1109" s="488" t="s">
        <v>4785</v>
      </c>
      <c r="D1109" s="489" t="s">
        <v>4786</v>
      </c>
      <c r="E1109" s="487" t="s">
        <v>4787</v>
      </c>
      <c r="F1109" s="490">
        <v>20600</v>
      </c>
      <c r="G1109" s="489">
        <v>810.7</v>
      </c>
      <c r="H1109" s="489">
        <v>25.410139999999998</v>
      </c>
      <c r="I1109" s="487" t="s">
        <v>1499</v>
      </c>
      <c r="J1109" s="487" t="s">
        <v>856</v>
      </c>
    </row>
    <row r="1110" spans="1:10" ht="15" x14ac:dyDescent="0.2">
      <c r="A1110" s="486" t="s">
        <v>855</v>
      </c>
      <c r="B1110" s="487" t="s">
        <v>854</v>
      </c>
      <c r="C1110" s="488" t="s">
        <v>4788</v>
      </c>
      <c r="D1110" s="489" t="s">
        <v>4789</v>
      </c>
      <c r="E1110" s="487" t="s">
        <v>4790</v>
      </c>
      <c r="F1110" s="490">
        <v>100</v>
      </c>
      <c r="G1110" s="489">
        <v>33.9</v>
      </c>
      <c r="H1110" s="489">
        <v>2.9498500000000001</v>
      </c>
      <c r="I1110" s="487" t="s">
        <v>1499</v>
      </c>
      <c r="J1110" s="487" t="s">
        <v>856</v>
      </c>
    </row>
    <row r="1111" spans="1:10" ht="15" x14ac:dyDescent="0.2">
      <c r="A1111" s="486" t="s">
        <v>855</v>
      </c>
      <c r="B1111" s="487" t="s">
        <v>854</v>
      </c>
      <c r="C1111" s="488" t="s">
        <v>4791</v>
      </c>
      <c r="D1111" s="489" t="s">
        <v>4792</v>
      </c>
      <c r="E1111" s="487" t="s">
        <v>4793</v>
      </c>
      <c r="F1111" s="490">
        <v>21902</v>
      </c>
      <c r="G1111" s="489">
        <v>1129</v>
      </c>
      <c r="H1111" s="489">
        <v>19.399470000000001</v>
      </c>
      <c r="I1111" s="487" t="s">
        <v>1499</v>
      </c>
      <c r="J1111" s="487" t="s">
        <v>856</v>
      </c>
    </row>
    <row r="1112" spans="1:10" ht="15" x14ac:dyDescent="0.2">
      <c r="A1112" s="486" t="s">
        <v>995</v>
      </c>
      <c r="B1112" s="487" t="s">
        <v>994</v>
      </c>
      <c r="C1112" s="488" t="s">
        <v>4794</v>
      </c>
      <c r="D1112" s="489" t="s">
        <v>4795</v>
      </c>
      <c r="E1112" s="487" t="s">
        <v>4796</v>
      </c>
      <c r="F1112" s="490">
        <v>26871</v>
      </c>
      <c r="G1112" s="489">
        <v>2447.3000000000002</v>
      </c>
      <c r="H1112" s="489">
        <v>10.97986</v>
      </c>
      <c r="I1112" s="487" t="s">
        <v>1499</v>
      </c>
      <c r="J1112" s="487" t="s">
        <v>996</v>
      </c>
    </row>
    <row r="1113" spans="1:10" ht="15" x14ac:dyDescent="0.2">
      <c r="A1113" s="486" t="s">
        <v>995</v>
      </c>
      <c r="B1113" s="487" t="s">
        <v>994</v>
      </c>
      <c r="C1113" s="488" t="s">
        <v>4797</v>
      </c>
      <c r="D1113" s="489" t="s">
        <v>4798</v>
      </c>
      <c r="E1113" s="487" t="s">
        <v>4799</v>
      </c>
      <c r="F1113" s="490">
        <v>14010</v>
      </c>
      <c r="G1113" s="489">
        <v>1504.8</v>
      </c>
      <c r="H1113" s="489">
        <v>9.3102099999999997</v>
      </c>
      <c r="I1113" s="487" t="s">
        <v>1499</v>
      </c>
      <c r="J1113" s="487" t="s">
        <v>996</v>
      </c>
    </row>
    <row r="1114" spans="1:10" ht="15" x14ac:dyDescent="0.2">
      <c r="A1114" s="486" t="s">
        <v>1110</v>
      </c>
      <c r="B1114" s="487" t="s">
        <v>1109</v>
      </c>
      <c r="C1114" s="488" t="s">
        <v>4800</v>
      </c>
      <c r="D1114" s="489" t="s">
        <v>4801</v>
      </c>
      <c r="E1114" s="487" t="s">
        <v>4802</v>
      </c>
      <c r="F1114" s="490">
        <v>237500</v>
      </c>
      <c r="G1114" s="489">
        <v>2240.8000000000002</v>
      </c>
      <c r="H1114" s="489">
        <v>105.98893</v>
      </c>
      <c r="I1114" s="487" t="s">
        <v>1499</v>
      </c>
      <c r="J1114" s="487" t="s">
        <v>1111</v>
      </c>
    </row>
    <row r="1115" spans="1:10" ht="15" x14ac:dyDescent="0.2">
      <c r="A1115" s="486" t="s">
        <v>1110</v>
      </c>
      <c r="B1115" s="487" t="s">
        <v>1109</v>
      </c>
      <c r="C1115" s="488" t="s">
        <v>4803</v>
      </c>
      <c r="D1115" s="489" t="s">
        <v>4804</v>
      </c>
      <c r="E1115" s="487" t="s">
        <v>4805</v>
      </c>
      <c r="F1115" s="490">
        <v>190500</v>
      </c>
      <c r="G1115" s="489">
        <v>6969</v>
      </c>
      <c r="H1115" s="489">
        <v>27.335339999999999</v>
      </c>
      <c r="I1115" s="487" t="s">
        <v>1499</v>
      </c>
      <c r="J1115" s="487" t="s">
        <v>1111</v>
      </c>
    </row>
    <row r="1116" spans="1:10" ht="15" x14ac:dyDescent="0.2">
      <c r="A1116" s="486" t="s">
        <v>1110</v>
      </c>
      <c r="B1116" s="487" t="s">
        <v>1109</v>
      </c>
      <c r="C1116" s="488" t="s">
        <v>4806</v>
      </c>
      <c r="D1116" s="489" t="s">
        <v>4807</v>
      </c>
      <c r="E1116" s="487" t="s">
        <v>4808</v>
      </c>
      <c r="F1116" s="490">
        <v>54900</v>
      </c>
      <c r="G1116" s="489">
        <v>957.9</v>
      </c>
      <c r="H1116" s="489">
        <v>57.312869999999997</v>
      </c>
      <c r="I1116" s="487" t="s">
        <v>1499</v>
      </c>
      <c r="J1116" s="487" t="s">
        <v>1111</v>
      </c>
    </row>
    <row r="1117" spans="1:10" ht="15" x14ac:dyDescent="0.2">
      <c r="A1117" s="486" t="s">
        <v>1110</v>
      </c>
      <c r="B1117" s="487" t="s">
        <v>1109</v>
      </c>
      <c r="C1117" s="488" t="s">
        <v>4809</v>
      </c>
      <c r="D1117" s="489" t="s">
        <v>4810</v>
      </c>
      <c r="E1117" s="487" t="s">
        <v>4811</v>
      </c>
      <c r="F1117" s="490">
        <v>146373</v>
      </c>
      <c r="G1117" s="489">
        <v>6488.6</v>
      </c>
      <c r="H1117" s="489">
        <v>22.558489999999999</v>
      </c>
      <c r="I1117" s="487" t="s">
        <v>1499</v>
      </c>
      <c r="J1117" s="487" t="s">
        <v>1111</v>
      </c>
    </row>
    <row r="1118" spans="1:10" ht="15" x14ac:dyDescent="0.2">
      <c r="A1118" s="486" t="s">
        <v>1110</v>
      </c>
      <c r="B1118" s="487" t="s">
        <v>1109</v>
      </c>
      <c r="C1118" s="488" t="s">
        <v>4812</v>
      </c>
      <c r="D1118" s="489" t="s">
        <v>4813</v>
      </c>
      <c r="E1118" s="487" t="s">
        <v>4814</v>
      </c>
      <c r="F1118" s="490">
        <v>113030</v>
      </c>
      <c r="G1118" s="489">
        <v>3912.3</v>
      </c>
      <c r="H1118" s="489">
        <v>28.890930000000001</v>
      </c>
      <c r="I1118" s="487" t="s">
        <v>1499</v>
      </c>
      <c r="J1118" s="487" t="s">
        <v>1111</v>
      </c>
    </row>
    <row r="1119" spans="1:10" ht="15" x14ac:dyDescent="0.2">
      <c r="A1119" s="486" t="s">
        <v>1246</v>
      </c>
      <c r="B1119" s="487" t="s">
        <v>1245</v>
      </c>
      <c r="C1119" s="488" t="s">
        <v>4815</v>
      </c>
      <c r="D1119" s="489" t="s">
        <v>4816</v>
      </c>
      <c r="E1119" s="487" t="s">
        <v>4817</v>
      </c>
      <c r="F1119" s="490">
        <v>0</v>
      </c>
      <c r="G1119" s="489">
        <v>102.28</v>
      </c>
      <c r="H1119" s="489">
        <v>0</v>
      </c>
      <c r="I1119" s="487" t="s">
        <v>2465</v>
      </c>
      <c r="J1119" s="487" t="s">
        <v>1247</v>
      </c>
    </row>
    <row r="1120" spans="1:10" ht="15" x14ac:dyDescent="0.2">
      <c r="A1120" s="486" t="s">
        <v>1246</v>
      </c>
      <c r="B1120" s="487" t="s">
        <v>1245</v>
      </c>
      <c r="C1120" s="488" t="s">
        <v>4818</v>
      </c>
      <c r="D1120" s="489" t="s">
        <v>4819</v>
      </c>
      <c r="E1120" s="487" t="s">
        <v>4820</v>
      </c>
      <c r="F1120" s="490">
        <v>360512</v>
      </c>
      <c r="G1120" s="489">
        <v>9079.48</v>
      </c>
      <c r="H1120" s="489">
        <v>39.706240000000001</v>
      </c>
      <c r="I1120" s="487" t="s">
        <v>1499</v>
      </c>
      <c r="J1120" s="487" t="s">
        <v>1247</v>
      </c>
    </row>
    <row r="1121" spans="1:10" ht="15" x14ac:dyDescent="0.2">
      <c r="A1121" s="486" t="s">
        <v>1246</v>
      </c>
      <c r="B1121" s="487" t="s">
        <v>1245</v>
      </c>
      <c r="C1121" s="488" t="s">
        <v>4821</v>
      </c>
      <c r="D1121" s="489" t="s">
        <v>4822</v>
      </c>
      <c r="E1121" s="487" t="s">
        <v>3539</v>
      </c>
      <c r="F1121" s="490">
        <v>9000</v>
      </c>
      <c r="G1121" s="489">
        <v>367.95</v>
      </c>
      <c r="H1121" s="489">
        <v>24.459849999999999</v>
      </c>
      <c r="I1121" s="487" t="s">
        <v>1499</v>
      </c>
      <c r="J1121" s="487" t="s">
        <v>1247</v>
      </c>
    </row>
    <row r="1122" spans="1:10" ht="15" x14ac:dyDescent="0.2">
      <c r="A1122" s="486" t="s">
        <v>1246</v>
      </c>
      <c r="B1122" s="487" t="s">
        <v>1245</v>
      </c>
      <c r="C1122" s="488" t="s">
        <v>4823</v>
      </c>
      <c r="D1122" s="489" t="s">
        <v>4824</v>
      </c>
      <c r="E1122" s="487" t="s">
        <v>4825</v>
      </c>
      <c r="F1122" s="490">
        <v>30000</v>
      </c>
      <c r="G1122" s="489">
        <v>1309.19</v>
      </c>
      <c r="H1122" s="489">
        <v>22.914929999999998</v>
      </c>
      <c r="I1122" s="487" t="s">
        <v>2465</v>
      </c>
      <c r="J1122" s="487" t="s">
        <v>1247</v>
      </c>
    </row>
    <row r="1123" spans="1:10" ht="15" x14ac:dyDescent="0.2">
      <c r="A1123" s="486" t="s">
        <v>1246</v>
      </c>
      <c r="B1123" s="487" t="s">
        <v>1245</v>
      </c>
      <c r="C1123" s="488" t="s">
        <v>4826</v>
      </c>
      <c r="D1123" s="489" t="s">
        <v>4827</v>
      </c>
      <c r="E1123" s="487" t="s">
        <v>4828</v>
      </c>
      <c r="F1123" s="490">
        <v>81871</v>
      </c>
      <c r="G1123" s="489">
        <v>3421.07</v>
      </c>
      <c r="H1123" s="489">
        <v>23.9314</v>
      </c>
      <c r="I1123" s="487" t="s">
        <v>1499</v>
      </c>
      <c r="J1123" s="487" t="s">
        <v>1247</v>
      </c>
    </row>
    <row r="1124" spans="1:10" ht="15" x14ac:dyDescent="0.2">
      <c r="A1124" s="486" t="s">
        <v>1246</v>
      </c>
      <c r="B1124" s="487" t="s">
        <v>1245</v>
      </c>
      <c r="C1124" s="488" t="s">
        <v>4829</v>
      </c>
      <c r="D1124" s="489" t="s">
        <v>4830</v>
      </c>
      <c r="E1124" s="487" t="s">
        <v>3871</v>
      </c>
      <c r="F1124" s="490">
        <v>0</v>
      </c>
      <c r="G1124" s="489">
        <v>134.5</v>
      </c>
      <c r="H1124" s="489">
        <v>0</v>
      </c>
      <c r="I1124" s="487" t="s">
        <v>1593</v>
      </c>
      <c r="J1124" s="487" t="s">
        <v>1247</v>
      </c>
    </row>
    <row r="1125" spans="1:10" ht="15" x14ac:dyDescent="0.2">
      <c r="A1125" s="486" t="s">
        <v>1246</v>
      </c>
      <c r="B1125" s="487" t="s">
        <v>1245</v>
      </c>
      <c r="C1125" s="488" t="s">
        <v>4831</v>
      </c>
      <c r="D1125" s="489" t="s">
        <v>4832</v>
      </c>
      <c r="E1125" s="487" t="s">
        <v>4833</v>
      </c>
      <c r="F1125" s="490">
        <v>10879</v>
      </c>
      <c r="G1125" s="489">
        <v>418.84</v>
      </c>
      <c r="H1125" s="489">
        <v>25.974119999999999</v>
      </c>
      <c r="I1125" s="487" t="s">
        <v>1499</v>
      </c>
      <c r="J1125" s="487" t="s">
        <v>1247</v>
      </c>
    </row>
    <row r="1126" spans="1:10" ht="15" x14ac:dyDescent="0.2">
      <c r="A1126" s="486" t="s">
        <v>1246</v>
      </c>
      <c r="B1126" s="487" t="s">
        <v>1245</v>
      </c>
      <c r="C1126" s="488" t="s">
        <v>4834</v>
      </c>
      <c r="D1126" s="489" t="s">
        <v>4835</v>
      </c>
      <c r="E1126" s="487" t="s">
        <v>3919</v>
      </c>
      <c r="F1126" s="490">
        <v>3393</v>
      </c>
      <c r="G1126" s="489">
        <v>212.91</v>
      </c>
      <c r="H1126" s="489">
        <v>15.936310000000001</v>
      </c>
      <c r="I1126" s="487" t="s">
        <v>1499</v>
      </c>
      <c r="J1126" s="487" t="s">
        <v>1247</v>
      </c>
    </row>
    <row r="1127" spans="1:10" ht="15" x14ac:dyDescent="0.2">
      <c r="A1127" s="486" t="s">
        <v>1246</v>
      </c>
      <c r="B1127" s="487" t="s">
        <v>1245</v>
      </c>
      <c r="C1127" s="488" t="s">
        <v>4836</v>
      </c>
      <c r="D1127" s="489" t="s">
        <v>4837</v>
      </c>
      <c r="E1127" s="487" t="s">
        <v>4838</v>
      </c>
      <c r="F1127" s="490">
        <v>180300</v>
      </c>
      <c r="G1127" s="489">
        <v>8069.86</v>
      </c>
      <c r="H1127" s="489">
        <v>22.342400000000001</v>
      </c>
      <c r="I1127" s="487" t="s">
        <v>1499</v>
      </c>
      <c r="J1127" s="487" t="s">
        <v>1247</v>
      </c>
    </row>
    <row r="1128" spans="1:10" ht="15" x14ac:dyDescent="0.2">
      <c r="A1128" s="486" t="s">
        <v>1246</v>
      </c>
      <c r="B1128" s="487" t="s">
        <v>1245</v>
      </c>
      <c r="C1128" s="488" t="s">
        <v>4839</v>
      </c>
      <c r="D1128" s="489" t="s">
        <v>4840</v>
      </c>
      <c r="E1128" s="487" t="s">
        <v>4841</v>
      </c>
      <c r="F1128" s="490">
        <v>0</v>
      </c>
      <c r="G1128" s="489">
        <v>0</v>
      </c>
      <c r="H1128" s="489">
        <v>0</v>
      </c>
      <c r="I1128" s="487" t="s">
        <v>2465</v>
      </c>
      <c r="J1128" s="487" t="s">
        <v>1247</v>
      </c>
    </row>
    <row r="1129" spans="1:10" ht="15" x14ac:dyDescent="0.2">
      <c r="A1129" s="486" t="s">
        <v>1246</v>
      </c>
      <c r="B1129" s="487" t="s">
        <v>1245</v>
      </c>
      <c r="C1129" s="488" t="s">
        <v>4842</v>
      </c>
      <c r="D1129" s="489" t="s">
        <v>4843</v>
      </c>
      <c r="E1129" s="487" t="s">
        <v>4844</v>
      </c>
      <c r="F1129" s="490">
        <v>16264</v>
      </c>
      <c r="G1129" s="489">
        <v>345.15</v>
      </c>
      <c r="H1129" s="489">
        <v>47.121540000000003</v>
      </c>
      <c r="I1129" s="487" t="s">
        <v>1499</v>
      </c>
      <c r="J1129" s="487" t="s">
        <v>1247</v>
      </c>
    </row>
    <row r="1130" spans="1:10" ht="15" x14ac:dyDescent="0.2">
      <c r="A1130" s="486" t="s">
        <v>1246</v>
      </c>
      <c r="B1130" s="487" t="s">
        <v>1245</v>
      </c>
      <c r="C1130" s="488" t="s">
        <v>4845</v>
      </c>
      <c r="D1130" s="489" t="s">
        <v>4846</v>
      </c>
      <c r="E1130" s="487" t="s">
        <v>4847</v>
      </c>
      <c r="F1130" s="490">
        <v>3504</v>
      </c>
      <c r="G1130" s="489">
        <v>412.75</v>
      </c>
      <c r="H1130" s="489">
        <v>8.4893999999999998</v>
      </c>
      <c r="I1130" s="487" t="s">
        <v>1499</v>
      </c>
      <c r="J1130" s="487" t="s">
        <v>1247</v>
      </c>
    </row>
    <row r="1131" spans="1:10" ht="15" x14ac:dyDescent="0.2">
      <c r="A1131" s="486" t="s">
        <v>1246</v>
      </c>
      <c r="B1131" s="487" t="s">
        <v>1245</v>
      </c>
      <c r="C1131" s="488" t="s">
        <v>4848</v>
      </c>
      <c r="D1131" s="489" t="s">
        <v>4849</v>
      </c>
      <c r="E1131" s="487" t="s">
        <v>4850</v>
      </c>
      <c r="F1131" s="490">
        <v>0</v>
      </c>
      <c r="G1131" s="489">
        <v>0</v>
      </c>
      <c r="H1131" s="489">
        <v>0</v>
      </c>
      <c r="I1131" s="487" t="s">
        <v>2465</v>
      </c>
      <c r="J1131" s="487" t="s">
        <v>1247</v>
      </c>
    </row>
    <row r="1132" spans="1:10" ht="15" x14ac:dyDescent="0.2">
      <c r="A1132" s="486" t="s">
        <v>1246</v>
      </c>
      <c r="B1132" s="487" t="s">
        <v>1245</v>
      </c>
      <c r="C1132" s="488" t="s">
        <v>4851</v>
      </c>
      <c r="D1132" s="489" t="s">
        <v>4852</v>
      </c>
      <c r="E1132" s="487" t="s">
        <v>4853</v>
      </c>
      <c r="F1132" s="490">
        <v>5779</v>
      </c>
      <c r="G1132" s="489">
        <v>622.91</v>
      </c>
      <c r="H1132" s="489">
        <v>9.2774199999999993</v>
      </c>
      <c r="I1132" s="487" t="s">
        <v>1499</v>
      </c>
      <c r="J1132" s="487" t="s">
        <v>1247</v>
      </c>
    </row>
    <row r="1133" spans="1:10" ht="15" x14ac:dyDescent="0.2">
      <c r="A1133" s="486" t="s">
        <v>1246</v>
      </c>
      <c r="B1133" s="487" t="s">
        <v>1245</v>
      </c>
      <c r="C1133" s="488" t="s">
        <v>4854</v>
      </c>
      <c r="D1133" s="489" t="s">
        <v>4855</v>
      </c>
      <c r="E1133" s="487" t="s">
        <v>4856</v>
      </c>
      <c r="F1133" s="490">
        <v>5000</v>
      </c>
      <c r="G1133" s="489">
        <v>172.13</v>
      </c>
      <c r="H1133" s="489">
        <v>29.047809999999998</v>
      </c>
      <c r="I1133" s="487" t="s">
        <v>1499</v>
      </c>
      <c r="J1133" s="487" t="s">
        <v>1247</v>
      </c>
    </row>
    <row r="1134" spans="1:10" ht="15" x14ac:dyDescent="0.2">
      <c r="A1134" s="486" t="s">
        <v>1246</v>
      </c>
      <c r="B1134" s="487" t="s">
        <v>1245</v>
      </c>
      <c r="C1134" s="488" t="s">
        <v>4857</v>
      </c>
      <c r="D1134" s="489" t="s">
        <v>4858</v>
      </c>
      <c r="E1134" s="487" t="s">
        <v>4859</v>
      </c>
      <c r="F1134" s="490">
        <v>11100</v>
      </c>
      <c r="G1134" s="489">
        <v>425.82</v>
      </c>
      <c r="H1134" s="489">
        <v>26.067350000000001</v>
      </c>
      <c r="I1134" s="487" t="s">
        <v>1499</v>
      </c>
      <c r="J1134" s="487" t="s">
        <v>1247</v>
      </c>
    </row>
    <row r="1135" spans="1:10" ht="15" x14ac:dyDescent="0.2">
      <c r="A1135" s="486" t="s">
        <v>1246</v>
      </c>
      <c r="B1135" s="487" t="s">
        <v>1245</v>
      </c>
      <c r="C1135" s="488" t="s">
        <v>4860</v>
      </c>
      <c r="D1135" s="489" t="s">
        <v>4861</v>
      </c>
      <c r="E1135" s="487" t="s">
        <v>4862</v>
      </c>
      <c r="F1135" s="490">
        <v>174940</v>
      </c>
      <c r="G1135" s="489">
        <v>5856.19</v>
      </c>
      <c r="H1135" s="489">
        <v>29.87266</v>
      </c>
      <c r="I1135" s="487" t="s">
        <v>1499</v>
      </c>
      <c r="J1135" s="487" t="s">
        <v>1247</v>
      </c>
    </row>
    <row r="1136" spans="1:10" ht="15" x14ac:dyDescent="0.2">
      <c r="A1136" s="486" t="s">
        <v>1246</v>
      </c>
      <c r="B1136" s="487" t="s">
        <v>1245</v>
      </c>
      <c r="C1136" s="488" t="s">
        <v>4863</v>
      </c>
      <c r="D1136" s="489" t="s">
        <v>4864</v>
      </c>
      <c r="E1136" s="487" t="s">
        <v>4865</v>
      </c>
      <c r="F1136" s="490">
        <v>15610</v>
      </c>
      <c r="G1136" s="489">
        <v>401.06</v>
      </c>
      <c r="H1136" s="489">
        <v>38.921860000000002</v>
      </c>
      <c r="I1136" s="487" t="s">
        <v>1499</v>
      </c>
      <c r="J1136" s="487" t="s">
        <v>1247</v>
      </c>
    </row>
    <row r="1137" spans="1:10" ht="15" x14ac:dyDescent="0.2">
      <c r="A1137" s="486" t="s">
        <v>1246</v>
      </c>
      <c r="B1137" s="487" t="s">
        <v>1245</v>
      </c>
      <c r="C1137" s="488" t="s">
        <v>4866</v>
      </c>
      <c r="D1137" s="489" t="s">
        <v>4867</v>
      </c>
      <c r="E1137" s="487" t="s">
        <v>4793</v>
      </c>
      <c r="F1137" s="490">
        <v>23508</v>
      </c>
      <c r="G1137" s="489">
        <v>2039.08</v>
      </c>
      <c r="H1137" s="489">
        <v>11.528729999999999</v>
      </c>
      <c r="I1137" s="487" t="s">
        <v>1499</v>
      </c>
      <c r="J1137" s="487" t="s">
        <v>1247</v>
      </c>
    </row>
    <row r="1138" spans="1:10" ht="15" x14ac:dyDescent="0.2">
      <c r="A1138" s="486" t="s">
        <v>1246</v>
      </c>
      <c r="B1138" s="487" t="s">
        <v>1245</v>
      </c>
      <c r="C1138" s="488" t="s">
        <v>4868</v>
      </c>
      <c r="D1138" s="489" t="s">
        <v>4869</v>
      </c>
      <c r="E1138" s="487" t="s">
        <v>4870</v>
      </c>
      <c r="F1138" s="490">
        <v>141683</v>
      </c>
      <c r="G1138" s="489">
        <v>3574.14</v>
      </c>
      <c r="H1138" s="489">
        <v>39.64114</v>
      </c>
      <c r="I1138" s="487" t="s">
        <v>1499</v>
      </c>
      <c r="J1138" s="487" t="s">
        <v>1247</v>
      </c>
    </row>
    <row r="1139" spans="1:10" ht="15" x14ac:dyDescent="0.2">
      <c r="A1139" s="486" t="s">
        <v>656</v>
      </c>
      <c r="B1139" s="487" t="s">
        <v>655</v>
      </c>
      <c r="C1139" s="488" t="s">
        <v>4871</v>
      </c>
      <c r="D1139" s="489" t="s">
        <v>4872</v>
      </c>
      <c r="E1139" s="487" t="s">
        <v>4873</v>
      </c>
      <c r="F1139" s="490">
        <v>600</v>
      </c>
      <c r="G1139" s="489">
        <v>89.06</v>
      </c>
      <c r="H1139" s="489">
        <v>6.7370299999999999</v>
      </c>
      <c r="I1139" s="487" t="s">
        <v>1499</v>
      </c>
      <c r="J1139" s="487" t="s">
        <v>657</v>
      </c>
    </row>
    <row r="1140" spans="1:10" ht="15" x14ac:dyDescent="0.2">
      <c r="A1140" s="486" t="s">
        <v>656</v>
      </c>
      <c r="B1140" s="487" t="s">
        <v>655</v>
      </c>
      <c r="C1140" s="488" t="s">
        <v>4874</v>
      </c>
      <c r="D1140" s="489" t="s">
        <v>4875</v>
      </c>
      <c r="E1140" s="487" t="s">
        <v>4876</v>
      </c>
      <c r="F1140" s="490">
        <v>19500</v>
      </c>
      <c r="G1140" s="489">
        <v>461.86</v>
      </c>
      <c r="H1140" s="489">
        <v>42.220590000000001</v>
      </c>
      <c r="I1140" s="487" t="s">
        <v>1499</v>
      </c>
      <c r="J1140" s="487" t="s">
        <v>657</v>
      </c>
    </row>
    <row r="1141" spans="1:10" ht="15" x14ac:dyDescent="0.2">
      <c r="A1141" s="486" t="s">
        <v>656</v>
      </c>
      <c r="B1141" s="487" t="s">
        <v>655</v>
      </c>
      <c r="C1141" s="488" t="s">
        <v>4877</v>
      </c>
      <c r="D1141" s="489" t="s">
        <v>4878</v>
      </c>
      <c r="E1141" s="487" t="s">
        <v>4879</v>
      </c>
      <c r="F1141" s="490">
        <v>17500</v>
      </c>
      <c r="G1141" s="489">
        <v>202.71</v>
      </c>
      <c r="H1141" s="489">
        <v>86.33023</v>
      </c>
      <c r="I1141" s="487" t="s">
        <v>1499</v>
      </c>
      <c r="J1141" s="487" t="s">
        <v>657</v>
      </c>
    </row>
    <row r="1142" spans="1:10" ht="15" x14ac:dyDescent="0.2">
      <c r="A1142" s="486" t="s">
        <v>656</v>
      </c>
      <c r="B1142" s="487" t="s">
        <v>655</v>
      </c>
      <c r="C1142" s="488" t="s">
        <v>4880</v>
      </c>
      <c r="D1142" s="489" t="s">
        <v>4881</v>
      </c>
      <c r="E1142" s="487" t="s">
        <v>4882</v>
      </c>
      <c r="F1142" s="490">
        <v>37352</v>
      </c>
      <c r="G1142" s="489">
        <v>302.81</v>
      </c>
      <c r="H1142" s="489">
        <v>123.35128</v>
      </c>
      <c r="I1142" s="487" t="s">
        <v>1499</v>
      </c>
      <c r="J1142" s="487" t="s">
        <v>657</v>
      </c>
    </row>
    <row r="1143" spans="1:10" ht="15" x14ac:dyDescent="0.2">
      <c r="A1143" s="486" t="s">
        <v>656</v>
      </c>
      <c r="B1143" s="487" t="s">
        <v>655</v>
      </c>
      <c r="C1143" s="488" t="s">
        <v>4883</v>
      </c>
      <c r="D1143" s="489" t="s">
        <v>4884</v>
      </c>
      <c r="E1143" s="487" t="s">
        <v>4885</v>
      </c>
      <c r="F1143" s="490">
        <v>0</v>
      </c>
      <c r="G1143" s="489">
        <v>46.7</v>
      </c>
      <c r="H1143" s="489">
        <v>0</v>
      </c>
      <c r="I1143" s="487" t="s">
        <v>1593</v>
      </c>
      <c r="J1143" s="487" t="s">
        <v>657</v>
      </c>
    </row>
    <row r="1144" spans="1:10" ht="15" x14ac:dyDescent="0.2">
      <c r="A1144" s="486" t="s">
        <v>656</v>
      </c>
      <c r="B1144" s="487" t="s">
        <v>655</v>
      </c>
      <c r="C1144" s="488" t="s">
        <v>4886</v>
      </c>
      <c r="D1144" s="489" t="s">
        <v>4887</v>
      </c>
      <c r="E1144" s="487" t="s">
        <v>4888</v>
      </c>
      <c r="F1144" s="490">
        <v>1914498</v>
      </c>
      <c r="G1144" s="489">
        <v>5081.5</v>
      </c>
      <c r="H1144" s="489">
        <v>376.75844000000001</v>
      </c>
      <c r="I1144" s="487" t="s">
        <v>1499</v>
      </c>
      <c r="J1144" s="487" t="s">
        <v>657</v>
      </c>
    </row>
    <row r="1145" spans="1:10" ht="15" x14ac:dyDescent="0.2">
      <c r="A1145" s="486" t="s">
        <v>656</v>
      </c>
      <c r="B1145" s="487" t="s">
        <v>655</v>
      </c>
      <c r="C1145" s="488" t="s">
        <v>4889</v>
      </c>
      <c r="D1145" s="489" t="s">
        <v>4890</v>
      </c>
      <c r="E1145" s="487" t="s">
        <v>4891</v>
      </c>
      <c r="F1145" s="490">
        <v>22000</v>
      </c>
      <c r="G1145" s="489">
        <v>324.38</v>
      </c>
      <c r="H1145" s="489">
        <v>67.821690000000004</v>
      </c>
      <c r="I1145" s="487" t="s">
        <v>1499</v>
      </c>
      <c r="J1145" s="487" t="s">
        <v>657</v>
      </c>
    </row>
    <row r="1146" spans="1:10" ht="15" x14ac:dyDescent="0.2">
      <c r="A1146" s="486" t="s">
        <v>656</v>
      </c>
      <c r="B1146" s="487" t="s">
        <v>655</v>
      </c>
      <c r="C1146" s="488" t="s">
        <v>4892</v>
      </c>
      <c r="D1146" s="489" t="s">
        <v>4893</v>
      </c>
      <c r="E1146" s="487" t="s">
        <v>4894</v>
      </c>
      <c r="F1146" s="490">
        <v>8500</v>
      </c>
      <c r="G1146" s="489">
        <v>208.91</v>
      </c>
      <c r="H1146" s="489">
        <v>40.687379999999997</v>
      </c>
      <c r="I1146" s="487" t="s">
        <v>1499</v>
      </c>
      <c r="J1146" s="487" t="s">
        <v>657</v>
      </c>
    </row>
    <row r="1147" spans="1:10" ht="15" x14ac:dyDescent="0.2">
      <c r="A1147" s="486" t="s">
        <v>656</v>
      </c>
      <c r="B1147" s="487" t="s">
        <v>655</v>
      </c>
      <c r="C1147" s="488" t="s">
        <v>4895</v>
      </c>
      <c r="D1147" s="489" t="s">
        <v>4896</v>
      </c>
      <c r="E1147" s="487" t="s">
        <v>4897</v>
      </c>
      <c r="F1147" s="490">
        <v>90000</v>
      </c>
      <c r="G1147" s="489">
        <v>1446.55</v>
      </c>
      <c r="H1147" s="489">
        <v>62.216999999999999</v>
      </c>
      <c r="I1147" s="487" t="s">
        <v>1499</v>
      </c>
      <c r="J1147" s="487" t="s">
        <v>657</v>
      </c>
    </row>
    <row r="1148" spans="1:10" ht="15" x14ac:dyDescent="0.2">
      <c r="A1148" s="486" t="s">
        <v>656</v>
      </c>
      <c r="B1148" s="487" t="s">
        <v>655</v>
      </c>
      <c r="C1148" s="488" t="s">
        <v>4898</v>
      </c>
      <c r="D1148" s="489" t="s">
        <v>4899</v>
      </c>
      <c r="E1148" s="487" t="s">
        <v>4900</v>
      </c>
      <c r="F1148" s="490">
        <v>1376920</v>
      </c>
      <c r="G1148" s="489">
        <v>4398.9399999999996</v>
      </c>
      <c r="H1148" s="489">
        <v>313.01177000000001</v>
      </c>
      <c r="I1148" s="487" t="s">
        <v>1499</v>
      </c>
      <c r="J1148" s="487" t="s">
        <v>657</v>
      </c>
    </row>
    <row r="1149" spans="1:10" ht="15" x14ac:dyDescent="0.2">
      <c r="A1149" s="486" t="s">
        <v>656</v>
      </c>
      <c r="B1149" s="487" t="s">
        <v>655</v>
      </c>
      <c r="C1149" s="488" t="s">
        <v>4901</v>
      </c>
      <c r="D1149" s="489" t="s">
        <v>4902</v>
      </c>
      <c r="E1149" s="487" t="s">
        <v>4903</v>
      </c>
      <c r="F1149" s="490">
        <v>31500</v>
      </c>
      <c r="G1149" s="489">
        <v>739.85</v>
      </c>
      <c r="H1149" s="489">
        <v>42.5762</v>
      </c>
      <c r="I1149" s="487" t="s">
        <v>1499</v>
      </c>
      <c r="J1149" s="487" t="s">
        <v>657</v>
      </c>
    </row>
    <row r="1150" spans="1:10" ht="15" x14ac:dyDescent="0.2">
      <c r="A1150" s="486" t="s">
        <v>656</v>
      </c>
      <c r="B1150" s="487" t="s">
        <v>655</v>
      </c>
      <c r="C1150" s="488" t="s">
        <v>4904</v>
      </c>
      <c r="D1150" s="489" t="s">
        <v>4905</v>
      </c>
      <c r="E1150" s="487" t="s">
        <v>4906</v>
      </c>
      <c r="F1150" s="490">
        <v>620500</v>
      </c>
      <c r="G1150" s="489">
        <v>2139.79</v>
      </c>
      <c r="H1150" s="489">
        <v>289.98173000000003</v>
      </c>
      <c r="I1150" s="487" t="s">
        <v>1499</v>
      </c>
      <c r="J1150" s="487" t="s">
        <v>657</v>
      </c>
    </row>
    <row r="1151" spans="1:10" ht="15" x14ac:dyDescent="0.2">
      <c r="A1151" s="486" t="s">
        <v>656</v>
      </c>
      <c r="B1151" s="487" t="s">
        <v>655</v>
      </c>
      <c r="C1151" s="488" t="s">
        <v>4907</v>
      </c>
      <c r="D1151" s="489" t="s">
        <v>4908</v>
      </c>
      <c r="E1151" s="487" t="s">
        <v>4909</v>
      </c>
      <c r="F1151" s="490">
        <v>315100</v>
      </c>
      <c r="G1151" s="489">
        <v>2672.05</v>
      </c>
      <c r="H1151" s="489">
        <v>117.92444</v>
      </c>
      <c r="I1151" s="487" t="s">
        <v>1499</v>
      </c>
      <c r="J1151" s="487" t="s">
        <v>657</v>
      </c>
    </row>
    <row r="1152" spans="1:10" ht="15" x14ac:dyDescent="0.2">
      <c r="A1152" s="486" t="s">
        <v>656</v>
      </c>
      <c r="B1152" s="487" t="s">
        <v>655</v>
      </c>
      <c r="C1152" s="488" t="s">
        <v>4910</v>
      </c>
      <c r="D1152" s="489" t="s">
        <v>4911</v>
      </c>
      <c r="E1152" s="487" t="s">
        <v>4912</v>
      </c>
      <c r="F1152" s="490">
        <v>1678964</v>
      </c>
      <c r="G1152" s="489">
        <v>6565.38</v>
      </c>
      <c r="H1152" s="489">
        <v>255.72989999999999</v>
      </c>
      <c r="I1152" s="487" t="s">
        <v>1499</v>
      </c>
      <c r="J1152" s="487" t="s">
        <v>657</v>
      </c>
    </row>
    <row r="1153" spans="1:10" ht="15" x14ac:dyDescent="0.2">
      <c r="A1153" s="486" t="s">
        <v>656</v>
      </c>
      <c r="B1153" s="487" t="s">
        <v>655</v>
      </c>
      <c r="C1153" s="488" t="s">
        <v>4913</v>
      </c>
      <c r="D1153" s="489" t="s">
        <v>4914</v>
      </c>
      <c r="E1153" s="487" t="s">
        <v>4915</v>
      </c>
      <c r="F1153" s="490">
        <v>378503.5</v>
      </c>
      <c r="G1153" s="489">
        <v>1172.81</v>
      </c>
      <c r="H1153" s="489">
        <v>322.73216000000002</v>
      </c>
      <c r="I1153" s="487" t="s">
        <v>1499</v>
      </c>
      <c r="J1153" s="487" t="s">
        <v>657</v>
      </c>
    </row>
    <row r="1154" spans="1:10" ht="15" x14ac:dyDescent="0.2">
      <c r="A1154" s="486" t="s">
        <v>656</v>
      </c>
      <c r="B1154" s="487" t="s">
        <v>655</v>
      </c>
      <c r="C1154" s="488" t="s">
        <v>4916</v>
      </c>
      <c r="D1154" s="489" t="s">
        <v>4917</v>
      </c>
      <c r="E1154" s="487" t="s">
        <v>4918</v>
      </c>
      <c r="F1154" s="490">
        <v>12000</v>
      </c>
      <c r="G1154" s="489">
        <v>287.14</v>
      </c>
      <c r="H1154" s="489">
        <v>41.791460000000001</v>
      </c>
      <c r="I1154" s="487" t="s">
        <v>1499</v>
      </c>
      <c r="J1154" s="487" t="s">
        <v>657</v>
      </c>
    </row>
    <row r="1155" spans="1:10" ht="15" x14ac:dyDescent="0.2">
      <c r="A1155" s="486" t="s">
        <v>656</v>
      </c>
      <c r="B1155" s="487" t="s">
        <v>655</v>
      </c>
      <c r="C1155" s="488" t="s">
        <v>4919</v>
      </c>
      <c r="D1155" s="489" t="s">
        <v>4920</v>
      </c>
      <c r="E1155" s="487" t="s">
        <v>4921</v>
      </c>
      <c r="F1155" s="490">
        <v>20000</v>
      </c>
      <c r="G1155" s="489">
        <v>486.62</v>
      </c>
      <c r="H1155" s="489">
        <v>41.099829999999997</v>
      </c>
      <c r="I1155" s="487" t="s">
        <v>1499</v>
      </c>
      <c r="J1155" s="487" t="s">
        <v>657</v>
      </c>
    </row>
    <row r="1156" spans="1:10" ht="15" x14ac:dyDescent="0.2">
      <c r="A1156" s="486" t="s">
        <v>656</v>
      </c>
      <c r="B1156" s="487" t="s">
        <v>655</v>
      </c>
      <c r="C1156" s="488" t="s">
        <v>4922</v>
      </c>
      <c r="D1156" s="489" t="s">
        <v>4923</v>
      </c>
      <c r="E1156" s="487" t="s">
        <v>4924</v>
      </c>
      <c r="F1156" s="490">
        <v>45300</v>
      </c>
      <c r="G1156" s="489">
        <v>1001.49</v>
      </c>
      <c r="H1156" s="489">
        <v>45.232599999999998</v>
      </c>
      <c r="I1156" s="487" t="s">
        <v>1499</v>
      </c>
      <c r="J1156" s="487" t="s">
        <v>657</v>
      </c>
    </row>
    <row r="1157" spans="1:10" ht="15" x14ac:dyDescent="0.2">
      <c r="A1157" s="486" t="s">
        <v>656</v>
      </c>
      <c r="B1157" s="487" t="s">
        <v>655</v>
      </c>
      <c r="C1157" s="488" t="s">
        <v>4925</v>
      </c>
      <c r="D1157" s="489" t="s">
        <v>4926</v>
      </c>
      <c r="E1157" s="487" t="s">
        <v>4927</v>
      </c>
      <c r="F1157" s="490">
        <v>275000</v>
      </c>
      <c r="G1157" s="489">
        <v>2651.64</v>
      </c>
      <c r="H1157" s="489">
        <v>103.7094</v>
      </c>
      <c r="I1157" s="487" t="s">
        <v>1499</v>
      </c>
      <c r="J1157" s="487" t="s">
        <v>657</v>
      </c>
    </row>
    <row r="1158" spans="1:10" ht="15" x14ac:dyDescent="0.2">
      <c r="A1158" s="486" t="s">
        <v>656</v>
      </c>
      <c r="B1158" s="487" t="s">
        <v>655</v>
      </c>
      <c r="C1158" s="488" t="s">
        <v>4928</v>
      </c>
      <c r="D1158" s="489" t="s">
        <v>4929</v>
      </c>
      <c r="E1158" s="487" t="s">
        <v>4930</v>
      </c>
      <c r="F1158" s="490">
        <v>42978.53</v>
      </c>
      <c r="G1158" s="489">
        <v>574.04999999999995</v>
      </c>
      <c r="H1158" s="489">
        <v>74.868970000000004</v>
      </c>
      <c r="I1158" s="487" t="s">
        <v>1499</v>
      </c>
      <c r="J1158" s="487" t="s">
        <v>657</v>
      </c>
    </row>
    <row r="1159" spans="1:10" ht="15" x14ac:dyDescent="0.2">
      <c r="A1159" s="486" t="s">
        <v>656</v>
      </c>
      <c r="B1159" s="487" t="s">
        <v>655</v>
      </c>
      <c r="C1159" s="488" t="s">
        <v>4931</v>
      </c>
      <c r="D1159" s="489" t="s">
        <v>4932</v>
      </c>
      <c r="E1159" s="487" t="s">
        <v>4933</v>
      </c>
      <c r="F1159" s="490">
        <v>14910</v>
      </c>
      <c r="G1159" s="489">
        <v>1153.9000000000001</v>
      </c>
      <c r="H1159" s="489">
        <v>12.9214</v>
      </c>
      <c r="I1159" s="487" t="s">
        <v>1499</v>
      </c>
      <c r="J1159" s="487" t="s">
        <v>657</v>
      </c>
    </row>
    <row r="1160" spans="1:10" ht="15" x14ac:dyDescent="0.2">
      <c r="A1160" s="486" t="s">
        <v>656</v>
      </c>
      <c r="B1160" s="487" t="s">
        <v>655</v>
      </c>
      <c r="C1160" s="488" t="s">
        <v>4934</v>
      </c>
      <c r="D1160" s="489" t="s">
        <v>4935</v>
      </c>
      <c r="E1160" s="487" t="s">
        <v>4936</v>
      </c>
      <c r="F1160" s="490">
        <v>99147</v>
      </c>
      <c r="G1160" s="489">
        <v>825.49</v>
      </c>
      <c r="H1160" s="489">
        <v>120.10684999999999</v>
      </c>
      <c r="I1160" s="487" t="s">
        <v>1499</v>
      </c>
      <c r="J1160" s="487" t="s">
        <v>657</v>
      </c>
    </row>
    <row r="1161" spans="1:10" ht="15" x14ac:dyDescent="0.2">
      <c r="A1161" s="486" t="s">
        <v>656</v>
      </c>
      <c r="B1161" s="487" t="s">
        <v>655</v>
      </c>
      <c r="C1161" s="488" t="s">
        <v>4937</v>
      </c>
      <c r="D1161" s="489" t="s">
        <v>4938</v>
      </c>
      <c r="E1161" s="487" t="s">
        <v>4939</v>
      </c>
      <c r="F1161" s="490">
        <v>45300</v>
      </c>
      <c r="G1161" s="489">
        <v>515.79999999999995</v>
      </c>
      <c r="H1161" s="489">
        <v>87.824740000000006</v>
      </c>
      <c r="I1161" s="487" t="s">
        <v>1499</v>
      </c>
      <c r="J1161" s="487" t="s">
        <v>657</v>
      </c>
    </row>
    <row r="1162" spans="1:10" ht="15" x14ac:dyDescent="0.2">
      <c r="A1162" s="486" t="s">
        <v>656</v>
      </c>
      <c r="B1162" s="487" t="s">
        <v>655</v>
      </c>
      <c r="C1162" s="488" t="s">
        <v>4940</v>
      </c>
      <c r="D1162" s="489" t="s">
        <v>4941</v>
      </c>
      <c r="E1162" s="487" t="s">
        <v>4942</v>
      </c>
      <c r="F1162" s="490">
        <v>76620</v>
      </c>
      <c r="G1162" s="489">
        <v>976.55</v>
      </c>
      <c r="H1162" s="489">
        <v>78.459879999999998</v>
      </c>
      <c r="I1162" s="487" t="s">
        <v>1499</v>
      </c>
      <c r="J1162" s="487" t="s">
        <v>657</v>
      </c>
    </row>
    <row r="1163" spans="1:10" ht="15" x14ac:dyDescent="0.2">
      <c r="A1163" s="486" t="s">
        <v>656</v>
      </c>
      <c r="B1163" s="487" t="s">
        <v>655</v>
      </c>
      <c r="C1163" s="488" t="s">
        <v>4943</v>
      </c>
      <c r="D1163" s="489" t="s">
        <v>4944</v>
      </c>
      <c r="E1163" s="487" t="s">
        <v>4945</v>
      </c>
      <c r="F1163" s="490">
        <v>38500</v>
      </c>
      <c r="G1163" s="489">
        <v>660.86</v>
      </c>
      <c r="H1163" s="489">
        <v>58.257420000000003</v>
      </c>
      <c r="I1163" s="487" t="s">
        <v>1499</v>
      </c>
      <c r="J1163" s="487" t="s">
        <v>657</v>
      </c>
    </row>
    <row r="1164" spans="1:10" ht="15" x14ac:dyDescent="0.2">
      <c r="A1164" s="486" t="s">
        <v>656</v>
      </c>
      <c r="B1164" s="487" t="s">
        <v>655</v>
      </c>
      <c r="C1164" s="488" t="s">
        <v>4946</v>
      </c>
      <c r="D1164" s="489" t="s">
        <v>4947</v>
      </c>
      <c r="E1164" s="487" t="s">
        <v>4948</v>
      </c>
      <c r="F1164" s="490">
        <v>17970</v>
      </c>
      <c r="G1164" s="489">
        <v>183.12</v>
      </c>
      <c r="H1164" s="489">
        <v>98.132369999999995</v>
      </c>
      <c r="I1164" s="487" t="s">
        <v>1499</v>
      </c>
      <c r="J1164" s="487" t="s">
        <v>657</v>
      </c>
    </row>
    <row r="1165" spans="1:10" ht="15" x14ac:dyDescent="0.2">
      <c r="A1165" s="486" t="s">
        <v>656</v>
      </c>
      <c r="B1165" s="487" t="s">
        <v>655</v>
      </c>
      <c r="C1165" s="488" t="s">
        <v>4949</v>
      </c>
      <c r="D1165" s="489" t="s">
        <v>4950</v>
      </c>
      <c r="E1165" s="487" t="s">
        <v>4951</v>
      </c>
      <c r="F1165" s="490">
        <v>1000</v>
      </c>
      <c r="G1165" s="489">
        <v>199.94</v>
      </c>
      <c r="H1165" s="489">
        <v>5.0015000000000001</v>
      </c>
      <c r="I1165" s="487" t="s">
        <v>1499</v>
      </c>
      <c r="J1165" s="487" t="s">
        <v>657</v>
      </c>
    </row>
    <row r="1166" spans="1:10" ht="15" x14ac:dyDescent="0.2">
      <c r="A1166" s="486" t="s">
        <v>656</v>
      </c>
      <c r="B1166" s="487" t="s">
        <v>655</v>
      </c>
      <c r="C1166" s="488" t="s">
        <v>4952</v>
      </c>
      <c r="D1166" s="489" t="s">
        <v>4953</v>
      </c>
      <c r="E1166" s="487" t="s">
        <v>4954</v>
      </c>
      <c r="F1166" s="490">
        <v>70224</v>
      </c>
      <c r="G1166" s="489">
        <v>803.43</v>
      </c>
      <c r="H1166" s="489">
        <v>87.405249999999995</v>
      </c>
      <c r="I1166" s="487" t="s">
        <v>1499</v>
      </c>
      <c r="J1166" s="487" t="s">
        <v>657</v>
      </c>
    </row>
    <row r="1167" spans="1:10" ht="15" x14ac:dyDescent="0.2">
      <c r="A1167" s="486" t="s">
        <v>656</v>
      </c>
      <c r="B1167" s="487" t="s">
        <v>655</v>
      </c>
      <c r="C1167" s="488" t="s">
        <v>4955</v>
      </c>
      <c r="D1167" s="489" t="s">
        <v>4956</v>
      </c>
      <c r="E1167" s="487" t="s">
        <v>4957</v>
      </c>
      <c r="F1167" s="490">
        <v>17000</v>
      </c>
      <c r="G1167" s="489">
        <v>326.11</v>
      </c>
      <c r="H1167" s="489">
        <v>52.129649999999998</v>
      </c>
      <c r="I1167" s="487" t="s">
        <v>1499</v>
      </c>
      <c r="J1167" s="487" t="s">
        <v>657</v>
      </c>
    </row>
    <row r="1168" spans="1:10" ht="15" x14ac:dyDescent="0.2">
      <c r="A1168" s="486" t="s">
        <v>656</v>
      </c>
      <c r="B1168" s="487" t="s">
        <v>655</v>
      </c>
      <c r="C1168" s="488" t="s">
        <v>4958</v>
      </c>
      <c r="D1168" s="489" t="s">
        <v>4959</v>
      </c>
      <c r="E1168" s="487" t="s">
        <v>4960</v>
      </c>
      <c r="F1168" s="490">
        <v>7000</v>
      </c>
      <c r="G1168" s="489">
        <v>164.98</v>
      </c>
      <c r="H1168" s="489">
        <v>42.429389999999998</v>
      </c>
      <c r="I1168" s="487" t="s">
        <v>1499</v>
      </c>
      <c r="J1168" s="487" t="s">
        <v>657</v>
      </c>
    </row>
    <row r="1169" spans="1:10" ht="15" x14ac:dyDescent="0.2">
      <c r="A1169" s="486" t="s">
        <v>656</v>
      </c>
      <c r="B1169" s="487" t="s">
        <v>655</v>
      </c>
      <c r="C1169" s="488" t="s">
        <v>4961</v>
      </c>
      <c r="D1169" s="489" t="s">
        <v>4962</v>
      </c>
      <c r="E1169" s="487" t="s">
        <v>4963</v>
      </c>
      <c r="F1169" s="490">
        <v>12000</v>
      </c>
      <c r="G1169" s="489">
        <v>180.26</v>
      </c>
      <c r="H1169" s="489">
        <v>66.570509999999999</v>
      </c>
      <c r="I1169" s="487" t="s">
        <v>1499</v>
      </c>
      <c r="J1169" s="487" t="s">
        <v>657</v>
      </c>
    </row>
    <row r="1170" spans="1:10" ht="15" x14ac:dyDescent="0.2">
      <c r="A1170" s="486" t="s">
        <v>656</v>
      </c>
      <c r="B1170" s="487" t="s">
        <v>655</v>
      </c>
      <c r="C1170" s="488" t="s">
        <v>4964</v>
      </c>
      <c r="D1170" s="489" t="s">
        <v>4965</v>
      </c>
      <c r="E1170" s="487" t="s">
        <v>4966</v>
      </c>
      <c r="F1170" s="490">
        <v>3677262.79</v>
      </c>
      <c r="G1170" s="489">
        <v>8281.0400000000009</v>
      </c>
      <c r="H1170" s="489">
        <v>444.05808999999999</v>
      </c>
      <c r="I1170" s="487" t="s">
        <v>1499</v>
      </c>
      <c r="J1170" s="487" t="s">
        <v>657</v>
      </c>
    </row>
    <row r="1171" spans="1:10" ht="15" x14ac:dyDescent="0.2">
      <c r="A1171" s="486" t="s">
        <v>656</v>
      </c>
      <c r="B1171" s="487" t="s">
        <v>655</v>
      </c>
      <c r="C1171" s="488" t="s">
        <v>4967</v>
      </c>
      <c r="D1171" s="489" t="s">
        <v>4968</v>
      </c>
      <c r="E1171" s="487" t="s">
        <v>4969</v>
      </c>
      <c r="F1171" s="490">
        <v>160000</v>
      </c>
      <c r="G1171" s="489">
        <v>2163.92</v>
      </c>
      <c r="H1171" s="489">
        <v>73.939890000000005</v>
      </c>
      <c r="I1171" s="487" t="s">
        <v>1499</v>
      </c>
      <c r="J1171" s="487" t="s">
        <v>657</v>
      </c>
    </row>
    <row r="1172" spans="1:10" ht="15" x14ac:dyDescent="0.2">
      <c r="A1172" s="486" t="s">
        <v>656</v>
      </c>
      <c r="B1172" s="487" t="s">
        <v>655</v>
      </c>
      <c r="C1172" s="488" t="s">
        <v>4970</v>
      </c>
      <c r="D1172" s="489" t="s">
        <v>4971</v>
      </c>
      <c r="E1172" s="487" t="s">
        <v>4972</v>
      </c>
      <c r="F1172" s="490">
        <v>51500</v>
      </c>
      <c r="G1172" s="489">
        <v>534.19000000000005</v>
      </c>
      <c r="H1172" s="489">
        <v>96.407650000000004</v>
      </c>
      <c r="I1172" s="487" t="s">
        <v>1499</v>
      </c>
      <c r="J1172" s="487" t="s">
        <v>657</v>
      </c>
    </row>
    <row r="1173" spans="1:10" ht="15" x14ac:dyDescent="0.2">
      <c r="A1173" s="486" t="s">
        <v>656</v>
      </c>
      <c r="B1173" s="487" t="s">
        <v>655</v>
      </c>
      <c r="C1173" s="488" t="s">
        <v>4973</v>
      </c>
      <c r="D1173" s="489" t="s">
        <v>4974</v>
      </c>
      <c r="E1173" s="487" t="s">
        <v>4975</v>
      </c>
      <c r="F1173" s="490">
        <v>198416</v>
      </c>
      <c r="G1173" s="489">
        <v>1610.85</v>
      </c>
      <c r="H1173" s="489">
        <v>123.17471999999999</v>
      </c>
      <c r="I1173" s="487" t="s">
        <v>1499</v>
      </c>
      <c r="J1173" s="487" t="s">
        <v>657</v>
      </c>
    </row>
    <row r="1174" spans="1:10" ht="15" x14ac:dyDescent="0.2">
      <c r="A1174" s="486" t="s">
        <v>656</v>
      </c>
      <c r="B1174" s="487" t="s">
        <v>655</v>
      </c>
      <c r="C1174" s="488" t="s">
        <v>4976</v>
      </c>
      <c r="D1174" s="489" t="s">
        <v>4977</v>
      </c>
      <c r="E1174" s="487" t="s">
        <v>4978</v>
      </c>
      <c r="F1174" s="490">
        <v>16000</v>
      </c>
      <c r="G1174" s="489">
        <v>255.28</v>
      </c>
      <c r="H1174" s="489">
        <v>62.676279999999998</v>
      </c>
      <c r="I1174" s="487" t="s">
        <v>1499</v>
      </c>
      <c r="J1174" s="487" t="s">
        <v>657</v>
      </c>
    </row>
    <row r="1175" spans="1:10" ht="15" x14ac:dyDescent="0.2">
      <c r="A1175" s="486" t="s">
        <v>656</v>
      </c>
      <c r="B1175" s="487" t="s">
        <v>655</v>
      </c>
      <c r="C1175" s="488" t="s">
        <v>4979</v>
      </c>
      <c r="D1175" s="489" t="s">
        <v>4980</v>
      </c>
      <c r="E1175" s="487" t="s">
        <v>4981</v>
      </c>
      <c r="F1175" s="490">
        <v>51025</v>
      </c>
      <c r="G1175" s="489">
        <v>740.29</v>
      </c>
      <c r="H1175" s="489">
        <v>68.925690000000003</v>
      </c>
      <c r="I1175" s="487" t="s">
        <v>1499</v>
      </c>
      <c r="J1175" s="487" t="s">
        <v>657</v>
      </c>
    </row>
    <row r="1176" spans="1:10" ht="15" x14ac:dyDescent="0.2">
      <c r="A1176" s="486" t="s">
        <v>656</v>
      </c>
      <c r="B1176" s="487" t="s">
        <v>655</v>
      </c>
      <c r="C1176" s="488" t="s">
        <v>4982</v>
      </c>
      <c r="D1176" s="489" t="s">
        <v>4983</v>
      </c>
      <c r="E1176" s="487" t="s">
        <v>4984</v>
      </c>
      <c r="F1176" s="490">
        <v>31570</v>
      </c>
      <c r="G1176" s="489">
        <v>535.32000000000005</v>
      </c>
      <c r="H1176" s="489">
        <v>58.974069999999998</v>
      </c>
      <c r="I1176" s="487" t="s">
        <v>1499</v>
      </c>
      <c r="J1176" s="487" t="s">
        <v>657</v>
      </c>
    </row>
    <row r="1177" spans="1:10" ht="15" x14ac:dyDescent="0.2">
      <c r="A1177" s="486" t="s">
        <v>656</v>
      </c>
      <c r="B1177" s="487" t="s">
        <v>655</v>
      </c>
      <c r="C1177" s="488" t="s">
        <v>4985</v>
      </c>
      <c r="D1177" s="489" t="s">
        <v>4986</v>
      </c>
      <c r="E1177" s="487" t="s">
        <v>4987</v>
      </c>
      <c r="F1177" s="490">
        <v>22500</v>
      </c>
      <c r="G1177" s="489">
        <v>356.43</v>
      </c>
      <c r="H1177" s="489">
        <v>63.125999999999998</v>
      </c>
      <c r="I1177" s="487" t="s">
        <v>1499</v>
      </c>
      <c r="J1177" s="487" t="s">
        <v>657</v>
      </c>
    </row>
    <row r="1178" spans="1:10" ht="15" x14ac:dyDescent="0.2">
      <c r="A1178" s="486" t="s">
        <v>656</v>
      </c>
      <c r="B1178" s="487" t="s">
        <v>655</v>
      </c>
      <c r="C1178" s="488" t="s">
        <v>4988</v>
      </c>
      <c r="D1178" s="489" t="s">
        <v>4989</v>
      </c>
      <c r="E1178" s="487" t="s">
        <v>4990</v>
      </c>
      <c r="F1178" s="490">
        <v>6281.98</v>
      </c>
      <c r="G1178" s="489">
        <v>102.44</v>
      </c>
      <c r="H1178" s="489">
        <v>61.323509999999999</v>
      </c>
      <c r="I1178" s="487" t="s">
        <v>1499</v>
      </c>
      <c r="J1178" s="487" t="s">
        <v>657</v>
      </c>
    </row>
    <row r="1179" spans="1:10" ht="15" x14ac:dyDescent="0.2">
      <c r="A1179" s="486" t="s">
        <v>656</v>
      </c>
      <c r="B1179" s="487" t="s">
        <v>655</v>
      </c>
      <c r="C1179" s="488" t="s">
        <v>4991</v>
      </c>
      <c r="D1179" s="489" t="s">
        <v>4992</v>
      </c>
      <c r="E1179" s="487" t="s">
        <v>4993</v>
      </c>
      <c r="F1179" s="490">
        <v>15650</v>
      </c>
      <c r="G1179" s="489">
        <v>283.12</v>
      </c>
      <c r="H1179" s="489">
        <v>55.276910000000001</v>
      </c>
      <c r="I1179" s="487" t="s">
        <v>1499</v>
      </c>
      <c r="J1179" s="487" t="s">
        <v>657</v>
      </c>
    </row>
    <row r="1180" spans="1:10" ht="15" x14ac:dyDescent="0.2">
      <c r="A1180" s="486" t="s">
        <v>656</v>
      </c>
      <c r="B1180" s="487" t="s">
        <v>655</v>
      </c>
      <c r="C1180" s="488" t="s">
        <v>4994</v>
      </c>
      <c r="D1180" s="489" t="s">
        <v>4995</v>
      </c>
      <c r="E1180" s="487" t="s">
        <v>4996</v>
      </c>
      <c r="F1180" s="490">
        <v>59475</v>
      </c>
      <c r="G1180" s="489">
        <v>610.83000000000004</v>
      </c>
      <c r="H1180" s="489">
        <v>97.367519999999999</v>
      </c>
      <c r="I1180" s="487" t="s">
        <v>1499</v>
      </c>
      <c r="J1180" s="487" t="s">
        <v>657</v>
      </c>
    </row>
    <row r="1181" spans="1:10" ht="15" x14ac:dyDescent="0.2">
      <c r="A1181" s="486" t="s">
        <v>656</v>
      </c>
      <c r="B1181" s="487" t="s">
        <v>655</v>
      </c>
      <c r="C1181" s="488" t="s">
        <v>4997</v>
      </c>
      <c r="D1181" s="489" t="s">
        <v>4998</v>
      </c>
      <c r="E1181" s="487" t="s">
        <v>4999</v>
      </c>
      <c r="F1181" s="490">
        <v>125067</v>
      </c>
      <c r="G1181" s="489">
        <v>1356.79</v>
      </c>
      <c r="H1181" s="489">
        <v>92.178600000000003</v>
      </c>
      <c r="I1181" s="487" t="s">
        <v>1499</v>
      </c>
      <c r="J1181" s="487" t="s">
        <v>657</v>
      </c>
    </row>
    <row r="1182" spans="1:10" ht="15" x14ac:dyDescent="0.2">
      <c r="A1182" s="486" t="s">
        <v>656</v>
      </c>
      <c r="B1182" s="487" t="s">
        <v>655</v>
      </c>
      <c r="C1182" s="488" t="s">
        <v>5000</v>
      </c>
      <c r="D1182" s="489" t="s">
        <v>5001</v>
      </c>
      <c r="E1182" s="487" t="s">
        <v>5002</v>
      </c>
      <c r="F1182" s="490">
        <v>1059530</v>
      </c>
      <c r="G1182" s="489">
        <v>3305.21</v>
      </c>
      <c r="H1182" s="489">
        <v>320.56360000000001</v>
      </c>
      <c r="I1182" s="487" t="s">
        <v>1499</v>
      </c>
      <c r="J1182" s="487" t="s">
        <v>657</v>
      </c>
    </row>
    <row r="1183" spans="1:10" ht="15" x14ac:dyDescent="0.2">
      <c r="A1183" s="486" t="s">
        <v>656</v>
      </c>
      <c r="B1183" s="487" t="s">
        <v>655</v>
      </c>
      <c r="C1183" s="488" t="s">
        <v>5003</v>
      </c>
      <c r="D1183" s="489" t="s">
        <v>5004</v>
      </c>
      <c r="E1183" s="487" t="s">
        <v>5005</v>
      </c>
      <c r="F1183" s="490">
        <v>2000</v>
      </c>
      <c r="G1183" s="489">
        <v>110.83</v>
      </c>
      <c r="H1183" s="489">
        <v>18.045660000000002</v>
      </c>
      <c r="I1183" s="487" t="s">
        <v>1499</v>
      </c>
      <c r="J1183" s="487" t="s">
        <v>657</v>
      </c>
    </row>
    <row r="1184" spans="1:10" ht="15" x14ac:dyDescent="0.2">
      <c r="A1184" s="486" t="s">
        <v>656</v>
      </c>
      <c r="B1184" s="487" t="s">
        <v>655</v>
      </c>
      <c r="C1184" s="488" t="s">
        <v>5006</v>
      </c>
      <c r="D1184" s="489" t="s">
        <v>5007</v>
      </c>
      <c r="E1184" s="487" t="s">
        <v>5008</v>
      </c>
      <c r="F1184" s="490">
        <v>945950</v>
      </c>
      <c r="G1184" s="489">
        <v>3755.15</v>
      </c>
      <c r="H1184" s="489">
        <v>251.90737999999999</v>
      </c>
      <c r="I1184" s="487" t="s">
        <v>1499</v>
      </c>
      <c r="J1184" s="487" t="s">
        <v>657</v>
      </c>
    </row>
    <row r="1185" spans="1:10" ht="15" x14ac:dyDescent="0.2">
      <c r="A1185" s="486" t="s">
        <v>656</v>
      </c>
      <c r="B1185" s="487" t="s">
        <v>655</v>
      </c>
      <c r="C1185" s="488" t="s">
        <v>5009</v>
      </c>
      <c r="D1185" s="489" t="s">
        <v>5010</v>
      </c>
      <c r="E1185" s="487" t="s">
        <v>5011</v>
      </c>
      <c r="F1185" s="490">
        <v>230216</v>
      </c>
      <c r="G1185" s="489">
        <v>1952.71</v>
      </c>
      <c r="H1185" s="489">
        <v>117.89564</v>
      </c>
      <c r="I1185" s="487" t="s">
        <v>1499</v>
      </c>
      <c r="J1185" s="487" t="s">
        <v>657</v>
      </c>
    </row>
    <row r="1186" spans="1:10" ht="15" x14ac:dyDescent="0.2">
      <c r="A1186" s="486" t="s">
        <v>656</v>
      </c>
      <c r="B1186" s="487" t="s">
        <v>655</v>
      </c>
      <c r="C1186" s="488" t="s">
        <v>5012</v>
      </c>
      <c r="D1186" s="489" t="s">
        <v>5013</v>
      </c>
      <c r="E1186" s="487" t="s">
        <v>5014</v>
      </c>
      <c r="F1186" s="490">
        <v>5500</v>
      </c>
      <c r="G1186" s="489">
        <v>230.56</v>
      </c>
      <c r="H1186" s="489">
        <v>23.854959999999998</v>
      </c>
      <c r="I1186" s="487" t="s">
        <v>1499</v>
      </c>
      <c r="J1186" s="487" t="s">
        <v>657</v>
      </c>
    </row>
    <row r="1187" spans="1:10" ht="15" x14ac:dyDescent="0.2">
      <c r="A1187" s="486" t="s">
        <v>656</v>
      </c>
      <c r="B1187" s="487" t="s">
        <v>655</v>
      </c>
      <c r="C1187" s="488" t="s">
        <v>5015</v>
      </c>
      <c r="D1187" s="489" t="s">
        <v>5016</v>
      </c>
      <c r="E1187" s="487" t="s">
        <v>5017</v>
      </c>
      <c r="F1187" s="490">
        <v>34616.6</v>
      </c>
      <c r="G1187" s="489">
        <v>685.56</v>
      </c>
      <c r="H1187" s="489">
        <v>50.493899999999996</v>
      </c>
      <c r="I1187" s="487" t="s">
        <v>1499</v>
      </c>
      <c r="J1187" s="487" t="s">
        <v>657</v>
      </c>
    </row>
    <row r="1188" spans="1:10" ht="15" x14ac:dyDescent="0.2">
      <c r="A1188" s="486" t="s">
        <v>656</v>
      </c>
      <c r="B1188" s="487" t="s">
        <v>655</v>
      </c>
      <c r="C1188" s="488" t="s">
        <v>5018</v>
      </c>
      <c r="D1188" s="489" t="s">
        <v>5019</v>
      </c>
      <c r="E1188" s="487" t="s">
        <v>5020</v>
      </c>
      <c r="F1188" s="490">
        <v>179340</v>
      </c>
      <c r="G1188" s="489">
        <v>2411.2399999999998</v>
      </c>
      <c r="H1188" s="489">
        <v>74.376670000000004</v>
      </c>
      <c r="I1188" s="487" t="s">
        <v>1499</v>
      </c>
      <c r="J1188" s="487" t="s">
        <v>657</v>
      </c>
    </row>
    <row r="1189" spans="1:10" ht="15" x14ac:dyDescent="0.2">
      <c r="A1189" s="486" t="s">
        <v>656</v>
      </c>
      <c r="B1189" s="487" t="s">
        <v>655</v>
      </c>
      <c r="C1189" s="488" t="s">
        <v>5021</v>
      </c>
      <c r="D1189" s="489" t="s">
        <v>5022</v>
      </c>
      <c r="E1189" s="487" t="s">
        <v>5023</v>
      </c>
      <c r="F1189" s="490">
        <v>32000</v>
      </c>
      <c r="G1189" s="489">
        <v>759.55</v>
      </c>
      <c r="H1189" s="489">
        <v>42.130209999999998</v>
      </c>
      <c r="I1189" s="487" t="s">
        <v>1499</v>
      </c>
      <c r="J1189" s="487" t="s">
        <v>657</v>
      </c>
    </row>
    <row r="1190" spans="1:10" ht="15" x14ac:dyDescent="0.2">
      <c r="A1190" s="486" t="s">
        <v>656</v>
      </c>
      <c r="B1190" s="487" t="s">
        <v>655</v>
      </c>
      <c r="C1190" s="488" t="s">
        <v>5024</v>
      </c>
      <c r="D1190" s="489" t="s">
        <v>5025</v>
      </c>
      <c r="E1190" s="487" t="s">
        <v>5026</v>
      </c>
      <c r="F1190" s="490">
        <v>25420</v>
      </c>
      <c r="G1190" s="489">
        <v>613.16999999999996</v>
      </c>
      <c r="H1190" s="489">
        <v>41.456690000000002</v>
      </c>
      <c r="I1190" s="487" t="s">
        <v>1499</v>
      </c>
      <c r="J1190" s="487" t="s">
        <v>657</v>
      </c>
    </row>
    <row r="1191" spans="1:10" ht="15" x14ac:dyDescent="0.2">
      <c r="A1191" s="486" t="s">
        <v>656</v>
      </c>
      <c r="B1191" s="487" t="s">
        <v>655</v>
      </c>
      <c r="C1191" s="488" t="s">
        <v>5027</v>
      </c>
      <c r="D1191" s="489" t="s">
        <v>5028</v>
      </c>
      <c r="E1191" s="487" t="s">
        <v>5029</v>
      </c>
      <c r="F1191" s="490">
        <v>25500</v>
      </c>
      <c r="G1191" s="489">
        <v>455.51</v>
      </c>
      <c r="H1191" s="489">
        <v>55.981209999999997</v>
      </c>
      <c r="I1191" s="487" t="s">
        <v>1499</v>
      </c>
      <c r="J1191" s="487" t="s">
        <v>657</v>
      </c>
    </row>
    <row r="1192" spans="1:10" ht="15" x14ac:dyDescent="0.2">
      <c r="A1192" s="486" t="s">
        <v>656</v>
      </c>
      <c r="B1192" s="487" t="s">
        <v>655</v>
      </c>
      <c r="C1192" s="488" t="s">
        <v>5030</v>
      </c>
      <c r="D1192" s="489" t="s">
        <v>5031</v>
      </c>
      <c r="E1192" s="487" t="s">
        <v>5032</v>
      </c>
      <c r="F1192" s="490">
        <v>23000</v>
      </c>
      <c r="G1192" s="489">
        <v>400.08</v>
      </c>
      <c r="H1192" s="489">
        <v>57.488500000000002</v>
      </c>
      <c r="I1192" s="487" t="s">
        <v>1499</v>
      </c>
      <c r="J1192" s="487" t="s">
        <v>657</v>
      </c>
    </row>
    <row r="1193" spans="1:10" ht="15" x14ac:dyDescent="0.2">
      <c r="A1193" s="486" t="s">
        <v>656</v>
      </c>
      <c r="B1193" s="487" t="s">
        <v>655</v>
      </c>
      <c r="C1193" s="488" t="s">
        <v>5033</v>
      </c>
      <c r="D1193" s="489" t="s">
        <v>5034</v>
      </c>
      <c r="E1193" s="487" t="s">
        <v>5035</v>
      </c>
      <c r="F1193" s="490">
        <v>34400</v>
      </c>
      <c r="G1193" s="489">
        <v>287.36</v>
      </c>
      <c r="H1193" s="489">
        <v>119.71047</v>
      </c>
      <c r="I1193" s="487" t="s">
        <v>1499</v>
      </c>
      <c r="J1193" s="487" t="s">
        <v>657</v>
      </c>
    </row>
    <row r="1194" spans="1:10" ht="15" x14ac:dyDescent="0.2">
      <c r="A1194" s="486" t="s">
        <v>656</v>
      </c>
      <c r="B1194" s="487" t="s">
        <v>655</v>
      </c>
      <c r="C1194" s="488" t="s">
        <v>5036</v>
      </c>
      <c r="D1194" s="489" t="s">
        <v>5037</v>
      </c>
      <c r="E1194" s="487" t="s">
        <v>5038</v>
      </c>
      <c r="F1194" s="490">
        <v>3055</v>
      </c>
      <c r="G1194" s="489">
        <v>101.6</v>
      </c>
      <c r="H1194" s="489">
        <v>30.068899999999999</v>
      </c>
      <c r="I1194" s="487" t="s">
        <v>1499</v>
      </c>
      <c r="J1194" s="487" t="s">
        <v>657</v>
      </c>
    </row>
    <row r="1195" spans="1:10" ht="15" x14ac:dyDescent="0.2">
      <c r="A1195" s="486" t="s">
        <v>656</v>
      </c>
      <c r="B1195" s="487" t="s">
        <v>655</v>
      </c>
      <c r="C1195" s="488" t="s">
        <v>5039</v>
      </c>
      <c r="D1195" s="489" t="s">
        <v>5040</v>
      </c>
      <c r="E1195" s="487" t="s">
        <v>5041</v>
      </c>
      <c r="F1195" s="490">
        <v>2800</v>
      </c>
      <c r="G1195" s="489">
        <v>94.79</v>
      </c>
      <c r="H1195" s="489">
        <v>29.538979999999999</v>
      </c>
      <c r="I1195" s="487" t="s">
        <v>1499</v>
      </c>
      <c r="J1195" s="487" t="s">
        <v>657</v>
      </c>
    </row>
    <row r="1196" spans="1:10" ht="15" x14ac:dyDescent="0.2">
      <c r="A1196" s="486" t="s">
        <v>656</v>
      </c>
      <c r="B1196" s="487" t="s">
        <v>655</v>
      </c>
      <c r="C1196" s="488" t="s">
        <v>5042</v>
      </c>
      <c r="D1196" s="489" t="s">
        <v>5043</v>
      </c>
      <c r="E1196" s="487" t="s">
        <v>5044</v>
      </c>
      <c r="F1196" s="490">
        <v>83500</v>
      </c>
      <c r="G1196" s="489">
        <v>722.73</v>
      </c>
      <c r="H1196" s="489">
        <v>115.53416</v>
      </c>
      <c r="I1196" s="487" t="s">
        <v>1499</v>
      </c>
      <c r="J1196" s="487" t="s">
        <v>657</v>
      </c>
    </row>
    <row r="1197" spans="1:10" ht="15" x14ac:dyDescent="0.2">
      <c r="A1197" s="486" t="s">
        <v>656</v>
      </c>
      <c r="B1197" s="487" t="s">
        <v>655</v>
      </c>
      <c r="C1197" s="488" t="s">
        <v>5045</v>
      </c>
      <c r="D1197" s="489" t="s">
        <v>5046</v>
      </c>
      <c r="E1197" s="487" t="s">
        <v>5047</v>
      </c>
      <c r="F1197" s="490">
        <v>12594</v>
      </c>
      <c r="G1197" s="489">
        <v>237.04</v>
      </c>
      <c r="H1197" s="489">
        <v>53.130270000000003</v>
      </c>
      <c r="I1197" s="487" t="s">
        <v>1499</v>
      </c>
      <c r="J1197" s="487" t="s">
        <v>657</v>
      </c>
    </row>
    <row r="1198" spans="1:10" ht="15" x14ac:dyDescent="0.2">
      <c r="A1198" s="486" t="s">
        <v>656</v>
      </c>
      <c r="B1198" s="487" t="s">
        <v>655</v>
      </c>
      <c r="C1198" s="488" t="s">
        <v>5048</v>
      </c>
      <c r="D1198" s="489" t="s">
        <v>5049</v>
      </c>
      <c r="E1198" s="487" t="s">
        <v>5050</v>
      </c>
      <c r="F1198" s="490">
        <v>145816</v>
      </c>
      <c r="G1198" s="489">
        <v>902.69</v>
      </c>
      <c r="H1198" s="489">
        <v>161.53496999999999</v>
      </c>
      <c r="I1198" s="487" t="s">
        <v>1499</v>
      </c>
      <c r="J1198" s="487" t="s">
        <v>657</v>
      </c>
    </row>
    <row r="1199" spans="1:10" ht="15" x14ac:dyDescent="0.2">
      <c r="A1199" s="486" t="s">
        <v>656</v>
      </c>
      <c r="B1199" s="487" t="s">
        <v>655</v>
      </c>
      <c r="C1199" s="488" t="s">
        <v>5051</v>
      </c>
      <c r="D1199" s="489" t="s">
        <v>5052</v>
      </c>
      <c r="E1199" s="487" t="s">
        <v>5053</v>
      </c>
      <c r="F1199" s="490">
        <v>18810</v>
      </c>
      <c r="G1199" s="489">
        <v>245.45</v>
      </c>
      <c r="H1199" s="489">
        <v>76.634749999999997</v>
      </c>
      <c r="I1199" s="487" t="s">
        <v>1499</v>
      </c>
      <c r="J1199" s="487" t="s">
        <v>657</v>
      </c>
    </row>
    <row r="1200" spans="1:10" ht="15" x14ac:dyDescent="0.2">
      <c r="A1200" s="486" t="s">
        <v>656</v>
      </c>
      <c r="B1200" s="487" t="s">
        <v>655</v>
      </c>
      <c r="C1200" s="488" t="s">
        <v>5054</v>
      </c>
      <c r="D1200" s="489" t="s">
        <v>5055</v>
      </c>
      <c r="E1200" s="487" t="s">
        <v>5056</v>
      </c>
      <c r="F1200" s="490">
        <v>66750</v>
      </c>
      <c r="G1200" s="489">
        <v>790.83</v>
      </c>
      <c r="H1200" s="489">
        <v>84.404989999999998</v>
      </c>
      <c r="I1200" s="487" t="s">
        <v>1499</v>
      </c>
      <c r="J1200" s="487" t="s">
        <v>657</v>
      </c>
    </row>
    <row r="1201" spans="1:10" ht="15" x14ac:dyDescent="0.2">
      <c r="A1201" s="486" t="s">
        <v>656</v>
      </c>
      <c r="B1201" s="487" t="s">
        <v>655</v>
      </c>
      <c r="C1201" s="488" t="s">
        <v>5057</v>
      </c>
      <c r="D1201" s="489" t="s">
        <v>5058</v>
      </c>
      <c r="E1201" s="487" t="s">
        <v>5059</v>
      </c>
      <c r="F1201" s="490">
        <v>7751</v>
      </c>
      <c r="G1201" s="489">
        <v>235.78</v>
      </c>
      <c r="H1201" s="489">
        <v>32.873869999999997</v>
      </c>
      <c r="I1201" s="487" t="s">
        <v>1499</v>
      </c>
      <c r="J1201" s="487" t="s">
        <v>657</v>
      </c>
    </row>
    <row r="1202" spans="1:10" ht="15" x14ac:dyDescent="0.2">
      <c r="A1202" s="486" t="s">
        <v>656</v>
      </c>
      <c r="B1202" s="487" t="s">
        <v>655</v>
      </c>
      <c r="C1202" s="488" t="s">
        <v>5060</v>
      </c>
      <c r="D1202" s="489" t="s">
        <v>5061</v>
      </c>
      <c r="E1202" s="487" t="s">
        <v>5062</v>
      </c>
      <c r="F1202" s="490">
        <v>1162399</v>
      </c>
      <c r="G1202" s="489">
        <v>3270.12</v>
      </c>
      <c r="H1202" s="489">
        <v>355.46066000000002</v>
      </c>
      <c r="I1202" s="487" t="s">
        <v>1499</v>
      </c>
      <c r="J1202" s="487" t="s">
        <v>657</v>
      </c>
    </row>
    <row r="1203" spans="1:10" ht="15" x14ac:dyDescent="0.2">
      <c r="A1203" s="486" t="s">
        <v>656</v>
      </c>
      <c r="B1203" s="487" t="s">
        <v>655</v>
      </c>
      <c r="C1203" s="488" t="s">
        <v>5063</v>
      </c>
      <c r="D1203" s="489" t="s">
        <v>5064</v>
      </c>
      <c r="E1203" s="487" t="s">
        <v>5065</v>
      </c>
      <c r="F1203" s="490">
        <v>6346</v>
      </c>
      <c r="G1203" s="489">
        <v>119.46</v>
      </c>
      <c r="H1203" s="489">
        <v>53.12238</v>
      </c>
      <c r="I1203" s="487" t="s">
        <v>1499</v>
      </c>
      <c r="J1203" s="487" t="s">
        <v>657</v>
      </c>
    </row>
    <row r="1204" spans="1:10" ht="15" x14ac:dyDescent="0.2">
      <c r="A1204" s="486" t="s">
        <v>656</v>
      </c>
      <c r="B1204" s="487" t="s">
        <v>655</v>
      </c>
      <c r="C1204" s="488" t="s">
        <v>5066</v>
      </c>
      <c r="D1204" s="489" t="s">
        <v>5067</v>
      </c>
      <c r="E1204" s="487" t="s">
        <v>5068</v>
      </c>
      <c r="F1204" s="490">
        <v>830.53</v>
      </c>
      <c r="G1204" s="489">
        <v>31.37</v>
      </c>
      <c r="H1204" s="489">
        <v>26.475290000000001</v>
      </c>
      <c r="I1204" s="487" t="s">
        <v>1499</v>
      </c>
      <c r="J1204" s="487" t="s">
        <v>657</v>
      </c>
    </row>
    <row r="1205" spans="1:10" ht="15" x14ac:dyDescent="0.2">
      <c r="A1205" s="486" t="s">
        <v>656</v>
      </c>
      <c r="B1205" s="487" t="s">
        <v>655</v>
      </c>
      <c r="C1205" s="488" t="s">
        <v>5069</v>
      </c>
      <c r="D1205" s="489" t="s">
        <v>5070</v>
      </c>
      <c r="E1205" s="487" t="s">
        <v>5071</v>
      </c>
      <c r="F1205" s="490">
        <v>30000</v>
      </c>
      <c r="G1205" s="489">
        <v>381.8</v>
      </c>
      <c r="H1205" s="489">
        <v>78.57517</v>
      </c>
      <c r="I1205" s="487" t="s">
        <v>1499</v>
      </c>
      <c r="J1205" s="487" t="s">
        <v>657</v>
      </c>
    </row>
    <row r="1206" spans="1:10" ht="15" x14ac:dyDescent="0.2">
      <c r="A1206" s="486" t="s">
        <v>656</v>
      </c>
      <c r="B1206" s="487" t="s">
        <v>655</v>
      </c>
      <c r="C1206" s="488" t="s">
        <v>5072</v>
      </c>
      <c r="D1206" s="489" t="s">
        <v>5073</v>
      </c>
      <c r="E1206" s="487" t="s">
        <v>5074</v>
      </c>
      <c r="F1206" s="490">
        <v>11871.72</v>
      </c>
      <c r="G1206" s="489">
        <v>347.84</v>
      </c>
      <c r="H1206" s="489">
        <v>34.129829999999998</v>
      </c>
      <c r="I1206" s="487" t="s">
        <v>1499</v>
      </c>
      <c r="J1206" s="487" t="s">
        <v>657</v>
      </c>
    </row>
    <row r="1207" spans="1:10" ht="15" x14ac:dyDescent="0.2">
      <c r="A1207" s="486" t="s">
        <v>656</v>
      </c>
      <c r="B1207" s="487" t="s">
        <v>655</v>
      </c>
      <c r="C1207" s="488" t="s">
        <v>5075</v>
      </c>
      <c r="D1207" s="489" t="s">
        <v>5076</v>
      </c>
      <c r="E1207" s="487" t="s">
        <v>5077</v>
      </c>
      <c r="F1207" s="490">
        <v>34828.17</v>
      </c>
      <c r="G1207" s="489">
        <v>628.91</v>
      </c>
      <c r="H1207" s="489">
        <v>55.378619999999998</v>
      </c>
      <c r="I1207" s="487" t="s">
        <v>1499</v>
      </c>
      <c r="J1207" s="487" t="s">
        <v>657</v>
      </c>
    </row>
    <row r="1208" spans="1:10" ht="15" x14ac:dyDescent="0.2">
      <c r="A1208" s="486" t="s">
        <v>656</v>
      </c>
      <c r="B1208" s="487" t="s">
        <v>655</v>
      </c>
      <c r="C1208" s="488" t="s">
        <v>5078</v>
      </c>
      <c r="D1208" s="489" t="s">
        <v>5079</v>
      </c>
      <c r="E1208" s="487" t="s">
        <v>5080</v>
      </c>
      <c r="F1208" s="490">
        <v>698772</v>
      </c>
      <c r="G1208" s="489">
        <v>3657.99</v>
      </c>
      <c r="H1208" s="489">
        <v>191.02622</v>
      </c>
      <c r="I1208" s="487" t="s">
        <v>1499</v>
      </c>
      <c r="J1208" s="487" t="s">
        <v>657</v>
      </c>
    </row>
    <row r="1209" spans="1:10" ht="15" x14ac:dyDescent="0.2">
      <c r="A1209" s="486" t="s">
        <v>656</v>
      </c>
      <c r="B1209" s="487" t="s">
        <v>655</v>
      </c>
      <c r="C1209" s="488" t="s">
        <v>5081</v>
      </c>
      <c r="D1209" s="489" t="s">
        <v>5082</v>
      </c>
      <c r="E1209" s="487" t="s">
        <v>5083</v>
      </c>
      <c r="F1209" s="490">
        <v>569900</v>
      </c>
      <c r="G1209" s="489">
        <v>2455.41</v>
      </c>
      <c r="H1209" s="489">
        <v>232.09972999999999</v>
      </c>
      <c r="I1209" s="487" t="s">
        <v>1499</v>
      </c>
      <c r="J1209" s="487" t="s">
        <v>657</v>
      </c>
    </row>
    <row r="1210" spans="1:10" ht="15" x14ac:dyDescent="0.2">
      <c r="A1210" s="486" t="s">
        <v>656</v>
      </c>
      <c r="B1210" s="487" t="s">
        <v>655</v>
      </c>
      <c r="C1210" s="488" t="s">
        <v>5084</v>
      </c>
      <c r="D1210" s="489" t="s">
        <v>5085</v>
      </c>
      <c r="E1210" s="487" t="s">
        <v>5086</v>
      </c>
      <c r="F1210" s="490">
        <v>282200</v>
      </c>
      <c r="G1210" s="489">
        <v>1195.51</v>
      </c>
      <c r="H1210" s="489">
        <v>236.04989</v>
      </c>
      <c r="I1210" s="487" t="s">
        <v>1499</v>
      </c>
      <c r="J1210" s="487" t="s">
        <v>657</v>
      </c>
    </row>
    <row r="1211" spans="1:10" ht="15" x14ac:dyDescent="0.2">
      <c r="A1211" s="486" t="s">
        <v>656</v>
      </c>
      <c r="B1211" s="487" t="s">
        <v>655</v>
      </c>
      <c r="C1211" s="488" t="s">
        <v>5087</v>
      </c>
      <c r="D1211" s="489" t="s">
        <v>5088</v>
      </c>
      <c r="E1211" s="487" t="s">
        <v>5089</v>
      </c>
      <c r="F1211" s="490">
        <v>63180</v>
      </c>
      <c r="G1211" s="489">
        <v>1271.33</v>
      </c>
      <c r="H1211" s="489">
        <v>49.695990000000002</v>
      </c>
      <c r="I1211" s="487" t="s">
        <v>1499</v>
      </c>
      <c r="J1211" s="487" t="s">
        <v>657</v>
      </c>
    </row>
    <row r="1212" spans="1:10" ht="15" x14ac:dyDescent="0.2">
      <c r="A1212" s="486" t="s">
        <v>656</v>
      </c>
      <c r="B1212" s="487" t="s">
        <v>655</v>
      </c>
      <c r="C1212" s="488" t="s">
        <v>5090</v>
      </c>
      <c r="D1212" s="489" t="s">
        <v>5091</v>
      </c>
      <c r="E1212" s="487" t="s">
        <v>5092</v>
      </c>
      <c r="F1212" s="490">
        <v>33890</v>
      </c>
      <c r="G1212" s="489">
        <v>538.52</v>
      </c>
      <c r="H1212" s="489">
        <v>62.931739999999998</v>
      </c>
      <c r="I1212" s="487" t="s">
        <v>1499</v>
      </c>
      <c r="J1212" s="487" t="s">
        <v>657</v>
      </c>
    </row>
    <row r="1213" spans="1:10" ht="15" x14ac:dyDescent="0.2">
      <c r="A1213" s="486" t="s">
        <v>656</v>
      </c>
      <c r="B1213" s="487" t="s">
        <v>655</v>
      </c>
      <c r="C1213" s="488" t="s">
        <v>5093</v>
      </c>
      <c r="D1213" s="489" t="s">
        <v>5094</v>
      </c>
      <c r="E1213" s="487" t="s">
        <v>5095</v>
      </c>
      <c r="F1213" s="490">
        <v>23394</v>
      </c>
      <c r="G1213" s="489">
        <v>588.97</v>
      </c>
      <c r="H1213" s="489">
        <v>39.720190000000002</v>
      </c>
      <c r="I1213" s="487" t="s">
        <v>1499</v>
      </c>
      <c r="J1213" s="487" t="s">
        <v>657</v>
      </c>
    </row>
    <row r="1214" spans="1:10" ht="15" x14ac:dyDescent="0.2">
      <c r="A1214" s="486" t="s">
        <v>656</v>
      </c>
      <c r="B1214" s="487" t="s">
        <v>655</v>
      </c>
      <c r="C1214" s="488" t="s">
        <v>5096</v>
      </c>
      <c r="D1214" s="489" t="s">
        <v>5097</v>
      </c>
      <c r="E1214" s="487" t="s">
        <v>5098</v>
      </c>
      <c r="F1214" s="490">
        <v>43890</v>
      </c>
      <c r="G1214" s="489">
        <v>643.97</v>
      </c>
      <c r="H1214" s="489">
        <v>68.155349999999999</v>
      </c>
      <c r="I1214" s="487" t="s">
        <v>1499</v>
      </c>
      <c r="J1214" s="487" t="s">
        <v>657</v>
      </c>
    </row>
    <row r="1215" spans="1:10" ht="15" x14ac:dyDescent="0.2">
      <c r="A1215" s="486" t="s">
        <v>656</v>
      </c>
      <c r="B1215" s="487" t="s">
        <v>655</v>
      </c>
      <c r="C1215" s="488" t="s">
        <v>5099</v>
      </c>
      <c r="D1215" s="489" t="s">
        <v>5100</v>
      </c>
      <c r="E1215" s="487" t="s">
        <v>5101</v>
      </c>
      <c r="F1215" s="490">
        <v>115530</v>
      </c>
      <c r="G1215" s="489">
        <v>802.71</v>
      </c>
      <c r="H1215" s="489">
        <v>143.92495</v>
      </c>
      <c r="I1215" s="487" t="s">
        <v>1499</v>
      </c>
      <c r="J1215" s="487" t="s">
        <v>657</v>
      </c>
    </row>
    <row r="1216" spans="1:10" ht="15" x14ac:dyDescent="0.2">
      <c r="A1216" s="486" t="s">
        <v>656</v>
      </c>
      <c r="B1216" s="487" t="s">
        <v>655</v>
      </c>
      <c r="C1216" s="488" t="s">
        <v>5102</v>
      </c>
      <c r="D1216" s="489" t="s">
        <v>5103</v>
      </c>
      <c r="E1216" s="487" t="s">
        <v>5104</v>
      </c>
      <c r="F1216" s="490">
        <v>33250</v>
      </c>
      <c r="G1216" s="489">
        <v>296.38</v>
      </c>
      <c r="H1216" s="489">
        <v>112.18706</v>
      </c>
      <c r="I1216" s="487" t="s">
        <v>1499</v>
      </c>
      <c r="J1216" s="487" t="s">
        <v>657</v>
      </c>
    </row>
    <row r="1217" spans="1:10" ht="15" x14ac:dyDescent="0.2">
      <c r="A1217" s="486" t="s">
        <v>656</v>
      </c>
      <c r="B1217" s="487" t="s">
        <v>655</v>
      </c>
      <c r="C1217" s="488" t="s">
        <v>5105</v>
      </c>
      <c r="D1217" s="489" t="s">
        <v>5106</v>
      </c>
      <c r="E1217" s="487" t="s">
        <v>5107</v>
      </c>
      <c r="F1217" s="490">
        <v>83625.41</v>
      </c>
      <c r="G1217" s="489">
        <v>658.07</v>
      </c>
      <c r="H1217" s="489">
        <v>127.07677</v>
      </c>
      <c r="I1217" s="487" t="s">
        <v>1499</v>
      </c>
      <c r="J1217" s="487" t="s">
        <v>657</v>
      </c>
    </row>
    <row r="1218" spans="1:10" ht="15" x14ac:dyDescent="0.2">
      <c r="A1218" s="486" t="s">
        <v>656</v>
      </c>
      <c r="B1218" s="487" t="s">
        <v>655</v>
      </c>
      <c r="C1218" s="488" t="s">
        <v>5108</v>
      </c>
      <c r="D1218" s="489" t="s">
        <v>5109</v>
      </c>
      <c r="E1218" s="487" t="s">
        <v>5110</v>
      </c>
      <c r="F1218" s="490">
        <v>31277.03</v>
      </c>
      <c r="G1218" s="489">
        <v>400.74</v>
      </c>
      <c r="H1218" s="489">
        <v>78.048190000000005</v>
      </c>
      <c r="I1218" s="487" t="s">
        <v>1499</v>
      </c>
      <c r="J1218" s="487" t="s">
        <v>657</v>
      </c>
    </row>
    <row r="1219" spans="1:10" ht="15" x14ac:dyDescent="0.2">
      <c r="A1219" s="486" t="s">
        <v>656</v>
      </c>
      <c r="B1219" s="487" t="s">
        <v>655</v>
      </c>
      <c r="C1219" s="488" t="s">
        <v>5111</v>
      </c>
      <c r="D1219" s="489" t="s">
        <v>5112</v>
      </c>
      <c r="E1219" s="487" t="s">
        <v>5113</v>
      </c>
      <c r="F1219" s="490">
        <v>30000</v>
      </c>
      <c r="G1219" s="489">
        <v>326.92</v>
      </c>
      <c r="H1219" s="489">
        <v>91.765569999999997</v>
      </c>
      <c r="I1219" s="487" t="s">
        <v>1499</v>
      </c>
      <c r="J1219" s="487" t="s">
        <v>657</v>
      </c>
    </row>
    <row r="1220" spans="1:10" ht="15" x14ac:dyDescent="0.2">
      <c r="A1220" s="486" t="s">
        <v>656</v>
      </c>
      <c r="B1220" s="487" t="s">
        <v>655</v>
      </c>
      <c r="C1220" s="488" t="s">
        <v>5114</v>
      </c>
      <c r="D1220" s="489" t="s">
        <v>5115</v>
      </c>
      <c r="E1220" s="487" t="s">
        <v>5116</v>
      </c>
      <c r="F1220" s="490">
        <v>48000</v>
      </c>
      <c r="G1220" s="489">
        <v>739.49</v>
      </c>
      <c r="H1220" s="489">
        <v>64.909599999999998</v>
      </c>
      <c r="I1220" s="487" t="s">
        <v>1499</v>
      </c>
      <c r="J1220" s="487" t="s">
        <v>657</v>
      </c>
    </row>
    <row r="1221" spans="1:10" ht="15" x14ac:dyDescent="0.2">
      <c r="A1221" s="486" t="s">
        <v>656</v>
      </c>
      <c r="B1221" s="487" t="s">
        <v>655</v>
      </c>
      <c r="C1221" s="488" t="s">
        <v>5117</v>
      </c>
      <c r="D1221" s="489" t="s">
        <v>5118</v>
      </c>
      <c r="E1221" s="487" t="s">
        <v>5119</v>
      </c>
      <c r="F1221" s="490">
        <v>111634.78</v>
      </c>
      <c r="G1221" s="489">
        <v>1007.95</v>
      </c>
      <c r="H1221" s="489">
        <v>110.75427999999999</v>
      </c>
      <c r="I1221" s="487" t="s">
        <v>1499</v>
      </c>
      <c r="J1221" s="487" t="s">
        <v>657</v>
      </c>
    </row>
    <row r="1222" spans="1:10" ht="15" x14ac:dyDescent="0.2">
      <c r="A1222" s="486" t="s">
        <v>656</v>
      </c>
      <c r="B1222" s="487" t="s">
        <v>655</v>
      </c>
      <c r="C1222" s="488" t="s">
        <v>5120</v>
      </c>
      <c r="D1222" s="489" t="s">
        <v>5121</v>
      </c>
      <c r="E1222" s="487" t="s">
        <v>5122</v>
      </c>
      <c r="F1222" s="490">
        <v>29825</v>
      </c>
      <c r="G1222" s="489">
        <v>693.05</v>
      </c>
      <c r="H1222" s="489">
        <v>43.034410000000001</v>
      </c>
      <c r="I1222" s="487" t="s">
        <v>1499</v>
      </c>
      <c r="J1222" s="487" t="s">
        <v>657</v>
      </c>
    </row>
    <row r="1223" spans="1:10" ht="15" x14ac:dyDescent="0.2">
      <c r="A1223" s="486" t="s">
        <v>656</v>
      </c>
      <c r="B1223" s="487" t="s">
        <v>655</v>
      </c>
      <c r="C1223" s="488" t="s">
        <v>5123</v>
      </c>
      <c r="D1223" s="489" t="s">
        <v>5124</v>
      </c>
      <c r="E1223" s="487" t="s">
        <v>5125</v>
      </c>
      <c r="F1223" s="490">
        <v>130000</v>
      </c>
      <c r="G1223" s="489">
        <v>1162.02</v>
      </c>
      <c r="H1223" s="489">
        <v>111.87415</v>
      </c>
      <c r="I1223" s="487" t="s">
        <v>1499</v>
      </c>
      <c r="J1223" s="487" t="s">
        <v>657</v>
      </c>
    </row>
    <row r="1224" spans="1:10" ht="15" x14ac:dyDescent="0.2">
      <c r="A1224" s="486" t="s">
        <v>656</v>
      </c>
      <c r="B1224" s="487" t="s">
        <v>655</v>
      </c>
      <c r="C1224" s="488" t="s">
        <v>5126</v>
      </c>
      <c r="D1224" s="489" t="s">
        <v>5127</v>
      </c>
      <c r="E1224" s="487" t="s">
        <v>5128</v>
      </c>
      <c r="F1224" s="490">
        <v>8500</v>
      </c>
      <c r="G1224" s="489">
        <v>110.27</v>
      </c>
      <c r="H1224" s="489">
        <v>77.083519999999993</v>
      </c>
      <c r="I1224" s="487" t="s">
        <v>1499</v>
      </c>
      <c r="J1224" s="487" t="s">
        <v>657</v>
      </c>
    </row>
    <row r="1225" spans="1:10" ht="15" x14ac:dyDescent="0.2">
      <c r="A1225" s="486" t="s">
        <v>656</v>
      </c>
      <c r="B1225" s="487" t="s">
        <v>655</v>
      </c>
      <c r="C1225" s="488" t="s">
        <v>5129</v>
      </c>
      <c r="D1225" s="489" t="s">
        <v>5130</v>
      </c>
      <c r="E1225" s="487" t="s">
        <v>2206</v>
      </c>
      <c r="F1225" s="490">
        <v>134102</v>
      </c>
      <c r="G1225" s="489">
        <v>789.23</v>
      </c>
      <c r="H1225" s="489">
        <v>169.91498000000001</v>
      </c>
      <c r="I1225" s="487" t="s">
        <v>1499</v>
      </c>
      <c r="J1225" s="487" t="s">
        <v>657</v>
      </c>
    </row>
    <row r="1226" spans="1:10" ht="15" x14ac:dyDescent="0.2">
      <c r="A1226" s="486" t="s">
        <v>656</v>
      </c>
      <c r="B1226" s="487" t="s">
        <v>655</v>
      </c>
      <c r="C1226" s="488" t="s">
        <v>5131</v>
      </c>
      <c r="D1226" s="489" t="s">
        <v>5132</v>
      </c>
      <c r="E1226" s="487" t="s">
        <v>5133</v>
      </c>
      <c r="F1226" s="490">
        <v>0</v>
      </c>
      <c r="G1226" s="489">
        <v>59</v>
      </c>
      <c r="H1226" s="489">
        <v>0</v>
      </c>
      <c r="I1226" s="487" t="s">
        <v>1593</v>
      </c>
      <c r="J1226" s="487" t="s">
        <v>657</v>
      </c>
    </row>
    <row r="1227" spans="1:10" ht="15" x14ac:dyDescent="0.2">
      <c r="A1227" s="486" t="s">
        <v>656</v>
      </c>
      <c r="B1227" s="487" t="s">
        <v>655</v>
      </c>
      <c r="C1227" s="488" t="s">
        <v>5134</v>
      </c>
      <c r="D1227" s="489" t="s">
        <v>5135</v>
      </c>
      <c r="E1227" s="487" t="s">
        <v>5136</v>
      </c>
      <c r="F1227" s="490">
        <v>25663.599999999999</v>
      </c>
      <c r="G1227" s="489">
        <v>311.12</v>
      </c>
      <c r="H1227" s="489">
        <v>82.487790000000004</v>
      </c>
      <c r="I1227" s="487" t="s">
        <v>1499</v>
      </c>
      <c r="J1227" s="487" t="s">
        <v>657</v>
      </c>
    </row>
    <row r="1228" spans="1:10" ht="15" x14ac:dyDescent="0.2">
      <c r="A1228" s="486" t="s">
        <v>656</v>
      </c>
      <c r="B1228" s="487" t="s">
        <v>655</v>
      </c>
      <c r="C1228" s="488" t="s">
        <v>5137</v>
      </c>
      <c r="D1228" s="489" t="s">
        <v>5138</v>
      </c>
      <c r="E1228" s="487" t="s">
        <v>5139</v>
      </c>
      <c r="F1228" s="490">
        <v>25000</v>
      </c>
      <c r="G1228" s="489">
        <v>396.48</v>
      </c>
      <c r="H1228" s="489">
        <v>63.054879999999997</v>
      </c>
      <c r="I1228" s="487" t="s">
        <v>1499</v>
      </c>
      <c r="J1228" s="487" t="s">
        <v>657</v>
      </c>
    </row>
    <row r="1229" spans="1:10" ht="15" x14ac:dyDescent="0.2">
      <c r="A1229" s="486" t="s">
        <v>656</v>
      </c>
      <c r="B1229" s="487" t="s">
        <v>655</v>
      </c>
      <c r="C1229" s="488" t="s">
        <v>5140</v>
      </c>
      <c r="D1229" s="489" t="s">
        <v>5141</v>
      </c>
      <c r="E1229" s="487" t="s">
        <v>5142</v>
      </c>
      <c r="F1229" s="490">
        <v>61223.61</v>
      </c>
      <c r="G1229" s="489">
        <v>958.26</v>
      </c>
      <c r="H1229" s="489">
        <v>63.8904</v>
      </c>
      <c r="I1229" s="487" t="s">
        <v>1499</v>
      </c>
      <c r="J1229" s="487" t="s">
        <v>657</v>
      </c>
    </row>
    <row r="1230" spans="1:10" ht="15" x14ac:dyDescent="0.2">
      <c r="A1230" s="486" t="s">
        <v>656</v>
      </c>
      <c r="B1230" s="487" t="s">
        <v>655</v>
      </c>
      <c r="C1230" s="488" t="s">
        <v>5143</v>
      </c>
      <c r="D1230" s="489" t="s">
        <v>5144</v>
      </c>
      <c r="E1230" s="487" t="s">
        <v>5145</v>
      </c>
      <c r="F1230" s="490">
        <v>98368</v>
      </c>
      <c r="G1230" s="489">
        <v>1572.08</v>
      </c>
      <c r="H1230" s="489">
        <v>62.57188</v>
      </c>
      <c r="I1230" s="487" t="s">
        <v>1499</v>
      </c>
      <c r="J1230" s="487" t="s">
        <v>657</v>
      </c>
    </row>
    <row r="1231" spans="1:10" ht="15" x14ac:dyDescent="0.2">
      <c r="A1231" s="486" t="s">
        <v>656</v>
      </c>
      <c r="B1231" s="487" t="s">
        <v>655</v>
      </c>
      <c r="C1231" s="488" t="s">
        <v>5146</v>
      </c>
      <c r="D1231" s="489" t="s">
        <v>5147</v>
      </c>
      <c r="E1231" s="487" t="s">
        <v>5148</v>
      </c>
      <c r="F1231" s="490">
        <v>2851214</v>
      </c>
      <c r="G1231" s="489">
        <v>9473.0499999999993</v>
      </c>
      <c r="H1231" s="489">
        <v>300.98163</v>
      </c>
      <c r="I1231" s="487" t="s">
        <v>1499</v>
      </c>
      <c r="J1231" s="487" t="s">
        <v>657</v>
      </c>
    </row>
    <row r="1232" spans="1:10" ht="15" x14ac:dyDescent="0.2">
      <c r="A1232" s="486" t="s">
        <v>656</v>
      </c>
      <c r="B1232" s="487" t="s">
        <v>655</v>
      </c>
      <c r="C1232" s="488" t="s">
        <v>5149</v>
      </c>
      <c r="D1232" s="489" t="s">
        <v>5150</v>
      </c>
      <c r="E1232" s="487" t="s">
        <v>5151</v>
      </c>
      <c r="F1232" s="490">
        <v>17600</v>
      </c>
      <c r="G1232" s="489">
        <v>447.58</v>
      </c>
      <c r="H1232" s="489">
        <v>39.322580000000002</v>
      </c>
      <c r="I1232" s="487" t="s">
        <v>1499</v>
      </c>
      <c r="J1232" s="487" t="s">
        <v>657</v>
      </c>
    </row>
    <row r="1233" spans="1:10" ht="15" x14ac:dyDescent="0.2">
      <c r="A1233" s="486" t="s">
        <v>656</v>
      </c>
      <c r="B1233" s="487" t="s">
        <v>655</v>
      </c>
      <c r="C1233" s="488" t="s">
        <v>5152</v>
      </c>
      <c r="D1233" s="489" t="s">
        <v>5153</v>
      </c>
      <c r="E1233" s="487" t="s">
        <v>5154</v>
      </c>
      <c r="F1233" s="490">
        <v>8900</v>
      </c>
      <c r="G1233" s="489">
        <v>334.16</v>
      </c>
      <c r="H1233" s="489">
        <v>26.633949999999999</v>
      </c>
      <c r="I1233" s="487" t="s">
        <v>1499</v>
      </c>
      <c r="J1233" s="487" t="s">
        <v>657</v>
      </c>
    </row>
    <row r="1234" spans="1:10" ht="15" x14ac:dyDescent="0.2">
      <c r="A1234" s="486" t="s">
        <v>656</v>
      </c>
      <c r="B1234" s="487" t="s">
        <v>655</v>
      </c>
      <c r="C1234" s="488" t="s">
        <v>5155</v>
      </c>
      <c r="D1234" s="489" t="s">
        <v>5156</v>
      </c>
      <c r="E1234" s="487" t="s">
        <v>5157</v>
      </c>
      <c r="F1234" s="490">
        <v>5500</v>
      </c>
      <c r="G1234" s="489">
        <v>118.37</v>
      </c>
      <c r="H1234" s="489">
        <v>46.464480000000002</v>
      </c>
      <c r="I1234" s="487" t="s">
        <v>1499</v>
      </c>
      <c r="J1234" s="487" t="s">
        <v>657</v>
      </c>
    </row>
    <row r="1235" spans="1:10" ht="15" x14ac:dyDescent="0.2">
      <c r="A1235" s="486" t="s">
        <v>656</v>
      </c>
      <c r="B1235" s="487" t="s">
        <v>655</v>
      </c>
      <c r="C1235" s="488" t="s">
        <v>5158</v>
      </c>
      <c r="D1235" s="489" t="s">
        <v>5159</v>
      </c>
      <c r="E1235" s="487" t="s">
        <v>5160</v>
      </c>
      <c r="F1235" s="490">
        <v>3000</v>
      </c>
      <c r="G1235" s="489">
        <v>105.87</v>
      </c>
      <c r="H1235" s="489">
        <v>28.336639999999999</v>
      </c>
      <c r="I1235" s="487" t="s">
        <v>1499</v>
      </c>
      <c r="J1235" s="487" t="s">
        <v>657</v>
      </c>
    </row>
    <row r="1236" spans="1:10" ht="15" x14ac:dyDescent="0.2">
      <c r="A1236" s="486" t="s">
        <v>656</v>
      </c>
      <c r="B1236" s="487" t="s">
        <v>655</v>
      </c>
      <c r="C1236" s="488" t="s">
        <v>5161</v>
      </c>
      <c r="D1236" s="489" t="s">
        <v>5162</v>
      </c>
      <c r="E1236" s="487" t="s">
        <v>5163</v>
      </c>
      <c r="F1236" s="490">
        <v>0</v>
      </c>
      <c r="G1236" s="489">
        <v>2062.6</v>
      </c>
      <c r="H1236" s="489">
        <v>0</v>
      </c>
      <c r="I1236" s="487" t="s">
        <v>1593</v>
      </c>
      <c r="J1236" s="487" t="s">
        <v>657</v>
      </c>
    </row>
    <row r="1237" spans="1:10" ht="15" x14ac:dyDescent="0.2">
      <c r="A1237" s="486" t="s">
        <v>656</v>
      </c>
      <c r="B1237" s="487" t="s">
        <v>655</v>
      </c>
      <c r="C1237" s="488" t="s">
        <v>5164</v>
      </c>
      <c r="D1237" s="489" t="s">
        <v>5165</v>
      </c>
      <c r="E1237" s="487" t="s">
        <v>5166</v>
      </c>
      <c r="F1237" s="490">
        <v>37000</v>
      </c>
      <c r="G1237" s="489">
        <v>520.53</v>
      </c>
      <c r="H1237" s="489">
        <v>71.081400000000002</v>
      </c>
      <c r="I1237" s="487" t="s">
        <v>1499</v>
      </c>
      <c r="J1237" s="487" t="s">
        <v>657</v>
      </c>
    </row>
    <row r="1238" spans="1:10" ht="15" x14ac:dyDescent="0.2">
      <c r="A1238" s="486" t="s">
        <v>656</v>
      </c>
      <c r="B1238" s="487" t="s">
        <v>655</v>
      </c>
      <c r="C1238" s="488" t="s">
        <v>5167</v>
      </c>
      <c r="D1238" s="489" t="s">
        <v>5168</v>
      </c>
      <c r="E1238" s="487" t="s">
        <v>5169</v>
      </c>
      <c r="F1238" s="490">
        <v>395545</v>
      </c>
      <c r="G1238" s="489">
        <v>2367.85</v>
      </c>
      <c r="H1238" s="489">
        <v>167.04817</v>
      </c>
      <c r="I1238" s="487" t="s">
        <v>1499</v>
      </c>
      <c r="J1238" s="487" t="s">
        <v>657</v>
      </c>
    </row>
    <row r="1239" spans="1:10" ht="15" x14ac:dyDescent="0.2">
      <c r="A1239" s="486" t="s">
        <v>656</v>
      </c>
      <c r="B1239" s="487" t="s">
        <v>655</v>
      </c>
      <c r="C1239" s="488" t="s">
        <v>5170</v>
      </c>
      <c r="D1239" s="489" t="s">
        <v>5171</v>
      </c>
      <c r="E1239" s="487" t="s">
        <v>5172</v>
      </c>
      <c r="F1239" s="490">
        <v>7984.41</v>
      </c>
      <c r="G1239" s="489">
        <v>416.1</v>
      </c>
      <c r="H1239" s="489">
        <v>19.188680000000002</v>
      </c>
      <c r="I1239" s="487" t="s">
        <v>1499</v>
      </c>
      <c r="J1239" s="487" t="s">
        <v>657</v>
      </c>
    </row>
    <row r="1240" spans="1:10" ht="15" x14ac:dyDescent="0.2">
      <c r="A1240" s="486" t="s">
        <v>656</v>
      </c>
      <c r="B1240" s="487" t="s">
        <v>655</v>
      </c>
      <c r="C1240" s="488" t="s">
        <v>5173</v>
      </c>
      <c r="D1240" s="489" t="s">
        <v>5174</v>
      </c>
      <c r="E1240" s="487" t="s">
        <v>5175</v>
      </c>
      <c r="F1240" s="490">
        <v>2499750</v>
      </c>
      <c r="G1240" s="489">
        <v>7643.87</v>
      </c>
      <c r="H1240" s="489">
        <v>327.02674999999999</v>
      </c>
      <c r="I1240" s="487" t="s">
        <v>1499</v>
      </c>
      <c r="J1240" s="487" t="s">
        <v>657</v>
      </c>
    </row>
    <row r="1241" spans="1:10" ht="15" x14ac:dyDescent="0.2">
      <c r="A1241" s="486" t="s">
        <v>656</v>
      </c>
      <c r="B1241" s="487" t="s">
        <v>655</v>
      </c>
      <c r="C1241" s="488" t="s">
        <v>5176</v>
      </c>
      <c r="D1241" s="489" t="s">
        <v>5177</v>
      </c>
      <c r="E1241" s="487" t="s">
        <v>5178</v>
      </c>
      <c r="F1241" s="490">
        <v>81000</v>
      </c>
      <c r="G1241" s="489">
        <v>837.65</v>
      </c>
      <c r="H1241" s="489">
        <v>96.699100000000001</v>
      </c>
      <c r="I1241" s="487" t="s">
        <v>1499</v>
      </c>
      <c r="J1241" s="487" t="s">
        <v>657</v>
      </c>
    </row>
    <row r="1242" spans="1:10" ht="15" x14ac:dyDescent="0.2">
      <c r="A1242" s="486" t="s">
        <v>656</v>
      </c>
      <c r="B1242" s="487" t="s">
        <v>655</v>
      </c>
      <c r="C1242" s="488" t="s">
        <v>5179</v>
      </c>
      <c r="D1242" s="489" t="s">
        <v>5180</v>
      </c>
      <c r="E1242" s="487" t="s">
        <v>5181</v>
      </c>
      <c r="F1242" s="490">
        <v>45208.480000000003</v>
      </c>
      <c r="G1242" s="489">
        <v>1037.5899999999999</v>
      </c>
      <c r="H1242" s="489">
        <v>43.570659999999997</v>
      </c>
      <c r="I1242" s="487" t="s">
        <v>1499</v>
      </c>
      <c r="J1242" s="487" t="s">
        <v>657</v>
      </c>
    </row>
    <row r="1243" spans="1:10" ht="15" x14ac:dyDescent="0.2">
      <c r="A1243" s="486" t="s">
        <v>656</v>
      </c>
      <c r="B1243" s="487" t="s">
        <v>655</v>
      </c>
      <c r="C1243" s="488" t="s">
        <v>5182</v>
      </c>
      <c r="D1243" s="489" t="s">
        <v>5183</v>
      </c>
      <c r="E1243" s="487" t="s">
        <v>5184</v>
      </c>
      <c r="F1243" s="490">
        <v>420081.6</v>
      </c>
      <c r="G1243" s="489">
        <v>2806.16</v>
      </c>
      <c r="H1243" s="489">
        <v>149.69980000000001</v>
      </c>
      <c r="I1243" s="487" t="s">
        <v>1499</v>
      </c>
      <c r="J1243" s="487" t="s">
        <v>657</v>
      </c>
    </row>
    <row r="1244" spans="1:10" ht="15" x14ac:dyDescent="0.2">
      <c r="A1244" s="486" t="s">
        <v>656</v>
      </c>
      <c r="B1244" s="487" t="s">
        <v>655</v>
      </c>
      <c r="C1244" s="488" t="s">
        <v>5185</v>
      </c>
      <c r="D1244" s="489" t="s">
        <v>5186</v>
      </c>
      <c r="E1244" s="487" t="s">
        <v>5187</v>
      </c>
      <c r="F1244" s="490">
        <v>1350</v>
      </c>
      <c r="G1244" s="489">
        <v>121.11</v>
      </c>
      <c r="H1244" s="489">
        <v>11.146890000000001</v>
      </c>
      <c r="I1244" s="487" t="s">
        <v>1499</v>
      </c>
      <c r="J1244" s="487" t="s">
        <v>657</v>
      </c>
    </row>
    <row r="1245" spans="1:10" ht="15" x14ac:dyDescent="0.2">
      <c r="A1245" s="486" t="s">
        <v>656</v>
      </c>
      <c r="B1245" s="487" t="s">
        <v>655</v>
      </c>
      <c r="C1245" s="488" t="s">
        <v>5188</v>
      </c>
      <c r="D1245" s="489" t="s">
        <v>5189</v>
      </c>
      <c r="E1245" s="487" t="s">
        <v>5190</v>
      </c>
      <c r="F1245" s="490">
        <v>5000</v>
      </c>
      <c r="G1245" s="489">
        <v>225.05</v>
      </c>
      <c r="H1245" s="489">
        <v>22.217289999999998</v>
      </c>
      <c r="I1245" s="487" t="s">
        <v>1499</v>
      </c>
      <c r="J1245" s="487" t="s">
        <v>657</v>
      </c>
    </row>
    <row r="1246" spans="1:10" ht="15" x14ac:dyDescent="0.2">
      <c r="A1246" s="486" t="s">
        <v>656</v>
      </c>
      <c r="B1246" s="487" t="s">
        <v>655</v>
      </c>
      <c r="C1246" s="488" t="s">
        <v>5191</v>
      </c>
      <c r="D1246" s="489" t="s">
        <v>5192</v>
      </c>
      <c r="E1246" s="487" t="s">
        <v>5193</v>
      </c>
      <c r="F1246" s="490">
        <v>160569.91</v>
      </c>
      <c r="G1246" s="489">
        <v>1334.46</v>
      </c>
      <c r="H1246" s="489">
        <v>120.32576</v>
      </c>
      <c r="I1246" s="487" t="s">
        <v>1499</v>
      </c>
      <c r="J1246" s="487" t="s">
        <v>657</v>
      </c>
    </row>
    <row r="1247" spans="1:10" ht="15" x14ac:dyDescent="0.2">
      <c r="A1247" s="486" t="s">
        <v>656</v>
      </c>
      <c r="B1247" s="487" t="s">
        <v>655</v>
      </c>
      <c r="C1247" s="488" t="s">
        <v>5194</v>
      </c>
      <c r="D1247" s="489" t="s">
        <v>5195</v>
      </c>
      <c r="E1247" s="487" t="s">
        <v>5196</v>
      </c>
      <c r="F1247" s="490">
        <v>108000</v>
      </c>
      <c r="G1247" s="489">
        <v>703.16</v>
      </c>
      <c r="H1247" s="489">
        <v>153.59235000000001</v>
      </c>
      <c r="I1247" s="487" t="s">
        <v>1499</v>
      </c>
      <c r="J1247" s="487" t="s">
        <v>657</v>
      </c>
    </row>
    <row r="1248" spans="1:10" ht="15" x14ac:dyDescent="0.2">
      <c r="A1248" s="486" t="s">
        <v>656</v>
      </c>
      <c r="B1248" s="487" t="s">
        <v>655</v>
      </c>
      <c r="C1248" s="488" t="s">
        <v>5197</v>
      </c>
      <c r="D1248" s="489" t="s">
        <v>5198</v>
      </c>
      <c r="E1248" s="487" t="s">
        <v>5199</v>
      </c>
      <c r="F1248" s="490">
        <v>39185</v>
      </c>
      <c r="G1248" s="489">
        <v>642.30999999999995</v>
      </c>
      <c r="H1248" s="489">
        <v>61.006369999999997</v>
      </c>
      <c r="I1248" s="487" t="s">
        <v>1499</v>
      </c>
      <c r="J1248" s="487" t="s">
        <v>657</v>
      </c>
    </row>
    <row r="1249" spans="1:10" ht="15" x14ac:dyDescent="0.2">
      <c r="A1249" s="486" t="s">
        <v>656</v>
      </c>
      <c r="B1249" s="487" t="s">
        <v>655</v>
      </c>
      <c r="C1249" s="488" t="s">
        <v>5200</v>
      </c>
      <c r="D1249" s="489" t="s">
        <v>5201</v>
      </c>
      <c r="E1249" s="487" t="s">
        <v>5202</v>
      </c>
      <c r="F1249" s="490">
        <v>77990</v>
      </c>
      <c r="G1249" s="489">
        <v>996.35</v>
      </c>
      <c r="H1249" s="489">
        <v>78.275710000000004</v>
      </c>
      <c r="I1249" s="487" t="s">
        <v>1499</v>
      </c>
      <c r="J1249" s="487" t="s">
        <v>657</v>
      </c>
    </row>
    <row r="1250" spans="1:10" ht="15" x14ac:dyDescent="0.2">
      <c r="A1250" s="486" t="s">
        <v>656</v>
      </c>
      <c r="B1250" s="487" t="s">
        <v>655</v>
      </c>
      <c r="C1250" s="488" t="s">
        <v>5203</v>
      </c>
      <c r="D1250" s="489" t="s">
        <v>5204</v>
      </c>
      <c r="E1250" s="487" t="s">
        <v>5205</v>
      </c>
      <c r="F1250" s="490">
        <v>9625</v>
      </c>
      <c r="G1250" s="489">
        <v>191.76</v>
      </c>
      <c r="H1250" s="489">
        <v>50.192950000000003</v>
      </c>
      <c r="I1250" s="487" t="s">
        <v>1499</v>
      </c>
      <c r="J1250" s="487" t="s">
        <v>657</v>
      </c>
    </row>
    <row r="1251" spans="1:10" ht="15" x14ac:dyDescent="0.2">
      <c r="A1251" s="486" t="s">
        <v>656</v>
      </c>
      <c r="B1251" s="487" t="s">
        <v>655</v>
      </c>
      <c r="C1251" s="488" t="s">
        <v>5206</v>
      </c>
      <c r="D1251" s="489" t="s">
        <v>5207</v>
      </c>
      <c r="E1251" s="487" t="s">
        <v>5208</v>
      </c>
      <c r="F1251" s="490">
        <v>1381718</v>
      </c>
      <c r="G1251" s="489">
        <v>4620.1499999999996</v>
      </c>
      <c r="H1251" s="489">
        <v>299.06344999999999</v>
      </c>
      <c r="I1251" s="487" t="s">
        <v>1499</v>
      </c>
      <c r="J1251" s="487" t="s">
        <v>657</v>
      </c>
    </row>
    <row r="1252" spans="1:10" ht="15" x14ac:dyDescent="0.2">
      <c r="A1252" s="486" t="s">
        <v>656</v>
      </c>
      <c r="B1252" s="487" t="s">
        <v>655</v>
      </c>
      <c r="C1252" s="488" t="s">
        <v>5209</v>
      </c>
      <c r="D1252" s="489" t="s">
        <v>5210</v>
      </c>
      <c r="E1252" s="487" t="s">
        <v>5211</v>
      </c>
      <c r="F1252" s="490">
        <v>180000</v>
      </c>
      <c r="G1252" s="489">
        <v>1225.8599999999999</v>
      </c>
      <c r="H1252" s="489">
        <v>146.83569</v>
      </c>
      <c r="I1252" s="487" t="s">
        <v>1499</v>
      </c>
      <c r="J1252" s="487" t="s">
        <v>657</v>
      </c>
    </row>
    <row r="1253" spans="1:10" ht="15" x14ac:dyDescent="0.2">
      <c r="A1253" s="486" t="s">
        <v>656</v>
      </c>
      <c r="B1253" s="487" t="s">
        <v>655</v>
      </c>
      <c r="C1253" s="488" t="s">
        <v>5212</v>
      </c>
      <c r="D1253" s="489" t="s">
        <v>5213</v>
      </c>
      <c r="E1253" s="487" t="s">
        <v>5214</v>
      </c>
      <c r="F1253" s="490">
        <v>9750</v>
      </c>
      <c r="G1253" s="489">
        <v>165.48</v>
      </c>
      <c r="H1253" s="489">
        <v>58.919510000000002</v>
      </c>
      <c r="I1253" s="487" t="s">
        <v>1499</v>
      </c>
      <c r="J1253" s="487" t="s">
        <v>657</v>
      </c>
    </row>
    <row r="1254" spans="1:10" ht="15" x14ac:dyDescent="0.2">
      <c r="A1254" s="486" t="s">
        <v>656</v>
      </c>
      <c r="B1254" s="487" t="s">
        <v>655</v>
      </c>
      <c r="C1254" s="488" t="s">
        <v>5215</v>
      </c>
      <c r="D1254" s="489" t="s">
        <v>5216</v>
      </c>
      <c r="E1254" s="487" t="s">
        <v>5217</v>
      </c>
      <c r="F1254" s="490">
        <v>1579415</v>
      </c>
      <c r="G1254" s="489">
        <v>5724.18</v>
      </c>
      <c r="H1254" s="489">
        <v>275.91987</v>
      </c>
      <c r="I1254" s="487" t="s">
        <v>1499</v>
      </c>
      <c r="J1254" s="487" t="s">
        <v>657</v>
      </c>
    </row>
    <row r="1255" spans="1:10" ht="15" x14ac:dyDescent="0.2">
      <c r="A1255" s="486" t="s">
        <v>656</v>
      </c>
      <c r="B1255" s="487" t="s">
        <v>655</v>
      </c>
      <c r="C1255" s="488" t="s">
        <v>5218</v>
      </c>
      <c r="D1255" s="489" t="s">
        <v>5219</v>
      </c>
      <c r="E1255" s="487" t="s">
        <v>5220</v>
      </c>
      <c r="F1255" s="490">
        <v>17989</v>
      </c>
      <c r="G1255" s="489">
        <v>303.39</v>
      </c>
      <c r="H1255" s="489">
        <v>59.293320000000001</v>
      </c>
      <c r="I1255" s="487" t="s">
        <v>1499</v>
      </c>
      <c r="J1255" s="487" t="s">
        <v>657</v>
      </c>
    </row>
    <row r="1256" spans="1:10" ht="15" x14ac:dyDescent="0.2">
      <c r="A1256" s="486" t="s">
        <v>656</v>
      </c>
      <c r="B1256" s="487" t="s">
        <v>655</v>
      </c>
      <c r="C1256" s="488" t="s">
        <v>5221</v>
      </c>
      <c r="D1256" s="489" t="s">
        <v>5222</v>
      </c>
      <c r="E1256" s="487" t="s">
        <v>5223</v>
      </c>
      <c r="F1256" s="490">
        <v>67441</v>
      </c>
      <c r="G1256" s="489">
        <v>513.91</v>
      </c>
      <c r="H1256" s="489">
        <v>131.23115000000001</v>
      </c>
      <c r="I1256" s="487" t="s">
        <v>1499</v>
      </c>
      <c r="J1256" s="487" t="s">
        <v>657</v>
      </c>
    </row>
    <row r="1257" spans="1:10" ht="15" x14ac:dyDescent="0.2">
      <c r="A1257" s="486" t="s">
        <v>656</v>
      </c>
      <c r="B1257" s="487" t="s">
        <v>655</v>
      </c>
      <c r="C1257" s="488" t="s">
        <v>5224</v>
      </c>
      <c r="D1257" s="489" t="s">
        <v>5225</v>
      </c>
      <c r="E1257" s="487" t="s">
        <v>5226</v>
      </c>
      <c r="F1257" s="490">
        <v>26110</v>
      </c>
      <c r="G1257" s="489">
        <v>378.98</v>
      </c>
      <c r="H1257" s="489">
        <v>68.89546</v>
      </c>
      <c r="I1257" s="487" t="s">
        <v>1499</v>
      </c>
      <c r="J1257" s="487" t="s">
        <v>657</v>
      </c>
    </row>
    <row r="1258" spans="1:10" ht="15" x14ac:dyDescent="0.2">
      <c r="A1258" s="486" t="s">
        <v>656</v>
      </c>
      <c r="B1258" s="487" t="s">
        <v>655</v>
      </c>
      <c r="C1258" s="488" t="s">
        <v>5227</v>
      </c>
      <c r="D1258" s="489" t="s">
        <v>5228</v>
      </c>
      <c r="E1258" s="487" t="s">
        <v>5229</v>
      </c>
      <c r="F1258" s="490">
        <v>18938.75</v>
      </c>
      <c r="G1258" s="489">
        <v>387.79</v>
      </c>
      <c r="H1258" s="489">
        <v>48.83764</v>
      </c>
      <c r="I1258" s="487" t="s">
        <v>1499</v>
      </c>
      <c r="J1258" s="487" t="s">
        <v>657</v>
      </c>
    </row>
    <row r="1259" spans="1:10" ht="15" x14ac:dyDescent="0.2">
      <c r="A1259" s="486" t="s">
        <v>656</v>
      </c>
      <c r="B1259" s="487" t="s">
        <v>655</v>
      </c>
      <c r="C1259" s="488" t="s">
        <v>5230</v>
      </c>
      <c r="D1259" s="489" t="s">
        <v>5231</v>
      </c>
      <c r="E1259" s="487" t="s">
        <v>5232</v>
      </c>
      <c r="F1259" s="490">
        <v>12000</v>
      </c>
      <c r="G1259" s="489">
        <v>218.33</v>
      </c>
      <c r="H1259" s="489">
        <v>54.962670000000003</v>
      </c>
      <c r="I1259" s="487" t="s">
        <v>1499</v>
      </c>
      <c r="J1259" s="487" t="s">
        <v>657</v>
      </c>
    </row>
    <row r="1260" spans="1:10" ht="15" x14ac:dyDescent="0.2">
      <c r="A1260" s="486" t="s">
        <v>656</v>
      </c>
      <c r="B1260" s="487" t="s">
        <v>655</v>
      </c>
      <c r="C1260" s="488" t="s">
        <v>5233</v>
      </c>
      <c r="D1260" s="489" t="s">
        <v>5234</v>
      </c>
      <c r="E1260" s="487" t="s">
        <v>5235</v>
      </c>
      <c r="F1260" s="490">
        <v>11000</v>
      </c>
      <c r="G1260" s="489">
        <v>346.09</v>
      </c>
      <c r="H1260" s="489">
        <v>31.783639999999998</v>
      </c>
      <c r="I1260" s="487" t="s">
        <v>1499</v>
      </c>
      <c r="J1260" s="487" t="s">
        <v>657</v>
      </c>
    </row>
    <row r="1261" spans="1:10" ht="15" x14ac:dyDescent="0.2">
      <c r="A1261" s="486" t="s">
        <v>656</v>
      </c>
      <c r="B1261" s="487" t="s">
        <v>655</v>
      </c>
      <c r="C1261" s="488" t="s">
        <v>5236</v>
      </c>
      <c r="D1261" s="489" t="s">
        <v>5237</v>
      </c>
      <c r="E1261" s="487" t="s">
        <v>5238</v>
      </c>
      <c r="F1261" s="490">
        <v>1301100</v>
      </c>
      <c r="G1261" s="489">
        <v>6597.76</v>
      </c>
      <c r="H1261" s="489">
        <v>197.20329000000001</v>
      </c>
      <c r="I1261" s="487" t="s">
        <v>1499</v>
      </c>
      <c r="J1261" s="487" t="s">
        <v>657</v>
      </c>
    </row>
    <row r="1262" spans="1:10" ht="15" x14ac:dyDescent="0.2">
      <c r="A1262" s="486" t="s">
        <v>656</v>
      </c>
      <c r="B1262" s="487" t="s">
        <v>655</v>
      </c>
      <c r="C1262" s="488" t="s">
        <v>5239</v>
      </c>
      <c r="D1262" s="489" t="s">
        <v>5240</v>
      </c>
      <c r="E1262" s="487" t="s">
        <v>5241</v>
      </c>
      <c r="F1262" s="490">
        <v>64289.62</v>
      </c>
      <c r="G1262" s="489">
        <v>921.93</v>
      </c>
      <c r="H1262" s="489">
        <v>69.733729999999994</v>
      </c>
      <c r="I1262" s="487" t="s">
        <v>1499</v>
      </c>
      <c r="J1262" s="487" t="s">
        <v>657</v>
      </c>
    </row>
    <row r="1263" spans="1:10" ht="15" x14ac:dyDescent="0.2">
      <c r="A1263" s="486" t="s">
        <v>656</v>
      </c>
      <c r="B1263" s="487" t="s">
        <v>655</v>
      </c>
      <c r="C1263" s="488" t="s">
        <v>5242</v>
      </c>
      <c r="D1263" s="489" t="s">
        <v>5243</v>
      </c>
      <c r="E1263" s="487" t="s">
        <v>5244</v>
      </c>
      <c r="F1263" s="490">
        <v>789400</v>
      </c>
      <c r="G1263" s="489">
        <v>3546.74</v>
      </c>
      <c r="H1263" s="489">
        <v>222.57059000000001</v>
      </c>
      <c r="I1263" s="487" t="s">
        <v>1499</v>
      </c>
      <c r="J1263" s="487" t="s">
        <v>657</v>
      </c>
    </row>
    <row r="1264" spans="1:10" ht="15" x14ac:dyDescent="0.2">
      <c r="A1264" s="486" t="s">
        <v>656</v>
      </c>
      <c r="B1264" s="487" t="s">
        <v>655</v>
      </c>
      <c r="C1264" s="488" t="s">
        <v>5245</v>
      </c>
      <c r="D1264" s="489" t="s">
        <v>5246</v>
      </c>
      <c r="E1264" s="487" t="s">
        <v>5247</v>
      </c>
      <c r="F1264" s="490">
        <v>16100</v>
      </c>
      <c r="G1264" s="489">
        <v>164.93</v>
      </c>
      <c r="H1264" s="489">
        <v>97.617170000000002</v>
      </c>
      <c r="I1264" s="487" t="s">
        <v>1499</v>
      </c>
      <c r="J1264" s="487" t="s">
        <v>657</v>
      </c>
    </row>
    <row r="1265" spans="1:10" ht="15" x14ac:dyDescent="0.2">
      <c r="A1265" s="486" t="s">
        <v>656</v>
      </c>
      <c r="B1265" s="487" t="s">
        <v>655</v>
      </c>
      <c r="C1265" s="488" t="s">
        <v>5248</v>
      </c>
      <c r="D1265" s="489" t="s">
        <v>5249</v>
      </c>
      <c r="E1265" s="487" t="s">
        <v>5250</v>
      </c>
      <c r="F1265" s="490">
        <v>5000</v>
      </c>
      <c r="G1265" s="489">
        <v>153.51</v>
      </c>
      <c r="H1265" s="489">
        <v>32.571170000000002</v>
      </c>
      <c r="I1265" s="487" t="s">
        <v>1499</v>
      </c>
      <c r="J1265" s="487" t="s">
        <v>657</v>
      </c>
    </row>
    <row r="1266" spans="1:10" ht="15" x14ac:dyDescent="0.2">
      <c r="A1266" s="486" t="s">
        <v>656</v>
      </c>
      <c r="B1266" s="487" t="s">
        <v>655</v>
      </c>
      <c r="C1266" s="488" t="s">
        <v>5251</v>
      </c>
      <c r="D1266" s="489" t="s">
        <v>5252</v>
      </c>
      <c r="E1266" s="487" t="s">
        <v>5253</v>
      </c>
      <c r="F1266" s="490">
        <v>130000</v>
      </c>
      <c r="G1266" s="489">
        <v>2015.83</v>
      </c>
      <c r="H1266" s="489">
        <v>64.489570000000001</v>
      </c>
      <c r="I1266" s="487" t="s">
        <v>1499</v>
      </c>
      <c r="J1266" s="487" t="s">
        <v>657</v>
      </c>
    </row>
    <row r="1267" spans="1:10" ht="15" x14ac:dyDescent="0.2">
      <c r="A1267" s="486" t="s">
        <v>656</v>
      </c>
      <c r="B1267" s="487" t="s">
        <v>655</v>
      </c>
      <c r="C1267" s="488" t="s">
        <v>5254</v>
      </c>
      <c r="D1267" s="489" t="s">
        <v>5255</v>
      </c>
      <c r="E1267" s="487" t="s">
        <v>5256</v>
      </c>
      <c r="F1267" s="490">
        <v>27000</v>
      </c>
      <c r="G1267" s="489">
        <v>433.41</v>
      </c>
      <c r="H1267" s="489">
        <v>62.296669999999999</v>
      </c>
      <c r="I1267" s="487" t="s">
        <v>1499</v>
      </c>
      <c r="J1267" s="487" t="s">
        <v>657</v>
      </c>
    </row>
    <row r="1268" spans="1:10" ht="15" x14ac:dyDescent="0.2">
      <c r="A1268" s="486" t="s">
        <v>656</v>
      </c>
      <c r="B1268" s="487" t="s">
        <v>655</v>
      </c>
      <c r="C1268" s="488" t="s">
        <v>5257</v>
      </c>
      <c r="D1268" s="489" t="s">
        <v>5258</v>
      </c>
      <c r="E1268" s="487" t="s">
        <v>5259</v>
      </c>
      <c r="F1268" s="490">
        <v>29090.6</v>
      </c>
      <c r="G1268" s="489">
        <v>418.92</v>
      </c>
      <c r="H1268" s="489">
        <v>69.441900000000004</v>
      </c>
      <c r="I1268" s="487" t="s">
        <v>1499</v>
      </c>
      <c r="J1268" s="487" t="s">
        <v>657</v>
      </c>
    </row>
    <row r="1269" spans="1:10" ht="15" x14ac:dyDescent="0.2">
      <c r="A1269" s="486" t="s">
        <v>656</v>
      </c>
      <c r="B1269" s="487" t="s">
        <v>655</v>
      </c>
      <c r="C1269" s="488" t="s">
        <v>5260</v>
      </c>
      <c r="D1269" s="489" t="s">
        <v>5261</v>
      </c>
      <c r="E1269" s="487" t="s">
        <v>5262</v>
      </c>
      <c r="F1269" s="490">
        <v>70926.720000000001</v>
      </c>
      <c r="G1269" s="489">
        <v>1249.71</v>
      </c>
      <c r="H1269" s="489">
        <v>56.754539999999999</v>
      </c>
      <c r="I1269" s="487" t="s">
        <v>1499</v>
      </c>
      <c r="J1269" s="487" t="s">
        <v>657</v>
      </c>
    </row>
    <row r="1270" spans="1:10" ht="15" x14ac:dyDescent="0.2">
      <c r="A1270" s="486" t="s">
        <v>656</v>
      </c>
      <c r="B1270" s="487" t="s">
        <v>655</v>
      </c>
      <c r="C1270" s="488" t="s">
        <v>5263</v>
      </c>
      <c r="D1270" s="489" t="s">
        <v>5264</v>
      </c>
      <c r="E1270" s="487" t="s">
        <v>5265</v>
      </c>
      <c r="F1270" s="490">
        <v>34300</v>
      </c>
      <c r="G1270" s="489">
        <v>589.54</v>
      </c>
      <c r="H1270" s="489">
        <v>58.180950000000003</v>
      </c>
      <c r="I1270" s="487" t="s">
        <v>1499</v>
      </c>
      <c r="J1270" s="487" t="s">
        <v>657</v>
      </c>
    </row>
    <row r="1271" spans="1:10" ht="15" x14ac:dyDescent="0.2">
      <c r="A1271" s="486" t="s">
        <v>656</v>
      </c>
      <c r="B1271" s="487" t="s">
        <v>655</v>
      </c>
      <c r="C1271" s="488" t="s">
        <v>5266</v>
      </c>
      <c r="D1271" s="489" t="s">
        <v>5267</v>
      </c>
      <c r="E1271" s="487" t="s">
        <v>5268</v>
      </c>
      <c r="F1271" s="490">
        <v>620</v>
      </c>
      <c r="G1271" s="489">
        <v>70.650000000000006</v>
      </c>
      <c r="H1271" s="489">
        <v>8.7756500000000006</v>
      </c>
      <c r="I1271" s="487" t="s">
        <v>1499</v>
      </c>
      <c r="J1271" s="487" t="s">
        <v>657</v>
      </c>
    </row>
    <row r="1272" spans="1:10" ht="15" x14ac:dyDescent="0.2">
      <c r="A1272" s="486" t="s">
        <v>656</v>
      </c>
      <c r="B1272" s="487" t="s">
        <v>655</v>
      </c>
      <c r="C1272" s="488" t="s">
        <v>5269</v>
      </c>
      <c r="D1272" s="489" t="s">
        <v>5270</v>
      </c>
      <c r="E1272" s="487" t="s">
        <v>5271</v>
      </c>
      <c r="F1272" s="490">
        <v>294074.25</v>
      </c>
      <c r="G1272" s="489">
        <v>1581.34</v>
      </c>
      <c r="H1272" s="489">
        <v>185.96522999999999</v>
      </c>
      <c r="I1272" s="487" t="s">
        <v>1499</v>
      </c>
      <c r="J1272" s="487" t="s">
        <v>657</v>
      </c>
    </row>
    <row r="1273" spans="1:10" ht="15" x14ac:dyDescent="0.2">
      <c r="A1273" s="486" t="s">
        <v>656</v>
      </c>
      <c r="B1273" s="487" t="s">
        <v>655</v>
      </c>
      <c r="C1273" s="488" t="s">
        <v>5272</v>
      </c>
      <c r="D1273" s="489" t="s">
        <v>5273</v>
      </c>
      <c r="E1273" s="487" t="s">
        <v>5274</v>
      </c>
      <c r="F1273" s="490">
        <v>64500</v>
      </c>
      <c r="G1273" s="489">
        <v>570.17999999999995</v>
      </c>
      <c r="H1273" s="489">
        <v>113.12217</v>
      </c>
      <c r="I1273" s="487" t="s">
        <v>1499</v>
      </c>
      <c r="J1273" s="487" t="s">
        <v>657</v>
      </c>
    </row>
    <row r="1274" spans="1:10" ht="15" x14ac:dyDescent="0.2">
      <c r="A1274" s="486" t="s">
        <v>656</v>
      </c>
      <c r="B1274" s="487" t="s">
        <v>655</v>
      </c>
      <c r="C1274" s="488" t="s">
        <v>5275</v>
      </c>
      <c r="D1274" s="489" t="s">
        <v>5276</v>
      </c>
      <c r="E1274" s="487" t="s">
        <v>5277</v>
      </c>
      <c r="F1274" s="490">
        <v>159442</v>
      </c>
      <c r="G1274" s="489">
        <v>772.33</v>
      </c>
      <c r="H1274" s="489">
        <v>206.44283999999999</v>
      </c>
      <c r="I1274" s="487" t="s">
        <v>1499</v>
      </c>
      <c r="J1274" s="487" t="s">
        <v>657</v>
      </c>
    </row>
    <row r="1275" spans="1:10" ht="15" x14ac:dyDescent="0.2">
      <c r="A1275" s="486" t="s">
        <v>656</v>
      </c>
      <c r="B1275" s="487" t="s">
        <v>655</v>
      </c>
      <c r="C1275" s="488" t="s">
        <v>5278</v>
      </c>
      <c r="D1275" s="489" t="s">
        <v>5279</v>
      </c>
      <c r="E1275" s="487" t="s">
        <v>5280</v>
      </c>
      <c r="F1275" s="490">
        <v>25500</v>
      </c>
      <c r="G1275" s="489">
        <v>346.91</v>
      </c>
      <c r="H1275" s="489">
        <v>73.506100000000004</v>
      </c>
      <c r="I1275" s="487" t="s">
        <v>1499</v>
      </c>
      <c r="J1275" s="487" t="s">
        <v>657</v>
      </c>
    </row>
    <row r="1276" spans="1:10" ht="15" x14ac:dyDescent="0.2">
      <c r="A1276" s="486" t="s">
        <v>656</v>
      </c>
      <c r="B1276" s="487" t="s">
        <v>655</v>
      </c>
      <c r="C1276" s="488" t="s">
        <v>5281</v>
      </c>
      <c r="D1276" s="489" t="s">
        <v>5282</v>
      </c>
      <c r="E1276" s="487" t="s">
        <v>5283</v>
      </c>
      <c r="F1276" s="490">
        <v>40870</v>
      </c>
      <c r="G1276" s="489">
        <v>802.25</v>
      </c>
      <c r="H1276" s="489">
        <v>50.944220000000001</v>
      </c>
      <c r="I1276" s="487" t="s">
        <v>1499</v>
      </c>
      <c r="J1276" s="487" t="s">
        <v>657</v>
      </c>
    </row>
    <row r="1277" spans="1:10" ht="15" x14ac:dyDescent="0.2">
      <c r="A1277" s="486" t="s">
        <v>656</v>
      </c>
      <c r="B1277" s="487" t="s">
        <v>655</v>
      </c>
      <c r="C1277" s="488" t="s">
        <v>5284</v>
      </c>
      <c r="D1277" s="489" t="s">
        <v>5285</v>
      </c>
      <c r="E1277" s="487" t="s">
        <v>5286</v>
      </c>
      <c r="F1277" s="490">
        <v>125804.99</v>
      </c>
      <c r="G1277" s="489">
        <v>1573.19</v>
      </c>
      <c r="H1277" s="489">
        <v>79.96808</v>
      </c>
      <c r="I1277" s="487" t="s">
        <v>1499</v>
      </c>
      <c r="J1277" s="487" t="s">
        <v>657</v>
      </c>
    </row>
    <row r="1278" spans="1:10" ht="15" x14ac:dyDescent="0.2">
      <c r="A1278" s="486" t="s">
        <v>656</v>
      </c>
      <c r="B1278" s="487" t="s">
        <v>655</v>
      </c>
      <c r="C1278" s="488" t="s">
        <v>5287</v>
      </c>
      <c r="D1278" s="489" t="s">
        <v>5288</v>
      </c>
      <c r="E1278" s="487" t="s">
        <v>5289</v>
      </c>
      <c r="F1278" s="490">
        <v>38632</v>
      </c>
      <c r="G1278" s="489">
        <v>540.45000000000005</v>
      </c>
      <c r="H1278" s="489">
        <v>71.481170000000006</v>
      </c>
      <c r="I1278" s="487" t="s">
        <v>1499</v>
      </c>
      <c r="J1278" s="487" t="s">
        <v>657</v>
      </c>
    </row>
    <row r="1279" spans="1:10" ht="15" x14ac:dyDescent="0.2">
      <c r="A1279" s="486" t="s">
        <v>656</v>
      </c>
      <c r="B1279" s="487" t="s">
        <v>655</v>
      </c>
      <c r="C1279" s="488" t="s">
        <v>5290</v>
      </c>
      <c r="D1279" s="489" t="s">
        <v>5291</v>
      </c>
      <c r="E1279" s="487" t="s">
        <v>5292</v>
      </c>
      <c r="F1279" s="490">
        <v>80458</v>
      </c>
      <c r="G1279" s="489">
        <v>592.20000000000005</v>
      </c>
      <c r="H1279" s="489">
        <v>135.86287999999999</v>
      </c>
      <c r="I1279" s="487" t="s">
        <v>1499</v>
      </c>
      <c r="J1279" s="487" t="s">
        <v>657</v>
      </c>
    </row>
    <row r="1280" spans="1:10" ht="15" x14ac:dyDescent="0.2">
      <c r="A1280" s="486" t="s">
        <v>656</v>
      </c>
      <c r="B1280" s="487" t="s">
        <v>655</v>
      </c>
      <c r="C1280" s="488" t="s">
        <v>5293</v>
      </c>
      <c r="D1280" s="489" t="s">
        <v>5294</v>
      </c>
      <c r="E1280" s="487" t="s">
        <v>5295</v>
      </c>
      <c r="F1280" s="490">
        <v>4500</v>
      </c>
      <c r="G1280" s="489">
        <v>210.13</v>
      </c>
      <c r="H1280" s="489">
        <v>21.415310000000002</v>
      </c>
      <c r="I1280" s="487" t="s">
        <v>1499</v>
      </c>
      <c r="J1280" s="487" t="s">
        <v>657</v>
      </c>
    </row>
    <row r="1281" spans="1:10" ht="15" x14ac:dyDescent="0.2">
      <c r="A1281" s="486" t="s">
        <v>656</v>
      </c>
      <c r="B1281" s="487" t="s">
        <v>655</v>
      </c>
      <c r="C1281" s="488" t="s">
        <v>5296</v>
      </c>
      <c r="D1281" s="489" t="s">
        <v>5297</v>
      </c>
      <c r="E1281" s="487" t="s">
        <v>5298</v>
      </c>
      <c r="F1281" s="490">
        <v>17000</v>
      </c>
      <c r="G1281" s="489">
        <v>457.98</v>
      </c>
      <c r="H1281" s="489">
        <v>37.119520000000001</v>
      </c>
      <c r="I1281" s="487" t="s">
        <v>1499</v>
      </c>
      <c r="J1281" s="487" t="s">
        <v>657</v>
      </c>
    </row>
    <row r="1282" spans="1:10" ht="15" x14ac:dyDescent="0.2">
      <c r="A1282" s="486" t="s">
        <v>656</v>
      </c>
      <c r="B1282" s="487" t="s">
        <v>655</v>
      </c>
      <c r="C1282" s="488" t="s">
        <v>5299</v>
      </c>
      <c r="D1282" s="489" t="s">
        <v>5300</v>
      </c>
      <c r="E1282" s="487" t="s">
        <v>5301</v>
      </c>
      <c r="F1282" s="490">
        <v>7530</v>
      </c>
      <c r="G1282" s="489">
        <v>268.95999999999998</v>
      </c>
      <c r="H1282" s="489">
        <v>27.996729999999999</v>
      </c>
      <c r="I1282" s="487" t="s">
        <v>1499</v>
      </c>
      <c r="J1282" s="487" t="s">
        <v>657</v>
      </c>
    </row>
    <row r="1283" spans="1:10" ht="15" x14ac:dyDescent="0.2">
      <c r="A1283" s="486" t="s">
        <v>656</v>
      </c>
      <c r="B1283" s="487" t="s">
        <v>655</v>
      </c>
      <c r="C1283" s="488" t="s">
        <v>5302</v>
      </c>
      <c r="D1283" s="489" t="s">
        <v>5303</v>
      </c>
      <c r="E1283" s="487" t="s">
        <v>5304</v>
      </c>
      <c r="F1283" s="490">
        <v>24800</v>
      </c>
      <c r="G1283" s="489">
        <v>446.74</v>
      </c>
      <c r="H1283" s="489">
        <v>55.513269999999999</v>
      </c>
      <c r="I1283" s="487" t="s">
        <v>1499</v>
      </c>
      <c r="J1283" s="487" t="s">
        <v>657</v>
      </c>
    </row>
    <row r="1284" spans="1:10" ht="15" x14ac:dyDescent="0.2">
      <c r="A1284" s="486" t="s">
        <v>656</v>
      </c>
      <c r="B1284" s="487" t="s">
        <v>655</v>
      </c>
      <c r="C1284" s="488" t="s">
        <v>5305</v>
      </c>
      <c r="D1284" s="489" t="s">
        <v>5306</v>
      </c>
      <c r="E1284" s="487" t="s">
        <v>5307</v>
      </c>
      <c r="F1284" s="490">
        <v>58000</v>
      </c>
      <c r="G1284" s="489">
        <v>559.13</v>
      </c>
      <c r="H1284" s="489">
        <v>103.73258</v>
      </c>
      <c r="I1284" s="487" t="s">
        <v>1499</v>
      </c>
      <c r="J1284" s="487" t="s">
        <v>657</v>
      </c>
    </row>
    <row r="1285" spans="1:10" ht="15" x14ac:dyDescent="0.2">
      <c r="A1285" s="486" t="s">
        <v>656</v>
      </c>
      <c r="B1285" s="487" t="s">
        <v>655</v>
      </c>
      <c r="C1285" s="488" t="s">
        <v>5308</v>
      </c>
      <c r="D1285" s="489" t="s">
        <v>5309</v>
      </c>
      <c r="E1285" s="487" t="s">
        <v>5310</v>
      </c>
      <c r="F1285" s="490">
        <v>45400</v>
      </c>
      <c r="G1285" s="489">
        <v>709.62</v>
      </c>
      <c r="H1285" s="489">
        <v>63.977899999999998</v>
      </c>
      <c r="I1285" s="487" t="s">
        <v>1499</v>
      </c>
      <c r="J1285" s="487" t="s">
        <v>657</v>
      </c>
    </row>
    <row r="1286" spans="1:10" ht="15" x14ac:dyDescent="0.2">
      <c r="A1286" s="486" t="s">
        <v>656</v>
      </c>
      <c r="B1286" s="487" t="s">
        <v>655</v>
      </c>
      <c r="C1286" s="488" t="s">
        <v>5311</v>
      </c>
      <c r="D1286" s="489" t="s">
        <v>5312</v>
      </c>
      <c r="E1286" s="487" t="s">
        <v>5313</v>
      </c>
      <c r="F1286" s="490">
        <v>9225</v>
      </c>
      <c r="G1286" s="489">
        <v>341.77</v>
      </c>
      <c r="H1286" s="489">
        <v>26.99184</v>
      </c>
      <c r="I1286" s="487" t="s">
        <v>1499</v>
      </c>
      <c r="J1286" s="487" t="s">
        <v>657</v>
      </c>
    </row>
    <row r="1287" spans="1:10" ht="15" x14ac:dyDescent="0.2">
      <c r="A1287" s="486" t="s">
        <v>656</v>
      </c>
      <c r="B1287" s="487" t="s">
        <v>655</v>
      </c>
      <c r="C1287" s="488" t="s">
        <v>5314</v>
      </c>
      <c r="D1287" s="489" t="s">
        <v>5315</v>
      </c>
      <c r="E1287" s="487" t="s">
        <v>5316</v>
      </c>
      <c r="F1287" s="490">
        <v>17900</v>
      </c>
      <c r="G1287" s="489">
        <v>523.73</v>
      </c>
      <c r="H1287" s="489">
        <v>34.17792</v>
      </c>
      <c r="I1287" s="487" t="s">
        <v>1499</v>
      </c>
      <c r="J1287" s="487" t="s">
        <v>657</v>
      </c>
    </row>
    <row r="1288" spans="1:10" ht="15" x14ac:dyDescent="0.2">
      <c r="A1288" s="486" t="s">
        <v>656</v>
      </c>
      <c r="B1288" s="487" t="s">
        <v>655</v>
      </c>
      <c r="C1288" s="488" t="s">
        <v>5317</v>
      </c>
      <c r="D1288" s="489" t="s">
        <v>5318</v>
      </c>
      <c r="E1288" s="487" t="s">
        <v>3982</v>
      </c>
      <c r="F1288" s="490">
        <v>1680336</v>
      </c>
      <c r="G1288" s="489">
        <v>6131.17</v>
      </c>
      <c r="H1288" s="489">
        <v>274.06448999999998</v>
      </c>
      <c r="I1288" s="487" t="s">
        <v>1499</v>
      </c>
      <c r="J1288" s="487" t="s">
        <v>657</v>
      </c>
    </row>
    <row r="1289" spans="1:10" ht="15" x14ac:dyDescent="0.2">
      <c r="A1289" s="486" t="s">
        <v>656</v>
      </c>
      <c r="B1289" s="487" t="s">
        <v>655</v>
      </c>
      <c r="C1289" s="488" t="s">
        <v>5319</v>
      </c>
      <c r="D1289" s="489" t="s">
        <v>5320</v>
      </c>
      <c r="E1289" s="487" t="s">
        <v>5321</v>
      </c>
      <c r="F1289" s="490">
        <v>11040</v>
      </c>
      <c r="G1289" s="489">
        <v>283.74</v>
      </c>
      <c r="H1289" s="489">
        <v>38.908859999999997</v>
      </c>
      <c r="I1289" s="487" t="s">
        <v>1499</v>
      </c>
      <c r="J1289" s="487" t="s">
        <v>657</v>
      </c>
    </row>
    <row r="1290" spans="1:10" ht="15" x14ac:dyDescent="0.2">
      <c r="A1290" s="486" t="s">
        <v>656</v>
      </c>
      <c r="B1290" s="487" t="s">
        <v>655</v>
      </c>
      <c r="C1290" s="488" t="s">
        <v>5322</v>
      </c>
      <c r="D1290" s="489" t="s">
        <v>5323</v>
      </c>
      <c r="E1290" s="487" t="s">
        <v>5324</v>
      </c>
      <c r="F1290" s="490">
        <v>2432</v>
      </c>
      <c r="G1290" s="489">
        <v>157.41</v>
      </c>
      <c r="H1290" s="489">
        <v>15.450100000000001</v>
      </c>
      <c r="I1290" s="487" t="s">
        <v>1499</v>
      </c>
      <c r="J1290" s="487" t="s">
        <v>657</v>
      </c>
    </row>
    <row r="1291" spans="1:10" ht="15" x14ac:dyDescent="0.2">
      <c r="A1291" s="486" t="s">
        <v>656</v>
      </c>
      <c r="B1291" s="487" t="s">
        <v>655</v>
      </c>
      <c r="C1291" s="488" t="s">
        <v>5325</v>
      </c>
      <c r="D1291" s="489" t="s">
        <v>5326</v>
      </c>
      <c r="E1291" s="487" t="s">
        <v>5327</v>
      </c>
      <c r="F1291" s="490">
        <v>334250</v>
      </c>
      <c r="G1291" s="489">
        <v>1948.59</v>
      </c>
      <c r="H1291" s="489">
        <v>171.53429</v>
      </c>
      <c r="I1291" s="487" t="s">
        <v>1499</v>
      </c>
      <c r="J1291" s="487" t="s">
        <v>657</v>
      </c>
    </row>
    <row r="1292" spans="1:10" ht="15" x14ac:dyDescent="0.2">
      <c r="A1292" s="486" t="s">
        <v>656</v>
      </c>
      <c r="B1292" s="487" t="s">
        <v>655</v>
      </c>
      <c r="C1292" s="488" t="s">
        <v>5328</v>
      </c>
      <c r="D1292" s="489" t="s">
        <v>5329</v>
      </c>
      <c r="E1292" s="487" t="s">
        <v>5330</v>
      </c>
      <c r="F1292" s="490">
        <v>36500</v>
      </c>
      <c r="G1292" s="489">
        <v>1283.18</v>
      </c>
      <c r="H1292" s="489">
        <v>28.444959999999998</v>
      </c>
      <c r="I1292" s="487" t="s">
        <v>1499</v>
      </c>
      <c r="J1292" s="487" t="s">
        <v>657</v>
      </c>
    </row>
    <row r="1293" spans="1:10" ht="15" x14ac:dyDescent="0.2">
      <c r="A1293" s="486" t="s">
        <v>656</v>
      </c>
      <c r="B1293" s="487" t="s">
        <v>655</v>
      </c>
      <c r="C1293" s="488" t="s">
        <v>5331</v>
      </c>
      <c r="D1293" s="489" t="s">
        <v>5332</v>
      </c>
      <c r="E1293" s="487" t="s">
        <v>5333</v>
      </c>
      <c r="F1293" s="490">
        <v>75000</v>
      </c>
      <c r="G1293" s="489">
        <v>1093.82</v>
      </c>
      <c r="H1293" s="489">
        <v>68.567040000000006</v>
      </c>
      <c r="I1293" s="487" t="s">
        <v>1499</v>
      </c>
      <c r="J1293" s="487" t="s">
        <v>657</v>
      </c>
    </row>
    <row r="1294" spans="1:10" ht="15" x14ac:dyDescent="0.2">
      <c r="A1294" s="486" t="s">
        <v>656</v>
      </c>
      <c r="B1294" s="487" t="s">
        <v>655</v>
      </c>
      <c r="C1294" s="488" t="s">
        <v>5334</v>
      </c>
      <c r="D1294" s="489" t="s">
        <v>5335</v>
      </c>
      <c r="E1294" s="487" t="s">
        <v>5336</v>
      </c>
      <c r="F1294" s="490">
        <v>9000</v>
      </c>
      <c r="G1294" s="489">
        <v>575.02</v>
      </c>
      <c r="H1294" s="489">
        <v>15.651630000000001</v>
      </c>
      <c r="I1294" s="487" t="s">
        <v>1499</v>
      </c>
      <c r="J1294" s="487" t="s">
        <v>657</v>
      </c>
    </row>
    <row r="1295" spans="1:10" ht="15" x14ac:dyDescent="0.2">
      <c r="A1295" s="486" t="s">
        <v>656</v>
      </c>
      <c r="B1295" s="487" t="s">
        <v>655</v>
      </c>
      <c r="C1295" s="488" t="s">
        <v>5337</v>
      </c>
      <c r="D1295" s="489" t="s">
        <v>5338</v>
      </c>
      <c r="E1295" s="487" t="s">
        <v>5339</v>
      </c>
      <c r="F1295" s="490">
        <v>20023.38</v>
      </c>
      <c r="G1295" s="489">
        <v>324.61</v>
      </c>
      <c r="H1295" s="489">
        <v>61.684420000000003</v>
      </c>
      <c r="I1295" s="487" t="s">
        <v>1499</v>
      </c>
      <c r="J1295" s="487" t="s">
        <v>657</v>
      </c>
    </row>
    <row r="1296" spans="1:10" ht="15" x14ac:dyDescent="0.2">
      <c r="A1296" s="486" t="s">
        <v>656</v>
      </c>
      <c r="B1296" s="487" t="s">
        <v>655</v>
      </c>
      <c r="C1296" s="488" t="s">
        <v>5340</v>
      </c>
      <c r="D1296" s="489" t="s">
        <v>5341</v>
      </c>
      <c r="E1296" s="487" t="s">
        <v>5342</v>
      </c>
      <c r="F1296" s="490">
        <v>47250</v>
      </c>
      <c r="G1296" s="489">
        <v>338.64</v>
      </c>
      <c r="H1296" s="489">
        <v>139.52869999999999</v>
      </c>
      <c r="I1296" s="487" t="s">
        <v>1499</v>
      </c>
      <c r="J1296" s="487" t="s">
        <v>657</v>
      </c>
    </row>
    <row r="1297" spans="1:10" ht="15" x14ac:dyDescent="0.2">
      <c r="A1297" s="486" t="s">
        <v>656</v>
      </c>
      <c r="B1297" s="487" t="s">
        <v>655</v>
      </c>
      <c r="C1297" s="488" t="s">
        <v>5343</v>
      </c>
      <c r="D1297" s="489" t="s">
        <v>5344</v>
      </c>
      <c r="E1297" s="487" t="s">
        <v>5345</v>
      </c>
      <c r="F1297" s="490">
        <v>13063</v>
      </c>
      <c r="G1297" s="489">
        <v>179.22</v>
      </c>
      <c r="H1297" s="489">
        <v>72.888069999999999</v>
      </c>
      <c r="I1297" s="487" t="s">
        <v>1499</v>
      </c>
      <c r="J1297" s="487" t="s">
        <v>657</v>
      </c>
    </row>
    <row r="1298" spans="1:10" ht="15" x14ac:dyDescent="0.2">
      <c r="A1298" s="486" t="s">
        <v>656</v>
      </c>
      <c r="B1298" s="487" t="s">
        <v>655</v>
      </c>
      <c r="C1298" s="488" t="s">
        <v>5346</v>
      </c>
      <c r="D1298" s="489" t="s">
        <v>5347</v>
      </c>
      <c r="E1298" s="487" t="s">
        <v>5348</v>
      </c>
      <c r="F1298" s="490">
        <v>15000</v>
      </c>
      <c r="G1298" s="489">
        <v>184.01</v>
      </c>
      <c r="H1298" s="489">
        <v>81.517309999999995</v>
      </c>
      <c r="I1298" s="487" t="s">
        <v>1499</v>
      </c>
      <c r="J1298" s="487" t="s">
        <v>657</v>
      </c>
    </row>
    <row r="1299" spans="1:10" ht="15" x14ac:dyDescent="0.2">
      <c r="A1299" s="486" t="s">
        <v>656</v>
      </c>
      <c r="B1299" s="487" t="s">
        <v>655</v>
      </c>
      <c r="C1299" s="488" t="s">
        <v>5349</v>
      </c>
      <c r="D1299" s="489" t="s">
        <v>5350</v>
      </c>
      <c r="E1299" s="487" t="s">
        <v>5351</v>
      </c>
      <c r="F1299" s="490">
        <v>14650</v>
      </c>
      <c r="G1299" s="489">
        <v>225.36</v>
      </c>
      <c r="H1299" s="489">
        <v>65.007099999999994</v>
      </c>
      <c r="I1299" s="487" t="s">
        <v>1499</v>
      </c>
      <c r="J1299" s="487" t="s">
        <v>657</v>
      </c>
    </row>
    <row r="1300" spans="1:10" ht="15" x14ac:dyDescent="0.2">
      <c r="A1300" s="486" t="s">
        <v>656</v>
      </c>
      <c r="B1300" s="487" t="s">
        <v>655</v>
      </c>
      <c r="C1300" s="488" t="s">
        <v>5352</v>
      </c>
      <c r="D1300" s="489" t="s">
        <v>5353</v>
      </c>
      <c r="E1300" s="487" t="s">
        <v>5354</v>
      </c>
      <c r="F1300" s="490">
        <v>21875</v>
      </c>
      <c r="G1300" s="489">
        <v>1466.01</v>
      </c>
      <c r="H1300" s="489">
        <v>14.92145</v>
      </c>
      <c r="I1300" s="487" t="s">
        <v>1499</v>
      </c>
      <c r="J1300" s="487" t="s">
        <v>657</v>
      </c>
    </row>
    <row r="1301" spans="1:10" ht="15" x14ac:dyDescent="0.2">
      <c r="A1301" s="486" t="s">
        <v>656</v>
      </c>
      <c r="B1301" s="487" t="s">
        <v>655</v>
      </c>
      <c r="C1301" s="488" t="s">
        <v>5355</v>
      </c>
      <c r="D1301" s="489" t="s">
        <v>5356</v>
      </c>
      <c r="E1301" s="487" t="s">
        <v>5357</v>
      </c>
      <c r="F1301" s="490">
        <v>108500</v>
      </c>
      <c r="G1301" s="489">
        <v>1230.4100000000001</v>
      </c>
      <c r="H1301" s="489">
        <v>88.181989999999999</v>
      </c>
      <c r="I1301" s="487" t="s">
        <v>1499</v>
      </c>
      <c r="J1301" s="487" t="s">
        <v>657</v>
      </c>
    </row>
    <row r="1302" spans="1:10" ht="15" x14ac:dyDescent="0.2">
      <c r="A1302" s="486" t="s">
        <v>656</v>
      </c>
      <c r="B1302" s="487" t="s">
        <v>655</v>
      </c>
      <c r="C1302" s="488" t="s">
        <v>5358</v>
      </c>
      <c r="D1302" s="489" t="s">
        <v>5359</v>
      </c>
      <c r="E1302" s="487" t="s">
        <v>5360</v>
      </c>
      <c r="F1302" s="490">
        <v>0</v>
      </c>
      <c r="G1302" s="489">
        <v>29.4</v>
      </c>
      <c r="H1302" s="489">
        <v>0</v>
      </c>
      <c r="I1302" s="487" t="s">
        <v>1593</v>
      </c>
      <c r="J1302" s="487" t="s">
        <v>657</v>
      </c>
    </row>
    <row r="1303" spans="1:10" ht="15" x14ac:dyDescent="0.2">
      <c r="A1303" s="486" t="s">
        <v>656</v>
      </c>
      <c r="B1303" s="487" t="s">
        <v>655</v>
      </c>
      <c r="C1303" s="488" t="s">
        <v>5361</v>
      </c>
      <c r="D1303" s="489" t="s">
        <v>5362</v>
      </c>
      <c r="E1303" s="487" t="s">
        <v>5363</v>
      </c>
      <c r="F1303" s="490">
        <v>1475</v>
      </c>
      <c r="G1303" s="489">
        <v>72</v>
      </c>
      <c r="H1303" s="489">
        <v>20.48611</v>
      </c>
      <c r="I1303" s="487" t="s">
        <v>1499</v>
      </c>
      <c r="J1303" s="487" t="s">
        <v>657</v>
      </c>
    </row>
    <row r="1304" spans="1:10" ht="15" x14ac:dyDescent="0.2">
      <c r="A1304" s="486" t="s">
        <v>656</v>
      </c>
      <c r="B1304" s="487" t="s">
        <v>655</v>
      </c>
      <c r="C1304" s="488" t="s">
        <v>5364</v>
      </c>
      <c r="D1304" s="489" t="s">
        <v>5365</v>
      </c>
      <c r="E1304" s="487" t="s">
        <v>5366</v>
      </c>
      <c r="F1304" s="490">
        <v>0</v>
      </c>
      <c r="G1304" s="489">
        <v>14.44</v>
      </c>
      <c r="H1304" s="489">
        <v>0</v>
      </c>
      <c r="I1304" s="487" t="s">
        <v>1593</v>
      </c>
      <c r="J1304" s="487" t="s">
        <v>657</v>
      </c>
    </row>
    <row r="1305" spans="1:10" ht="15" x14ac:dyDescent="0.2">
      <c r="A1305" s="486" t="s">
        <v>656</v>
      </c>
      <c r="B1305" s="487" t="s">
        <v>655</v>
      </c>
      <c r="C1305" s="488" t="s">
        <v>5367</v>
      </c>
      <c r="D1305" s="489" t="s">
        <v>5368</v>
      </c>
      <c r="E1305" s="487" t="s">
        <v>5369</v>
      </c>
      <c r="F1305" s="490">
        <v>76000</v>
      </c>
      <c r="G1305" s="489">
        <v>900.27</v>
      </c>
      <c r="H1305" s="489">
        <v>84.419120000000007</v>
      </c>
      <c r="I1305" s="487" t="s">
        <v>1499</v>
      </c>
      <c r="J1305" s="487" t="s">
        <v>657</v>
      </c>
    </row>
    <row r="1306" spans="1:10" ht="15" x14ac:dyDescent="0.2">
      <c r="A1306" s="486" t="s">
        <v>656</v>
      </c>
      <c r="B1306" s="487" t="s">
        <v>655</v>
      </c>
      <c r="C1306" s="488" t="s">
        <v>5370</v>
      </c>
      <c r="D1306" s="489" t="s">
        <v>5371</v>
      </c>
      <c r="E1306" s="487" t="s">
        <v>5372</v>
      </c>
      <c r="F1306" s="490">
        <v>100000</v>
      </c>
      <c r="G1306" s="489">
        <v>1966.8</v>
      </c>
      <c r="H1306" s="489">
        <v>50.844009999999997</v>
      </c>
      <c r="I1306" s="487" t="s">
        <v>1499</v>
      </c>
      <c r="J1306" s="487" t="s">
        <v>657</v>
      </c>
    </row>
    <row r="1307" spans="1:10" ht="15" x14ac:dyDescent="0.2">
      <c r="A1307" s="486" t="s">
        <v>656</v>
      </c>
      <c r="B1307" s="487" t="s">
        <v>655</v>
      </c>
      <c r="C1307" s="488" t="s">
        <v>5373</v>
      </c>
      <c r="D1307" s="489" t="s">
        <v>5374</v>
      </c>
      <c r="E1307" s="487" t="s">
        <v>5375</v>
      </c>
      <c r="F1307" s="490">
        <v>47458</v>
      </c>
      <c r="G1307" s="489">
        <v>443.47</v>
      </c>
      <c r="H1307" s="489">
        <v>107.01513</v>
      </c>
      <c r="I1307" s="487" t="s">
        <v>1499</v>
      </c>
      <c r="J1307" s="487" t="s">
        <v>657</v>
      </c>
    </row>
    <row r="1308" spans="1:10" ht="15" x14ac:dyDescent="0.2">
      <c r="A1308" s="486" t="s">
        <v>656</v>
      </c>
      <c r="B1308" s="487" t="s">
        <v>655</v>
      </c>
      <c r="C1308" s="488" t="s">
        <v>5376</v>
      </c>
      <c r="D1308" s="489" t="s">
        <v>5377</v>
      </c>
      <c r="E1308" s="487" t="s">
        <v>5378</v>
      </c>
      <c r="F1308" s="490">
        <v>66500</v>
      </c>
      <c r="G1308" s="489">
        <v>749.61</v>
      </c>
      <c r="H1308" s="489">
        <v>88.712800000000001</v>
      </c>
      <c r="I1308" s="487" t="s">
        <v>1499</v>
      </c>
      <c r="J1308" s="487" t="s">
        <v>657</v>
      </c>
    </row>
    <row r="1309" spans="1:10" ht="15" x14ac:dyDescent="0.2">
      <c r="A1309" s="486" t="s">
        <v>656</v>
      </c>
      <c r="B1309" s="487" t="s">
        <v>655</v>
      </c>
      <c r="C1309" s="488" t="s">
        <v>5379</v>
      </c>
      <c r="D1309" s="489" t="s">
        <v>5380</v>
      </c>
      <c r="E1309" s="487" t="s">
        <v>5381</v>
      </c>
      <c r="F1309" s="490">
        <v>14000</v>
      </c>
      <c r="G1309" s="489">
        <v>272.51</v>
      </c>
      <c r="H1309" s="489">
        <v>51.37426</v>
      </c>
      <c r="I1309" s="487" t="s">
        <v>1499</v>
      </c>
      <c r="J1309" s="487" t="s">
        <v>657</v>
      </c>
    </row>
    <row r="1310" spans="1:10" ht="15" x14ac:dyDescent="0.2">
      <c r="A1310" s="486" t="s">
        <v>656</v>
      </c>
      <c r="B1310" s="487" t="s">
        <v>655</v>
      </c>
      <c r="C1310" s="488" t="s">
        <v>5382</v>
      </c>
      <c r="D1310" s="489" t="s">
        <v>5383</v>
      </c>
      <c r="E1310" s="487" t="s">
        <v>5384</v>
      </c>
      <c r="F1310" s="490">
        <v>6101</v>
      </c>
      <c r="G1310" s="489">
        <v>190.63</v>
      </c>
      <c r="H1310" s="489">
        <v>32.00441</v>
      </c>
      <c r="I1310" s="487" t="s">
        <v>1499</v>
      </c>
      <c r="J1310" s="487" t="s">
        <v>657</v>
      </c>
    </row>
    <row r="1311" spans="1:10" ht="15" x14ac:dyDescent="0.2">
      <c r="A1311" s="486" t="s">
        <v>656</v>
      </c>
      <c r="B1311" s="487" t="s">
        <v>655</v>
      </c>
      <c r="C1311" s="488" t="s">
        <v>5385</v>
      </c>
      <c r="D1311" s="489" t="s">
        <v>5386</v>
      </c>
      <c r="E1311" s="487" t="s">
        <v>5387</v>
      </c>
      <c r="F1311" s="490">
        <v>435750</v>
      </c>
      <c r="G1311" s="489">
        <v>2270.7800000000002</v>
      </c>
      <c r="H1311" s="489">
        <v>191.89442</v>
      </c>
      <c r="I1311" s="487" t="s">
        <v>1499</v>
      </c>
      <c r="J1311" s="487" t="s">
        <v>657</v>
      </c>
    </row>
    <row r="1312" spans="1:10" ht="15" x14ac:dyDescent="0.2">
      <c r="A1312" s="486" t="s">
        <v>656</v>
      </c>
      <c r="B1312" s="487" t="s">
        <v>655</v>
      </c>
      <c r="C1312" s="488" t="s">
        <v>5388</v>
      </c>
      <c r="D1312" s="489" t="s">
        <v>5389</v>
      </c>
      <c r="E1312" s="487" t="s">
        <v>5390</v>
      </c>
      <c r="F1312" s="490">
        <v>7600</v>
      </c>
      <c r="G1312" s="489">
        <v>150.27000000000001</v>
      </c>
      <c r="H1312" s="489">
        <v>50.575629999999997</v>
      </c>
      <c r="I1312" s="487" t="s">
        <v>1499</v>
      </c>
      <c r="J1312" s="487" t="s">
        <v>657</v>
      </c>
    </row>
    <row r="1313" spans="1:10" ht="15" x14ac:dyDescent="0.2">
      <c r="A1313" s="486" t="s">
        <v>656</v>
      </c>
      <c r="B1313" s="487" t="s">
        <v>655</v>
      </c>
      <c r="C1313" s="488" t="s">
        <v>5391</v>
      </c>
      <c r="D1313" s="489" t="s">
        <v>5392</v>
      </c>
      <c r="E1313" s="487" t="s">
        <v>5393</v>
      </c>
      <c r="F1313" s="490">
        <v>31000</v>
      </c>
      <c r="G1313" s="489">
        <v>422.68</v>
      </c>
      <c r="H1313" s="489">
        <v>73.341530000000006</v>
      </c>
      <c r="I1313" s="487" t="s">
        <v>1499</v>
      </c>
      <c r="J1313" s="487" t="s">
        <v>657</v>
      </c>
    </row>
    <row r="1314" spans="1:10" ht="15" x14ac:dyDescent="0.2">
      <c r="A1314" s="486" t="s">
        <v>656</v>
      </c>
      <c r="B1314" s="487" t="s">
        <v>655</v>
      </c>
      <c r="C1314" s="488" t="s">
        <v>5394</v>
      </c>
      <c r="D1314" s="489" t="s">
        <v>5395</v>
      </c>
      <c r="E1314" s="487" t="s">
        <v>5396</v>
      </c>
      <c r="F1314" s="490">
        <v>16592.41</v>
      </c>
      <c r="G1314" s="489">
        <v>449.54</v>
      </c>
      <c r="H1314" s="489">
        <v>36.909750000000003</v>
      </c>
      <c r="I1314" s="487" t="s">
        <v>1499</v>
      </c>
      <c r="J1314" s="487" t="s">
        <v>657</v>
      </c>
    </row>
    <row r="1315" spans="1:10" ht="15" x14ac:dyDescent="0.2">
      <c r="A1315" s="486" t="s">
        <v>656</v>
      </c>
      <c r="B1315" s="487" t="s">
        <v>655</v>
      </c>
      <c r="C1315" s="488" t="s">
        <v>5397</v>
      </c>
      <c r="D1315" s="489" t="s">
        <v>5398</v>
      </c>
      <c r="E1315" s="487" t="s">
        <v>5399</v>
      </c>
      <c r="F1315" s="490">
        <v>40000</v>
      </c>
      <c r="G1315" s="489">
        <v>331.5</v>
      </c>
      <c r="H1315" s="489">
        <v>120.66365</v>
      </c>
      <c r="I1315" s="487" t="s">
        <v>1499</v>
      </c>
      <c r="J1315" s="487" t="s">
        <v>657</v>
      </c>
    </row>
    <row r="1316" spans="1:10" ht="15" x14ac:dyDescent="0.2">
      <c r="A1316" s="486" t="s">
        <v>656</v>
      </c>
      <c r="B1316" s="487" t="s">
        <v>655</v>
      </c>
      <c r="C1316" s="488" t="s">
        <v>5400</v>
      </c>
      <c r="D1316" s="489" t="s">
        <v>5401</v>
      </c>
      <c r="E1316" s="487" t="s">
        <v>5402</v>
      </c>
      <c r="F1316" s="490">
        <v>11500</v>
      </c>
      <c r="G1316" s="489">
        <v>212.68</v>
      </c>
      <c r="H1316" s="489">
        <v>54.071849999999998</v>
      </c>
      <c r="I1316" s="487" t="s">
        <v>1499</v>
      </c>
      <c r="J1316" s="487" t="s">
        <v>657</v>
      </c>
    </row>
    <row r="1317" spans="1:10" ht="15" x14ac:dyDescent="0.2">
      <c r="A1317" s="486" t="s">
        <v>656</v>
      </c>
      <c r="B1317" s="487" t="s">
        <v>655</v>
      </c>
      <c r="C1317" s="488" t="s">
        <v>5403</v>
      </c>
      <c r="D1317" s="489" t="s">
        <v>5404</v>
      </c>
      <c r="E1317" s="487" t="s">
        <v>5405</v>
      </c>
      <c r="F1317" s="490">
        <v>17770</v>
      </c>
      <c r="G1317" s="489">
        <v>168.72</v>
      </c>
      <c r="H1317" s="489">
        <v>105.32243</v>
      </c>
      <c r="I1317" s="487" t="s">
        <v>1499</v>
      </c>
      <c r="J1317" s="487" t="s">
        <v>657</v>
      </c>
    </row>
    <row r="1318" spans="1:10" ht="15" x14ac:dyDescent="0.2">
      <c r="A1318" s="486" t="s">
        <v>656</v>
      </c>
      <c r="B1318" s="487" t="s">
        <v>655</v>
      </c>
      <c r="C1318" s="488" t="s">
        <v>5406</v>
      </c>
      <c r="D1318" s="489" t="s">
        <v>5407</v>
      </c>
      <c r="E1318" s="487" t="s">
        <v>5408</v>
      </c>
      <c r="F1318" s="490">
        <v>4750</v>
      </c>
      <c r="G1318" s="489">
        <v>146.19999999999999</v>
      </c>
      <c r="H1318" s="489">
        <v>32.489739999999998</v>
      </c>
      <c r="I1318" s="487" t="s">
        <v>1499</v>
      </c>
      <c r="J1318" s="487" t="s">
        <v>657</v>
      </c>
    </row>
    <row r="1319" spans="1:10" ht="15" x14ac:dyDescent="0.2">
      <c r="A1319" s="486" t="s">
        <v>656</v>
      </c>
      <c r="B1319" s="487" t="s">
        <v>655</v>
      </c>
      <c r="C1319" s="488" t="s">
        <v>5409</v>
      </c>
      <c r="D1319" s="489" t="s">
        <v>5410</v>
      </c>
      <c r="E1319" s="487" t="s">
        <v>5411</v>
      </c>
      <c r="F1319" s="490">
        <v>87000</v>
      </c>
      <c r="G1319" s="489">
        <v>784.8</v>
      </c>
      <c r="H1319" s="489">
        <v>110.85626999999999</v>
      </c>
      <c r="I1319" s="487" t="s">
        <v>1499</v>
      </c>
      <c r="J1319" s="487" t="s">
        <v>657</v>
      </c>
    </row>
    <row r="1320" spans="1:10" ht="15" x14ac:dyDescent="0.2">
      <c r="A1320" s="486" t="s">
        <v>656</v>
      </c>
      <c r="B1320" s="487" t="s">
        <v>655</v>
      </c>
      <c r="C1320" s="488" t="s">
        <v>5412</v>
      </c>
      <c r="D1320" s="489" t="s">
        <v>5413</v>
      </c>
      <c r="E1320" s="487" t="s">
        <v>5414</v>
      </c>
      <c r="F1320" s="490">
        <v>43500</v>
      </c>
      <c r="G1320" s="489">
        <v>690.16</v>
      </c>
      <c r="H1320" s="489">
        <v>63.028860000000002</v>
      </c>
      <c r="I1320" s="487" t="s">
        <v>1499</v>
      </c>
      <c r="J1320" s="487" t="s">
        <v>657</v>
      </c>
    </row>
    <row r="1321" spans="1:10" ht="15" x14ac:dyDescent="0.2">
      <c r="A1321" s="486" t="s">
        <v>656</v>
      </c>
      <c r="B1321" s="487" t="s">
        <v>655</v>
      </c>
      <c r="C1321" s="488" t="s">
        <v>5415</v>
      </c>
      <c r="D1321" s="489" t="s">
        <v>5416</v>
      </c>
      <c r="E1321" s="487" t="s">
        <v>5417</v>
      </c>
      <c r="F1321" s="490">
        <v>121650</v>
      </c>
      <c r="G1321" s="489">
        <v>959.45</v>
      </c>
      <c r="H1321" s="489">
        <v>126.79139000000001</v>
      </c>
      <c r="I1321" s="487" t="s">
        <v>1499</v>
      </c>
      <c r="J1321" s="487" t="s">
        <v>657</v>
      </c>
    </row>
    <row r="1322" spans="1:10" ht="15" x14ac:dyDescent="0.2">
      <c r="A1322" s="486" t="s">
        <v>656</v>
      </c>
      <c r="B1322" s="487" t="s">
        <v>655</v>
      </c>
      <c r="C1322" s="488" t="s">
        <v>5418</v>
      </c>
      <c r="D1322" s="489" t="s">
        <v>5419</v>
      </c>
      <c r="E1322" s="487" t="s">
        <v>5420</v>
      </c>
      <c r="F1322" s="490">
        <v>499446</v>
      </c>
      <c r="G1322" s="489">
        <v>2365.2199999999998</v>
      </c>
      <c r="H1322" s="489">
        <v>211.1626</v>
      </c>
      <c r="I1322" s="487" t="s">
        <v>1499</v>
      </c>
      <c r="J1322" s="487" t="s">
        <v>657</v>
      </c>
    </row>
    <row r="1323" spans="1:10" ht="15" x14ac:dyDescent="0.2">
      <c r="A1323" s="486" t="s">
        <v>656</v>
      </c>
      <c r="B1323" s="487" t="s">
        <v>655</v>
      </c>
      <c r="C1323" s="488" t="s">
        <v>5421</v>
      </c>
      <c r="D1323" s="489" t="s">
        <v>5422</v>
      </c>
      <c r="E1323" s="487" t="s">
        <v>5423</v>
      </c>
      <c r="F1323" s="490">
        <v>14814</v>
      </c>
      <c r="G1323" s="489">
        <v>209.54</v>
      </c>
      <c r="H1323" s="489">
        <v>70.697720000000004</v>
      </c>
      <c r="I1323" s="487" t="s">
        <v>1499</v>
      </c>
      <c r="J1323" s="487" t="s">
        <v>657</v>
      </c>
    </row>
    <row r="1324" spans="1:10" ht="15" x14ac:dyDescent="0.2">
      <c r="A1324" s="486" t="s">
        <v>656</v>
      </c>
      <c r="B1324" s="487" t="s">
        <v>655</v>
      </c>
      <c r="C1324" s="488" t="s">
        <v>5424</v>
      </c>
      <c r="D1324" s="489" t="s">
        <v>5425</v>
      </c>
      <c r="E1324" s="487" t="s">
        <v>5426</v>
      </c>
      <c r="F1324" s="490">
        <v>800</v>
      </c>
      <c r="G1324" s="489">
        <v>39.56</v>
      </c>
      <c r="H1324" s="489">
        <v>20.222449999999998</v>
      </c>
      <c r="I1324" s="487" t="s">
        <v>1499</v>
      </c>
      <c r="J1324" s="487" t="s">
        <v>657</v>
      </c>
    </row>
    <row r="1325" spans="1:10" ht="15" x14ac:dyDescent="0.2">
      <c r="A1325" s="486" t="s">
        <v>656</v>
      </c>
      <c r="B1325" s="487" t="s">
        <v>655</v>
      </c>
      <c r="C1325" s="488" t="s">
        <v>5427</v>
      </c>
      <c r="D1325" s="489" t="s">
        <v>5428</v>
      </c>
      <c r="E1325" s="487" t="s">
        <v>5429</v>
      </c>
      <c r="F1325" s="490">
        <v>0</v>
      </c>
      <c r="G1325" s="489">
        <v>48.11</v>
      </c>
      <c r="H1325" s="489">
        <v>0</v>
      </c>
      <c r="I1325" s="487" t="s">
        <v>1593</v>
      </c>
      <c r="J1325" s="487" t="s">
        <v>657</v>
      </c>
    </row>
    <row r="1326" spans="1:10" ht="15" x14ac:dyDescent="0.2">
      <c r="A1326" s="486" t="s">
        <v>656</v>
      </c>
      <c r="B1326" s="487" t="s">
        <v>655</v>
      </c>
      <c r="C1326" s="488" t="s">
        <v>5430</v>
      </c>
      <c r="D1326" s="489" t="s">
        <v>5431</v>
      </c>
      <c r="E1326" s="487" t="s">
        <v>5432</v>
      </c>
      <c r="F1326" s="490">
        <v>3500</v>
      </c>
      <c r="G1326" s="489">
        <v>78.23</v>
      </c>
      <c r="H1326" s="489">
        <v>44.739870000000003</v>
      </c>
      <c r="I1326" s="487" t="s">
        <v>1499</v>
      </c>
      <c r="J1326" s="487" t="s">
        <v>657</v>
      </c>
    </row>
    <row r="1327" spans="1:10" ht="15" x14ac:dyDescent="0.2">
      <c r="A1327" s="486" t="s">
        <v>656</v>
      </c>
      <c r="B1327" s="487" t="s">
        <v>655</v>
      </c>
      <c r="C1327" s="488" t="s">
        <v>5433</v>
      </c>
      <c r="D1327" s="489" t="s">
        <v>5434</v>
      </c>
      <c r="E1327" s="487" t="s">
        <v>5435</v>
      </c>
      <c r="F1327" s="490">
        <v>470</v>
      </c>
      <c r="G1327" s="489">
        <v>35.54</v>
      </c>
      <c r="H1327" s="489">
        <v>13.224539999999999</v>
      </c>
      <c r="I1327" s="487" t="s">
        <v>1499</v>
      </c>
      <c r="J1327" s="487" t="s">
        <v>657</v>
      </c>
    </row>
    <row r="1328" spans="1:10" ht="15" x14ac:dyDescent="0.2">
      <c r="A1328" s="486" t="s">
        <v>656</v>
      </c>
      <c r="B1328" s="487" t="s">
        <v>655</v>
      </c>
      <c r="C1328" s="488" t="s">
        <v>5436</v>
      </c>
      <c r="D1328" s="489" t="s">
        <v>5437</v>
      </c>
      <c r="E1328" s="487" t="s">
        <v>5438</v>
      </c>
      <c r="F1328" s="490">
        <v>140000</v>
      </c>
      <c r="G1328" s="489">
        <v>2756.75</v>
      </c>
      <c r="H1328" s="489">
        <v>50.784439999999996</v>
      </c>
      <c r="I1328" s="487" t="s">
        <v>1499</v>
      </c>
      <c r="J1328" s="487" t="s">
        <v>657</v>
      </c>
    </row>
    <row r="1329" spans="1:10" ht="15" x14ac:dyDescent="0.2">
      <c r="A1329" s="486" t="s">
        <v>656</v>
      </c>
      <c r="B1329" s="487" t="s">
        <v>655</v>
      </c>
      <c r="C1329" s="488" t="s">
        <v>5439</v>
      </c>
      <c r="D1329" s="489" t="s">
        <v>5440</v>
      </c>
      <c r="E1329" s="487" t="s">
        <v>5441</v>
      </c>
      <c r="F1329" s="490">
        <v>450</v>
      </c>
      <c r="G1329" s="489">
        <v>65.55</v>
      </c>
      <c r="H1329" s="489">
        <v>6.8649899999999997</v>
      </c>
      <c r="I1329" s="487" t="s">
        <v>1499</v>
      </c>
      <c r="J1329" s="487" t="s">
        <v>657</v>
      </c>
    </row>
    <row r="1330" spans="1:10" ht="15" x14ac:dyDescent="0.2">
      <c r="A1330" s="486" t="s">
        <v>656</v>
      </c>
      <c r="B1330" s="487" t="s">
        <v>655</v>
      </c>
      <c r="C1330" s="488" t="s">
        <v>5442</v>
      </c>
      <c r="D1330" s="489" t="s">
        <v>5443</v>
      </c>
      <c r="E1330" s="487" t="s">
        <v>5444</v>
      </c>
      <c r="F1330" s="490">
        <v>3197995</v>
      </c>
      <c r="G1330" s="489">
        <v>7599.64</v>
      </c>
      <c r="H1330" s="489">
        <v>420.80874999999997</v>
      </c>
      <c r="I1330" s="487" t="s">
        <v>1499</v>
      </c>
      <c r="J1330" s="487" t="s">
        <v>657</v>
      </c>
    </row>
    <row r="1331" spans="1:10" ht="15" x14ac:dyDescent="0.2">
      <c r="A1331" s="486" t="s">
        <v>656</v>
      </c>
      <c r="B1331" s="487" t="s">
        <v>655</v>
      </c>
      <c r="C1331" s="488" t="s">
        <v>5445</v>
      </c>
      <c r="D1331" s="489" t="s">
        <v>5446</v>
      </c>
      <c r="E1331" s="487" t="s">
        <v>5447</v>
      </c>
      <c r="F1331" s="490">
        <v>58060</v>
      </c>
      <c r="G1331" s="489">
        <v>1200.3499999999999</v>
      </c>
      <c r="H1331" s="489">
        <v>48.369230000000002</v>
      </c>
      <c r="I1331" s="487" t="s">
        <v>1499</v>
      </c>
      <c r="J1331" s="487" t="s">
        <v>657</v>
      </c>
    </row>
    <row r="1332" spans="1:10" ht="15" x14ac:dyDescent="0.2">
      <c r="A1332" s="486" t="s">
        <v>656</v>
      </c>
      <c r="B1332" s="487" t="s">
        <v>655</v>
      </c>
      <c r="C1332" s="488" t="s">
        <v>5448</v>
      </c>
      <c r="D1332" s="489" t="s">
        <v>5449</v>
      </c>
      <c r="E1332" s="487" t="s">
        <v>5450</v>
      </c>
      <c r="F1332" s="490">
        <v>43000</v>
      </c>
      <c r="G1332" s="489">
        <v>622.88</v>
      </c>
      <c r="H1332" s="489">
        <v>69.03416</v>
      </c>
      <c r="I1332" s="487" t="s">
        <v>1499</v>
      </c>
      <c r="J1332" s="487" t="s">
        <v>657</v>
      </c>
    </row>
    <row r="1333" spans="1:10" ht="15" x14ac:dyDescent="0.2">
      <c r="A1333" s="486" t="s">
        <v>656</v>
      </c>
      <c r="B1333" s="487" t="s">
        <v>655</v>
      </c>
      <c r="C1333" s="488" t="s">
        <v>5451</v>
      </c>
      <c r="D1333" s="489" t="s">
        <v>5452</v>
      </c>
      <c r="E1333" s="487" t="s">
        <v>5453</v>
      </c>
      <c r="F1333" s="490">
        <v>784606</v>
      </c>
      <c r="G1333" s="489">
        <v>2638</v>
      </c>
      <c r="H1333" s="489">
        <v>297.42455999999999</v>
      </c>
      <c r="I1333" s="487" t="s">
        <v>1499</v>
      </c>
      <c r="J1333" s="487" t="s">
        <v>657</v>
      </c>
    </row>
    <row r="1334" spans="1:10" ht="15" x14ac:dyDescent="0.2">
      <c r="A1334" s="486" t="s">
        <v>656</v>
      </c>
      <c r="B1334" s="487" t="s">
        <v>655</v>
      </c>
      <c r="C1334" s="488" t="s">
        <v>5454</v>
      </c>
      <c r="D1334" s="489" t="s">
        <v>5455</v>
      </c>
      <c r="E1334" s="487" t="s">
        <v>5456</v>
      </c>
      <c r="F1334" s="490">
        <v>4250</v>
      </c>
      <c r="G1334" s="489">
        <v>223.44</v>
      </c>
      <c r="H1334" s="489">
        <v>19.020769999999999</v>
      </c>
      <c r="I1334" s="487" t="s">
        <v>1499</v>
      </c>
      <c r="J1334" s="487" t="s">
        <v>657</v>
      </c>
    </row>
    <row r="1335" spans="1:10" ht="15" x14ac:dyDescent="0.2">
      <c r="A1335" s="486" t="s">
        <v>656</v>
      </c>
      <c r="B1335" s="487" t="s">
        <v>655</v>
      </c>
      <c r="C1335" s="488" t="s">
        <v>5457</v>
      </c>
      <c r="D1335" s="489" t="s">
        <v>5458</v>
      </c>
      <c r="E1335" s="487" t="s">
        <v>5459</v>
      </c>
      <c r="F1335" s="490">
        <v>1150</v>
      </c>
      <c r="G1335" s="489">
        <v>126.33</v>
      </c>
      <c r="H1335" s="489">
        <v>9.1031399999999998</v>
      </c>
      <c r="I1335" s="487" t="s">
        <v>1499</v>
      </c>
      <c r="J1335" s="487" t="s">
        <v>657</v>
      </c>
    </row>
    <row r="1336" spans="1:10" ht="15" x14ac:dyDescent="0.2">
      <c r="A1336" s="486" t="s">
        <v>656</v>
      </c>
      <c r="B1336" s="487" t="s">
        <v>655</v>
      </c>
      <c r="C1336" s="488" t="s">
        <v>5460</v>
      </c>
      <c r="D1336" s="489" t="s">
        <v>5461</v>
      </c>
      <c r="E1336" s="487" t="s">
        <v>5462</v>
      </c>
      <c r="F1336" s="490">
        <v>25000</v>
      </c>
      <c r="G1336" s="489">
        <v>282.17</v>
      </c>
      <c r="H1336" s="489">
        <v>88.599069999999998</v>
      </c>
      <c r="I1336" s="487" t="s">
        <v>1499</v>
      </c>
      <c r="J1336" s="487" t="s">
        <v>657</v>
      </c>
    </row>
    <row r="1337" spans="1:10" ht="15" x14ac:dyDescent="0.2">
      <c r="A1337" s="486" t="s">
        <v>656</v>
      </c>
      <c r="B1337" s="487" t="s">
        <v>655</v>
      </c>
      <c r="C1337" s="488" t="s">
        <v>5463</v>
      </c>
      <c r="D1337" s="489" t="s">
        <v>5464</v>
      </c>
      <c r="E1337" s="487" t="s">
        <v>5465</v>
      </c>
      <c r="F1337" s="490">
        <v>43000</v>
      </c>
      <c r="G1337" s="489">
        <v>1115.18</v>
      </c>
      <c r="H1337" s="489">
        <v>38.558799999999998</v>
      </c>
      <c r="I1337" s="487" t="s">
        <v>1499</v>
      </c>
      <c r="J1337" s="487" t="s">
        <v>657</v>
      </c>
    </row>
    <row r="1338" spans="1:10" ht="15" x14ac:dyDescent="0.2">
      <c r="A1338" s="486" t="s">
        <v>656</v>
      </c>
      <c r="B1338" s="487" t="s">
        <v>655</v>
      </c>
      <c r="C1338" s="488" t="s">
        <v>5466</v>
      </c>
      <c r="D1338" s="489" t="s">
        <v>5467</v>
      </c>
      <c r="E1338" s="487" t="s">
        <v>5468</v>
      </c>
      <c r="F1338" s="490">
        <v>2700</v>
      </c>
      <c r="G1338" s="489">
        <v>183.53</v>
      </c>
      <c r="H1338" s="489">
        <v>14.71149</v>
      </c>
      <c r="I1338" s="487" t="s">
        <v>1499</v>
      </c>
      <c r="J1338" s="487" t="s">
        <v>657</v>
      </c>
    </row>
    <row r="1339" spans="1:10" ht="15" x14ac:dyDescent="0.2">
      <c r="A1339" s="486" t="s">
        <v>656</v>
      </c>
      <c r="B1339" s="487" t="s">
        <v>655</v>
      </c>
      <c r="C1339" s="488" t="s">
        <v>5469</v>
      </c>
      <c r="D1339" s="489" t="s">
        <v>5470</v>
      </c>
      <c r="E1339" s="487" t="s">
        <v>5471</v>
      </c>
      <c r="F1339" s="490">
        <v>5586</v>
      </c>
      <c r="G1339" s="489">
        <v>223.72</v>
      </c>
      <c r="H1339" s="489">
        <v>24.968710000000002</v>
      </c>
      <c r="I1339" s="487" t="s">
        <v>1499</v>
      </c>
      <c r="J1339" s="487" t="s">
        <v>657</v>
      </c>
    </row>
    <row r="1340" spans="1:10" ht="15" x14ac:dyDescent="0.2">
      <c r="A1340" s="486" t="s">
        <v>656</v>
      </c>
      <c r="B1340" s="487" t="s">
        <v>655</v>
      </c>
      <c r="C1340" s="488" t="s">
        <v>5472</v>
      </c>
      <c r="D1340" s="489" t="s">
        <v>5473</v>
      </c>
      <c r="E1340" s="487" t="s">
        <v>5474</v>
      </c>
      <c r="F1340" s="490">
        <v>8000</v>
      </c>
      <c r="G1340" s="489">
        <v>158.78</v>
      </c>
      <c r="H1340" s="489">
        <v>50.384180000000001</v>
      </c>
      <c r="I1340" s="487" t="s">
        <v>1499</v>
      </c>
      <c r="J1340" s="487" t="s">
        <v>657</v>
      </c>
    </row>
    <row r="1341" spans="1:10" ht="15" x14ac:dyDescent="0.2">
      <c r="A1341" s="486" t="s">
        <v>656</v>
      </c>
      <c r="B1341" s="487" t="s">
        <v>655</v>
      </c>
      <c r="C1341" s="488" t="s">
        <v>5475</v>
      </c>
      <c r="D1341" s="489" t="s">
        <v>5476</v>
      </c>
      <c r="E1341" s="487" t="s">
        <v>5477</v>
      </c>
      <c r="F1341" s="490">
        <v>10075</v>
      </c>
      <c r="G1341" s="489">
        <v>122.78</v>
      </c>
      <c r="H1341" s="489">
        <v>82.057339999999996</v>
      </c>
      <c r="I1341" s="487" t="s">
        <v>1499</v>
      </c>
      <c r="J1341" s="487" t="s">
        <v>657</v>
      </c>
    </row>
    <row r="1342" spans="1:10" ht="15" x14ac:dyDescent="0.2">
      <c r="A1342" s="486" t="s">
        <v>656</v>
      </c>
      <c r="B1342" s="487" t="s">
        <v>655</v>
      </c>
      <c r="C1342" s="488" t="s">
        <v>5478</v>
      </c>
      <c r="D1342" s="489" t="s">
        <v>5479</v>
      </c>
      <c r="E1342" s="487" t="s">
        <v>5480</v>
      </c>
      <c r="F1342" s="490">
        <v>109500</v>
      </c>
      <c r="G1342" s="489">
        <v>819.56</v>
      </c>
      <c r="H1342" s="489">
        <v>133.60828000000001</v>
      </c>
      <c r="I1342" s="487" t="s">
        <v>1499</v>
      </c>
      <c r="J1342" s="487" t="s">
        <v>657</v>
      </c>
    </row>
    <row r="1343" spans="1:10" ht="15" x14ac:dyDescent="0.2">
      <c r="A1343" s="486" t="s">
        <v>656</v>
      </c>
      <c r="B1343" s="487" t="s">
        <v>655</v>
      </c>
      <c r="C1343" s="488" t="s">
        <v>5481</v>
      </c>
      <c r="D1343" s="489" t="s">
        <v>5482</v>
      </c>
      <c r="E1343" s="487" t="s">
        <v>5483</v>
      </c>
      <c r="F1343" s="490">
        <v>0</v>
      </c>
      <c r="G1343" s="489">
        <v>66.47</v>
      </c>
      <c r="H1343" s="489">
        <v>0</v>
      </c>
      <c r="I1343" s="487" t="s">
        <v>1593</v>
      </c>
      <c r="J1343" s="487" t="s">
        <v>657</v>
      </c>
    </row>
    <row r="1344" spans="1:10" ht="15" x14ac:dyDescent="0.2">
      <c r="A1344" s="486" t="s">
        <v>656</v>
      </c>
      <c r="B1344" s="487" t="s">
        <v>655</v>
      </c>
      <c r="C1344" s="488" t="s">
        <v>5484</v>
      </c>
      <c r="D1344" s="489" t="s">
        <v>5485</v>
      </c>
      <c r="E1344" s="487" t="s">
        <v>5486</v>
      </c>
      <c r="F1344" s="490">
        <v>60000</v>
      </c>
      <c r="G1344" s="489">
        <v>680.7</v>
      </c>
      <c r="H1344" s="489">
        <v>88.144559999999998</v>
      </c>
      <c r="I1344" s="487" t="s">
        <v>1499</v>
      </c>
      <c r="J1344" s="487" t="s">
        <v>657</v>
      </c>
    </row>
    <row r="1345" spans="1:10" ht="15" x14ac:dyDescent="0.2">
      <c r="A1345" s="486" t="s">
        <v>656</v>
      </c>
      <c r="B1345" s="487" t="s">
        <v>655</v>
      </c>
      <c r="C1345" s="488" t="s">
        <v>5487</v>
      </c>
      <c r="D1345" s="489" t="s">
        <v>5488</v>
      </c>
      <c r="E1345" s="487" t="s">
        <v>5489</v>
      </c>
      <c r="F1345" s="490">
        <v>66810.97</v>
      </c>
      <c r="G1345" s="489">
        <v>588.51</v>
      </c>
      <c r="H1345" s="489">
        <v>113.52563000000001</v>
      </c>
      <c r="I1345" s="487" t="s">
        <v>1499</v>
      </c>
      <c r="J1345" s="487" t="s">
        <v>657</v>
      </c>
    </row>
    <row r="1346" spans="1:10" ht="15" x14ac:dyDescent="0.2">
      <c r="A1346" s="486" t="s">
        <v>656</v>
      </c>
      <c r="B1346" s="487" t="s">
        <v>655</v>
      </c>
      <c r="C1346" s="488" t="s">
        <v>5490</v>
      </c>
      <c r="D1346" s="489" t="s">
        <v>5491</v>
      </c>
      <c r="E1346" s="487" t="s">
        <v>5492</v>
      </c>
      <c r="F1346" s="490">
        <v>49719</v>
      </c>
      <c r="G1346" s="489">
        <v>793.23</v>
      </c>
      <c r="H1346" s="489">
        <v>62.679169999999999</v>
      </c>
      <c r="I1346" s="487" t="s">
        <v>1499</v>
      </c>
      <c r="J1346" s="487" t="s">
        <v>657</v>
      </c>
    </row>
    <row r="1347" spans="1:10" ht="15" x14ac:dyDescent="0.2">
      <c r="A1347" s="486" t="s">
        <v>656</v>
      </c>
      <c r="B1347" s="487" t="s">
        <v>655</v>
      </c>
      <c r="C1347" s="488" t="s">
        <v>5493</v>
      </c>
      <c r="D1347" s="489" t="s">
        <v>5494</v>
      </c>
      <c r="E1347" s="487" t="s">
        <v>5495</v>
      </c>
      <c r="F1347" s="490">
        <v>98000</v>
      </c>
      <c r="G1347" s="489">
        <v>858.74</v>
      </c>
      <c r="H1347" s="489">
        <v>114.12069</v>
      </c>
      <c r="I1347" s="487" t="s">
        <v>1499</v>
      </c>
      <c r="J1347" s="487" t="s">
        <v>657</v>
      </c>
    </row>
    <row r="1348" spans="1:10" ht="15" x14ac:dyDescent="0.2">
      <c r="A1348" s="486" t="s">
        <v>656</v>
      </c>
      <c r="B1348" s="487" t="s">
        <v>655</v>
      </c>
      <c r="C1348" s="488" t="s">
        <v>5496</v>
      </c>
      <c r="D1348" s="489" t="s">
        <v>5497</v>
      </c>
      <c r="E1348" s="487" t="s">
        <v>5498</v>
      </c>
      <c r="F1348" s="490">
        <v>12618</v>
      </c>
      <c r="G1348" s="489">
        <v>313.23</v>
      </c>
      <c r="H1348" s="489">
        <v>40.283499999999997</v>
      </c>
      <c r="I1348" s="487" t="s">
        <v>1499</v>
      </c>
      <c r="J1348" s="487" t="s">
        <v>657</v>
      </c>
    </row>
    <row r="1349" spans="1:10" ht="15" x14ac:dyDescent="0.2">
      <c r="A1349" s="486" t="s">
        <v>656</v>
      </c>
      <c r="B1349" s="487" t="s">
        <v>655</v>
      </c>
      <c r="C1349" s="488" t="s">
        <v>5499</v>
      </c>
      <c r="D1349" s="489" t="s">
        <v>5500</v>
      </c>
      <c r="E1349" s="487" t="s">
        <v>5501</v>
      </c>
      <c r="F1349" s="490">
        <v>37000</v>
      </c>
      <c r="G1349" s="489">
        <v>479.22</v>
      </c>
      <c r="H1349" s="489">
        <v>77.208799999999997</v>
      </c>
      <c r="I1349" s="487" t="s">
        <v>1499</v>
      </c>
      <c r="J1349" s="487" t="s">
        <v>657</v>
      </c>
    </row>
    <row r="1350" spans="1:10" ht="15" x14ac:dyDescent="0.2">
      <c r="A1350" s="486" t="s">
        <v>656</v>
      </c>
      <c r="B1350" s="487" t="s">
        <v>655</v>
      </c>
      <c r="C1350" s="488" t="s">
        <v>5502</v>
      </c>
      <c r="D1350" s="489" t="s">
        <v>5503</v>
      </c>
      <c r="E1350" s="487" t="s">
        <v>5504</v>
      </c>
      <c r="F1350" s="490">
        <v>42420</v>
      </c>
      <c r="G1350" s="489">
        <v>651.57000000000005</v>
      </c>
      <c r="H1350" s="489">
        <v>65.104290000000006</v>
      </c>
      <c r="I1350" s="487" t="s">
        <v>1499</v>
      </c>
      <c r="J1350" s="487" t="s">
        <v>657</v>
      </c>
    </row>
    <row r="1351" spans="1:10" ht="15" x14ac:dyDescent="0.2">
      <c r="A1351" s="486" t="s">
        <v>673</v>
      </c>
      <c r="B1351" s="487" t="s">
        <v>672</v>
      </c>
      <c r="C1351" s="488" t="s">
        <v>5505</v>
      </c>
      <c r="D1351" s="489" t="s">
        <v>5506</v>
      </c>
      <c r="E1351" s="487" t="s">
        <v>5507</v>
      </c>
      <c r="F1351" s="490">
        <v>25000</v>
      </c>
      <c r="G1351" s="489">
        <v>803.13</v>
      </c>
      <c r="H1351" s="489">
        <v>31.128209999999999</v>
      </c>
      <c r="I1351" s="487" t="s">
        <v>1499</v>
      </c>
      <c r="J1351" s="487" t="s">
        <v>674</v>
      </c>
    </row>
    <row r="1352" spans="1:10" ht="15" x14ac:dyDescent="0.2">
      <c r="A1352" s="486" t="s">
        <v>673</v>
      </c>
      <c r="B1352" s="487" t="s">
        <v>672</v>
      </c>
      <c r="C1352" s="488" t="s">
        <v>5508</v>
      </c>
      <c r="D1352" s="489" t="s">
        <v>5509</v>
      </c>
      <c r="E1352" s="487" t="s">
        <v>5510</v>
      </c>
      <c r="F1352" s="490">
        <v>6200</v>
      </c>
      <c r="G1352" s="489">
        <v>166.14</v>
      </c>
      <c r="H1352" s="489">
        <v>37.317920000000001</v>
      </c>
      <c r="I1352" s="487" t="s">
        <v>1499</v>
      </c>
      <c r="J1352" s="487" t="s">
        <v>674</v>
      </c>
    </row>
    <row r="1353" spans="1:10" ht="15" x14ac:dyDescent="0.2">
      <c r="A1353" s="486" t="s">
        <v>673</v>
      </c>
      <c r="B1353" s="487" t="s">
        <v>672</v>
      </c>
      <c r="C1353" s="488" t="s">
        <v>5511</v>
      </c>
      <c r="D1353" s="489" t="s">
        <v>5512</v>
      </c>
      <c r="E1353" s="487" t="s">
        <v>5513</v>
      </c>
      <c r="F1353" s="490">
        <v>10300</v>
      </c>
      <c r="G1353" s="489">
        <v>177.73</v>
      </c>
      <c r="H1353" s="489">
        <v>57.953069999999997</v>
      </c>
      <c r="I1353" s="487" t="s">
        <v>1499</v>
      </c>
      <c r="J1353" s="487" t="s">
        <v>674</v>
      </c>
    </row>
    <row r="1354" spans="1:10" ht="15" x14ac:dyDescent="0.2">
      <c r="A1354" s="486" t="s">
        <v>673</v>
      </c>
      <c r="B1354" s="487" t="s">
        <v>672</v>
      </c>
      <c r="C1354" s="488" t="s">
        <v>5514</v>
      </c>
      <c r="D1354" s="489" t="s">
        <v>5515</v>
      </c>
      <c r="E1354" s="487" t="s">
        <v>5516</v>
      </c>
      <c r="F1354" s="490">
        <v>17600</v>
      </c>
      <c r="G1354" s="489">
        <v>194.66</v>
      </c>
      <c r="H1354" s="489">
        <v>90.414060000000006</v>
      </c>
      <c r="I1354" s="487" t="s">
        <v>1499</v>
      </c>
      <c r="J1354" s="487" t="s">
        <v>674</v>
      </c>
    </row>
    <row r="1355" spans="1:10" ht="15" x14ac:dyDescent="0.2">
      <c r="A1355" s="486" t="s">
        <v>673</v>
      </c>
      <c r="B1355" s="487" t="s">
        <v>672</v>
      </c>
      <c r="C1355" s="488" t="s">
        <v>5517</v>
      </c>
      <c r="D1355" s="489" t="s">
        <v>5518</v>
      </c>
      <c r="E1355" s="487" t="s">
        <v>5519</v>
      </c>
      <c r="F1355" s="490">
        <v>47250</v>
      </c>
      <c r="G1355" s="489">
        <v>1209.25</v>
      </c>
      <c r="H1355" s="489">
        <v>39.073810000000002</v>
      </c>
      <c r="I1355" s="487" t="s">
        <v>1499</v>
      </c>
      <c r="J1355" s="487" t="s">
        <v>674</v>
      </c>
    </row>
    <row r="1356" spans="1:10" ht="15" x14ac:dyDescent="0.2">
      <c r="A1356" s="486" t="s">
        <v>673</v>
      </c>
      <c r="B1356" s="487" t="s">
        <v>672</v>
      </c>
      <c r="C1356" s="488" t="s">
        <v>5520</v>
      </c>
      <c r="D1356" s="489" t="s">
        <v>5521</v>
      </c>
      <c r="E1356" s="487" t="s">
        <v>5522</v>
      </c>
      <c r="F1356" s="490">
        <v>99016.68</v>
      </c>
      <c r="G1356" s="489">
        <v>819.88</v>
      </c>
      <c r="H1356" s="489">
        <v>120.76972000000001</v>
      </c>
      <c r="I1356" s="487" t="s">
        <v>1499</v>
      </c>
      <c r="J1356" s="487" t="s">
        <v>674</v>
      </c>
    </row>
    <row r="1357" spans="1:10" ht="15" x14ac:dyDescent="0.2">
      <c r="A1357" s="486" t="s">
        <v>673</v>
      </c>
      <c r="B1357" s="487" t="s">
        <v>672</v>
      </c>
      <c r="C1357" s="488" t="s">
        <v>5523</v>
      </c>
      <c r="D1357" s="489" t="s">
        <v>5524</v>
      </c>
      <c r="E1357" s="487" t="s">
        <v>5525</v>
      </c>
      <c r="F1357" s="490">
        <v>0</v>
      </c>
      <c r="G1357" s="489">
        <v>58.7</v>
      </c>
      <c r="H1357" s="489">
        <v>0</v>
      </c>
      <c r="I1357" s="487" t="s">
        <v>1593</v>
      </c>
      <c r="J1357" s="487" t="s">
        <v>674</v>
      </c>
    </row>
    <row r="1358" spans="1:10" ht="15" x14ac:dyDescent="0.2">
      <c r="A1358" s="486" t="s">
        <v>673</v>
      </c>
      <c r="B1358" s="487" t="s">
        <v>672</v>
      </c>
      <c r="C1358" s="488" t="s">
        <v>5526</v>
      </c>
      <c r="D1358" s="489" t="s">
        <v>5527</v>
      </c>
      <c r="E1358" s="487" t="s">
        <v>5528</v>
      </c>
      <c r="F1358" s="490">
        <v>98960</v>
      </c>
      <c r="G1358" s="489">
        <v>790.27</v>
      </c>
      <c r="H1358" s="489">
        <v>125.22302999999999</v>
      </c>
      <c r="I1358" s="487" t="s">
        <v>1499</v>
      </c>
      <c r="J1358" s="487" t="s">
        <v>674</v>
      </c>
    </row>
    <row r="1359" spans="1:10" ht="15" x14ac:dyDescent="0.2">
      <c r="A1359" s="486" t="s">
        <v>673</v>
      </c>
      <c r="B1359" s="487" t="s">
        <v>672</v>
      </c>
      <c r="C1359" s="488" t="s">
        <v>5529</v>
      </c>
      <c r="D1359" s="489" t="s">
        <v>5530</v>
      </c>
      <c r="E1359" s="487" t="s">
        <v>5531</v>
      </c>
      <c r="F1359" s="490">
        <v>17640</v>
      </c>
      <c r="G1359" s="489">
        <v>242.61</v>
      </c>
      <c r="H1359" s="489">
        <v>72.709289999999996</v>
      </c>
      <c r="I1359" s="487" t="s">
        <v>1499</v>
      </c>
      <c r="J1359" s="487" t="s">
        <v>674</v>
      </c>
    </row>
    <row r="1360" spans="1:10" ht="15" x14ac:dyDescent="0.2">
      <c r="A1360" s="486" t="s">
        <v>673</v>
      </c>
      <c r="B1360" s="487" t="s">
        <v>672</v>
      </c>
      <c r="C1360" s="488" t="s">
        <v>5532</v>
      </c>
      <c r="D1360" s="489" t="s">
        <v>5533</v>
      </c>
      <c r="E1360" s="487" t="s">
        <v>5534</v>
      </c>
      <c r="F1360" s="490">
        <v>8800</v>
      </c>
      <c r="G1360" s="489">
        <v>206.8</v>
      </c>
      <c r="H1360" s="489">
        <v>42.553190000000001</v>
      </c>
      <c r="I1360" s="487" t="s">
        <v>1499</v>
      </c>
      <c r="J1360" s="487" t="s">
        <v>674</v>
      </c>
    </row>
    <row r="1361" spans="1:10" ht="15" x14ac:dyDescent="0.2">
      <c r="A1361" s="486" t="s">
        <v>673</v>
      </c>
      <c r="B1361" s="487" t="s">
        <v>672</v>
      </c>
      <c r="C1361" s="488" t="s">
        <v>5535</v>
      </c>
      <c r="D1361" s="489" t="s">
        <v>5536</v>
      </c>
      <c r="E1361" s="487" t="s">
        <v>5537</v>
      </c>
      <c r="F1361" s="490">
        <v>15400</v>
      </c>
      <c r="G1361" s="489">
        <v>553.16</v>
      </c>
      <c r="H1361" s="489">
        <v>27.840050000000002</v>
      </c>
      <c r="I1361" s="487" t="s">
        <v>1499</v>
      </c>
      <c r="J1361" s="487" t="s">
        <v>674</v>
      </c>
    </row>
    <row r="1362" spans="1:10" ht="15" x14ac:dyDescent="0.2">
      <c r="A1362" s="486" t="s">
        <v>673</v>
      </c>
      <c r="B1362" s="487" t="s">
        <v>672</v>
      </c>
      <c r="C1362" s="488" t="s">
        <v>5538</v>
      </c>
      <c r="D1362" s="489" t="s">
        <v>5539</v>
      </c>
      <c r="E1362" s="487" t="s">
        <v>5540</v>
      </c>
      <c r="F1362" s="490">
        <v>475</v>
      </c>
      <c r="G1362" s="489">
        <v>16.760000000000002</v>
      </c>
      <c r="H1362" s="489">
        <v>28.341290000000001</v>
      </c>
      <c r="I1362" s="487" t="s">
        <v>1499</v>
      </c>
      <c r="J1362" s="487" t="s">
        <v>674</v>
      </c>
    </row>
    <row r="1363" spans="1:10" ht="15" x14ac:dyDescent="0.2">
      <c r="A1363" s="486" t="s">
        <v>673</v>
      </c>
      <c r="B1363" s="487" t="s">
        <v>672</v>
      </c>
      <c r="C1363" s="488" t="s">
        <v>5541</v>
      </c>
      <c r="D1363" s="489" t="s">
        <v>5542</v>
      </c>
      <c r="E1363" s="487" t="s">
        <v>5543</v>
      </c>
      <c r="F1363" s="490">
        <v>5600</v>
      </c>
      <c r="G1363" s="489">
        <v>164.81</v>
      </c>
      <c r="H1363" s="489">
        <v>33.978520000000003</v>
      </c>
      <c r="I1363" s="487" t="s">
        <v>1499</v>
      </c>
      <c r="J1363" s="487" t="s">
        <v>674</v>
      </c>
    </row>
    <row r="1364" spans="1:10" ht="15" x14ac:dyDescent="0.2">
      <c r="A1364" s="486" t="s">
        <v>673</v>
      </c>
      <c r="B1364" s="487" t="s">
        <v>672</v>
      </c>
      <c r="C1364" s="488" t="s">
        <v>5544</v>
      </c>
      <c r="D1364" s="489" t="s">
        <v>5545</v>
      </c>
      <c r="E1364" s="487" t="s">
        <v>5546</v>
      </c>
      <c r="F1364" s="490">
        <v>12650</v>
      </c>
      <c r="G1364" s="489">
        <v>176.55</v>
      </c>
      <c r="H1364" s="489">
        <v>71.651089999999996</v>
      </c>
      <c r="I1364" s="487" t="s">
        <v>1499</v>
      </c>
      <c r="J1364" s="487" t="s">
        <v>674</v>
      </c>
    </row>
    <row r="1365" spans="1:10" ht="15" x14ac:dyDescent="0.2">
      <c r="A1365" s="486" t="s">
        <v>673</v>
      </c>
      <c r="B1365" s="487" t="s">
        <v>672</v>
      </c>
      <c r="C1365" s="488" t="s">
        <v>5547</v>
      </c>
      <c r="D1365" s="489" t="s">
        <v>5548</v>
      </c>
      <c r="E1365" s="487" t="s">
        <v>5549</v>
      </c>
      <c r="F1365" s="490">
        <v>3740</v>
      </c>
      <c r="G1365" s="489">
        <v>74.67</v>
      </c>
      <c r="H1365" s="489">
        <v>50.087049999999998</v>
      </c>
      <c r="I1365" s="487" t="s">
        <v>1499</v>
      </c>
      <c r="J1365" s="487" t="s">
        <v>674</v>
      </c>
    </row>
    <row r="1366" spans="1:10" ht="15" x14ac:dyDescent="0.2">
      <c r="A1366" s="486" t="s">
        <v>673</v>
      </c>
      <c r="B1366" s="487" t="s">
        <v>672</v>
      </c>
      <c r="C1366" s="488" t="s">
        <v>5550</v>
      </c>
      <c r="D1366" s="489" t="s">
        <v>5551</v>
      </c>
      <c r="E1366" s="487" t="s">
        <v>5552</v>
      </c>
      <c r="F1366" s="490">
        <v>7650</v>
      </c>
      <c r="G1366" s="489">
        <v>146.29</v>
      </c>
      <c r="H1366" s="489">
        <v>52.293390000000002</v>
      </c>
      <c r="I1366" s="487" t="s">
        <v>1499</v>
      </c>
      <c r="J1366" s="487" t="s">
        <v>674</v>
      </c>
    </row>
    <row r="1367" spans="1:10" ht="15" x14ac:dyDescent="0.2">
      <c r="A1367" s="486" t="s">
        <v>673</v>
      </c>
      <c r="B1367" s="487" t="s">
        <v>672</v>
      </c>
      <c r="C1367" s="488" t="s">
        <v>5553</v>
      </c>
      <c r="D1367" s="489" t="s">
        <v>5554</v>
      </c>
      <c r="E1367" s="487" t="s">
        <v>5555</v>
      </c>
      <c r="F1367" s="490">
        <v>5000</v>
      </c>
      <c r="G1367" s="489">
        <v>267.33</v>
      </c>
      <c r="H1367" s="489">
        <v>18.703479999999999</v>
      </c>
      <c r="I1367" s="487" t="s">
        <v>1499</v>
      </c>
      <c r="J1367" s="487" t="s">
        <v>674</v>
      </c>
    </row>
    <row r="1368" spans="1:10" ht="15" x14ac:dyDescent="0.2">
      <c r="A1368" s="486" t="s">
        <v>673</v>
      </c>
      <c r="B1368" s="487" t="s">
        <v>672</v>
      </c>
      <c r="C1368" s="488" t="s">
        <v>5556</v>
      </c>
      <c r="D1368" s="489" t="s">
        <v>5557</v>
      </c>
      <c r="E1368" s="487" t="s">
        <v>5558</v>
      </c>
      <c r="F1368" s="490">
        <v>19000</v>
      </c>
      <c r="G1368" s="489">
        <v>281.82</v>
      </c>
      <c r="H1368" s="489">
        <v>67.41892</v>
      </c>
      <c r="I1368" s="487" t="s">
        <v>1499</v>
      </c>
      <c r="J1368" s="487" t="s">
        <v>674</v>
      </c>
    </row>
    <row r="1369" spans="1:10" ht="15" x14ac:dyDescent="0.2">
      <c r="A1369" s="486" t="s">
        <v>673</v>
      </c>
      <c r="B1369" s="487" t="s">
        <v>672</v>
      </c>
      <c r="C1369" s="488" t="s">
        <v>5559</v>
      </c>
      <c r="D1369" s="489" t="s">
        <v>5560</v>
      </c>
      <c r="E1369" s="487" t="s">
        <v>5561</v>
      </c>
      <c r="F1369" s="490">
        <v>7964.94</v>
      </c>
      <c r="G1369" s="489">
        <v>234.31</v>
      </c>
      <c r="H1369" s="489">
        <v>33.993169999999999</v>
      </c>
      <c r="I1369" s="487" t="s">
        <v>1499</v>
      </c>
      <c r="J1369" s="487" t="s">
        <v>674</v>
      </c>
    </row>
    <row r="1370" spans="1:10" ht="15" x14ac:dyDescent="0.2">
      <c r="A1370" s="486" t="s">
        <v>673</v>
      </c>
      <c r="B1370" s="487" t="s">
        <v>672</v>
      </c>
      <c r="C1370" s="488" t="s">
        <v>5562</v>
      </c>
      <c r="D1370" s="489" t="s">
        <v>5563</v>
      </c>
      <c r="E1370" s="487" t="s">
        <v>5564</v>
      </c>
      <c r="F1370" s="490">
        <v>6000</v>
      </c>
      <c r="G1370" s="489">
        <v>190.82</v>
      </c>
      <c r="H1370" s="489">
        <v>31.443239999999999</v>
      </c>
      <c r="I1370" s="487" t="s">
        <v>1499</v>
      </c>
      <c r="J1370" s="487" t="s">
        <v>674</v>
      </c>
    </row>
    <row r="1371" spans="1:10" ht="15" x14ac:dyDescent="0.2">
      <c r="A1371" s="486" t="s">
        <v>673</v>
      </c>
      <c r="B1371" s="487" t="s">
        <v>672</v>
      </c>
      <c r="C1371" s="488" t="s">
        <v>5565</v>
      </c>
      <c r="D1371" s="489" t="s">
        <v>5566</v>
      </c>
      <c r="E1371" s="487" t="s">
        <v>5567</v>
      </c>
      <c r="F1371" s="490">
        <v>18784</v>
      </c>
      <c r="G1371" s="489">
        <v>385.08</v>
      </c>
      <c r="H1371" s="489">
        <v>48.779470000000003</v>
      </c>
      <c r="I1371" s="487" t="s">
        <v>1499</v>
      </c>
      <c r="J1371" s="487" t="s">
        <v>674</v>
      </c>
    </row>
    <row r="1372" spans="1:10" ht="15" x14ac:dyDescent="0.2">
      <c r="A1372" s="486" t="s">
        <v>673</v>
      </c>
      <c r="B1372" s="487" t="s">
        <v>672</v>
      </c>
      <c r="C1372" s="488" t="s">
        <v>5568</v>
      </c>
      <c r="D1372" s="489" t="s">
        <v>5569</v>
      </c>
      <c r="E1372" s="487" t="s">
        <v>3826</v>
      </c>
      <c r="F1372" s="490">
        <v>196334</v>
      </c>
      <c r="G1372" s="489">
        <v>1743.55</v>
      </c>
      <c r="H1372" s="489">
        <v>112.60589</v>
      </c>
      <c r="I1372" s="487" t="s">
        <v>1499</v>
      </c>
      <c r="J1372" s="487" t="s">
        <v>674</v>
      </c>
    </row>
    <row r="1373" spans="1:10" ht="15" x14ac:dyDescent="0.2">
      <c r="A1373" s="486" t="s">
        <v>673</v>
      </c>
      <c r="B1373" s="487" t="s">
        <v>672</v>
      </c>
      <c r="C1373" s="488" t="s">
        <v>5570</v>
      </c>
      <c r="D1373" s="489" t="s">
        <v>5571</v>
      </c>
      <c r="E1373" s="487" t="s">
        <v>5572</v>
      </c>
      <c r="F1373" s="490">
        <v>7000</v>
      </c>
      <c r="G1373" s="489">
        <v>322.56</v>
      </c>
      <c r="H1373" s="489">
        <v>21.70139</v>
      </c>
      <c r="I1373" s="487" t="s">
        <v>1499</v>
      </c>
      <c r="J1373" s="487" t="s">
        <v>674</v>
      </c>
    </row>
    <row r="1374" spans="1:10" ht="15" x14ac:dyDescent="0.2">
      <c r="A1374" s="486" t="s">
        <v>673</v>
      </c>
      <c r="B1374" s="487" t="s">
        <v>672</v>
      </c>
      <c r="C1374" s="488" t="s">
        <v>5573</v>
      </c>
      <c r="D1374" s="489" t="s">
        <v>5574</v>
      </c>
      <c r="E1374" s="487" t="s">
        <v>5575</v>
      </c>
      <c r="F1374" s="490">
        <v>12250</v>
      </c>
      <c r="G1374" s="489">
        <v>430.98</v>
      </c>
      <c r="H1374" s="489">
        <v>28.423590000000001</v>
      </c>
      <c r="I1374" s="487" t="s">
        <v>1499</v>
      </c>
      <c r="J1374" s="487" t="s">
        <v>674</v>
      </c>
    </row>
    <row r="1375" spans="1:10" ht="15" x14ac:dyDescent="0.2">
      <c r="A1375" s="486" t="s">
        <v>673</v>
      </c>
      <c r="B1375" s="487" t="s">
        <v>672</v>
      </c>
      <c r="C1375" s="488" t="s">
        <v>5576</v>
      </c>
      <c r="D1375" s="489" t="s">
        <v>5577</v>
      </c>
      <c r="E1375" s="487" t="s">
        <v>5578</v>
      </c>
      <c r="F1375" s="490">
        <v>6500</v>
      </c>
      <c r="G1375" s="489">
        <v>230.09</v>
      </c>
      <c r="H1375" s="489">
        <v>28.24982</v>
      </c>
      <c r="I1375" s="487" t="s">
        <v>1499</v>
      </c>
      <c r="J1375" s="487" t="s">
        <v>674</v>
      </c>
    </row>
    <row r="1376" spans="1:10" ht="15" x14ac:dyDescent="0.2">
      <c r="A1376" s="486" t="s">
        <v>673</v>
      </c>
      <c r="B1376" s="487" t="s">
        <v>672</v>
      </c>
      <c r="C1376" s="488" t="s">
        <v>5579</v>
      </c>
      <c r="D1376" s="489" t="s">
        <v>5580</v>
      </c>
      <c r="E1376" s="487" t="s">
        <v>2627</v>
      </c>
      <c r="F1376" s="490">
        <v>35260.550000000003</v>
      </c>
      <c r="G1376" s="489">
        <v>605.29</v>
      </c>
      <c r="H1376" s="489">
        <v>58.253979999999999</v>
      </c>
      <c r="I1376" s="487" t="s">
        <v>1499</v>
      </c>
      <c r="J1376" s="487" t="s">
        <v>674</v>
      </c>
    </row>
    <row r="1377" spans="1:10" ht="15" x14ac:dyDescent="0.2">
      <c r="A1377" s="486" t="s">
        <v>673</v>
      </c>
      <c r="B1377" s="487" t="s">
        <v>672</v>
      </c>
      <c r="C1377" s="488" t="s">
        <v>5581</v>
      </c>
      <c r="D1377" s="489" t="s">
        <v>5582</v>
      </c>
      <c r="E1377" s="487" t="s">
        <v>5583</v>
      </c>
      <c r="F1377" s="490">
        <v>22000</v>
      </c>
      <c r="G1377" s="489">
        <v>267.32</v>
      </c>
      <c r="H1377" s="489">
        <v>82.298370000000006</v>
      </c>
      <c r="I1377" s="487" t="s">
        <v>1499</v>
      </c>
      <c r="J1377" s="487" t="s">
        <v>674</v>
      </c>
    </row>
    <row r="1378" spans="1:10" ht="15" x14ac:dyDescent="0.2">
      <c r="A1378" s="486" t="s">
        <v>673</v>
      </c>
      <c r="B1378" s="487" t="s">
        <v>672</v>
      </c>
      <c r="C1378" s="488" t="s">
        <v>5584</v>
      </c>
      <c r="D1378" s="489" t="s">
        <v>5585</v>
      </c>
      <c r="E1378" s="487" t="s">
        <v>5586</v>
      </c>
      <c r="F1378" s="490">
        <v>31000</v>
      </c>
      <c r="G1378" s="489">
        <v>563.99</v>
      </c>
      <c r="H1378" s="489">
        <v>54.965510000000002</v>
      </c>
      <c r="I1378" s="487" t="s">
        <v>1499</v>
      </c>
      <c r="J1378" s="487" t="s">
        <v>674</v>
      </c>
    </row>
    <row r="1379" spans="1:10" ht="15" x14ac:dyDescent="0.2">
      <c r="A1379" s="486" t="s">
        <v>673</v>
      </c>
      <c r="B1379" s="487" t="s">
        <v>672</v>
      </c>
      <c r="C1379" s="488" t="s">
        <v>5587</v>
      </c>
      <c r="D1379" s="489" t="s">
        <v>5588</v>
      </c>
      <c r="E1379" s="487" t="s">
        <v>5589</v>
      </c>
      <c r="F1379" s="490">
        <v>2400</v>
      </c>
      <c r="G1379" s="489">
        <v>96.67</v>
      </c>
      <c r="H1379" s="489">
        <v>24.826730000000001</v>
      </c>
      <c r="I1379" s="487" t="s">
        <v>1499</v>
      </c>
      <c r="J1379" s="487" t="s">
        <v>674</v>
      </c>
    </row>
    <row r="1380" spans="1:10" ht="15" x14ac:dyDescent="0.2">
      <c r="A1380" s="486" t="s">
        <v>673</v>
      </c>
      <c r="B1380" s="487" t="s">
        <v>672</v>
      </c>
      <c r="C1380" s="488" t="s">
        <v>5590</v>
      </c>
      <c r="D1380" s="489" t="s">
        <v>5591</v>
      </c>
      <c r="E1380" s="487" t="s">
        <v>5592</v>
      </c>
      <c r="F1380" s="490">
        <v>3400</v>
      </c>
      <c r="G1380" s="489">
        <v>95.49</v>
      </c>
      <c r="H1380" s="489">
        <v>35.605820000000001</v>
      </c>
      <c r="I1380" s="487" t="s">
        <v>1499</v>
      </c>
      <c r="J1380" s="487" t="s">
        <v>674</v>
      </c>
    </row>
    <row r="1381" spans="1:10" ht="15" x14ac:dyDescent="0.2">
      <c r="A1381" s="486" t="s">
        <v>673</v>
      </c>
      <c r="B1381" s="487" t="s">
        <v>672</v>
      </c>
      <c r="C1381" s="488" t="s">
        <v>5593</v>
      </c>
      <c r="D1381" s="489" t="s">
        <v>5594</v>
      </c>
      <c r="E1381" s="487" t="s">
        <v>5595</v>
      </c>
      <c r="F1381" s="490">
        <v>20000</v>
      </c>
      <c r="G1381" s="489">
        <v>382.04</v>
      </c>
      <c r="H1381" s="489">
        <v>52.350540000000002</v>
      </c>
      <c r="I1381" s="487" t="s">
        <v>1499</v>
      </c>
      <c r="J1381" s="487" t="s">
        <v>674</v>
      </c>
    </row>
    <row r="1382" spans="1:10" ht="15" x14ac:dyDescent="0.2">
      <c r="A1382" s="486" t="s">
        <v>673</v>
      </c>
      <c r="B1382" s="487" t="s">
        <v>672</v>
      </c>
      <c r="C1382" s="488" t="s">
        <v>5596</v>
      </c>
      <c r="D1382" s="489" t="s">
        <v>5597</v>
      </c>
      <c r="E1382" s="487" t="s">
        <v>1511</v>
      </c>
      <c r="F1382" s="490">
        <v>2000</v>
      </c>
      <c r="G1382" s="489">
        <v>62.65</v>
      </c>
      <c r="H1382" s="489">
        <v>31.923380000000002</v>
      </c>
      <c r="I1382" s="487" t="s">
        <v>1499</v>
      </c>
      <c r="J1382" s="487" t="s">
        <v>674</v>
      </c>
    </row>
    <row r="1383" spans="1:10" ht="15" x14ac:dyDescent="0.2">
      <c r="A1383" s="486" t="s">
        <v>673</v>
      </c>
      <c r="B1383" s="487" t="s">
        <v>672</v>
      </c>
      <c r="C1383" s="488" t="s">
        <v>5598</v>
      </c>
      <c r="D1383" s="489" t="s">
        <v>5599</v>
      </c>
      <c r="E1383" s="487" t="s">
        <v>5600</v>
      </c>
      <c r="F1383" s="490">
        <v>4000</v>
      </c>
      <c r="G1383" s="489">
        <v>63.44</v>
      </c>
      <c r="H1383" s="489">
        <v>63.051699999999997</v>
      </c>
      <c r="I1383" s="487" t="s">
        <v>1499</v>
      </c>
      <c r="J1383" s="487" t="s">
        <v>674</v>
      </c>
    </row>
    <row r="1384" spans="1:10" ht="15" x14ac:dyDescent="0.2">
      <c r="A1384" s="486" t="s">
        <v>673</v>
      </c>
      <c r="B1384" s="487" t="s">
        <v>672</v>
      </c>
      <c r="C1384" s="488" t="s">
        <v>5601</v>
      </c>
      <c r="D1384" s="489" t="s">
        <v>5602</v>
      </c>
      <c r="E1384" s="487" t="s">
        <v>5603</v>
      </c>
      <c r="F1384" s="490">
        <v>9465</v>
      </c>
      <c r="G1384" s="489">
        <v>141.84</v>
      </c>
      <c r="H1384" s="489">
        <v>66.730119999999999</v>
      </c>
      <c r="I1384" s="487" t="s">
        <v>1499</v>
      </c>
      <c r="J1384" s="487" t="s">
        <v>674</v>
      </c>
    </row>
    <row r="1385" spans="1:10" ht="15" x14ac:dyDescent="0.2">
      <c r="A1385" s="486" t="s">
        <v>673</v>
      </c>
      <c r="B1385" s="487" t="s">
        <v>672</v>
      </c>
      <c r="C1385" s="488" t="s">
        <v>5604</v>
      </c>
      <c r="D1385" s="489" t="s">
        <v>5605</v>
      </c>
      <c r="E1385" s="487" t="s">
        <v>5606</v>
      </c>
      <c r="F1385" s="490">
        <v>85000</v>
      </c>
      <c r="G1385" s="489">
        <v>2097.0700000000002</v>
      </c>
      <c r="H1385" s="489">
        <v>40.532739999999997</v>
      </c>
      <c r="I1385" s="487" t="s">
        <v>1499</v>
      </c>
      <c r="J1385" s="487" t="s">
        <v>674</v>
      </c>
    </row>
    <row r="1386" spans="1:10" ht="15" x14ac:dyDescent="0.2">
      <c r="A1386" s="486" t="s">
        <v>673</v>
      </c>
      <c r="B1386" s="487" t="s">
        <v>672</v>
      </c>
      <c r="C1386" s="488" t="s">
        <v>5607</v>
      </c>
      <c r="D1386" s="489" t="s">
        <v>5608</v>
      </c>
      <c r="E1386" s="487" t="s">
        <v>5609</v>
      </c>
      <c r="F1386" s="490">
        <v>365386</v>
      </c>
      <c r="G1386" s="489">
        <v>3659.82</v>
      </c>
      <c r="H1386" s="489">
        <v>99.837149999999994</v>
      </c>
      <c r="I1386" s="487" t="s">
        <v>1499</v>
      </c>
      <c r="J1386" s="487" t="s">
        <v>674</v>
      </c>
    </row>
    <row r="1387" spans="1:10" ht="15" x14ac:dyDescent="0.2">
      <c r="A1387" s="486" t="s">
        <v>673</v>
      </c>
      <c r="B1387" s="487" t="s">
        <v>672</v>
      </c>
      <c r="C1387" s="488" t="s">
        <v>5610</v>
      </c>
      <c r="D1387" s="489" t="s">
        <v>5611</v>
      </c>
      <c r="E1387" s="487" t="s">
        <v>5612</v>
      </c>
      <c r="F1387" s="490">
        <v>31000</v>
      </c>
      <c r="G1387" s="489">
        <v>372.36</v>
      </c>
      <c r="H1387" s="489">
        <v>83.252769999999998</v>
      </c>
      <c r="I1387" s="487" t="s">
        <v>1499</v>
      </c>
      <c r="J1387" s="487" t="s">
        <v>674</v>
      </c>
    </row>
    <row r="1388" spans="1:10" ht="15" x14ac:dyDescent="0.2">
      <c r="A1388" s="486" t="s">
        <v>673</v>
      </c>
      <c r="B1388" s="487" t="s">
        <v>672</v>
      </c>
      <c r="C1388" s="488" t="s">
        <v>5613</v>
      </c>
      <c r="D1388" s="489" t="s">
        <v>5614</v>
      </c>
      <c r="E1388" s="487" t="s">
        <v>5615</v>
      </c>
      <c r="F1388" s="490">
        <v>14557.44</v>
      </c>
      <c r="G1388" s="489">
        <v>559.29</v>
      </c>
      <c r="H1388" s="489">
        <v>26.02843</v>
      </c>
      <c r="I1388" s="487" t="s">
        <v>1499</v>
      </c>
      <c r="J1388" s="487" t="s">
        <v>674</v>
      </c>
    </row>
    <row r="1389" spans="1:10" ht="15" x14ac:dyDescent="0.2">
      <c r="A1389" s="486" t="s">
        <v>673</v>
      </c>
      <c r="B1389" s="487" t="s">
        <v>672</v>
      </c>
      <c r="C1389" s="488" t="s">
        <v>5616</v>
      </c>
      <c r="D1389" s="489" t="s">
        <v>5617</v>
      </c>
      <c r="E1389" s="487" t="s">
        <v>5618</v>
      </c>
      <c r="F1389" s="490">
        <v>11553</v>
      </c>
      <c r="G1389" s="489">
        <v>147.22999999999999</v>
      </c>
      <c r="H1389" s="489">
        <v>78.469059999999999</v>
      </c>
      <c r="I1389" s="487" t="s">
        <v>1499</v>
      </c>
      <c r="J1389" s="487" t="s">
        <v>674</v>
      </c>
    </row>
    <row r="1390" spans="1:10" ht="15" x14ac:dyDescent="0.2">
      <c r="A1390" s="486" t="s">
        <v>673</v>
      </c>
      <c r="B1390" s="487" t="s">
        <v>672</v>
      </c>
      <c r="C1390" s="488" t="s">
        <v>5619</v>
      </c>
      <c r="D1390" s="489" t="s">
        <v>5620</v>
      </c>
      <c r="E1390" s="487" t="s">
        <v>5621</v>
      </c>
      <c r="F1390" s="490">
        <v>94458</v>
      </c>
      <c r="G1390" s="489">
        <v>1252.2</v>
      </c>
      <c r="H1390" s="489">
        <v>75.433639999999997</v>
      </c>
      <c r="I1390" s="487" t="s">
        <v>1499</v>
      </c>
      <c r="J1390" s="487" t="s">
        <v>674</v>
      </c>
    </row>
    <row r="1391" spans="1:10" ht="15" x14ac:dyDescent="0.2">
      <c r="A1391" s="486" t="s">
        <v>673</v>
      </c>
      <c r="B1391" s="487" t="s">
        <v>672</v>
      </c>
      <c r="C1391" s="488" t="s">
        <v>5622</v>
      </c>
      <c r="D1391" s="489" t="s">
        <v>5623</v>
      </c>
      <c r="E1391" s="487" t="s">
        <v>5624</v>
      </c>
      <c r="F1391" s="490">
        <v>21400</v>
      </c>
      <c r="G1391" s="489">
        <v>557.15</v>
      </c>
      <c r="H1391" s="489">
        <v>38.409759999999999</v>
      </c>
      <c r="I1391" s="487" t="s">
        <v>1499</v>
      </c>
      <c r="J1391" s="487" t="s">
        <v>674</v>
      </c>
    </row>
    <row r="1392" spans="1:10" ht="15" x14ac:dyDescent="0.2">
      <c r="A1392" s="486" t="s">
        <v>673</v>
      </c>
      <c r="B1392" s="487" t="s">
        <v>672</v>
      </c>
      <c r="C1392" s="488" t="s">
        <v>5625</v>
      </c>
      <c r="D1392" s="489" t="s">
        <v>5626</v>
      </c>
      <c r="E1392" s="487" t="s">
        <v>5627</v>
      </c>
      <c r="F1392" s="490">
        <v>45350</v>
      </c>
      <c r="G1392" s="489">
        <v>810.29</v>
      </c>
      <c r="H1392" s="489">
        <v>55.967619999999997</v>
      </c>
      <c r="I1392" s="487" t="s">
        <v>1499</v>
      </c>
      <c r="J1392" s="487" t="s">
        <v>674</v>
      </c>
    </row>
    <row r="1393" spans="1:10" ht="15" x14ac:dyDescent="0.2">
      <c r="A1393" s="486" t="s">
        <v>673</v>
      </c>
      <c r="B1393" s="487" t="s">
        <v>672</v>
      </c>
      <c r="C1393" s="488" t="s">
        <v>5628</v>
      </c>
      <c r="D1393" s="489" t="s">
        <v>5629</v>
      </c>
      <c r="E1393" s="487" t="s">
        <v>5630</v>
      </c>
      <c r="F1393" s="490">
        <v>49000</v>
      </c>
      <c r="G1393" s="489">
        <v>626.86</v>
      </c>
      <c r="H1393" s="489">
        <v>78.167370000000005</v>
      </c>
      <c r="I1393" s="487" t="s">
        <v>1499</v>
      </c>
      <c r="J1393" s="487" t="s">
        <v>674</v>
      </c>
    </row>
    <row r="1394" spans="1:10" ht="15" x14ac:dyDescent="0.2">
      <c r="A1394" s="486" t="s">
        <v>673</v>
      </c>
      <c r="B1394" s="487" t="s">
        <v>672</v>
      </c>
      <c r="C1394" s="488" t="s">
        <v>5631</v>
      </c>
      <c r="D1394" s="489" t="s">
        <v>5632</v>
      </c>
      <c r="E1394" s="487" t="s">
        <v>5633</v>
      </c>
      <c r="F1394" s="490">
        <v>3600</v>
      </c>
      <c r="G1394" s="489">
        <v>210.66</v>
      </c>
      <c r="H1394" s="489">
        <v>17.08915</v>
      </c>
      <c r="I1394" s="487" t="s">
        <v>1499</v>
      </c>
      <c r="J1394" s="487" t="s">
        <v>674</v>
      </c>
    </row>
    <row r="1395" spans="1:10" ht="15" x14ac:dyDescent="0.2">
      <c r="A1395" s="486" t="s">
        <v>673</v>
      </c>
      <c r="B1395" s="487" t="s">
        <v>672</v>
      </c>
      <c r="C1395" s="488" t="s">
        <v>5634</v>
      </c>
      <c r="D1395" s="489" t="s">
        <v>5635</v>
      </c>
      <c r="E1395" s="487" t="s">
        <v>5636</v>
      </c>
      <c r="F1395" s="490">
        <v>2700</v>
      </c>
      <c r="G1395" s="489">
        <v>61.76</v>
      </c>
      <c r="H1395" s="489">
        <v>43.717619999999997</v>
      </c>
      <c r="I1395" s="487" t="s">
        <v>1499</v>
      </c>
      <c r="J1395" s="487" t="s">
        <v>674</v>
      </c>
    </row>
    <row r="1396" spans="1:10" ht="15" x14ac:dyDescent="0.2">
      <c r="A1396" s="486" t="s">
        <v>673</v>
      </c>
      <c r="B1396" s="487" t="s">
        <v>672</v>
      </c>
      <c r="C1396" s="488" t="s">
        <v>5637</v>
      </c>
      <c r="D1396" s="489" t="s">
        <v>5638</v>
      </c>
      <c r="E1396" s="487" t="s">
        <v>5639</v>
      </c>
      <c r="F1396" s="490">
        <v>194195.83</v>
      </c>
      <c r="G1396" s="489">
        <v>2360.5100000000002</v>
      </c>
      <c r="H1396" s="489">
        <v>82.268590000000003</v>
      </c>
      <c r="I1396" s="487" t="s">
        <v>1499</v>
      </c>
      <c r="J1396" s="487" t="s">
        <v>674</v>
      </c>
    </row>
    <row r="1397" spans="1:10" ht="15" x14ac:dyDescent="0.2">
      <c r="A1397" s="486" t="s">
        <v>673</v>
      </c>
      <c r="B1397" s="487" t="s">
        <v>672</v>
      </c>
      <c r="C1397" s="488" t="s">
        <v>5640</v>
      </c>
      <c r="D1397" s="489" t="s">
        <v>5641</v>
      </c>
      <c r="E1397" s="487" t="s">
        <v>5642</v>
      </c>
      <c r="F1397" s="490">
        <v>10995.6</v>
      </c>
      <c r="G1397" s="489">
        <v>238.65</v>
      </c>
      <c r="H1397" s="489">
        <v>46.074170000000002</v>
      </c>
      <c r="I1397" s="487" t="s">
        <v>1499</v>
      </c>
      <c r="J1397" s="487" t="s">
        <v>674</v>
      </c>
    </row>
    <row r="1398" spans="1:10" ht="15" x14ac:dyDescent="0.2">
      <c r="A1398" s="486" t="s">
        <v>673</v>
      </c>
      <c r="B1398" s="487" t="s">
        <v>672</v>
      </c>
      <c r="C1398" s="488" t="s">
        <v>5643</v>
      </c>
      <c r="D1398" s="489" t="s">
        <v>5644</v>
      </c>
      <c r="E1398" s="487" t="s">
        <v>5645</v>
      </c>
      <c r="F1398" s="490">
        <v>7580</v>
      </c>
      <c r="G1398" s="489">
        <v>187.17</v>
      </c>
      <c r="H1398" s="489">
        <v>40.49794</v>
      </c>
      <c r="I1398" s="487" t="s">
        <v>1499</v>
      </c>
      <c r="J1398" s="487" t="s">
        <v>674</v>
      </c>
    </row>
    <row r="1399" spans="1:10" ht="15" x14ac:dyDescent="0.2">
      <c r="A1399" s="486" t="s">
        <v>673</v>
      </c>
      <c r="B1399" s="487" t="s">
        <v>672</v>
      </c>
      <c r="C1399" s="488" t="s">
        <v>5646</v>
      </c>
      <c r="D1399" s="489" t="s">
        <v>5647</v>
      </c>
      <c r="E1399" s="487" t="s">
        <v>5648</v>
      </c>
      <c r="F1399" s="490">
        <v>9000</v>
      </c>
      <c r="G1399" s="489">
        <v>159.63999999999999</v>
      </c>
      <c r="H1399" s="489">
        <v>56.376849999999997</v>
      </c>
      <c r="I1399" s="487" t="s">
        <v>1499</v>
      </c>
      <c r="J1399" s="487" t="s">
        <v>674</v>
      </c>
    </row>
    <row r="1400" spans="1:10" ht="15" x14ac:dyDescent="0.2">
      <c r="A1400" s="486" t="s">
        <v>673</v>
      </c>
      <c r="B1400" s="487" t="s">
        <v>672</v>
      </c>
      <c r="C1400" s="488" t="s">
        <v>5649</v>
      </c>
      <c r="D1400" s="489" t="s">
        <v>5650</v>
      </c>
      <c r="E1400" s="487" t="s">
        <v>5651</v>
      </c>
      <c r="F1400" s="490">
        <v>11042.63</v>
      </c>
      <c r="G1400" s="489">
        <v>240.71</v>
      </c>
      <c r="H1400" s="489">
        <v>45.875239999999998</v>
      </c>
      <c r="I1400" s="487" t="s">
        <v>1499</v>
      </c>
      <c r="J1400" s="487" t="s">
        <v>674</v>
      </c>
    </row>
    <row r="1401" spans="1:10" ht="15" x14ac:dyDescent="0.2">
      <c r="A1401" s="486" t="s">
        <v>673</v>
      </c>
      <c r="B1401" s="487" t="s">
        <v>672</v>
      </c>
      <c r="C1401" s="488" t="s">
        <v>5652</v>
      </c>
      <c r="D1401" s="489" t="s">
        <v>5653</v>
      </c>
      <c r="E1401" s="487" t="s">
        <v>5654</v>
      </c>
      <c r="F1401" s="490">
        <v>9250</v>
      </c>
      <c r="G1401" s="489">
        <v>123.2</v>
      </c>
      <c r="H1401" s="489">
        <v>75.08117</v>
      </c>
      <c r="I1401" s="487" t="s">
        <v>1499</v>
      </c>
      <c r="J1401" s="487" t="s">
        <v>674</v>
      </c>
    </row>
    <row r="1402" spans="1:10" ht="15" x14ac:dyDescent="0.2">
      <c r="A1402" s="486" t="s">
        <v>673</v>
      </c>
      <c r="B1402" s="487" t="s">
        <v>672</v>
      </c>
      <c r="C1402" s="488" t="s">
        <v>5655</v>
      </c>
      <c r="D1402" s="489" t="s">
        <v>5656</v>
      </c>
      <c r="E1402" s="487" t="s">
        <v>5657</v>
      </c>
      <c r="F1402" s="490">
        <v>30960</v>
      </c>
      <c r="G1402" s="489">
        <v>551.84</v>
      </c>
      <c r="H1402" s="489">
        <v>56.10322</v>
      </c>
      <c r="I1402" s="487" t="s">
        <v>1499</v>
      </c>
      <c r="J1402" s="487" t="s">
        <v>674</v>
      </c>
    </row>
    <row r="1403" spans="1:10" ht="15" x14ac:dyDescent="0.2">
      <c r="A1403" s="486" t="s">
        <v>673</v>
      </c>
      <c r="B1403" s="487" t="s">
        <v>672</v>
      </c>
      <c r="C1403" s="488" t="s">
        <v>5658</v>
      </c>
      <c r="D1403" s="489" t="s">
        <v>5659</v>
      </c>
      <c r="E1403" s="487" t="s">
        <v>5660</v>
      </c>
      <c r="F1403" s="490">
        <v>13000</v>
      </c>
      <c r="G1403" s="489">
        <v>314.95999999999998</v>
      </c>
      <c r="H1403" s="489">
        <v>41.275080000000003</v>
      </c>
      <c r="I1403" s="487" t="s">
        <v>1499</v>
      </c>
      <c r="J1403" s="487" t="s">
        <v>674</v>
      </c>
    </row>
    <row r="1404" spans="1:10" ht="15" x14ac:dyDescent="0.2">
      <c r="A1404" s="486" t="s">
        <v>673</v>
      </c>
      <c r="B1404" s="487" t="s">
        <v>672</v>
      </c>
      <c r="C1404" s="488" t="s">
        <v>5661</v>
      </c>
      <c r="D1404" s="489" t="s">
        <v>5662</v>
      </c>
      <c r="E1404" s="487" t="s">
        <v>5663</v>
      </c>
      <c r="F1404" s="490">
        <v>20900</v>
      </c>
      <c r="G1404" s="489">
        <v>235.43</v>
      </c>
      <c r="H1404" s="489">
        <v>88.77373</v>
      </c>
      <c r="I1404" s="487" t="s">
        <v>1499</v>
      </c>
      <c r="J1404" s="487" t="s">
        <v>674</v>
      </c>
    </row>
    <row r="1405" spans="1:10" ht="15" x14ac:dyDescent="0.2">
      <c r="A1405" s="486" t="s">
        <v>673</v>
      </c>
      <c r="B1405" s="487" t="s">
        <v>672</v>
      </c>
      <c r="C1405" s="488" t="s">
        <v>5664</v>
      </c>
      <c r="D1405" s="489" t="s">
        <v>5665</v>
      </c>
      <c r="E1405" s="487" t="s">
        <v>5666</v>
      </c>
      <c r="F1405" s="490">
        <v>4500</v>
      </c>
      <c r="G1405" s="489">
        <v>179.61</v>
      </c>
      <c r="H1405" s="489">
        <v>25.054279999999999</v>
      </c>
      <c r="I1405" s="487" t="s">
        <v>1499</v>
      </c>
      <c r="J1405" s="487" t="s">
        <v>674</v>
      </c>
    </row>
    <row r="1406" spans="1:10" ht="15" x14ac:dyDescent="0.2">
      <c r="A1406" s="486" t="s">
        <v>673</v>
      </c>
      <c r="B1406" s="487" t="s">
        <v>672</v>
      </c>
      <c r="C1406" s="488" t="s">
        <v>5667</v>
      </c>
      <c r="D1406" s="489" t="s">
        <v>5668</v>
      </c>
      <c r="E1406" s="487" t="s">
        <v>5669</v>
      </c>
      <c r="F1406" s="490">
        <v>20500</v>
      </c>
      <c r="G1406" s="489">
        <v>949.34</v>
      </c>
      <c r="H1406" s="489">
        <v>21.59395</v>
      </c>
      <c r="I1406" s="487" t="s">
        <v>1499</v>
      </c>
      <c r="J1406" s="487" t="s">
        <v>674</v>
      </c>
    </row>
    <row r="1407" spans="1:10" ht="15" x14ac:dyDescent="0.2">
      <c r="A1407" s="486" t="s">
        <v>673</v>
      </c>
      <c r="B1407" s="487" t="s">
        <v>672</v>
      </c>
      <c r="C1407" s="488" t="s">
        <v>5670</v>
      </c>
      <c r="D1407" s="489" t="s">
        <v>5671</v>
      </c>
      <c r="E1407" s="487" t="s">
        <v>5672</v>
      </c>
      <c r="F1407" s="490">
        <v>6200</v>
      </c>
      <c r="G1407" s="489">
        <v>84.79</v>
      </c>
      <c r="H1407" s="489">
        <v>73.121830000000003</v>
      </c>
      <c r="I1407" s="487" t="s">
        <v>1499</v>
      </c>
      <c r="J1407" s="487" t="s">
        <v>674</v>
      </c>
    </row>
    <row r="1408" spans="1:10" ht="15" x14ac:dyDescent="0.2">
      <c r="A1408" s="486" t="s">
        <v>673</v>
      </c>
      <c r="B1408" s="487" t="s">
        <v>672</v>
      </c>
      <c r="C1408" s="488" t="s">
        <v>5673</v>
      </c>
      <c r="D1408" s="489" t="s">
        <v>5674</v>
      </c>
      <c r="E1408" s="487" t="s">
        <v>5675</v>
      </c>
      <c r="F1408" s="490">
        <v>7800</v>
      </c>
      <c r="G1408" s="489">
        <v>135.68</v>
      </c>
      <c r="H1408" s="489">
        <v>57.488210000000002</v>
      </c>
      <c r="I1408" s="487" t="s">
        <v>1499</v>
      </c>
      <c r="J1408" s="487" t="s">
        <v>674</v>
      </c>
    </row>
    <row r="1409" spans="1:10" ht="15" x14ac:dyDescent="0.2">
      <c r="A1409" s="486" t="s">
        <v>673</v>
      </c>
      <c r="B1409" s="487" t="s">
        <v>672</v>
      </c>
      <c r="C1409" s="488" t="s">
        <v>5676</v>
      </c>
      <c r="D1409" s="489" t="s">
        <v>5677</v>
      </c>
      <c r="E1409" s="487" t="s">
        <v>5678</v>
      </c>
      <c r="F1409" s="490">
        <v>13412.19</v>
      </c>
      <c r="G1409" s="489">
        <v>268.33999999999997</v>
      </c>
      <c r="H1409" s="489">
        <v>49.98207</v>
      </c>
      <c r="I1409" s="487" t="s">
        <v>1499</v>
      </c>
      <c r="J1409" s="487" t="s">
        <v>674</v>
      </c>
    </row>
    <row r="1410" spans="1:10" ht="15" x14ac:dyDescent="0.2">
      <c r="A1410" s="486" t="s">
        <v>673</v>
      </c>
      <c r="B1410" s="487" t="s">
        <v>672</v>
      </c>
      <c r="C1410" s="488" t="s">
        <v>5679</v>
      </c>
      <c r="D1410" s="489" t="s">
        <v>5680</v>
      </c>
      <c r="E1410" s="487" t="s">
        <v>5681</v>
      </c>
      <c r="F1410" s="490">
        <v>8500</v>
      </c>
      <c r="G1410" s="489">
        <v>130.01</v>
      </c>
      <c r="H1410" s="489">
        <v>65.379589999999993</v>
      </c>
      <c r="I1410" s="487" t="s">
        <v>1499</v>
      </c>
      <c r="J1410" s="487" t="s">
        <v>674</v>
      </c>
    </row>
    <row r="1411" spans="1:10" ht="15" x14ac:dyDescent="0.2">
      <c r="A1411" s="486" t="s">
        <v>673</v>
      </c>
      <c r="B1411" s="487" t="s">
        <v>672</v>
      </c>
      <c r="C1411" s="488" t="s">
        <v>5682</v>
      </c>
      <c r="D1411" s="489" t="s">
        <v>5683</v>
      </c>
      <c r="E1411" s="487" t="s">
        <v>5684</v>
      </c>
      <c r="F1411" s="490">
        <v>7500</v>
      </c>
      <c r="G1411" s="489">
        <v>139.59</v>
      </c>
      <c r="H1411" s="489">
        <v>53.72878</v>
      </c>
      <c r="I1411" s="487" t="s">
        <v>1499</v>
      </c>
      <c r="J1411" s="487" t="s">
        <v>674</v>
      </c>
    </row>
    <row r="1412" spans="1:10" ht="15" x14ac:dyDescent="0.2">
      <c r="A1412" s="486" t="s">
        <v>673</v>
      </c>
      <c r="B1412" s="487" t="s">
        <v>672</v>
      </c>
      <c r="C1412" s="488" t="s">
        <v>5685</v>
      </c>
      <c r="D1412" s="489" t="s">
        <v>5686</v>
      </c>
      <c r="E1412" s="487" t="s">
        <v>5687</v>
      </c>
      <c r="F1412" s="490">
        <v>6600</v>
      </c>
      <c r="G1412" s="489">
        <v>156.97</v>
      </c>
      <c r="H1412" s="489">
        <v>42.046250000000001</v>
      </c>
      <c r="I1412" s="487" t="s">
        <v>1499</v>
      </c>
      <c r="J1412" s="487" t="s">
        <v>674</v>
      </c>
    </row>
    <row r="1413" spans="1:10" ht="15" x14ac:dyDescent="0.2">
      <c r="A1413" s="486" t="s">
        <v>673</v>
      </c>
      <c r="B1413" s="487" t="s">
        <v>672</v>
      </c>
      <c r="C1413" s="488" t="s">
        <v>5688</v>
      </c>
      <c r="D1413" s="489" t="s">
        <v>5689</v>
      </c>
      <c r="E1413" s="487" t="s">
        <v>5690</v>
      </c>
      <c r="F1413" s="490">
        <v>6000</v>
      </c>
      <c r="G1413" s="489">
        <v>233.44</v>
      </c>
      <c r="H1413" s="489">
        <v>25.702539999999999</v>
      </c>
      <c r="I1413" s="487" t="s">
        <v>1499</v>
      </c>
      <c r="J1413" s="487" t="s">
        <v>674</v>
      </c>
    </row>
    <row r="1414" spans="1:10" ht="15" x14ac:dyDescent="0.2">
      <c r="A1414" s="486" t="s">
        <v>673</v>
      </c>
      <c r="B1414" s="487" t="s">
        <v>672</v>
      </c>
      <c r="C1414" s="488" t="s">
        <v>5691</v>
      </c>
      <c r="D1414" s="489" t="s">
        <v>5692</v>
      </c>
      <c r="E1414" s="487" t="s">
        <v>5693</v>
      </c>
      <c r="F1414" s="490">
        <v>13682</v>
      </c>
      <c r="G1414" s="489">
        <v>347.05</v>
      </c>
      <c r="H1414" s="489">
        <v>39.42371</v>
      </c>
      <c r="I1414" s="487" t="s">
        <v>1499</v>
      </c>
      <c r="J1414" s="487" t="s">
        <v>674</v>
      </c>
    </row>
    <row r="1415" spans="1:10" ht="15" x14ac:dyDescent="0.2">
      <c r="A1415" s="486" t="s">
        <v>673</v>
      </c>
      <c r="B1415" s="487" t="s">
        <v>672</v>
      </c>
      <c r="C1415" s="488" t="s">
        <v>5694</v>
      </c>
      <c r="D1415" s="489" t="s">
        <v>5695</v>
      </c>
      <c r="E1415" s="487" t="s">
        <v>5696</v>
      </c>
      <c r="F1415" s="490">
        <v>4000</v>
      </c>
      <c r="G1415" s="489">
        <v>146.13</v>
      </c>
      <c r="H1415" s="489">
        <v>27.372890000000002</v>
      </c>
      <c r="I1415" s="487" t="s">
        <v>1499</v>
      </c>
      <c r="J1415" s="487" t="s">
        <v>674</v>
      </c>
    </row>
    <row r="1416" spans="1:10" ht="15" x14ac:dyDescent="0.2">
      <c r="A1416" s="486" t="s">
        <v>673</v>
      </c>
      <c r="B1416" s="487" t="s">
        <v>672</v>
      </c>
      <c r="C1416" s="488" t="s">
        <v>5697</v>
      </c>
      <c r="D1416" s="489" t="s">
        <v>5698</v>
      </c>
      <c r="E1416" s="487" t="s">
        <v>5699</v>
      </c>
      <c r="F1416" s="490">
        <v>401904</v>
      </c>
      <c r="G1416" s="489">
        <v>2372.73</v>
      </c>
      <c r="H1416" s="489">
        <v>169.38462999999999</v>
      </c>
      <c r="I1416" s="487" t="s">
        <v>1499</v>
      </c>
      <c r="J1416" s="487" t="s">
        <v>674</v>
      </c>
    </row>
    <row r="1417" spans="1:10" ht="15" x14ac:dyDescent="0.2">
      <c r="A1417" s="486" t="s">
        <v>673</v>
      </c>
      <c r="B1417" s="487" t="s">
        <v>672</v>
      </c>
      <c r="C1417" s="488" t="s">
        <v>5700</v>
      </c>
      <c r="D1417" s="489" t="s">
        <v>5701</v>
      </c>
      <c r="E1417" s="487" t="s">
        <v>5702</v>
      </c>
      <c r="F1417" s="490">
        <v>13000</v>
      </c>
      <c r="G1417" s="489">
        <v>492.52</v>
      </c>
      <c r="H1417" s="489">
        <v>26.394870000000001</v>
      </c>
      <c r="I1417" s="487" t="s">
        <v>1499</v>
      </c>
      <c r="J1417" s="487" t="s">
        <v>674</v>
      </c>
    </row>
    <row r="1418" spans="1:10" ht="15" x14ac:dyDescent="0.2">
      <c r="A1418" s="486" t="s">
        <v>673</v>
      </c>
      <c r="B1418" s="487" t="s">
        <v>672</v>
      </c>
      <c r="C1418" s="488" t="s">
        <v>5703</v>
      </c>
      <c r="D1418" s="489" t="s">
        <v>5704</v>
      </c>
      <c r="E1418" s="487" t="s">
        <v>5705</v>
      </c>
      <c r="F1418" s="490">
        <v>1200</v>
      </c>
      <c r="G1418" s="489">
        <v>71.33</v>
      </c>
      <c r="H1418" s="489">
        <v>16.823219999999999</v>
      </c>
      <c r="I1418" s="487" t="s">
        <v>1499</v>
      </c>
      <c r="J1418" s="487" t="s">
        <v>674</v>
      </c>
    </row>
    <row r="1419" spans="1:10" ht="15" x14ac:dyDescent="0.2">
      <c r="A1419" s="486" t="s">
        <v>673</v>
      </c>
      <c r="B1419" s="487" t="s">
        <v>672</v>
      </c>
      <c r="C1419" s="488" t="s">
        <v>5706</v>
      </c>
      <c r="D1419" s="489" t="s">
        <v>5707</v>
      </c>
      <c r="E1419" s="487" t="s">
        <v>5708</v>
      </c>
      <c r="F1419" s="490">
        <v>11707</v>
      </c>
      <c r="G1419" s="489">
        <v>164.59</v>
      </c>
      <c r="H1419" s="489">
        <v>71.128259999999997</v>
      </c>
      <c r="I1419" s="487" t="s">
        <v>1499</v>
      </c>
      <c r="J1419" s="487" t="s">
        <v>674</v>
      </c>
    </row>
    <row r="1420" spans="1:10" ht="15" x14ac:dyDescent="0.2">
      <c r="A1420" s="486" t="s">
        <v>673</v>
      </c>
      <c r="B1420" s="487" t="s">
        <v>672</v>
      </c>
      <c r="C1420" s="488" t="s">
        <v>5709</v>
      </c>
      <c r="D1420" s="489" t="s">
        <v>5710</v>
      </c>
      <c r="E1420" s="487" t="s">
        <v>5711</v>
      </c>
      <c r="F1420" s="490">
        <v>11125</v>
      </c>
      <c r="G1420" s="489">
        <v>187.87</v>
      </c>
      <c r="H1420" s="489">
        <v>59.216479999999997</v>
      </c>
      <c r="I1420" s="487" t="s">
        <v>1499</v>
      </c>
      <c r="J1420" s="487" t="s">
        <v>674</v>
      </c>
    </row>
    <row r="1421" spans="1:10" ht="15" x14ac:dyDescent="0.2">
      <c r="A1421" s="486" t="s">
        <v>673</v>
      </c>
      <c r="B1421" s="487" t="s">
        <v>672</v>
      </c>
      <c r="C1421" s="488" t="s">
        <v>5712</v>
      </c>
      <c r="D1421" s="489" t="s">
        <v>5713</v>
      </c>
      <c r="E1421" s="487" t="s">
        <v>5714</v>
      </c>
      <c r="F1421" s="490">
        <v>10000</v>
      </c>
      <c r="G1421" s="489">
        <v>172.92</v>
      </c>
      <c r="H1421" s="489">
        <v>57.830210000000001</v>
      </c>
      <c r="I1421" s="487" t="s">
        <v>1499</v>
      </c>
      <c r="J1421" s="487" t="s">
        <v>674</v>
      </c>
    </row>
    <row r="1422" spans="1:10" ht="15" x14ac:dyDescent="0.2">
      <c r="A1422" s="486" t="s">
        <v>673</v>
      </c>
      <c r="B1422" s="487" t="s">
        <v>672</v>
      </c>
      <c r="C1422" s="488" t="s">
        <v>5715</v>
      </c>
      <c r="D1422" s="489" t="s">
        <v>5716</v>
      </c>
      <c r="E1422" s="487" t="s">
        <v>5717</v>
      </c>
      <c r="F1422" s="490">
        <v>3050</v>
      </c>
      <c r="G1422" s="489">
        <v>148.69999999999999</v>
      </c>
      <c r="H1422" s="489">
        <v>20.511099999999999</v>
      </c>
      <c r="I1422" s="487" t="s">
        <v>1499</v>
      </c>
      <c r="J1422" s="487" t="s">
        <v>674</v>
      </c>
    </row>
    <row r="1423" spans="1:10" ht="15" x14ac:dyDescent="0.2">
      <c r="A1423" s="486" t="s">
        <v>673</v>
      </c>
      <c r="B1423" s="487" t="s">
        <v>672</v>
      </c>
      <c r="C1423" s="488" t="s">
        <v>5718</v>
      </c>
      <c r="D1423" s="489" t="s">
        <v>5719</v>
      </c>
      <c r="E1423" s="487" t="s">
        <v>5720</v>
      </c>
      <c r="F1423" s="490">
        <v>13000</v>
      </c>
      <c r="G1423" s="489">
        <v>346.85</v>
      </c>
      <c r="H1423" s="489">
        <v>37.480179999999997</v>
      </c>
      <c r="I1423" s="487" t="s">
        <v>1499</v>
      </c>
      <c r="J1423" s="487" t="s">
        <v>674</v>
      </c>
    </row>
    <row r="1424" spans="1:10" ht="15" x14ac:dyDescent="0.2">
      <c r="A1424" s="486" t="s">
        <v>673</v>
      </c>
      <c r="B1424" s="487" t="s">
        <v>672</v>
      </c>
      <c r="C1424" s="488" t="s">
        <v>5721</v>
      </c>
      <c r="D1424" s="489" t="s">
        <v>5722</v>
      </c>
      <c r="E1424" s="487" t="s">
        <v>5723</v>
      </c>
      <c r="F1424" s="490">
        <v>12000</v>
      </c>
      <c r="G1424" s="489">
        <v>142.52000000000001</v>
      </c>
      <c r="H1424" s="489">
        <v>84.198710000000005</v>
      </c>
      <c r="I1424" s="487" t="s">
        <v>1499</v>
      </c>
      <c r="J1424" s="487" t="s">
        <v>674</v>
      </c>
    </row>
    <row r="1425" spans="1:10" ht="15" x14ac:dyDescent="0.2">
      <c r="A1425" s="486" t="s">
        <v>673</v>
      </c>
      <c r="B1425" s="487" t="s">
        <v>672</v>
      </c>
      <c r="C1425" s="488" t="s">
        <v>5724</v>
      </c>
      <c r="D1425" s="489" t="s">
        <v>5725</v>
      </c>
      <c r="E1425" s="487" t="s">
        <v>5726</v>
      </c>
      <c r="F1425" s="490">
        <v>8256</v>
      </c>
      <c r="G1425" s="489">
        <v>202.95</v>
      </c>
      <c r="H1425" s="489">
        <v>40.679969999999997</v>
      </c>
      <c r="I1425" s="487" t="s">
        <v>1499</v>
      </c>
      <c r="J1425" s="487" t="s">
        <v>674</v>
      </c>
    </row>
    <row r="1426" spans="1:10" ht="15" x14ac:dyDescent="0.2">
      <c r="A1426" s="486" t="s">
        <v>673</v>
      </c>
      <c r="B1426" s="487" t="s">
        <v>672</v>
      </c>
      <c r="C1426" s="488" t="s">
        <v>5727</v>
      </c>
      <c r="D1426" s="489" t="s">
        <v>5728</v>
      </c>
      <c r="E1426" s="487" t="s">
        <v>5729</v>
      </c>
      <c r="F1426" s="490">
        <v>8240</v>
      </c>
      <c r="G1426" s="489">
        <v>232.02</v>
      </c>
      <c r="H1426" s="489">
        <v>35.514180000000003</v>
      </c>
      <c r="I1426" s="487" t="s">
        <v>1499</v>
      </c>
      <c r="J1426" s="487" t="s">
        <v>674</v>
      </c>
    </row>
    <row r="1427" spans="1:10" ht="15" x14ac:dyDescent="0.2">
      <c r="A1427" s="486" t="s">
        <v>673</v>
      </c>
      <c r="B1427" s="487" t="s">
        <v>672</v>
      </c>
      <c r="C1427" s="488" t="s">
        <v>5730</v>
      </c>
      <c r="D1427" s="489" t="s">
        <v>5731</v>
      </c>
      <c r="E1427" s="487" t="s">
        <v>5732</v>
      </c>
      <c r="F1427" s="490">
        <v>4093</v>
      </c>
      <c r="G1427" s="489">
        <v>155.91999999999999</v>
      </c>
      <c r="H1427" s="489">
        <v>26.250640000000001</v>
      </c>
      <c r="I1427" s="487" t="s">
        <v>1499</v>
      </c>
      <c r="J1427" s="487" t="s">
        <v>674</v>
      </c>
    </row>
    <row r="1428" spans="1:10" ht="15" x14ac:dyDescent="0.2">
      <c r="A1428" s="486" t="s">
        <v>673</v>
      </c>
      <c r="B1428" s="487" t="s">
        <v>672</v>
      </c>
      <c r="C1428" s="488" t="s">
        <v>5733</v>
      </c>
      <c r="D1428" s="489" t="s">
        <v>5734</v>
      </c>
      <c r="E1428" s="487" t="s">
        <v>5735</v>
      </c>
      <c r="F1428" s="490">
        <v>4500</v>
      </c>
      <c r="G1428" s="489">
        <v>277.07</v>
      </c>
      <c r="H1428" s="489">
        <v>16.241379999999999</v>
      </c>
      <c r="I1428" s="487" t="s">
        <v>1499</v>
      </c>
      <c r="J1428" s="487" t="s">
        <v>674</v>
      </c>
    </row>
    <row r="1429" spans="1:10" ht="15" x14ac:dyDescent="0.2">
      <c r="A1429" s="486" t="s">
        <v>673</v>
      </c>
      <c r="B1429" s="487" t="s">
        <v>672</v>
      </c>
      <c r="C1429" s="488" t="s">
        <v>5736</v>
      </c>
      <c r="D1429" s="489" t="s">
        <v>5737</v>
      </c>
      <c r="E1429" s="487" t="s">
        <v>5738</v>
      </c>
      <c r="F1429" s="490">
        <v>393749.44</v>
      </c>
      <c r="G1429" s="489">
        <v>2815.11</v>
      </c>
      <c r="H1429" s="489">
        <v>139.87</v>
      </c>
      <c r="I1429" s="487" t="s">
        <v>1499</v>
      </c>
      <c r="J1429" s="487" t="s">
        <v>674</v>
      </c>
    </row>
    <row r="1430" spans="1:10" ht="15" x14ac:dyDescent="0.2">
      <c r="A1430" s="486" t="s">
        <v>673</v>
      </c>
      <c r="B1430" s="487" t="s">
        <v>672</v>
      </c>
      <c r="C1430" s="488" t="s">
        <v>5739</v>
      </c>
      <c r="D1430" s="489" t="s">
        <v>5740</v>
      </c>
      <c r="E1430" s="487" t="s">
        <v>5741</v>
      </c>
      <c r="F1430" s="490">
        <v>0</v>
      </c>
      <c r="G1430" s="489">
        <v>26.69</v>
      </c>
      <c r="H1430" s="489">
        <v>0</v>
      </c>
      <c r="I1430" s="487" t="s">
        <v>1593</v>
      </c>
      <c r="J1430" s="487" t="s">
        <v>674</v>
      </c>
    </row>
    <row r="1431" spans="1:10" ht="15" x14ac:dyDescent="0.2">
      <c r="A1431" s="486" t="s">
        <v>673</v>
      </c>
      <c r="B1431" s="487" t="s">
        <v>672</v>
      </c>
      <c r="C1431" s="488" t="s">
        <v>5742</v>
      </c>
      <c r="D1431" s="489" t="s">
        <v>5743</v>
      </c>
      <c r="E1431" s="487" t="s">
        <v>5744</v>
      </c>
      <c r="F1431" s="490">
        <v>182150</v>
      </c>
      <c r="G1431" s="489">
        <v>2087.59</v>
      </c>
      <c r="H1431" s="489">
        <v>87.253720000000001</v>
      </c>
      <c r="I1431" s="487" t="s">
        <v>1499</v>
      </c>
      <c r="J1431" s="487" t="s">
        <v>674</v>
      </c>
    </row>
    <row r="1432" spans="1:10" ht="15" x14ac:dyDescent="0.2">
      <c r="A1432" s="486" t="s">
        <v>673</v>
      </c>
      <c r="B1432" s="487" t="s">
        <v>672</v>
      </c>
      <c r="C1432" s="488" t="s">
        <v>5745</v>
      </c>
      <c r="D1432" s="489" t="s">
        <v>5746</v>
      </c>
      <c r="E1432" s="487" t="s">
        <v>5747</v>
      </c>
      <c r="F1432" s="490">
        <v>12000</v>
      </c>
      <c r="G1432" s="489">
        <v>400.99</v>
      </c>
      <c r="H1432" s="489">
        <v>29.925930000000001</v>
      </c>
      <c r="I1432" s="487" t="s">
        <v>1499</v>
      </c>
      <c r="J1432" s="487" t="s">
        <v>674</v>
      </c>
    </row>
    <row r="1433" spans="1:10" ht="15" x14ac:dyDescent="0.2">
      <c r="A1433" s="486" t="s">
        <v>673</v>
      </c>
      <c r="B1433" s="487" t="s">
        <v>672</v>
      </c>
      <c r="C1433" s="488" t="s">
        <v>5748</v>
      </c>
      <c r="D1433" s="489" t="s">
        <v>5749</v>
      </c>
      <c r="E1433" s="487" t="s">
        <v>5750</v>
      </c>
      <c r="F1433" s="490">
        <v>19501.330000000002</v>
      </c>
      <c r="G1433" s="489">
        <v>630.73</v>
      </c>
      <c r="H1433" s="489">
        <v>30.918669999999999</v>
      </c>
      <c r="I1433" s="487" t="s">
        <v>1499</v>
      </c>
      <c r="J1433" s="487" t="s">
        <v>674</v>
      </c>
    </row>
    <row r="1434" spans="1:10" ht="15" x14ac:dyDescent="0.2">
      <c r="A1434" s="486" t="s">
        <v>673</v>
      </c>
      <c r="B1434" s="487" t="s">
        <v>672</v>
      </c>
      <c r="C1434" s="488" t="s">
        <v>5751</v>
      </c>
      <c r="D1434" s="489" t="s">
        <v>5752</v>
      </c>
      <c r="E1434" s="487" t="s">
        <v>5753</v>
      </c>
      <c r="F1434" s="490">
        <v>6605</v>
      </c>
      <c r="G1434" s="489">
        <v>142.24</v>
      </c>
      <c r="H1434" s="489">
        <v>46.435600000000001</v>
      </c>
      <c r="I1434" s="487" t="s">
        <v>1499</v>
      </c>
      <c r="J1434" s="487" t="s">
        <v>674</v>
      </c>
    </row>
    <row r="1435" spans="1:10" ht="15" x14ac:dyDescent="0.2">
      <c r="A1435" s="486" t="s">
        <v>673</v>
      </c>
      <c r="B1435" s="487" t="s">
        <v>672</v>
      </c>
      <c r="C1435" s="488" t="s">
        <v>5754</v>
      </c>
      <c r="D1435" s="489" t="s">
        <v>5755</v>
      </c>
      <c r="E1435" s="487" t="s">
        <v>5756</v>
      </c>
      <c r="F1435" s="490">
        <v>10000</v>
      </c>
      <c r="G1435" s="489">
        <v>109.55</v>
      </c>
      <c r="H1435" s="489">
        <v>91.282520000000005</v>
      </c>
      <c r="I1435" s="487" t="s">
        <v>1499</v>
      </c>
      <c r="J1435" s="487" t="s">
        <v>674</v>
      </c>
    </row>
    <row r="1436" spans="1:10" ht="15" x14ac:dyDescent="0.2">
      <c r="A1436" s="486" t="s">
        <v>673</v>
      </c>
      <c r="B1436" s="487" t="s">
        <v>672</v>
      </c>
      <c r="C1436" s="488" t="s">
        <v>5757</v>
      </c>
      <c r="D1436" s="489" t="s">
        <v>5758</v>
      </c>
      <c r="E1436" s="487" t="s">
        <v>5759</v>
      </c>
      <c r="F1436" s="490">
        <v>6000</v>
      </c>
      <c r="G1436" s="489">
        <v>151.44999999999999</v>
      </c>
      <c r="H1436" s="489">
        <v>39.617040000000003</v>
      </c>
      <c r="I1436" s="487" t="s">
        <v>1499</v>
      </c>
      <c r="J1436" s="487" t="s">
        <v>674</v>
      </c>
    </row>
    <row r="1437" spans="1:10" ht="15" x14ac:dyDescent="0.2">
      <c r="A1437" s="486" t="s">
        <v>673</v>
      </c>
      <c r="B1437" s="487" t="s">
        <v>672</v>
      </c>
      <c r="C1437" s="488" t="s">
        <v>5760</v>
      </c>
      <c r="D1437" s="489" t="s">
        <v>5761</v>
      </c>
      <c r="E1437" s="487" t="s">
        <v>5762</v>
      </c>
      <c r="F1437" s="490">
        <v>9350</v>
      </c>
      <c r="G1437" s="489">
        <v>200.59</v>
      </c>
      <c r="H1437" s="489">
        <v>46.612490000000001</v>
      </c>
      <c r="I1437" s="487" t="s">
        <v>1499</v>
      </c>
      <c r="J1437" s="487" t="s">
        <v>674</v>
      </c>
    </row>
    <row r="1438" spans="1:10" ht="15" x14ac:dyDescent="0.2">
      <c r="A1438" s="486" t="s">
        <v>673</v>
      </c>
      <c r="B1438" s="487" t="s">
        <v>672</v>
      </c>
      <c r="C1438" s="488" t="s">
        <v>5763</v>
      </c>
      <c r="D1438" s="489" t="s">
        <v>5764</v>
      </c>
      <c r="E1438" s="487" t="s">
        <v>5765</v>
      </c>
      <c r="F1438" s="490">
        <v>11440</v>
      </c>
      <c r="G1438" s="489">
        <v>192.62</v>
      </c>
      <c r="H1438" s="489">
        <v>59.391550000000002</v>
      </c>
      <c r="I1438" s="487" t="s">
        <v>1499</v>
      </c>
      <c r="J1438" s="487" t="s">
        <v>674</v>
      </c>
    </row>
    <row r="1439" spans="1:10" ht="15" x14ac:dyDescent="0.2">
      <c r="A1439" s="486" t="s">
        <v>673</v>
      </c>
      <c r="B1439" s="487" t="s">
        <v>672</v>
      </c>
      <c r="C1439" s="488" t="s">
        <v>5766</v>
      </c>
      <c r="D1439" s="489" t="s">
        <v>5767</v>
      </c>
      <c r="E1439" s="487" t="s">
        <v>5768</v>
      </c>
      <c r="F1439" s="490">
        <v>11100</v>
      </c>
      <c r="G1439" s="489">
        <v>191.35</v>
      </c>
      <c r="H1439" s="489">
        <v>58.008879999999998</v>
      </c>
      <c r="I1439" s="487" t="s">
        <v>1499</v>
      </c>
      <c r="J1439" s="487" t="s">
        <v>674</v>
      </c>
    </row>
    <row r="1440" spans="1:10" ht="15" x14ac:dyDescent="0.2">
      <c r="A1440" s="486" t="s">
        <v>673</v>
      </c>
      <c r="B1440" s="487" t="s">
        <v>672</v>
      </c>
      <c r="C1440" s="488" t="s">
        <v>5769</v>
      </c>
      <c r="D1440" s="489" t="s">
        <v>5770</v>
      </c>
      <c r="E1440" s="487" t="s">
        <v>5771</v>
      </c>
      <c r="F1440" s="490">
        <v>13500</v>
      </c>
      <c r="G1440" s="489">
        <v>229.93</v>
      </c>
      <c r="H1440" s="489">
        <v>58.713520000000003</v>
      </c>
      <c r="I1440" s="487" t="s">
        <v>1499</v>
      </c>
      <c r="J1440" s="487" t="s">
        <v>674</v>
      </c>
    </row>
    <row r="1441" spans="1:10" ht="15" x14ac:dyDescent="0.2">
      <c r="A1441" s="486" t="s">
        <v>673</v>
      </c>
      <c r="B1441" s="487" t="s">
        <v>672</v>
      </c>
      <c r="C1441" s="488" t="s">
        <v>5772</v>
      </c>
      <c r="D1441" s="489" t="s">
        <v>5773</v>
      </c>
      <c r="E1441" s="487" t="s">
        <v>5774</v>
      </c>
      <c r="F1441" s="490">
        <v>6500</v>
      </c>
      <c r="G1441" s="489">
        <v>155.34</v>
      </c>
      <c r="H1441" s="489">
        <v>41.843699999999998</v>
      </c>
      <c r="I1441" s="487" t="s">
        <v>1499</v>
      </c>
      <c r="J1441" s="487" t="s">
        <v>674</v>
      </c>
    </row>
    <row r="1442" spans="1:10" ht="15" x14ac:dyDescent="0.2">
      <c r="A1442" s="486" t="s">
        <v>673</v>
      </c>
      <c r="B1442" s="487" t="s">
        <v>672</v>
      </c>
      <c r="C1442" s="488" t="s">
        <v>5775</v>
      </c>
      <c r="D1442" s="489" t="s">
        <v>5776</v>
      </c>
      <c r="E1442" s="487" t="s">
        <v>5777</v>
      </c>
      <c r="F1442" s="490">
        <v>6000</v>
      </c>
      <c r="G1442" s="489">
        <v>105.05</v>
      </c>
      <c r="H1442" s="489">
        <v>57.115659999999998</v>
      </c>
      <c r="I1442" s="487" t="s">
        <v>1499</v>
      </c>
      <c r="J1442" s="487" t="s">
        <v>674</v>
      </c>
    </row>
    <row r="1443" spans="1:10" ht="15" x14ac:dyDescent="0.2">
      <c r="A1443" s="486" t="s">
        <v>673</v>
      </c>
      <c r="B1443" s="487" t="s">
        <v>672</v>
      </c>
      <c r="C1443" s="488" t="s">
        <v>5778</v>
      </c>
      <c r="D1443" s="489" t="s">
        <v>5779</v>
      </c>
      <c r="E1443" s="487" t="s">
        <v>5780</v>
      </c>
      <c r="F1443" s="490">
        <v>9317</v>
      </c>
      <c r="G1443" s="489">
        <v>332.72</v>
      </c>
      <c r="H1443" s="489">
        <v>28.002520000000001</v>
      </c>
      <c r="I1443" s="487" t="s">
        <v>1499</v>
      </c>
      <c r="J1443" s="487" t="s">
        <v>674</v>
      </c>
    </row>
    <row r="1444" spans="1:10" ht="15" x14ac:dyDescent="0.2">
      <c r="A1444" s="486" t="s">
        <v>673</v>
      </c>
      <c r="B1444" s="487" t="s">
        <v>672</v>
      </c>
      <c r="C1444" s="488" t="s">
        <v>5781</v>
      </c>
      <c r="D1444" s="489" t="s">
        <v>5782</v>
      </c>
      <c r="E1444" s="487" t="s">
        <v>5783</v>
      </c>
      <c r="F1444" s="490">
        <v>7500</v>
      </c>
      <c r="G1444" s="489">
        <v>149.05000000000001</v>
      </c>
      <c r="H1444" s="489">
        <v>50.318689999999997</v>
      </c>
      <c r="I1444" s="487" t="s">
        <v>1499</v>
      </c>
      <c r="J1444" s="487" t="s">
        <v>674</v>
      </c>
    </row>
    <row r="1445" spans="1:10" ht="15" x14ac:dyDescent="0.2">
      <c r="A1445" s="486" t="s">
        <v>673</v>
      </c>
      <c r="B1445" s="487" t="s">
        <v>672</v>
      </c>
      <c r="C1445" s="488" t="s">
        <v>5784</v>
      </c>
      <c r="D1445" s="489" t="s">
        <v>5785</v>
      </c>
      <c r="E1445" s="487" t="s">
        <v>5786</v>
      </c>
      <c r="F1445" s="490">
        <v>25510</v>
      </c>
      <c r="G1445" s="489">
        <v>685.94</v>
      </c>
      <c r="H1445" s="489">
        <v>37.189839999999997</v>
      </c>
      <c r="I1445" s="487" t="s">
        <v>1499</v>
      </c>
      <c r="J1445" s="487" t="s">
        <v>674</v>
      </c>
    </row>
    <row r="1446" spans="1:10" ht="15" x14ac:dyDescent="0.2">
      <c r="A1446" s="486" t="s">
        <v>673</v>
      </c>
      <c r="B1446" s="487" t="s">
        <v>672</v>
      </c>
      <c r="C1446" s="488" t="s">
        <v>5787</v>
      </c>
      <c r="D1446" s="489" t="s">
        <v>5788</v>
      </c>
      <c r="E1446" s="487" t="s">
        <v>5789</v>
      </c>
      <c r="F1446" s="490">
        <v>76765.149999999994</v>
      </c>
      <c r="G1446" s="489">
        <v>1584.42</v>
      </c>
      <c r="H1446" s="489">
        <v>48.45</v>
      </c>
      <c r="I1446" s="487" t="s">
        <v>1499</v>
      </c>
      <c r="J1446" s="487" t="s">
        <v>674</v>
      </c>
    </row>
    <row r="1447" spans="1:10" ht="15" x14ac:dyDescent="0.2">
      <c r="A1447" s="486" t="s">
        <v>673</v>
      </c>
      <c r="B1447" s="487" t="s">
        <v>672</v>
      </c>
      <c r="C1447" s="488" t="s">
        <v>5790</v>
      </c>
      <c r="D1447" s="489" t="s">
        <v>5791</v>
      </c>
      <c r="E1447" s="487" t="s">
        <v>5792</v>
      </c>
      <c r="F1447" s="490">
        <v>6600</v>
      </c>
      <c r="G1447" s="489">
        <v>151.77000000000001</v>
      </c>
      <c r="H1447" s="489">
        <v>43.48686</v>
      </c>
      <c r="I1447" s="487" t="s">
        <v>1499</v>
      </c>
      <c r="J1447" s="487" t="s">
        <v>674</v>
      </c>
    </row>
    <row r="1448" spans="1:10" ht="15" x14ac:dyDescent="0.2">
      <c r="A1448" s="486" t="s">
        <v>673</v>
      </c>
      <c r="B1448" s="487" t="s">
        <v>672</v>
      </c>
      <c r="C1448" s="488" t="s">
        <v>5793</v>
      </c>
      <c r="D1448" s="489" t="s">
        <v>5794</v>
      </c>
      <c r="E1448" s="487" t="s">
        <v>5795</v>
      </c>
      <c r="F1448" s="490">
        <v>209148</v>
      </c>
      <c r="G1448" s="489">
        <v>913.96</v>
      </c>
      <c r="H1448" s="489">
        <v>228.83715000000001</v>
      </c>
      <c r="I1448" s="487" t="s">
        <v>1499</v>
      </c>
      <c r="J1448" s="487" t="s">
        <v>674</v>
      </c>
    </row>
    <row r="1449" spans="1:10" ht="15" x14ac:dyDescent="0.2">
      <c r="A1449" s="486" t="s">
        <v>673</v>
      </c>
      <c r="B1449" s="487" t="s">
        <v>672</v>
      </c>
      <c r="C1449" s="488" t="s">
        <v>5796</v>
      </c>
      <c r="D1449" s="489" t="s">
        <v>5797</v>
      </c>
      <c r="E1449" s="487" t="s">
        <v>5798</v>
      </c>
      <c r="F1449" s="490">
        <v>3000</v>
      </c>
      <c r="G1449" s="489">
        <v>168.14</v>
      </c>
      <c r="H1449" s="489">
        <v>17.842269999999999</v>
      </c>
      <c r="I1449" s="487" t="s">
        <v>1499</v>
      </c>
      <c r="J1449" s="487" t="s">
        <v>674</v>
      </c>
    </row>
    <row r="1450" spans="1:10" ht="15" x14ac:dyDescent="0.2">
      <c r="A1450" s="486" t="s">
        <v>673</v>
      </c>
      <c r="B1450" s="487" t="s">
        <v>672</v>
      </c>
      <c r="C1450" s="488" t="s">
        <v>5799</v>
      </c>
      <c r="D1450" s="489" t="s">
        <v>5800</v>
      </c>
      <c r="E1450" s="487" t="s">
        <v>5801</v>
      </c>
      <c r="F1450" s="490">
        <v>24000</v>
      </c>
      <c r="G1450" s="489">
        <v>2140.11</v>
      </c>
      <c r="H1450" s="489">
        <v>11.21438</v>
      </c>
      <c r="I1450" s="487" t="s">
        <v>1499</v>
      </c>
      <c r="J1450" s="487" t="s">
        <v>674</v>
      </c>
    </row>
    <row r="1451" spans="1:10" ht="15" x14ac:dyDescent="0.2">
      <c r="A1451" s="486" t="s">
        <v>673</v>
      </c>
      <c r="B1451" s="487" t="s">
        <v>672</v>
      </c>
      <c r="C1451" s="488" t="s">
        <v>5802</v>
      </c>
      <c r="D1451" s="489" t="s">
        <v>5803</v>
      </c>
      <c r="E1451" s="487" t="s">
        <v>5804</v>
      </c>
      <c r="F1451" s="490">
        <v>8895.7000000000007</v>
      </c>
      <c r="G1451" s="489">
        <v>222.51</v>
      </c>
      <c r="H1451" s="489">
        <v>39.978879999999997</v>
      </c>
      <c r="I1451" s="487" t="s">
        <v>1499</v>
      </c>
      <c r="J1451" s="487" t="s">
        <v>674</v>
      </c>
    </row>
    <row r="1452" spans="1:10" ht="15" x14ac:dyDescent="0.2">
      <c r="A1452" s="486" t="s">
        <v>673</v>
      </c>
      <c r="B1452" s="487" t="s">
        <v>672</v>
      </c>
      <c r="C1452" s="488" t="s">
        <v>5805</v>
      </c>
      <c r="D1452" s="489" t="s">
        <v>5806</v>
      </c>
      <c r="E1452" s="487" t="s">
        <v>5807</v>
      </c>
      <c r="F1452" s="490">
        <v>64000</v>
      </c>
      <c r="G1452" s="489">
        <v>789.17</v>
      </c>
      <c r="H1452" s="489">
        <v>81.097859999999997</v>
      </c>
      <c r="I1452" s="487" t="s">
        <v>1499</v>
      </c>
      <c r="J1452" s="487" t="s">
        <v>674</v>
      </c>
    </row>
    <row r="1453" spans="1:10" ht="15" x14ac:dyDescent="0.2">
      <c r="A1453" s="486" t="s">
        <v>673</v>
      </c>
      <c r="B1453" s="487" t="s">
        <v>672</v>
      </c>
      <c r="C1453" s="488" t="s">
        <v>5808</v>
      </c>
      <c r="D1453" s="489" t="s">
        <v>5809</v>
      </c>
      <c r="E1453" s="487" t="s">
        <v>5810</v>
      </c>
      <c r="F1453" s="490">
        <v>51150</v>
      </c>
      <c r="G1453" s="489">
        <v>1585.18</v>
      </c>
      <c r="H1453" s="489">
        <v>32.267629999999997</v>
      </c>
      <c r="I1453" s="487" t="s">
        <v>1499</v>
      </c>
      <c r="J1453" s="487" t="s">
        <v>674</v>
      </c>
    </row>
    <row r="1454" spans="1:10" ht="15" x14ac:dyDescent="0.2">
      <c r="A1454" s="486" t="s">
        <v>673</v>
      </c>
      <c r="B1454" s="487" t="s">
        <v>672</v>
      </c>
      <c r="C1454" s="488" t="s">
        <v>5811</v>
      </c>
      <c r="D1454" s="489" t="s">
        <v>5812</v>
      </c>
      <c r="E1454" s="487" t="s">
        <v>5813</v>
      </c>
      <c r="F1454" s="490">
        <v>26125</v>
      </c>
      <c r="G1454" s="489">
        <v>522.24</v>
      </c>
      <c r="H1454" s="489">
        <v>50.024889999999999</v>
      </c>
      <c r="I1454" s="487" t="s">
        <v>1499</v>
      </c>
      <c r="J1454" s="487" t="s">
        <v>674</v>
      </c>
    </row>
    <row r="1455" spans="1:10" ht="15" x14ac:dyDescent="0.2">
      <c r="A1455" s="486" t="s">
        <v>673</v>
      </c>
      <c r="B1455" s="487" t="s">
        <v>672</v>
      </c>
      <c r="C1455" s="488" t="s">
        <v>5814</v>
      </c>
      <c r="D1455" s="489" t="s">
        <v>5815</v>
      </c>
      <c r="E1455" s="487" t="s">
        <v>5816</v>
      </c>
      <c r="F1455" s="490">
        <v>364</v>
      </c>
      <c r="G1455" s="489">
        <v>91.51</v>
      </c>
      <c r="H1455" s="489">
        <v>3.9777100000000001</v>
      </c>
      <c r="I1455" s="487" t="s">
        <v>1499</v>
      </c>
      <c r="J1455" s="487" t="s">
        <v>674</v>
      </c>
    </row>
    <row r="1456" spans="1:10" ht="15" x14ac:dyDescent="0.2">
      <c r="A1456" s="486" t="s">
        <v>673</v>
      </c>
      <c r="B1456" s="487" t="s">
        <v>672</v>
      </c>
      <c r="C1456" s="488" t="s">
        <v>5817</v>
      </c>
      <c r="D1456" s="489" t="s">
        <v>5818</v>
      </c>
      <c r="E1456" s="487" t="s">
        <v>5819</v>
      </c>
      <c r="F1456" s="490">
        <v>7416</v>
      </c>
      <c r="G1456" s="489">
        <v>189.1</v>
      </c>
      <c r="H1456" s="489">
        <v>39.217350000000003</v>
      </c>
      <c r="I1456" s="487" t="s">
        <v>1499</v>
      </c>
      <c r="J1456" s="487" t="s">
        <v>674</v>
      </c>
    </row>
    <row r="1457" spans="1:10" ht="15" x14ac:dyDescent="0.2">
      <c r="A1457" s="486" t="s">
        <v>673</v>
      </c>
      <c r="B1457" s="487" t="s">
        <v>672</v>
      </c>
      <c r="C1457" s="488" t="s">
        <v>5820</v>
      </c>
      <c r="D1457" s="489" t="s">
        <v>5821</v>
      </c>
      <c r="E1457" s="487" t="s">
        <v>5822</v>
      </c>
      <c r="F1457" s="490">
        <v>1216</v>
      </c>
      <c r="G1457" s="489">
        <v>35.94</v>
      </c>
      <c r="H1457" s="489">
        <v>33.83417</v>
      </c>
      <c r="I1457" s="487" t="s">
        <v>1499</v>
      </c>
      <c r="J1457" s="487" t="s">
        <v>674</v>
      </c>
    </row>
    <row r="1458" spans="1:10" ht="15" x14ac:dyDescent="0.2">
      <c r="A1458" s="486" t="s">
        <v>673</v>
      </c>
      <c r="B1458" s="487" t="s">
        <v>672</v>
      </c>
      <c r="C1458" s="488" t="s">
        <v>5823</v>
      </c>
      <c r="D1458" s="489" t="s">
        <v>5824</v>
      </c>
      <c r="E1458" s="487" t="s">
        <v>5825</v>
      </c>
      <c r="F1458" s="490">
        <v>4000</v>
      </c>
      <c r="G1458" s="489">
        <v>111.51</v>
      </c>
      <c r="H1458" s="489">
        <v>35.871220000000001</v>
      </c>
      <c r="I1458" s="487" t="s">
        <v>1499</v>
      </c>
      <c r="J1458" s="487" t="s">
        <v>674</v>
      </c>
    </row>
    <row r="1459" spans="1:10" ht="15" x14ac:dyDescent="0.2">
      <c r="A1459" s="486" t="s">
        <v>673</v>
      </c>
      <c r="B1459" s="487" t="s">
        <v>672</v>
      </c>
      <c r="C1459" s="488" t="s">
        <v>5826</v>
      </c>
      <c r="D1459" s="489" t="s">
        <v>5827</v>
      </c>
      <c r="E1459" s="487" t="s">
        <v>2726</v>
      </c>
      <c r="F1459" s="490">
        <v>10500</v>
      </c>
      <c r="G1459" s="489">
        <v>111.8</v>
      </c>
      <c r="H1459" s="489">
        <v>93.91771</v>
      </c>
      <c r="I1459" s="487" t="s">
        <v>1499</v>
      </c>
      <c r="J1459" s="487" t="s">
        <v>674</v>
      </c>
    </row>
    <row r="1460" spans="1:10" ht="15" x14ac:dyDescent="0.2">
      <c r="A1460" s="486" t="s">
        <v>673</v>
      </c>
      <c r="B1460" s="487" t="s">
        <v>672</v>
      </c>
      <c r="C1460" s="488" t="s">
        <v>5828</v>
      </c>
      <c r="D1460" s="489" t="s">
        <v>5829</v>
      </c>
      <c r="E1460" s="487" t="s">
        <v>5830</v>
      </c>
      <c r="F1460" s="490">
        <v>2625</v>
      </c>
      <c r="G1460" s="489">
        <v>85.82</v>
      </c>
      <c r="H1460" s="489">
        <v>30.58728</v>
      </c>
      <c r="I1460" s="487" t="s">
        <v>1499</v>
      </c>
      <c r="J1460" s="487" t="s">
        <v>674</v>
      </c>
    </row>
    <row r="1461" spans="1:10" ht="15" x14ac:dyDescent="0.2">
      <c r="A1461" s="486" t="s">
        <v>673</v>
      </c>
      <c r="B1461" s="487" t="s">
        <v>672</v>
      </c>
      <c r="C1461" s="488" t="s">
        <v>5831</v>
      </c>
      <c r="D1461" s="489" t="s">
        <v>5832</v>
      </c>
      <c r="E1461" s="487" t="s">
        <v>5833</v>
      </c>
      <c r="F1461" s="490">
        <v>1620</v>
      </c>
      <c r="G1461" s="489">
        <v>58.86</v>
      </c>
      <c r="H1461" s="489">
        <v>27.522939999999998</v>
      </c>
      <c r="I1461" s="487" t="s">
        <v>1499</v>
      </c>
      <c r="J1461" s="487" t="s">
        <v>674</v>
      </c>
    </row>
    <row r="1462" spans="1:10" ht="15" x14ac:dyDescent="0.2">
      <c r="A1462" s="486" t="s">
        <v>673</v>
      </c>
      <c r="B1462" s="487" t="s">
        <v>672</v>
      </c>
      <c r="C1462" s="488" t="s">
        <v>5834</v>
      </c>
      <c r="D1462" s="489" t="s">
        <v>5835</v>
      </c>
      <c r="E1462" s="487" t="s">
        <v>4654</v>
      </c>
      <c r="F1462" s="490">
        <v>3150</v>
      </c>
      <c r="G1462" s="489">
        <v>123.7</v>
      </c>
      <c r="H1462" s="489">
        <v>25.464829999999999</v>
      </c>
      <c r="I1462" s="487" t="s">
        <v>1499</v>
      </c>
      <c r="J1462" s="487" t="s">
        <v>674</v>
      </c>
    </row>
    <row r="1463" spans="1:10" ht="15" x14ac:dyDescent="0.2">
      <c r="A1463" s="486" t="s">
        <v>673</v>
      </c>
      <c r="B1463" s="487" t="s">
        <v>672</v>
      </c>
      <c r="C1463" s="488" t="s">
        <v>5836</v>
      </c>
      <c r="D1463" s="489" t="s">
        <v>5837</v>
      </c>
      <c r="E1463" s="487" t="s">
        <v>5838</v>
      </c>
      <c r="F1463" s="490">
        <v>10000</v>
      </c>
      <c r="G1463" s="489">
        <v>180.99</v>
      </c>
      <c r="H1463" s="489">
        <v>55.251669999999997</v>
      </c>
      <c r="I1463" s="487" t="s">
        <v>1499</v>
      </c>
      <c r="J1463" s="487" t="s">
        <v>674</v>
      </c>
    </row>
    <row r="1464" spans="1:10" ht="15" x14ac:dyDescent="0.2">
      <c r="A1464" s="486" t="s">
        <v>673</v>
      </c>
      <c r="B1464" s="487" t="s">
        <v>672</v>
      </c>
      <c r="C1464" s="488" t="s">
        <v>5839</v>
      </c>
      <c r="D1464" s="489" t="s">
        <v>5840</v>
      </c>
      <c r="E1464" s="487" t="s">
        <v>5841</v>
      </c>
      <c r="F1464" s="490">
        <v>2200</v>
      </c>
      <c r="G1464" s="489">
        <v>138.34</v>
      </c>
      <c r="H1464" s="489">
        <v>15.902850000000001</v>
      </c>
      <c r="I1464" s="487" t="s">
        <v>1499</v>
      </c>
      <c r="J1464" s="487" t="s">
        <v>674</v>
      </c>
    </row>
    <row r="1465" spans="1:10" ht="15" x14ac:dyDescent="0.2">
      <c r="A1465" s="486" t="s">
        <v>673</v>
      </c>
      <c r="B1465" s="487" t="s">
        <v>672</v>
      </c>
      <c r="C1465" s="488" t="s">
        <v>5842</v>
      </c>
      <c r="D1465" s="489" t="s">
        <v>5843</v>
      </c>
      <c r="E1465" s="487" t="s">
        <v>5844</v>
      </c>
      <c r="F1465" s="490">
        <v>6000</v>
      </c>
      <c r="G1465" s="489">
        <v>97.61</v>
      </c>
      <c r="H1465" s="489">
        <v>61.469110000000001</v>
      </c>
      <c r="I1465" s="487" t="s">
        <v>1499</v>
      </c>
      <c r="J1465" s="487" t="s">
        <v>674</v>
      </c>
    </row>
    <row r="1466" spans="1:10" ht="15" x14ac:dyDescent="0.2">
      <c r="A1466" s="486" t="s">
        <v>673</v>
      </c>
      <c r="B1466" s="487" t="s">
        <v>672</v>
      </c>
      <c r="C1466" s="488" t="s">
        <v>5845</v>
      </c>
      <c r="D1466" s="489" t="s">
        <v>5846</v>
      </c>
      <c r="E1466" s="487" t="s">
        <v>5847</v>
      </c>
      <c r="F1466" s="490">
        <v>8925</v>
      </c>
      <c r="G1466" s="489">
        <v>338.4</v>
      </c>
      <c r="H1466" s="489">
        <v>26.374110000000002</v>
      </c>
      <c r="I1466" s="487" t="s">
        <v>1499</v>
      </c>
      <c r="J1466" s="487" t="s">
        <v>674</v>
      </c>
    </row>
    <row r="1467" spans="1:10" ht="15" x14ac:dyDescent="0.2">
      <c r="A1467" s="486" t="s">
        <v>673</v>
      </c>
      <c r="B1467" s="487" t="s">
        <v>672</v>
      </c>
      <c r="C1467" s="488" t="s">
        <v>5848</v>
      </c>
      <c r="D1467" s="489" t="s">
        <v>5849</v>
      </c>
      <c r="E1467" s="487" t="s">
        <v>5850</v>
      </c>
      <c r="F1467" s="490">
        <v>180000</v>
      </c>
      <c r="G1467" s="489">
        <v>2929.84</v>
      </c>
      <c r="H1467" s="489">
        <v>61.436799999999998</v>
      </c>
      <c r="I1467" s="487" t="s">
        <v>1499</v>
      </c>
      <c r="J1467" s="487" t="s">
        <v>674</v>
      </c>
    </row>
    <row r="1468" spans="1:10" ht="15" x14ac:dyDescent="0.2">
      <c r="A1468" s="486" t="s">
        <v>673</v>
      </c>
      <c r="B1468" s="487" t="s">
        <v>672</v>
      </c>
      <c r="C1468" s="488" t="s">
        <v>5851</v>
      </c>
      <c r="D1468" s="489" t="s">
        <v>5852</v>
      </c>
      <c r="E1468" s="487" t="s">
        <v>5853</v>
      </c>
      <c r="F1468" s="490">
        <v>22000</v>
      </c>
      <c r="G1468" s="489">
        <v>201.15</v>
      </c>
      <c r="H1468" s="489">
        <v>109.37112</v>
      </c>
      <c r="I1468" s="487" t="s">
        <v>1499</v>
      </c>
      <c r="J1468" s="487" t="s">
        <v>674</v>
      </c>
    </row>
    <row r="1469" spans="1:10" ht="15" x14ac:dyDescent="0.2">
      <c r="A1469" s="486" t="s">
        <v>673</v>
      </c>
      <c r="B1469" s="487" t="s">
        <v>672</v>
      </c>
      <c r="C1469" s="488" t="s">
        <v>5854</v>
      </c>
      <c r="D1469" s="489" t="s">
        <v>5855</v>
      </c>
      <c r="E1469" s="487" t="s">
        <v>5856</v>
      </c>
      <c r="F1469" s="490">
        <v>524003</v>
      </c>
      <c r="G1469" s="489">
        <v>7255.32</v>
      </c>
      <c r="H1469" s="489">
        <v>72.223280000000003</v>
      </c>
      <c r="I1469" s="487" t="s">
        <v>1499</v>
      </c>
      <c r="J1469" s="487" t="s">
        <v>674</v>
      </c>
    </row>
    <row r="1470" spans="1:10" ht="15" x14ac:dyDescent="0.2">
      <c r="A1470" s="486" t="s">
        <v>673</v>
      </c>
      <c r="B1470" s="487" t="s">
        <v>672</v>
      </c>
      <c r="C1470" s="488" t="s">
        <v>5857</v>
      </c>
      <c r="D1470" s="489" t="s">
        <v>5858</v>
      </c>
      <c r="E1470" s="487" t="s">
        <v>5859</v>
      </c>
      <c r="F1470" s="490">
        <v>420000</v>
      </c>
      <c r="G1470" s="489">
        <v>2000.7</v>
      </c>
      <c r="H1470" s="489">
        <v>209.92653000000001</v>
      </c>
      <c r="I1470" s="487" t="s">
        <v>1499</v>
      </c>
      <c r="J1470" s="487" t="s">
        <v>674</v>
      </c>
    </row>
    <row r="1471" spans="1:10" ht="15" x14ac:dyDescent="0.2">
      <c r="A1471" s="486" t="s">
        <v>673</v>
      </c>
      <c r="B1471" s="487" t="s">
        <v>672</v>
      </c>
      <c r="C1471" s="488" t="s">
        <v>5860</v>
      </c>
      <c r="D1471" s="489" t="s">
        <v>5861</v>
      </c>
      <c r="E1471" s="487" t="s">
        <v>5862</v>
      </c>
      <c r="F1471" s="490">
        <v>7000</v>
      </c>
      <c r="G1471" s="489">
        <v>63.22</v>
      </c>
      <c r="H1471" s="489">
        <v>110.72445</v>
      </c>
      <c r="I1471" s="487" t="s">
        <v>1499</v>
      </c>
      <c r="J1471" s="487" t="s">
        <v>674</v>
      </c>
    </row>
    <row r="1472" spans="1:10" ht="15" x14ac:dyDescent="0.2">
      <c r="A1472" s="486" t="s">
        <v>673</v>
      </c>
      <c r="B1472" s="487" t="s">
        <v>672</v>
      </c>
      <c r="C1472" s="488" t="s">
        <v>5863</v>
      </c>
      <c r="D1472" s="489" t="s">
        <v>5864</v>
      </c>
      <c r="E1472" s="487" t="s">
        <v>5865</v>
      </c>
      <c r="F1472" s="490">
        <v>6622</v>
      </c>
      <c r="G1472" s="489">
        <v>200.76</v>
      </c>
      <c r="H1472" s="489">
        <v>32.984659999999998</v>
      </c>
      <c r="I1472" s="487" t="s">
        <v>1499</v>
      </c>
      <c r="J1472" s="487" t="s">
        <v>674</v>
      </c>
    </row>
    <row r="1473" spans="1:10" ht="15" x14ac:dyDescent="0.2">
      <c r="A1473" s="486" t="s">
        <v>673</v>
      </c>
      <c r="B1473" s="487" t="s">
        <v>672</v>
      </c>
      <c r="C1473" s="488" t="s">
        <v>5866</v>
      </c>
      <c r="D1473" s="489" t="s">
        <v>5867</v>
      </c>
      <c r="E1473" s="487" t="s">
        <v>5868</v>
      </c>
      <c r="F1473" s="490">
        <v>1070744</v>
      </c>
      <c r="G1473" s="489">
        <v>7397.3</v>
      </c>
      <c r="H1473" s="489">
        <v>144.74795</v>
      </c>
      <c r="I1473" s="487" t="s">
        <v>1499</v>
      </c>
      <c r="J1473" s="487" t="s">
        <v>674</v>
      </c>
    </row>
    <row r="1474" spans="1:10" ht="15" x14ac:dyDescent="0.2">
      <c r="A1474" s="486" t="s">
        <v>673</v>
      </c>
      <c r="B1474" s="487" t="s">
        <v>672</v>
      </c>
      <c r="C1474" s="488" t="s">
        <v>5869</v>
      </c>
      <c r="D1474" s="489" t="s">
        <v>5870</v>
      </c>
      <c r="E1474" s="487" t="s">
        <v>5871</v>
      </c>
      <c r="F1474" s="490">
        <v>115462</v>
      </c>
      <c r="G1474" s="489">
        <v>20728.93</v>
      </c>
      <c r="H1474" s="489">
        <v>5.5700900000000004</v>
      </c>
      <c r="I1474" s="487" t="s">
        <v>1654</v>
      </c>
      <c r="J1474" s="487" t="s">
        <v>674</v>
      </c>
    </row>
    <row r="1475" spans="1:10" ht="15" x14ac:dyDescent="0.2">
      <c r="A1475" s="486" t="s">
        <v>1384</v>
      </c>
      <c r="B1475" s="487" t="s">
        <v>1383</v>
      </c>
      <c r="C1475" s="488" t="s">
        <v>5872</v>
      </c>
      <c r="D1475" s="489" t="s">
        <v>5873</v>
      </c>
      <c r="E1475" s="487" t="s">
        <v>5874</v>
      </c>
      <c r="F1475" s="490">
        <v>17510</v>
      </c>
      <c r="G1475" s="489">
        <v>248.2</v>
      </c>
      <c r="H1475" s="489">
        <v>70.54795</v>
      </c>
      <c r="I1475" s="487" t="s">
        <v>1499</v>
      </c>
      <c r="J1475" s="487" t="s">
        <v>1385</v>
      </c>
    </row>
    <row r="1476" spans="1:10" ht="15" x14ac:dyDescent="0.2">
      <c r="A1476" s="486" t="s">
        <v>1384</v>
      </c>
      <c r="B1476" s="487" t="s">
        <v>1383</v>
      </c>
      <c r="C1476" s="488" t="s">
        <v>5875</v>
      </c>
      <c r="D1476" s="489" t="s">
        <v>5876</v>
      </c>
      <c r="E1476" s="487" t="s">
        <v>5877</v>
      </c>
      <c r="F1476" s="490">
        <v>18758</v>
      </c>
      <c r="G1476" s="489">
        <v>586.29999999999995</v>
      </c>
      <c r="H1476" s="489">
        <v>31.993860000000002</v>
      </c>
      <c r="I1476" s="487" t="s">
        <v>1499</v>
      </c>
      <c r="J1476" s="487" t="s">
        <v>1385</v>
      </c>
    </row>
    <row r="1477" spans="1:10" ht="15" x14ac:dyDescent="0.2">
      <c r="A1477" s="486" t="s">
        <v>1384</v>
      </c>
      <c r="B1477" s="487" t="s">
        <v>1383</v>
      </c>
      <c r="C1477" s="488" t="s">
        <v>5878</v>
      </c>
      <c r="D1477" s="489" t="s">
        <v>5879</v>
      </c>
      <c r="E1477" s="487" t="s">
        <v>5880</v>
      </c>
      <c r="F1477" s="490">
        <v>43192.88</v>
      </c>
      <c r="G1477" s="489">
        <v>1017.5</v>
      </c>
      <c r="H1477" s="489">
        <v>42.45</v>
      </c>
      <c r="I1477" s="487" t="s">
        <v>1499</v>
      </c>
      <c r="J1477" s="487" t="s">
        <v>1385</v>
      </c>
    </row>
    <row r="1478" spans="1:10" ht="15" x14ac:dyDescent="0.2">
      <c r="A1478" s="486" t="s">
        <v>1384</v>
      </c>
      <c r="B1478" s="487" t="s">
        <v>1383</v>
      </c>
      <c r="C1478" s="488" t="s">
        <v>5881</v>
      </c>
      <c r="D1478" s="489" t="s">
        <v>5882</v>
      </c>
      <c r="E1478" s="487" t="s">
        <v>5883</v>
      </c>
      <c r="F1478" s="490">
        <v>64915</v>
      </c>
      <c r="G1478" s="489">
        <v>835.4</v>
      </c>
      <c r="H1478" s="489">
        <v>77.705290000000005</v>
      </c>
      <c r="I1478" s="487" t="s">
        <v>1499</v>
      </c>
      <c r="J1478" s="487" t="s">
        <v>1385</v>
      </c>
    </row>
    <row r="1479" spans="1:10" ht="15" x14ac:dyDescent="0.2">
      <c r="A1479" s="486" t="s">
        <v>1384</v>
      </c>
      <c r="B1479" s="487" t="s">
        <v>1383</v>
      </c>
      <c r="C1479" s="488" t="s">
        <v>5884</v>
      </c>
      <c r="D1479" s="489" t="s">
        <v>5885</v>
      </c>
      <c r="E1479" s="487" t="s">
        <v>5886</v>
      </c>
      <c r="F1479" s="490">
        <v>170150</v>
      </c>
      <c r="G1479" s="489">
        <v>1206.4000000000001</v>
      </c>
      <c r="H1479" s="489">
        <v>141.03945999999999</v>
      </c>
      <c r="I1479" s="487" t="s">
        <v>1499</v>
      </c>
      <c r="J1479" s="487" t="s">
        <v>1385</v>
      </c>
    </row>
    <row r="1480" spans="1:10" ht="15" x14ac:dyDescent="0.2">
      <c r="A1480" s="486" t="s">
        <v>1384</v>
      </c>
      <c r="B1480" s="487" t="s">
        <v>1383</v>
      </c>
      <c r="C1480" s="488" t="s">
        <v>5887</v>
      </c>
      <c r="D1480" s="489" t="s">
        <v>5888</v>
      </c>
      <c r="E1480" s="487" t="s">
        <v>5889</v>
      </c>
      <c r="F1480" s="490">
        <v>67737.2</v>
      </c>
      <c r="G1480" s="489">
        <v>1292.3</v>
      </c>
      <c r="H1480" s="489">
        <v>52.415999999999997</v>
      </c>
      <c r="I1480" s="487" t="s">
        <v>1499</v>
      </c>
      <c r="J1480" s="487" t="s">
        <v>1385</v>
      </c>
    </row>
    <row r="1481" spans="1:10" ht="15" x14ac:dyDescent="0.2">
      <c r="A1481" s="486" t="s">
        <v>1384</v>
      </c>
      <c r="B1481" s="487" t="s">
        <v>1383</v>
      </c>
      <c r="C1481" s="488" t="s">
        <v>5890</v>
      </c>
      <c r="D1481" s="489" t="s">
        <v>5891</v>
      </c>
      <c r="E1481" s="487" t="s">
        <v>5892</v>
      </c>
      <c r="F1481" s="490">
        <v>7300</v>
      </c>
      <c r="G1481" s="489">
        <v>172.8</v>
      </c>
      <c r="H1481" s="489">
        <v>42.245370000000001</v>
      </c>
      <c r="I1481" s="487" t="s">
        <v>1499</v>
      </c>
      <c r="J1481" s="487" t="s">
        <v>1385</v>
      </c>
    </row>
    <row r="1482" spans="1:10" ht="15" x14ac:dyDescent="0.2">
      <c r="A1482" s="486" t="s">
        <v>1384</v>
      </c>
      <c r="B1482" s="487" t="s">
        <v>1383</v>
      </c>
      <c r="C1482" s="488" t="s">
        <v>5893</v>
      </c>
      <c r="D1482" s="489" t="s">
        <v>5894</v>
      </c>
      <c r="E1482" s="487" t="s">
        <v>5895</v>
      </c>
      <c r="F1482" s="490">
        <v>41000</v>
      </c>
      <c r="G1482" s="489">
        <v>1179.5</v>
      </c>
      <c r="H1482" s="489">
        <v>34.760489999999997</v>
      </c>
      <c r="I1482" s="487" t="s">
        <v>1499</v>
      </c>
      <c r="J1482" s="487" t="s">
        <v>1385</v>
      </c>
    </row>
    <row r="1483" spans="1:10" ht="15" x14ac:dyDescent="0.2">
      <c r="A1483" s="486" t="s">
        <v>1384</v>
      </c>
      <c r="B1483" s="487" t="s">
        <v>1383</v>
      </c>
      <c r="C1483" s="488" t="s">
        <v>5896</v>
      </c>
      <c r="D1483" s="489" t="s">
        <v>5897</v>
      </c>
      <c r="E1483" s="487" t="s">
        <v>5898</v>
      </c>
      <c r="F1483" s="490">
        <v>12564</v>
      </c>
      <c r="G1483" s="489">
        <v>198.8</v>
      </c>
      <c r="H1483" s="489">
        <v>63.199199999999998</v>
      </c>
      <c r="I1483" s="487" t="s">
        <v>1499</v>
      </c>
      <c r="J1483" s="487" t="s">
        <v>1385</v>
      </c>
    </row>
    <row r="1484" spans="1:10" ht="15" x14ac:dyDescent="0.2">
      <c r="A1484" s="486" t="s">
        <v>1384</v>
      </c>
      <c r="B1484" s="487" t="s">
        <v>1383</v>
      </c>
      <c r="C1484" s="488" t="s">
        <v>5899</v>
      </c>
      <c r="D1484" s="489" t="s">
        <v>5900</v>
      </c>
      <c r="E1484" s="487" t="s">
        <v>5901</v>
      </c>
      <c r="F1484" s="490">
        <v>11385</v>
      </c>
      <c r="G1484" s="489">
        <v>190.7</v>
      </c>
      <c r="H1484" s="489">
        <v>59.701099999999997</v>
      </c>
      <c r="I1484" s="487" t="s">
        <v>1499</v>
      </c>
      <c r="J1484" s="487" t="s">
        <v>1385</v>
      </c>
    </row>
    <row r="1485" spans="1:10" ht="15" x14ac:dyDescent="0.2">
      <c r="A1485" s="486" t="s">
        <v>1384</v>
      </c>
      <c r="B1485" s="487" t="s">
        <v>1383</v>
      </c>
      <c r="C1485" s="488" t="s">
        <v>5902</v>
      </c>
      <c r="D1485" s="489" t="s">
        <v>5903</v>
      </c>
      <c r="E1485" s="487" t="s">
        <v>5904</v>
      </c>
      <c r="F1485" s="490">
        <v>6000</v>
      </c>
      <c r="G1485" s="489">
        <v>219.1</v>
      </c>
      <c r="H1485" s="489">
        <v>27.38476</v>
      </c>
      <c r="I1485" s="487" t="s">
        <v>1499</v>
      </c>
      <c r="J1485" s="487" t="s">
        <v>1385</v>
      </c>
    </row>
    <row r="1486" spans="1:10" ht="15" x14ac:dyDescent="0.2">
      <c r="A1486" s="486" t="s">
        <v>1384</v>
      </c>
      <c r="B1486" s="487" t="s">
        <v>1383</v>
      </c>
      <c r="C1486" s="488" t="s">
        <v>5905</v>
      </c>
      <c r="D1486" s="489" t="s">
        <v>5906</v>
      </c>
      <c r="E1486" s="487" t="s">
        <v>5907</v>
      </c>
      <c r="F1486" s="490">
        <v>6483</v>
      </c>
      <c r="G1486" s="489">
        <v>155.19999999999999</v>
      </c>
      <c r="H1486" s="489">
        <v>41.771909999999998</v>
      </c>
      <c r="I1486" s="487" t="s">
        <v>1499</v>
      </c>
      <c r="J1486" s="487" t="s">
        <v>1385</v>
      </c>
    </row>
    <row r="1487" spans="1:10" ht="15" x14ac:dyDescent="0.2">
      <c r="A1487" s="486" t="s">
        <v>1384</v>
      </c>
      <c r="B1487" s="487" t="s">
        <v>1383</v>
      </c>
      <c r="C1487" s="488" t="s">
        <v>5908</v>
      </c>
      <c r="D1487" s="489" t="s">
        <v>5909</v>
      </c>
      <c r="E1487" s="487" t="s">
        <v>3521</v>
      </c>
      <c r="F1487" s="490">
        <v>9500</v>
      </c>
      <c r="G1487" s="489">
        <v>186.4</v>
      </c>
      <c r="H1487" s="489">
        <v>50.965670000000003</v>
      </c>
      <c r="I1487" s="487" t="s">
        <v>1499</v>
      </c>
      <c r="J1487" s="487" t="s">
        <v>1385</v>
      </c>
    </row>
    <row r="1488" spans="1:10" ht="15" x14ac:dyDescent="0.2">
      <c r="A1488" s="486" t="s">
        <v>1384</v>
      </c>
      <c r="B1488" s="487" t="s">
        <v>1383</v>
      </c>
      <c r="C1488" s="488" t="s">
        <v>5910</v>
      </c>
      <c r="D1488" s="489" t="s">
        <v>5911</v>
      </c>
      <c r="E1488" s="487" t="s">
        <v>5912</v>
      </c>
      <c r="F1488" s="490">
        <v>25723</v>
      </c>
      <c r="G1488" s="489">
        <v>946.8</v>
      </c>
      <c r="H1488" s="489">
        <v>27.16836</v>
      </c>
      <c r="I1488" s="487" t="s">
        <v>1499</v>
      </c>
      <c r="J1488" s="487" t="s">
        <v>1385</v>
      </c>
    </row>
    <row r="1489" spans="1:10" ht="15" x14ac:dyDescent="0.2">
      <c r="A1489" s="486" t="s">
        <v>1384</v>
      </c>
      <c r="B1489" s="487" t="s">
        <v>1383</v>
      </c>
      <c r="C1489" s="488" t="s">
        <v>5913</v>
      </c>
      <c r="D1489" s="489" t="s">
        <v>5914</v>
      </c>
      <c r="E1489" s="487" t="s">
        <v>5915</v>
      </c>
      <c r="F1489" s="490">
        <v>3900</v>
      </c>
      <c r="G1489" s="489">
        <v>173.3</v>
      </c>
      <c r="H1489" s="489">
        <v>22.50433</v>
      </c>
      <c r="I1489" s="487" t="s">
        <v>1499</v>
      </c>
      <c r="J1489" s="487" t="s">
        <v>1385</v>
      </c>
    </row>
    <row r="1490" spans="1:10" ht="15" x14ac:dyDescent="0.2">
      <c r="A1490" s="486" t="s">
        <v>1384</v>
      </c>
      <c r="B1490" s="487" t="s">
        <v>1383</v>
      </c>
      <c r="C1490" s="488" t="s">
        <v>5916</v>
      </c>
      <c r="D1490" s="489" t="s">
        <v>5917</v>
      </c>
      <c r="E1490" s="487" t="s">
        <v>474</v>
      </c>
      <c r="F1490" s="490">
        <v>8500</v>
      </c>
      <c r="G1490" s="489">
        <v>226</v>
      </c>
      <c r="H1490" s="489">
        <v>37.610619999999997</v>
      </c>
      <c r="I1490" s="487" t="s">
        <v>1499</v>
      </c>
      <c r="J1490" s="487" t="s">
        <v>1385</v>
      </c>
    </row>
    <row r="1491" spans="1:10" ht="15" x14ac:dyDescent="0.2">
      <c r="A1491" s="486" t="s">
        <v>1384</v>
      </c>
      <c r="B1491" s="487" t="s">
        <v>1383</v>
      </c>
      <c r="C1491" s="488" t="s">
        <v>5918</v>
      </c>
      <c r="D1491" s="489" t="s">
        <v>5919</v>
      </c>
      <c r="E1491" s="487" t="s">
        <v>5920</v>
      </c>
      <c r="F1491" s="490">
        <v>16891.16</v>
      </c>
      <c r="G1491" s="489">
        <v>295.3</v>
      </c>
      <c r="H1491" s="489">
        <v>57.2</v>
      </c>
      <c r="I1491" s="487" t="s">
        <v>1499</v>
      </c>
      <c r="J1491" s="487" t="s">
        <v>1385</v>
      </c>
    </row>
    <row r="1492" spans="1:10" ht="15" x14ac:dyDescent="0.2">
      <c r="A1492" s="486" t="s">
        <v>1384</v>
      </c>
      <c r="B1492" s="487" t="s">
        <v>1383</v>
      </c>
      <c r="C1492" s="488" t="s">
        <v>5921</v>
      </c>
      <c r="D1492" s="489" t="s">
        <v>5922</v>
      </c>
      <c r="E1492" s="487" t="s">
        <v>5923</v>
      </c>
      <c r="F1492" s="490">
        <v>983</v>
      </c>
      <c r="G1492" s="489">
        <v>65.7</v>
      </c>
      <c r="H1492" s="489">
        <v>14.96195</v>
      </c>
      <c r="I1492" s="487" t="s">
        <v>1499</v>
      </c>
      <c r="J1492" s="487" t="s">
        <v>1385</v>
      </c>
    </row>
    <row r="1493" spans="1:10" ht="15" x14ac:dyDescent="0.2">
      <c r="A1493" s="486" t="s">
        <v>1384</v>
      </c>
      <c r="B1493" s="487" t="s">
        <v>1383</v>
      </c>
      <c r="C1493" s="488" t="s">
        <v>5924</v>
      </c>
      <c r="D1493" s="489" t="s">
        <v>5925</v>
      </c>
      <c r="E1493" s="487" t="s">
        <v>5926</v>
      </c>
      <c r="F1493" s="490">
        <v>5000</v>
      </c>
      <c r="G1493" s="489">
        <v>135.4</v>
      </c>
      <c r="H1493" s="489">
        <v>36.927619999999997</v>
      </c>
      <c r="I1493" s="487" t="s">
        <v>1499</v>
      </c>
      <c r="J1493" s="487" t="s">
        <v>1385</v>
      </c>
    </row>
    <row r="1494" spans="1:10" ht="15" x14ac:dyDescent="0.2">
      <c r="A1494" s="486" t="s">
        <v>1384</v>
      </c>
      <c r="B1494" s="487" t="s">
        <v>1383</v>
      </c>
      <c r="C1494" s="488" t="s">
        <v>5927</v>
      </c>
      <c r="D1494" s="489" t="s">
        <v>5928</v>
      </c>
      <c r="E1494" s="487" t="s">
        <v>5929</v>
      </c>
      <c r="F1494" s="490">
        <v>7036.92</v>
      </c>
      <c r="G1494" s="489">
        <v>174.7</v>
      </c>
      <c r="H1494" s="489">
        <v>40.28002</v>
      </c>
      <c r="I1494" s="487" t="s">
        <v>1499</v>
      </c>
      <c r="J1494" s="487" t="s">
        <v>1385</v>
      </c>
    </row>
    <row r="1495" spans="1:10" ht="15" x14ac:dyDescent="0.2">
      <c r="A1495" s="486" t="s">
        <v>1384</v>
      </c>
      <c r="B1495" s="487" t="s">
        <v>1383</v>
      </c>
      <c r="C1495" s="488" t="s">
        <v>5930</v>
      </c>
      <c r="D1495" s="489" t="s">
        <v>5931</v>
      </c>
      <c r="E1495" s="487" t="s">
        <v>5932</v>
      </c>
      <c r="F1495" s="490">
        <v>16319.6</v>
      </c>
      <c r="G1495" s="489">
        <v>679.7</v>
      </c>
      <c r="H1495" s="489">
        <v>24.01</v>
      </c>
      <c r="I1495" s="487" t="s">
        <v>1499</v>
      </c>
      <c r="J1495" s="487" t="s">
        <v>1385</v>
      </c>
    </row>
    <row r="1496" spans="1:10" ht="15" x14ac:dyDescent="0.2">
      <c r="A1496" s="486" t="s">
        <v>1384</v>
      </c>
      <c r="B1496" s="487" t="s">
        <v>1383</v>
      </c>
      <c r="C1496" s="488" t="s">
        <v>5933</v>
      </c>
      <c r="D1496" s="489" t="s">
        <v>5934</v>
      </c>
      <c r="E1496" s="487" t="s">
        <v>5935</v>
      </c>
      <c r="F1496" s="490">
        <v>12000</v>
      </c>
      <c r="G1496" s="489">
        <v>310.3</v>
      </c>
      <c r="H1496" s="489">
        <v>38.672249999999998</v>
      </c>
      <c r="I1496" s="487" t="s">
        <v>1499</v>
      </c>
      <c r="J1496" s="487" t="s">
        <v>1385</v>
      </c>
    </row>
    <row r="1497" spans="1:10" ht="15" x14ac:dyDescent="0.2">
      <c r="A1497" s="486" t="s">
        <v>1384</v>
      </c>
      <c r="B1497" s="487" t="s">
        <v>1383</v>
      </c>
      <c r="C1497" s="488" t="s">
        <v>5936</v>
      </c>
      <c r="D1497" s="489" t="s">
        <v>5937</v>
      </c>
      <c r="E1497" s="487" t="s">
        <v>5938</v>
      </c>
      <c r="F1497" s="490">
        <v>10863</v>
      </c>
      <c r="G1497" s="489">
        <v>203.2</v>
      </c>
      <c r="H1497" s="489">
        <v>53.459650000000003</v>
      </c>
      <c r="I1497" s="487" t="s">
        <v>1499</v>
      </c>
      <c r="J1497" s="487" t="s">
        <v>1385</v>
      </c>
    </row>
    <row r="1498" spans="1:10" ht="15" x14ac:dyDescent="0.2">
      <c r="A1498" s="486" t="s">
        <v>1384</v>
      </c>
      <c r="B1498" s="487" t="s">
        <v>1383</v>
      </c>
      <c r="C1498" s="488" t="s">
        <v>5939</v>
      </c>
      <c r="D1498" s="489" t="s">
        <v>5940</v>
      </c>
      <c r="E1498" s="487" t="s">
        <v>5941</v>
      </c>
      <c r="F1498" s="490">
        <v>2500</v>
      </c>
      <c r="G1498" s="489">
        <v>154.30000000000001</v>
      </c>
      <c r="H1498" s="489">
        <v>16.202200000000001</v>
      </c>
      <c r="I1498" s="487" t="s">
        <v>1499</v>
      </c>
      <c r="J1498" s="487" t="s">
        <v>1385</v>
      </c>
    </row>
    <row r="1499" spans="1:10" ht="15" x14ac:dyDescent="0.2">
      <c r="A1499" s="486" t="s">
        <v>1384</v>
      </c>
      <c r="B1499" s="487" t="s">
        <v>1383</v>
      </c>
      <c r="C1499" s="488" t="s">
        <v>5942</v>
      </c>
      <c r="D1499" s="489" t="s">
        <v>5943</v>
      </c>
      <c r="E1499" s="487" t="s">
        <v>5944</v>
      </c>
      <c r="F1499" s="490">
        <v>9000</v>
      </c>
      <c r="G1499" s="489">
        <v>200.1</v>
      </c>
      <c r="H1499" s="489">
        <v>44.977510000000002</v>
      </c>
      <c r="I1499" s="487" t="s">
        <v>1499</v>
      </c>
      <c r="J1499" s="487" t="s">
        <v>1385</v>
      </c>
    </row>
    <row r="1500" spans="1:10" ht="15" x14ac:dyDescent="0.2">
      <c r="A1500" s="486" t="s">
        <v>1384</v>
      </c>
      <c r="B1500" s="487" t="s">
        <v>1383</v>
      </c>
      <c r="C1500" s="488" t="s">
        <v>5945</v>
      </c>
      <c r="D1500" s="489" t="s">
        <v>5946</v>
      </c>
      <c r="E1500" s="487" t="s">
        <v>5947</v>
      </c>
      <c r="F1500" s="490">
        <v>13260.75</v>
      </c>
      <c r="G1500" s="489">
        <v>324.7</v>
      </c>
      <c r="H1500" s="489">
        <v>40.840009999999999</v>
      </c>
      <c r="I1500" s="487" t="s">
        <v>1499</v>
      </c>
      <c r="J1500" s="487" t="s">
        <v>1385</v>
      </c>
    </row>
    <row r="1501" spans="1:10" ht="15" x14ac:dyDescent="0.2">
      <c r="A1501" s="486" t="s">
        <v>1384</v>
      </c>
      <c r="B1501" s="487" t="s">
        <v>1383</v>
      </c>
      <c r="C1501" s="488" t="s">
        <v>5948</v>
      </c>
      <c r="D1501" s="489" t="s">
        <v>5949</v>
      </c>
      <c r="E1501" s="487" t="s">
        <v>5950</v>
      </c>
      <c r="F1501" s="490">
        <v>3000</v>
      </c>
      <c r="G1501" s="489">
        <v>116.3</v>
      </c>
      <c r="H1501" s="489">
        <v>25.795359999999999</v>
      </c>
      <c r="I1501" s="487" t="s">
        <v>1499</v>
      </c>
      <c r="J1501" s="487" t="s">
        <v>1385</v>
      </c>
    </row>
    <row r="1502" spans="1:10" ht="15" x14ac:dyDescent="0.2">
      <c r="A1502" s="486" t="s">
        <v>1384</v>
      </c>
      <c r="B1502" s="487" t="s">
        <v>1383</v>
      </c>
      <c r="C1502" s="488" t="s">
        <v>5951</v>
      </c>
      <c r="D1502" s="489" t="s">
        <v>5952</v>
      </c>
      <c r="E1502" s="487" t="s">
        <v>2110</v>
      </c>
      <c r="F1502" s="490">
        <v>15680.25</v>
      </c>
      <c r="G1502" s="489">
        <v>287.5</v>
      </c>
      <c r="H1502" s="489">
        <v>54.54</v>
      </c>
      <c r="I1502" s="487" t="s">
        <v>1499</v>
      </c>
      <c r="J1502" s="487" t="s">
        <v>1385</v>
      </c>
    </row>
    <row r="1503" spans="1:10" ht="15" x14ac:dyDescent="0.2">
      <c r="A1503" s="486" t="s">
        <v>1384</v>
      </c>
      <c r="B1503" s="487" t="s">
        <v>1383</v>
      </c>
      <c r="C1503" s="488" t="s">
        <v>5953</v>
      </c>
      <c r="D1503" s="489" t="s">
        <v>5954</v>
      </c>
      <c r="E1503" s="487" t="s">
        <v>5955</v>
      </c>
      <c r="F1503" s="490">
        <v>21235</v>
      </c>
      <c r="G1503" s="489">
        <v>607.79999999999995</v>
      </c>
      <c r="H1503" s="489">
        <v>34.937480000000001</v>
      </c>
      <c r="I1503" s="487" t="s">
        <v>1499</v>
      </c>
      <c r="J1503" s="487" t="s">
        <v>1385</v>
      </c>
    </row>
    <row r="1504" spans="1:10" ht="15" x14ac:dyDescent="0.2">
      <c r="A1504" s="486" t="s">
        <v>1384</v>
      </c>
      <c r="B1504" s="487" t="s">
        <v>1383</v>
      </c>
      <c r="C1504" s="488" t="s">
        <v>5956</v>
      </c>
      <c r="D1504" s="489" t="s">
        <v>5957</v>
      </c>
      <c r="E1504" s="487" t="s">
        <v>5958</v>
      </c>
      <c r="F1504" s="490">
        <v>28632.85</v>
      </c>
      <c r="G1504" s="489">
        <v>571.4</v>
      </c>
      <c r="H1504" s="489">
        <v>50.109990000000003</v>
      </c>
      <c r="I1504" s="487" t="s">
        <v>1499</v>
      </c>
      <c r="J1504" s="487" t="s">
        <v>1385</v>
      </c>
    </row>
    <row r="1505" spans="1:10" ht="15" x14ac:dyDescent="0.2">
      <c r="A1505" s="486" t="s">
        <v>1384</v>
      </c>
      <c r="B1505" s="487" t="s">
        <v>1383</v>
      </c>
      <c r="C1505" s="488" t="s">
        <v>5959</v>
      </c>
      <c r="D1505" s="489" t="s">
        <v>5960</v>
      </c>
      <c r="E1505" s="487" t="s">
        <v>5961</v>
      </c>
      <c r="F1505" s="490">
        <v>0</v>
      </c>
      <c r="G1505" s="489">
        <v>49</v>
      </c>
      <c r="H1505" s="489">
        <v>0</v>
      </c>
      <c r="I1505" s="487" t="s">
        <v>1593</v>
      </c>
      <c r="J1505" s="487" t="s">
        <v>1385</v>
      </c>
    </row>
    <row r="1506" spans="1:10" ht="15" x14ac:dyDescent="0.2">
      <c r="A1506" s="486" t="s">
        <v>1384</v>
      </c>
      <c r="B1506" s="487" t="s">
        <v>1383</v>
      </c>
      <c r="C1506" s="488" t="s">
        <v>5962</v>
      </c>
      <c r="D1506" s="489" t="s">
        <v>5963</v>
      </c>
      <c r="E1506" s="487" t="s">
        <v>5964</v>
      </c>
      <c r="F1506" s="490">
        <v>13125</v>
      </c>
      <c r="G1506" s="489">
        <v>244.9</v>
      </c>
      <c r="H1506" s="489">
        <v>53.593299999999999</v>
      </c>
      <c r="I1506" s="487" t="s">
        <v>1499</v>
      </c>
      <c r="J1506" s="487" t="s">
        <v>1385</v>
      </c>
    </row>
    <row r="1507" spans="1:10" ht="15" x14ac:dyDescent="0.2">
      <c r="A1507" s="486" t="s">
        <v>1384</v>
      </c>
      <c r="B1507" s="487" t="s">
        <v>1383</v>
      </c>
      <c r="C1507" s="488" t="s">
        <v>5965</v>
      </c>
      <c r="D1507" s="489" t="s">
        <v>5966</v>
      </c>
      <c r="E1507" s="487" t="s">
        <v>5967</v>
      </c>
      <c r="F1507" s="490">
        <v>1795</v>
      </c>
      <c r="G1507" s="489">
        <v>75.5</v>
      </c>
      <c r="H1507" s="489">
        <v>23.774830000000001</v>
      </c>
      <c r="I1507" s="487" t="s">
        <v>1499</v>
      </c>
      <c r="J1507" s="487" t="s">
        <v>1385</v>
      </c>
    </row>
    <row r="1508" spans="1:10" ht="15" x14ac:dyDescent="0.2">
      <c r="A1508" s="486" t="s">
        <v>1384</v>
      </c>
      <c r="B1508" s="487" t="s">
        <v>1383</v>
      </c>
      <c r="C1508" s="488" t="s">
        <v>5968</v>
      </c>
      <c r="D1508" s="489" t="s">
        <v>5969</v>
      </c>
      <c r="E1508" s="487" t="s">
        <v>5970</v>
      </c>
      <c r="F1508" s="490">
        <v>14050</v>
      </c>
      <c r="G1508" s="489">
        <v>255.1</v>
      </c>
      <c r="H1508" s="489">
        <v>55.076439999999998</v>
      </c>
      <c r="I1508" s="487" t="s">
        <v>1499</v>
      </c>
      <c r="J1508" s="487" t="s">
        <v>1385</v>
      </c>
    </row>
    <row r="1509" spans="1:10" ht="15" x14ac:dyDescent="0.2">
      <c r="A1509" s="486" t="s">
        <v>1384</v>
      </c>
      <c r="B1509" s="487" t="s">
        <v>1383</v>
      </c>
      <c r="C1509" s="488" t="s">
        <v>5971</v>
      </c>
      <c r="D1509" s="489" t="s">
        <v>5972</v>
      </c>
      <c r="E1509" s="487" t="s">
        <v>5973</v>
      </c>
      <c r="F1509" s="490">
        <v>13795</v>
      </c>
      <c r="G1509" s="489">
        <v>449</v>
      </c>
      <c r="H1509" s="489">
        <v>30.72383</v>
      </c>
      <c r="I1509" s="487" t="s">
        <v>1499</v>
      </c>
      <c r="J1509" s="487" t="s">
        <v>1385</v>
      </c>
    </row>
    <row r="1510" spans="1:10" ht="15" x14ac:dyDescent="0.2">
      <c r="A1510" s="486" t="s">
        <v>1384</v>
      </c>
      <c r="B1510" s="487" t="s">
        <v>1383</v>
      </c>
      <c r="C1510" s="488" t="s">
        <v>5974</v>
      </c>
      <c r="D1510" s="489" t="s">
        <v>5975</v>
      </c>
      <c r="E1510" s="487" t="s">
        <v>5976</v>
      </c>
      <c r="F1510" s="490">
        <v>15000</v>
      </c>
      <c r="G1510" s="489">
        <v>423.2</v>
      </c>
      <c r="H1510" s="489">
        <v>35.444229999999997</v>
      </c>
      <c r="I1510" s="487" t="s">
        <v>1499</v>
      </c>
      <c r="J1510" s="487" t="s">
        <v>1385</v>
      </c>
    </row>
    <row r="1511" spans="1:10" ht="15" x14ac:dyDescent="0.2">
      <c r="A1511" s="486" t="s">
        <v>1384</v>
      </c>
      <c r="B1511" s="487" t="s">
        <v>1383</v>
      </c>
      <c r="C1511" s="488" t="s">
        <v>5977</v>
      </c>
      <c r="D1511" s="489" t="s">
        <v>5978</v>
      </c>
      <c r="E1511" s="487" t="s">
        <v>5979</v>
      </c>
      <c r="F1511" s="490">
        <v>24439.87</v>
      </c>
      <c r="G1511" s="489">
        <v>695.5</v>
      </c>
      <c r="H1511" s="489">
        <v>35.14</v>
      </c>
      <c r="I1511" s="487" t="s">
        <v>1499</v>
      </c>
      <c r="J1511" s="487" t="s">
        <v>1385</v>
      </c>
    </row>
    <row r="1512" spans="1:10" ht="15" x14ac:dyDescent="0.2">
      <c r="A1512" s="486" t="s">
        <v>1384</v>
      </c>
      <c r="B1512" s="487" t="s">
        <v>1383</v>
      </c>
      <c r="C1512" s="488" t="s">
        <v>5980</v>
      </c>
      <c r="D1512" s="489" t="s">
        <v>5981</v>
      </c>
      <c r="E1512" s="487" t="s">
        <v>5982</v>
      </c>
      <c r="F1512" s="490">
        <v>314198</v>
      </c>
      <c r="G1512" s="489">
        <v>2460.1999999999998</v>
      </c>
      <c r="H1512" s="489">
        <v>127.71238</v>
      </c>
      <c r="I1512" s="487" t="s">
        <v>1499</v>
      </c>
      <c r="J1512" s="487" t="s">
        <v>1385</v>
      </c>
    </row>
    <row r="1513" spans="1:10" ht="15" x14ac:dyDescent="0.2">
      <c r="A1513" s="486" t="s">
        <v>1384</v>
      </c>
      <c r="B1513" s="487" t="s">
        <v>1383</v>
      </c>
      <c r="C1513" s="488" t="s">
        <v>5983</v>
      </c>
      <c r="D1513" s="489" t="s">
        <v>5984</v>
      </c>
      <c r="E1513" s="487" t="s">
        <v>5985</v>
      </c>
      <c r="F1513" s="490">
        <v>35750</v>
      </c>
      <c r="G1513" s="489">
        <v>413.1</v>
      </c>
      <c r="H1513" s="489">
        <v>86.540790000000001</v>
      </c>
      <c r="I1513" s="487" t="s">
        <v>1499</v>
      </c>
      <c r="J1513" s="487" t="s">
        <v>1385</v>
      </c>
    </row>
    <row r="1514" spans="1:10" ht="15" x14ac:dyDescent="0.2">
      <c r="A1514" s="486" t="s">
        <v>1384</v>
      </c>
      <c r="B1514" s="487" t="s">
        <v>1383</v>
      </c>
      <c r="C1514" s="488" t="s">
        <v>5986</v>
      </c>
      <c r="D1514" s="489" t="s">
        <v>5987</v>
      </c>
      <c r="E1514" s="487" t="s">
        <v>5988</v>
      </c>
      <c r="F1514" s="490">
        <v>0</v>
      </c>
      <c r="G1514" s="489">
        <v>29.7</v>
      </c>
      <c r="H1514" s="489">
        <v>0</v>
      </c>
      <c r="I1514" s="487" t="s">
        <v>1593</v>
      </c>
      <c r="J1514" s="487" t="s">
        <v>1385</v>
      </c>
    </row>
    <row r="1515" spans="1:10" ht="15" x14ac:dyDescent="0.2">
      <c r="A1515" s="486" t="s">
        <v>1384</v>
      </c>
      <c r="B1515" s="487" t="s">
        <v>1383</v>
      </c>
      <c r="C1515" s="488" t="s">
        <v>5989</v>
      </c>
      <c r="D1515" s="489" t="s">
        <v>5990</v>
      </c>
      <c r="E1515" s="487" t="s">
        <v>5991</v>
      </c>
      <c r="F1515" s="490">
        <v>10954</v>
      </c>
      <c r="G1515" s="489">
        <v>121</v>
      </c>
      <c r="H1515" s="489">
        <v>90.528930000000003</v>
      </c>
      <c r="I1515" s="487" t="s">
        <v>1499</v>
      </c>
      <c r="J1515" s="487" t="s">
        <v>1385</v>
      </c>
    </row>
    <row r="1516" spans="1:10" ht="15" x14ac:dyDescent="0.2">
      <c r="A1516" s="486" t="s">
        <v>1384</v>
      </c>
      <c r="B1516" s="487" t="s">
        <v>1383</v>
      </c>
      <c r="C1516" s="488" t="s">
        <v>5992</v>
      </c>
      <c r="D1516" s="489" t="s">
        <v>5993</v>
      </c>
      <c r="E1516" s="487" t="s">
        <v>5994</v>
      </c>
      <c r="F1516" s="490">
        <v>8000</v>
      </c>
      <c r="G1516" s="489">
        <v>576.9</v>
      </c>
      <c r="H1516" s="489">
        <v>13.86722</v>
      </c>
      <c r="I1516" s="487" t="s">
        <v>2465</v>
      </c>
      <c r="J1516" s="487" t="s">
        <v>1385</v>
      </c>
    </row>
    <row r="1517" spans="1:10" ht="15" x14ac:dyDescent="0.2">
      <c r="A1517" s="486" t="s">
        <v>1384</v>
      </c>
      <c r="B1517" s="487" t="s">
        <v>1383</v>
      </c>
      <c r="C1517" s="488" t="s">
        <v>5995</v>
      </c>
      <c r="D1517" s="489" t="s">
        <v>5996</v>
      </c>
      <c r="E1517" s="487" t="s">
        <v>5997</v>
      </c>
      <c r="F1517" s="490">
        <v>0</v>
      </c>
      <c r="G1517" s="489">
        <v>67</v>
      </c>
      <c r="H1517" s="489">
        <v>0</v>
      </c>
      <c r="I1517" s="487" t="s">
        <v>1593</v>
      </c>
      <c r="J1517" s="487" t="s">
        <v>1385</v>
      </c>
    </row>
    <row r="1518" spans="1:10" ht="15" x14ac:dyDescent="0.2">
      <c r="A1518" s="486" t="s">
        <v>1384</v>
      </c>
      <c r="B1518" s="487" t="s">
        <v>1383</v>
      </c>
      <c r="C1518" s="488" t="s">
        <v>5998</v>
      </c>
      <c r="D1518" s="489" t="s">
        <v>5999</v>
      </c>
      <c r="E1518" s="487" t="s">
        <v>6000</v>
      </c>
      <c r="F1518" s="490">
        <v>4952</v>
      </c>
      <c r="G1518" s="489">
        <v>160</v>
      </c>
      <c r="H1518" s="489">
        <v>30.95</v>
      </c>
      <c r="I1518" s="487" t="s">
        <v>1499</v>
      </c>
      <c r="J1518" s="487" t="s">
        <v>1385</v>
      </c>
    </row>
    <row r="1519" spans="1:10" ht="15" x14ac:dyDescent="0.2">
      <c r="A1519" s="486" t="s">
        <v>1384</v>
      </c>
      <c r="B1519" s="487" t="s">
        <v>1383</v>
      </c>
      <c r="C1519" s="488" t="s">
        <v>6001</v>
      </c>
      <c r="D1519" s="489" t="s">
        <v>6002</v>
      </c>
      <c r="E1519" s="487" t="s">
        <v>6003</v>
      </c>
      <c r="F1519" s="490">
        <v>4500</v>
      </c>
      <c r="G1519" s="489">
        <v>146.5</v>
      </c>
      <c r="H1519" s="489">
        <v>30.716719999999999</v>
      </c>
      <c r="I1519" s="487" t="s">
        <v>1499</v>
      </c>
      <c r="J1519" s="487" t="s">
        <v>1385</v>
      </c>
    </row>
    <row r="1520" spans="1:10" ht="15" x14ac:dyDescent="0.2">
      <c r="A1520" s="486" t="s">
        <v>1384</v>
      </c>
      <c r="B1520" s="487" t="s">
        <v>1383</v>
      </c>
      <c r="C1520" s="488" t="s">
        <v>6004</v>
      </c>
      <c r="D1520" s="489" t="s">
        <v>6005</v>
      </c>
      <c r="E1520" s="487" t="s">
        <v>6006</v>
      </c>
      <c r="F1520" s="490">
        <v>261559</v>
      </c>
      <c r="G1520" s="489">
        <v>2391.9</v>
      </c>
      <c r="H1520" s="489">
        <v>109.35198</v>
      </c>
      <c r="I1520" s="487" t="s">
        <v>1499</v>
      </c>
      <c r="J1520" s="487" t="s">
        <v>1385</v>
      </c>
    </row>
    <row r="1521" spans="1:10" ht="15" x14ac:dyDescent="0.2">
      <c r="A1521" s="486" t="s">
        <v>1384</v>
      </c>
      <c r="B1521" s="487" t="s">
        <v>1383</v>
      </c>
      <c r="C1521" s="488" t="s">
        <v>6007</v>
      </c>
      <c r="D1521" s="489" t="s">
        <v>6008</v>
      </c>
      <c r="E1521" s="487" t="s">
        <v>6009</v>
      </c>
      <c r="F1521" s="490">
        <v>400</v>
      </c>
      <c r="G1521" s="489">
        <v>126.4</v>
      </c>
      <c r="H1521" s="489">
        <v>3.1645599999999998</v>
      </c>
      <c r="I1521" s="487" t="s">
        <v>1499</v>
      </c>
      <c r="J1521" s="487" t="s">
        <v>1385</v>
      </c>
    </row>
    <row r="1522" spans="1:10" ht="15" x14ac:dyDescent="0.2">
      <c r="A1522" s="486" t="s">
        <v>1384</v>
      </c>
      <c r="B1522" s="487" t="s">
        <v>1383</v>
      </c>
      <c r="C1522" s="488" t="s">
        <v>6010</v>
      </c>
      <c r="D1522" s="489" t="s">
        <v>6011</v>
      </c>
      <c r="E1522" s="487" t="s">
        <v>6012</v>
      </c>
      <c r="F1522" s="490">
        <v>9294.7199999999993</v>
      </c>
      <c r="G1522" s="489">
        <v>221.9</v>
      </c>
      <c r="H1522" s="489">
        <v>41.886980000000001</v>
      </c>
      <c r="I1522" s="487" t="s">
        <v>1499</v>
      </c>
      <c r="J1522" s="487" t="s">
        <v>1385</v>
      </c>
    </row>
    <row r="1523" spans="1:10" ht="15" x14ac:dyDescent="0.2">
      <c r="A1523" s="486" t="s">
        <v>1384</v>
      </c>
      <c r="B1523" s="487" t="s">
        <v>1383</v>
      </c>
      <c r="C1523" s="488" t="s">
        <v>6013</v>
      </c>
      <c r="D1523" s="489" t="s">
        <v>6014</v>
      </c>
      <c r="E1523" s="487" t="s">
        <v>6015</v>
      </c>
      <c r="F1523" s="490">
        <v>2650</v>
      </c>
      <c r="G1523" s="489">
        <v>111.2</v>
      </c>
      <c r="H1523" s="489">
        <v>23.830939999999998</v>
      </c>
      <c r="I1523" s="487" t="s">
        <v>1499</v>
      </c>
      <c r="J1523" s="487" t="s">
        <v>1385</v>
      </c>
    </row>
    <row r="1524" spans="1:10" ht="15" x14ac:dyDescent="0.2">
      <c r="A1524" s="486" t="s">
        <v>1384</v>
      </c>
      <c r="B1524" s="487" t="s">
        <v>1383</v>
      </c>
      <c r="C1524" s="488" t="s">
        <v>6016</v>
      </c>
      <c r="D1524" s="489" t="s">
        <v>6017</v>
      </c>
      <c r="E1524" s="487" t="s">
        <v>6018</v>
      </c>
      <c r="F1524" s="490">
        <v>15574.65</v>
      </c>
      <c r="G1524" s="489">
        <v>393.2</v>
      </c>
      <c r="H1524" s="489">
        <v>39.609990000000003</v>
      </c>
      <c r="I1524" s="487" t="s">
        <v>1499</v>
      </c>
      <c r="J1524" s="487" t="s">
        <v>1385</v>
      </c>
    </row>
    <row r="1525" spans="1:10" ht="15" x14ac:dyDescent="0.2">
      <c r="A1525" s="486" t="s">
        <v>1384</v>
      </c>
      <c r="B1525" s="487" t="s">
        <v>1383</v>
      </c>
      <c r="C1525" s="488" t="s">
        <v>6019</v>
      </c>
      <c r="D1525" s="489" t="s">
        <v>6020</v>
      </c>
      <c r="E1525" s="487" t="s">
        <v>6021</v>
      </c>
      <c r="F1525" s="490">
        <v>1300</v>
      </c>
      <c r="G1525" s="489">
        <v>68.400000000000006</v>
      </c>
      <c r="H1525" s="489">
        <v>19.005849999999999</v>
      </c>
      <c r="I1525" s="487" t="s">
        <v>1499</v>
      </c>
      <c r="J1525" s="487" t="s">
        <v>1385</v>
      </c>
    </row>
    <row r="1526" spans="1:10" ht="15" x14ac:dyDescent="0.2">
      <c r="A1526" s="486" t="s">
        <v>1384</v>
      </c>
      <c r="B1526" s="487" t="s">
        <v>1383</v>
      </c>
      <c r="C1526" s="488" t="s">
        <v>6022</v>
      </c>
      <c r="D1526" s="489" t="s">
        <v>6023</v>
      </c>
      <c r="E1526" s="487" t="s">
        <v>6024</v>
      </c>
      <c r="F1526" s="490">
        <v>12000</v>
      </c>
      <c r="G1526" s="489">
        <v>434.4</v>
      </c>
      <c r="H1526" s="489">
        <v>27.624310000000001</v>
      </c>
      <c r="I1526" s="487" t="s">
        <v>1499</v>
      </c>
      <c r="J1526" s="487" t="s">
        <v>1385</v>
      </c>
    </row>
    <row r="1527" spans="1:10" ht="15" x14ac:dyDescent="0.2">
      <c r="A1527" s="486" t="s">
        <v>1384</v>
      </c>
      <c r="B1527" s="487" t="s">
        <v>1383</v>
      </c>
      <c r="C1527" s="488" t="s">
        <v>6025</v>
      </c>
      <c r="D1527" s="489" t="s">
        <v>6026</v>
      </c>
      <c r="E1527" s="487" t="s">
        <v>6027</v>
      </c>
      <c r="F1527" s="490">
        <v>12000</v>
      </c>
      <c r="G1527" s="489">
        <v>430.4</v>
      </c>
      <c r="H1527" s="489">
        <v>27.881039999999999</v>
      </c>
      <c r="I1527" s="487" t="s">
        <v>1499</v>
      </c>
      <c r="J1527" s="487" t="s">
        <v>1385</v>
      </c>
    </row>
    <row r="1528" spans="1:10" ht="15" x14ac:dyDescent="0.2">
      <c r="A1528" s="486" t="s">
        <v>1384</v>
      </c>
      <c r="B1528" s="487" t="s">
        <v>1383</v>
      </c>
      <c r="C1528" s="488" t="s">
        <v>6028</v>
      </c>
      <c r="D1528" s="489" t="s">
        <v>6029</v>
      </c>
      <c r="E1528" s="487" t="s">
        <v>6030</v>
      </c>
      <c r="F1528" s="490">
        <v>0</v>
      </c>
      <c r="G1528" s="489">
        <v>10.6</v>
      </c>
      <c r="H1528" s="489">
        <v>0</v>
      </c>
      <c r="I1528" s="487" t="s">
        <v>1593</v>
      </c>
      <c r="J1528" s="487" t="s">
        <v>1385</v>
      </c>
    </row>
    <row r="1529" spans="1:10" ht="15" x14ac:dyDescent="0.2">
      <c r="A1529" s="486" t="s">
        <v>1384</v>
      </c>
      <c r="B1529" s="487" t="s">
        <v>1383</v>
      </c>
      <c r="C1529" s="488" t="s">
        <v>6031</v>
      </c>
      <c r="D1529" s="489" t="s">
        <v>6032</v>
      </c>
      <c r="E1529" s="487" t="s">
        <v>6033</v>
      </c>
      <c r="F1529" s="490">
        <v>12327.85</v>
      </c>
      <c r="G1529" s="489">
        <v>184.9</v>
      </c>
      <c r="H1529" s="489">
        <v>66.673069999999996</v>
      </c>
      <c r="I1529" s="487" t="s">
        <v>1499</v>
      </c>
      <c r="J1529" s="487" t="s">
        <v>1385</v>
      </c>
    </row>
    <row r="1530" spans="1:10" ht="15" x14ac:dyDescent="0.2">
      <c r="A1530" s="486" t="s">
        <v>1384</v>
      </c>
      <c r="B1530" s="487" t="s">
        <v>1383</v>
      </c>
      <c r="C1530" s="488" t="s">
        <v>6034</v>
      </c>
      <c r="D1530" s="489" t="s">
        <v>6035</v>
      </c>
      <c r="E1530" s="487" t="s">
        <v>6036</v>
      </c>
      <c r="F1530" s="490">
        <v>15500.16</v>
      </c>
      <c r="G1530" s="489">
        <v>1079.9000000000001</v>
      </c>
      <c r="H1530" s="489">
        <v>14.35333</v>
      </c>
      <c r="I1530" s="487" t="s">
        <v>1499</v>
      </c>
      <c r="J1530" s="487" t="s">
        <v>1385</v>
      </c>
    </row>
    <row r="1531" spans="1:10" ht="15" x14ac:dyDescent="0.2">
      <c r="A1531" s="486" t="s">
        <v>1384</v>
      </c>
      <c r="B1531" s="487" t="s">
        <v>1383</v>
      </c>
      <c r="C1531" s="488" t="s">
        <v>6037</v>
      </c>
      <c r="D1531" s="489" t="s">
        <v>6038</v>
      </c>
      <c r="E1531" s="487" t="s">
        <v>6039</v>
      </c>
      <c r="F1531" s="490">
        <v>16150</v>
      </c>
      <c r="G1531" s="489">
        <v>371.8</v>
      </c>
      <c r="H1531" s="489">
        <v>43.437330000000003</v>
      </c>
      <c r="I1531" s="487" t="s">
        <v>1499</v>
      </c>
      <c r="J1531" s="487" t="s">
        <v>1385</v>
      </c>
    </row>
    <row r="1532" spans="1:10" ht="15" x14ac:dyDescent="0.2">
      <c r="A1532" s="486" t="s">
        <v>1384</v>
      </c>
      <c r="B1532" s="487" t="s">
        <v>1383</v>
      </c>
      <c r="C1532" s="488" t="s">
        <v>6040</v>
      </c>
      <c r="D1532" s="489" t="s">
        <v>6041</v>
      </c>
      <c r="E1532" s="487" t="s">
        <v>6042</v>
      </c>
      <c r="F1532" s="490">
        <v>0</v>
      </c>
      <c r="G1532" s="489">
        <v>115.3</v>
      </c>
      <c r="H1532" s="489">
        <v>0</v>
      </c>
      <c r="I1532" s="487" t="s">
        <v>1593</v>
      </c>
      <c r="J1532" s="487" t="s">
        <v>1385</v>
      </c>
    </row>
    <row r="1533" spans="1:10" ht="15" x14ac:dyDescent="0.2">
      <c r="A1533" s="486" t="s">
        <v>1384</v>
      </c>
      <c r="B1533" s="487" t="s">
        <v>1383</v>
      </c>
      <c r="C1533" s="488" t="s">
        <v>6043</v>
      </c>
      <c r="D1533" s="489" t="s">
        <v>6044</v>
      </c>
      <c r="E1533" s="487" t="s">
        <v>3922</v>
      </c>
      <c r="F1533" s="490">
        <v>26500</v>
      </c>
      <c r="G1533" s="489">
        <v>606.20000000000005</v>
      </c>
      <c r="H1533" s="489">
        <v>43.714950000000002</v>
      </c>
      <c r="I1533" s="487" t="s">
        <v>1499</v>
      </c>
      <c r="J1533" s="487" t="s">
        <v>1385</v>
      </c>
    </row>
    <row r="1534" spans="1:10" ht="15" x14ac:dyDescent="0.2">
      <c r="A1534" s="486" t="s">
        <v>1384</v>
      </c>
      <c r="B1534" s="487" t="s">
        <v>1383</v>
      </c>
      <c r="C1534" s="488" t="s">
        <v>6045</v>
      </c>
      <c r="D1534" s="489" t="s">
        <v>6046</v>
      </c>
      <c r="E1534" s="487" t="s">
        <v>6047</v>
      </c>
      <c r="F1534" s="490">
        <v>5400</v>
      </c>
      <c r="G1534" s="489">
        <v>215.5</v>
      </c>
      <c r="H1534" s="489">
        <v>25.058</v>
      </c>
      <c r="I1534" s="487" t="s">
        <v>1499</v>
      </c>
      <c r="J1534" s="487" t="s">
        <v>1385</v>
      </c>
    </row>
    <row r="1535" spans="1:10" ht="15" x14ac:dyDescent="0.2">
      <c r="A1535" s="486" t="s">
        <v>1384</v>
      </c>
      <c r="B1535" s="487" t="s">
        <v>1383</v>
      </c>
      <c r="C1535" s="488" t="s">
        <v>6048</v>
      </c>
      <c r="D1535" s="489" t="s">
        <v>6049</v>
      </c>
      <c r="E1535" s="487" t="s">
        <v>1855</v>
      </c>
      <c r="F1535" s="490">
        <v>2787</v>
      </c>
      <c r="G1535" s="489">
        <v>229.2</v>
      </c>
      <c r="H1535" s="489">
        <v>12.159689999999999</v>
      </c>
      <c r="I1535" s="487" t="s">
        <v>1499</v>
      </c>
      <c r="J1535" s="487" t="s">
        <v>1385</v>
      </c>
    </row>
    <row r="1536" spans="1:10" ht="15" x14ac:dyDescent="0.2">
      <c r="A1536" s="486" t="s">
        <v>1384</v>
      </c>
      <c r="B1536" s="487" t="s">
        <v>1383</v>
      </c>
      <c r="C1536" s="488" t="s">
        <v>6050</v>
      </c>
      <c r="D1536" s="489" t="s">
        <v>6051</v>
      </c>
      <c r="E1536" s="487" t="s">
        <v>6052</v>
      </c>
      <c r="F1536" s="490">
        <v>5907.71</v>
      </c>
      <c r="G1536" s="489">
        <v>122.6</v>
      </c>
      <c r="H1536" s="489">
        <v>48.186869999999999</v>
      </c>
      <c r="I1536" s="487" t="s">
        <v>1499</v>
      </c>
      <c r="J1536" s="487" t="s">
        <v>1385</v>
      </c>
    </row>
    <row r="1537" spans="1:10" ht="15" x14ac:dyDescent="0.2">
      <c r="A1537" s="486" t="s">
        <v>1384</v>
      </c>
      <c r="B1537" s="487" t="s">
        <v>1383</v>
      </c>
      <c r="C1537" s="488" t="s">
        <v>6053</v>
      </c>
      <c r="D1537" s="489" t="s">
        <v>6054</v>
      </c>
      <c r="E1537" s="487" t="s">
        <v>6055</v>
      </c>
      <c r="F1537" s="490">
        <v>1600</v>
      </c>
      <c r="G1537" s="489">
        <v>50.5</v>
      </c>
      <c r="H1537" s="489">
        <v>31.68317</v>
      </c>
      <c r="I1537" s="487" t="s">
        <v>1499</v>
      </c>
      <c r="J1537" s="487" t="s">
        <v>1385</v>
      </c>
    </row>
    <row r="1538" spans="1:10" ht="15" x14ac:dyDescent="0.2">
      <c r="A1538" s="486" t="s">
        <v>1384</v>
      </c>
      <c r="B1538" s="487" t="s">
        <v>1383</v>
      </c>
      <c r="C1538" s="488" t="s">
        <v>6056</v>
      </c>
      <c r="D1538" s="489" t="s">
        <v>6057</v>
      </c>
      <c r="E1538" s="487" t="s">
        <v>6058</v>
      </c>
      <c r="F1538" s="490">
        <v>712496</v>
      </c>
      <c r="G1538" s="489">
        <v>11378</v>
      </c>
      <c r="H1538" s="489">
        <v>62.6205</v>
      </c>
      <c r="I1538" s="487" t="s">
        <v>1499</v>
      </c>
      <c r="J1538" s="487" t="s">
        <v>1385</v>
      </c>
    </row>
    <row r="1539" spans="1:10" ht="15" x14ac:dyDescent="0.2">
      <c r="A1539" s="486" t="s">
        <v>1384</v>
      </c>
      <c r="B1539" s="487" t="s">
        <v>1383</v>
      </c>
      <c r="C1539" s="488" t="s">
        <v>6059</v>
      </c>
      <c r="D1539" s="489" t="s">
        <v>6060</v>
      </c>
      <c r="E1539" s="487" t="s">
        <v>6061</v>
      </c>
      <c r="F1539" s="490">
        <v>500</v>
      </c>
      <c r="G1539" s="489">
        <v>79</v>
      </c>
      <c r="H1539" s="489">
        <v>6.32911</v>
      </c>
      <c r="I1539" s="487" t="s">
        <v>1499</v>
      </c>
      <c r="J1539" s="487" t="s">
        <v>1385</v>
      </c>
    </row>
    <row r="1540" spans="1:10" ht="15" x14ac:dyDescent="0.2">
      <c r="A1540" s="486" t="s">
        <v>1384</v>
      </c>
      <c r="B1540" s="487" t="s">
        <v>1383</v>
      </c>
      <c r="C1540" s="488" t="s">
        <v>6062</v>
      </c>
      <c r="D1540" s="489" t="s">
        <v>6063</v>
      </c>
      <c r="E1540" s="487" t="s">
        <v>6064</v>
      </c>
      <c r="F1540" s="490">
        <v>0</v>
      </c>
      <c r="G1540" s="489">
        <v>95.1</v>
      </c>
      <c r="H1540" s="489">
        <v>0</v>
      </c>
      <c r="I1540" s="487" t="s">
        <v>1593</v>
      </c>
      <c r="J1540" s="487" t="s">
        <v>1385</v>
      </c>
    </row>
    <row r="1541" spans="1:10" ht="15" x14ac:dyDescent="0.2">
      <c r="A1541" s="486" t="s">
        <v>1384</v>
      </c>
      <c r="B1541" s="487" t="s">
        <v>1383</v>
      </c>
      <c r="C1541" s="488" t="s">
        <v>6065</v>
      </c>
      <c r="D1541" s="489" t="s">
        <v>6066</v>
      </c>
      <c r="E1541" s="487" t="s">
        <v>6067</v>
      </c>
      <c r="F1541" s="490">
        <v>0</v>
      </c>
      <c r="G1541" s="489">
        <v>61.3</v>
      </c>
      <c r="H1541" s="489">
        <v>0</v>
      </c>
      <c r="I1541" s="487" t="s">
        <v>1593</v>
      </c>
      <c r="J1541" s="487" t="s">
        <v>1385</v>
      </c>
    </row>
    <row r="1542" spans="1:10" ht="15" x14ac:dyDescent="0.2">
      <c r="A1542" s="486" t="s">
        <v>1384</v>
      </c>
      <c r="B1542" s="487" t="s">
        <v>1383</v>
      </c>
      <c r="C1542" s="488" t="s">
        <v>6068</v>
      </c>
      <c r="D1542" s="489" t="s">
        <v>6069</v>
      </c>
      <c r="E1542" s="487" t="s">
        <v>6070</v>
      </c>
      <c r="F1542" s="490">
        <v>9113</v>
      </c>
      <c r="G1542" s="489">
        <v>556.5</v>
      </c>
      <c r="H1542" s="489">
        <v>16.37556</v>
      </c>
      <c r="I1542" s="487" t="s">
        <v>1499</v>
      </c>
      <c r="J1542" s="487" t="s">
        <v>1385</v>
      </c>
    </row>
    <row r="1543" spans="1:10" ht="15" x14ac:dyDescent="0.2">
      <c r="A1543" s="486" t="s">
        <v>1384</v>
      </c>
      <c r="B1543" s="487" t="s">
        <v>1383</v>
      </c>
      <c r="C1543" s="488" t="s">
        <v>6071</v>
      </c>
      <c r="D1543" s="489" t="s">
        <v>6072</v>
      </c>
      <c r="E1543" s="487" t="s">
        <v>6073</v>
      </c>
      <c r="F1543" s="490">
        <v>125000</v>
      </c>
      <c r="G1543" s="489">
        <v>1074.7</v>
      </c>
      <c r="H1543" s="489">
        <v>116.31153</v>
      </c>
      <c r="I1543" s="487" t="s">
        <v>1499</v>
      </c>
      <c r="J1543" s="487" t="s">
        <v>1385</v>
      </c>
    </row>
    <row r="1544" spans="1:10" ht="15" x14ac:dyDescent="0.2">
      <c r="A1544" s="486" t="s">
        <v>1384</v>
      </c>
      <c r="B1544" s="487" t="s">
        <v>1383</v>
      </c>
      <c r="C1544" s="488" t="s">
        <v>6074</v>
      </c>
      <c r="D1544" s="489" t="s">
        <v>6075</v>
      </c>
      <c r="E1544" s="487" t="s">
        <v>6076</v>
      </c>
      <c r="F1544" s="490">
        <v>96211</v>
      </c>
      <c r="G1544" s="489">
        <v>746.8</v>
      </c>
      <c r="H1544" s="489">
        <v>128.83100999999999</v>
      </c>
      <c r="I1544" s="487" t="s">
        <v>1499</v>
      </c>
      <c r="J1544" s="487" t="s">
        <v>1385</v>
      </c>
    </row>
    <row r="1545" spans="1:10" ht="15" x14ac:dyDescent="0.2">
      <c r="A1545" s="486" t="s">
        <v>1384</v>
      </c>
      <c r="B1545" s="487" t="s">
        <v>1383</v>
      </c>
      <c r="C1545" s="488" t="s">
        <v>6077</v>
      </c>
      <c r="D1545" s="489" t="s">
        <v>6078</v>
      </c>
      <c r="E1545" s="487" t="s">
        <v>6079</v>
      </c>
      <c r="F1545" s="490">
        <v>14688</v>
      </c>
      <c r="G1545" s="489">
        <v>237.9</v>
      </c>
      <c r="H1545" s="489">
        <v>61.740229999999997</v>
      </c>
      <c r="I1545" s="487" t="s">
        <v>1499</v>
      </c>
      <c r="J1545" s="487" t="s">
        <v>1385</v>
      </c>
    </row>
    <row r="1546" spans="1:10" ht="15" x14ac:dyDescent="0.2">
      <c r="A1546" s="486" t="s">
        <v>1384</v>
      </c>
      <c r="B1546" s="487" t="s">
        <v>1383</v>
      </c>
      <c r="C1546" s="488" t="s">
        <v>6080</v>
      </c>
      <c r="D1546" s="489" t="s">
        <v>6081</v>
      </c>
      <c r="E1546" s="487" t="s">
        <v>6082</v>
      </c>
      <c r="F1546" s="490">
        <v>18000</v>
      </c>
      <c r="G1546" s="489">
        <v>363.8</v>
      </c>
      <c r="H1546" s="489">
        <v>49.477739999999997</v>
      </c>
      <c r="I1546" s="487" t="s">
        <v>1499</v>
      </c>
      <c r="J1546" s="487" t="s">
        <v>1385</v>
      </c>
    </row>
    <row r="1547" spans="1:10" ht="15" x14ac:dyDescent="0.2">
      <c r="A1547" s="486" t="s">
        <v>1384</v>
      </c>
      <c r="B1547" s="487" t="s">
        <v>1383</v>
      </c>
      <c r="C1547" s="488" t="s">
        <v>6083</v>
      </c>
      <c r="D1547" s="489" t="s">
        <v>6084</v>
      </c>
      <c r="E1547" s="487" t="s">
        <v>6085</v>
      </c>
      <c r="F1547" s="490">
        <v>136000</v>
      </c>
      <c r="G1547" s="489">
        <v>3339.2</v>
      </c>
      <c r="H1547" s="489">
        <v>40.728319999999997</v>
      </c>
      <c r="I1547" s="487" t="s">
        <v>1499</v>
      </c>
      <c r="J1547" s="487" t="s">
        <v>1385</v>
      </c>
    </row>
    <row r="1548" spans="1:10" ht="15" x14ac:dyDescent="0.2">
      <c r="A1548" s="486" t="s">
        <v>1384</v>
      </c>
      <c r="B1548" s="487" t="s">
        <v>1383</v>
      </c>
      <c r="C1548" s="488" t="s">
        <v>6086</v>
      </c>
      <c r="D1548" s="489" t="s">
        <v>6087</v>
      </c>
      <c r="E1548" s="487" t="s">
        <v>6088</v>
      </c>
      <c r="F1548" s="490">
        <v>0</v>
      </c>
      <c r="G1548" s="489">
        <v>50.4</v>
      </c>
      <c r="H1548" s="489">
        <v>0</v>
      </c>
      <c r="I1548" s="487" t="s">
        <v>1593</v>
      </c>
      <c r="J1548" s="487" t="s">
        <v>1385</v>
      </c>
    </row>
    <row r="1549" spans="1:10" ht="15" x14ac:dyDescent="0.2">
      <c r="A1549" s="486" t="s">
        <v>1384</v>
      </c>
      <c r="B1549" s="487" t="s">
        <v>1383</v>
      </c>
      <c r="C1549" s="488" t="s">
        <v>6089</v>
      </c>
      <c r="D1549" s="489" t="s">
        <v>6090</v>
      </c>
      <c r="E1549" s="487" t="s">
        <v>6091</v>
      </c>
      <c r="F1549" s="490">
        <v>18000</v>
      </c>
      <c r="G1549" s="489">
        <v>382.4</v>
      </c>
      <c r="H1549" s="489">
        <v>47.071129999999997</v>
      </c>
      <c r="I1549" s="487" t="s">
        <v>1499</v>
      </c>
      <c r="J1549" s="487" t="s">
        <v>1385</v>
      </c>
    </row>
    <row r="1550" spans="1:10" ht="15" x14ac:dyDescent="0.2">
      <c r="A1550" s="486" t="s">
        <v>1384</v>
      </c>
      <c r="B1550" s="487" t="s">
        <v>1383</v>
      </c>
      <c r="C1550" s="488" t="s">
        <v>6092</v>
      </c>
      <c r="D1550" s="489" t="s">
        <v>6093</v>
      </c>
      <c r="E1550" s="487" t="s">
        <v>6094</v>
      </c>
      <c r="F1550" s="490">
        <v>15000</v>
      </c>
      <c r="G1550" s="489">
        <v>484.8</v>
      </c>
      <c r="H1550" s="489">
        <v>30.94059</v>
      </c>
      <c r="I1550" s="487" t="s">
        <v>1499</v>
      </c>
      <c r="J1550" s="487" t="s">
        <v>1385</v>
      </c>
    </row>
    <row r="1551" spans="1:10" ht="15" x14ac:dyDescent="0.2">
      <c r="A1551" s="486" t="s">
        <v>1384</v>
      </c>
      <c r="B1551" s="487" t="s">
        <v>1383</v>
      </c>
      <c r="C1551" s="488" t="s">
        <v>6095</v>
      </c>
      <c r="D1551" s="489" t="s">
        <v>6096</v>
      </c>
      <c r="E1551" s="487" t="s">
        <v>6097</v>
      </c>
      <c r="F1551" s="490">
        <v>15741</v>
      </c>
      <c r="G1551" s="489">
        <v>617.70000000000005</v>
      </c>
      <c r="H1551" s="489">
        <v>25.483239999999999</v>
      </c>
      <c r="I1551" s="487" t="s">
        <v>1499</v>
      </c>
      <c r="J1551" s="487" t="s">
        <v>1385</v>
      </c>
    </row>
    <row r="1552" spans="1:10" ht="15" x14ac:dyDescent="0.2">
      <c r="A1552" s="486" t="s">
        <v>1384</v>
      </c>
      <c r="B1552" s="487" t="s">
        <v>1383</v>
      </c>
      <c r="C1552" s="488" t="s">
        <v>6098</v>
      </c>
      <c r="D1552" s="489" t="s">
        <v>6099</v>
      </c>
      <c r="E1552" s="487" t="s">
        <v>6100</v>
      </c>
      <c r="F1552" s="490">
        <v>5000</v>
      </c>
      <c r="G1552" s="489">
        <v>282.7</v>
      </c>
      <c r="H1552" s="489">
        <v>17.686589999999999</v>
      </c>
      <c r="I1552" s="487" t="s">
        <v>1499</v>
      </c>
      <c r="J1552" s="487" t="s">
        <v>1385</v>
      </c>
    </row>
    <row r="1553" spans="1:10" ht="15" x14ac:dyDescent="0.2">
      <c r="A1553" s="486" t="s">
        <v>1384</v>
      </c>
      <c r="B1553" s="487" t="s">
        <v>1383</v>
      </c>
      <c r="C1553" s="488" t="s">
        <v>6101</v>
      </c>
      <c r="D1553" s="489" t="s">
        <v>6102</v>
      </c>
      <c r="E1553" s="487" t="s">
        <v>6103</v>
      </c>
      <c r="F1553" s="490">
        <v>30035</v>
      </c>
      <c r="G1553" s="489">
        <v>486.4</v>
      </c>
      <c r="H1553" s="489">
        <v>61.749589999999998</v>
      </c>
      <c r="I1553" s="487" t="s">
        <v>1499</v>
      </c>
      <c r="J1553" s="487" t="s">
        <v>1385</v>
      </c>
    </row>
    <row r="1554" spans="1:10" ht="15" x14ac:dyDescent="0.2">
      <c r="A1554" s="486" t="s">
        <v>1384</v>
      </c>
      <c r="B1554" s="487" t="s">
        <v>1383</v>
      </c>
      <c r="C1554" s="488" t="s">
        <v>6104</v>
      </c>
      <c r="D1554" s="489" t="s">
        <v>6105</v>
      </c>
      <c r="E1554" s="487" t="s">
        <v>6106</v>
      </c>
      <c r="F1554" s="490">
        <v>550</v>
      </c>
      <c r="G1554" s="489">
        <v>42</v>
      </c>
      <c r="H1554" s="489">
        <v>13.09524</v>
      </c>
      <c r="I1554" s="487" t="s">
        <v>1499</v>
      </c>
      <c r="J1554" s="487" t="s">
        <v>1385</v>
      </c>
    </row>
    <row r="1555" spans="1:10" ht="15" x14ac:dyDescent="0.2">
      <c r="A1555" s="486" t="s">
        <v>1384</v>
      </c>
      <c r="B1555" s="487" t="s">
        <v>1383</v>
      </c>
      <c r="C1555" s="488" t="s">
        <v>6107</v>
      </c>
      <c r="D1555" s="489" t="s">
        <v>6108</v>
      </c>
      <c r="E1555" s="487" t="s">
        <v>6109</v>
      </c>
      <c r="F1555" s="490">
        <v>7100</v>
      </c>
      <c r="G1555" s="489">
        <v>316.10000000000002</v>
      </c>
      <c r="H1555" s="489">
        <v>22.46125</v>
      </c>
      <c r="I1555" s="487" t="s">
        <v>1499</v>
      </c>
      <c r="J1555" s="487" t="s">
        <v>1385</v>
      </c>
    </row>
    <row r="1556" spans="1:10" ht="15" x14ac:dyDescent="0.2">
      <c r="A1556" s="486" t="s">
        <v>1384</v>
      </c>
      <c r="B1556" s="487" t="s">
        <v>1383</v>
      </c>
      <c r="C1556" s="488" t="s">
        <v>6110</v>
      </c>
      <c r="D1556" s="489" t="s">
        <v>6111</v>
      </c>
      <c r="E1556" s="487" t="s">
        <v>6112</v>
      </c>
      <c r="F1556" s="490">
        <v>0</v>
      </c>
      <c r="G1556" s="489">
        <v>46.3</v>
      </c>
      <c r="H1556" s="489">
        <v>0</v>
      </c>
      <c r="I1556" s="487" t="s">
        <v>1593</v>
      </c>
      <c r="J1556" s="487" t="s">
        <v>1385</v>
      </c>
    </row>
    <row r="1557" spans="1:10" ht="15" x14ac:dyDescent="0.2">
      <c r="A1557" s="486" t="s">
        <v>1384</v>
      </c>
      <c r="B1557" s="487" t="s">
        <v>1383</v>
      </c>
      <c r="C1557" s="488" t="s">
        <v>6113</v>
      </c>
      <c r="D1557" s="489" t="s">
        <v>6114</v>
      </c>
      <c r="E1557" s="487" t="s">
        <v>6115</v>
      </c>
      <c r="F1557" s="490">
        <v>16640.330000000002</v>
      </c>
      <c r="G1557" s="489">
        <v>756.5</v>
      </c>
      <c r="H1557" s="489">
        <v>21.996469999999999</v>
      </c>
      <c r="I1557" s="487" t="s">
        <v>1499</v>
      </c>
      <c r="J1557" s="487" t="s">
        <v>1385</v>
      </c>
    </row>
    <row r="1558" spans="1:10" ht="15" x14ac:dyDescent="0.2">
      <c r="A1558" s="486" t="s">
        <v>1384</v>
      </c>
      <c r="B1558" s="487" t="s">
        <v>1383</v>
      </c>
      <c r="C1558" s="488" t="s">
        <v>6116</v>
      </c>
      <c r="D1558" s="489" t="s">
        <v>6117</v>
      </c>
      <c r="E1558" s="487" t="s">
        <v>6118</v>
      </c>
      <c r="F1558" s="490">
        <v>4700</v>
      </c>
      <c r="G1558" s="489">
        <v>142.6</v>
      </c>
      <c r="H1558" s="489">
        <v>32.959330000000001</v>
      </c>
      <c r="I1558" s="487" t="s">
        <v>1499</v>
      </c>
      <c r="J1558" s="487" t="s">
        <v>1385</v>
      </c>
    </row>
    <row r="1559" spans="1:10" ht="15" x14ac:dyDescent="0.2">
      <c r="A1559" s="486" t="s">
        <v>1384</v>
      </c>
      <c r="B1559" s="487" t="s">
        <v>1383</v>
      </c>
      <c r="C1559" s="488" t="s">
        <v>6119</v>
      </c>
      <c r="D1559" s="489" t="s">
        <v>6120</v>
      </c>
      <c r="E1559" s="487" t="s">
        <v>6121</v>
      </c>
      <c r="F1559" s="490">
        <v>7000</v>
      </c>
      <c r="G1559" s="489">
        <v>186.6</v>
      </c>
      <c r="H1559" s="489">
        <v>37.513399999999997</v>
      </c>
      <c r="I1559" s="487" t="s">
        <v>1499</v>
      </c>
      <c r="J1559" s="487" t="s">
        <v>1385</v>
      </c>
    </row>
    <row r="1560" spans="1:10" ht="15" x14ac:dyDescent="0.2">
      <c r="A1560" s="486" t="s">
        <v>1384</v>
      </c>
      <c r="B1560" s="487" t="s">
        <v>1383</v>
      </c>
      <c r="C1560" s="488" t="s">
        <v>6122</v>
      </c>
      <c r="D1560" s="489" t="s">
        <v>6123</v>
      </c>
      <c r="E1560" s="487" t="s">
        <v>6124</v>
      </c>
      <c r="F1560" s="490">
        <v>4675</v>
      </c>
      <c r="G1560" s="489">
        <v>90</v>
      </c>
      <c r="H1560" s="489">
        <v>51.94444</v>
      </c>
      <c r="I1560" s="487" t="s">
        <v>1499</v>
      </c>
      <c r="J1560" s="487" t="s">
        <v>1385</v>
      </c>
    </row>
    <row r="1561" spans="1:10" ht="15" x14ac:dyDescent="0.2">
      <c r="A1561" s="486" t="s">
        <v>1384</v>
      </c>
      <c r="B1561" s="487" t="s">
        <v>1383</v>
      </c>
      <c r="C1561" s="488" t="s">
        <v>6125</v>
      </c>
      <c r="D1561" s="489" t="s">
        <v>6126</v>
      </c>
      <c r="E1561" s="487" t="s">
        <v>6127</v>
      </c>
      <c r="F1561" s="490">
        <v>550</v>
      </c>
      <c r="G1561" s="489">
        <v>83.6</v>
      </c>
      <c r="H1561" s="489">
        <v>6.5789499999999999</v>
      </c>
      <c r="I1561" s="487" t="s">
        <v>1499</v>
      </c>
      <c r="J1561" s="487" t="s">
        <v>1385</v>
      </c>
    </row>
    <row r="1562" spans="1:10" ht="15" x14ac:dyDescent="0.2">
      <c r="A1562" s="486" t="s">
        <v>1384</v>
      </c>
      <c r="B1562" s="487" t="s">
        <v>1383</v>
      </c>
      <c r="C1562" s="488" t="s">
        <v>6128</v>
      </c>
      <c r="D1562" s="489" t="s">
        <v>6129</v>
      </c>
      <c r="E1562" s="487" t="s">
        <v>6130</v>
      </c>
      <c r="F1562" s="490">
        <v>0</v>
      </c>
      <c r="G1562" s="489">
        <v>79.7</v>
      </c>
      <c r="H1562" s="489">
        <v>0</v>
      </c>
      <c r="I1562" s="487" t="s">
        <v>1593</v>
      </c>
      <c r="J1562" s="487" t="s">
        <v>1385</v>
      </c>
    </row>
    <row r="1563" spans="1:10" ht="15" x14ac:dyDescent="0.2">
      <c r="A1563" s="486" t="s">
        <v>1384</v>
      </c>
      <c r="B1563" s="487" t="s">
        <v>1383</v>
      </c>
      <c r="C1563" s="488" t="s">
        <v>6131</v>
      </c>
      <c r="D1563" s="489" t="s">
        <v>6132</v>
      </c>
      <c r="E1563" s="487" t="s">
        <v>6133</v>
      </c>
      <c r="F1563" s="490">
        <v>0</v>
      </c>
      <c r="G1563" s="489">
        <v>57.4</v>
      </c>
      <c r="H1563" s="489">
        <v>0</v>
      </c>
      <c r="I1563" s="487" t="s">
        <v>1593</v>
      </c>
      <c r="J1563" s="487" t="s">
        <v>1385</v>
      </c>
    </row>
    <row r="1564" spans="1:10" ht="15" x14ac:dyDescent="0.2">
      <c r="A1564" s="486" t="s">
        <v>1384</v>
      </c>
      <c r="B1564" s="487" t="s">
        <v>1383</v>
      </c>
      <c r="C1564" s="488" t="s">
        <v>6134</v>
      </c>
      <c r="D1564" s="489" t="s">
        <v>6135</v>
      </c>
      <c r="E1564" s="487" t="s">
        <v>6136</v>
      </c>
      <c r="F1564" s="490">
        <v>5000</v>
      </c>
      <c r="G1564" s="489">
        <v>404.4</v>
      </c>
      <c r="H1564" s="489">
        <v>12.364000000000001</v>
      </c>
      <c r="I1564" s="487" t="s">
        <v>1499</v>
      </c>
      <c r="J1564" s="487" t="s">
        <v>1385</v>
      </c>
    </row>
    <row r="1565" spans="1:10" ht="15" x14ac:dyDescent="0.2">
      <c r="A1565" s="486" t="s">
        <v>1384</v>
      </c>
      <c r="B1565" s="487" t="s">
        <v>1383</v>
      </c>
      <c r="C1565" s="488" t="s">
        <v>6137</v>
      </c>
      <c r="D1565" s="489" t="s">
        <v>6138</v>
      </c>
      <c r="E1565" s="487" t="s">
        <v>6139</v>
      </c>
      <c r="F1565" s="490">
        <v>5800</v>
      </c>
      <c r="G1565" s="489">
        <v>105.6</v>
      </c>
      <c r="H1565" s="489">
        <v>54.924239999999998</v>
      </c>
      <c r="I1565" s="487" t="s">
        <v>1499</v>
      </c>
      <c r="J1565" s="487" t="s">
        <v>1385</v>
      </c>
    </row>
    <row r="1566" spans="1:10" ht="15" x14ac:dyDescent="0.2">
      <c r="A1566" s="486" t="s">
        <v>1384</v>
      </c>
      <c r="B1566" s="487" t="s">
        <v>1383</v>
      </c>
      <c r="C1566" s="488" t="s">
        <v>6140</v>
      </c>
      <c r="D1566" s="489" t="s">
        <v>6141</v>
      </c>
      <c r="E1566" s="487" t="s">
        <v>6142</v>
      </c>
      <c r="F1566" s="490">
        <v>0</v>
      </c>
      <c r="G1566" s="489">
        <v>66.5</v>
      </c>
      <c r="H1566" s="489">
        <v>0</v>
      </c>
      <c r="I1566" s="487" t="s">
        <v>1593</v>
      </c>
      <c r="J1566" s="487" t="s">
        <v>1385</v>
      </c>
    </row>
    <row r="1567" spans="1:10" ht="15" x14ac:dyDescent="0.2">
      <c r="A1567" s="486" t="s">
        <v>1384</v>
      </c>
      <c r="B1567" s="487" t="s">
        <v>1383</v>
      </c>
      <c r="C1567" s="488" t="s">
        <v>6143</v>
      </c>
      <c r="D1567" s="489" t="s">
        <v>6144</v>
      </c>
      <c r="E1567" s="487" t="s">
        <v>6145</v>
      </c>
      <c r="F1567" s="490">
        <v>6000</v>
      </c>
      <c r="G1567" s="489">
        <v>81.900000000000006</v>
      </c>
      <c r="H1567" s="489">
        <v>73.260069999999999</v>
      </c>
      <c r="I1567" s="487" t="s">
        <v>1499</v>
      </c>
      <c r="J1567" s="487" t="s">
        <v>1385</v>
      </c>
    </row>
    <row r="1568" spans="1:10" ht="15" x14ac:dyDescent="0.2">
      <c r="A1568" s="486" t="s">
        <v>1384</v>
      </c>
      <c r="B1568" s="487" t="s">
        <v>1383</v>
      </c>
      <c r="C1568" s="488" t="s">
        <v>6146</v>
      </c>
      <c r="D1568" s="489" t="s">
        <v>6147</v>
      </c>
      <c r="E1568" s="487" t="s">
        <v>6148</v>
      </c>
      <c r="F1568" s="490">
        <v>37216</v>
      </c>
      <c r="G1568" s="489">
        <v>775.7</v>
      </c>
      <c r="H1568" s="489">
        <v>47.977310000000003</v>
      </c>
      <c r="I1568" s="487" t="s">
        <v>1499</v>
      </c>
      <c r="J1568" s="487" t="s">
        <v>1385</v>
      </c>
    </row>
    <row r="1569" spans="1:10" ht="15" x14ac:dyDescent="0.2">
      <c r="A1569" s="486" t="s">
        <v>1384</v>
      </c>
      <c r="B1569" s="487" t="s">
        <v>1383</v>
      </c>
      <c r="C1569" s="488" t="s">
        <v>6149</v>
      </c>
      <c r="D1569" s="489" t="s">
        <v>6150</v>
      </c>
      <c r="E1569" s="487" t="s">
        <v>6151</v>
      </c>
      <c r="F1569" s="490">
        <v>8238.2999999999993</v>
      </c>
      <c r="G1569" s="489">
        <v>200.7</v>
      </c>
      <c r="H1569" s="489">
        <v>41.047829999999998</v>
      </c>
      <c r="I1569" s="487" t="s">
        <v>1499</v>
      </c>
      <c r="J1569" s="487" t="s">
        <v>1385</v>
      </c>
    </row>
    <row r="1570" spans="1:10" ht="15" x14ac:dyDescent="0.2">
      <c r="A1570" s="486" t="s">
        <v>1384</v>
      </c>
      <c r="B1570" s="487" t="s">
        <v>1383</v>
      </c>
      <c r="C1570" s="488" t="s">
        <v>6152</v>
      </c>
      <c r="D1570" s="489" t="s">
        <v>6153</v>
      </c>
      <c r="E1570" s="487" t="s">
        <v>6154</v>
      </c>
      <c r="F1570" s="490">
        <v>4830</v>
      </c>
      <c r="G1570" s="489">
        <v>171</v>
      </c>
      <c r="H1570" s="489">
        <v>28.245609999999999</v>
      </c>
      <c r="I1570" s="487" t="s">
        <v>1499</v>
      </c>
      <c r="J1570" s="487" t="s">
        <v>1385</v>
      </c>
    </row>
    <row r="1571" spans="1:10" ht="15" x14ac:dyDescent="0.2">
      <c r="A1571" s="486" t="s">
        <v>1384</v>
      </c>
      <c r="B1571" s="487" t="s">
        <v>1383</v>
      </c>
      <c r="C1571" s="488" t="s">
        <v>6155</v>
      </c>
      <c r="D1571" s="489" t="s">
        <v>6156</v>
      </c>
      <c r="E1571" s="487" t="s">
        <v>6157</v>
      </c>
      <c r="F1571" s="490">
        <v>7749</v>
      </c>
      <c r="G1571" s="489">
        <v>155.19999999999999</v>
      </c>
      <c r="H1571" s="489">
        <v>49.929119999999998</v>
      </c>
      <c r="I1571" s="487" t="s">
        <v>1499</v>
      </c>
      <c r="J1571" s="487" t="s">
        <v>1385</v>
      </c>
    </row>
    <row r="1572" spans="1:10" ht="15" x14ac:dyDescent="0.2">
      <c r="A1572" s="486" t="s">
        <v>1384</v>
      </c>
      <c r="B1572" s="487" t="s">
        <v>1383</v>
      </c>
      <c r="C1572" s="488" t="s">
        <v>6158</v>
      </c>
      <c r="D1572" s="489" t="s">
        <v>6159</v>
      </c>
      <c r="E1572" s="487" t="s">
        <v>6160</v>
      </c>
      <c r="F1572" s="490">
        <v>3000</v>
      </c>
      <c r="G1572" s="489">
        <v>72.2</v>
      </c>
      <c r="H1572" s="489">
        <v>41.551250000000003</v>
      </c>
      <c r="I1572" s="487" t="s">
        <v>1499</v>
      </c>
      <c r="J1572" s="487" t="s">
        <v>1385</v>
      </c>
    </row>
    <row r="1573" spans="1:10" ht="15" x14ac:dyDescent="0.2">
      <c r="A1573" s="486" t="s">
        <v>1384</v>
      </c>
      <c r="B1573" s="487" t="s">
        <v>1383</v>
      </c>
      <c r="C1573" s="488" t="s">
        <v>6161</v>
      </c>
      <c r="D1573" s="489" t="s">
        <v>6162</v>
      </c>
      <c r="E1573" s="487" t="s">
        <v>6163</v>
      </c>
      <c r="F1573" s="490">
        <v>1000</v>
      </c>
      <c r="G1573" s="489">
        <v>58</v>
      </c>
      <c r="H1573" s="489">
        <v>17.241379999999999</v>
      </c>
      <c r="I1573" s="487" t="s">
        <v>1499</v>
      </c>
      <c r="J1573" s="487" t="s">
        <v>1385</v>
      </c>
    </row>
    <row r="1574" spans="1:10" ht="15" x14ac:dyDescent="0.2">
      <c r="A1574" s="486" t="s">
        <v>1384</v>
      </c>
      <c r="B1574" s="487" t="s">
        <v>1383</v>
      </c>
      <c r="C1574" s="488" t="s">
        <v>6164</v>
      </c>
      <c r="D1574" s="489" t="s">
        <v>6165</v>
      </c>
      <c r="E1574" s="487" t="s">
        <v>6166</v>
      </c>
      <c r="F1574" s="490">
        <v>11000</v>
      </c>
      <c r="G1574" s="489">
        <v>613.70000000000005</v>
      </c>
      <c r="H1574" s="489">
        <v>17.92407</v>
      </c>
      <c r="I1574" s="487" t="s">
        <v>1499</v>
      </c>
      <c r="J1574" s="487" t="s">
        <v>1385</v>
      </c>
    </row>
    <row r="1575" spans="1:10" ht="15" x14ac:dyDescent="0.2">
      <c r="A1575" s="486" t="s">
        <v>1384</v>
      </c>
      <c r="B1575" s="487" t="s">
        <v>1383</v>
      </c>
      <c r="C1575" s="488" t="s">
        <v>6167</v>
      </c>
      <c r="D1575" s="489" t="s">
        <v>6168</v>
      </c>
      <c r="E1575" s="487" t="s">
        <v>6169</v>
      </c>
      <c r="F1575" s="490">
        <v>1320</v>
      </c>
      <c r="G1575" s="489">
        <v>182.6</v>
      </c>
      <c r="H1575" s="489">
        <v>7.2289199999999996</v>
      </c>
      <c r="I1575" s="487" t="s">
        <v>1499</v>
      </c>
      <c r="J1575" s="487" t="s">
        <v>1385</v>
      </c>
    </row>
    <row r="1576" spans="1:10" ht="15" x14ac:dyDescent="0.2">
      <c r="A1576" s="486" t="s">
        <v>1384</v>
      </c>
      <c r="B1576" s="487" t="s">
        <v>1383</v>
      </c>
      <c r="C1576" s="488" t="s">
        <v>6170</v>
      </c>
      <c r="D1576" s="489" t="s">
        <v>6171</v>
      </c>
      <c r="E1576" s="487" t="s">
        <v>6172</v>
      </c>
      <c r="F1576" s="490">
        <v>950</v>
      </c>
      <c r="G1576" s="489">
        <v>44.8</v>
      </c>
      <c r="H1576" s="489">
        <v>21.205359999999999</v>
      </c>
      <c r="I1576" s="487" t="s">
        <v>1499</v>
      </c>
      <c r="J1576" s="487" t="s">
        <v>1385</v>
      </c>
    </row>
    <row r="1577" spans="1:10" ht="15" x14ac:dyDescent="0.2">
      <c r="A1577" s="486" t="s">
        <v>1384</v>
      </c>
      <c r="B1577" s="487" t="s">
        <v>1383</v>
      </c>
      <c r="C1577" s="488" t="s">
        <v>6173</v>
      </c>
      <c r="D1577" s="489" t="s">
        <v>6174</v>
      </c>
      <c r="E1577" s="487" t="s">
        <v>6175</v>
      </c>
      <c r="F1577" s="490">
        <v>1200</v>
      </c>
      <c r="G1577" s="489">
        <v>87.9</v>
      </c>
      <c r="H1577" s="489">
        <v>13.65188</v>
      </c>
      <c r="I1577" s="487" t="s">
        <v>1499</v>
      </c>
      <c r="J1577" s="487" t="s">
        <v>1385</v>
      </c>
    </row>
    <row r="1578" spans="1:10" ht="15" x14ac:dyDescent="0.2">
      <c r="A1578" s="486" t="s">
        <v>1384</v>
      </c>
      <c r="B1578" s="487" t="s">
        <v>1383</v>
      </c>
      <c r="C1578" s="488" t="s">
        <v>6176</v>
      </c>
      <c r="D1578" s="489" t="s">
        <v>6177</v>
      </c>
      <c r="E1578" s="487" t="s">
        <v>6178</v>
      </c>
      <c r="F1578" s="490">
        <v>2755</v>
      </c>
      <c r="G1578" s="489">
        <v>193.4</v>
      </c>
      <c r="H1578" s="489">
        <v>14.245089999999999</v>
      </c>
      <c r="I1578" s="487" t="s">
        <v>1499</v>
      </c>
      <c r="J1578" s="487" t="s">
        <v>1385</v>
      </c>
    </row>
    <row r="1579" spans="1:10" ht="15" x14ac:dyDescent="0.2">
      <c r="A1579" s="486" t="s">
        <v>1384</v>
      </c>
      <c r="B1579" s="487" t="s">
        <v>1383</v>
      </c>
      <c r="C1579" s="488" t="s">
        <v>6179</v>
      </c>
      <c r="D1579" s="489" t="s">
        <v>6180</v>
      </c>
      <c r="E1579" s="487" t="s">
        <v>5762</v>
      </c>
      <c r="F1579" s="490">
        <v>17000</v>
      </c>
      <c r="G1579" s="489">
        <v>315.7</v>
      </c>
      <c r="H1579" s="489">
        <v>53.848590000000002</v>
      </c>
      <c r="I1579" s="487" t="s">
        <v>1499</v>
      </c>
      <c r="J1579" s="487" t="s">
        <v>1385</v>
      </c>
    </row>
    <row r="1580" spans="1:10" ht="15" x14ac:dyDescent="0.2">
      <c r="A1580" s="486" t="s">
        <v>1384</v>
      </c>
      <c r="B1580" s="487" t="s">
        <v>1383</v>
      </c>
      <c r="C1580" s="488" t="s">
        <v>6181</v>
      </c>
      <c r="D1580" s="489" t="s">
        <v>6182</v>
      </c>
      <c r="E1580" s="487" t="s">
        <v>6183</v>
      </c>
      <c r="F1580" s="490">
        <v>6000</v>
      </c>
      <c r="G1580" s="489">
        <v>105.6</v>
      </c>
      <c r="H1580" s="489">
        <v>56.818179999999998</v>
      </c>
      <c r="I1580" s="487" t="s">
        <v>1499</v>
      </c>
      <c r="J1580" s="487" t="s">
        <v>1385</v>
      </c>
    </row>
    <row r="1581" spans="1:10" ht="15" x14ac:dyDescent="0.2">
      <c r="A1581" s="486" t="s">
        <v>1384</v>
      </c>
      <c r="B1581" s="487" t="s">
        <v>1383</v>
      </c>
      <c r="C1581" s="488" t="s">
        <v>6184</v>
      </c>
      <c r="D1581" s="489" t="s">
        <v>6185</v>
      </c>
      <c r="E1581" s="487" t="s">
        <v>6186</v>
      </c>
      <c r="F1581" s="490">
        <v>7500</v>
      </c>
      <c r="G1581" s="489">
        <v>397.1</v>
      </c>
      <c r="H1581" s="489">
        <v>18.88693</v>
      </c>
      <c r="I1581" s="487" t="s">
        <v>1499</v>
      </c>
      <c r="J1581" s="487" t="s">
        <v>1385</v>
      </c>
    </row>
    <row r="1582" spans="1:10" ht="15" x14ac:dyDescent="0.2">
      <c r="A1582" s="486" t="s">
        <v>1384</v>
      </c>
      <c r="B1582" s="487" t="s">
        <v>1383</v>
      </c>
      <c r="C1582" s="488" t="s">
        <v>6187</v>
      </c>
      <c r="D1582" s="489" t="s">
        <v>6188</v>
      </c>
      <c r="E1582" s="487" t="s">
        <v>6189</v>
      </c>
      <c r="F1582" s="490">
        <v>16848.95</v>
      </c>
      <c r="G1582" s="489">
        <v>791.4</v>
      </c>
      <c r="H1582" s="489">
        <v>21.29006</v>
      </c>
      <c r="I1582" s="487" t="s">
        <v>1499</v>
      </c>
      <c r="J1582" s="487" t="s">
        <v>1385</v>
      </c>
    </row>
    <row r="1583" spans="1:10" ht="15" x14ac:dyDescent="0.2">
      <c r="A1583" s="486" t="s">
        <v>1384</v>
      </c>
      <c r="B1583" s="487" t="s">
        <v>1383</v>
      </c>
      <c r="C1583" s="488" t="s">
        <v>6190</v>
      </c>
      <c r="D1583" s="489" t="s">
        <v>6191</v>
      </c>
      <c r="E1583" s="487" t="s">
        <v>6192</v>
      </c>
      <c r="F1583" s="490">
        <v>514740.1</v>
      </c>
      <c r="G1583" s="489">
        <v>6133.7</v>
      </c>
      <c r="H1583" s="489">
        <v>83.92</v>
      </c>
      <c r="I1583" s="487" t="s">
        <v>1499</v>
      </c>
      <c r="J1583" s="487" t="s">
        <v>1385</v>
      </c>
    </row>
    <row r="1584" spans="1:10" ht="15" x14ac:dyDescent="0.2">
      <c r="A1584" s="486" t="s">
        <v>1384</v>
      </c>
      <c r="B1584" s="487" t="s">
        <v>1383</v>
      </c>
      <c r="C1584" s="488" t="s">
        <v>6193</v>
      </c>
      <c r="D1584" s="489" t="s">
        <v>6194</v>
      </c>
      <c r="E1584" s="487" t="s">
        <v>6195</v>
      </c>
      <c r="F1584" s="490">
        <v>5270.03</v>
      </c>
      <c r="G1584" s="489">
        <v>207.4</v>
      </c>
      <c r="H1584" s="489">
        <v>25.409980000000001</v>
      </c>
      <c r="I1584" s="487" t="s">
        <v>1499</v>
      </c>
      <c r="J1584" s="487" t="s">
        <v>1385</v>
      </c>
    </row>
    <row r="1585" spans="1:10" ht="15" x14ac:dyDescent="0.2">
      <c r="A1585" s="486" t="s">
        <v>1384</v>
      </c>
      <c r="B1585" s="487" t="s">
        <v>1383</v>
      </c>
      <c r="C1585" s="488" t="s">
        <v>6196</v>
      </c>
      <c r="D1585" s="489" t="s">
        <v>6197</v>
      </c>
      <c r="E1585" s="487" t="s">
        <v>6198</v>
      </c>
      <c r="F1585" s="490">
        <v>32000</v>
      </c>
      <c r="G1585" s="489">
        <v>619.20000000000005</v>
      </c>
      <c r="H1585" s="489">
        <v>51.679589999999997</v>
      </c>
      <c r="I1585" s="487" t="s">
        <v>1499</v>
      </c>
      <c r="J1585" s="487" t="s">
        <v>1385</v>
      </c>
    </row>
    <row r="1586" spans="1:10" ht="15" x14ac:dyDescent="0.2">
      <c r="A1586" s="486" t="s">
        <v>1384</v>
      </c>
      <c r="B1586" s="487" t="s">
        <v>1383</v>
      </c>
      <c r="C1586" s="488" t="s">
        <v>6199</v>
      </c>
      <c r="D1586" s="489" t="s">
        <v>6200</v>
      </c>
      <c r="E1586" s="487" t="s">
        <v>6201</v>
      </c>
      <c r="F1586" s="490">
        <v>29000</v>
      </c>
      <c r="G1586" s="489">
        <v>293.10000000000002</v>
      </c>
      <c r="H1586" s="489">
        <v>98.942340000000002</v>
      </c>
      <c r="I1586" s="487" t="s">
        <v>1499</v>
      </c>
      <c r="J1586" s="487" t="s">
        <v>1385</v>
      </c>
    </row>
    <row r="1587" spans="1:10" ht="15" x14ac:dyDescent="0.2">
      <c r="A1587" s="486" t="s">
        <v>1384</v>
      </c>
      <c r="B1587" s="487" t="s">
        <v>1383</v>
      </c>
      <c r="C1587" s="488" t="s">
        <v>6202</v>
      </c>
      <c r="D1587" s="489" t="s">
        <v>6203</v>
      </c>
      <c r="E1587" s="487" t="s">
        <v>6204</v>
      </c>
      <c r="F1587" s="490">
        <v>6000</v>
      </c>
      <c r="G1587" s="489">
        <v>167</v>
      </c>
      <c r="H1587" s="489">
        <v>35.928139999999999</v>
      </c>
      <c r="I1587" s="487" t="s">
        <v>1499</v>
      </c>
      <c r="J1587" s="487" t="s">
        <v>1385</v>
      </c>
    </row>
    <row r="1588" spans="1:10" ht="15" x14ac:dyDescent="0.2">
      <c r="A1588" s="486" t="s">
        <v>1384</v>
      </c>
      <c r="B1588" s="487" t="s">
        <v>1383</v>
      </c>
      <c r="C1588" s="488" t="s">
        <v>6205</v>
      </c>
      <c r="D1588" s="489" t="s">
        <v>6206</v>
      </c>
      <c r="E1588" s="487" t="s">
        <v>6207</v>
      </c>
      <c r="F1588" s="490">
        <v>57162.49</v>
      </c>
      <c r="G1588" s="489">
        <v>1217</v>
      </c>
      <c r="H1588" s="489">
        <v>46.97</v>
      </c>
      <c r="I1588" s="487" t="s">
        <v>1499</v>
      </c>
      <c r="J1588" s="487" t="s">
        <v>1385</v>
      </c>
    </row>
    <row r="1589" spans="1:10" ht="15" x14ac:dyDescent="0.2">
      <c r="A1589" s="486" t="s">
        <v>1384</v>
      </c>
      <c r="B1589" s="487" t="s">
        <v>1383</v>
      </c>
      <c r="C1589" s="488" t="s">
        <v>6208</v>
      </c>
      <c r="D1589" s="489" t="s">
        <v>6209</v>
      </c>
      <c r="E1589" s="487" t="s">
        <v>6210</v>
      </c>
      <c r="F1589" s="490">
        <v>12573.51</v>
      </c>
      <c r="G1589" s="489">
        <v>200.8</v>
      </c>
      <c r="H1589" s="489">
        <v>62.617080000000001</v>
      </c>
      <c r="I1589" s="487" t="s">
        <v>1499</v>
      </c>
      <c r="J1589" s="487" t="s">
        <v>1385</v>
      </c>
    </row>
    <row r="1590" spans="1:10" ht="15" x14ac:dyDescent="0.2">
      <c r="A1590" s="486" t="s">
        <v>1384</v>
      </c>
      <c r="B1590" s="487" t="s">
        <v>1383</v>
      </c>
      <c r="C1590" s="488" t="s">
        <v>6211</v>
      </c>
      <c r="D1590" s="489" t="s">
        <v>6212</v>
      </c>
      <c r="E1590" s="487" t="s">
        <v>6213</v>
      </c>
      <c r="F1590" s="490">
        <v>31593</v>
      </c>
      <c r="G1590" s="489">
        <v>505.4</v>
      </c>
      <c r="H1590" s="489">
        <v>62.51088</v>
      </c>
      <c r="I1590" s="487" t="s">
        <v>1499</v>
      </c>
      <c r="J1590" s="487" t="s">
        <v>1385</v>
      </c>
    </row>
    <row r="1591" spans="1:10" ht="15" x14ac:dyDescent="0.2">
      <c r="A1591" s="486" t="s">
        <v>1384</v>
      </c>
      <c r="B1591" s="487" t="s">
        <v>1383</v>
      </c>
      <c r="C1591" s="488" t="s">
        <v>6214</v>
      </c>
      <c r="D1591" s="489" t="s">
        <v>6215</v>
      </c>
      <c r="E1591" s="487" t="s">
        <v>6216</v>
      </c>
      <c r="F1591" s="490">
        <v>5734.22</v>
      </c>
      <c r="G1591" s="489">
        <v>219.7</v>
      </c>
      <c r="H1591" s="489">
        <v>26.10023</v>
      </c>
      <c r="I1591" s="487" t="s">
        <v>1499</v>
      </c>
      <c r="J1591" s="487" t="s">
        <v>1385</v>
      </c>
    </row>
    <row r="1592" spans="1:10" ht="15" x14ac:dyDescent="0.2">
      <c r="A1592" s="486" t="s">
        <v>1384</v>
      </c>
      <c r="B1592" s="487" t="s">
        <v>1383</v>
      </c>
      <c r="C1592" s="488" t="s">
        <v>6217</v>
      </c>
      <c r="D1592" s="489" t="s">
        <v>6218</v>
      </c>
      <c r="E1592" s="487" t="s">
        <v>6219</v>
      </c>
      <c r="F1592" s="490">
        <v>17140.080000000002</v>
      </c>
      <c r="G1592" s="489">
        <v>483</v>
      </c>
      <c r="H1592" s="489">
        <v>35.486710000000002</v>
      </c>
      <c r="I1592" s="487" t="s">
        <v>1499</v>
      </c>
      <c r="J1592" s="487" t="s">
        <v>1385</v>
      </c>
    </row>
    <row r="1593" spans="1:10" ht="15" x14ac:dyDescent="0.2">
      <c r="A1593" s="486" t="s">
        <v>1384</v>
      </c>
      <c r="B1593" s="487" t="s">
        <v>1383</v>
      </c>
      <c r="C1593" s="488" t="s">
        <v>6220</v>
      </c>
      <c r="D1593" s="489" t="s">
        <v>6221</v>
      </c>
      <c r="E1593" s="487" t="s">
        <v>6222</v>
      </c>
      <c r="F1593" s="490">
        <v>6500</v>
      </c>
      <c r="G1593" s="489">
        <v>154.69999999999999</v>
      </c>
      <c r="H1593" s="489">
        <v>42.01681</v>
      </c>
      <c r="I1593" s="487" t="s">
        <v>1499</v>
      </c>
      <c r="J1593" s="487" t="s">
        <v>1385</v>
      </c>
    </row>
    <row r="1594" spans="1:10" ht="15" x14ac:dyDescent="0.2">
      <c r="A1594" s="486" t="s">
        <v>1384</v>
      </c>
      <c r="B1594" s="487" t="s">
        <v>1383</v>
      </c>
      <c r="C1594" s="488" t="s">
        <v>6223</v>
      </c>
      <c r="D1594" s="489" t="s">
        <v>6224</v>
      </c>
      <c r="E1594" s="487" t="s">
        <v>6225</v>
      </c>
      <c r="F1594" s="490">
        <v>500</v>
      </c>
      <c r="G1594" s="489">
        <v>48.6</v>
      </c>
      <c r="H1594" s="489">
        <v>10.288069999999999</v>
      </c>
      <c r="I1594" s="487" t="s">
        <v>1499</v>
      </c>
      <c r="J1594" s="487" t="s">
        <v>1385</v>
      </c>
    </row>
    <row r="1595" spans="1:10" ht="15" x14ac:dyDescent="0.2">
      <c r="A1595" s="486" t="s">
        <v>1384</v>
      </c>
      <c r="B1595" s="487" t="s">
        <v>1383</v>
      </c>
      <c r="C1595" s="488" t="s">
        <v>6226</v>
      </c>
      <c r="D1595" s="489" t="s">
        <v>6227</v>
      </c>
      <c r="E1595" s="487" t="s">
        <v>6228</v>
      </c>
      <c r="F1595" s="490">
        <v>0</v>
      </c>
      <c r="G1595" s="489">
        <v>233.6</v>
      </c>
      <c r="H1595" s="489">
        <v>0</v>
      </c>
      <c r="I1595" s="487" t="s">
        <v>1593</v>
      </c>
      <c r="J1595" s="487" t="s">
        <v>1385</v>
      </c>
    </row>
    <row r="1596" spans="1:10" ht="15" x14ac:dyDescent="0.2">
      <c r="A1596" s="486" t="s">
        <v>1384</v>
      </c>
      <c r="B1596" s="487" t="s">
        <v>1383</v>
      </c>
      <c r="C1596" s="488" t="s">
        <v>6229</v>
      </c>
      <c r="D1596" s="489" t="s">
        <v>6230</v>
      </c>
      <c r="E1596" s="487" t="s">
        <v>6231</v>
      </c>
      <c r="F1596" s="490">
        <v>5000</v>
      </c>
      <c r="G1596" s="489">
        <v>89.5</v>
      </c>
      <c r="H1596" s="489">
        <v>55.865920000000003</v>
      </c>
      <c r="I1596" s="487" t="s">
        <v>1499</v>
      </c>
      <c r="J1596" s="487" t="s">
        <v>1385</v>
      </c>
    </row>
    <row r="1597" spans="1:10" ht="15" x14ac:dyDescent="0.2">
      <c r="A1597" s="486" t="s">
        <v>1384</v>
      </c>
      <c r="B1597" s="487" t="s">
        <v>1383</v>
      </c>
      <c r="C1597" s="488" t="s">
        <v>6232</v>
      </c>
      <c r="D1597" s="489" t="s">
        <v>6233</v>
      </c>
      <c r="E1597" s="487" t="s">
        <v>6234</v>
      </c>
      <c r="F1597" s="490">
        <v>0</v>
      </c>
      <c r="G1597" s="489">
        <v>130</v>
      </c>
      <c r="H1597" s="489">
        <v>0</v>
      </c>
      <c r="I1597" s="487" t="s">
        <v>1593</v>
      </c>
      <c r="J1597" s="487" t="s">
        <v>1385</v>
      </c>
    </row>
    <row r="1598" spans="1:10" ht="15" x14ac:dyDescent="0.2">
      <c r="A1598" s="486" t="s">
        <v>1384</v>
      </c>
      <c r="B1598" s="487" t="s">
        <v>1383</v>
      </c>
      <c r="C1598" s="488" t="s">
        <v>6235</v>
      </c>
      <c r="D1598" s="489" t="s">
        <v>6236</v>
      </c>
      <c r="E1598" s="487" t="s">
        <v>6237</v>
      </c>
      <c r="F1598" s="490">
        <v>6425</v>
      </c>
      <c r="G1598" s="489">
        <v>155.6</v>
      </c>
      <c r="H1598" s="489">
        <v>41.29177</v>
      </c>
      <c r="I1598" s="487" t="s">
        <v>1499</v>
      </c>
      <c r="J1598" s="487" t="s">
        <v>1385</v>
      </c>
    </row>
    <row r="1599" spans="1:10" ht="15" x14ac:dyDescent="0.2">
      <c r="A1599" s="486" t="s">
        <v>1384</v>
      </c>
      <c r="B1599" s="487" t="s">
        <v>1383</v>
      </c>
      <c r="C1599" s="488" t="s">
        <v>6238</v>
      </c>
      <c r="D1599" s="489" t="s">
        <v>6239</v>
      </c>
      <c r="E1599" s="487" t="s">
        <v>6240</v>
      </c>
      <c r="F1599" s="490">
        <v>6043.7</v>
      </c>
      <c r="G1599" s="489">
        <v>321.3</v>
      </c>
      <c r="H1599" s="489">
        <v>18.81015</v>
      </c>
      <c r="I1599" s="487" t="s">
        <v>1499</v>
      </c>
      <c r="J1599" s="487" t="s">
        <v>1385</v>
      </c>
    </row>
    <row r="1600" spans="1:10" ht="15" x14ac:dyDescent="0.2">
      <c r="A1600" s="486" t="s">
        <v>1384</v>
      </c>
      <c r="B1600" s="487" t="s">
        <v>1383</v>
      </c>
      <c r="C1600" s="488" t="s">
        <v>6241</v>
      </c>
      <c r="D1600" s="489" t="s">
        <v>6242</v>
      </c>
      <c r="E1600" s="487" t="s">
        <v>6243</v>
      </c>
      <c r="F1600" s="490">
        <v>17000</v>
      </c>
      <c r="G1600" s="489">
        <v>290.3</v>
      </c>
      <c r="H1600" s="489">
        <v>58.560110000000002</v>
      </c>
      <c r="I1600" s="487" t="s">
        <v>1499</v>
      </c>
      <c r="J1600" s="487" t="s">
        <v>1385</v>
      </c>
    </row>
    <row r="1601" spans="1:10" ht="15" x14ac:dyDescent="0.2">
      <c r="A1601" s="486" t="s">
        <v>1384</v>
      </c>
      <c r="B1601" s="487" t="s">
        <v>1383</v>
      </c>
      <c r="C1601" s="488" t="s">
        <v>6244</v>
      </c>
      <c r="D1601" s="489" t="s">
        <v>6245</v>
      </c>
      <c r="E1601" s="487" t="s">
        <v>6246</v>
      </c>
      <c r="F1601" s="490">
        <v>12500</v>
      </c>
      <c r="G1601" s="489">
        <v>215.4</v>
      </c>
      <c r="H1601" s="489">
        <v>58.031570000000002</v>
      </c>
      <c r="I1601" s="487" t="s">
        <v>1499</v>
      </c>
      <c r="J1601" s="487" t="s">
        <v>1385</v>
      </c>
    </row>
    <row r="1602" spans="1:10" ht="15" x14ac:dyDescent="0.2">
      <c r="A1602" s="486" t="s">
        <v>1384</v>
      </c>
      <c r="B1602" s="487" t="s">
        <v>1383</v>
      </c>
      <c r="C1602" s="488" t="s">
        <v>6247</v>
      </c>
      <c r="D1602" s="489" t="s">
        <v>6248</v>
      </c>
      <c r="E1602" s="487" t="s">
        <v>6249</v>
      </c>
      <c r="F1602" s="490">
        <v>15188.03</v>
      </c>
      <c r="G1602" s="489">
        <v>271.7</v>
      </c>
      <c r="H1602" s="489">
        <v>55.9</v>
      </c>
      <c r="I1602" s="487" t="s">
        <v>1499</v>
      </c>
      <c r="J1602" s="487" t="s">
        <v>1385</v>
      </c>
    </row>
    <row r="1603" spans="1:10" ht="15" x14ac:dyDescent="0.2">
      <c r="A1603" s="486" t="s">
        <v>1384</v>
      </c>
      <c r="B1603" s="487" t="s">
        <v>1383</v>
      </c>
      <c r="C1603" s="488" t="s">
        <v>6250</v>
      </c>
      <c r="D1603" s="489" t="s">
        <v>6251</v>
      </c>
      <c r="E1603" s="487" t="s">
        <v>6252</v>
      </c>
      <c r="F1603" s="490">
        <v>4440</v>
      </c>
      <c r="G1603" s="489">
        <v>105.1</v>
      </c>
      <c r="H1603" s="489">
        <v>42.245480000000001</v>
      </c>
      <c r="I1603" s="487" t="s">
        <v>1499</v>
      </c>
      <c r="J1603" s="487" t="s">
        <v>1385</v>
      </c>
    </row>
    <row r="1604" spans="1:10" ht="15" x14ac:dyDescent="0.2">
      <c r="A1604" s="486" t="s">
        <v>1384</v>
      </c>
      <c r="B1604" s="487" t="s">
        <v>1383</v>
      </c>
      <c r="C1604" s="488" t="s">
        <v>6253</v>
      </c>
      <c r="D1604" s="489" t="s">
        <v>6254</v>
      </c>
      <c r="E1604" s="487" t="s">
        <v>6255</v>
      </c>
      <c r="F1604" s="490">
        <v>290045</v>
      </c>
      <c r="G1604" s="489">
        <v>4620</v>
      </c>
      <c r="H1604" s="489">
        <v>62.780299999999997</v>
      </c>
      <c r="I1604" s="487" t="s">
        <v>1499</v>
      </c>
      <c r="J1604" s="487" t="s">
        <v>1385</v>
      </c>
    </row>
    <row r="1605" spans="1:10" ht="15" x14ac:dyDescent="0.2">
      <c r="A1605" s="486" t="s">
        <v>1384</v>
      </c>
      <c r="B1605" s="487" t="s">
        <v>1383</v>
      </c>
      <c r="C1605" s="488" t="s">
        <v>6256</v>
      </c>
      <c r="D1605" s="489" t="s">
        <v>6257</v>
      </c>
      <c r="E1605" s="487" t="s">
        <v>6258</v>
      </c>
      <c r="F1605" s="490">
        <v>8343</v>
      </c>
      <c r="G1605" s="489">
        <v>233.3</v>
      </c>
      <c r="H1605" s="489">
        <v>35.760820000000002</v>
      </c>
      <c r="I1605" s="487" t="s">
        <v>1499</v>
      </c>
      <c r="J1605" s="487" t="s">
        <v>1385</v>
      </c>
    </row>
    <row r="1606" spans="1:10" ht="15" x14ac:dyDescent="0.2">
      <c r="A1606" s="486" t="s">
        <v>1384</v>
      </c>
      <c r="B1606" s="487" t="s">
        <v>1383</v>
      </c>
      <c r="C1606" s="488" t="s">
        <v>6259</v>
      </c>
      <c r="D1606" s="489" t="s">
        <v>6260</v>
      </c>
      <c r="E1606" s="487" t="s">
        <v>6261</v>
      </c>
      <c r="F1606" s="490">
        <v>17649</v>
      </c>
      <c r="G1606" s="489">
        <v>642.79999999999995</v>
      </c>
      <c r="H1606" s="489">
        <v>27.456440000000001</v>
      </c>
      <c r="I1606" s="487" t="s">
        <v>1499</v>
      </c>
      <c r="J1606" s="487" t="s">
        <v>1385</v>
      </c>
    </row>
    <row r="1607" spans="1:10" ht="15" x14ac:dyDescent="0.2">
      <c r="A1607" s="486" t="s">
        <v>1384</v>
      </c>
      <c r="B1607" s="487" t="s">
        <v>1383</v>
      </c>
      <c r="C1607" s="488" t="s">
        <v>6262</v>
      </c>
      <c r="D1607" s="489" t="s">
        <v>6263</v>
      </c>
      <c r="E1607" s="487" t="s">
        <v>6264</v>
      </c>
      <c r="F1607" s="490">
        <v>325</v>
      </c>
      <c r="G1607" s="489">
        <v>33.200000000000003</v>
      </c>
      <c r="H1607" s="489">
        <v>9.7891600000000007</v>
      </c>
      <c r="I1607" s="487" t="s">
        <v>1499</v>
      </c>
      <c r="J1607" s="487" t="s">
        <v>1385</v>
      </c>
    </row>
    <row r="1608" spans="1:10" ht="15" x14ac:dyDescent="0.2">
      <c r="A1608" s="486" t="s">
        <v>1384</v>
      </c>
      <c r="B1608" s="487" t="s">
        <v>1383</v>
      </c>
      <c r="C1608" s="488" t="s">
        <v>6265</v>
      </c>
      <c r="D1608" s="489" t="s">
        <v>6266</v>
      </c>
      <c r="E1608" s="487" t="s">
        <v>6267</v>
      </c>
      <c r="F1608" s="490">
        <v>10074</v>
      </c>
      <c r="G1608" s="489">
        <v>241.3</v>
      </c>
      <c r="H1608" s="489">
        <v>41.748860000000001</v>
      </c>
      <c r="I1608" s="487" t="s">
        <v>1499</v>
      </c>
      <c r="J1608" s="487" t="s">
        <v>1385</v>
      </c>
    </row>
    <row r="1609" spans="1:10" ht="15" x14ac:dyDescent="0.2">
      <c r="A1609" s="486" t="s">
        <v>1384</v>
      </c>
      <c r="B1609" s="487" t="s">
        <v>1383</v>
      </c>
      <c r="C1609" s="488" t="s">
        <v>6268</v>
      </c>
      <c r="D1609" s="489" t="s">
        <v>6269</v>
      </c>
      <c r="E1609" s="487" t="s">
        <v>6270</v>
      </c>
      <c r="F1609" s="490">
        <v>500</v>
      </c>
      <c r="G1609" s="489">
        <v>17.7</v>
      </c>
      <c r="H1609" s="489">
        <v>28.24859</v>
      </c>
      <c r="I1609" s="487" t="s">
        <v>1499</v>
      </c>
      <c r="J1609" s="487" t="s">
        <v>1385</v>
      </c>
    </row>
    <row r="1610" spans="1:10" ht="15" x14ac:dyDescent="0.2">
      <c r="A1610" s="486" t="s">
        <v>1384</v>
      </c>
      <c r="B1610" s="487" t="s">
        <v>1383</v>
      </c>
      <c r="C1610" s="488" t="s">
        <v>6271</v>
      </c>
      <c r="D1610" s="489" t="s">
        <v>6272</v>
      </c>
      <c r="E1610" s="487" t="s">
        <v>6273</v>
      </c>
      <c r="F1610" s="490">
        <v>0</v>
      </c>
      <c r="G1610" s="489">
        <v>92.5</v>
      </c>
      <c r="H1610" s="489">
        <v>0</v>
      </c>
      <c r="I1610" s="487" t="s">
        <v>1593</v>
      </c>
      <c r="J1610" s="487" t="s">
        <v>1385</v>
      </c>
    </row>
    <row r="1611" spans="1:10" ht="15" x14ac:dyDescent="0.2">
      <c r="A1611" s="486" t="s">
        <v>1384</v>
      </c>
      <c r="B1611" s="487" t="s">
        <v>1383</v>
      </c>
      <c r="C1611" s="488" t="s">
        <v>6274</v>
      </c>
      <c r="D1611" s="489" t="s">
        <v>6275</v>
      </c>
      <c r="E1611" s="487" t="s">
        <v>6276</v>
      </c>
      <c r="F1611" s="490">
        <v>0</v>
      </c>
      <c r="G1611" s="489">
        <v>121.9</v>
      </c>
      <c r="H1611" s="489">
        <v>0</v>
      </c>
      <c r="I1611" s="487" t="s">
        <v>1593</v>
      </c>
      <c r="J1611" s="487" t="s">
        <v>1385</v>
      </c>
    </row>
    <row r="1612" spans="1:10" ht="15" x14ac:dyDescent="0.2">
      <c r="A1612" s="486" t="s">
        <v>1384</v>
      </c>
      <c r="B1612" s="487" t="s">
        <v>1383</v>
      </c>
      <c r="C1612" s="488" t="s">
        <v>6277</v>
      </c>
      <c r="D1612" s="489" t="s">
        <v>6278</v>
      </c>
      <c r="E1612" s="487" t="s">
        <v>6279</v>
      </c>
      <c r="F1612" s="490">
        <v>173824.46</v>
      </c>
      <c r="G1612" s="489">
        <v>4891.3999999999996</v>
      </c>
      <c r="H1612" s="489">
        <v>35.536749999999998</v>
      </c>
      <c r="I1612" s="487" t="s">
        <v>1499</v>
      </c>
      <c r="J1612" s="487" t="s">
        <v>1385</v>
      </c>
    </row>
    <row r="1613" spans="1:10" ht="15" x14ac:dyDescent="0.2">
      <c r="A1613" s="486" t="s">
        <v>1384</v>
      </c>
      <c r="B1613" s="487" t="s">
        <v>1383</v>
      </c>
      <c r="C1613" s="488" t="s">
        <v>6280</v>
      </c>
      <c r="D1613" s="489" t="s">
        <v>6281</v>
      </c>
      <c r="E1613" s="487" t="s">
        <v>6282</v>
      </c>
      <c r="F1613" s="490">
        <v>2521.5</v>
      </c>
      <c r="G1613" s="489">
        <v>102.5</v>
      </c>
      <c r="H1613" s="489">
        <v>24.6</v>
      </c>
      <c r="I1613" s="487" t="s">
        <v>1499</v>
      </c>
      <c r="J1613" s="487" t="s">
        <v>1385</v>
      </c>
    </row>
    <row r="1614" spans="1:10" ht="15" x14ac:dyDescent="0.2">
      <c r="A1614" s="486" t="s">
        <v>1384</v>
      </c>
      <c r="B1614" s="487" t="s">
        <v>1383</v>
      </c>
      <c r="C1614" s="488" t="s">
        <v>6283</v>
      </c>
      <c r="D1614" s="489" t="s">
        <v>6284</v>
      </c>
      <c r="E1614" s="487" t="s">
        <v>6285</v>
      </c>
      <c r="F1614" s="490">
        <v>11513</v>
      </c>
      <c r="G1614" s="489">
        <v>335.2</v>
      </c>
      <c r="H1614" s="489">
        <v>34.34666</v>
      </c>
      <c r="I1614" s="487" t="s">
        <v>1499</v>
      </c>
      <c r="J1614" s="487" t="s">
        <v>1385</v>
      </c>
    </row>
    <row r="1615" spans="1:10" ht="15" x14ac:dyDescent="0.2">
      <c r="A1615" s="486" t="s">
        <v>1384</v>
      </c>
      <c r="B1615" s="487" t="s">
        <v>1383</v>
      </c>
      <c r="C1615" s="488" t="s">
        <v>6286</v>
      </c>
      <c r="D1615" s="489" t="s">
        <v>6287</v>
      </c>
      <c r="E1615" s="487" t="s">
        <v>6288</v>
      </c>
      <c r="F1615" s="490">
        <v>6150</v>
      </c>
      <c r="G1615" s="489">
        <v>256.10000000000002</v>
      </c>
      <c r="H1615" s="489">
        <v>24.014060000000001</v>
      </c>
      <c r="I1615" s="487" t="s">
        <v>1499</v>
      </c>
      <c r="J1615" s="487" t="s">
        <v>1385</v>
      </c>
    </row>
    <row r="1616" spans="1:10" ht="15" x14ac:dyDescent="0.2">
      <c r="A1616" s="486" t="s">
        <v>1384</v>
      </c>
      <c r="B1616" s="487" t="s">
        <v>1383</v>
      </c>
      <c r="C1616" s="488" t="s">
        <v>6289</v>
      </c>
      <c r="D1616" s="489" t="s">
        <v>6290</v>
      </c>
      <c r="E1616" s="487" t="s">
        <v>4451</v>
      </c>
      <c r="F1616" s="490">
        <v>291789</v>
      </c>
      <c r="G1616" s="489">
        <v>17103.7</v>
      </c>
      <c r="H1616" s="489">
        <v>17.059989999999999</v>
      </c>
      <c r="I1616" s="487" t="s">
        <v>1499</v>
      </c>
      <c r="J1616" s="487" t="s">
        <v>1385</v>
      </c>
    </row>
    <row r="1617" spans="1:10" ht="15" x14ac:dyDescent="0.2">
      <c r="A1617" s="486" t="s">
        <v>1384</v>
      </c>
      <c r="B1617" s="487" t="s">
        <v>1383</v>
      </c>
      <c r="C1617" s="488" t="s">
        <v>6291</v>
      </c>
      <c r="D1617" s="489" t="s">
        <v>6292</v>
      </c>
      <c r="E1617" s="487" t="s">
        <v>6293</v>
      </c>
      <c r="F1617" s="490">
        <v>27784</v>
      </c>
      <c r="G1617" s="489">
        <v>716.1</v>
      </c>
      <c r="H1617" s="489">
        <v>38.799050000000001</v>
      </c>
      <c r="I1617" s="487" t="s">
        <v>1499</v>
      </c>
      <c r="J1617" s="487" t="s">
        <v>1385</v>
      </c>
    </row>
    <row r="1618" spans="1:10" ht="15" x14ac:dyDescent="0.2">
      <c r="A1618" s="486" t="s">
        <v>1384</v>
      </c>
      <c r="B1618" s="487" t="s">
        <v>1383</v>
      </c>
      <c r="C1618" s="488" t="s">
        <v>6294</v>
      </c>
      <c r="D1618" s="489" t="s">
        <v>6295</v>
      </c>
      <c r="E1618" s="487" t="s">
        <v>4511</v>
      </c>
      <c r="F1618" s="490">
        <v>37605</v>
      </c>
      <c r="G1618" s="489">
        <v>638.5</v>
      </c>
      <c r="H1618" s="489">
        <v>58.895850000000003</v>
      </c>
      <c r="I1618" s="487" t="s">
        <v>1499</v>
      </c>
      <c r="J1618" s="487" t="s">
        <v>1385</v>
      </c>
    </row>
    <row r="1619" spans="1:10" ht="15" x14ac:dyDescent="0.2">
      <c r="A1619" s="486" t="s">
        <v>1384</v>
      </c>
      <c r="B1619" s="487" t="s">
        <v>1383</v>
      </c>
      <c r="C1619" s="488" t="s">
        <v>6296</v>
      </c>
      <c r="D1619" s="489" t="s">
        <v>6297</v>
      </c>
      <c r="E1619" s="487" t="s">
        <v>6298</v>
      </c>
      <c r="F1619" s="490">
        <v>18115.78</v>
      </c>
      <c r="G1619" s="489">
        <v>898.6</v>
      </c>
      <c r="H1619" s="489">
        <v>20.16</v>
      </c>
      <c r="I1619" s="487" t="s">
        <v>1499</v>
      </c>
      <c r="J1619" s="487" t="s">
        <v>1385</v>
      </c>
    </row>
    <row r="1620" spans="1:10" ht="15" x14ac:dyDescent="0.2">
      <c r="A1620" s="486" t="s">
        <v>328</v>
      </c>
      <c r="B1620" s="487" t="s">
        <v>327</v>
      </c>
      <c r="C1620" s="488" t="s">
        <v>6299</v>
      </c>
      <c r="D1620" s="489" t="s">
        <v>6300</v>
      </c>
      <c r="E1620" s="487" t="s">
        <v>6301</v>
      </c>
      <c r="F1620" s="490">
        <v>97560</v>
      </c>
      <c r="G1620" s="489">
        <v>1425.23</v>
      </c>
      <c r="H1620" s="489">
        <v>68.452110000000005</v>
      </c>
      <c r="I1620" s="487" t="s">
        <v>1499</v>
      </c>
      <c r="J1620" s="487" t="s">
        <v>329</v>
      </c>
    </row>
    <row r="1621" spans="1:10" ht="15" x14ac:dyDescent="0.2">
      <c r="A1621" s="486" t="s">
        <v>328</v>
      </c>
      <c r="B1621" s="487" t="s">
        <v>327</v>
      </c>
      <c r="C1621" s="488" t="s">
        <v>6302</v>
      </c>
      <c r="D1621" s="489" t="s">
        <v>6303</v>
      </c>
      <c r="E1621" s="487" t="s">
        <v>6304</v>
      </c>
      <c r="F1621" s="490">
        <v>8930</v>
      </c>
      <c r="G1621" s="489">
        <v>220.18</v>
      </c>
      <c r="H1621" s="489">
        <v>40.557729999999999</v>
      </c>
      <c r="I1621" s="487" t="s">
        <v>1499</v>
      </c>
      <c r="J1621" s="487" t="s">
        <v>329</v>
      </c>
    </row>
    <row r="1622" spans="1:10" ht="15" x14ac:dyDescent="0.2">
      <c r="A1622" s="486" t="s">
        <v>328</v>
      </c>
      <c r="B1622" s="487" t="s">
        <v>327</v>
      </c>
      <c r="C1622" s="488" t="s">
        <v>6305</v>
      </c>
      <c r="D1622" s="489" t="s">
        <v>6306</v>
      </c>
      <c r="E1622" s="487" t="s">
        <v>6307</v>
      </c>
      <c r="F1622" s="490">
        <v>247444</v>
      </c>
      <c r="G1622" s="489">
        <v>2431.64</v>
      </c>
      <c r="H1622" s="489">
        <v>101.76013</v>
      </c>
      <c r="I1622" s="487" t="s">
        <v>1499</v>
      </c>
      <c r="J1622" s="487" t="s">
        <v>329</v>
      </c>
    </row>
    <row r="1623" spans="1:10" ht="15" x14ac:dyDescent="0.2">
      <c r="A1623" s="486" t="s">
        <v>328</v>
      </c>
      <c r="B1623" s="487" t="s">
        <v>327</v>
      </c>
      <c r="C1623" s="488" t="s">
        <v>6308</v>
      </c>
      <c r="D1623" s="489" t="s">
        <v>6309</v>
      </c>
      <c r="E1623" s="487" t="s">
        <v>6310</v>
      </c>
      <c r="F1623" s="490">
        <v>814960</v>
      </c>
      <c r="G1623" s="489">
        <v>7450.77</v>
      </c>
      <c r="H1623" s="489">
        <v>109.3793</v>
      </c>
      <c r="I1623" s="487" t="s">
        <v>1499</v>
      </c>
      <c r="J1623" s="487" t="s">
        <v>329</v>
      </c>
    </row>
    <row r="1624" spans="1:10" ht="15" x14ac:dyDescent="0.2">
      <c r="A1624" s="486" t="s">
        <v>328</v>
      </c>
      <c r="B1624" s="487" t="s">
        <v>327</v>
      </c>
      <c r="C1624" s="488" t="s">
        <v>6311</v>
      </c>
      <c r="D1624" s="489" t="s">
        <v>6312</v>
      </c>
      <c r="E1624" s="487" t="s">
        <v>6313</v>
      </c>
      <c r="F1624" s="490">
        <v>84600</v>
      </c>
      <c r="G1624" s="489">
        <v>1121.55</v>
      </c>
      <c r="H1624" s="489">
        <v>75.431319999999999</v>
      </c>
      <c r="I1624" s="487" t="s">
        <v>1499</v>
      </c>
      <c r="J1624" s="487" t="s">
        <v>329</v>
      </c>
    </row>
    <row r="1625" spans="1:10" ht="15" x14ac:dyDescent="0.2">
      <c r="A1625" s="486" t="s">
        <v>328</v>
      </c>
      <c r="B1625" s="487" t="s">
        <v>327</v>
      </c>
      <c r="C1625" s="488" t="s">
        <v>6314</v>
      </c>
      <c r="D1625" s="489" t="s">
        <v>6315</v>
      </c>
      <c r="E1625" s="487" t="s">
        <v>6316</v>
      </c>
      <c r="F1625" s="490">
        <v>114349</v>
      </c>
      <c r="G1625" s="489">
        <v>1494.22</v>
      </c>
      <c r="H1625" s="489">
        <v>76.527550000000005</v>
      </c>
      <c r="I1625" s="487" t="s">
        <v>1499</v>
      </c>
      <c r="J1625" s="487" t="s">
        <v>329</v>
      </c>
    </row>
    <row r="1626" spans="1:10" ht="15" x14ac:dyDescent="0.2">
      <c r="A1626" s="486" t="s">
        <v>328</v>
      </c>
      <c r="B1626" s="487" t="s">
        <v>327</v>
      </c>
      <c r="C1626" s="488" t="s">
        <v>6317</v>
      </c>
      <c r="D1626" s="489" t="s">
        <v>6318</v>
      </c>
      <c r="E1626" s="487" t="s">
        <v>6319</v>
      </c>
      <c r="F1626" s="490">
        <v>65735</v>
      </c>
      <c r="G1626" s="489">
        <v>778.27</v>
      </c>
      <c r="H1626" s="489">
        <v>84.462980000000002</v>
      </c>
      <c r="I1626" s="487" t="s">
        <v>1499</v>
      </c>
      <c r="J1626" s="487" t="s">
        <v>329</v>
      </c>
    </row>
    <row r="1627" spans="1:10" ht="15" x14ac:dyDescent="0.2">
      <c r="A1627" s="486" t="s">
        <v>328</v>
      </c>
      <c r="B1627" s="487" t="s">
        <v>327</v>
      </c>
      <c r="C1627" s="488" t="s">
        <v>6320</v>
      </c>
      <c r="D1627" s="489" t="s">
        <v>6321</v>
      </c>
      <c r="E1627" s="487" t="s">
        <v>6322</v>
      </c>
      <c r="F1627" s="490">
        <v>30980</v>
      </c>
      <c r="G1627" s="489">
        <v>457.11</v>
      </c>
      <c r="H1627" s="489">
        <v>67.773619999999994</v>
      </c>
      <c r="I1627" s="487" t="s">
        <v>1499</v>
      </c>
      <c r="J1627" s="487" t="s">
        <v>329</v>
      </c>
    </row>
    <row r="1628" spans="1:10" ht="15" x14ac:dyDescent="0.2">
      <c r="A1628" s="486" t="s">
        <v>328</v>
      </c>
      <c r="B1628" s="487" t="s">
        <v>327</v>
      </c>
      <c r="C1628" s="488" t="s">
        <v>6323</v>
      </c>
      <c r="D1628" s="489" t="s">
        <v>6324</v>
      </c>
      <c r="E1628" s="487" t="s">
        <v>6325</v>
      </c>
      <c r="F1628" s="490">
        <v>233928</v>
      </c>
      <c r="G1628" s="489">
        <v>2240.67</v>
      </c>
      <c r="H1628" s="489">
        <v>104.40092</v>
      </c>
      <c r="I1628" s="487" t="s">
        <v>1499</v>
      </c>
      <c r="J1628" s="487" t="s">
        <v>329</v>
      </c>
    </row>
    <row r="1629" spans="1:10" ht="15" x14ac:dyDescent="0.2">
      <c r="A1629" s="486" t="s">
        <v>328</v>
      </c>
      <c r="B1629" s="487" t="s">
        <v>327</v>
      </c>
      <c r="C1629" s="488" t="s">
        <v>6326</v>
      </c>
      <c r="D1629" s="489" t="s">
        <v>6327</v>
      </c>
      <c r="E1629" s="487" t="s">
        <v>6328</v>
      </c>
      <c r="F1629" s="490">
        <v>7590</v>
      </c>
      <c r="G1629" s="489">
        <v>191.51</v>
      </c>
      <c r="H1629" s="489">
        <v>39.632399999999997</v>
      </c>
      <c r="I1629" s="487" t="s">
        <v>1499</v>
      </c>
      <c r="J1629" s="487" t="s">
        <v>329</v>
      </c>
    </row>
    <row r="1630" spans="1:10" ht="15" x14ac:dyDescent="0.2">
      <c r="A1630" s="486" t="s">
        <v>328</v>
      </c>
      <c r="B1630" s="487" t="s">
        <v>327</v>
      </c>
      <c r="C1630" s="488" t="s">
        <v>6329</v>
      </c>
      <c r="D1630" s="489" t="s">
        <v>6330</v>
      </c>
      <c r="E1630" s="487" t="s">
        <v>6331</v>
      </c>
      <c r="F1630" s="490">
        <v>287600</v>
      </c>
      <c r="G1630" s="489">
        <v>4883.62</v>
      </c>
      <c r="H1630" s="489">
        <v>58.890740000000001</v>
      </c>
      <c r="I1630" s="487" t="s">
        <v>1499</v>
      </c>
      <c r="J1630" s="487" t="s">
        <v>329</v>
      </c>
    </row>
    <row r="1631" spans="1:10" ht="15" x14ac:dyDescent="0.2">
      <c r="A1631" s="486" t="s">
        <v>328</v>
      </c>
      <c r="B1631" s="487" t="s">
        <v>327</v>
      </c>
      <c r="C1631" s="488" t="s">
        <v>6332</v>
      </c>
      <c r="D1631" s="489" t="s">
        <v>6333</v>
      </c>
      <c r="E1631" s="487" t="s">
        <v>6334</v>
      </c>
      <c r="F1631" s="490">
        <v>34310</v>
      </c>
      <c r="G1631" s="489">
        <v>613.28</v>
      </c>
      <c r="H1631" s="489">
        <v>55.945079999999997</v>
      </c>
      <c r="I1631" s="487" t="s">
        <v>1499</v>
      </c>
      <c r="J1631" s="487" t="s">
        <v>329</v>
      </c>
    </row>
    <row r="1632" spans="1:10" ht="15" x14ac:dyDescent="0.2">
      <c r="A1632" s="486" t="s">
        <v>328</v>
      </c>
      <c r="B1632" s="487" t="s">
        <v>327</v>
      </c>
      <c r="C1632" s="488" t="s">
        <v>6335</v>
      </c>
      <c r="D1632" s="489" t="s">
        <v>6336</v>
      </c>
      <c r="E1632" s="487" t="s">
        <v>6337</v>
      </c>
      <c r="F1632" s="490">
        <v>13949.92</v>
      </c>
      <c r="G1632" s="489">
        <v>286.06</v>
      </c>
      <c r="H1632" s="489">
        <v>48.765709999999999</v>
      </c>
      <c r="I1632" s="487" t="s">
        <v>1499</v>
      </c>
      <c r="J1632" s="487" t="s">
        <v>329</v>
      </c>
    </row>
    <row r="1633" spans="1:10" ht="15" x14ac:dyDescent="0.2">
      <c r="A1633" s="486" t="s">
        <v>328</v>
      </c>
      <c r="B1633" s="487" t="s">
        <v>327</v>
      </c>
      <c r="C1633" s="488" t="s">
        <v>6338</v>
      </c>
      <c r="D1633" s="489" t="s">
        <v>6339</v>
      </c>
      <c r="E1633" s="487" t="s">
        <v>6340</v>
      </c>
      <c r="F1633" s="490">
        <v>39700</v>
      </c>
      <c r="G1633" s="489">
        <v>426.36</v>
      </c>
      <c r="H1633" s="489">
        <v>93.113799999999998</v>
      </c>
      <c r="I1633" s="487" t="s">
        <v>1499</v>
      </c>
      <c r="J1633" s="487" t="s">
        <v>329</v>
      </c>
    </row>
    <row r="1634" spans="1:10" ht="15" x14ac:dyDescent="0.2">
      <c r="A1634" s="486" t="s">
        <v>328</v>
      </c>
      <c r="B1634" s="487" t="s">
        <v>327</v>
      </c>
      <c r="C1634" s="488" t="s">
        <v>6341</v>
      </c>
      <c r="D1634" s="489" t="s">
        <v>6342</v>
      </c>
      <c r="E1634" s="487" t="s">
        <v>6343</v>
      </c>
      <c r="F1634" s="490">
        <v>7459</v>
      </c>
      <c r="G1634" s="489">
        <v>254.75</v>
      </c>
      <c r="H1634" s="489">
        <v>29.279689999999999</v>
      </c>
      <c r="I1634" s="487" t="s">
        <v>1499</v>
      </c>
      <c r="J1634" s="487" t="s">
        <v>329</v>
      </c>
    </row>
    <row r="1635" spans="1:10" ht="15" x14ac:dyDescent="0.2">
      <c r="A1635" s="486" t="s">
        <v>328</v>
      </c>
      <c r="B1635" s="487" t="s">
        <v>327</v>
      </c>
      <c r="C1635" s="488" t="s">
        <v>6344</v>
      </c>
      <c r="D1635" s="489" t="s">
        <v>6345</v>
      </c>
      <c r="E1635" s="487" t="s">
        <v>6346</v>
      </c>
      <c r="F1635" s="490">
        <v>50315</v>
      </c>
      <c r="G1635" s="489">
        <v>447.28</v>
      </c>
      <c r="H1635" s="489">
        <v>112.49106</v>
      </c>
      <c r="I1635" s="487" t="s">
        <v>1499</v>
      </c>
      <c r="J1635" s="487" t="s">
        <v>329</v>
      </c>
    </row>
    <row r="1636" spans="1:10" ht="15" x14ac:dyDescent="0.2">
      <c r="A1636" s="486" t="s">
        <v>328</v>
      </c>
      <c r="B1636" s="487" t="s">
        <v>327</v>
      </c>
      <c r="C1636" s="488" t="s">
        <v>6347</v>
      </c>
      <c r="D1636" s="489" t="s">
        <v>6348</v>
      </c>
      <c r="E1636" s="487" t="s">
        <v>6349</v>
      </c>
      <c r="F1636" s="490">
        <v>0</v>
      </c>
      <c r="G1636" s="489">
        <v>24.61</v>
      </c>
      <c r="H1636" s="489">
        <v>0</v>
      </c>
      <c r="I1636" s="487" t="s">
        <v>1593</v>
      </c>
      <c r="J1636" s="487" t="s">
        <v>329</v>
      </c>
    </row>
    <row r="1637" spans="1:10" ht="15" x14ac:dyDescent="0.2">
      <c r="A1637" s="486" t="s">
        <v>328</v>
      </c>
      <c r="B1637" s="487" t="s">
        <v>327</v>
      </c>
      <c r="C1637" s="488" t="s">
        <v>6350</v>
      </c>
      <c r="D1637" s="489" t="s">
        <v>6351</v>
      </c>
      <c r="E1637" s="487" t="s">
        <v>6352</v>
      </c>
      <c r="F1637" s="490">
        <v>62412</v>
      </c>
      <c r="G1637" s="489">
        <v>1125.47</v>
      </c>
      <c r="H1637" s="489">
        <v>55.454169999999998</v>
      </c>
      <c r="I1637" s="487" t="s">
        <v>1499</v>
      </c>
      <c r="J1637" s="487" t="s">
        <v>329</v>
      </c>
    </row>
    <row r="1638" spans="1:10" ht="15" x14ac:dyDescent="0.2">
      <c r="A1638" s="486" t="s">
        <v>328</v>
      </c>
      <c r="B1638" s="487" t="s">
        <v>327</v>
      </c>
      <c r="C1638" s="488" t="s">
        <v>6353</v>
      </c>
      <c r="D1638" s="489" t="s">
        <v>6354</v>
      </c>
      <c r="E1638" s="487" t="s">
        <v>6355</v>
      </c>
      <c r="F1638" s="490">
        <v>24785</v>
      </c>
      <c r="G1638" s="489">
        <v>437.54</v>
      </c>
      <c r="H1638" s="489">
        <v>56.646250000000002</v>
      </c>
      <c r="I1638" s="487" t="s">
        <v>1499</v>
      </c>
      <c r="J1638" s="487" t="s">
        <v>329</v>
      </c>
    </row>
    <row r="1639" spans="1:10" ht="15" x14ac:dyDescent="0.2">
      <c r="A1639" s="486" t="s">
        <v>328</v>
      </c>
      <c r="B1639" s="487" t="s">
        <v>327</v>
      </c>
      <c r="C1639" s="488" t="s">
        <v>6356</v>
      </c>
      <c r="D1639" s="489" t="s">
        <v>6357</v>
      </c>
      <c r="E1639" s="487" t="s">
        <v>6358</v>
      </c>
      <c r="F1639" s="490">
        <v>33810</v>
      </c>
      <c r="G1639" s="489">
        <v>554.21</v>
      </c>
      <c r="H1639" s="489">
        <v>61.005760000000002</v>
      </c>
      <c r="I1639" s="487" t="s">
        <v>1499</v>
      </c>
      <c r="J1639" s="487" t="s">
        <v>329</v>
      </c>
    </row>
    <row r="1640" spans="1:10" ht="15" x14ac:dyDescent="0.2">
      <c r="A1640" s="486" t="s">
        <v>328</v>
      </c>
      <c r="B1640" s="487" t="s">
        <v>327</v>
      </c>
      <c r="C1640" s="488" t="s">
        <v>6359</v>
      </c>
      <c r="D1640" s="489" t="s">
        <v>6360</v>
      </c>
      <c r="E1640" s="487" t="s">
        <v>6361</v>
      </c>
      <c r="F1640" s="490">
        <v>11933</v>
      </c>
      <c r="G1640" s="489">
        <v>100.91</v>
      </c>
      <c r="H1640" s="489">
        <v>118.25389</v>
      </c>
      <c r="I1640" s="487" t="s">
        <v>1499</v>
      </c>
      <c r="J1640" s="487" t="s">
        <v>329</v>
      </c>
    </row>
    <row r="1641" spans="1:10" ht="15" x14ac:dyDescent="0.2">
      <c r="A1641" s="486" t="s">
        <v>328</v>
      </c>
      <c r="B1641" s="487" t="s">
        <v>327</v>
      </c>
      <c r="C1641" s="488" t="s">
        <v>6362</v>
      </c>
      <c r="D1641" s="489" t="s">
        <v>6363</v>
      </c>
      <c r="E1641" s="487" t="s">
        <v>6364</v>
      </c>
      <c r="F1641" s="490">
        <v>8000</v>
      </c>
      <c r="G1641" s="489">
        <v>112.15</v>
      </c>
      <c r="H1641" s="489">
        <v>71.333039999999997</v>
      </c>
      <c r="I1641" s="487" t="s">
        <v>1499</v>
      </c>
      <c r="J1641" s="487" t="s">
        <v>329</v>
      </c>
    </row>
    <row r="1642" spans="1:10" ht="15" x14ac:dyDescent="0.2">
      <c r="A1642" s="486" t="s">
        <v>328</v>
      </c>
      <c r="B1642" s="487" t="s">
        <v>327</v>
      </c>
      <c r="C1642" s="488" t="s">
        <v>6365</v>
      </c>
      <c r="D1642" s="489" t="s">
        <v>6366</v>
      </c>
      <c r="E1642" s="487" t="s">
        <v>6367</v>
      </c>
      <c r="F1642" s="490">
        <v>24577</v>
      </c>
      <c r="G1642" s="489">
        <v>755.3</v>
      </c>
      <c r="H1642" s="489">
        <v>32.539389999999997</v>
      </c>
      <c r="I1642" s="487" t="s">
        <v>1499</v>
      </c>
      <c r="J1642" s="487" t="s">
        <v>329</v>
      </c>
    </row>
    <row r="1643" spans="1:10" ht="15" x14ac:dyDescent="0.2">
      <c r="A1643" s="486" t="s">
        <v>328</v>
      </c>
      <c r="B1643" s="487" t="s">
        <v>327</v>
      </c>
      <c r="C1643" s="488" t="s">
        <v>6368</v>
      </c>
      <c r="D1643" s="489" t="s">
        <v>6369</v>
      </c>
      <c r="E1643" s="487" t="s">
        <v>6370</v>
      </c>
      <c r="F1643" s="490">
        <v>0</v>
      </c>
      <c r="G1643" s="489">
        <v>13.03</v>
      </c>
      <c r="H1643" s="489">
        <v>0</v>
      </c>
      <c r="I1643" s="487" t="s">
        <v>1593</v>
      </c>
      <c r="J1643" s="487" t="s">
        <v>329</v>
      </c>
    </row>
    <row r="1644" spans="1:10" ht="15" x14ac:dyDescent="0.2">
      <c r="A1644" s="486" t="s">
        <v>328</v>
      </c>
      <c r="B1644" s="487" t="s">
        <v>327</v>
      </c>
      <c r="C1644" s="488" t="s">
        <v>6371</v>
      </c>
      <c r="D1644" s="489" t="s">
        <v>6372</v>
      </c>
      <c r="E1644" s="487" t="s">
        <v>6373</v>
      </c>
      <c r="F1644" s="490">
        <v>682500</v>
      </c>
      <c r="G1644" s="489">
        <v>7007.32</v>
      </c>
      <c r="H1644" s="489">
        <v>97.398150000000001</v>
      </c>
      <c r="I1644" s="487" t="s">
        <v>1499</v>
      </c>
      <c r="J1644" s="487" t="s">
        <v>329</v>
      </c>
    </row>
    <row r="1645" spans="1:10" ht="15" x14ac:dyDescent="0.2">
      <c r="A1645" s="486" t="s">
        <v>328</v>
      </c>
      <c r="B1645" s="487" t="s">
        <v>327</v>
      </c>
      <c r="C1645" s="488" t="s">
        <v>6374</v>
      </c>
      <c r="D1645" s="489" t="s">
        <v>6375</v>
      </c>
      <c r="E1645" s="487" t="s">
        <v>6376</v>
      </c>
      <c r="F1645" s="490">
        <v>22611.759999999998</v>
      </c>
      <c r="G1645" s="489">
        <v>424.94</v>
      </c>
      <c r="H1645" s="489">
        <v>53.211649999999999</v>
      </c>
      <c r="I1645" s="487" t="s">
        <v>1499</v>
      </c>
      <c r="J1645" s="487" t="s">
        <v>329</v>
      </c>
    </row>
    <row r="1646" spans="1:10" ht="15" x14ac:dyDescent="0.2">
      <c r="A1646" s="486" t="s">
        <v>328</v>
      </c>
      <c r="B1646" s="487" t="s">
        <v>327</v>
      </c>
      <c r="C1646" s="488" t="s">
        <v>6377</v>
      </c>
      <c r="D1646" s="489" t="s">
        <v>6378</v>
      </c>
      <c r="E1646" s="487" t="s">
        <v>6379</v>
      </c>
      <c r="F1646" s="490">
        <v>8000</v>
      </c>
      <c r="G1646" s="489">
        <v>139.44999999999999</v>
      </c>
      <c r="H1646" s="489">
        <v>57.368229999999997</v>
      </c>
      <c r="I1646" s="487" t="s">
        <v>1499</v>
      </c>
      <c r="J1646" s="487" t="s">
        <v>329</v>
      </c>
    </row>
    <row r="1647" spans="1:10" ht="15" x14ac:dyDescent="0.2">
      <c r="A1647" s="486" t="s">
        <v>328</v>
      </c>
      <c r="B1647" s="487" t="s">
        <v>327</v>
      </c>
      <c r="C1647" s="488" t="s">
        <v>6380</v>
      </c>
      <c r="D1647" s="489" t="s">
        <v>6381</v>
      </c>
      <c r="E1647" s="487" t="s">
        <v>6382</v>
      </c>
      <c r="F1647" s="490">
        <v>57855</v>
      </c>
      <c r="G1647" s="489">
        <v>1319.11</v>
      </c>
      <c r="H1647" s="489">
        <v>43.859119999999997</v>
      </c>
      <c r="I1647" s="487" t="s">
        <v>1499</v>
      </c>
      <c r="J1647" s="487" t="s">
        <v>329</v>
      </c>
    </row>
    <row r="1648" spans="1:10" ht="15" x14ac:dyDescent="0.2">
      <c r="A1648" s="486" t="s">
        <v>328</v>
      </c>
      <c r="B1648" s="487" t="s">
        <v>327</v>
      </c>
      <c r="C1648" s="488" t="s">
        <v>6383</v>
      </c>
      <c r="D1648" s="489" t="s">
        <v>6384</v>
      </c>
      <c r="E1648" s="487" t="s">
        <v>6385</v>
      </c>
      <c r="F1648" s="490">
        <v>230000</v>
      </c>
      <c r="G1648" s="489">
        <v>1569.43</v>
      </c>
      <c r="H1648" s="489">
        <v>146.55001999999999</v>
      </c>
      <c r="I1648" s="487" t="s">
        <v>1499</v>
      </c>
      <c r="J1648" s="487" t="s">
        <v>329</v>
      </c>
    </row>
    <row r="1649" spans="1:10" ht="15" x14ac:dyDescent="0.2">
      <c r="A1649" s="486" t="s">
        <v>328</v>
      </c>
      <c r="B1649" s="487" t="s">
        <v>327</v>
      </c>
      <c r="C1649" s="488" t="s">
        <v>6386</v>
      </c>
      <c r="D1649" s="489" t="s">
        <v>6387</v>
      </c>
      <c r="E1649" s="487" t="s">
        <v>6388</v>
      </c>
      <c r="F1649" s="490">
        <v>65000</v>
      </c>
      <c r="G1649" s="489">
        <v>621.14</v>
      </c>
      <c r="H1649" s="489">
        <v>104.6463</v>
      </c>
      <c r="I1649" s="487" t="s">
        <v>1499</v>
      </c>
      <c r="J1649" s="487" t="s">
        <v>329</v>
      </c>
    </row>
    <row r="1650" spans="1:10" ht="15" x14ac:dyDescent="0.2">
      <c r="A1650" s="486" t="s">
        <v>328</v>
      </c>
      <c r="B1650" s="487" t="s">
        <v>327</v>
      </c>
      <c r="C1650" s="488" t="s">
        <v>6389</v>
      </c>
      <c r="D1650" s="489" t="s">
        <v>6390</v>
      </c>
      <c r="E1650" s="487" t="s">
        <v>6391</v>
      </c>
      <c r="F1650" s="490">
        <v>188446</v>
      </c>
      <c r="G1650" s="489">
        <v>1863.59</v>
      </c>
      <c r="H1650" s="489">
        <v>101.11987999999999</v>
      </c>
      <c r="I1650" s="487" t="s">
        <v>1499</v>
      </c>
      <c r="J1650" s="487" t="s">
        <v>329</v>
      </c>
    </row>
    <row r="1651" spans="1:10" ht="15" x14ac:dyDescent="0.2">
      <c r="A1651" s="486" t="s">
        <v>328</v>
      </c>
      <c r="B1651" s="487" t="s">
        <v>327</v>
      </c>
      <c r="C1651" s="488" t="s">
        <v>6392</v>
      </c>
      <c r="D1651" s="489" t="s">
        <v>6393</v>
      </c>
      <c r="E1651" s="487" t="s">
        <v>6394</v>
      </c>
      <c r="F1651" s="490">
        <v>7500</v>
      </c>
      <c r="G1651" s="489">
        <v>279.14999999999998</v>
      </c>
      <c r="H1651" s="489">
        <v>26.867280000000001</v>
      </c>
      <c r="I1651" s="487" t="s">
        <v>1499</v>
      </c>
      <c r="J1651" s="487" t="s">
        <v>329</v>
      </c>
    </row>
    <row r="1652" spans="1:10" ht="15" x14ac:dyDescent="0.2">
      <c r="A1652" s="486" t="s">
        <v>328</v>
      </c>
      <c r="B1652" s="487" t="s">
        <v>327</v>
      </c>
      <c r="C1652" s="488" t="s">
        <v>6395</v>
      </c>
      <c r="D1652" s="489" t="s">
        <v>6396</v>
      </c>
      <c r="E1652" s="487" t="s">
        <v>2737</v>
      </c>
      <c r="F1652" s="490">
        <v>6400</v>
      </c>
      <c r="G1652" s="489">
        <v>182.22</v>
      </c>
      <c r="H1652" s="489">
        <v>35.12238</v>
      </c>
      <c r="I1652" s="487" t="s">
        <v>1499</v>
      </c>
      <c r="J1652" s="487" t="s">
        <v>329</v>
      </c>
    </row>
    <row r="1653" spans="1:10" ht="15" x14ac:dyDescent="0.2">
      <c r="A1653" s="486" t="s">
        <v>328</v>
      </c>
      <c r="B1653" s="487" t="s">
        <v>327</v>
      </c>
      <c r="C1653" s="488" t="s">
        <v>6397</v>
      </c>
      <c r="D1653" s="489" t="s">
        <v>6398</v>
      </c>
      <c r="E1653" s="487" t="s">
        <v>6399</v>
      </c>
      <c r="F1653" s="490">
        <v>0</v>
      </c>
      <c r="G1653" s="489">
        <v>1305.51</v>
      </c>
      <c r="H1653" s="489">
        <v>0</v>
      </c>
      <c r="I1653" s="487" t="s">
        <v>1593</v>
      </c>
      <c r="J1653" s="487" t="s">
        <v>329</v>
      </c>
    </row>
    <row r="1654" spans="1:10" ht="15" x14ac:dyDescent="0.2">
      <c r="A1654" s="486" t="s">
        <v>472</v>
      </c>
      <c r="B1654" s="487" t="s">
        <v>471</v>
      </c>
      <c r="C1654" s="488" t="s">
        <v>6400</v>
      </c>
      <c r="D1654" s="489" t="s">
        <v>6401</v>
      </c>
      <c r="E1654" s="487" t="s">
        <v>6402</v>
      </c>
      <c r="F1654" s="490">
        <v>58000</v>
      </c>
      <c r="G1654" s="489">
        <v>388.37</v>
      </c>
      <c r="H1654" s="489">
        <v>149.34211999999999</v>
      </c>
      <c r="I1654" s="487" t="s">
        <v>1499</v>
      </c>
      <c r="J1654" s="487" t="s">
        <v>473</v>
      </c>
    </row>
    <row r="1655" spans="1:10" ht="15" x14ac:dyDescent="0.2">
      <c r="A1655" s="486" t="s">
        <v>472</v>
      </c>
      <c r="B1655" s="487" t="s">
        <v>471</v>
      </c>
      <c r="C1655" s="488" t="s">
        <v>6403</v>
      </c>
      <c r="D1655" s="489" t="s">
        <v>6404</v>
      </c>
      <c r="E1655" s="487" t="s">
        <v>6405</v>
      </c>
      <c r="F1655" s="490">
        <v>126000</v>
      </c>
      <c r="G1655" s="489">
        <v>1172.48</v>
      </c>
      <c r="H1655" s="489">
        <v>107.46451999999999</v>
      </c>
      <c r="I1655" s="487" t="s">
        <v>1499</v>
      </c>
      <c r="J1655" s="487" t="s">
        <v>473</v>
      </c>
    </row>
    <row r="1656" spans="1:10" ht="15" x14ac:dyDescent="0.2">
      <c r="A1656" s="486" t="s">
        <v>472</v>
      </c>
      <c r="B1656" s="487" t="s">
        <v>471</v>
      </c>
      <c r="C1656" s="488" t="s">
        <v>6406</v>
      </c>
      <c r="D1656" s="489" t="s">
        <v>6407</v>
      </c>
      <c r="E1656" s="487" t="s">
        <v>6408</v>
      </c>
      <c r="F1656" s="490">
        <v>300409</v>
      </c>
      <c r="G1656" s="489">
        <v>1244.6600000000001</v>
      </c>
      <c r="H1656" s="489">
        <v>241.35828000000001</v>
      </c>
      <c r="I1656" s="487" t="s">
        <v>1499</v>
      </c>
      <c r="J1656" s="487" t="s">
        <v>473</v>
      </c>
    </row>
    <row r="1657" spans="1:10" ht="15" x14ac:dyDescent="0.2">
      <c r="A1657" s="486" t="s">
        <v>472</v>
      </c>
      <c r="B1657" s="487" t="s">
        <v>471</v>
      </c>
      <c r="C1657" s="488" t="s">
        <v>6409</v>
      </c>
      <c r="D1657" s="489" t="s">
        <v>6410</v>
      </c>
      <c r="E1657" s="487" t="s">
        <v>6411</v>
      </c>
      <c r="F1657" s="490">
        <v>493081</v>
      </c>
      <c r="G1657" s="489">
        <v>2566.3000000000002</v>
      </c>
      <c r="H1657" s="489">
        <v>192.13693000000001</v>
      </c>
      <c r="I1657" s="487" t="s">
        <v>1499</v>
      </c>
      <c r="J1657" s="487" t="s">
        <v>473</v>
      </c>
    </row>
    <row r="1658" spans="1:10" ht="15" x14ac:dyDescent="0.2">
      <c r="A1658" s="486" t="s">
        <v>472</v>
      </c>
      <c r="B1658" s="487" t="s">
        <v>471</v>
      </c>
      <c r="C1658" s="488" t="s">
        <v>6412</v>
      </c>
      <c r="D1658" s="489" t="s">
        <v>6413</v>
      </c>
      <c r="E1658" s="487" t="s">
        <v>6414</v>
      </c>
      <c r="F1658" s="490">
        <v>919471.48</v>
      </c>
      <c r="G1658" s="489">
        <v>1650.47</v>
      </c>
      <c r="H1658" s="489">
        <v>557.09675000000004</v>
      </c>
      <c r="I1658" s="487" t="s">
        <v>1499</v>
      </c>
      <c r="J1658" s="487" t="s">
        <v>473</v>
      </c>
    </row>
    <row r="1659" spans="1:10" ht="15" x14ac:dyDescent="0.2">
      <c r="A1659" s="486" t="s">
        <v>472</v>
      </c>
      <c r="B1659" s="487" t="s">
        <v>471</v>
      </c>
      <c r="C1659" s="488" t="s">
        <v>6415</v>
      </c>
      <c r="D1659" s="489" t="s">
        <v>6416</v>
      </c>
      <c r="E1659" s="487" t="s">
        <v>6417</v>
      </c>
      <c r="F1659" s="490">
        <v>133250</v>
      </c>
      <c r="G1659" s="489">
        <v>497.87</v>
      </c>
      <c r="H1659" s="489">
        <v>267.64015000000001</v>
      </c>
      <c r="I1659" s="487" t="s">
        <v>1499</v>
      </c>
      <c r="J1659" s="487" t="s">
        <v>473</v>
      </c>
    </row>
    <row r="1660" spans="1:10" ht="15" x14ac:dyDescent="0.2">
      <c r="A1660" s="486" t="s">
        <v>472</v>
      </c>
      <c r="B1660" s="487" t="s">
        <v>471</v>
      </c>
      <c r="C1660" s="488" t="s">
        <v>6418</v>
      </c>
      <c r="D1660" s="489" t="s">
        <v>6419</v>
      </c>
      <c r="E1660" s="487" t="s">
        <v>6420</v>
      </c>
      <c r="F1660" s="490">
        <v>44100</v>
      </c>
      <c r="G1660" s="489">
        <v>276.39999999999998</v>
      </c>
      <c r="H1660" s="489">
        <v>159.55136999999999</v>
      </c>
      <c r="I1660" s="487" t="s">
        <v>1499</v>
      </c>
      <c r="J1660" s="487" t="s">
        <v>473</v>
      </c>
    </row>
    <row r="1661" spans="1:10" ht="15" x14ac:dyDescent="0.2">
      <c r="A1661" s="486" t="s">
        <v>472</v>
      </c>
      <c r="B1661" s="487" t="s">
        <v>471</v>
      </c>
      <c r="C1661" s="488" t="s">
        <v>6421</v>
      </c>
      <c r="D1661" s="489" t="s">
        <v>6422</v>
      </c>
      <c r="E1661" s="487" t="s">
        <v>6423</v>
      </c>
      <c r="F1661" s="490">
        <v>639428</v>
      </c>
      <c r="G1661" s="489">
        <v>3805.14</v>
      </c>
      <c r="H1661" s="489">
        <v>168.04322999999999</v>
      </c>
      <c r="I1661" s="487" t="s">
        <v>1499</v>
      </c>
      <c r="J1661" s="487" t="s">
        <v>473</v>
      </c>
    </row>
    <row r="1662" spans="1:10" ht="15" x14ac:dyDescent="0.2">
      <c r="A1662" s="486" t="s">
        <v>472</v>
      </c>
      <c r="B1662" s="487" t="s">
        <v>471</v>
      </c>
      <c r="C1662" s="488" t="s">
        <v>6424</v>
      </c>
      <c r="D1662" s="489" t="s">
        <v>6425</v>
      </c>
      <c r="E1662" s="487" t="s">
        <v>6426</v>
      </c>
      <c r="F1662" s="490">
        <v>298127</v>
      </c>
      <c r="G1662" s="489">
        <v>1600.43</v>
      </c>
      <c r="H1662" s="489">
        <v>186.27931000000001</v>
      </c>
      <c r="I1662" s="487" t="s">
        <v>1499</v>
      </c>
      <c r="J1662" s="487" t="s">
        <v>473</v>
      </c>
    </row>
    <row r="1663" spans="1:10" ht="15" x14ac:dyDescent="0.2">
      <c r="A1663" s="486" t="s">
        <v>472</v>
      </c>
      <c r="B1663" s="487" t="s">
        <v>471</v>
      </c>
      <c r="C1663" s="488" t="s">
        <v>6427</v>
      </c>
      <c r="D1663" s="489" t="s">
        <v>6428</v>
      </c>
      <c r="E1663" s="487" t="s">
        <v>6429</v>
      </c>
      <c r="F1663" s="490">
        <v>105138</v>
      </c>
      <c r="G1663" s="489">
        <v>767.15</v>
      </c>
      <c r="H1663" s="489">
        <v>137.05011999999999</v>
      </c>
      <c r="I1663" s="487" t="s">
        <v>1499</v>
      </c>
      <c r="J1663" s="487" t="s">
        <v>473</v>
      </c>
    </row>
    <row r="1664" spans="1:10" ht="15" x14ac:dyDescent="0.2">
      <c r="A1664" s="486" t="s">
        <v>472</v>
      </c>
      <c r="B1664" s="487" t="s">
        <v>471</v>
      </c>
      <c r="C1664" s="488" t="s">
        <v>6430</v>
      </c>
      <c r="D1664" s="489" t="s">
        <v>6431</v>
      </c>
      <c r="E1664" s="487" t="s">
        <v>6432</v>
      </c>
      <c r="F1664" s="490">
        <v>83958</v>
      </c>
      <c r="G1664" s="489">
        <v>566.52</v>
      </c>
      <c r="H1664" s="489">
        <v>148.19953000000001</v>
      </c>
      <c r="I1664" s="487" t="s">
        <v>1499</v>
      </c>
      <c r="J1664" s="487" t="s">
        <v>473</v>
      </c>
    </row>
    <row r="1665" spans="1:10" ht="15" x14ac:dyDescent="0.2">
      <c r="A1665" s="486" t="s">
        <v>472</v>
      </c>
      <c r="B1665" s="487" t="s">
        <v>471</v>
      </c>
      <c r="C1665" s="488" t="s">
        <v>6433</v>
      </c>
      <c r="D1665" s="489" t="s">
        <v>6434</v>
      </c>
      <c r="E1665" s="487" t="s">
        <v>6435</v>
      </c>
      <c r="F1665" s="490">
        <v>888000</v>
      </c>
      <c r="G1665" s="489">
        <v>2577.0700000000002</v>
      </c>
      <c r="H1665" s="489">
        <v>344.57736999999997</v>
      </c>
      <c r="I1665" s="487" t="s">
        <v>1499</v>
      </c>
      <c r="J1665" s="487" t="s">
        <v>473</v>
      </c>
    </row>
    <row r="1666" spans="1:10" ht="15" x14ac:dyDescent="0.2">
      <c r="A1666" s="486" t="s">
        <v>472</v>
      </c>
      <c r="B1666" s="487" t="s">
        <v>471</v>
      </c>
      <c r="C1666" s="488" t="s">
        <v>6436</v>
      </c>
      <c r="D1666" s="489" t="s">
        <v>6437</v>
      </c>
      <c r="E1666" s="487" t="s">
        <v>6438</v>
      </c>
      <c r="F1666" s="490">
        <v>401047</v>
      </c>
      <c r="G1666" s="489">
        <v>3021.19</v>
      </c>
      <c r="H1666" s="489">
        <v>132.74471</v>
      </c>
      <c r="I1666" s="487" t="s">
        <v>1499</v>
      </c>
      <c r="J1666" s="487" t="s">
        <v>473</v>
      </c>
    </row>
    <row r="1667" spans="1:10" ht="15" x14ac:dyDescent="0.2">
      <c r="A1667" s="486" t="s">
        <v>472</v>
      </c>
      <c r="B1667" s="487" t="s">
        <v>471</v>
      </c>
      <c r="C1667" s="488" t="s">
        <v>6439</v>
      </c>
      <c r="D1667" s="489" t="s">
        <v>6440</v>
      </c>
      <c r="E1667" s="487" t="s">
        <v>6441</v>
      </c>
      <c r="F1667" s="490">
        <v>205478</v>
      </c>
      <c r="G1667" s="489">
        <v>1254.92</v>
      </c>
      <c r="H1667" s="489">
        <v>163.73793000000001</v>
      </c>
      <c r="I1667" s="487" t="s">
        <v>1499</v>
      </c>
      <c r="J1667" s="487" t="s">
        <v>473</v>
      </c>
    </row>
    <row r="1668" spans="1:10" ht="15" x14ac:dyDescent="0.2">
      <c r="A1668" s="486" t="s">
        <v>472</v>
      </c>
      <c r="B1668" s="487" t="s">
        <v>471</v>
      </c>
      <c r="C1668" s="488" t="s">
        <v>6442</v>
      </c>
      <c r="D1668" s="489" t="s">
        <v>6443</v>
      </c>
      <c r="E1668" s="487" t="s">
        <v>6444</v>
      </c>
      <c r="F1668" s="490">
        <v>289420</v>
      </c>
      <c r="G1668" s="489">
        <v>1106.22</v>
      </c>
      <c r="H1668" s="489">
        <v>261.62968999999998</v>
      </c>
      <c r="I1668" s="487" t="s">
        <v>1499</v>
      </c>
      <c r="J1668" s="487" t="s">
        <v>473</v>
      </c>
    </row>
    <row r="1669" spans="1:10" ht="15" x14ac:dyDescent="0.2">
      <c r="A1669" s="486" t="s">
        <v>472</v>
      </c>
      <c r="B1669" s="487" t="s">
        <v>471</v>
      </c>
      <c r="C1669" s="488" t="s">
        <v>6445</v>
      </c>
      <c r="D1669" s="489" t="s">
        <v>6446</v>
      </c>
      <c r="E1669" s="487" t="s">
        <v>6447</v>
      </c>
      <c r="F1669" s="490">
        <v>211600</v>
      </c>
      <c r="G1669" s="489">
        <v>871.57</v>
      </c>
      <c r="H1669" s="489">
        <v>242.78027</v>
      </c>
      <c r="I1669" s="487" t="s">
        <v>1499</v>
      </c>
      <c r="J1669" s="487" t="s">
        <v>473</v>
      </c>
    </row>
    <row r="1670" spans="1:10" ht="15" x14ac:dyDescent="0.2">
      <c r="A1670" s="486" t="s">
        <v>641</v>
      </c>
      <c r="B1670" s="487" t="s">
        <v>640</v>
      </c>
      <c r="C1670" s="488" t="s">
        <v>6448</v>
      </c>
      <c r="D1670" s="489" t="s">
        <v>6449</v>
      </c>
      <c r="E1670" s="487" t="s">
        <v>6450</v>
      </c>
      <c r="F1670" s="490">
        <v>61579</v>
      </c>
      <c r="G1670" s="489">
        <v>2548.83</v>
      </c>
      <c r="H1670" s="489">
        <v>24.15971</v>
      </c>
      <c r="I1670" s="487" t="s">
        <v>1499</v>
      </c>
      <c r="J1670" s="487" t="s">
        <v>642</v>
      </c>
    </row>
    <row r="1671" spans="1:10" ht="15" x14ac:dyDescent="0.2">
      <c r="A1671" s="486" t="s">
        <v>641</v>
      </c>
      <c r="B1671" s="487" t="s">
        <v>640</v>
      </c>
      <c r="C1671" s="488" t="s">
        <v>6451</v>
      </c>
      <c r="D1671" s="489" t="s">
        <v>6452</v>
      </c>
      <c r="E1671" s="487" t="s">
        <v>6453</v>
      </c>
      <c r="F1671" s="490">
        <v>567822</v>
      </c>
      <c r="G1671" s="489">
        <v>4634.83</v>
      </c>
      <c r="H1671" s="489">
        <v>122.51194</v>
      </c>
      <c r="I1671" s="487" t="s">
        <v>1499</v>
      </c>
      <c r="J1671" s="487" t="s">
        <v>642</v>
      </c>
    </row>
    <row r="1672" spans="1:10" ht="15" x14ac:dyDescent="0.2">
      <c r="A1672" s="486" t="s">
        <v>699</v>
      </c>
      <c r="B1672" s="487" t="s">
        <v>698</v>
      </c>
      <c r="C1672" s="488" t="s">
        <v>6454</v>
      </c>
      <c r="D1672" s="489" t="s">
        <v>6455</v>
      </c>
      <c r="E1672" s="487" t="s">
        <v>6456</v>
      </c>
      <c r="F1672" s="490">
        <v>0</v>
      </c>
      <c r="G1672" s="489">
        <v>24.8</v>
      </c>
      <c r="H1672" s="489">
        <v>0</v>
      </c>
      <c r="I1672" s="487" t="s">
        <v>1593</v>
      </c>
      <c r="J1672" s="487" t="s">
        <v>700</v>
      </c>
    </row>
    <row r="1673" spans="1:10" ht="15" x14ac:dyDescent="0.2">
      <c r="A1673" s="486" t="s">
        <v>699</v>
      </c>
      <c r="B1673" s="487" t="s">
        <v>698</v>
      </c>
      <c r="C1673" s="488" t="s">
        <v>6457</v>
      </c>
      <c r="D1673" s="489" t="s">
        <v>6458</v>
      </c>
      <c r="E1673" s="487" t="s">
        <v>6459</v>
      </c>
      <c r="F1673" s="490">
        <v>0</v>
      </c>
      <c r="G1673" s="489">
        <v>21.9</v>
      </c>
      <c r="H1673" s="489">
        <v>0</v>
      </c>
      <c r="I1673" s="487" t="s">
        <v>1593</v>
      </c>
      <c r="J1673" s="487" t="s">
        <v>700</v>
      </c>
    </row>
    <row r="1674" spans="1:10" ht="15" x14ac:dyDescent="0.2">
      <c r="A1674" s="486" t="s">
        <v>699</v>
      </c>
      <c r="B1674" s="487" t="s">
        <v>698</v>
      </c>
      <c r="C1674" s="488" t="s">
        <v>6460</v>
      </c>
      <c r="D1674" s="489" t="s">
        <v>6461</v>
      </c>
      <c r="E1674" s="487" t="s">
        <v>6462</v>
      </c>
      <c r="F1674" s="490">
        <v>1402</v>
      </c>
      <c r="G1674" s="489">
        <v>69.5</v>
      </c>
      <c r="H1674" s="489">
        <v>20.17266</v>
      </c>
      <c r="I1674" s="487" t="s">
        <v>1499</v>
      </c>
      <c r="J1674" s="487" t="s">
        <v>700</v>
      </c>
    </row>
    <row r="1675" spans="1:10" ht="15" x14ac:dyDescent="0.2">
      <c r="A1675" s="486" t="s">
        <v>699</v>
      </c>
      <c r="B1675" s="487" t="s">
        <v>698</v>
      </c>
      <c r="C1675" s="488" t="s">
        <v>6463</v>
      </c>
      <c r="D1675" s="489" t="s">
        <v>6464</v>
      </c>
      <c r="E1675" s="487" t="s">
        <v>6465</v>
      </c>
      <c r="F1675" s="490">
        <v>352190</v>
      </c>
      <c r="G1675" s="489">
        <v>3561.7</v>
      </c>
      <c r="H1675" s="489">
        <v>98.882559999999998</v>
      </c>
      <c r="I1675" s="487" t="s">
        <v>1499</v>
      </c>
      <c r="J1675" s="487" t="s">
        <v>700</v>
      </c>
    </row>
    <row r="1676" spans="1:10" ht="15" x14ac:dyDescent="0.2">
      <c r="A1676" s="486" t="s">
        <v>699</v>
      </c>
      <c r="B1676" s="487" t="s">
        <v>698</v>
      </c>
      <c r="C1676" s="488" t="s">
        <v>6466</v>
      </c>
      <c r="D1676" s="489" t="s">
        <v>6467</v>
      </c>
      <c r="E1676" s="487" t="s">
        <v>6468</v>
      </c>
      <c r="F1676" s="490">
        <v>34442</v>
      </c>
      <c r="G1676" s="489">
        <v>265.8</v>
      </c>
      <c r="H1676" s="489">
        <v>129.57863</v>
      </c>
      <c r="I1676" s="487" t="s">
        <v>1499</v>
      </c>
      <c r="J1676" s="487" t="s">
        <v>700</v>
      </c>
    </row>
    <row r="1677" spans="1:10" ht="15" x14ac:dyDescent="0.2">
      <c r="A1677" s="486" t="s">
        <v>699</v>
      </c>
      <c r="B1677" s="487" t="s">
        <v>698</v>
      </c>
      <c r="C1677" s="488" t="s">
        <v>6469</v>
      </c>
      <c r="D1677" s="489" t="s">
        <v>6470</v>
      </c>
      <c r="E1677" s="487" t="s">
        <v>6471</v>
      </c>
      <c r="F1677" s="490">
        <v>0</v>
      </c>
      <c r="G1677" s="489">
        <v>58.5</v>
      </c>
      <c r="H1677" s="489">
        <v>0</v>
      </c>
      <c r="I1677" s="487" t="s">
        <v>1593</v>
      </c>
      <c r="J1677" s="487" t="s">
        <v>700</v>
      </c>
    </row>
    <row r="1678" spans="1:10" ht="15" x14ac:dyDescent="0.2">
      <c r="A1678" s="486" t="s">
        <v>699</v>
      </c>
      <c r="B1678" s="487" t="s">
        <v>698</v>
      </c>
      <c r="C1678" s="488" t="s">
        <v>6472</v>
      </c>
      <c r="D1678" s="489" t="s">
        <v>6473</v>
      </c>
      <c r="E1678" s="487" t="s">
        <v>6474</v>
      </c>
      <c r="F1678" s="490">
        <v>114700</v>
      </c>
      <c r="G1678" s="489">
        <v>1689.4</v>
      </c>
      <c r="H1678" s="489">
        <v>67.893929999999997</v>
      </c>
      <c r="I1678" s="487" t="s">
        <v>1499</v>
      </c>
      <c r="J1678" s="487" t="s">
        <v>700</v>
      </c>
    </row>
    <row r="1679" spans="1:10" ht="15" x14ac:dyDescent="0.2">
      <c r="A1679" s="486" t="s">
        <v>699</v>
      </c>
      <c r="B1679" s="487" t="s">
        <v>698</v>
      </c>
      <c r="C1679" s="488" t="s">
        <v>6475</v>
      </c>
      <c r="D1679" s="489" t="s">
        <v>6476</v>
      </c>
      <c r="E1679" s="487" t="s">
        <v>6477</v>
      </c>
      <c r="F1679" s="490">
        <v>2000</v>
      </c>
      <c r="G1679" s="489">
        <v>83.6</v>
      </c>
      <c r="H1679" s="489">
        <v>23.923439999999999</v>
      </c>
      <c r="I1679" s="487" t="s">
        <v>1499</v>
      </c>
      <c r="J1679" s="487" t="s">
        <v>700</v>
      </c>
    </row>
    <row r="1680" spans="1:10" ht="15" x14ac:dyDescent="0.2">
      <c r="A1680" s="486" t="s">
        <v>699</v>
      </c>
      <c r="B1680" s="487" t="s">
        <v>698</v>
      </c>
      <c r="C1680" s="488" t="s">
        <v>6478</v>
      </c>
      <c r="D1680" s="489" t="s">
        <v>6479</v>
      </c>
      <c r="E1680" s="487" t="s">
        <v>6480</v>
      </c>
      <c r="F1680" s="490">
        <v>24185</v>
      </c>
      <c r="G1680" s="489">
        <v>645.9</v>
      </c>
      <c r="H1680" s="489">
        <v>37.44388</v>
      </c>
      <c r="I1680" s="487" t="s">
        <v>1499</v>
      </c>
      <c r="J1680" s="487" t="s">
        <v>700</v>
      </c>
    </row>
    <row r="1681" spans="1:10" ht="15" x14ac:dyDescent="0.2">
      <c r="A1681" s="486" t="s">
        <v>699</v>
      </c>
      <c r="B1681" s="487" t="s">
        <v>698</v>
      </c>
      <c r="C1681" s="488" t="s">
        <v>6481</v>
      </c>
      <c r="D1681" s="489" t="s">
        <v>6482</v>
      </c>
      <c r="E1681" s="487" t="s">
        <v>6483</v>
      </c>
      <c r="F1681" s="490">
        <v>4368</v>
      </c>
      <c r="G1681" s="489">
        <v>80.2</v>
      </c>
      <c r="H1681" s="489">
        <v>54.463839999999998</v>
      </c>
      <c r="I1681" s="487" t="s">
        <v>1499</v>
      </c>
      <c r="J1681" s="487" t="s">
        <v>700</v>
      </c>
    </row>
    <row r="1682" spans="1:10" ht="15" x14ac:dyDescent="0.2">
      <c r="A1682" s="486" t="s">
        <v>699</v>
      </c>
      <c r="B1682" s="487" t="s">
        <v>698</v>
      </c>
      <c r="C1682" s="488" t="s">
        <v>6484</v>
      </c>
      <c r="D1682" s="489" t="s">
        <v>6485</v>
      </c>
      <c r="E1682" s="487" t="s">
        <v>6486</v>
      </c>
      <c r="F1682" s="490">
        <v>0</v>
      </c>
      <c r="G1682" s="489">
        <v>57.8</v>
      </c>
      <c r="H1682" s="489">
        <v>0</v>
      </c>
      <c r="I1682" s="487" t="s">
        <v>1593</v>
      </c>
      <c r="J1682" s="487" t="s">
        <v>700</v>
      </c>
    </row>
    <row r="1683" spans="1:10" ht="15" x14ac:dyDescent="0.2">
      <c r="A1683" s="486" t="s">
        <v>699</v>
      </c>
      <c r="B1683" s="487" t="s">
        <v>698</v>
      </c>
      <c r="C1683" s="488" t="s">
        <v>6487</v>
      </c>
      <c r="D1683" s="489" t="s">
        <v>6488</v>
      </c>
      <c r="E1683" s="487" t="s">
        <v>6489</v>
      </c>
      <c r="F1683" s="490">
        <v>8500</v>
      </c>
      <c r="G1683" s="489">
        <v>145.80000000000001</v>
      </c>
      <c r="H1683" s="489">
        <v>58.299039999999998</v>
      </c>
      <c r="I1683" s="487" t="s">
        <v>1499</v>
      </c>
      <c r="J1683" s="487" t="s">
        <v>700</v>
      </c>
    </row>
    <row r="1684" spans="1:10" ht="15" x14ac:dyDescent="0.2">
      <c r="A1684" s="486" t="s">
        <v>699</v>
      </c>
      <c r="B1684" s="487" t="s">
        <v>698</v>
      </c>
      <c r="C1684" s="488" t="s">
        <v>6490</v>
      </c>
      <c r="D1684" s="489" t="s">
        <v>6491</v>
      </c>
      <c r="E1684" s="487" t="s">
        <v>6492</v>
      </c>
      <c r="F1684" s="490">
        <v>0</v>
      </c>
      <c r="G1684" s="489">
        <v>14.7</v>
      </c>
      <c r="H1684" s="489">
        <v>0</v>
      </c>
      <c r="I1684" s="487" t="s">
        <v>1593</v>
      </c>
      <c r="J1684" s="487" t="s">
        <v>700</v>
      </c>
    </row>
    <row r="1685" spans="1:10" ht="15" x14ac:dyDescent="0.2">
      <c r="A1685" s="486" t="s">
        <v>699</v>
      </c>
      <c r="B1685" s="487" t="s">
        <v>698</v>
      </c>
      <c r="C1685" s="488" t="s">
        <v>6493</v>
      </c>
      <c r="D1685" s="489" t="s">
        <v>6494</v>
      </c>
      <c r="E1685" s="487" t="s">
        <v>6495</v>
      </c>
      <c r="F1685" s="490">
        <v>24500</v>
      </c>
      <c r="G1685" s="489">
        <v>344.3</v>
      </c>
      <c r="H1685" s="489">
        <v>71.158869999999993</v>
      </c>
      <c r="I1685" s="487" t="s">
        <v>1499</v>
      </c>
      <c r="J1685" s="487" t="s">
        <v>700</v>
      </c>
    </row>
    <row r="1686" spans="1:10" ht="15" x14ac:dyDescent="0.2">
      <c r="A1686" s="486" t="s">
        <v>699</v>
      </c>
      <c r="B1686" s="487" t="s">
        <v>698</v>
      </c>
      <c r="C1686" s="488" t="s">
        <v>6496</v>
      </c>
      <c r="D1686" s="489" t="s">
        <v>6497</v>
      </c>
      <c r="E1686" s="487" t="s">
        <v>6498</v>
      </c>
      <c r="F1686" s="490">
        <v>6800</v>
      </c>
      <c r="G1686" s="489">
        <v>94.4</v>
      </c>
      <c r="H1686" s="489">
        <v>72.033900000000003</v>
      </c>
      <c r="I1686" s="487" t="s">
        <v>1499</v>
      </c>
      <c r="J1686" s="487" t="s">
        <v>700</v>
      </c>
    </row>
    <row r="1687" spans="1:10" ht="15" x14ac:dyDescent="0.2">
      <c r="A1687" s="486" t="s">
        <v>699</v>
      </c>
      <c r="B1687" s="487" t="s">
        <v>698</v>
      </c>
      <c r="C1687" s="488" t="s">
        <v>6499</v>
      </c>
      <c r="D1687" s="489" t="s">
        <v>6500</v>
      </c>
      <c r="E1687" s="487" t="s">
        <v>6501</v>
      </c>
      <c r="F1687" s="490">
        <v>3500</v>
      </c>
      <c r="G1687" s="489">
        <v>150.30000000000001</v>
      </c>
      <c r="H1687" s="489">
        <v>23.286760000000001</v>
      </c>
      <c r="I1687" s="487" t="s">
        <v>1499</v>
      </c>
      <c r="J1687" s="487" t="s">
        <v>700</v>
      </c>
    </row>
    <row r="1688" spans="1:10" ht="15" x14ac:dyDescent="0.2">
      <c r="A1688" s="486" t="s">
        <v>699</v>
      </c>
      <c r="B1688" s="487" t="s">
        <v>698</v>
      </c>
      <c r="C1688" s="488" t="s">
        <v>6502</v>
      </c>
      <c r="D1688" s="489" t="s">
        <v>6503</v>
      </c>
      <c r="E1688" s="487" t="s">
        <v>2624</v>
      </c>
      <c r="F1688" s="490">
        <v>56290</v>
      </c>
      <c r="G1688" s="489">
        <v>648.70000000000005</v>
      </c>
      <c r="H1688" s="489">
        <v>86.77355</v>
      </c>
      <c r="I1688" s="487" t="s">
        <v>1499</v>
      </c>
      <c r="J1688" s="487" t="s">
        <v>700</v>
      </c>
    </row>
    <row r="1689" spans="1:10" ht="15" x14ac:dyDescent="0.2">
      <c r="A1689" s="486" t="s">
        <v>699</v>
      </c>
      <c r="B1689" s="487" t="s">
        <v>698</v>
      </c>
      <c r="C1689" s="488" t="s">
        <v>6504</v>
      </c>
      <c r="D1689" s="489" t="s">
        <v>6505</v>
      </c>
      <c r="E1689" s="487" t="s">
        <v>6506</v>
      </c>
      <c r="F1689" s="490">
        <v>25000</v>
      </c>
      <c r="G1689" s="489">
        <v>705</v>
      </c>
      <c r="H1689" s="489">
        <v>35.460990000000002</v>
      </c>
      <c r="I1689" s="487" t="s">
        <v>1499</v>
      </c>
      <c r="J1689" s="487" t="s">
        <v>700</v>
      </c>
    </row>
    <row r="1690" spans="1:10" ht="15" x14ac:dyDescent="0.2">
      <c r="A1690" s="486" t="s">
        <v>699</v>
      </c>
      <c r="B1690" s="487" t="s">
        <v>698</v>
      </c>
      <c r="C1690" s="488" t="s">
        <v>6507</v>
      </c>
      <c r="D1690" s="489" t="s">
        <v>6508</v>
      </c>
      <c r="E1690" s="487" t="s">
        <v>6509</v>
      </c>
      <c r="F1690" s="490">
        <v>17500</v>
      </c>
      <c r="G1690" s="489">
        <v>274.7</v>
      </c>
      <c r="H1690" s="489">
        <v>63.705860000000001</v>
      </c>
      <c r="I1690" s="487" t="s">
        <v>1499</v>
      </c>
      <c r="J1690" s="487" t="s">
        <v>700</v>
      </c>
    </row>
    <row r="1691" spans="1:10" ht="15" x14ac:dyDescent="0.2">
      <c r="A1691" s="486" t="s">
        <v>699</v>
      </c>
      <c r="B1691" s="487" t="s">
        <v>698</v>
      </c>
      <c r="C1691" s="488" t="s">
        <v>6510</v>
      </c>
      <c r="D1691" s="489" t="s">
        <v>6511</v>
      </c>
      <c r="E1691" s="487" t="s">
        <v>6512</v>
      </c>
      <c r="F1691" s="490">
        <v>0</v>
      </c>
      <c r="G1691" s="489">
        <v>6.4</v>
      </c>
      <c r="H1691" s="489">
        <v>0</v>
      </c>
      <c r="I1691" s="487" t="s">
        <v>1593</v>
      </c>
      <c r="J1691" s="487" t="s">
        <v>700</v>
      </c>
    </row>
    <row r="1692" spans="1:10" ht="15" x14ac:dyDescent="0.2">
      <c r="A1692" s="486" t="s">
        <v>699</v>
      </c>
      <c r="B1692" s="487" t="s">
        <v>698</v>
      </c>
      <c r="C1692" s="488" t="s">
        <v>6513</v>
      </c>
      <c r="D1692" s="489" t="s">
        <v>6514</v>
      </c>
      <c r="E1692" s="487" t="s">
        <v>6515</v>
      </c>
      <c r="F1692" s="490">
        <v>0</v>
      </c>
      <c r="G1692" s="489">
        <v>26.3</v>
      </c>
      <c r="H1692" s="489">
        <v>0</v>
      </c>
      <c r="I1692" s="487" t="s">
        <v>1593</v>
      </c>
      <c r="J1692" s="487" t="s">
        <v>700</v>
      </c>
    </row>
    <row r="1693" spans="1:10" ht="15" x14ac:dyDescent="0.2">
      <c r="A1693" s="486" t="s">
        <v>699</v>
      </c>
      <c r="B1693" s="487" t="s">
        <v>698</v>
      </c>
      <c r="C1693" s="488" t="s">
        <v>6516</v>
      </c>
      <c r="D1693" s="489" t="s">
        <v>6517</v>
      </c>
      <c r="E1693" s="487" t="s">
        <v>6518</v>
      </c>
      <c r="F1693" s="490">
        <v>10800</v>
      </c>
      <c r="G1693" s="489">
        <v>380.1</v>
      </c>
      <c r="H1693" s="489">
        <v>28.41358</v>
      </c>
      <c r="I1693" s="487" t="s">
        <v>1499</v>
      </c>
      <c r="J1693" s="487" t="s">
        <v>700</v>
      </c>
    </row>
    <row r="1694" spans="1:10" ht="15" x14ac:dyDescent="0.2">
      <c r="A1694" s="486" t="s">
        <v>699</v>
      </c>
      <c r="B1694" s="487" t="s">
        <v>698</v>
      </c>
      <c r="C1694" s="488" t="s">
        <v>6519</v>
      </c>
      <c r="D1694" s="489" t="s">
        <v>6520</v>
      </c>
      <c r="E1694" s="487" t="s">
        <v>6521</v>
      </c>
      <c r="F1694" s="490">
        <v>7718</v>
      </c>
      <c r="G1694" s="489">
        <v>146.80000000000001</v>
      </c>
      <c r="H1694" s="489">
        <v>52.574930000000002</v>
      </c>
      <c r="I1694" s="487" t="s">
        <v>1499</v>
      </c>
      <c r="J1694" s="487" t="s">
        <v>700</v>
      </c>
    </row>
    <row r="1695" spans="1:10" ht="15" x14ac:dyDescent="0.2">
      <c r="A1695" s="486" t="s">
        <v>699</v>
      </c>
      <c r="B1695" s="487" t="s">
        <v>698</v>
      </c>
      <c r="C1695" s="488" t="s">
        <v>6522</v>
      </c>
      <c r="D1695" s="489" t="s">
        <v>6523</v>
      </c>
      <c r="E1695" s="487" t="s">
        <v>6524</v>
      </c>
      <c r="F1695" s="490">
        <v>0</v>
      </c>
      <c r="G1695" s="489">
        <v>12.6</v>
      </c>
      <c r="H1695" s="489">
        <v>0</v>
      </c>
      <c r="I1695" s="487" t="s">
        <v>1593</v>
      </c>
      <c r="J1695" s="487" t="s">
        <v>700</v>
      </c>
    </row>
    <row r="1696" spans="1:10" ht="15" x14ac:dyDescent="0.2">
      <c r="A1696" s="486" t="s">
        <v>699</v>
      </c>
      <c r="B1696" s="487" t="s">
        <v>698</v>
      </c>
      <c r="C1696" s="488" t="s">
        <v>6525</v>
      </c>
      <c r="D1696" s="489" t="s">
        <v>6526</v>
      </c>
      <c r="E1696" s="487" t="s">
        <v>6527</v>
      </c>
      <c r="F1696" s="490">
        <v>6542</v>
      </c>
      <c r="G1696" s="489">
        <v>144.1</v>
      </c>
      <c r="H1696" s="489">
        <v>45.399030000000003</v>
      </c>
      <c r="I1696" s="487" t="s">
        <v>1499</v>
      </c>
      <c r="J1696" s="487" t="s">
        <v>700</v>
      </c>
    </row>
    <row r="1697" spans="1:10" ht="15" x14ac:dyDescent="0.2">
      <c r="A1697" s="486" t="s">
        <v>699</v>
      </c>
      <c r="B1697" s="487" t="s">
        <v>698</v>
      </c>
      <c r="C1697" s="488" t="s">
        <v>6528</v>
      </c>
      <c r="D1697" s="489" t="s">
        <v>6529</v>
      </c>
      <c r="E1697" s="487" t="s">
        <v>2110</v>
      </c>
      <c r="F1697" s="490">
        <v>7000</v>
      </c>
      <c r="G1697" s="489">
        <v>225.3</v>
      </c>
      <c r="H1697" s="489">
        <v>31.069680000000002</v>
      </c>
      <c r="I1697" s="487" t="s">
        <v>1499</v>
      </c>
      <c r="J1697" s="487" t="s">
        <v>700</v>
      </c>
    </row>
    <row r="1698" spans="1:10" ht="15" x14ac:dyDescent="0.2">
      <c r="A1698" s="486" t="s">
        <v>699</v>
      </c>
      <c r="B1698" s="487" t="s">
        <v>698</v>
      </c>
      <c r="C1698" s="488" t="s">
        <v>6530</v>
      </c>
      <c r="D1698" s="489" t="s">
        <v>6531</v>
      </c>
      <c r="E1698" s="487" t="s">
        <v>6532</v>
      </c>
      <c r="F1698" s="490">
        <v>24885</v>
      </c>
      <c r="G1698" s="489">
        <v>571.5</v>
      </c>
      <c r="H1698" s="489">
        <v>43.543309999999998</v>
      </c>
      <c r="I1698" s="487" t="s">
        <v>1499</v>
      </c>
      <c r="J1698" s="487" t="s">
        <v>700</v>
      </c>
    </row>
    <row r="1699" spans="1:10" ht="15" x14ac:dyDescent="0.2">
      <c r="A1699" s="486" t="s">
        <v>699</v>
      </c>
      <c r="B1699" s="487" t="s">
        <v>698</v>
      </c>
      <c r="C1699" s="488" t="s">
        <v>6533</v>
      </c>
      <c r="D1699" s="489" t="s">
        <v>6534</v>
      </c>
      <c r="E1699" s="487" t="s">
        <v>6535</v>
      </c>
      <c r="F1699" s="490">
        <v>1600</v>
      </c>
      <c r="G1699" s="489">
        <v>102.4</v>
      </c>
      <c r="H1699" s="489">
        <v>15.625</v>
      </c>
      <c r="I1699" s="487" t="s">
        <v>1499</v>
      </c>
      <c r="J1699" s="487" t="s">
        <v>700</v>
      </c>
    </row>
    <row r="1700" spans="1:10" ht="15" x14ac:dyDescent="0.2">
      <c r="A1700" s="486" t="s">
        <v>699</v>
      </c>
      <c r="B1700" s="487" t="s">
        <v>698</v>
      </c>
      <c r="C1700" s="488" t="s">
        <v>6536</v>
      </c>
      <c r="D1700" s="489" t="s">
        <v>6537</v>
      </c>
      <c r="E1700" s="487" t="s">
        <v>6538</v>
      </c>
      <c r="F1700" s="490">
        <v>8715</v>
      </c>
      <c r="G1700" s="489">
        <v>243.7</v>
      </c>
      <c r="H1700" s="489">
        <v>35.761180000000003</v>
      </c>
      <c r="I1700" s="487" t="s">
        <v>1499</v>
      </c>
      <c r="J1700" s="487" t="s">
        <v>700</v>
      </c>
    </row>
    <row r="1701" spans="1:10" ht="15" x14ac:dyDescent="0.2">
      <c r="A1701" s="486" t="s">
        <v>699</v>
      </c>
      <c r="B1701" s="487" t="s">
        <v>698</v>
      </c>
      <c r="C1701" s="488" t="s">
        <v>6539</v>
      </c>
      <c r="D1701" s="489" t="s">
        <v>6540</v>
      </c>
      <c r="E1701" s="487" t="s">
        <v>6541</v>
      </c>
      <c r="F1701" s="490">
        <v>246554</v>
      </c>
      <c r="G1701" s="489">
        <v>2363.8000000000002</v>
      </c>
      <c r="H1701" s="489">
        <v>104.30409</v>
      </c>
      <c r="I1701" s="487" t="s">
        <v>1499</v>
      </c>
      <c r="J1701" s="487" t="s">
        <v>700</v>
      </c>
    </row>
    <row r="1702" spans="1:10" ht="15" x14ac:dyDescent="0.2">
      <c r="A1702" s="486" t="s">
        <v>699</v>
      </c>
      <c r="B1702" s="487" t="s">
        <v>698</v>
      </c>
      <c r="C1702" s="488" t="s">
        <v>6542</v>
      </c>
      <c r="D1702" s="489" t="s">
        <v>6543</v>
      </c>
      <c r="E1702" s="487" t="s">
        <v>6544</v>
      </c>
      <c r="F1702" s="490">
        <v>32305</v>
      </c>
      <c r="G1702" s="489">
        <v>772.9</v>
      </c>
      <c r="H1702" s="489">
        <v>41.797130000000003</v>
      </c>
      <c r="I1702" s="487" t="s">
        <v>1499</v>
      </c>
      <c r="J1702" s="487" t="s">
        <v>700</v>
      </c>
    </row>
    <row r="1703" spans="1:10" ht="15" x14ac:dyDescent="0.2">
      <c r="A1703" s="486" t="s">
        <v>699</v>
      </c>
      <c r="B1703" s="487" t="s">
        <v>698</v>
      </c>
      <c r="C1703" s="488" t="s">
        <v>6545</v>
      </c>
      <c r="D1703" s="489" t="s">
        <v>6546</v>
      </c>
      <c r="E1703" s="487" t="s">
        <v>6547</v>
      </c>
      <c r="F1703" s="490">
        <v>1000</v>
      </c>
      <c r="G1703" s="489">
        <v>58.6</v>
      </c>
      <c r="H1703" s="489">
        <v>17.06485</v>
      </c>
      <c r="I1703" s="487" t="s">
        <v>1499</v>
      </c>
      <c r="J1703" s="487" t="s">
        <v>700</v>
      </c>
    </row>
    <row r="1704" spans="1:10" ht="15" x14ac:dyDescent="0.2">
      <c r="A1704" s="486" t="s">
        <v>699</v>
      </c>
      <c r="B1704" s="487" t="s">
        <v>698</v>
      </c>
      <c r="C1704" s="488" t="s">
        <v>6548</v>
      </c>
      <c r="D1704" s="489" t="s">
        <v>6549</v>
      </c>
      <c r="E1704" s="487" t="s">
        <v>6550</v>
      </c>
      <c r="F1704" s="490">
        <v>0</v>
      </c>
      <c r="G1704" s="489">
        <v>71.8</v>
      </c>
      <c r="H1704" s="489">
        <v>0</v>
      </c>
      <c r="I1704" s="487" t="s">
        <v>1593</v>
      </c>
      <c r="J1704" s="487" t="s">
        <v>700</v>
      </c>
    </row>
    <row r="1705" spans="1:10" ht="15" x14ac:dyDescent="0.2">
      <c r="A1705" s="486" t="s">
        <v>699</v>
      </c>
      <c r="B1705" s="487" t="s">
        <v>698</v>
      </c>
      <c r="C1705" s="488" t="s">
        <v>6551</v>
      </c>
      <c r="D1705" s="489" t="s">
        <v>6552</v>
      </c>
      <c r="E1705" s="487" t="s">
        <v>6553</v>
      </c>
      <c r="F1705" s="490">
        <v>3900</v>
      </c>
      <c r="G1705" s="489">
        <v>100.9</v>
      </c>
      <c r="H1705" s="489">
        <v>38.65213</v>
      </c>
      <c r="I1705" s="487" t="s">
        <v>1499</v>
      </c>
      <c r="J1705" s="487" t="s">
        <v>700</v>
      </c>
    </row>
    <row r="1706" spans="1:10" ht="15" x14ac:dyDescent="0.2">
      <c r="A1706" s="486" t="s">
        <v>699</v>
      </c>
      <c r="B1706" s="487" t="s">
        <v>698</v>
      </c>
      <c r="C1706" s="488" t="s">
        <v>6554</v>
      </c>
      <c r="D1706" s="489" t="s">
        <v>6555</v>
      </c>
      <c r="E1706" s="487" t="s">
        <v>3871</v>
      </c>
      <c r="F1706" s="490">
        <v>10266</v>
      </c>
      <c r="G1706" s="489">
        <v>168.9</v>
      </c>
      <c r="H1706" s="489">
        <v>60.781529999999997</v>
      </c>
      <c r="I1706" s="487" t="s">
        <v>1499</v>
      </c>
      <c r="J1706" s="487" t="s">
        <v>700</v>
      </c>
    </row>
    <row r="1707" spans="1:10" ht="15" x14ac:dyDescent="0.2">
      <c r="A1707" s="486" t="s">
        <v>699</v>
      </c>
      <c r="B1707" s="487" t="s">
        <v>698</v>
      </c>
      <c r="C1707" s="488" t="s">
        <v>6556</v>
      </c>
      <c r="D1707" s="489" t="s">
        <v>6557</v>
      </c>
      <c r="E1707" s="487" t="s">
        <v>6558</v>
      </c>
      <c r="F1707" s="490">
        <v>50250</v>
      </c>
      <c r="G1707" s="489">
        <v>466.7</v>
      </c>
      <c r="H1707" s="489">
        <v>107.67088</v>
      </c>
      <c r="I1707" s="487" t="s">
        <v>1499</v>
      </c>
      <c r="J1707" s="487" t="s">
        <v>700</v>
      </c>
    </row>
    <row r="1708" spans="1:10" ht="15" x14ac:dyDescent="0.2">
      <c r="A1708" s="486" t="s">
        <v>699</v>
      </c>
      <c r="B1708" s="487" t="s">
        <v>698</v>
      </c>
      <c r="C1708" s="488" t="s">
        <v>6559</v>
      </c>
      <c r="D1708" s="489" t="s">
        <v>6560</v>
      </c>
      <c r="E1708" s="487" t="s">
        <v>6561</v>
      </c>
      <c r="F1708" s="490">
        <v>3400</v>
      </c>
      <c r="G1708" s="489">
        <v>70.599999999999994</v>
      </c>
      <c r="H1708" s="489">
        <v>48.158639999999998</v>
      </c>
      <c r="I1708" s="487" t="s">
        <v>1499</v>
      </c>
      <c r="J1708" s="487" t="s">
        <v>700</v>
      </c>
    </row>
    <row r="1709" spans="1:10" ht="15" x14ac:dyDescent="0.2">
      <c r="A1709" s="486" t="s">
        <v>699</v>
      </c>
      <c r="B1709" s="487" t="s">
        <v>698</v>
      </c>
      <c r="C1709" s="488" t="s">
        <v>6562</v>
      </c>
      <c r="D1709" s="489" t="s">
        <v>6563</v>
      </c>
      <c r="E1709" s="487" t="s">
        <v>6564</v>
      </c>
      <c r="F1709" s="490">
        <v>2000</v>
      </c>
      <c r="G1709" s="489">
        <v>85.2</v>
      </c>
      <c r="H1709" s="489">
        <v>23.47418</v>
      </c>
      <c r="I1709" s="487" t="s">
        <v>1499</v>
      </c>
      <c r="J1709" s="487" t="s">
        <v>700</v>
      </c>
    </row>
    <row r="1710" spans="1:10" ht="15" x14ac:dyDescent="0.2">
      <c r="A1710" s="486" t="s">
        <v>699</v>
      </c>
      <c r="B1710" s="487" t="s">
        <v>698</v>
      </c>
      <c r="C1710" s="488" t="s">
        <v>6565</v>
      </c>
      <c r="D1710" s="489" t="s">
        <v>6566</v>
      </c>
      <c r="E1710" s="487" t="s">
        <v>6567</v>
      </c>
      <c r="F1710" s="490">
        <v>2200</v>
      </c>
      <c r="G1710" s="489">
        <v>84.4</v>
      </c>
      <c r="H1710" s="489">
        <v>26.06635</v>
      </c>
      <c r="I1710" s="487" t="s">
        <v>1499</v>
      </c>
      <c r="J1710" s="487" t="s">
        <v>700</v>
      </c>
    </row>
    <row r="1711" spans="1:10" ht="15" x14ac:dyDescent="0.2">
      <c r="A1711" s="486" t="s">
        <v>699</v>
      </c>
      <c r="B1711" s="487" t="s">
        <v>698</v>
      </c>
      <c r="C1711" s="488" t="s">
        <v>6568</v>
      </c>
      <c r="D1711" s="489" t="s">
        <v>6569</v>
      </c>
      <c r="E1711" s="487" t="s">
        <v>6570</v>
      </c>
      <c r="F1711" s="490">
        <v>1400</v>
      </c>
      <c r="G1711" s="489">
        <v>128.30000000000001</v>
      </c>
      <c r="H1711" s="489">
        <v>10.91193</v>
      </c>
      <c r="I1711" s="487" t="s">
        <v>1499</v>
      </c>
      <c r="J1711" s="487" t="s">
        <v>700</v>
      </c>
    </row>
    <row r="1712" spans="1:10" ht="15" x14ac:dyDescent="0.2">
      <c r="A1712" s="486" t="s">
        <v>699</v>
      </c>
      <c r="B1712" s="487" t="s">
        <v>698</v>
      </c>
      <c r="C1712" s="488" t="s">
        <v>6571</v>
      </c>
      <c r="D1712" s="489" t="s">
        <v>6572</v>
      </c>
      <c r="E1712" s="487" t="s">
        <v>6573</v>
      </c>
      <c r="F1712" s="490">
        <v>0</v>
      </c>
      <c r="G1712" s="489">
        <v>8.5</v>
      </c>
      <c r="H1712" s="489">
        <v>0</v>
      </c>
      <c r="I1712" s="487" t="s">
        <v>1593</v>
      </c>
      <c r="J1712" s="487" t="s">
        <v>700</v>
      </c>
    </row>
    <row r="1713" spans="1:10" ht="15" x14ac:dyDescent="0.2">
      <c r="A1713" s="486" t="s">
        <v>699</v>
      </c>
      <c r="B1713" s="487" t="s">
        <v>698</v>
      </c>
      <c r="C1713" s="488" t="s">
        <v>6574</v>
      </c>
      <c r="D1713" s="489" t="s">
        <v>6575</v>
      </c>
      <c r="E1713" s="487" t="s">
        <v>6576</v>
      </c>
      <c r="F1713" s="490">
        <v>6656</v>
      </c>
      <c r="G1713" s="489">
        <v>146.5</v>
      </c>
      <c r="H1713" s="489">
        <v>45.433450000000001</v>
      </c>
      <c r="I1713" s="487" t="s">
        <v>1499</v>
      </c>
      <c r="J1713" s="487" t="s">
        <v>700</v>
      </c>
    </row>
    <row r="1714" spans="1:10" ht="15" x14ac:dyDescent="0.2">
      <c r="A1714" s="486" t="s">
        <v>699</v>
      </c>
      <c r="B1714" s="487" t="s">
        <v>698</v>
      </c>
      <c r="C1714" s="488" t="s">
        <v>6577</v>
      </c>
      <c r="D1714" s="489" t="s">
        <v>6578</v>
      </c>
      <c r="E1714" s="487" t="s">
        <v>6579</v>
      </c>
      <c r="F1714" s="490">
        <v>22880</v>
      </c>
      <c r="G1714" s="489">
        <v>364.2</v>
      </c>
      <c r="H1714" s="489">
        <v>62.822620000000001</v>
      </c>
      <c r="I1714" s="487" t="s">
        <v>1499</v>
      </c>
      <c r="J1714" s="487" t="s">
        <v>700</v>
      </c>
    </row>
    <row r="1715" spans="1:10" ht="15" x14ac:dyDescent="0.2">
      <c r="A1715" s="486" t="s">
        <v>699</v>
      </c>
      <c r="B1715" s="487" t="s">
        <v>698</v>
      </c>
      <c r="C1715" s="488" t="s">
        <v>6580</v>
      </c>
      <c r="D1715" s="489" t="s">
        <v>6581</v>
      </c>
      <c r="E1715" s="487" t="s">
        <v>6582</v>
      </c>
      <c r="F1715" s="490">
        <v>10005</v>
      </c>
      <c r="G1715" s="489">
        <v>429.4</v>
      </c>
      <c r="H1715" s="489">
        <v>23.299949999999999</v>
      </c>
      <c r="I1715" s="487" t="s">
        <v>1499</v>
      </c>
      <c r="J1715" s="487" t="s">
        <v>700</v>
      </c>
    </row>
    <row r="1716" spans="1:10" ht="15" x14ac:dyDescent="0.2">
      <c r="A1716" s="486" t="s">
        <v>699</v>
      </c>
      <c r="B1716" s="487" t="s">
        <v>698</v>
      </c>
      <c r="C1716" s="488" t="s">
        <v>6583</v>
      </c>
      <c r="D1716" s="489" t="s">
        <v>6584</v>
      </c>
      <c r="E1716" s="487" t="s">
        <v>6585</v>
      </c>
      <c r="F1716" s="490">
        <v>0</v>
      </c>
      <c r="G1716" s="489">
        <v>26.1</v>
      </c>
      <c r="H1716" s="489">
        <v>0</v>
      </c>
      <c r="I1716" s="487" t="s">
        <v>1593</v>
      </c>
      <c r="J1716" s="487" t="s">
        <v>700</v>
      </c>
    </row>
    <row r="1717" spans="1:10" ht="15" x14ac:dyDescent="0.2">
      <c r="A1717" s="486" t="s">
        <v>699</v>
      </c>
      <c r="B1717" s="487" t="s">
        <v>698</v>
      </c>
      <c r="C1717" s="488" t="s">
        <v>6586</v>
      </c>
      <c r="D1717" s="489" t="s">
        <v>6587</v>
      </c>
      <c r="E1717" s="487" t="s">
        <v>6588</v>
      </c>
      <c r="F1717" s="490">
        <v>2300</v>
      </c>
      <c r="G1717" s="489">
        <v>145.6</v>
      </c>
      <c r="H1717" s="489">
        <v>15.7967</v>
      </c>
      <c r="I1717" s="487" t="s">
        <v>1499</v>
      </c>
      <c r="J1717" s="487" t="s">
        <v>700</v>
      </c>
    </row>
    <row r="1718" spans="1:10" ht="15" x14ac:dyDescent="0.2">
      <c r="A1718" s="486" t="s">
        <v>699</v>
      </c>
      <c r="B1718" s="487" t="s">
        <v>698</v>
      </c>
      <c r="C1718" s="488" t="s">
        <v>6589</v>
      </c>
      <c r="D1718" s="489" t="s">
        <v>6590</v>
      </c>
      <c r="E1718" s="487" t="s">
        <v>6591</v>
      </c>
      <c r="F1718" s="490">
        <v>11000</v>
      </c>
      <c r="G1718" s="489">
        <v>181.1</v>
      </c>
      <c r="H1718" s="489">
        <v>60.739919999999998</v>
      </c>
      <c r="I1718" s="487" t="s">
        <v>1499</v>
      </c>
      <c r="J1718" s="487" t="s">
        <v>700</v>
      </c>
    </row>
    <row r="1719" spans="1:10" ht="15" x14ac:dyDescent="0.2">
      <c r="A1719" s="486" t="s">
        <v>699</v>
      </c>
      <c r="B1719" s="487" t="s">
        <v>698</v>
      </c>
      <c r="C1719" s="488" t="s">
        <v>6592</v>
      </c>
      <c r="D1719" s="489" t="s">
        <v>6593</v>
      </c>
      <c r="E1719" s="487" t="s">
        <v>6594</v>
      </c>
      <c r="F1719" s="490">
        <v>15000</v>
      </c>
      <c r="G1719" s="489">
        <v>213.1</v>
      </c>
      <c r="H1719" s="489">
        <v>70.389489999999995</v>
      </c>
      <c r="I1719" s="487" t="s">
        <v>1499</v>
      </c>
      <c r="J1719" s="487" t="s">
        <v>700</v>
      </c>
    </row>
    <row r="1720" spans="1:10" ht="15" x14ac:dyDescent="0.2">
      <c r="A1720" s="486" t="s">
        <v>699</v>
      </c>
      <c r="B1720" s="487" t="s">
        <v>698</v>
      </c>
      <c r="C1720" s="488" t="s">
        <v>6595</v>
      </c>
      <c r="D1720" s="489" t="s">
        <v>6596</v>
      </c>
      <c r="E1720" s="487" t="s">
        <v>6597</v>
      </c>
      <c r="F1720" s="490">
        <v>550</v>
      </c>
      <c r="G1720" s="489">
        <v>47.6</v>
      </c>
      <c r="H1720" s="489">
        <v>11.55462</v>
      </c>
      <c r="I1720" s="487" t="s">
        <v>1499</v>
      </c>
      <c r="J1720" s="487" t="s">
        <v>700</v>
      </c>
    </row>
    <row r="1721" spans="1:10" ht="15" x14ac:dyDescent="0.2">
      <c r="A1721" s="486" t="s">
        <v>699</v>
      </c>
      <c r="B1721" s="487" t="s">
        <v>698</v>
      </c>
      <c r="C1721" s="488" t="s">
        <v>6598</v>
      </c>
      <c r="D1721" s="489" t="s">
        <v>6599</v>
      </c>
      <c r="E1721" s="487" t="s">
        <v>6600</v>
      </c>
      <c r="F1721" s="490">
        <v>0</v>
      </c>
      <c r="G1721" s="489">
        <v>11.7</v>
      </c>
      <c r="H1721" s="489">
        <v>0</v>
      </c>
      <c r="I1721" s="487" t="s">
        <v>1593</v>
      </c>
      <c r="J1721" s="487" t="s">
        <v>700</v>
      </c>
    </row>
    <row r="1722" spans="1:10" ht="15" x14ac:dyDescent="0.2">
      <c r="A1722" s="486" t="s">
        <v>699</v>
      </c>
      <c r="B1722" s="487" t="s">
        <v>698</v>
      </c>
      <c r="C1722" s="488" t="s">
        <v>6601</v>
      </c>
      <c r="D1722" s="489" t="s">
        <v>6602</v>
      </c>
      <c r="E1722" s="487" t="s">
        <v>6603</v>
      </c>
      <c r="F1722" s="490">
        <v>0</v>
      </c>
      <c r="G1722" s="489">
        <v>13</v>
      </c>
      <c r="H1722" s="489">
        <v>0</v>
      </c>
      <c r="I1722" s="487" t="s">
        <v>1593</v>
      </c>
      <c r="J1722" s="487" t="s">
        <v>700</v>
      </c>
    </row>
    <row r="1723" spans="1:10" ht="15" x14ac:dyDescent="0.2">
      <c r="A1723" s="486" t="s">
        <v>699</v>
      </c>
      <c r="B1723" s="487" t="s">
        <v>698</v>
      </c>
      <c r="C1723" s="488" t="s">
        <v>6604</v>
      </c>
      <c r="D1723" s="489" t="s">
        <v>6605</v>
      </c>
      <c r="E1723" s="487" t="s">
        <v>6606</v>
      </c>
      <c r="F1723" s="490">
        <v>7107</v>
      </c>
      <c r="G1723" s="489">
        <v>132.19999999999999</v>
      </c>
      <c r="H1723" s="489">
        <v>53.759459999999997</v>
      </c>
      <c r="I1723" s="487" t="s">
        <v>1499</v>
      </c>
      <c r="J1723" s="487" t="s">
        <v>700</v>
      </c>
    </row>
    <row r="1724" spans="1:10" ht="15" x14ac:dyDescent="0.2">
      <c r="A1724" s="486" t="s">
        <v>699</v>
      </c>
      <c r="B1724" s="487" t="s">
        <v>698</v>
      </c>
      <c r="C1724" s="488" t="s">
        <v>6607</v>
      </c>
      <c r="D1724" s="489" t="s">
        <v>6608</v>
      </c>
      <c r="E1724" s="487" t="s">
        <v>6609</v>
      </c>
      <c r="F1724" s="490">
        <v>2653</v>
      </c>
      <c r="G1724" s="489">
        <v>112.9</v>
      </c>
      <c r="H1724" s="489">
        <v>23.498670000000001</v>
      </c>
      <c r="I1724" s="487" t="s">
        <v>1499</v>
      </c>
      <c r="J1724" s="487" t="s">
        <v>700</v>
      </c>
    </row>
    <row r="1725" spans="1:10" ht="15" x14ac:dyDescent="0.2">
      <c r="A1725" s="486" t="s">
        <v>699</v>
      </c>
      <c r="B1725" s="487" t="s">
        <v>698</v>
      </c>
      <c r="C1725" s="488" t="s">
        <v>6610</v>
      </c>
      <c r="D1725" s="489" t="s">
        <v>6611</v>
      </c>
      <c r="E1725" s="487" t="s">
        <v>6612</v>
      </c>
      <c r="F1725" s="490">
        <v>0</v>
      </c>
      <c r="G1725" s="489">
        <v>95.2</v>
      </c>
      <c r="H1725" s="489">
        <v>0</v>
      </c>
      <c r="I1725" s="487" t="s">
        <v>1593</v>
      </c>
      <c r="J1725" s="487" t="s">
        <v>700</v>
      </c>
    </row>
    <row r="1726" spans="1:10" ht="15" x14ac:dyDescent="0.2">
      <c r="A1726" s="486" t="s">
        <v>699</v>
      </c>
      <c r="B1726" s="487" t="s">
        <v>698</v>
      </c>
      <c r="C1726" s="488" t="s">
        <v>6613</v>
      </c>
      <c r="D1726" s="489" t="s">
        <v>6614</v>
      </c>
      <c r="E1726" s="487" t="s">
        <v>6615</v>
      </c>
      <c r="F1726" s="490">
        <v>24000</v>
      </c>
      <c r="G1726" s="489">
        <v>518.29999999999995</v>
      </c>
      <c r="H1726" s="489">
        <v>46.305230000000002</v>
      </c>
      <c r="I1726" s="487" t="s">
        <v>1499</v>
      </c>
      <c r="J1726" s="487" t="s">
        <v>700</v>
      </c>
    </row>
    <row r="1727" spans="1:10" ht="15" x14ac:dyDescent="0.2">
      <c r="A1727" s="486" t="s">
        <v>699</v>
      </c>
      <c r="B1727" s="487" t="s">
        <v>698</v>
      </c>
      <c r="C1727" s="488" t="s">
        <v>6616</v>
      </c>
      <c r="D1727" s="489" t="s">
        <v>6617</v>
      </c>
      <c r="E1727" s="487" t="s">
        <v>6618</v>
      </c>
      <c r="F1727" s="490">
        <v>0</v>
      </c>
      <c r="G1727" s="489">
        <v>17.100000000000001</v>
      </c>
      <c r="H1727" s="489">
        <v>0</v>
      </c>
      <c r="I1727" s="487" t="s">
        <v>1593</v>
      </c>
      <c r="J1727" s="487" t="s">
        <v>700</v>
      </c>
    </row>
    <row r="1728" spans="1:10" ht="15" x14ac:dyDescent="0.2">
      <c r="A1728" s="486" t="s">
        <v>699</v>
      </c>
      <c r="B1728" s="487" t="s">
        <v>698</v>
      </c>
      <c r="C1728" s="488" t="s">
        <v>6619</v>
      </c>
      <c r="D1728" s="489" t="s">
        <v>6620</v>
      </c>
      <c r="E1728" s="487" t="s">
        <v>6621</v>
      </c>
      <c r="F1728" s="490">
        <v>0</v>
      </c>
      <c r="G1728" s="489">
        <v>6.9</v>
      </c>
      <c r="H1728" s="489">
        <v>0</v>
      </c>
      <c r="I1728" s="487" t="s">
        <v>1593</v>
      </c>
      <c r="J1728" s="487" t="s">
        <v>700</v>
      </c>
    </row>
    <row r="1729" spans="1:10" ht="15" x14ac:dyDescent="0.2">
      <c r="A1729" s="486" t="s">
        <v>699</v>
      </c>
      <c r="B1729" s="487" t="s">
        <v>698</v>
      </c>
      <c r="C1729" s="488" t="s">
        <v>6622</v>
      </c>
      <c r="D1729" s="489" t="s">
        <v>6623</v>
      </c>
      <c r="E1729" s="487" t="s">
        <v>6624</v>
      </c>
      <c r="F1729" s="490">
        <v>15159</v>
      </c>
      <c r="G1729" s="489">
        <v>247.1</v>
      </c>
      <c r="H1729" s="489">
        <v>61.347630000000002</v>
      </c>
      <c r="I1729" s="487" t="s">
        <v>1499</v>
      </c>
      <c r="J1729" s="487" t="s">
        <v>700</v>
      </c>
    </row>
    <row r="1730" spans="1:10" ht="15" x14ac:dyDescent="0.2">
      <c r="A1730" s="486" t="s">
        <v>699</v>
      </c>
      <c r="B1730" s="487" t="s">
        <v>698</v>
      </c>
      <c r="C1730" s="488" t="s">
        <v>6625</v>
      </c>
      <c r="D1730" s="489" t="s">
        <v>6626</v>
      </c>
      <c r="E1730" s="487" t="s">
        <v>6627</v>
      </c>
      <c r="F1730" s="490">
        <v>7093</v>
      </c>
      <c r="G1730" s="489">
        <v>189.4</v>
      </c>
      <c r="H1730" s="489">
        <v>37.449840000000002</v>
      </c>
      <c r="I1730" s="487" t="s">
        <v>1499</v>
      </c>
      <c r="J1730" s="487" t="s">
        <v>700</v>
      </c>
    </row>
    <row r="1731" spans="1:10" ht="15" x14ac:dyDescent="0.2">
      <c r="A1731" s="486" t="s">
        <v>699</v>
      </c>
      <c r="B1731" s="487" t="s">
        <v>698</v>
      </c>
      <c r="C1731" s="488" t="s">
        <v>6628</v>
      </c>
      <c r="D1731" s="489" t="s">
        <v>6629</v>
      </c>
      <c r="E1731" s="487" t="s">
        <v>6630</v>
      </c>
      <c r="F1731" s="490">
        <v>0</v>
      </c>
      <c r="G1731" s="489">
        <v>44</v>
      </c>
      <c r="H1731" s="489">
        <v>0</v>
      </c>
      <c r="I1731" s="487" t="s">
        <v>1593</v>
      </c>
      <c r="J1731" s="487" t="s">
        <v>700</v>
      </c>
    </row>
    <row r="1732" spans="1:10" ht="15" x14ac:dyDescent="0.2">
      <c r="A1732" s="486" t="s">
        <v>699</v>
      </c>
      <c r="B1732" s="487" t="s">
        <v>698</v>
      </c>
      <c r="C1732" s="488" t="s">
        <v>6631</v>
      </c>
      <c r="D1732" s="489" t="s">
        <v>6632</v>
      </c>
      <c r="E1732" s="487" t="s">
        <v>6633</v>
      </c>
      <c r="F1732" s="490">
        <v>15385</v>
      </c>
      <c r="G1732" s="489">
        <v>333.9</v>
      </c>
      <c r="H1732" s="489">
        <v>46.07667</v>
      </c>
      <c r="I1732" s="487" t="s">
        <v>1499</v>
      </c>
      <c r="J1732" s="487" t="s">
        <v>700</v>
      </c>
    </row>
    <row r="1733" spans="1:10" ht="15" x14ac:dyDescent="0.2">
      <c r="A1733" s="486" t="s">
        <v>699</v>
      </c>
      <c r="B1733" s="487" t="s">
        <v>698</v>
      </c>
      <c r="C1733" s="488" t="s">
        <v>6634</v>
      </c>
      <c r="D1733" s="489" t="s">
        <v>6635</v>
      </c>
      <c r="E1733" s="487" t="s">
        <v>6636</v>
      </c>
      <c r="F1733" s="490">
        <v>5000</v>
      </c>
      <c r="G1733" s="489">
        <v>186.7</v>
      </c>
      <c r="H1733" s="489">
        <v>26.780930000000001</v>
      </c>
      <c r="I1733" s="487" t="s">
        <v>1499</v>
      </c>
      <c r="J1733" s="487" t="s">
        <v>700</v>
      </c>
    </row>
    <row r="1734" spans="1:10" ht="15" x14ac:dyDescent="0.2">
      <c r="A1734" s="486" t="s">
        <v>699</v>
      </c>
      <c r="B1734" s="487" t="s">
        <v>698</v>
      </c>
      <c r="C1734" s="488" t="s">
        <v>6637</v>
      </c>
      <c r="D1734" s="489" t="s">
        <v>6638</v>
      </c>
      <c r="E1734" s="487" t="s">
        <v>6639</v>
      </c>
      <c r="F1734" s="490">
        <v>2565</v>
      </c>
      <c r="G1734" s="489">
        <v>59.9</v>
      </c>
      <c r="H1734" s="489">
        <v>42.821370000000002</v>
      </c>
      <c r="I1734" s="487" t="s">
        <v>1499</v>
      </c>
      <c r="J1734" s="487" t="s">
        <v>700</v>
      </c>
    </row>
    <row r="1735" spans="1:10" ht="15" x14ac:dyDescent="0.2">
      <c r="A1735" s="486" t="s">
        <v>699</v>
      </c>
      <c r="B1735" s="487" t="s">
        <v>698</v>
      </c>
      <c r="C1735" s="488" t="s">
        <v>6640</v>
      </c>
      <c r="D1735" s="489" t="s">
        <v>6641</v>
      </c>
      <c r="E1735" s="487" t="s">
        <v>6642</v>
      </c>
      <c r="F1735" s="490">
        <v>6500</v>
      </c>
      <c r="G1735" s="489">
        <v>221.4</v>
      </c>
      <c r="H1735" s="489">
        <v>29.358630000000002</v>
      </c>
      <c r="I1735" s="487" t="s">
        <v>1499</v>
      </c>
      <c r="J1735" s="487" t="s">
        <v>700</v>
      </c>
    </row>
    <row r="1736" spans="1:10" ht="15" x14ac:dyDescent="0.2">
      <c r="A1736" s="486" t="s">
        <v>699</v>
      </c>
      <c r="B1736" s="487" t="s">
        <v>698</v>
      </c>
      <c r="C1736" s="488" t="s">
        <v>6643</v>
      </c>
      <c r="D1736" s="489" t="s">
        <v>6644</v>
      </c>
      <c r="E1736" s="487" t="s">
        <v>6645</v>
      </c>
      <c r="F1736" s="490">
        <v>377681</v>
      </c>
      <c r="G1736" s="489">
        <v>3785.8</v>
      </c>
      <c r="H1736" s="489">
        <v>99.762529999999998</v>
      </c>
      <c r="I1736" s="487" t="s">
        <v>1499</v>
      </c>
      <c r="J1736" s="487" t="s">
        <v>700</v>
      </c>
    </row>
    <row r="1737" spans="1:10" ht="15" x14ac:dyDescent="0.2">
      <c r="A1737" s="486" t="s">
        <v>699</v>
      </c>
      <c r="B1737" s="487" t="s">
        <v>698</v>
      </c>
      <c r="C1737" s="488" t="s">
        <v>6646</v>
      </c>
      <c r="D1737" s="489" t="s">
        <v>6647</v>
      </c>
      <c r="E1737" s="487" t="s">
        <v>6648</v>
      </c>
      <c r="F1737" s="490">
        <v>34500</v>
      </c>
      <c r="G1737" s="489">
        <v>311.10000000000002</v>
      </c>
      <c r="H1737" s="489">
        <v>110.89682000000001</v>
      </c>
      <c r="I1737" s="487" t="s">
        <v>1499</v>
      </c>
      <c r="J1737" s="487" t="s">
        <v>700</v>
      </c>
    </row>
    <row r="1738" spans="1:10" ht="15" x14ac:dyDescent="0.2">
      <c r="A1738" s="486" t="s">
        <v>699</v>
      </c>
      <c r="B1738" s="487" t="s">
        <v>698</v>
      </c>
      <c r="C1738" s="488" t="s">
        <v>6649</v>
      </c>
      <c r="D1738" s="489" t="s">
        <v>6650</v>
      </c>
      <c r="E1738" s="487" t="s">
        <v>6651</v>
      </c>
      <c r="F1738" s="490">
        <v>0</v>
      </c>
      <c r="G1738" s="489">
        <v>43</v>
      </c>
      <c r="H1738" s="489">
        <v>0</v>
      </c>
      <c r="I1738" s="487" t="s">
        <v>1593</v>
      </c>
      <c r="J1738" s="487" t="s">
        <v>700</v>
      </c>
    </row>
    <row r="1739" spans="1:10" ht="15" x14ac:dyDescent="0.2">
      <c r="A1739" s="486" t="s">
        <v>699</v>
      </c>
      <c r="B1739" s="487" t="s">
        <v>698</v>
      </c>
      <c r="C1739" s="488" t="s">
        <v>6652</v>
      </c>
      <c r="D1739" s="489" t="s">
        <v>6653</v>
      </c>
      <c r="E1739" s="487" t="s">
        <v>6654</v>
      </c>
      <c r="F1739" s="490">
        <v>23373</v>
      </c>
      <c r="G1739" s="489">
        <v>316.7</v>
      </c>
      <c r="H1739" s="489">
        <v>73.80171</v>
      </c>
      <c r="I1739" s="487" t="s">
        <v>1499</v>
      </c>
      <c r="J1739" s="487" t="s">
        <v>700</v>
      </c>
    </row>
    <row r="1740" spans="1:10" ht="15" x14ac:dyDescent="0.2">
      <c r="A1740" s="486" t="s">
        <v>699</v>
      </c>
      <c r="B1740" s="487" t="s">
        <v>698</v>
      </c>
      <c r="C1740" s="488" t="s">
        <v>6655</v>
      </c>
      <c r="D1740" s="489" t="s">
        <v>6656</v>
      </c>
      <c r="E1740" s="487" t="s">
        <v>6657</v>
      </c>
      <c r="F1740" s="490">
        <v>5230</v>
      </c>
      <c r="G1740" s="489">
        <v>70.5</v>
      </c>
      <c r="H1740" s="489">
        <v>74.184399999999997</v>
      </c>
      <c r="I1740" s="487" t="s">
        <v>1499</v>
      </c>
      <c r="J1740" s="487" t="s">
        <v>700</v>
      </c>
    </row>
    <row r="1741" spans="1:10" ht="15" x14ac:dyDescent="0.2">
      <c r="A1741" s="486" t="s">
        <v>699</v>
      </c>
      <c r="B1741" s="487" t="s">
        <v>698</v>
      </c>
      <c r="C1741" s="488" t="s">
        <v>6658</v>
      </c>
      <c r="D1741" s="489" t="s">
        <v>6659</v>
      </c>
      <c r="E1741" s="487" t="s">
        <v>6660</v>
      </c>
      <c r="F1741" s="490">
        <v>7185</v>
      </c>
      <c r="G1741" s="489">
        <v>163.6</v>
      </c>
      <c r="H1741" s="489">
        <v>43.918089999999999</v>
      </c>
      <c r="I1741" s="487" t="s">
        <v>1499</v>
      </c>
      <c r="J1741" s="487" t="s">
        <v>700</v>
      </c>
    </row>
    <row r="1742" spans="1:10" ht="15" x14ac:dyDescent="0.2">
      <c r="A1742" s="486" t="s">
        <v>699</v>
      </c>
      <c r="B1742" s="487" t="s">
        <v>698</v>
      </c>
      <c r="C1742" s="488" t="s">
        <v>6661</v>
      </c>
      <c r="D1742" s="489" t="s">
        <v>6662</v>
      </c>
      <c r="E1742" s="487" t="s">
        <v>6663</v>
      </c>
      <c r="F1742" s="490">
        <v>0</v>
      </c>
      <c r="G1742" s="489">
        <v>9</v>
      </c>
      <c r="H1742" s="489">
        <v>0</v>
      </c>
      <c r="I1742" s="487" t="s">
        <v>1593</v>
      </c>
      <c r="J1742" s="487" t="s">
        <v>700</v>
      </c>
    </row>
    <row r="1743" spans="1:10" ht="15" x14ac:dyDescent="0.2">
      <c r="A1743" s="486" t="s">
        <v>699</v>
      </c>
      <c r="B1743" s="487" t="s">
        <v>698</v>
      </c>
      <c r="C1743" s="488" t="s">
        <v>6664</v>
      </c>
      <c r="D1743" s="489" t="s">
        <v>6665</v>
      </c>
      <c r="E1743" s="487" t="s">
        <v>6666</v>
      </c>
      <c r="F1743" s="490">
        <v>4500</v>
      </c>
      <c r="G1743" s="489">
        <v>147.19999999999999</v>
      </c>
      <c r="H1743" s="489">
        <v>30.570650000000001</v>
      </c>
      <c r="I1743" s="487" t="s">
        <v>1499</v>
      </c>
      <c r="J1743" s="487" t="s">
        <v>700</v>
      </c>
    </row>
    <row r="1744" spans="1:10" ht="15" x14ac:dyDescent="0.2">
      <c r="A1744" s="486" t="s">
        <v>699</v>
      </c>
      <c r="B1744" s="487" t="s">
        <v>698</v>
      </c>
      <c r="C1744" s="488" t="s">
        <v>6667</v>
      </c>
      <c r="D1744" s="489" t="s">
        <v>6668</v>
      </c>
      <c r="E1744" s="487" t="s">
        <v>6669</v>
      </c>
      <c r="F1744" s="490">
        <v>5150</v>
      </c>
      <c r="G1744" s="489">
        <v>247.2</v>
      </c>
      <c r="H1744" s="489">
        <v>20.83333</v>
      </c>
      <c r="I1744" s="487" t="s">
        <v>1499</v>
      </c>
      <c r="J1744" s="487" t="s">
        <v>700</v>
      </c>
    </row>
    <row r="1745" spans="1:10" ht="15" x14ac:dyDescent="0.2">
      <c r="A1745" s="486" t="s">
        <v>699</v>
      </c>
      <c r="B1745" s="487" t="s">
        <v>698</v>
      </c>
      <c r="C1745" s="488" t="s">
        <v>6670</v>
      </c>
      <c r="D1745" s="489" t="s">
        <v>6671</v>
      </c>
      <c r="E1745" s="487" t="s">
        <v>6672</v>
      </c>
      <c r="F1745" s="490">
        <v>5000</v>
      </c>
      <c r="G1745" s="489">
        <v>241.4</v>
      </c>
      <c r="H1745" s="489">
        <v>20.712510000000002</v>
      </c>
      <c r="I1745" s="487" t="s">
        <v>1499</v>
      </c>
      <c r="J1745" s="487" t="s">
        <v>700</v>
      </c>
    </row>
    <row r="1746" spans="1:10" ht="15" x14ac:dyDescent="0.2">
      <c r="A1746" s="486" t="s">
        <v>699</v>
      </c>
      <c r="B1746" s="487" t="s">
        <v>698</v>
      </c>
      <c r="C1746" s="488" t="s">
        <v>6673</v>
      </c>
      <c r="D1746" s="489" t="s">
        <v>6674</v>
      </c>
      <c r="E1746" s="487" t="s">
        <v>6675</v>
      </c>
      <c r="F1746" s="490">
        <v>0</v>
      </c>
      <c r="G1746" s="489">
        <v>7.9</v>
      </c>
      <c r="H1746" s="489">
        <v>0</v>
      </c>
      <c r="I1746" s="487" t="s">
        <v>1593</v>
      </c>
      <c r="J1746" s="487" t="s">
        <v>700</v>
      </c>
    </row>
    <row r="1747" spans="1:10" ht="15" x14ac:dyDescent="0.2">
      <c r="A1747" s="486" t="s">
        <v>699</v>
      </c>
      <c r="B1747" s="487" t="s">
        <v>698</v>
      </c>
      <c r="C1747" s="488" t="s">
        <v>6676</v>
      </c>
      <c r="D1747" s="489" t="s">
        <v>6677</v>
      </c>
      <c r="E1747" s="487" t="s">
        <v>6678</v>
      </c>
      <c r="F1747" s="490">
        <v>3000</v>
      </c>
      <c r="G1747" s="489">
        <v>178.7</v>
      </c>
      <c r="H1747" s="489">
        <v>16.78791</v>
      </c>
      <c r="I1747" s="487" t="s">
        <v>1499</v>
      </c>
      <c r="J1747" s="487" t="s">
        <v>700</v>
      </c>
    </row>
    <row r="1748" spans="1:10" ht="15" x14ac:dyDescent="0.2">
      <c r="A1748" s="486" t="s">
        <v>699</v>
      </c>
      <c r="B1748" s="487" t="s">
        <v>698</v>
      </c>
      <c r="C1748" s="488" t="s">
        <v>6679</v>
      </c>
      <c r="D1748" s="489" t="s">
        <v>6680</v>
      </c>
      <c r="E1748" s="487" t="s">
        <v>6681</v>
      </c>
      <c r="F1748" s="490">
        <v>6000</v>
      </c>
      <c r="G1748" s="489">
        <v>131.19999999999999</v>
      </c>
      <c r="H1748" s="489">
        <v>45.73171</v>
      </c>
      <c r="I1748" s="487" t="s">
        <v>1499</v>
      </c>
      <c r="J1748" s="487" t="s">
        <v>700</v>
      </c>
    </row>
    <row r="1749" spans="1:10" ht="15" x14ac:dyDescent="0.2">
      <c r="A1749" s="486" t="s">
        <v>699</v>
      </c>
      <c r="B1749" s="487" t="s">
        <v>698</v>
      </c>
      <c r="C1749" s="488" t="s">
        <v>6682</v>
      </c>
      <c r="D1749" s="489" t="s">
        <v>6683</v>
      </c>
      <c r="E1749" s="487" t="s">
        <v>6684</v>
      </c>
      <c r="F1749" s="490">
        <v>11247</v>
      </c>
      <c r="G1749" s="489">
        <v>220.2</v>
      </c>
      <c r="H1749" s="489">
        <v>51.07629</v>
      </c>
      <c r="I1749" s="487" t="s">
        <v>1499</v>
      </c>
      <c r="J1749" s="487" t="s">
        <v>700</v>
      </c>
    </row>
    <row r="1750" spans="1:10" ht="15" x14ac:dyDescent="0.2">
      <c r="A1750" s="486" t="s">
        <v>699</v>
      </c>
      <c r="B1750" s="487" t="s">
        <v>698</v>
      </c>
      <c r="C1750" s="488" t="s">
        <v>6685</v>
      </c>
      <c r="D1750" s="489" t="s">
        <v>6686</v>
      </c>
      <c r="E1750" s="487" t="s">
        <v>6687</v>
      </c>
      <c r="F1750" s="490">
        <v>1724</v>
      </c>
      <c r="G1750" s="489">
        <v>53.8</v>
      </c>
      <c r="H1750" s="489">
        <v>32.044609999999999</v>
      </c>
      <c r="I1750" s="487" t="s">
        <v>1499</v>
      </c>
      <c r="J1750" s="487" t="s">
        <v>700</v>
      </c>
    </row>
    <row r="1751" spans="1:10" ht="15" x14ac:dyDescent="0.2">
      <c r="A1751" s="486" t="s">
        <v>699</v>
      </c>
      <c r="B1751" s="487" t="s">
        <v>698</v>
      </c>
      <c r="C1751" s="488" t="s">
        <v>6688</v>
      </c>
      <c r="D1751" s="489" t="s">
        <v>6689</v>
      </c>
      <c r="E1751" s="487" t="s">
        <v>6690</v>
      </c>
      <c r="F1751" s="490">
        <v>6000</v>
      </c>
      <c r="G1751" s="489">
        <v>202.8</v>
      </c>
      <c r="H1751" s="489">
        <v>29.585799999999999</v>
      </c>
      <c r="I1751" s="487" t="s">
        <v>1499</v>
      </c>
      <c r="J1751" s="487" t="s">
        <v>700</v>
      </c>
    </row>
    <row r="1752" spans="1:10" ht="15" x14ac:dyDescent="0.2">
      <c r="A1752" s="486" t="s">
        <v>699</v>
      </c>
      <c r="B1752" s="487" t="s">
        <v>698</v>
      </c>
      <c r="C1752" s="488" t="s">
        <v>6691</v>
      </c>
      <c r="D1752" s="489" t="s">
        <v>6692</v>
      </c>
      <c r="E1752" s="487" t="s">
        <v>6693</v>
      </c>
      <c r="F1752" s="490">
        <v>0</v>
      </c>
      <c r="G1752" s="489">
        <v>17.5</v>
      </c>
      <c r="H1752" s="489">
        <v>0</v>
      </c>
      <c r="I1752" s="487" t="s">
        <v>1593</v>
      </c>
      <c r="J1752" s="487" t="s">
        <v>700</v>
      </c>
    </row>
    <row r="1753" spans="1:10" ht="15" x14ac:dyDescent="0.2">
      <c r="A1753" s="486" t="s">
        <v>699</v>
      </c>
      <c r="B1753" s="487" t="s">
        <v>698</v>
      </c>
      <c r="C1753" s="488" t="s">
        <v>6694</v>
      </c>
      <c r="D1753" s="489" t="s">
        <v>6695</v>
      </c>
      <c r="E1753" s="487" t="s">
        <v>6696</v>
      </c>
      <c r="F1753" s="490">
        <v>10500</v>
      </c>
      <c r="G1753" s="489">
        <v>189.7</v>
      </c>
      <c r="H1753" s="489">
        <v>55.350549999999998</v>
      </c>
      <c r="I1753" s="487" t="s">
        <v>1499</v>
      </c>
      <c r="J1753" s="487" t="s">
        <v>700</v>
      </c>
    </row>
    <row r="1754" spans="1:10" ht="15" x14ac:dyDescent="0.2">
      <c r="A1754" s="486" t="s">
        <v>699</v>
      </c>
      <c r="B1754" s="487" t="s">
        <v>698</v>
      </c>
      <c r="C1754" s="488" t="s">
        <v>6697</v>
      </c>
      <c r="D1754" s="489" t="s">
        <v>6698</v>
      </c>
      <c r="E1754" s="487" t="s">
        <v>6699</v>
      </c>
      <c r="F1754" s="490">
        <v>1700</v>
      </c>
      <c r="G1754" s="489">
        <v>47.3</v>
      </c>
      <c r="H1754" s="489">
        <v>35.940800000000003</v>
      </c>
      <c r="I1754" s="487" t="s">
        <v>1499</v>
      </c>
      <c r="J1754" s="487" t="s">
        <v>700</v>
      </c>
    </row>
    <row r="1755" spans="1:10" ht="15" x14ac:dyDescent="0.2">
      <c r="A1755" s="486" t="s">
        <v>699</v>
      </c>
      <c r="B1755" s="487" t="s">
        <v>698</v>
      </c>
      <c r="C1755" s="488" t="s">
        <v>6700</v>
      </c>
      <c r="D1755" s="489" t="s">
        <v>6701</v>
      </c>
      <c r="E1755" s="487" t="s">
        <v>6702</v>
      </c>
      <c r="F1755" s="490">
        <v>7550</v>
      </c>
      <c r="G1755" s="489">
        <v>127.7</v>
      </c>
      <c r="H1755" s="489">
        <v>59.12294</v>
      </c>
      <c r="I1755" s="487" t="s">
        <v>1499</v>
      </c>
      <c r="J1755" s="487" t="s">
        <v>700</v>
      </c>
    </row>
    <row r="1756" spans="1:10" ht="15" x14ac:dyDescent="0.2">
      <c r="A1756" s="486" t="s">
        <v>699</v>
      </c>
      <c r="B1756" s="487" t="s">
        <v>698</v>
      </c>
      <c r="C1756" s="488" t="s">
        <v>6703</v>
      </c>
      <c r="D1756" s="489" t="s">
        <v>6704</v>
      </c>
      <c r="E1756" s="487" t="s">
        <v>6705</v>
      </c>
      <c r="F1756" s="490">
        <v>350</v>
      </c>
      <c r="G1756" s="489">
        <v>100.8</v>
      </c>
      <c r="H1756" s="489">
        <v>3.4722200000000001</v>
      </c>
      <c r="I1756" s="487" t="s">
        <v>1499</v>
      </c>
      <c r="J1756" s="487" t="s">
        <v>700</v>
      </c>
    </row>
    <row r="1757" spans="1:10" ht="15" x14ac:dyDescent="0.2">
      <c r="A1757" s="486" t="s">
        <v>699</v>
      </c>
      <c r="B1757" s="487" t="s">
        <v>698</v>
      </c>
      <c r="C1757" s="488" t="s">
        <v>6706</v>
      </c>
      <c r="D1757" s="489" t="s">
        <v>6707</v>
      </c>
      <c r="E1757" s="487" t="s">
        <v>6708</v>
      </c>
      <c r="F1757" s="490">
        <v>0</v>
      </c>
      <c r="G1757" s="489">
        <v>40.4</v>
      </c>
      <c r="H1757" s="489">
        <v>0</v>
      </c>
      <c r="I1757" s="487" t="s">
        <v>1593</v>
      </c>
      <c r="J1757" s="487" t="s">
        <v>700</v>
      </c>
    </row>
    <row r="1758" spans="1:10" ht="15" x14ac:dyDescent="0.2">
      <c r="A1758" s="486" t="s">
        <v>699</v>
      </c>
      <c r="B1758" s="487" t="s">
        <v>698</v>
      </c>
      <c r="C1758" s="488" t="s">
        <v>6709</v>
      </c>
      <c r="D1758" s="489" t="s">
        <v>6710</v>
      </c>
      <c r="E1758" s="487" t="s">
        <v>6711</v>
      </c>
      <c r="F1758" s="490">
        <v>16121</v>
      </c>
      <c r="G1758" s="489">
        <v>311</v>
      </c>
      <c r="H1758" s="489">
        <v>51.836010000000002</v>
      </c>
      <c r="I1758" s="487" t="s">
        <v>1499</v>
      </c>
      <c r="J1758" s="487" t="s">
        <v>700</v>
      </c>
    </row>
    <row r="1759" spans="1:10" ht="15" x14ac:dyDescent="0.2">
      <c r="A1759" s="486" t="s">
        <v>699</v>
      </c>
      <c r="B1759" s="487" t="s">
        <v>698</v>
      </c>
      <c r="C1759" s="488" t="s">
        <v>6712</v>
      </c>
      <c r="D1759" s="489" t="s">
        <v>6713</v>
      </c>
      <c r="E1759" s="487" t="s">
        <v>6714</v>
      </c>
      <c r="F1759" s="490">
        <v>8600</v>
      </c>
      <c r="G1759" s="489">
        <v>175.5</v>
      </c>
      <c r="H1759" s="489">
        <v>49.002850000000002</v>
      </c>
      <c r="I1759" s="487" t="s">
        <v>1499</v>
      </c>
      <c r="J1759" s="487" t="s">
        <v>700</v>
      </c>
    </row>
    <row r="1760" spans="1:10" ht="15" x14ac:dyDescent="0.2">
      <c r="A1760" s="486" t="s">
        <v>699</v>
      </c>
      <c r="B1760" s="487" t="s">
        <v>698</v>
      </c>
      <c r="C1760" s="488" t="s">
        <v>6715</v>
      </c>
      <c r="D1760" s="489" t="s">
        <v>6716</v>
      </c>
      <c r="E1760" s="487" t="s">
        <v>6717</v>
      </c>
      <c r="F1760" s="490">
        <v>15467</v>
      </c>
      <c r="G1760" s="489">
        <v>212.3</v>
      </c>
      <c r="H1760" s="489">
        <v>72.85445</v>
      </c>
      <c r="I1760" s="487" t="s">
        <v>1499</v>
      </c>
      <c r="J1760" s="487" t="s">
        <v>700</v>
      </c>
    </row>
    <row r="1761" spans="1:10" ht="15" x14ac:dyDescent="0.2">
      <c r="A1761" s="486" t="s">
        <v>699</v>
      </c>
      <c r="B1761" s="487" t="s">
        <v>698</v>
      </c>
      <c r="C1761" s="488" t="s">
        <v>6718</v>
      </c>
      <c r="D1761" s="489" t="s">
        <v>6719</v>
      </c>
      <c r="E1761" s="487" t="s">
        <v>6720</v>
      </c>
      <c r="F1761" s="490">
        <v>8600</v>
      </c>
      <c r="G1761" s="489">
        <v>177.2</v>
      </c>
      <c r="H1761" s="489">
        <v>48.532730000000001</v>
      </c>
      <c r="I1761" s="487" t="s">
        <v>1499</v>
      </c>
      <c r="J1761" s="487" t="s">
        <v>700</v>
      </c>
    </row>
    <row r="1762" spans="1:10" ht="15" x14ac:dyDescent="0.2">
      <c r="A1762" s="486" t="s">
        <v>699</v>
      </c>
      <c r="B1762" s="487" t="s">
        <v>698</v>
      </c>
      <c r="C1762" s="488" t="s">
        <v>6721</v>
      </c>
      <c r="D1762" s="489" t="s">
        <v>6722</v>
      </c>
      <c r="E1762" s="487" t="s">
        <v>6723</v>
      </c>
      <c r="F1762" s="490">
        <v>10208</v>
      </c>
      <c r="G1762" s="489">
        <v>223.7</v>
      </c>
      <c r="H1762" s="489">
        <v>45.632539999999999</v>
      </c>
      <c r="I1762" s="487" t="s">
        <v>1499</v>
      </c>
      <c r="J1762" s="487" t="s">
        <v>700</v>
      </c>
    </row>
    <row r="1763" spans="1:10" ht="15" x14ac:dyDescent="0.2">
      <c r="A1763" s="486" t="s">
        <v>699</v>
      </c>
      <c r="B1763" s="487" t="s">
        <v>698</v>
      </c>
      <c r="C1763" s="488" t="s">
        <v>6724</v>
      </c>
      <c r="D1763" s="489" t="s">
        <v>6725</v>
      </c>
      <c r="E1763" s="487" t="s">
        <v>6726</v>
      </c>
      <c r="F1763" s="490">
        <v>28563</v>
      </c>
      <c r="G1763" s="489">
        <v>608.20000000000005</v>
      </c>
      <c r="H1763" s="489">
        <v>46.963169999999998</v>
      </c>
      <c r="I1763" s="487" t="s">
        <v>1499</v>
      </c>
      <c r="J1763" s="487" t="s">
        <v>700</v>
      </c>
    </row>
    <row r="1764" spans="1:10" ht="15" x14ac:dyDescent="0.2">
      <c r="A1764" s="486" t="s">
        <v>699</v>
      </c>
      <c r="B1764" s="487" t="s">
        <v>698</v>
      </c>
      <c r="C1764" s="488" t="s">
        <v>6727</v>
      </c>
      <c r="D1764" s="489" t="s">
        <v>6728</v>
      </c>
      <c r="E1764" s="487" t="s">
        <v>6729</v>
      </c>
      <c r="F1764" s="490">
        <v>2950</v>
      </c>
      <c r="G1764" s="489">
        <v>87.4</v>
      </c>
      <c r="H1764" s="489">
        <v>33.752859999999998</v>
      </c>
      <c r="I1764" s="487" t="s">
        <v>1499</v>
      </c>
      <c r="J1764" s="487" t="s">
        <v>700</v>
      </c>
    </row>
    <row r="1765" spans="1:10" ht="15" x14ac:dyDescent="0.2">
      <c r="A1765" s="486" t="s">
        <v>699</v>
      </c>
      <c r="B1765" s="487" t="s">
        <v>698</v>
      </c>
      <c r="C1765" s="488" t="s">
        <v>6730</v>
      </c>
      <c r="D1765" s="489" t="s">
        <v>6731</v>
      </c>
      <c r="E1765" s="487" t="s">
        <v>6732</v>
      </c>
      <c r="F1765" s="490">
        <v>71800</v>
      </c>
      <c r="G1765" s="489">
        <v>736.4</v>
      </c>
      <c r="H1765" s="489">
        <v>97.501360000000005</v>
      </c>
      <c r="I1765" s="487" t="s">
        <v>1499</v>
      </c>
      <c r="J1765" s="487" t="s">
        <v>700</v>
      </c>
    </row>
    <row r="1766" spans="1:10" ht="15" x14ac:dyDescent="0.2">
      <c r="A1766" s="486" t="s">
        <v>699</v>
      </c>
      <c r="B1766" s="487" t="s">
        <v>698</v>
      </c>
      <c r="C1766" s="488" t="s">
        <v>6733</v>
      </c>
      <c r="D1766" s="489" t="s">
        <v>6734</v>
      </c>
      <c r="E1766" s="487" t="s">
        <v>6735</v>
      </c>
      <c r="F1766" s="490">
        <v>3500</v>
      </c>
      <c r="G1766" s="489">
        <v>70.7</v>
      </c>
      <c r="H1766" s="489">
        <v>49.504950000000001</v>
      </c>
      <c r="I1766" s="487" t="s">
        <v>1499</v>
      </c>
      <c r="J1766" s="487" t="s">
        <v>700</v>
      </c>
    </row>
    <row r="1767" spans="1:10" ht="15" x14ac:dyDescent="0.2">
      <c r="A1767" s="486" t="s">
        <v>699</v>
      </c>
      <c r="B1767" s="487" t="s">
        <v>698</v>
      </c>
      <c r="C1767" s="488" t="s">
        <v>6736</v>
      </c>
      <c r="D1767" s="489" t="s">
        <v>6737</v>
      </c>
      <c r="E1767" s="487" t="s">
        <v>6738</v>
      </c>
      <c r="F1767" s="490">
        <v>600</v>
      </c>
      <c r="G1767" s="489">
        <v>55.2</v>
      </c>
      <c r="H1767" s="489">
        <v>10.86957</v>
      </c>
      <c r="I1767" s="487" t="s">
        <v>1499</v>
      </c>
      <c r="J1767" s="487" t="s">
        <v>700</v>
      </c>
    </row>
    <row r="1768" spans="1:10" ht="15" x14ac:dyDescent="0.2">
      <c r="A1768" s="486" t="s">
        <v>699</v>
      </c>
      <c r="B1768" s="487" t="s">
        <v>698</v>
      </c>
      <c r="C1768" s="488" t="s">
        <v>6739</v>
      </c>
      <c r="D1768" s="489" t="s">
        <v>6740</v>
      </c>
      <c r="E1768" s="487" t="s">
        <v>6741</v>
      </c>
      <c r="F1768" s="490">
        <v>0</v>
      </c>
      <c r="G1768" s="489">
        <v>24.9</v>
      </c>
      <c r="H1768" s="489">
        <v>0</v>
      </c>
      <c r="I1768" s="487" t="s">
        <v>1593</v>
      </c>
      <c r="J1768" s="487" t="s">
        <v>700</v>
      </c>
    </row>
    <row r="1769" spans="1:10" ht="15" x14ac:dyDescent="0.2">
      <c r="A1769" s="486" t="s">
        <v>699</v>
      </c>
      <c r="B1769" s="487" t="s">
        <v>698</v>
      </c>
      <c r="C1769" s="488" t="s">
        <v>6742</v>
      </c>
      <c r="D1769" s="489" t="s">
        <v>6743</v>
      </c>
      <c r="E1769" s="487" t="s">
        <v>6744</v>
      </c>
      <c r="F1769" s="490">
        <v>21644</v>
      </c>
      <c r="G1769" s="489">
        <v>282.39999999999998</v>
      </c>
      <c r="H1769" s="489">
        <v>76.643060000000006</v>
      </c>
      <c r="I1769" s="487" t="s">
        <v>1499</v>
      </c>
      <c r="J1769" s="487" t="s">
        <v>700</v>
      </c>
    </row>
    <row r="1770" spans="1:10" ht="15" x14ac:dyDescent="0.2">
      <c r="A1770" s="486" t="s">
        <v>699</v>
      </c>
      <c r="B1770" s="487" t="s">
        <v>698</v>
      </c>
      <c r="C1770" s="488" t="s">
        <v>6745</v>
      </c>
      <c r="D1770" s="489" t="s">
        <v>6746</v>
      </c>
      <c r="E1770" s="487" t="s">
        <v>6747</v>
      </c>
      <c r="F1770" s="490">
        <v>253000</v>
      </c>
      <c r="G1770" s="489">
        <v>1893</v>
      </c>
      <c r="H1770" s="489">
        <v>133.65029000000001</v>
      </c>
      <c r="I1770" s="487" t="s">
        <v>1499</v>
      </c>
      <c r="J1770" s="487" t="s">
        <v>700</v>
      </c>
    </row>
    <row r="1771" spans="1:10" ht="15" x14ac:dyDescent="0.2">
      <c r="A1771" s="486" t="s">
        <v>699</v>
      </c>
      <c r="B1771" s="487" t="s">
        <v>698</v>
      </c>
      <c r="C1771" s="488" t="s">
        <v>6748</v>
      </c>
      <c r="D1771" s="489" t="s">
        <v>6749</v>
      </c>
      <c r="E1771" s="487" t="s">
        <v>6750</v>
      </c>
      <c r="F1771" s="490">
        <v>29202</v>
      </c>
      <c r="G1771" s="489">
        <v>485.7</v>
      </c>
      <c r="H1771" s="489">
        <v>60.123530000000002</v>
      </c>
      <c r="I1771" s="487" t="s">
        <v>1499</v>
      </c>
      <c r="J1771" s="487" t="s">
        <v>700</v>
      </c>
    </row>
    <row r="1772" spans="1:10" ht="15" x14ac:dyDescent="0.2">
      <c r="A1772" s="486" t="s">
        <v>699</v>
      </c>
      <c r="B1772" s="487" t="s">
        <v>698</v>
      </c>
      <c r="C1772" s="488" t="s">
        <v>6751</v>
      </c>
      <c r="D1772" s="489" t="s">
        <v>6752</v>
      </c>
      <c r="E1772" s="487" t="s">
        <v>6753</v>
      </c>
      <c r="F1772" s="490">
        <v>62500</v>
      </c>
      <c r="G1772" s="489">
        <v>852.7</v>
      </c>
      <c r="H1772" s="489">
        <v>73.296589999999995</v>
      </c>
      <c r="I1772" s="487" t="s">
        <v>1499</v>
      </c>
      <c r="J1772" s="487" t="s">
        <v>700</v>
      </c>
    </row>
    <row r="1773" spans="1:10" ht="15" x14ac:dyDescent="0.2">
      <c r="A1773" s="486" t="s">
        <v>780</v>
      </c>
      <c r="B1773" s="487" t="s">
        <v>779</v>
      </c>
      <c r="C1773" s="488" t="s">
        <v>6754</v>
      </c>
      <c r="D1773" s="489" t="s">
        <v>6755</v>
      </c>
      <c r="E1773" s="487" t="s">
        <v>6756</v>
      </c>
      <c r="F1773" s="490">
        <v>25000</v>
      </c>
      <c r="G1773" s="489">
        <v>393.2</v>
      </c>
      <c r="H1773" s="489">
        <v>63.580869999999997</v>
      </c>
      <c r="I1773" s="487" t="s">
        <v>1499</v>
      </c>
      <c r="J1773" s="487" t="s">
        <v>781</v>
      </c>
    </row>
    <row r="1774" spans="1:10" ht="15" x14ac:dyDescent="0.2">
      <c r="A1774" s="486" t="s">
        <v>780</v>
      </c>
      <c r="B1774" s="487" t="s">
        <v>779</v>
      </c>
      <c r="C1774" s="488" t="s">
        <v>6757</v>
      </c>
      <c r="D1774" s="489" t="s">
        <v>6758</v>
      </c>
      <c r="E1774" s="487" t="s">
        <v>6759</v>
      </c>
      <c r="F1774" s="490">
        <v>134974.71</v>
      </c>
      <c r="G1774" s="489">
        <v>1701.4</v>
      </c>
      <c r="H1774" s="489">
        <v>79.331559999999996</v>
      </c>
      <c r="I1774" s="487" t="s">
        <v>1499</v>
      </c>
      <c r="J1774" s="487" t="s">
        <v>781</v>
      </c>
    </row>
    <row r="1775" spans="1:10" ht="15" x14ac:dyDescent="0.2">
      <c r="A1775" s="486" t="s">
        <v>780</v>
      </c>
      <c r="B1775" s="487" t="s">
        <v>779</v>
      </c>
      <c r="C1775" s="488" t="s">
        <v>6760</v>
      </c>
      <c r="D1775" s="489" t="s">
        <v>6761</v>
      </c>
      <c r="E1775" s="487" t="s">
        <v>6762</v>
      </c>
      <c r="F1775" s="490">
        <v>23978.57</v>
      </c>
      <c r="G1775" s="489">
        <v>420.1</v>
      </c>
      <c r="H1775" s="489">
        <v>57.078240000000001</v>
      </c>
      <c r="I1775" s="487" t="s">
        <v>1499</v>
      </c>
      <c r="J1775" s="487" t="s">
        <v>781</v>
      </c>
    </row>
    <row r="1776" spans="1:10" ht="15" x14ac:dyDescent="0.2">
      <c r="A1776" s="486" t="s">
        <v>780</v>
      </c>
      <c r="B1776" s="487" t="s">
        <v>779</v>
      </c>
      <c r="C1776" s="488" t="s">
        <v>6763</v>
      </c>
      <c r="D1776" s="489" t="s">
        <v>6764</v>
      </c>
      <c r="E1776" s="487" t="s">
        <v>6765</v>
      </c>
      <c r="F1776" s="490">
        <v>117982.52</v>
      </c>
      <c r="G1776" s="489">
        <v>973.3</v>
      </c>
      <c r="H1776" s="489">
        <v>121.21907</v>
      </c>
      <c r="I1776" s="487" t="s">
        <v>1499</v>
      </c>
      <c r="J1776" s="487" t="s">
        <v>781</v>
      </c>
    </row>
    <row r="1777" spans="1:10" ht="15" x14ac:dyDescent="0.2">
      <c r="A1777" s="486" t="s">
        <v>780</v>
      </c>
      <c r="B1777" s="487" t="s">
        <v>779</v>
      </c>
      <c r="C1777" s="488" t="s">
        <v>6766</v>
      </c>
      <c r="D1777" s="489" t="s">
        <v>6767</v>
      </c>
      <c r="E1777" s="487" t="s">
        <v>6768</v>
      </c>
      <c r="F1777" s="490">
        <v>44303</v>
      </c>
      <c r="G1777" s="489">
        <v>911.4</v>
      </c>
      <c r="H1777" s="489">
        <v>48.609830000000002</v>
      </c>
      <c r="I1777" s="487" t="s">
        <v>1499</v>
      </c>
      <c r="J1777" s="487" t="s">
        <v>781</v>
      </c>
    </row>
    <row r="1778" spans="1:10" ht="15" x14ac:dyDescent="0.2">
      <c r="A1778" s="486" t="s">
        <v>780</v>
      </c>
      <c r="B1778" s="487" t="s">
        <v>779</v>
      </c>
      <c r="C1778" s="488" t="s">
        <v>6769</v>
      </c>
      <c r="D1778" s="489" t="s">
        <v>6770</v>
      </c>
      <c r="E1778" s="487" t="s">
        <v>6771</v>
      </c>
      <c r="F1778" s="490">
        <v>5600</v>
      </c>
      <c r="G1778" s="489">
        <v>180.1</v>
      </c>
      <c r="H1778" s="489">
        <v>31.09384</v>
      </c>
      <c r="I1778" s="487" t="s">
        <v>1499</v>
      </c>
      <c r="J1778" s="487" t="s">
        <v>781</v>
      </c>
    </row>
    <row r="1779" spans="1:10" ht="15" x14ac:dyDescent="0.2">
      <c r="A1779" s="486" t="s">
        <v>780</v>
      </c>
      <c r="B1779" s="487" t="s">
        <v>779</v>
      </c>
      <c r="C1779" s="488" t="s">
        <v>6772</v>
      </c>
      <c r="D1779" s="489" t="s">
        <v>6773</v>
      </c>
      <c r="E1779" s="487" t="s">
        <v>6774</v>
      </c>
      <c r="F1779" s="490">
        <v>144505</v>
      </c>
      <c r="G1779" s="489">
        <v>2456</v>
      </c>
      <c r="H1779" s="489">
        <v>58.837539999999997</v>
      </c>
      <c r="I1779" s="487" t="s">
        <v>1499</v>
      </c>
      <c r="J1779" s="487" t="s">
        <v>781</v>
      </c>
    </row>
    <row r="1780" spans="1:10" ht="15" x14ac:dyDescent="0.2">
      <c r="A1780" s="486" t="s">
        <v>780</v>
      </c>
      <c r="B1780" s="487" t="s">
        <v>779</v>
      </c>
      <c r="C1780" s="488" t="s">
        <v>6775</v>
      </c>
      <c r="D1780" s="489" t="s">
        <v>6776</v>
      </c>
      <c r="E1780" s="487" t="s">
        <v>6777</v>
      </c>
      <c r="F1780" s="490">
        <v>100360</v>
      </c>
      <c r="G1780" s="489">
        <v>2709</v>
      </c>
      <c r="H1780" s="489">
        <v>37.046880000000002</v>
      </c>
      <c r="I1780" s="487" t="s">
        <v>1499</v>
      </c>
      <c r="J1780" s="487" t="s">
        <v>781</v>
      </c>
    </row>
    <row r="1781" spans="1:10" ht="15" x14ac:dyDescent="0.2">
      <c r="A1781" s="486" t="s">
        <v>780</v>
      </c>
      <c r="B1781" s="487" t="s">
        <v>779</v>
      </c>
      <c r="C1781" s="488" t="s">
        <v>6778</v>
      </c>
      <c r="D1781" s="489" t="s">
        <v>6779</v>
      </c>
      <c r="E1781" s="487" t="s">
        <v>6780</v>
      </c>
      <c r="F1781" s="490">
        <v>60002.65</v>
      </c>
      <c r="G1781" s="489">
        <v>1800.8</v>
      </c>
      <c r="H1781" s="489">
        <v>33.32</v>
      </c>
      <c r="I1781" s="487" t="s">
        <v>1499</v>
      </c>
      <c r="J1781" s="487" t="s">
        <v>781</v>
      </c>
    </row>
    <row r="1782" spans="1:10" ht="15" x14ac:dyDescent="0.2">
      <c r="A1782" s="486" t="s">
        <v>780</v>
      </c>
      <c r="B1782" s="487" t="s">
        <v>779</v>
      </c>
      <c r="C1782" s="488" t="s">
        <v>6781</v>
      </c>
      <c r="D1782" s="489" t="s">
        <v>6782</v>
      </c>
      <c r="E1782" s="487" t="s">
        <v>6783</v>
      </c>
      <c r="F1782" s="490">
        <v>41345.85</v>
      </c>
      <c r="G1782" s="489">
        <v>703.4</v>
      </c>
      <c r="H1782" s="489">
        <v>58.78</v>
      </c>
      <c r="I1782" s="487" t="s">
        <v>1499</v>
      </c>
      <c r="J1782" s="487" t="s">
        <v>781</v>
      </c>
    </row>
    <row r="1783" spans="1:10" ht="15" x14ac:dyDescent="0.2">
      <c r="A1783" s="486" t="s">
        <v>780</v>
      </c>
      <c r="B1783" s="487" t="s">
        <v>779</v>
      </c>
      <c r="C1783" s="488" t="s">
        <v>6784</v>
      </c>
      <c r="D1783" s="489" t="s">
        <v>6785</v>
      </c>
      <c r="E1783" s="487" t="s">
        <v>6786</v>
      </c>
      <c r="F1783" s="490">
        <v>35252.699999999997</v>
      </c>
      <c r="G1783" s="489">
        <v>194.5</v>
      </c>
      <c r="H1783" s="489">
        <v>181.24780999999999</v>
      </c>
      <c r="I1783" s="487" t="s">
        <v>1499</v>
      </c>
      <c r="J1783" s="487" t="s">
        <v>781</v>
      </c>
    </row>
    <row r="1784" spans="1:10" ht="15" x14ac:dyDescent="0.2">
      <c r="A1784" s="486" t="s">
        <v>780</v>
      </c>
      <c r="B1784" s="487" t="s">
        <v>779</v>
      </c>
      <c r="C1784" s="488" t="s">
        <v>6787</v>
      </c>
      <c r="D1784" s="489" t="s">
        <v>6788</v>
      </c>
      <c r="E1784" s="487" t="s">
        <v>6789</v>
      </c>
      <c r="F1784" s="490">
        <v>64625</v>
      </c>
      <c r="G1784" s="489">
        <v>1604.4</v>
      </c>
      <c r="H1784" s="489">
        <v>40.279859999999999</v>
      </c>
      <c r="I1784" s="487" t="s">
        <v>1499</v>
      </c>
      <c r="J1784" s="487" t="s">
        <v>781</v>
      </c>
    </row>
    <row r="1785" spans="1:10" ht="15" x14ac:dyDescent="0.2">
      <c r="A1785" s="486" t="s">
        <v>780</v>
      </c>
      <c r="B1785" s="487" t="s">
        <v>779</v>
      </c>
      <c r="C1785" s="488" t="s">
        <v>6790</v>
      </c>
      <c r="D1785" s="489" t="s">
        <v>6791</v>
      </c>
      <c r="E1785" s="487" t="s">
        <v>6792</v>
      </c>
      <c r="F1785" s="490">
        <v>18952</v>
      </c>
      <c r="G1785" s="489">
        <v>318.60000000000002</v>
      </c>
      <c r="H1785" s="489">
        <v>59.485250000000001</v>
      </c>
      <c r="I1785" s="487" t="s">
        <v>1499</v>
      </c>
      <c r="J1785" s="487" t="s">
        <v>781</v>
      </c>
    </row>
    <row r="1786" spans="1:10" ht="15" x14ac:dyDescent="0.2">
      <c r="A1786" s="486" t="s">
        <v>877</v>
      </c>
      <c r="B1786" s="487" t="s">
        <v>876</v>
      </c>
      <c r="C1786" s="488" t="s">
        <v>6793</v>
      </c>
      <c r="D1786" s="489" t="s">
        <v>6794</v>
      </c>
      <c r="E1786" s="487" t="s">
        <v>6795</v>
      </c>
      <c r="F1786" s="490">
        <v>19425</v>
      </c>
      <c r="G1786" s="489">
        <v>655</v>
      </c>
      <c r="H1786" s="489">
        <v>29.656490000000002</v>
      </c>
      <c r="I1786" s="487" t="s">
        <v>1499</v>
      </c>
      <c r="J1786" s="487" t="s">
        <v>878</v>
      </c>
    </row>
    <row r="1787" spans="1:10" ht="15" x14ac:dyDescent="0.2">
      <c r="A1787" s="486" t="s">
        <v>877</v>
      </c>
      <c r="B1787" s="487" t="s">
        <v>876</v>
      </c>
      <c r="C1787" s="488" t="s">
        <v>6796</v>
      </c>
      <c r="D1787" s="489" t="s">
        <v>6797</v>
      </c>
      <c r="E1787" s="487" t="s">
        <v>6798</v>
      </c>
      <c r="F1787" s="490">
        <v>0</v>
      </c>
      <c r="G1787" s="489">
        <v>76</v>
      </c>
      <c r="H1787" s="489">
        <v>0</v>
      </c>
      <c r="I1787" s="487" t="s">
        <v>1593</v>
      </c>
      <c r="J1787" s="487" t="s">
        <v>878</v>
      </c>
    </row>
    <row r="1788" spans="1:10" ht="15" x14ac:dyDescent="0.2">
      <c r="A1788" s="486" t="s">
        <v>877</v>
      </c>
      <c r="B1788" s="487" t="s">
        <v>876</v>
      </c>
      <c r="C1788" s="488" t="s">
        <v>6799</v>
      </c>
      <c r="D1788" s="489" t="s">
        <v>6800</v>
      </c>
      <c r="E1788" s="487" t="s">
        <v>6801</v>
      </c>
      <c r="F1788" s="490">
        <v>10736</v>
      </c>
      <c r="G1788" s="489">
        <v>304</v>
      </c>
      <c r="H1788" s="489">
        <v>35.31579</v>
      </c>
      <c r="I1788" s="487" t="s">
        <v>1499</v>
      </c>
      <c r="J1788" s="487" t="s">
        <v>878</v>
      </c>
    </row>
    <row r="1789" spans="1:10" ht="15" x14ac:dyDescent="0.2">
      <c r="A1789" s="486" t="s">
        <v>877</v>
      </c>
      <c r="B1789" s="487" t="s">
        <v>876</v>
      </c>
      <c r="C1789" s="488" t="s">
        <v>6802</v>
      </c>
      <c r="D1789" s="489" t="s">
        <v>6803</v>
      </c>
      <c r="E1789" s="487" t="s">
        <v>6804</v>
      </c>
      <c r="F1789" s="490">
        <v>419208</v>
      </c>
      <c r="G1789" s="489">
        <v>3591</v>
      </c>
      <c r="H1789" s="489">
        <v>116.73851000000001</v>
      </c>
      <c r="I1789" s="487" t="s">
        <v>1499</v>
      </c>
      <c r="J1789" s="487" t="s">
        <v>878</v>
      </c>
    </row>
    <row r="1790" spans="1:10" ht="15" x14ac:dyDescent="0.2">
      <c r="A1790" s="486" t="s">
        <v>877</v>
      </c>
      <c r="B1790" s="487" t="s">
        <v>876</v>
      </c>
      <c r="C1790" s="488" t="s">
        <v>6805</v>
      </c>
      <c r="D1790" s="489" t="s">
        <v>6806</v>
      </c>
      <c r="E1790" s="487" t="s">
        <v>6807</v>
      </c>
      <c r="F1790" s="490">
        <v>12225</v>
      </c>
      <c r="G1790" s="489">
        <v>980</v>
      </c>
      <c r="H1790" s="489">
        <v>12.474489999999999</v>
      </c>
      <c r="I1790" s="487" t="s">
        <v>1499</v>
      </c>
      <c r="J1790" s="487" t="s">
        <v>878</v>
      </c>
    </row>
    <row r="1791" spans="1:10" ht="15" x14ac:dyDescent="0.2">
      <c r="A1791" s="486" t="s">
        <v>877</v>
      </c>
      <c r="B1791" s="487" t="s">
        <v>876</v>
      </c>
      <c r="C1791" s="488" t="s">
        <v>6808</v>
      </c>
      <c r="D1791" s="489" t="s">
        <v>6809</v>
      </c>
      <c r="E1791" s="487" t="s">
        <v>6810</v>
      </c>
      <c r="F1791" s="490">
        <v>68494</v>
      </c>
      <c r="G1791" s="489">
        <v>1118</v>
      </c>
      <c r="H1791" s="489">
        <v>61.264760000000003</v>
      </c>
      <c r="I1791" s="487" t="s">
        <v>1499</v>
      </c>
      <c r="J1791" s="487" t="s">
        <v>878</v>
      </c>
    </row>
    <row r="1792" spans="1:10" ht="15" x14ac:dyDescent="0.2">
      <c r="A1792" s="486" t="s">
        <v>877</v>
      </c>
      <c r="B1792" s="487" t="s">
        <v>876</v>
      </c>
      <c r="C1792" s="488" t="s">
        <v>6811</v>
      </c>
      <c r="D1792" s="489" t="s">
        <v>6812</v>
      </c>
      <c r="E1792" s="487" t="s">
        <v>6813</v>
      </c>
      <c r="F1792" s="490">
        <v>5497</v>
      </c>
      <c r="G1792" s="489">
        <v>154</v>
      </c>
      <c r="H1792" s="489">
        <v>35.694809999999997</v>
      </c>
      <c r="I1792" s="487" t="s">
        <v>1499</v>
      </c>
      <c r="J1792" s="487" t="s">
        <v>878</v>
      </c>
    </row>
    <row r="1793" spans="1:10" ht="15" x14ac:dyDescent="0.2">
      <c r="A1793" s="486" t="s">
        <v>877</v>
      </c>
      <c r="B1793" s="487" t="s">
        <v>876</v>
      </c>
      <c r="C1793" s="488" t="s">
        <v>6814</v>
      </c>
      <c r="D1793" s="489" t="s">
        <v>6815</v>
      </c>
      <c r="E1793" s="487" t="s">
        <v>6816</v>
      </c>
      <c r="F1793" s="490">
        <v>1206</v>
      </c>
      <c r="G1793" s="489">
        <v>50</v>
      </c>
      <c r="H1793" s="489">
        <v>24.12</v>
      </c>
      <c r="I1793" s="487" t="s">
        <v>1499</v>
      </c>
      <c r="J1793" s="487" t="s">
        <v>878</v>
      </c>
    </row>
    <row r="1794" spans="1:10" ht="15" x14ac:dyDescent="0.2">
      <c r="A1794" s="486" t="s">
        <v>877</v>
      </c>
      <c r="B1794" s="487" t="s">
        <v>876</v>
      </c>
      <c r="C1794" s="488" t="s">
        <v>6817</v>
      </c>
      <c r="D1794" s="489" t="s">
        <v>6818</v>
      </c>
      <c r="E1794" s="487" t="s">
        <v>6819</v>
      </c>
      <c r="F1794" s="490">
        <v>7606.65</v>
      </c>
      <c r="G1794" s="489">
        <v>159</v>
      </c>
      <c r="H1794" s="489">
        <v>47.84057</v>
      </c>
      <c r="I1794" s="487" t="s">
        <v>1499</v>
      </c>
      <c r="J1794" s="487" t="s">
        <v>878</v>
      </c>
    </row>
    <row r="1795" spans="1:10" ht="15" x14ac:dyDescent="0.2">
      <c r="A1795" s="486" t="s">
        <v>877</v>
      </c>
      <c r="B1795" s="487" t="s">
        <v>876</v>
      </c>
      <c r="C1795" s="488" t="s">
        <v>6820</v>
      </c>
      <c r="D1795" s="489" t="s">
        <v>6821</v>
      </c>
      <c r="E1795" s="487" t="s">
        <v>6822</v>
      </c>
      <c r="F1795" s="490">
        <v>5608.14</v>
      </c>
      <c r="G1795" s="489">
        <v>151</v>
      </c>
      <c r="H1795" s="489">
        <v>37.14</v>
      </c>
      <c r="I1795" s="487" t="s">
        <v>1499</v>
      </c>
      <c r="J1795" s="487" t="s">
        <v>878</v>
      </c>
    </row>
    <row r="1796" spans="1:10" ht="15" x14ac:dyDescent="0.2">
      <c r="A1796" s="486" t="s">
        <v>877</v>
      </c>
      <c r="B1796" s="487" t="s">
        <v>876</v>
      </c>
      <c r="C1796" s="488" t="s">
        <v>6823</v>
      </c>
      <c r="D1796" s="489" t="s">
        <v>6824</v>
      </c>
      <c r="E1796" s="487" t="s">
        <v>6825</v>
      </c>
      <c r="F1796" s="490">
        <v>65047.73</v>
      </c>
      <c r="G1796" s="489">
        <v>1107</v>
      </c>
      <c r="H1796" s="489">
        <v>58.760370000000002</v>
      </c>
      <c r="I1796" s="487" t="s">
        <v>1499</v>
      </c>
      <c r="J1796" s="487" t="s">
        <v>878</v>
      </c>
    </row>
    <row r="1797" spans="1:10" ht="15" x14ac:dyDescent="0.2">
      <c r="A1797" s="486" t="s">
        <v>877</v>
      </c>
      <c r="B1797" s="487" t="s">
        <v>876</v>
      </c>
      <c r="C1797" s="488" t="s">
        <v>6826</v>
      </c>
      <c r="D1797" s="489" t="s">
        <v>6827</v>
      </c>
      <c r="E1797" s="487" t="s">
        <v>6828</v>
      </c>
      <c r="F1797" s="490">
        <v>8611</v>
      </c>
      <c r="G1797" s="489">
        <v>428</v>
      </c>
      <c r="H1797" s="489">
        <v>20.119160000000001</v>
      </c>
      <c r="I1797" s="487" t="s">
        <v>1499</v>
      </c>
      <c r="J1797" s="487" t="s">
        <v>878</v>
      </c>
    </row>
    <row r="1798" spans="1:10" ht="15" x14ac:dyDescent="0.2">
      <c r="A1798" s="486" t="s">
        <v>877</v>
      </c>
      <c r="B1798" s="487" t="s">
        <v>876</v>
      </c>
      <c r="C1798" s="488" t="s">
        <v>6829</v>
      </c>
      <c r="D1798" s="489" t="s">
        <v>6830</v>
      </c>
      <c r="E1798" s="487" t="s">
        <v>6831</v>
      </c>
      <c r="F1798" s="490">
        <v>0</v>
      </c>
      <c r="G1798" s="489">
        <v>55</v>
      </c>
      <c r="H1798" s="489">
        <v>0</v>
      </c>
      <c r="I1798" s="487" t="s">
        <v>1593</v>
      </c>
      <c r="J1798" s="487" t="s">
        <v>878</v>
      </c>
    </row>
    <row r="1799" spans="1:10" ht="15" x14ac:dyDescent="0.2">
      <c r="A1799" s="486" t="s">
        <v>877</v>
      </c>
      <c r="B1799" s="487" t="s">
        <v>876</v>
      </c>
      <c r="C1799" s="488" t="s">
        <v>6832</v>
      </c>
      <c r="D1799" s="489" t="s">
        <v>6833</v>
      </c>
      <c r="E1799" s="487" t="s">
        <v>6834</v>
      </c>
      <c r="F1799" s="490">
        <v>360355.7</v>
      </c>
      <c r="G1799" s="489">
        <v>3110</v>
      </c>
      <c r="H1799" s="489">
        <v>115.87</v>
      </c>
      <c r="I1799" s="487" t="s">
        <v>1499</v>
      </c>
      <c r="J1799" s="487" t="s">
        <v>878</v>
      </c>
    </row>
    <row r="1800" spans="1:10" ht="15" x14ac:dyDescent="0.2">
      <c r="A1800" s="486" t="s">
        <v>877</v>
      </c>
      <c r="B1800" s="487" t="s">
        <v>876</v>
      </c>
      <c r="C1800" s="488" t="s">
        <v>6835</v>
      </c>
      <c r="D1800" s="489" t="s">
        <v>6836</v>
      </c>
      <c r="E1800" s="487" t="s">
        <v>6837</v>
      </c>
      <c r="F1800" s="490">
        <v>10000</v>
      </c>
      <c r="G1800" s="489">
        <v>159</v>
      </c>
      <c r="H1800" s="489">
        <v>62.893079999999998</v>
      </c>
      <c r="I1800" s="487" t="s">
        <v>1499</v>
      </c>
      <c r="J1800" s="487" t="s">
        <v>878</v>
      </c>
    </row>
    <row r="1801" spans="1:10" ht="15" x14ac:dyDescent="0.2">
      <c r="A1801" s="486" t="s">
        <v>877</v>
      </c>
      <c r="B1801" s="487" t="s">
        <v>876</v>
      </c>
      <c r="C1801" s="488" t="s">
        <v>6838</v>
      </c>
      <c r="D1801" s="489" t="s">
        <v>6839</v>
      </c>
      <c r="E1801" s="487" t="s">
        <v>6840</v>
      </c>
      <c r="F1801" s="490">
        <v>24000</v>
      </c>
      <c r="G1801" s="489">
        <v>522</v>
      </c>
      <c r="H1801" s="489">
        <v>45.97701</v>
      </c>
      <c r="I1801" s="487" t="s">
        <v>1499</v>
      </c>
      <c r="J1801" s="487" t="s">
        <v>878</v>
      </c>
    </row>
    <row r="1802" spans="1:10" ht="15" x14ac:dyDescent="0.2">
      <c r="A1802" s="486" t="s">
        <v>877</v>
      </c>
      <c r="B1802" s="487" t="s">
        <v>876</v>
      </c>
      <c r="C1802" s="488" t="s">
        <v>6841</v>
      </c>
      <c r="D1802" s="489" t="s">
        <v>6842</v>
      </c>
      <c r="E1802" s="487" t="s">
        <v>6843</v>
      </c>
      <c r="F1802" s="490">
        <v>121014</v>
      </c>
      <c r="G1802" s="489">
        <v>2430</v>
      </c>
      <c r="H1802" s="489">
        <v>49.8</v>
      </c>
      <c r="I1802" s="487" t="s">
        <v>1499</v>
      </c>
      <c r="J1802" s="487" t="s">
        <v>878</v>
      </c>
    </row>
    <row r="1803" spans="1:10" ht="15" x14ac:dyDescent="0.2">
      <c r="A1803" s="486" t="s">
        <v>877</v>
      </c>
      <c r="B1803" s="487" t="s">
        <v>876</v>
      </c>
      <c r="C1803" s="488" t="s">
        <v>6844</v>
      </c>
      <c r="D1803" s="489" t="s">
        <v>6845</v>
      </c>
      <c r="E1803" s="487" t="s">
        <v>6846</v>
      </c>
      <c r="F1803" s="490">
        <v>16600</v>
      </c>
      <c r="G1803" s="489">
        <v>394</v>
      </c>
      <c r="H1803" s="489">
        <v>42.131979999999999</v>
      </c>
      <c r="I1803" s="487" t="s">
        <v>1499</v>
      </c>
      <c r="J1803" s="487" t="s">
        <v>878</v>
      </c>
    </row>
    <row r="1804" spans="1:10" ht="15" x14ac:dyDescent="0.2">
      <c r="A1804" s="486" t="s">
        <v>877</v>
      </c>
      <c r="B1804" s="487" t="s">
        <v>876</v>
      </c>
      <c r="C1804" s="488" t="s">
        <v>6847</v>
      </c>
      <c r="D1804" s="489" t="s">
        <v>6848</v>
      </c>
      <c r="E1804" s="487" t="s">
        <v>6849</v>
      </c>
      <c r="F1804" s="490">
        <v>0</v>
      </c>
      <c r="G1804" s="489">
        <v>17426</v>
      </c>
      <c r="H1804" s="489">
        <v>0</v>
      </c>
      <c r="I1804" s="487" t="s">
        <v>1593</v>
      </c>
      <c r="J1804" s="487" t="s">
        <v>878</v>
      </c>
    </row>
    <row r="1805" spans="1:10" ht="15" x14ac:dyDescent="0.2">
      <c r="A1805" s="486" t="s">
        <v>1022</v>
      </c>
      <c r="B1805" s="487" t="s">
        <v>1021</v>
      </c>
      <c r="C1805" s="488" t="s">
        <v>6850</v>
      </c>
      <c r="D1805" s="489" t="s">
        <v>6851</v>
      </c>
      <c r="E1805" s="487" t="s">
        <v>6852</v>
      </c>
      <c r="F1805" s="490">
        <v>97519</v>
      </c>
      <c r="G1805" s="489">
        <v>994.72</v>
      </c>
      <c r="H1805" s="489">
        <v>98.036630000000002</v>
      </c>
      <c r="I1805" s="487" t="s">
        <v>1499</v>
      </c>
      <c r="J1805" s="487" t="s">
        <v>1023</v>
      </c>
    </row>
    <row r="1806" spans="1:10" ht="15" x14ac:dyDescent="0.2">
      <c r="A1806" s="486" t="s">
        <v>1022</v>
      </c>
      <c r="B1806" s="487" t="s">
        <v>1021</v>
      </c>
      <c r="C1806" s="488" t="s">
        <v>6853</v>
      </c>
      <c r="D1806" s="489" t="s">
        <v>6854</v>
      </c>
      <c r="E1806" s="487" t="s">
        <v>6855</v>
      </c>
      <c r="F1806" s="490">
        <v>39200</v>
      </c>
      <c r="G1806" s="489">
        <v>370.37</v>
      </c>
      <c r="H1806" s="489">
        <v>105.84011</v>
      </c>
      <c r="I1806" s="487" t="s">
        <v>1499</v>
      </c>
      <c r="J1806" s="487" t="s">
        <v>1023</v>
      </c>
    </row>
    <row r="1807" spans="1:10" ht="15" x14ac:dyDescent="0.2">
      <c r="A1807" s="486" t="s">
        <v>1022</v>
      </c>
      <c r="B1807" s="487" t="s">
        <v>1021</v>
      </c>
      <c r="C1807" s="488" t="s">
        <v>6856</v>
      </c>
      <c r="D1807" s="489" t="s">
        <v>6857</v>
      </c>
      <c r="E1807" s="487" t="s">
        <v>6858</v>
      </c>
      <c r="F1807" s="490">
        <v>8049</v>
      </c>
      <c r="G1807" s="489">
        <v>100.06</v>
      </c>
      <c r="H1807" s="489">
        <v>80.441730000000007</v>
      </c>
      <c r="I1807" s="487" t="s">
        <v>1499</v>
      </c>
      <c r="J1807" s="487" t="s">
        <v>1023</v>
      </c>
    </row>
    <row r="1808" spans="1:10" ht="15" x14ac:dyDescent="0.2">
      <c r="A1808" s="486" t="s">
        <v>1022</v>
      </c>
      <c r="B1808" s="487" t="s">
        <v>1021</v>
      </c>
      <c r="C1808" s="488" t="s">
        <v>6859</v>
      </c>
      <c r="D1808" s="489" t="s">
        <v>6860</v>
      </c>
      <c r="E1808" s="487" t="s">
        <v>3826</v>
      </c>
      <c r="F1808" s="490">
        <v>29578</v>
      </c>
      <c r="G1808" s="489">
        <v>525.30999999999995</v>
      </c>
      <c r="H1808" s="489">
        <v>56.305799999999998</v>
      </c>
      <c r="I1808" s="487" t="s">
        <v>1499</v>
      </c>
      <c r="J1808" s="487" t="s">
        <v>1023</v>
      </c>
    </row>
    <row r="1809" spans="1:10" ht="15" x14ac:dyDescent="0.2">
      <c r="A1809" s="486" t="s">
        <v>1022</v>
      </c>
      <c r="B1809" s="487" t="s">
        <v>1021</v>
      </c>
      <c r="C1809" s="488" t="s">
        <v>6861</v>
      </c>
      <c r="D1809" s="489" t="s">
        <v>6862</v>
      </c>
      <c r="E1809" s="487" t="s">
        <v>6863</v>
      </c>
      <c r="F1809" s="490">
        <v>60250</v>
      </c>
      <c r="G1809" s="489">
        <v>762.82</v>
      </c>
      <c r="H1809" s="489">
        <v>78.983249999999998</v>
      </c>
      <c r="I1809" s="487" t="s">
        <v>1499</v>
      </c>
      <c r="J1809" s="487" t="s">
        <v>1023</v>
      </c>
    </row>
    <row r="1810" spans="1:10" ht="15" x14ac:dyDescent="0.2">
      <c r="A1810" s="486" t="s">
        <v>1022</v>
      </c>
      <c r="B1810" s="487" t="s">
        <v>1021</v>
      </c>
      <c r="C1810" s="488" t="s">
        <v>6864</v>
      </c>
      <c r="D1810" s="489" t="s">
        <v>6865</v>
      </c>
      <c r="E1810" s="487" t="s">
        <v>6866</v>
      </c>
      <c r="F1810" s="490">
        <v>292955.28000000003</v>
      </c>
      <c r="G1810" s="489">
        <v>3057.35</v>
      </c>
      <c r="H1810" s="489">
        <v>95.82</v>
      </c>
      <c r="I1810" s="487" t="s">
        <v>1499</v>
      </c>
      <c r="J1810" s="487" t="s">
        <v>1023</v>
      </c>
    </row>
    <row r="1811" spans="1:10" ht="15" x14ac:dyDescent="0.2">
      <c r="A1811" s="486" t="s">
        <v>1022</v>
      </c>
      <c r="B1811" s="487" t="s">
        <v>1021</v>
      </c>
      <c r="C1811" s="488" t="s">
        <v>6867</v>
      </c>
      <c r="D1811" s="489" t="s">
        <v>6868</v>
      </c>
      <c r="E1811" s="487" t="s">
        <v>6869</v>
      </c>
      <c r="F1811" s="490">
        <v>1058495</v>
      </c>
      <c r="G1811" s="489">
        <v>7154.64</v>
      </c>
      <c r="H1811" s="489">
        <v>147.94524999999999</v>
      </c>
      <c r="I1811" s="487" t="s">
        <v>1499</v>
      </c>
      <c r="J1811" s="487" t="s">
        <v>1023</v>
      </c>
    </row>
    <row r="1812" spans="1:10" ht="15" x14ac:dyDescent="0.2">
      <c r="A1812" s="486" t="s">
        <v>1022</v>
      </c>
      <c r="B1812" s="487" t="s">
        <v>1021</v>
      </c>
      <c r="C1812" s="488" t="s">
        <v>6870</v>
      </c>
      <c r="D1812" s="489" t="s">
        <v>6871</v>
      </c>
      <c r="E1812" s="487" t="s">
        <v>6872</v>
      </c>
      <c r="F1812" s="490">
        <v>397628</v>
      </c>
      <c r="G1812" s="489">
        <v>3451.33</v>
      </c>
      <c r="H1812" s="489">
        <v>115.21008</v>
      </c>
      <c r="I1812" s="487" t="s">
        <v>1499</v>
      </c>
      <c r="J1812" s="487" t="s">
        <v>1023</v>
      </c>
    </row>
    <row r="1813" spans="1:10" ht="15" x14ac:dyDescent="0.2">
      <c r="A1813" s="486" t="s">
        <v>1022</v>
      </c>
      <c r="B1813" s="487" t="s">
        <v>1021</v>
      </c>
      <c r="C1813" s="488" t="s">
        <v>6873</v>
      </c>
      <c r="D1813" s="489" t="s">
        <v>6874</v>
      </c>
      <c r="E1813" s="487" t="s">
        <v>6875</v>
      </c>
      <c r="F1813" s="490">
        <v>149909</v>
      </c>
      <c r="G1813" s="489">
        <v>1134.3</v>
      </c>
      <c r="H1813" s="489">
        <v>132.15992</v>
      </c>
      <c r="I1813" s="487" t="s">
        <v>1499</v>
      </c>
      <c r="J1813" s="487" t="s">
        <v>1023</v>
      </c>
    </row>
    <row r="1814" spans="1:10" ht="15" x14ac:dyDescent="0.2">
      <c r="A1814" s="486" t="s">
        <v>1022</v>
      </c>
      <c r="B1814" s="487" t="s">
        <v>1021</v>
      </c>
      <c r="C1814" s="488" t="s">
        <v>6876</v>
      </c>
      <c r="D1814" s="489" t="s">
        <v>6877</v>
      </c>
      <c r="E1814" s="487" t="s">
        <v>6878</v>
      </c>
      <c r="F1814" s="490">
        <v>185081</v>
      </c>
      <c r="G1814" s="489">
        <v>885.77</v>
      </c>
      <c r="H1814" s="489">
        <v>208.94927999999999</v>
      </c>
      <c r="I1814" s="487" t="s">
        <v>1499</v>
      </c>
      <c r="J1814" s="487" t="s">
        <v>1023</v>
      </c>
    </row>
    <row r="1815" spans="1:10" ht="15" x14ac:dyDescent="0.2">
      <c r="A1815" s="486" t="s">
        <v>1022</v>
      </c>
      <c r="B1815" s="487" t="s">
        <v>1021</v>
      </c>
      <c r="C1815" s="488" t="s">
        <v>6879</v>
      </c>
      <c r="D1815" s="489" t="s">
        <v>6880</v>
      </c>
      <c r="E1815" s="487" t="s">
        <v>6881</v>
      </c>
      <c r="F1815" s="490">
        <v>48000</v>
      </c>
      <c r="G1815" s="489">
        <v>489.07</v>
      </c>
      <c r="H1815" s="489">
        <v>98.14546</v>
      </c>
      <c r="I1815" s="487" t="s">
        <v>1499</v>
      </c>
      <c r="J1815" s="487" t="s">
        <v>1023</v>
      </c>
    </row>
    <row r="1816" spans="1:10" ht="15" x14ac:dyDescent="0.2">
      <c r="A1816" s="486" t="s">
        <v>1022</v>
      </c>
      <c r="B1816" s="487" t="s">
        <v>1021</v>
      </c>
      <c r="C1816" s="488" t="s">
        <v>6882</v>
      </c>
      <c r="D1816" s="489" t="s">
        <v>6883</v>
      </c>
      <c r="E1816" s="487" t="s">
        <v>6884</v>
      </c>
      <c r="F1816" s="490">
        <v>77533</v>
      </c>
      <c r="G1816" s="489">
        <v>968.07</v>
      </c>
      <c r="H1816" s="489">
        <v>80.090280000000007</v>
      </c>
      <c r="I1816" s="487" t="s">
        <v>1499</v>
      </c>
      <c r="J1816" s="487" t="s">
        <v>1023</v>
      </c>
    </row>
    <row r="1817" spans="1:10" ht="15" x14ac:dyDescent="0.2">
      <c r="A1817" s="486" t="s">
        <v>1022</v>
      </c>
      <c r="B1817" s="487" t="s">
        <v>1021</v>
      </c>
      <c r="C1817" s="488" t="s">
        <v>6885</v>
      </c>
      <c r="D1817" s="489" t="s">
        <v>6886</v>
      </c>
      <c r="E1817" s="487" t="s">
        <v>6887</v>
      </c>
      <c r="F1817" s="490">
        <v>417192</v>
      </c>
      <c r="G1817" s="489">
        <v>2571.13</v>
      </c>
      <c r="H1817" s="489">
        <v>162.26016999999999</v>
      </c>
      <c r="I1817" s="487" t="s">
        <v>1499</v>
      </c>
      <c r="J1817" s="487" t="s">
        <v>1023</v>
      </c>
    </row>
    <row r="1818" spans="1:10" ht="15" x14ac:dyDescent="0.2">
      <c r="A1818" s="486" t="s">
        <v>1022</v>
      </c>
      <c r="B1818" s="487" t="s">
        <v>1021</v>
      </c>
      <c r="C1818" s="488" t="s">
        <v>6888</v>
      </c>
      <c r="D1818" s="489" t="s">
        <v>6889</v>
      </c>
      <c r="E1818" s="487" t="s">
        <v>6890</v>
      </c>
      <c r="F1818" s="490">
        <v>65242</v>
      </c>
      <c r="G1818" s="489">
        <v>432.41</v>
      </c>
      <c r="H1818" s="489">
        <v>150.87995000000001</v>
      </c>
      <c r="I1818" s="487" t="s">
        <v>1499</v>
      </c>
      <c r="J1818" s="487" t="s">
        <v>1023</v>
      </c>
    </row>
    <row r="1819" spans="1:10" ht="15" x14ac:dyDescent="0.2">
      <c r="A1819" s="486" t="s">
        <v>1022</v>
      </c>
      <c r="B1819" s="487" t="s">
        <v>1021</v>
      </c>
      <c r="C1819" s="488" t="s">
        <v>6891</v>
      </c>
      <c r="D1819" s="489" t="s">
        <v>6892</v>
      </c>
      <c r="E1819" s="487" t="s">
        <v>6893</v>
      </c>
      <c r="F1819" s="490">
        <v>254438</v>
      </c>
      <c r="G1819" s="489">
        <v>2079.59</v>
      </c>
      <c r="H1819" s="489">
        <v>122.35008000000001</v>
      </c>
      <c r="I1819" s="487" t="s">
        <v>1499</v>
      </c>
      <c r="J1819" s="487" t="s">
        <v>1023</v>
      </c>
    </row>
    <row r="1820" spans="1:10" ht="15" x14ac:dyDescent="0.2">
      <c r="A1820" s="486" t="s">
        <v>1022</v>
      </c>
      <c r="B1820" s="487" t="s">
        <v>1021</v>
      </c>
      <c r="C1820" s="488" t="s">
        <v>6894</v>
      </c>
      <c r="D1820" s="489" t="s">
        <v>6895</v>
      </c>
      <c r="E1820" s="487" t="s">
        <v>6687</v>
      </c>
      <c r="F1820" s="490">
        <v>171909</v>
      </c>
      <c r="G1820" s="489">
        <v>1132.99</v>
      </c>
      <c r="H1820" s="489">
        <v>151.73038</v>
      </c>
      <c r="I1820" s="487" t="s">
        <v>1499</v>
      </c>
      <c r="J1820" s="487" t="s">
        <v>1023</v>
      </c>
    </row>
    <row r="1821" spans="1:10" ht="15" x14ac:dyDescent="0.2">
      <c r="A1821" s="486" t="s">
        <v>1022</v>
      </c>
      <c r="B1821" s="487" t="s">
        <v>1021</v>
      </c>
      <c r="C1821" s="488" t="s">
        <v>6896</v>
      </c>
      <c r="D1821" s="489" t="s">
        <v>6897</v>
      </c>
      <c r="E1821" s="487" t="s">
        <v>6898</v>
      </c>
      <c r="F1821" s="490">
        <v>100599</v>
      </c>
      <c r="G1821" s="489">
        <v>1527.37</v>
      </c>
      <c r="H1821" s="489">
        <v>65.864199999999997</v>
      </c>
      <c r="I1821" s="487" t="s">
        <v>1499</v>
      </c>
      <c r="J1821" s="487" t="s">
        <v>1023</v>
      </c>
    </row>
    <row r="1822" spans="1:10" ht="15" x14ac:dyDescent="0.2">
      <c r="A1822" s="486" t="s">
        <v>1022</v>
      </c>
      <c r="B1822" s="487" t="s">
        <v>1021</v>
      </c>
      <c r="C1822" s="488" t="s">
        <v>6899</v>
      </c>
      <c r="D1822" s="489" t="s">
        <v>6900</v>
      </c>
      <c r="E1822" s="487" t="s">
        <v>4099</v>
      </c>
      <c r="F1822" s="490">
        <v>38661</v>
      </c>
      <c r="G1822" s="489">
        <v>269.81</v>
      </c>
      <c r="H1822" s="489">
        <v>143.28971999999999</v>
      </c>
      <c r="I1822" s="487" t="s">
        <v>1499</v>
      </c>
      <c r="J1822" s="487" t="s">
        <v>1023</v>
      </c>
    </row>
    <row r="1823" spans="1:10" ht="15" x14ac:dyDescent="0.2">
      <c r="A1823" s="486" t="s">
        <v>1022</v>
      </c>
      <c r="B1823" s="487" t="s">
        <v>1021</v>
      </c>
      <c r="C1823" s="488" t="s">
        <v>6901</v>
      </c>
      <c r="D1823" s="489" t="s">
        <v>6902</v>
      </c>
      <c r="E1823" s="487" t="s">
        <v>6903</v>
      </c>
      <c r="F1823" s="490">
        <v>85000</v>
      </c>
      <c r="G1823" s="489">
        <v>526.82000000000005</v>
      </c>
      <c r="H1823" s="489">
        <v>161.34542999999999</v>
      </c>
      <c r="I1823" s="487" t="s">
        <v>1499</v>
      </c>
      <c r="J1823" s="487" t="s">
        <v>1023</v>
      </c>
    </row>
    <row r="1824" spans="1:10" ht="15" x14ac:dyDescent="0.2">
      <c r="A1824" s="486" t="s">
        <v>1022</v>
      </c>
      <c r="B1824" s="487" t="s">
        <v>1021</v>
      </c>
      <c r="C1824" s="488" t="s">
        <v>6904</v>
      </c>
      <c r="D1824" s="489" t="s">
        <v>6905</v>
      </c>
      <c r="E1824" s="487" t="s">
        <v>6906</v>
      </c>
      <c r="F1824" s="490">
        <v>16795.62</v>
      </c>
      <c r="G1824" s="489">
        <v>152.58000000000001</v>
      </c>
      <c r="H1824" s="489">
        <v>110.07747000000001</v>
      </c>
      <c r="I1824" s="487" t="s">
        <v>1499</v>
      </c>
      <c r="J1824" s="487" t="s">
        <v>1023</v>
      </c>
    </row>
    <row r="1825" spans="1:10" ht="15" x14ac:dyDescent="0.2">
      <c r="A1825" s="486" t="s">
        <v>1022</v>
      </c>
      <c r="B1825" s="487" t="s">
        <v>1021</v>
      </c>
      <c r="C1825" s="488" t="s">
        <v>6907</v>
      </c>
      <c r="D1825" s="489" t="s">
        <v>6908</v>
      </c>
      <c r="E1825" s="487" t="s">
        <v>6909</v>
      </c>
      <c r="F1825" s="490">
        <v>108000</v>
      </c>
      <c r="G1825" s="489">
        <v>934.1</v>
      </c>
      <c r="H1825" s="489">
        <v>115.61931</v>
      </c>
      <c r="I1825" s="487" t="s">
        <v>1499</v>
      </c>
      <c r="J1825" s="487" t="s">
        <v>1023</v>
      </c>
    </row>
    <row r="1826" spans="1:10" ht="15" x14ac:dyDescent="0.2">
      <c r="A1826" s="486" t="s">
        <v>1022</v>
      </c>
      <c r="B1826" s="487" t="s">
        <v>1021</v>
      </c>
      <c r="C1826" s="488" t="s">
        <v>6910</v>
      </c>
      <c r="D1826" s="489" t="s">
        <v>6911</v>
      </c>
      <c r="E1826" s="487" t="s">
        <v>6912</v>
      </c>
      <c r="F1826" s="490">
        <v>91810</v>
      </c>
      <c r="G1826" s="489">
        <v>549.82000000000005</v>
      </c>
      <c r="H1826" s="489">
        <v>166.98192</v>
      </c>
      <c r="I1826" s="487" t="s">
        <v>1499</v>
      </c>
      <c r="J1826" s="487" t="s">
        <v>1023</v>
      </c>
    </row>
    <row r="1827" spans="1:10" ht="15" x14ac:dyDescent="0.2">
      <c r="A1827" s="486" t="s">
        <v>1022</v>
      </c>
      <c r="B1827" s="487" t="s">
        <v>1021</v>
      </c>
      <c r="C1827" s="488" t="s">
        <v>6913</v>
      </c>
      <c r="D1827" s="489" t="s">
        <v>6914</v>
      </c>
      <c r="E1827" s="487" t="s">
        <v>6915</v>
      </c>
      <c r="F1827" s="490">
        <v>27800</v>
      </c>
      <c r="G1827" s="489">
        <v>286.35000000000002</v>
      </c>
      <c r="H1827" s="489">
        <v>97.08399</v>
      </c>
      <c r="I1827" s="487" t="s">
        <v>1499</v>
      </c>
      <c r="J1827" s="487" t="s">
        <v>1023</v>
      </c>
    </row>
    <row r="1828" spans="1:10" ht="15" x14ac:dyDescent="0.2">
      <c r="A1828" s="486" t="s">
        <v>1022</v>
      </c>
      <c r="B1828" s="487" t="s">
        <v>1021</v>
      </c>
      <c r="C1828" s="488" t="s">
        <v>6916</v>
      </c>
      <c r="D1828" s="489" t="s">
        <v>6917</v>
      </c>
      <c r="E1828" s="487" t="s">
        <v>6918</v>
      </c>
      <c r="F1828" s="490">
        <v>262140</v>
      </c>
      <c r="G1828" s="489">
        <v>3091.73</v>
      </c>
      <c r="H1828" s="489">
        <v>84.787480000000002</v>
      </c>
      <c r="I1828" s="487" t="s">
        <v>1499</v>
      </c>
      <c r="J1828" s="487" t="s">
        <v>1023</v>
      </c>
    </row>
    <row r="1829" spans="1:10" ht="15" x14ac:dyDescent="0.2">
      <c r="A1829" s="486" t="s">
        <v>1186</v>
      </c>
      <c r="B1829" s="487" t="s">
        <v>1185</v>
      </c>
      <c r="C1829" s="488" t="s">
        <v>6919</v>
      </c>
      <c r="D1829" s="489" t="s">
        <v>6920</v>
      </c>
      <c r="E1829" s="487" t="s">
        <v>6921</v>
      </c>
      <c r="F1829" s="490">
        <v>0</v>
      </c>
      <c r="G1829" s="489">
        <v>31</v>
      </c>
      <c r="H1829" s="489">
        <v>0</v>
      </c>
      <c r="I1829" s="487" t="s">
        <v>1593</v>
      </c>
      <c r="J1829" s="487" t="s">
        <v>1187</v>
      </c>
    </row>
    <row r="1830" spans="1:10" ht="15" x14ac:dyDescent="0.2">
      <c r="A1830" s="486" t="s">
        <v>1186</v>
      </c>
      <c r="B1830" s="487" t="s">
        <v>1185</v>
      </c>
      <c r="C1830" s="488" t="s">
        <v>6922</v>
      </c>
      <c r="D1830" s="489" t="s">
        <v>6923</v>
      </c>
      <c r="E1830" s="487" t="s">
        <v>6924</v>
      </c>
      <c r="F1830" s="490">
        <v>57000</v>
      </c>
      <c r="G1830" s="489">
        <v>733</v>
      </c>
      <c r="H1830" s="489">
        <v>77.762619999999998</v>
      </c>
      <c r="I1830" s="487" t="s">
        <v>1499</v>
      </c>
      <c r="J1830" s="487" t="s">
        <v>1187</v>
      </c>
    </row>
    <row r="1831" spans="1:10" ht="15" x14ac:dyDescent="0.2">
      <c r="A1831" s="486" t="s">
        <v>1186</v>
      </c>
      <c r="B1831" s="487" t="s">
        <v>1185</v>
      </c>
      <c r="C1831" s="488" t="s">
        <v>6925</v>
      </c>
      <c r="D1831" s="489" t="s">
        <v>6926</v>
      </c>
      <c r="E1831" s="487" t="s">
        <v>6927</v>
      </c>
      <c r="F1831" s="490">
        <v>13975</v>
      </c>
      <c r="G1831" s="489">
        <v>241</v>
      </c>
      <c r="H1831" s="489">
        <v>57.987549999999999</v>
      </c>
      <c r="I1831" s="487" t="s">
        <v>1499</v>
      </c>
      <c r="J1831" s="487" t="s">
        <v>1187</v>
      </c>
    </row>
    <row r="1832" spans="1:10" ht="15" x14ac:dyDescent="0.2">
      <c r="A1832" s="486" t="s">
        <v>1186</v>
      </c>
      <c r="B1832" s="487" t="s">
        <v>1185</v>
      </c>
      <c r="C1832" s="488" t="s">
        <v>6928</v>
      </c>
      <c r="D1832" s="489" t="s">
        <v>6929</v>
      </c>
      <c r="E1832" s="487" t="s">
        <v>6930</v>
      </c>
      <c r="F1832" s="490">
        <v>0</v>
      </c>
      <c r="G1832" s="489">
        <v>40</v>
      </c>
      <c r="H1832" s="489">
        <v>0</v>
      </c>
      <c r="I1832" s="487" t="s">
        <v>1593</v>
      </c>
      <c r="J1832" s="487" t="s">
        <v>1187</v>
      </c>
    </row>
    <row r="1833" spans="1:10" ht="15" x14ac:dyDescent="0.2">
      <c r="A1833" s="486" t="s">
        <v>1186</v>
      </c>
      <c r="B1833" s="487" t="s">
        <v>1185</v>
      </c>
      <c r="C1833" s="488" t="s">
        <v>6931</v>
      </c>
      <c r="D1833" s="489" t="s">
        <v>6932</v>
      </c>
      <c r="E1833" s="487" t="s">
        <v>6933</v>
      </c>
      <c r="F1833" s="490">
        <v>0</v>
      </c>
      <c r="G1833" s="489">
        <v>13</v>
      </c>
      <c r="H1833" s="489">
        <v>0</v>
      </c>
      <c r="I1833" s="487" t="s">
        <v>1593</v>
      </c>
      <c r="J1833" s="487" t="s">
        <v>1187</v>
      </c>
    </row>
    <row r="1834" spans="1:10" ht="15" x14ac:dyDescent="0.2">
      <c r="A1834" s="486" t="s">
        <v>1186</v>
      </c>
      <c r="B1834" s="487" t="s">
        <v>1185</v>
      </c>
      <c r="C1834" s="488" t="s">
        <v>6934</v>
      </c>
      <c r="D1834" s="489" t="s">
        <v>6935</v>
      </c>
      <c r="E1834" s="487" t="s">
        <v>6936</v>
      </c>
      <c r="F1834" s="490">
        <v>6150</v>
      </c>
      <c r="G1834" s="489">
        <v>409</v>
      </c>
      <c r="H1834" s="489">
        <v>15.036670000000001</v>
      </c>
      <c r="I1834" s="487" t="s">
        <v>1499</v>
      </c>
      <c r="J1834" s="487" t="s">
        <v>1187</v>
      </c>
    </row>
    <row r="1835" spans="1:10" ht="15" x14ac:dyDescent="0.2">
      <c r="A1835" s="486" t="s">
        <v>1186</v>
      </c>
      <c r="B1835" s="487" t="s">
        <v>1185</v>
      </c>
      <c r="C1835" s="488" t="s">
        <v>6937</v>
      </c>
      <c r="D1835" s="489" t="s">
        <v>6938</v>
      </c>
      <c r="E1835" s="487" t="s">
        <v>6939</v>
      </c>
      <c r="F1835" s="490">
        <v>10337</v>
      </c>
      <c r="G1835" s="489">
        <v>688</v>
      </c>
      <c r="H1835" s="489">
        <v>15.024710000000001</v>
      </c>
      <c r="I1835" s="487" t="s">
        <v>1499</v>
      </c>
      <c r="J1835" s="487" t="s">
        <v>1187</v>
      </c>
    </row>
    <row r="1836" spans="1:10" ht="15" x14ac:dyDescent="0.2">
      <c r="A1836" s="486" t="s">
        <v>1186</v>
      </c>
      <c r="B1836" s="487" t="s">
        <v>1185</v>
      </c>
      <c r="C1836" s="488" t="s">
        <v>6940</v>
      </c>
      <c r="D1836" s="489" t="s">
        <v>6941</v>
      </c>
      <c r="E1836" s="487" t="s">
        <v>6942</v>
      </c>
      <c r="F1836" s="490">
        <v>0</v>
      </c>
      <c r="G1836" s="489">
        <v>9</v>
      </c>
      <c r="H1836" s="489">
        <v>0</v>
      </c>
      <c r="I1836" s="487" t="s">
        <v>1593</v>
      </c>
      <c r="J1836" s="487" t="s">
        <v>1187</v>
      </c>
    </row>
    <row r="1837" spans="1:10" ht="15" x14ac:dyDescent="0.2">
      <c r="A1837" s="486" t="s">
        <v>1186</v>
      </c>
      <c r="B1837" s="487" t="s">
        <v>1185</v>
      </c>
      <c r="C1837" s="488" t="s">
        <v>6943</v>
      </c>
      <c r="D1837" s="489" t="s">
        <v>6944</v>
      </c>
      <c r="E1837" s="487" t="s">
        <v>6945</v>
      </c>
      <c r="F1837" s="490">
        <v>30000</v>
      </c>
      <c r="G1837" s="489">
        <v>658</v>
      </c>
      <c r="H1837" s="489">
        <v>45.592709999999997</v>
      </c>
      <c r="I1837" s="487" t="s">
        <v>1499</v>
      </c>
      <c r="J1837" s="487" t="s">
        <v>1187</v>
      </c>
    </row>
    <row r="1838" spans="1:10" ht="15" x14ac:dyDescent="0.2">
      <c r="A1838" s="486" t="s">
        <v>1186</v>
      </c>
      <c r="B1838" s="487" t="s">
        <v>1185</v>
      </c>
      <c r="C1838" s="488" t="s">
        <v>6946</v>
      </c>
      <c r="D1838" s="489" t="s">
        <v>6947</v>
      </c>
      <c r="E1838" s="487" t="s">
        <v>6948</v>
      </c>
      <c r="F1838" s="490">
        <v>0</v>
      </c>
      <c r="G1838" s="489">
        <v>19</v>
      </c>
      <c r="H1838" s="489">
        <v>0</v>
      </c>
      <c r="I1838" s="487" t="s">
        <v>1593</v>
      </c>
      <c r="J1838" s="487" t="s">
        <v>1187</v>
      </c>
    </row>
    <row r="1839" spans="1:10" ht="15" x14ac:dyDescent="0.2">
      <c r="A1839" s="486" t="s">
        <v>1186</v>
      </c>
      <c r="B1839" s="487" t="s">
        <v>1185</v>
      </c>
      <c r="C1839" s="488" t="s">
        <v>6949</v>
      </c>
      <c r="D1839" s="489" t="s">
        <v>6950</v>
      </c>
      <c r="E1839" s="487" t="s">
        <v>6951</v>
      </c>
      <c r="F1839" s="490">
        <v>0</v>
      </c>
      <c r="G1839" s="489">
        <v>47</v>
      </c>
      <c r="H1839" s="489">
        <v>0</v>
      </c>
      <c r="I1839" s="487" t="s">
        <v>1593</v>
      </c>
      <c r="J1839" s="487" t="s">
        <v>1187</v>
      </c>
    </row>
    <row r="1840" spans="1:10" ht="15" x14ac:dyDescent="0.2">
      <c r="A1840" s="486" t="s">
        <v>1186</v>
      </c>
      <c r="B1840" s="487" t="s">
        <v>1185</v>
      </c>
      <c r="C1840" s="488" t="s">
        <v>6952</v>
      </c>
      <c r="D1840" s="489" t="s">
        <v>6953</v>
      </c>
      <c r="E1840" s="487" t="s">
        <v>6954</v>
      </c>
      <c r="F1840" s="490">
        <v>13900</v>
      </c>
      <c r="G1840" s="489">
        <v>248</v>
      </c>
      <c r="H1840" s="489">
        <v>56.048389999999998</v>
      </c>
      <c r="I1840" s="487" t="s">
        <v>1499</v>
      </c>
      <c r="J1840" s="487" t="s">
        <v>1187</v>
      </c>
    </row>
    <row r="1841" spans="1:10" ht="15" x14ac:dyDescent="0.2">
      <c r="A1841" s="486" t="s">
        <v>1186</v>
      </c>
      <c r="B1841" s="487" t="s">
        <v>1185</v>
      </c>
      <c r="C1841" s="488" t="s">
        <v>6955</v>
      </c>
      <c r="D1841" s="489" t="s">
        <v>6956</v>
      </c>
      <c r="E1841" s="487" t="s">
        <v>6957</v>
      </c>
      <c r="F1841" s="490">
        <v>8437</v>
      </c>
      <c r="G1841" s="489">
        <v>287</v>
      </c>
      <c r="H1841" s="489">
        <v>29.397210000000001</v>
      </c>
      <c r="I1841" s="487" t="s">
        <v>1499</v>
      </c>
      <c r="J1841" s="487" t="s">
        <v>1187</v>
      </c>
    </row>
    <row r="1842" spans="1:10" ht="15" x14ac:dyDescent="0.2">
      <c r="A1842" s="486" t="s">
        <v>1186</v>
      </c>
      <c r="B1842" s="487" t="s">
        <v>1185</v>
      </c>
      <c r="C1842" s="488" t="s">
        <v>6958</v>
      </c>
      <c r="D1842" s="489" t="s">
        <v>6959</v>
      </c>
      <c r="E1842" s="487" t="s">
        <v>6960</v>
      </c>
      <c r="F1842" s="490">
        <v>2400</v>
      </c>
      <c r="G1842" s="489">
        <v>141</v>
      </c>
      <c r="H1842" s="489">
        <v>17.021280000000001</v>
      </c>
      <c r="I1842" s="487" t="s">
        <v>1499</v>
      </c>
      <c r="J1842" s="487" t="s">
        <v>1187</v>
      </c>
    </row>
    <row r="1843" spans="1:10" ht="15" x14ac:dyDescent="0.2">
      <c r="A1843" s="486" t="s">
        <v>1186</v>
      </c>
      <c r="B1843" s="487" t="s">
        <v>1185</v>
      </c>
      <c r="C1843" s="488" t="s">
        <v>6961</v>
      </c>
      <c r="D1843" s="489" t="s">
        <v>6962</v>
      </c>
      <c r="E1843" s="487" t="s">
        <v>6963</v>
      </c>
      <c r="F1843" s="490">
        <v>11000</v>
      </c>
      <c r="G1843" s="489">
        <v>855</v>
      </c>
      <c r="H1843" s="489">
        <v>12.865500000000001</v>
      </c>
      <c r="I1843" s="487" t="s">
        <v>1499</v>
      </c>
      <c r="J1843" s="487" t="s">
        <v>1187</v>
      </c>
    </row>
    <row r="1844" spans="1:10" ht="15" x14ac:dyDescent="0.2">
      <c r="A1844" s="486" t="s">
        <v>1186</v>
      </c>
      <c r="B1844" s="487" t="s">
        <v>1185</v>
      </c>
      <c r="C1844" s="488" t="s">
        <v>6964</v>
      </c>
      <c r="D1844" s="489" t="s">
        <v>6965</v>
      </c>
      <c r="E1844" s="487" t="s">
        <v>6966</v>
      </c>
      <c r="F1844" s="490">
        <v>13838</v>
      </c>
      <c r="G1844" s="489">
        <v>262</v>
      </c>
      <c r="H1844" s="489">
        <v>52.816789999999997</v>
      </c>
      <c r="I1844" s="487" t="s">
        <v>1499</v>
      </c>
      <c r="J1844" s="487" t="s">
        <v>1187</v>
      </c>
    </row>
    <row r="1845" spans="1:10" ht="15" x14ac:dyDescent="0.2">
      <c r="A1845" s="486" t="s">
        <v>1186</v>
      </c>
      <c r="B1845" s="487" t="s">
        <v>1185</v>
      </c>
      <c r="C1845" s="488" t="s">
        <v>6967</v>
      </c>
      <c r="D1845" s="489" t="s">
        <v>6968</v>
      </c>
      <c r="E1845" s="487" t="s">
        <v>6969</v>
      </c>
      <c r="F1845" s="490">
        <v>61642</v>
      </c>
      <c r="G1845" s="489">
        <v>1461</v>
      </c>
      <c r="H1845" s="489">
        <v>42.191650000000003</v>
      </c>
      <c r="I1845" s="487" t="s">
        <v>1499</v>
      </c>
      <c r="J1845" s="487" t="s">
        <v>1187</v>
      </c>
    </row>
    <row r="1846" spans="1:10" ht="15" x14ac:dyDescent="0.2">
      <c r="A1846" s="486" t="s">
        <v>1186</v>
      </c>
      <c r="B1846" s="487" t="s">
        <v>1185</v>
      </c>
      <c r="C1846" s="488" t="s">
        <v>6970</v>
      </c>
      <c r="D1846" s="489" t="s">
        <v>6971</v>
      </c>
      <c r="E1846" s="487" t="s">
        <v>6972</v>
      </c>
      <c r="F1846" s="490">
        <v>78444</v>
      </c>
      <c r="G1846" s="489">
        <v>1227</v>
      </c>
      <c r="H1846" s="489">
        <v>63.931539999999998</v>
      </c>
      <c r="I1846" s="487" t="s">
        <v>1499</v>
      </c>
      <c r="J1846" s="487" t="s">
        <v>1187</v>
      </c>
    </row>
    <row r="1847" spans="1:10" ht="15" x14ac:dyDescent="0.2">
      <c r="A1847" s="486" t="s">
        <v>1186</v>
      </c>
      <c r="B1847" s="487" t="s">
        <v>1185</v>
      </c>
      <c r="C1847" s="488" t="s">
        <v>6973</v>
      </c>
      <c r="D1847" s="489" t="s">
        <v>6974</v>
      </c>
      <c r="E1847" s="487" t="s">
        <v>6975</v>
      </c>
      <c r="F1847" s="490">
        <v>51067</v>
      </c>
      <c r="G1847" s="489">
        <v>1547</v>
      </c>
      <c r="H1847" s="489">
        <v>33.010339999999999</v>
      </c>
      <c r="I1847" s="487" t="s">
        <v>1499</v>
      </c>
      <c r="J1847" s="487" t="s">
        <v>1187</v>
      </c>
    </row>
    <row r="1848" spans="1:10" ht="15" x14ac:dyDescent="0.2">
      <c r="A1848" s="486" t="s">
        <v>1186</v>
      </c>
      <c r="B1848" s="487" t="s">
        <v>1185</v>
      </c>
      <c r="C1848" s="488" t="s">
        <v>6976</v>
      </c>
      <c r="D1848" s="489" t="s">
        <v>6977</v>
      </c>
      <c r="E1848" s="487" t="s">
        <v>6978</v>
      </c>
      <c r="F1848" s="490">
        <v>0</v>
      </c>
      <c r="G1848" s="489">
        <v>33</v>
      </c>
      <c r="H1848" s="489">
        <v>0</v>
      </c>
      <c r="I1848" s="487" t="s">
        <v>1593</v>
      </c>
      <c r="J1848" s="487" t="s">
        <v>1187</v>
      </c>
    </row>
    <row r="1849" spans="1:10" ht="15" x14ac:dyDescent="0.2">
      <c r="A1849" s="486" t="s">
        <v>1186</v>
      </c>
      <c r="B1849" s="487" t="s">
        <v>1185</v>
      </c>
      <c r="C1849" s="488" t="s">
        <v>6979</v>
      </c>
      <c r="D1849" s="489" t="s">
        <v>6980</v>
      </c>
      <c r="E1849" s="487" t="s">
        <v>6981</v>
      </c>
      <c r="F1849" s="490">
        <v>22783</v>
      </c>
      <c r="G1849" s="489">
        <v>249</v>
      </c>
      <c r="H1849" s="489">
        <v>91.497990000000001</v>
      </c>
      <c r="I1849" s="487" t="s">
        <v>1499</v>
      </c>
      <c r="J1849" s="487" t="s">
        <v>1187</v>
      </c>
    </row>
    <row r="1850" spans="1:10" ht="15" x14ac:dyDescent="0.2">
      <c r="A1850" s="486" t="s">
        <v>1186</v>
      </c>
      <c r="B1850" s="487" t="s">
        <v>1185</v>
      </c>
      <c r="C1850" s="488" t="s">
        <v>6982</v>
      </c>
      <c r="D1850" s="489" t="s">
        <v>6983</v>
      </c>
      <c r="E1850" s="487" t="s">
        <v>6984</v>
      </c>
      <c r="F1850" s="490">
        <v>10775</v>
      </c>
      <c r="G1850" s="489">
        <v>1433</v>
      </c>
      <c r="H1850" s="489">
        <v>7.51919</v>
      </c>
      <c r="I1850" s="487" t="s">
        <v>1499</v>
      </c>
      <c r="J1850" s="487" t="s">
        <v>1187</v>
      </c>
    </row>
    <row r="1851" spans="1:10" ht="15" x14ac:dyDescent="0.2">
      <c r="A1851" s="486" t="s">
        <v>1186</v>
      </c>
      <c r="B1851" s="487" t="s">
        <v>1185</v>
      </c>
      <c r="C1851" s="488" t="s">
        <v>6985</v>
      </c>
      <c r="D1851" s="489" t="s">
        <v>6986</v>
      </c>
      <c r="E1851" s="487" t="s">
        <v>4081</v>
      </c>
      <c r="F1851" s="490">
        <v>78091</v>
      </c>
      <c r="G1851" s="489">
        <v>1175</v>
      </c>
      <c r="H1851" s="489">
        <v>66.460430000000002</v>
      </c>
      <c r="I1851" s="487" t="s">
        <v>1499</v>
      </c>
      <c r="J1851" s="487" t="s">
        <v>1187</v>
      </c>
    </row>
    <row r="1852" spans="1:10" ht="15" x14ac:dyDescent="0.2">
      <c r="A1852" s="486" t="s">
        <v>1186</v>
      </c>
      <c r="B1852" s="487" t="s">
        <v>1185</v>
      </c>
      <c r="C1852" s="488" t="s">
        <v>6987</v>
      </c>
      <c r="D1852" s="489" t="s">
        <v>6988</v>
      </c>
      <c r="E1852" s="487" t="s">
        <v>3919</v>
      </c>
      <c r="F1852" s="490">
        <v>172900</v>
      </c>
      <c r="G1852" s="489">
        <v>3170</v>
      </c>
      <c r="H1852" s="489">
        <v>54.542589999999997</v>
      </c>
      <c r="I1852" s="487" t="s">
        <v>1499</v>
      </c>
      <c r="J1852" s="487" t="s">
        <v>1187</v>
      </c>
    </row>
    <row r="1853" spans="1:10" ht="15" x14ac:dyDescent="0.2">
      <c r="A1853" s="486" t="s">
        <v>1186</v>
      </c>
      <c r="B1853" s="487" t="s">
        <v>1185</v>
      </c>
      <c r="C1853" s="488" t="s">
        <v>6989</v>
      </c>
      <c r="D1853" s="489" t="s">
        <v>6990</v>
      </c>
      <c r="E1853" s="487" t="s">
        <v>6991</v>
      </c>
      <c r="F1853" s="490">
        <v>0</v>
      </c>
      <c r="G1853" s="489">
        <v>21</v>
      </c>
      <c r="H1853" s="489">
        <v>0</v>
      </c>
      <c r="I1853" s="487" t="s">
        <v>1593</v>
      </c>
      <c r="J1853" s="487" t="s">
        <v>1187</v>
      </c>
    </row>
    <row r="1854" spans="1:10" ht="15" x14ac:dyDescent="0.2">
      <c r="A1854" s="486" t="s">
        <v>1186</v>
      </c>
      <c r="B1854" s="487" t="s">
        <v>1185</v>
      </c>
      <c r="C1854" s="488" t="s">
        <v>6992</v>
      </c>
      <c r="D1854" s="489" t="s">
        <v>6993</v>
      </c>
      <c r="E1854" s="487" t="s">
        <v>6994</v>
      </c>
      <c r="F1854" s="490">
        <v>0</v>
      </c>
      <c r="G1854" s="489">
        <v>49</v>
      </c>
      <c r="H1854" s="489">
        <v>0</v>
      </c>
      <c r="I1854" s="487" t="s">
        <v>1593</v>
      </c>
      <c r="J1854" s="487" t="s">
        <v>1187</v>
      </c>
    </row>
    <row r="1855" spans="1:10" ht="15" x14ac:dyDescent="0.2">
      <c r="A1855" s="486" t="s">
        <v>1186</v>
      </c>
      <c r="B1855" s="487" t="s">
        <v>1185</v>
      </c>
      <c r="C1855" s="488" t="s">
        <v>6995</v>
      </c>
      <c r="D1855" s="489" t="s">
        <v>6996</v>
      </c>
      <c r="E1855" s="487" t="s">
        <v>3675</v>
      </c>
      <c r="F1855" s="490">
        <v>48000</v>
      </c>
      <c r="G1855" s="489">
        <v>767</v>
      </c>
      <c r="H1855" s="489">
        <v>62.581490000000002</v>
      </c>
      <c r="I1855" s="487" t="s">
        <v>1499</v>
      </c>
      <c r="J1855" s="487" t="s">
        <v>1187</v>
      </c>
    </row>
    <row r="1856" spans="1:10" ht="15" x14ac:dyDescent="0.2">
      <c r="A1856" s="486" t="s">
        <v>1186</v>
      </c>
      <c r="B1856" s="487" t="s">
        <v>1185</v>
      </c>
      <c r="C1856" s="488" t="s">
        <v>6997</v>
      </c>
      <c r="D1856" s="489" t="s">
        <v>6998</v>
      </c>
      <c r="E1856" s="487" t="s">
        <v>6999</v>
      </c>
      <c r="F1856" s="490">
        <v>0</v>
      </c>
      <c r="G1856" s="489">
        <v>62</v>
      </c>
      <c r="H1856" s="489">
        <v>0</v>
      </c>
      <c r="I1856" s="487" t="s">
        <v>1593</v>
      </c>
      <c r="J1856" s="487" t="s">
        <v>1187</v>
      </c>
    </row>
    <row r="1857" spans="1:10" ht="15" x14ac:dyDescent="0.2">
      <c r="A1857" s="486" t="s">
        <v>1186</v>
      </c>
      <c r="B1857" s="487" t="s">
        <v>1185</v>
      </c>
      <c r="C1857" s="488" t="s">
        <v>7000</v>
      </c>
      <c r="D1857" s="489" t="s">
        <v>7001</v>
      </c>
      <c r="E1857" s="487" t="s">
        <v>7002</v>
      </c>
      <c r="F1857" s="490">
        <v>0</v>
      </c>
      <c r="G1857" s="489">
        <v>18</v>
      </c>
      <c r="H1857" s="489">
        <v>0</v>
      </c>
      <c r="I1857" s="487" t="s">
        <v>1593</v>
      </c>
      <c r="J1857" s="487" t="s">
        <v>1187</v>
      </c>
    </row>
    <row r="1858" spans="1:10" ht="15" x14ac:dyDescent="0.2">
      <c r="A1858" s="486" t="s">
        <v>1186</v>
      </c>
      <c r="B1858" s="487" t="s">
        <v>1185</v>
      </c>
      <c r="C1858" s="488" t="s">
        <v>7003</v>
      </c>
      <c r="D1858" s="489" t="s">
        <v>7004</v>
      </c>
      <c r="E1858" s="487" t="s">
        <v>7005</v>
      </c>
      <c r="F1858" s="490">
        <v>114243</v>
      </c>
      <c r="G1858" s="489">
        <v>2070</v>
      </c>
      <c r="H1858" s="489">
        <v>55.189860000000003</v>
      </c>
      <c r="I1858" s="487" t="s">
        <v>1499</v>
      </c>
      <c r="J1858" s="487" t="s">
        <v>1187</v>
      </c>
    </row>
    <row r="1859" spans="1:10" ht="15" x14ac:dyDescent="0.2">
      <c r="A1859" s="486" t="s">
        <v>1186</v>
      </c>
      <c r="B1859" s="487" t="s">
        <v>1185</v>
      </c>
      <c r="C1859" s="488" t="s">
        <v>7006</v>
      </c>
      <c r="D1859" s="489" t="s">
        <v>7007</v>
      </c>
      <c r="E1859" s="487" t="s">
        <v>7008</v>
      </c>
      <c r="F1859" s="490">
        <v>12122</v>
      </c>
      <c r="G1859" s="489">
        <v>340</v>
      </c>
      <c r="H1859" s="489">
        <v>35.652940000000001</v>
      </c>
      <c r="I1859" s="487" t="s">
        <v>1499</v>
      </c>
      <c r="J1859" s="487" t="s">
        <v>1187</v>
      </c>
    </row>
    <row r="1860" spans="1:10" ht="15" x14ac:dyDescent="0.2">
      <c r="A1860" s="486" t="s">
        <v>1186</v>
      </c>
      <c r="B1860" s="487" t="s">
        <v>1185</v>
      </c>
      <c r="C1860" s="488" t="s">
        <v>7009</v>
      </c>
      <c r="D1860" s="489" t="s">
        <v>7010</v>
      </c>
      <c r="E1860" s="487" t="s">
        <v>7011</v>
      </c>
      <c r="F1860" s="490">
        <v>16000</v>
      </c>
      <c r="G1860" s="489">
        <v>392</v>
      </c>
      <c r="H1860" s="489">
        <v>40.816330000000001</v>
      </c>
      <c r="I1860" s="487" t="s">
        <v>1499</v>
      </c>
      <c r="J1860" s="487" t="s">
        <v>1187</v>
      </c>
    </row>
    <row r="1861" spans="1:10" ht="15" x14ac:dyDescent="0.2">
      <c r="A1861" s="486" t="s">
        <v>1186</v>
      </c>
      <c r="B1861" s="487" t="s">
        <v>1185</v>
      </c>
      <c r="C1861" s="488" t="s">
        <v>7012</v>
      </c>
      <c r="D1861" s="489" t="s">
        <v>7013</v>
      </c>
      <c r="E1861" s="487" t="s">
        <v>7014</v>
      </c>
      <c r="F1861" s="490">
        <v>0</v>
      </c>
      <c r="G1861" s="489">
        <v>123</v>
      </c>
      <c r="H1861" s="489">
        <v>0</v>
      </c>
      <c r="I1861" s="487" t="s">
        <v>1593</v>
      </c>
      <c r="J1861" s="487" t="s">
        <v>1187</v>
      </c>
    </row>
    <row r="1862" spans="1:10" ht="15" x14ac:dyDescent="0.2">
      <c r="A1862" s="486" t="s">
        <v>1186</v>
      </c>
      <c r="B1862" s="487" t="s">
        <v>1185</v>
      </c>
      <c r="C1862" s="488" t="s">
        <v>7015</v>
      </c>
      <c r="D1862" s="489" t="s">
        <v>7016</v>
      </c>
      <c r="E1862" s="487" t="s">
        <v>7017</v>
      </c>
      <c r="F1862" s="490">
        <v>39566</v>
      </c>
      <c r="G1862" s="489">
        <v>968</v>
      </c>
      <c r="H1862" s="489">
        <v>40.87397</v>
      </c>
      <c r="I1862" s="487" t="s">
        <v>1499</v>
      </c>
      <c r="J1862" s="487" t="s">
        <v>1187</v>
      </c>
    </row>
    <row r="1863" spans="1:10" ht="15" x14ac:dyDescent="0.2">
      <c r="A1863" s="486" t="s">
        <v>1186</v>
      </c>
      <c r="B1863" s="487" t="s">
        <v>1185</v>
      </c>
      <c r="C1863" s="488" t="s">
        <v>7018</v>
      </c>
      <c r="D1863" s="489" t="s">
        <v>7019</v>
      </c>
      <c r="E1863" s="487" t="s">
        <v>7020</v>
      </c>
      <c r="F1863" s="490">
        <v>0</v>
      </c>
      <c r="G1863" s="489">
        <v>1067</v>
      </c>
      <c r="H1863" s="489">
        <v>0</v>
      </c>
      <c r="I1863" s="487" t="s">
        <v>1593</v>
      </c>
      <c r="J1863" s="487" t="s">
        <v>1187</v>
      </c>
    </row>
    <row r="1864" spans="1:10" ht="15" x14ac:dyDescent="0.2">
      <c r="A1864" s="486" t="s">
        <v>1186</v>
      </c>
      <c r="B1864" s="487" t="s">
        <v>1185</v>
      </c>
      <c r="C1864" s="488" t="s">
        <v>7021</v>
      </c>
      <c r="D1864" s="489" t="s">
        <v>7022</v>
      </c>
      <c r="E1864" s="487" t="s">
        <v>7023</v>
      </c>
      <c r="F1864" s="490">
        <v>75000</v>
      </c>
      <c r="G1864" s="489">
        <v>1238</v>
      </c>
      <c r="H1864" s="489">
        <v>60.581580000000002</v>
      </c>
      <c r="I1864" s="487" t="s">
        <v>1499</v>
      </c>
      <c r="J1864" s="487" t="s">
        <v>1187</v>
      </c>
    </row>
    <row r="1865" spans="1:10" ht="15" x14ac:dyDescent="0.2">
      <c r="A1865" s="486" t="s">
        <v>1186</v>
      </c>
      <c r="B1865" s="487" t="s">
        <v>1185</v>
      </c>
      <c r="C1865" s="488" t="s">
        <v>7024</v>
      </c>
      <c r="D1865" s="489" t="s">
        <v>7025</v>
      </c>
      <c r="E1865" s="487" t="s">
        <v>7026</v>
      </c>
      <c r="F1865" s="490">
        <v>15000</v>
      </c>
      <c r="G1865" s="489">
        <v>317</v>
      </c>
      <c r="H1865" s="489">
        <v>47.31861</v>
      </c>
      <c r="I1865" s="487" t="s">
        <v>1499</v>
      </c>
      <c r="J1865" s="487" t="s">
        <v>1187</v>
      </c>
    </row>
    <row r="1866" spans="1:10" ht="15" x14ac:dyDescent="0.2">
      <c r="A1866" s="486" t="s">
        <v>1186</v>
      </c>
      <c r="B1866" s="487" t="s">
        <v>1185</v>
      </c>
      <c r="C1866" s="488" t="s">
        <v>7027</v>
      </c>
      <c r="D1866" s="489" t="s">
        <v>7028</v>
      </c>
      <c r="E1866" s="487" t="s">
        <v>7029</v>
      </c>
      <c r="F1866" s="490">
        <v>33000</v>
      </c>
      <c r="G1866" s="489">
        <v>427</v>
      </c>
      <c r="H1866" s="489">
        <v>77.283370000000005</v>
      </c>
      <c r="I1866" s="487" t="s">
        <v>1499</v>
      </c>
      <c r="J1866" s="487" t="s">
        <v>1187</v>
      </c>
    </row>
    <row r="1867" spans="1:10" ht="15" x14ac:dyDescent="0.2">
      <c r="A1867" s="486" t="s">
        <v>1186</v>
      </c>
      <c r="B1867" s="487" t="s">
        <v>1185</v>
      </c>
      <c r="C1867" s="488" t="s">
        <v>7030</v>
      </c>
      <c r="D1867" s="489" t="s">
        <v>7031</v>
      </c>
      <c r="E1867" s="487" t="s">
        <v>7032</v>
      </c>
      <c r="F1867" s="490">
        <v>8370</v>
      </c>
      <c r="G1867" s="489">
        <v>127</v>
      </c>
      <c r="H1867" s="489">
        <v>65.905510000000007</v>
      </c>
      <c r="I1867" s="487" t="s">
        <v>1499</v>
      </c>
      <c r="J1867" s="487" t="s">
        <v>1187</v>
      </c>
    </row>
    <row r="1868" spans="1:10" ht="15" x14ac:dyDescent="0.2">
      <c r="A1868" s="486" t="s">
        <v>1186</v>
      </c>
      <c r="B1868" s="487" t="s">
        <v>1185</v>
      </c>
      <c r="C1868" s="488" t="s">
        <v>7033</v>
      </c>
      <c r="D1868" s="489" t="s">
        <v>7034</v>
      </c>
      <c r="E1868" s="487" t="s">
        <v>7035</v>
      </c>
      <c r="F1868" s="490">
        <v>0</v>
      </c>
      <c r="G1868" s="489">
        <v>125</v>
      </c>
      <c r="H1868" s="489">
        <v>0</v>
      </c>
      <c r="I1868" s="487" t="s">
        <v>1593</v>
      </c>
      <c r="J1868" s="487" t="s">
        <v>1187</v>
      </c>
    </row>
    <row r="1869" spans="1:10" ht="15" x14ac:dyDescent="0.2">
      <c r="A1869" s="486" t="s">
        <v>1186</v>
      </c>
      <c r="B1869" s="487" t="s">
        <v>1185</v>
      </c>
      <c r="C1869" s="488" t="s">
        <v>7036</v>
      </c>
      <c r="D1869" s="489" t="s">
        <v>7037</v>
      </c>
      <c r="E1869" s="487" t="s">
        <v>7038</v>
      </c>
      <c r="F1869" s="490">
        <v>0</v>
      </c>
      <c r="G1869" s="489">
        <v>70</v>
      </c>
      <c r="H1869" s="489">
        <v>0</v>
      </c>
      <c r="I1869" s="487" t="s">
        <v>1593</v>
      </c>
      <c r="J1869" s="487" t="s">
        <v>1187</v>
      </c>
    </row>
    <row r="1870" spans="1:10" ht="15" x14ac:dyDescent="0.2">
      <c r="A1870" s="486" t="s">
        <v>1186</v>
      </c>
      <c r="B1870" s="487" t="s">
        <v>1185</v>
      </c>
      <c r="C1870" s="488" t="s">
        <v>7039</v>
      </c>
      <c r="D1870" s="489" t="s">
        <v>7040</v>
      </c>
      <c r="E1870" s="487" t="s">
        <v>7041</v>
      </c>
      <c r="F1870" s="490">
        <v>0</v>
      </c>
      <c r="G1870" s="489">
        <v>634</v>
      </c>
      <c r="H1870" s="489">
        <v>0</v>
      </c>
      <c r="I1870" s="487" t="s">
        <v>1593</v>
      </c>
      <c r="J1870" s="487" t="s">
        <v>1187</v>
      </c>
    </row>
    <row r="1871" spans="1:10" ht="15" x14ac:dyDescent="0.2">
      <c r="A1871" s="486" t="s">
        <v>1186</v>
      </c>
      <c r="B1871" s="487" t="s">
        <v>1185</v>
      </c>
      <c r="C1871" s="488" t="s">
        <v>7042</v>
      </c>
      <c r="D1871" s="489" t="s">
        <v>7043</v>
      </c>
      <c r="E1871" s="487" t="s">
        <v>7044</v>
      </c>
      <c r="F1871" s="490">
        <v>17000</v>
      </c>
      <c r="G1871" s="489">
        <v>299</v>
      </c>
      <c r="H1871" s="489">
        <v>56.856189999999998</v>
      </c>
      <c r="I1871" s="487" t="s">
        <v>1499</v>
      </c>
      <c r="J1871" s="487" t="s">
        <v>1187</v>
      </c>
    </row>
    <row r="1872" spans="1:10" ht="15" x14ac:dyDescent="0.2">
      <c r="A1872" s="486" t="s">
        <v>1186</v>
      </c>
      <c r="B1872" s="487" t="s">
        <v>1185</v>
      </c>
      <c r="C1872" s="488" t="s">
        <v>7045</v>
      </c>
      <c r="D1872" s="489" t="s">
        <v>7046</v>
      </c>
      <c r="E1872" s="487" t="s">
        <v>7047</v>
      </c>
      <c r="F1872" s="490">
        <v>0</v>
      </c>
      <c r="G1872" s="489">
        <v>43</v>
      </c>
      <c r="H1872" s="489">
        <v>0</v>
      </c>
      <c r="I1872" s="487" t="s">
        <v>1593</v>
      </c>
      <c r="J1872" s="487" t="s">
        <v>1187</v>
      </c>
    </row>
    <row r="1873" spans="1:10" ht="15" x14ac:dyDescent="0.2">
      <c r="A1873" s="486" t="s">
        <v>1186</v>
      </c>
      <c r="B1873" s="487" t="s">
        <v>1185</v>
      </c>
      <c r="C1873" s="488" t="s">
        <v>7048</v>
      </c>
      <c r="D1873" s="489" t="s">
        <v>7049</v>
      </c>
      <c r="E1873" s="487" t="s">
        <v>7050</v>
      </c>
      <c r="F1873" s="490">
        <v>0</v>
      </c>
      <c r="G1873" s="489">
        <v>65</v>
      </c>
      <c r="H1873" s="489">
        <v>0</v>
      </c>
      <c r="I1873" s="487" t="s">
        <v>1593</v>
      </c>
      <c r="J1873" s="487" t="s">
        <v>1187</v>
      </c>
    </row>
    <row r="1874" spans="1:10" ht="15" x14ac:dyDescent="0.2">
      <c r="A1874" s="486" t="s">
        <v>1186</v>
      </c>
      <c r="B1874" s="487" t="s">
        <v>1185</v>
      </c>
      <c r="C1874" s="488" t="s">
        <v>7051</v>
      </c>
      <c r="D1874" s="489" t="s">
        <v>7052</v>
      </c>
      <c r="E1874" s="487" t="s">
        <v>7053</v>
      </c>
      <c r="F1874" s="490">
        <v>7747</v>
      </c>
      <c r="G1874" s="489">
        <v>301</v>
      </c>
      <c r="H1874" s="489">
        <v>25.737539999999999</v>
      </c>
      <c r="I1874" s="487" t="s">
        <v>1499</v>
      </c>
      <c r="J1874" s="487" t="s">
        <v>1187</v>
      </c>
    </row>
    <row r="1875" spans="1:10" ht="15" x14ac:dyDescent="0.2">
      <c r="A1875" s="486" t="s">
        <v>1186</v>
      </c>
      <c r="B1875" s="487" t="s">
        <v>1185</v>
      </c>
      <c r="C1875" s="488" t="s">
        <v>7054</v>
      </c>
      <c r="D1875" s="489" t="s">
        <v>7055</v>
      </c>
      <c r="E1875" s="487" t="s">
        <v>7056</v>
      </c>
      <c r="F1875" s="490">
        <v>17500</v>
      </c>
      <c r="G1875" s="489">
        <v>696</v>
      </c>
      <c r="H1875" s="489">
        <v>25.14368</v>
      </c>
      <c r="I1875" s="487" t="s">
        <v>1499</v>
      </c>
      <c r="J1875" s="487" t="s">
        <v>1187</v>
      </c>
    </row>
    <row r="1876" spans="1:10" ht="15" x14ac:dyDescent="0.2">
      <c r="A1876" s="486" t="s">
        <v>1186</v>
      </c>
      <c r="B1876" s="487" t="s">
        <v>1185</v>
      </c>
      <c r="C1876" s="488" t="s">
        <v>7057</v>
      </c>
      <c r="D1876" s="489" t="s">
        <v>7058</v>
      </c>
      <c r="E1876" s="487" t="s">
        <v>2050</v>
      </c>
      <c r="F1876" s="490">
        <v>61075</v>
      </c>
      <c r="G1876" s="489">
        <v>1053</v>
      </c>
      <c r="H1876" s="489">
        <v>58.000950000000003</v>
      </c>
      <c r="I1876" s="487" t="s">
        <v>1499</v>
      </c>
      <c r="J1876" s="487" t="s">
        <v>1187</v>
      </c>
    </row>
    <row r="1877" spans="1:10" ht="15" x14ac:dyDescent="0.2">
      <c r="A1877" s="486" t="s">
        <v>1186</v>
      </c>
      <c r="B1877" s="487" t="s">
        <v>1185</v>
      </c>
      <c r="C1877" s="488" t="s">
        <v>7059</v>
      </c>
      <c r="D1877" s="489" t="s">
        <v>7060</v>
      </c>
      <c r="E1877" s="487" t="s">
        <v>7061</v>
      </c>
      <c r="F1877" s="490">
        <v>74003</v>
      </c>
      <c r="G1877" s="489">
        <v>1845</v>
      </c>
      <c r="H1877" s="489">
        <v>40.110030000000002</v>
      </c>
      <c r="I1877" s="487" t="s">
        <v>1499</v>
      </c>
      <c r="J1877" s="487" t="s">
        <v>1187</v>
      </c>
    </row>
    <row r="1878" spans="1:10" ht="15" x14ac:dyDescent="0.2">
      <c r="A1878" s="486" t="s">
        <v>1186</v>
      </c>
      <c r="B1878" s="487" t="s">
        <v>1185</v>
      </c>
      <c r="C1878" s="488" t="s">
        <v>7062</v>
      </c>
      <c r="D1878" s="489" t="s">
        <v>7063</v>
      </c>
      <c r="E1878" s="487" t="s">
        <v>7064</v>
      </c>
      <c r="F1878" s="490">
        <v>30000</v>
      </c>
      <c r="G1878" s="489">
        <v>1562</v>
      </c>
      <c r="H1878" s="489">
        <v>19.206150000000001</v>
      </c>
      <c r="I1878" s="487" t="s">
        <v>1499</v>
      </c>
      <c r="J1878" s="487" t="s">
        <v>1187</v>
      </c>
    </row>
    <row r="1879" spans="1:10" ht="15" x14ac:dyDescent="0.2">
      <c r="A1879" s="486" t="s">
        <v>1311</v>
      </c>
      <c r="B1879" s="487" t="s">
        <v>1310</v>
      </c>
      <c r="C1879" s="488" t="s">
        <v>7065</v>
      </c>
      <c r="D1879" s="489" t="s">
        <v>7066</v>
      </c>
      <c r="E1879" s="487" t="s">
        <v>7067</v>
      </c>
      <c r="F1879" s="490">
        <v>531935</v>
      </c>
      <c r="G1879" s="489">
        <v>6670.18</v>
      </c>
      <c r="H1879" s="489">
        <v>79.748220000000003</v>
      </c>
      <c r="I1879" s="487" t="s">
        <v>1499</v>
      </c>
      <c r="J1879" s="487" t="s">
        <v>1312</v>
      </c>
    </row>
    <row r="1880" spans="1:10" ht="15" x14ac:dyDescent="0.2">
      <c r="A1880" s="486" t="s">
        <v>725</v>
      </c>
      <c r="B1880" s="487" t="s">
        <v>724</v>
      </c>
      <c r="C1880" s="488" t="s">
        <v>7068</v>
      </c>
      <c r="D1880" s="489" t="s">
        <v>7069</v>
      </c>
      <c r="E1880" s="487" t="s">
        <v>7070</v>
      </c>
      <c r="F1880" s="490">
        <v>17000</v>
      </c>
      <c r="G1880" s="489">
        <v>266.81</v>
      </c>
      <c r="H1880" s="489">
        <v>63.71575</v>
      </c>
      <c r="I1880" s="487" t="s">
        <v>1499</v>
      </c>
      <c r="J1880" s="487" t="s">
        <v>726</v>
      </c>
    </row>
    <row r="1881" spans="1:10" ht="15" x14ac:dyDescent="0.2">
      <c r="A1881" s="486" t="s">
        <v>725</v>
      </c>
      <c r="B1881" s="487" t="s">
        <v>724</v>
      </c>
      <c r="C1881" s="488" t="s">
        <v>7071</v>
      </c>
      <c r="D1881" s="489" t="s">
        <v>7072</v>
      </c>
      <c r="E1881" s="487" t="s">
        <v>7073</v>
      </c>
      <c r="F1881" s="490">
        <v>6500</v>
      </c>
      <c r="G1881" s="489">
        <v>253.22</v>
      </c>
      <c r="H1881" s="489">
        <v>25.66938</v>
      </c>
      <c r="I1881" s="487" t="s">
        <v>1499</v>
      </c>
      <c r="J1881" s="487" t="s">
        <v>726</v>
      </c>
    </row>
    <row r="1882" spans="1:10" ht="15" x14ac:dyDescent="0.2">
      <c r="A1882" s="486" t="s">
        <v>725</v>
      </c>
      <c r="B1882" s="487" t="s">
        <v>724</v>
      </c>
      <c r="C1882" s="488" t="s">
        <v>7074</v>
      </c>
      <c r="D1882" s="489" t="s">
        <v>7075</v>
      </c>
      <c r="E1882" s="487" t="s">
        <v>7076</v>
      </c>
      <c r="F1882" s="490">
        <v>504850</v>
      </c>
      <c r="G1882" s="489">
        <v>2948.28</v>
      </c>
      <c r="H1882" s="489">
        <v>171.23543000000001</v>
      </c>
      <c r="I1882" s="487" t="s">
        <v>1499</v>
      </c>
      <c r="J1882" s="487" t="s">
        <v>726</v>
      </c>
    </row>
    <row r="1883" spans="1:10" ht="15" x14ac:dyDescent="0.2">
      <c r="A1883" s="486" t="s">
        <v>725</v>
      </c>
      <c r="B1883" s="487" t="s">
        <v>724</v>
      </c>
      <c r="C1883" s="488" t="s">
        <v>7077</v>
      </c>
      <c r="D1883" s="489" t="s">
        <v>7078</v>
      </c>
      <c r="E1883" s="487" t="s">
        <v>7079</v>
      </c>
      <c r="F1883" s="490">
        <v>12909.13</v>
      </c>
      <c r="G1883" s="489">
        <v>278.14999999999998</v>
      </c>
      <c r="H1883" s="489">
        <v>46.410679999999999</v>
      </c>
      <c r="I1883" s="487" t="s">
        <v>1499</v>
      </c>
      <c r="J1883" s="487" t="s">
        <v>726</v>
      </c>
    </row>
    <row r="1884" spans="1:10" ht="15" x14ac:dyDescent="0.2">
      <c r="A1884" s="486" t="s">
        <v>725</v>
      </c>
      <c r="B1884" s="487" t="s">
        <v>724</v>
      </c>
      <c r="C1884" s="488" t="s">
        <v>7080</v>
      </c>
      <c r="D1884" s="489" t="s">
        <v>7081</v>
      </c>
      <c r="E1884" s="487" t="s">
        <v>7082</v>
      </c>
      <c r="F1884" s="490">
        <v>16896</v>
      </c>
      <c r="G1884" s="489">
        <v>266.97000000000003</v>
      </c>
      <c r="H1884" s="489">
        <v>63.28801</v>
      </c>
      <c r="I1884" s="487" t="s">
        <v>1499</v>
      </c>
      <c r="J1884" s="487" t="s">
        <v>726</v>
      </c>
    </row>
    <row r="1885" spans="1:10" ht="15" x14ac:dyDescent="0.2">
      <c r="A1885" s="486" t="s">
        <v>725</v>
      </c>
      <c r="B1885" s="487" t="s">
        <v>724</v>
      </c>
      <c r="C1885" s="488" t="s">
        <v>7083</v>
      </c>
      <c r="D1885" s="489" t="s">
        <v>7084</v>
      </c>
      <c r="E1885" s="487" t="s">
        <v>7085</v>
      </c>
      <c r="F1885" s="490">
        <v>37818</v>
      </c>
      <c r="G1885" s="489">
        <v>781.03</v>
      </c>
      <c r="H1885" s="489">
        <v>48.420679999999997</v>
      </c>
      <c r="I1885" s="487" t="s">
        <v>1499</v>
      </c>
      <c r="J1885" s="487" t="s">
        <v>726</v>
      </c>
    </row>
    <row r="1886" spans="1:10" ht="15" x14ac:dyDescent="0.2">
      <c r="A1886" s="486" t="s">
        <v>725</v>
      </c>
      <c r="B1886" s="487" t="s">
        <v>724</v>
      </c>
      <c r="C1886" s="488" t="s">
        <v>7086</v>
      </c>
      <c r="D1886" s="489" t="s">
        <v>7087</v>
      </c>
      <c r="E1886" s="487" t="s">
        <v>7088</v>
      </c>
      <c r="F1886" s="490">
        <v>8750</v>
      </c>
      <c r="G1886" s="489">
        <v>156</v>
      </c>
      <c r="H1886" s="489">
        <v>56.089739999999999</v>
      </c>
      <c r="I1886" s="487" t="s">
        <v>1499</v>
      </c>
      <c r="J1886" s="487" t="s">
        <v>726</v>
      </c>
    </row>
    <row r="1887" spans="1:10" ht="15" x14ac:dyDescent="0.2">
      <c r="A1887" s="486" t="s">
        <v>725</v>
      </c>
      <c r="B1887" s="487" t="s">
        <v>724</v>
      </c>
      <c r="C1887" s="488" t="s">
        <v>7089</v>
      </c>
      <c r="D1887" s="489" t="s">
        <v>7090</v>
      </c>
      <c r="E1887" s="487" t="s">
        <v>7091</v>
      </c>
      <c r="F1887" s="490">
        <v>13844</v>
      </c>
      <c r="G1887" s="489">
        <v>396.55</v>
      </c>
      <c r="H1887" s="489">
        <v>34.911110000000001</v>
      </c>
      <c r="I1887" s="487" t="s">
        <v>1499</v>
      </c>
      <c r="J1887" s="487" t="s">
        <v>726</v>
      </c>
    </row>
    <row r="1888" spans="1:10" ht="15" x14ac:dyDescent="0.2">
      <c r="A1888" s="486" t="s">
        <v>725</v>
      </c>
      <c r="B1888" s="487" t="s">
        <v>724</v>
      </c>
      <c r="C1888" s="488" t="s">
        <v>7092</v>
      </c>
      <c r="D1888" s="489" t="s">
        <v>7093</v>
      </c>
      <c r="E1888" s="487" t="s">
        <v>7094</v>
      </c>
      <c r="F1888" s="490">
        <v>463946</v>
      </c>
      <c r="G1888" s="489">
        <v>2936.94</v>
      </c>
      <c r="H1888" s="489">
        <v>157.96917999999999</v>
      </c>
      <c r="I1888" s="487" t="s">
        <v>1499</v>
      </c>
      <c r="J1888" s="487" t="s">
        <v>726</v>
      </c>
    </row>
    <row r="1889" spans="1:10" ht="15" x14ac:dyDescent="0.2">
      <c r="A1889" s="486" t="s">
        <v>725</v>
      </c>
      <c r="B1889" s="487" t="s">
        <v>724</v>
      </c>
      <c r="C1889" s="488" t="s">
        <v>7095</v>
      </c>
      <c r="D1889" s="489" t="s">
        <v>7096</v>
      </c>
      <c r="E1889" s="487" t="s">
        <v>7097</v>
      </c>
      <c r="F1889" s="490">
        <v>9063.6</v>
      </c>
      <c r="G1889" s="489">
        <v>342.99</v>
      </c>
      <c r="H1889" s="489">
        <v>26.425260000000002</v>
      </c>
      <c r="I1889" s="487" t="s">
        <v>1499</v>
      </c>
      <c r="J1889" s="487" t="s">
        <v>726</v>
      </c>
    </row>
    <row r="1890" spans="1:10" ht="15" x14ac:dyDescent="0.2">
      <c r="A1890" s="486" t="s">
        <v>725</v>
      </c>
      <c r="B1890" s="487" t="s">
        <v>724</v>
      </c>
      <c r="C1890" s="488" t="s">
        <v>7098</v>
      </c>
      <c r="D1890" s="489" t="s">
        <v>7099</v>
      </c>
      <c r="E1890" s="487" t="s">
        <v>7100</v>
      </c>
      <c r="F1890" s="490">
        <v>5525</v>
      </c>
      <c r="G1890" s="489">
        <v>119.41</v>
      </c>
      <c r="H1890" s="489">
        <v>46.269159999999999</v>
      </c>
      <c r="I1890" s="487" t="s">
        <v>1499</v>
      </c>
      <c r="J1890" s="487" t="s">
        <v>726</v>
      </c>
    </row>
    <row r="1891" spans="1:10" ht="15" x14ac:dyDescent="0.2">
      <c r="A1891" s="486" t="s">
        <v>725</v>
      </c>
      <c r="B1891" s="487" t="s">
        <v>724</v>
      </c>
      <c r="C1891" s="488" t="s">
        <v>7101</v>
      </c>
      <c r="D1891" s="489" t="s">
        <v>7102</v>
      </c>
      <c r="E1891" s="487" t="s">
        <v>7103</v>
      </c>
      <c r="F1891" s="490">
        <v>198000</v>
      </c>
      <c r="G1891" s="489">
        <v>2994.31</v>
      </c>
      <c r="H1891" s="489">
        <v>66.125420000000005</v>
      </c>
      <c r="I1891" s="487" t="s">
        <v>1499</v>
      </c>
      <c r="J1891" s="487" t="s">
        <v>726</v>
      </c>
    </row>
    <row r="1892" spans="1:10" ht="15" x14ac:dyDescent="0.2">
      <c r="A1892" s="486" t="s">
        <v>725</v>
      </c>
      <c r="B1892" s="487" t="s">
        <v>724</v>
      </c>
      <c r="C1892" s="488" t="s">
        <v>7104</v>
      </c>
      <c r="D1892" s="489" t="s">
        <v>7105</v>
      </c>
      <c r="E1892" s="487" t="s">
        <v>7106</v>
      </c>
      <c r="F1892" s="490">
        <v>54485</v>
      </c>
      <c r="G1892" s="489">
        <v>428.12</v>
      </c>
      <c r="H1892" s="489">
        <v>127.26572</v>
      </c>
      <c r="I1892" s="487" t="s">
        <v>1499</v>
      </c>
      <c r="J1892" s="487" t="s">
        <v>726</v>
      </c>
    </row>
    <row r="1893" spans="1:10" ht="15" x14ac:dyDescent="0.2">
      <c r="A1893" s="486" t="s">
        <v>725</v>
      </c>
      <c r="B1893" s="487" t="s">
        <v>724</v>
      </c>
      <c r="C1893" s="488" t="s">
        <v>7107</v>
      </c>
      <c r="D1893" s="489" t="s">
        <v>7108</v>
      </c>
      <c r="E1893" s="487" t="s">
        <v>7109</v>
      </c>
      <c r="F1893" s="490">
        <v>18000</v>
      </c>
      <c r="G1893" s="489">
        <v>119.6</v>
      </c>
      <c r="H1893" s="489">
        <v>150.50166999999999</v>
      </c>
      <c r="I1893" s="487" t="s">
        <v>1499</v>
      </c>
      <c r="J1893" s="487" t="s">
        <v>726</v>
      </c>
    </row>
    <row r="1894" spans="1:10" ht="15" x14ac:dyDescent="0.2">
      <c r="A1894" s="486" t="s">
        <v>725</v>
      </c>
      <c r="B1894" s="487" t="s">
        <v>724</v>
      </c>
      <c r="C1894" s="488" t="s">
        <v>7110</v>
      </c>
      <c r="D1894" s="489" t="s">
        <v>7111</v>
      </c>
      <c r="E1894" s="487" t="s">
        <v>7112</v>
      </c>
      <c r="F1894" s="490">
        <v>4180</v>
      </c>
      <c r="G1894" s="489">
        <v>135.18</v>
      </c>
      <c r="H1894" s="489">
        <v>30.92173</v>
      </c>
      <c r="I1894" s="487" t="s">
        <v>1499</v>
      </c>
      <c r="J1894" s="487" t="s">
        <v>726</v>
      </c>
    </row>
    <row r="1895" spans="1:10" ht="15" x14ac:dyDescent="0.2">
      <c r="A1895" s="486" t="s">
        <v>725</v>
      </c>
      <c r="B1895" s="487" t="s">
        <v>724</v>
      </c>
      <c r="C1895" s="488" t="s">
        <v>7113</v>
      </c>
      <c r="D1895" s="489" t="s">
        <v>7114</v>
      </c>
      <c r="E1895" s="487" t="s">
        <v>7115</v>
      </c>
      <c r="F1895" s="490">
        <v>9985</v>
      </c>
      <c r="G1895" s="489">
        <v>400.95</v>
      </c>
      <c r="H1895" s="489">
        <v>24.90335</v>
      </c>
      <c r="I1895" s="487" t="s">
        <v>1499</v>
      </c>
      <c r="J1895" s="487" t="s">
        <v>726</v>
      </c>
    </row>
    <row r="1896" spans="1:10" ht="15" x14ac:dyDescent="0.2">
      <c r="A1896" s="486" t="s">
        <v>725</v>
      </c>
      <c r="B1896" s="487" t="s">
        <v>724</v>
      </c>
      <c r="C1896" s="488" t="s">
        <v>7116</v>
      </c>
      <c r="D1896" s="489" t="s">
        <v>7117</v>
      </c>
      <c r="E1896" s="487" t="s">
        <v>7118</v>
      </c>
      <c r="F1896" s="490">
        <v>0</v>
      </c>
      <c r="G1896" s="489">
        <v>50.76</v>
      </c>
      <c r="H1896" s="489">
        <v>0</v>
      </c>
      <c r="I1896" s="487" t="s">
        <v>1593</v>
      </c>
      <c r="J1896" s="487" t="s">
        <v>726</v>
      </c>
    </row>
    <row r="1897" spans="1:10" ht="15" x14ac:dyDescent="0.2">
      <c r="A1897" s="486" t="s">
        <v>725</v>
      </c>
      <c r="B1897" s="487" t="s">
        <v>724</v>
      </c>
      <c r="C1897" s="488" t="s">
        <v>7119</v>
      </c>
      <c r="D1897" s="489" t="s">
        <v>7120</v>
      </c>
      <c r="E1897" s="487" t="s">
        <v>7121</v>
      </c>
      <c r="F1897" s="490">
        <v>12366.9</v>
      </c>
      <c r="G1897" s="489">
        <v>324.95999999999998</v>
      </c>
      <c r="H1897" s="489">
        <v>38.05668</v>
      </c>
      <c r="I1897" s="487" t="s">
        <v>1499</v>
      </c>
      <c r="J1897" s="487" t="s">
        <v>726</v>
      </c>
    </row>
    <row r="1898" spans="1:10" ht="15" x14ac:dyDescent="0.2">
      <c r="A1898" s="486" t="s">
        <v>725</v>
      </c>
      <c r="B1898" s="487" t="s">
        <v>724</v>
      </c>
      <c r="C1898" s="488" t="s">
        <v>7122</v>
      </c>
      <c r="D1898" s="489" t="s">
        <v>7123</v>
      </c>
      <c r="E1898" s="487" t="s">
        <v>7124</v>
      </c>
      <c r="F1898" s="490">
        <v>63945</v>
      </c>
      <c r="G1898" s="489">
        <v>1084.32</v>
      </c>
      <c r="H1898" s="489">
        <v>58.972439999999999</v>
      </c>
      <c r="I1898" s="487" t="s">
        <v>1499</v>
      </c>
      <c r="J1898" s="487" t="s">
        <v>726</v>
      </c>
    </row>
    <row r="1899" spans="1:10" ht="15" x14ac:dyDescent="0.2">
      <c r="A1899" s="486" t="s">
        <v>725</v>
      </c>
      <c r="B1899" s="487" t="s">
        <v>724</v>
      </c>
      <c r="C1899" s="488" t="s">
        <v>7125</v>
      </c>
      <c r="D1899" s="489" t="s">
        <v>7126</v>
      </c>
      <c r="E1899" s="487" t="s">
        <v>7127</v>
      </c>
      <c r="F1899" s="490">
        <v>100</v>
      </c>
      <c r="G1899" s="489">
        <v>109.84</v>
      </c>
      <c r="H1899" s="489">
        <v>0.91042000000000001</v>
      </c>
      <c r="I1899" s="487" t="s">
        <v>1499</v>
      </c>
      <c r="J1899" s="487" t="s">
        <v>726</v>
      </c>
    </row>
    <row r="1900" spans="1:10" ht="15" x14ac:dyDescent="0.2">
      <c r="A1900" s="486" t="s">
        <v>725</v>
      </c>
      <c r="B1900" s="487" t="s">
        <v>724</v>
      </c>
      <c r="C1900" s="488" t="s">
        <v>7128</v>
      </c>
      <c r="D1900" s="489" t="s">
        <v>7129</v>
      </c>
      <c r="E1900" s="487" t="s">
        <v>7130</v>
      </c>
      <c r="F1900" s="490">
        <v>5428</v>
      </c>
      <c r="G1900" s="489">
        <v>224.67</v>
      </c>
      <c r="H1900" s="489">
        <v>24.159880000000001</v>
      </c>
      <c r="I1900" s="487" t="s">
        <v>1499</v>
      </c>
      <c r="J1900" s="487" t="s">
        <v>726</v>
      </c>
    </row>
    <row r="1901" spans="1:10" ht="15" x14ac:dyDescent="0.2">
      <c r="A1901" s="486" t="s">
        <v>725</v>
      </c>
      <c r="B1901" s="487" t="s">
        <v>724</v>
      </c>
      <c r="C1901" s="488" t="s">
        <v>7131</v>
      </c>
      <c r="D1901" s="489" t="s">
        <v>7132</v>
      </c>
      <c r="E1901" s="487" t="s">
        <v>7133</v>
      </c>
      <c r="F1901" s="490">
        <v>3600</v>
      </c>
      <c r="G1901" s="489">
        <v>108.67</v>
      </c>
      <c r="H1901" s="489">
        <v>33.12782</v>
      </c>
      <c r="I1901" s="487" t="s">
        <v>1499</v>
      </c>
      <c r="J1901" s="487" t="s">
        <v>726</v>
      </c>
    </row>
    <row r="1902" spans="1:10" ht="15" x14ac:dyDescent="0.2">
      <c r="A1902" s="486" t="s">
        <v>725</v>
      </c>
      <c r="B1902" s="487" t="s">
        <v>724</v>
      </c>
      <c r="C1902" s="488" t="s">
        <v>7134</v>
      </c>
      <c r="D1902" s="489" t="s">
        <v>7135</v>
      </c>
      <c r="E1902" s="487" t="s">
        <v>7136</v>
      </c>
      <c r="F1902" s="490">
        <v>7700</v>
      </c>
      <c r="G1902" s="489">
        <v>227.69</v>
      </c>
      <c r="H1902" s="489">
        <v>33.817909999999998</v>
      </c>
      <c r="I1902" s="487" t="s">
        <v>1499</v>
      </c>
      <c r="J1902" s="487" t="s">
        <v>726</v>
      </c>
    </row>
    <row r="1903" spans="1:10" ht="15" x14ac:dyDescent="0.2">
      <c r="A1903" s="486" t="s">
        <v>725</v>
      </c>
      <c r="B1903" s="487" t="s">
        <v>724</v>
      </c>
      <c r="C1903" s="488" t="s">
        <v>7137</v>
      </c>
      <c r="D1903" s="489" t="s">
        <v>7138</v>
      </c>
      <c r="E1903" s="487" t="s">
        <v>7139</v>
      </c>
      <c r="F1903" s="490">
        <v>37000</v>
      </c>
      <c r="G1903" s="489">
        <v>625.22</v>
      </c>
      <c r="H1903" s="489">
        <v>59.179169999999999</v>
      </c>
      <c r="I1903" s="487" t="s">
        <v>1499</v>
      </c>
      <c r="J1903" s="487" t="s">
        <v>726</v>
      </c>
    </row>
    <row r="1904" spans="1:10" ht="15" x14ac:dyDescent="0.2">
      <c r="A1904" s="486" t="s">
        <v>725</v>
      </c>
      <c r="B1904" s="487" t="s">
        <v>724</v>
      </c>
      <c r="C1904" s="488" t="s">
        <v>7140</v>
      </c>
      <c r="D1904" s="489" t="s">
        <v>7141</v>
      </c>
      <c r="E1904" s="487" t="s">
        <v>7142</v>
      </c>
      <c r="F1904" s="490">
        <v>30539</v>
      </c>
      <c r="G1904" s="489">
        <v>536.91</v>
      </c>
      <c r="H1904" s="489">
        <v>56.879179999999998</v>
      </c>
      <c r="I1904" s="487" t="s">
        <v>1499</v>
      </c>
      <c r="J1904" s="487" t="s">
        <v>726</v>
      </c>
    </row>
    <row r="1905" spans="1:10" ht="15" x14ac:dyDescent="0.2">
      <c r="A1905" s="486" t="s">
        <v>725</v>
      </c>
      <c r="B1905" s="487" t="s">
        <v>724</v>
      </c>
      <c r="C1905" s="488" t="s">
        <v>7143</v>
      </c>
      <c r="D1905" s="489" t="s">
        <v>7144</v>
      </c>
      <c r="E1905" s="487" t="s">
        <v>7145</v>
      </c>
      <c r="F1905" s="490">
        <v>934434</v>
      </c>
      <c r="G1905" s="489">
        <v>13731.58</v>
      </c>
      <c r="H1905" s="489">
        <v>68.05</v>
      </c>
      <c r="I1905" s="487" t="s">
        <v>1499</v>
      </c>
      <c r="J1905" s="487" t="s">
        <v>726</v>
      </c>
    </row>
    <row r="1906" spans="1:10" ht="15" x14ac:dyDescent="0.2">
      <c r="A1906" s="486" t="s">
        <v>725</v>
      </c>
      <c r="B1906" s="487" t="s">
        <v>724</v>
      </c>
      <c r="C1906" s="488" t="s">
        <v>7146</v>
      </c>
      <c r="D1906" s="489" t="s">
        <v>7147</v>
      </c>
      <c r="E1906" s="487" t="s">
        <v>7148</v>
      </c>
      <c r="F1906" s="490">
        <v>10933</v>
      </c>
      <c r="G1906" s="489">
        <v>158.52000000000001</v>
      </c>
      <c r="H1906" s="489">
        <v>68.969220000000007</v>
      </c>
      <c r="I1906" s="487" t="s">
        <v>1499</v>
      </c>
      <c r="J1906" s="487" t="s">
        <v>726</v>
      </c>
    </row>
    <row r="1907" spans="1:10" ht="15" x14ac:dyDescent="0.2">
      <c r="A1907" s="486" t="s">
        <v>725</v>
      </c>
      <c r="B1907" s="487" t="s">
        <v>724</v>
      </c>
      <c r="C1907" s="488" t="s">
        <v>7149</v>
      </c>
      <c r="D1907" s="489" t="s">
        <v>7150</v>
      </c>
      <c r="E1907" s="487" t="s">
        <v>7151</v>
      </c>
      <c r="F1907" s="490">
        <v>3250</v>
      </c>
      <c r="G1907" s="489">
        <v>138.97</v>
      </c>
      <c r="H1907" s="489">
        <v>23.386340000000001</v>
      </c>
      <c r="I1907" s="487" t="s">
        <v>1499</v>
      </c>
      <c r="J1907" s="487" t="s">
        <v>726</v>
      </c>
    </row>
    <row r="1908" spans="1:10" ht="15" x14ac:dyDescent="0.2">
      <c r="A1908" s="486" t="s">
        <v>725</v>
      </c>
      <c r="B1908" s="487" t="s">
        <v>724</v>
      </c>
      <c r="C1908" s="488" t="s">
        <v>7152</v>
      </c>
      <c r="D1908" s="489" t="s">
        <v>7153</v>
      </c>
      <c r="E1908" s="487" t="s">
        <v>7154</v>
      </c>
      <c r="F1908" s="490">
        <v>34000</v>
      </c>
      <c r="G1908" s="489">
        <v>677.17</v>
      </c>
      <c r="H1908" s="489">
        <v>50.208959999999998</v>
      </c>
      <c r="I1908" s="487" t="s">
        <v>1499</v>
      </c>
      <c r="J1908" s="487" t="s">
        <v>726</v>
      </c>
    </row>
    <row r="1909" spans="1:10" ht="15" x14ac:dyDescent="0.2">
      <c r="A1909" s="486" t="s">
        <v>725</v>
      </c>
      <c r="B1909" s="487" t="s">
        <v>724</v>
      </c>
      <c r="C1909" s="488" t="s">
        <v>7155</v>
      </c>
      <c r="D1909" s="489" t="s">
        <v>7156</v>
      </c>
      <c r="E1909" s="487" t="s">
        <v>7157</v>
      </c>
      <c r="F1909" s="490">
        <v>10927.25</v>
      </c>
      <c r="G1909" s="489">
        <v>484.17</v>
      </c>
      <c r="H1909" s="489">
        <v>22.569040000000001</v>
      </c>
      <c r="I1909" s="487" t="s">
        <v>1499</v>
      </c>
      <c r="J1909" s="487" t="s">
        <v>726</v>
      </c>
    </row>
    <row r="1910" spans="1:10" ht="15" x14ac:dyDescent="0.2">
      <c r="A1910" s="486" t="s">
        <v>725</v>
      </c>
      <c r="B1910" s="487" t="s">
        <v>724</v>
      </c>
      <c r="C1910" s="488" t="s">
        <v>7158</v>
      </c>
      <c r="D1910" s="489" t="s">
        <v>7159</v>
      </c>
      <c r="E1910" s="487" t="s">
        <v>7160</v>
      </c>
      <c r="F1910" s="490">
        <v>10800</v>
      </c>
      <c r="G1910" s="489">
        <v>288.13</v>
      </c>
      <c r="H1910" s="489">
        <v>37.483080000000001</v>
      </c>
      <c r="I1910" s="487" t="s">
        <v>1499</v>
      </c>
      <c r="J1910" s="487" t="s">
        <v>726</v>
      </c>
    </row>
    <row r="1911" spans="1:10" ht="15" x14ac:dyDescent="0.2">
      <c r="A1911" s="486" t="s">
        <v>725</v>
      </c>
      <c r="B1911" s="487" t="s">
        <v>724</v>
      </c>
      <c r="C1911" s="488" t="s">
        <v>7161</v>
      </c>
      <c r="D1911" s="489" t="s">
        <v>7162</v>
      </c>
      <c r="E1911" s="487" t="s">
        <v>7163</v>
      </c>
      <c r="F1911" s="490">
        <v>667545</v>
      </c>
      <c r="G1911" s="489">
        <v>4087.27</v>
      </c>
      <c r="H1911" s="489">
        <v>163.32294999999999</v>
      </c>
      <c r="I1911" s="487" t="s">
        <v>1499</v>
      </c>
      <c r="J1911" s="487" t="s">
        <v>726</v>
      </c>
    </row>
    <row r="1912" spans="1:10" ht="15" x14ac:dyDescent="0.2">
      <c r="A1912" s="486" t="s">
        <v>725</v>
      </c>
      <c r="B1912" s="487" t="s">
        <v>724</v>
      </c>
      <c r="C1912" s="488" t="s">
        <v>7164</v>
      </c>
      <c r="D1912" s="489" t="s">
        <v>7165</v>
      </c>
      <c r="E1912" s="487" t="s">
        <v>7166</v>
      </c>
      <c r="F1912" s="490">
        <v>0</v>
      </c>
      <c r="G1912" s="489">
        <v>47.46</v>
      </c>
      <c r="H1912" s="489">
        <v>0</v>
      </c>
      <c r="I1912" s="487" t="s">
        <v>1593</v>
      </c>
      <c r="J1912" s="487" t="s">
        <v>726</v>
      </c>
    </row>
    <row r="1913" spans="1:10" ht="15" x14ac:dyDescent="0.2">
      <c r="A1913" s="486" t="s">
        <v>725</v>
      </c>
      <c r="B1913" s="487" t="s">
        <v>724</v>
      </c>
      <c r="C1913" s="488" t="s">
        <v>7167</v>
      </c>
      <c r="D1913" s="489" t="s">
        <v>7168</v>
      </c>
      <c r="E1913" s="487" t="s">
        <v>7169</v>
      </c>
      <c r="F1913" s="490">
        <v>24000</v>
      </c>
      <c r="G1913" s="489">
        <v>408.97</v>
      </c>
      <c r="H1913" s="489">
        <v>58.684010000000001</v>
      </c>
      <c r="I1913" s="487" t="s">
        <v>1499</v>
      </c>
      <c r="J1913" s="487" t="s">
        <v>726</v>
      </c>
    </row>
    <row r="1914" spans="1:10" ht="15" x14ac:dyDescent="0.2">
      <c r="A1914" s="486" t="s">
        <v>725</v>
      </c>
      <c r="B1914" s="487" t="s">
        <v>724</v>
      </c>
      <c r="C1914" s="488" t="s">
        <v>7170</v>
      </c>
      <c r="D1914" s="489" t="s">
        <v>7171</v>
      </c>
      <c r="E1914" s="487" t="s">
        <v>7172</v>
      </c>
      <c r="F1914" s="490">
        <v>14000</v>
      </c>
      <c r="G1914" s="489">
        <v>231.33</v>
      </c>
      <c r="H1914" s="489">
        <v>60.519599999999997</v>
      </c>
      <c r="I1914" s="487" t="s">
        <v>1499</v>
      </c>
      <c r="J1914" s="487" t="s">
        <v>726</v>
      </c>
    </row>
    <row r="1915" spans="1:10" ht="15" x14ac:dyDescent="0.2">
      <c r="A1915" s="486" t="s">
        <v>725</v>
      </c>
      <c r="B1915" s="487" t="s">
        <v>724</v>
      </c>
      <c r="C1915" s="488" t="s">
        <v>7173</v>
      </c>
      <c r="D1915" s="489" t="s">
        <v>7174</v>
      </c>
      <c r="E1915" s="487" t="s">
        <v>7175</v>
      </c>
      <c r="F1915" s="490">
        <v>56000</v>
      </c>
      <c r="G1915" s="489">
        <v>969.24</v>
      </c>
      <c r="H1915" s="489">
        <v>57.777230000000003</v>
      </c>
      <c r="I1915" s="487" t="s">
        <v>1499</v>
      </c>
      <c r="J1915" s="487" t="s">
        <v>726</v>
      </c>
    </row>
    <row r="1916" spans="1:10" ht="15" x14ac:dyDescent="0.2">
      <c r="A1916" s="486" t="s">
        <v>725</v>
      </c>
      <c r="B1916" s="487" t="s">
        <v>724</v>
      </c>
      <c r="C1916" s="488" t="s">
        <v>7176</v>
      </c>
      <c r="D1916" s="489" t="s">
        <v>7177</v>
      </c>
      <c r="E1916" s="487" t="s">
        <v>7178</v>
      </c>
      <c r="F1916" s="490">
        <v>11070</v>
      </c>
      <c r="G1916" s="489">
        <v>299.33999999999997</v>
      </c>
      <c r="H1916" s="489">
        <v>36.981360000000002</v>
      </c>
      <c r="I1916" s="487" t="s">
        <v>1499</v>
      </c>
      <c r="J1916" s="487" t="s">
        <v>726</v>
      </c>
    </row>
    <row r="1917" spans="1:10" ht="15" x14ac:dyDescent="0.2">
      <c r="A1917" s="486" t="s">
        <v>725</v>
      </c>
      <c r="B1917" s="487" t="s">
        <v>724</v>
      </c>
      <c r="C1917" s="488" t="s">
        <v>7179</v>
      </c>
      <c r="D1917" s="489" t="s">
        <v>7180</v>
      </c>
      <c r="E1917" s="487" t="s">
        <v>7181</v>
      </c>
      <c r="F1917" s="490">
        <v>4900</v>
      </c>
      <c r="G1917" s="489">
        <v>78.98</v>
      </c>
      <c r="H1917" s="489">
        <v>62.041020000000003</v>
      </c>
      <c r="I1917" s="487" t="s">
        <v>1499</v>
      </c>
      <c r="J1917" s="487" t="s">
        <v>726</v>
      </c>
    </row>
    <row r="1918" spans="1:10" ht="15" x14ac:dyDescent="0.2">
      <c r="A1918" s="486" t="s">
        <v>725</v>
      </c>
      <c r="B1918" s="487" t="s">
        <v>724</v>
      </c>
      <c r="C1918" s="488" t="s">
        <v>7182</v>
      </c>
      <c r="D1918" s="489" t="s">
        <v>7183</v>
      </c>
      <c r="E1918" s="487" t="s">
        <v>7184</v>
      </c>
      <c r="F1918" s="490">
        <v>12000</v>
      </c>
      <c r="G1918" s="489">
        <v>262.3</v>
      </c>
      <c r="H1918" s="489">
        <v>45.749139999999997</v>
      </c>
      <c r="I1918" s="487" t="s">
        <v>1499</v>
      </c>
      <c r="J1918" s="487" t="s">
        <v>726</v>
      </c>
    </row>
    <row r="1919" spans="1:10" ht="15" x14ac:dyDescent="0.2">
      <c r="A1919" s="486" t="s">
        <v>725</v>
      </c>
      <c r="B1919" s="487" t="s">
        <v>724</v>
      </c>
      <c r="C1919" s="488" t="s">
        <v>7185</v>
      </c>
      <c r="D1919" s="489" t="s">
        <v>7186</v>
      </c>
      <c r="E1919" s="487" t="s">
        <v>7187</v>
      </c>
      <c r="F1919" s="490">
        <v>0</v>
      </c>
      <c r="G1919" s="489">
        <v>29.55</v>
      </c>
      <c r="H1919" s="489">
        <v>0</v>
      </c>
      <c r="I1919" s="487" t="s">
        <v>1593</v>
      </c>
      <c r="J1919" s="487" t="s">
        <v>726</v>
      </c>
    </row>
    <row r="1920" spans="1:10" ht="15" x14ac:dyDescent="0.2">
      <c r="A1920" s="486" t="s">
        <v>725</v>
      </c>
      <c r="B1920" s="487" t="s">
        <v>724</v>
      </c>
      <c r="C1920" s="488" t="s">
        <v>7188</v>
      </c>
      <c r="D1920" s="489" t="s">
        <v>7189</v>
      </c>
      <c r="E1920" s="487" t="s">
        <v>7190</v>
      </c>
      <c r="F1920" s="490">
        <v>84076</v>
      </c>
      <c r="G1920" s="489">
        <v>984.23</v>
      </c>
      <c r="H1920" s="489">
        <v>85.423119999999997</v>
      </c>
      <c r="I1920" s="487" t="s">
        <v>1499</v>
      </c>
      <c r="J1920" s="487" t="s">
        <v>726</v>
      </c>
    </row>
    <row r="1921" spans="1:10" ht="15" x14ac:dyDescent="0.2">
      <c r="A1921" s="486" t="s">
        <v>725</v>
      </c>
      <c r="B1921" s="487" t="s">
        <v>724</v>
      </c>
      <c r="C1921" s="488" t="s">
        <v>7191</v>
      </c>
      <c r="D1921" s="489" t="s">
        <v>7192</v>
      </c>
      <c r="E1921" s="487" t="s">
        <v>7193</v>
      </c>
      <c r="F1921" s="490">
        <v>3000</v>
      </c>
      <c r="G1921" s="489">
        <v>90.95</v>
      </c>
      <c r="H1921" s="489">
        <v>32.98516</v>
      </c>
      <c r="I1921" s="487" t="s">
        <v>1499</v>
      </c>
      <c r="J1921" s="487" t="s">
        <v>726</v>
      </c>
    </row>
    <row r="1922" spans="1:10" ht="15" x14ac:dyDescent="0.2">
      <c r="A1922" s="486" t="s">
        <v>725</v>
      </c>
      <c r="B1922" s="487" t="s">
        <v>724</v>
      </c>
      <c r="C1922" s="488" t="s">
        <v>7194</v>
      </c>
      <c r="D1922" s="489" t="s">
        <v>7195</v>
      </c>
      <c r="E1922" s="487" t="s">
        <v>7196</v>
      </c>
      <c r="F1922" s="490">
        <v>9225</v>
      </c>
      <c r="G1922" s="489">
        <v>189.5</v>
      </c>
      <c r="H1922" s="489">
        <v>48.68074</v>
      </c>
      <c r="I1922" s="487" t="s">
        <v>1499</v>
      </c>
      <c r="J1922" s="487" t="s">
        <v>726</v>
      </c>
    </row>
    <row r="1923" spans="1:10" ht="15" x14ac:dyDescent="0.2">
      <c r="A1923" s="486" t="s">
        <v>725</v>
      </c>
      <c r="B1923" s="487" t="s">
        <v>724</v>
      </c>
      <c r="C1923" s="488" t="s">
        <v>7197</v>
      </c>
      <c r="D1923" s="489" t="s">
        <v>7198</v>
      </c>
      <c r="E1923" s="487" t="s">
        <v>7199</v>
      </c>
      <c r="F1923" s="490">
        <v>14852.52</v>
      </c>
      <c r="G1923" s="489">
        <v>335.73</v>
      </c>
      <c r="H1923" s="489">
        <v>44.23948</v>
      </c>
      <c r="I1923" s="487" t="s">
        <v>1499</v>
      </c>
      <c r="J1923" s="487" t="s">
        <v>726</v>
      </c>
    </row>
    <row r="1924" spans="1:10" ht="15" x14ac:dyDescent="0.2">
      <c r="A1924" s="486" t="s">
        <v>725</v>
      </c>
      <c r="B1924" s="487" t="s">
        <v>724</v>
      </c>
      <c r="C1924" s="488" t="s">
        <v>7200</v>
      </c>
      <c r="D1924" s="489" t="s">
        <v>7201</v>
      </c>
      <c r="E1924" s="487" t="s">
        <v>7202</v>
      </c>
      <c r="F1924" s="490">
        <v>319330</v>
      </c>
      <c r="G1924" s="489">
        <v>3016.53</v>
      </c>
      <c r="H1924" s="489">
        <v>105.86004</v>
      </c>
      <c r="I1924" s="487" t="s">
        <v>1499</v>
      </c>
      <c r="J1924" s="487" t="s">
        <v>726</v>
      </c>
    </row>
    <row r="1925" spans="1:10" ht="15" x14ac:dyDescent="0.2">
      <c r="A1925" s="486" t="s">
        <v>725</v>
      </c>
      <c r="B1925" s="487" t="s">
        <v>724</v>
      </c>
      <c r="C1925" s="488" t="s">
        <v>7203</v>
      </c>
      <c r="D1925" s="489" t="s">
        <v>7204</v>
      </c>
      <c r="E1925" s="487" t="s">
        <v>7205</v>
      </c>
      <c r="F1925" s="490">
        <v>14656</v>
      </c>
      <c r="G1925" s="489">
        <v>345.95</v>
      </c>
      <c r="H1925" s="489">
        <v>42.3645</v>
      </c>
      <c r="I1925" s="487" t="s">
        <v>1499</v>
      </c>
      <c r="J1925" s="487" t="s">
        <v>726</v>
      </c>
    </row>
    <row r="1926" spans="1:10" ht="15" x14ac:dyDescent="0.2">
      <c r="A1926" s="486" t="s">
        <v>725</v>
      </c>
      <c r="B1926" s="487" t="s">
        <v>724</v>
      </c>
      <c r="C1926" s="488" t="s">
        <v>7206</v>
      </c>
      <c r="D1926" s="489" t="s">
        <v>7207</v>
      </c>
      <c r="E1926" s="487" t="s">
        <v>7208</v>
      </c>
      <c r="F1926" s="490">
        <v>5115</v>
      </c>
      <c r="G1926" s="489">
        <v>257.54000000000002</v>
      </c>
      <c r="H1926" s="489">
        <v>19.860990000000001</v>
      </c>
      <c r="I1926" s="487" t="s">
        <v>1499</v>
      </c>
      <c r="J1926" s="487" t="s">
        <v>726</v>
      </c>
    </row>
    <row r="1927" spans="1:10" ht="15" x14ac:dyDescent="0.2">
      <c r="A1927" s="486" t="s">
        <v>725</v>
      </c>
      <c r="B1927" s="487" t="s">
        <v>724</v>
      </c>
      <c r="C1927" s="488" t="s">
        <v>7209</v>
      </c>
      <c r="D1927" s="489" t="s">
        <v>7210</v>
      </c>
      <c r="E1927" s="487" t="s">
        <v>7211</v>
      </c>
      <c r="F1927" s="490">
        <v>7350</v>
      </c>
      <c r="G1927" s="489">
        <v>136.07</v>
      </c>
      <c r="H1927" s="489">
        <v>54.01632</v>
      </c>
      <c r="I1927" s="487" t="s">
        <v>1499</v>
      </c>
      <c r="J1927" s="487" t="s">
        <v>726</v>
      </c>
    </row>
    <row r="1928" spans="1:10" ht="15" x14ac:dyDescent="0.2">
      <c r="A1928" s="486" t="s">
        <v>725</v>
      </c>
      <c r="B1928" s="487" t="s">
        <v>724</v>
      </c>
      <c r="C1928" s="488" t="s">
        <v>7212</v>
      </c>
      <c r="D1928" s="489" t="s">
        <v>7213</v>
      </c>
      <c r="E1928" s="487" t="s">
        <v>7214</v>
      </c>
      <c r="F1928" s="490">
        <v>11700</v>
      </c>
      <c r="G1928" s="489">
        <v>200.25</v>
      </c>
      <c r="H1928" s="489">
        <v>58.426969999999997</v>
      </c>
      <c r="I1928" s="487" t="s">
        <v>1499</v>
      </c>
      <c r="J1928" s="487" t="s">
        <v>726</v>
      </c>
    </row>
    <row r="1929" spans="1:10" ht="15" x14ac:dyDescent="0.2">
      <c r="A1929" s="486" t="s">
        <v>725</v>
      </c>
      <c r="B1929" s="487" t="s">
        <v>724</v>
      </c>
      <c r="C1929" s="488" t="s">
        <v>7215</v>
      </c>
      <c r="D1929" s="489" t="s">
        <v>7216</v>
      </c>
      <c r="E1929" s="487" t="s">
        <v>7217</v>
      </c>
      <c r="F1929" s="490">
        <v>42000</v>
      </c>
      <c r="G1929" s="489">
        <v>384.32</v>
      </c>
      <c r="H1929" s="489">
        <v>109.28393</v>
      </c>
      <c r="I1929" s="487" t="s">
        <v>1499</v>
      </c>
      <c r="J1929" s="487" t="s">
        <v>726</v>
      </c>
    </row>
    <row r="1930" spans="1:10" ht="15" x14ac:dyDescent="0.2">
      <c r="A1930" s="486" t="s">
        <v>725</v>
      </c>
      <c r="B1930" s="487" t="s">
        <v>724</v>
      </c>
      <c r="C1930" s="488" t="s">
        <v>7218</v>
      </c>
      <c r="D1930" s="489" t="s">
        <v>7219</v>
      </c>
      <c r="E1930" s="487" t="s">
        <v>5789</v>
      </c>
      <c r="F1930" s="490">
        <v>466748</v>
      </c>
      <c r="G1930" s="489">
        <v>3499.17</v>
      </c>
      <c r="H1930" s="489">
        <v>133.38820000000001</v>
      </c>
      <c r="I1930" s="487" t="s">
        <v>1499</v>
      </c>
      <c r="J1930" s="487" t="s">
        <v>726</v>
      </c>
    </row>
    <row r="1931" spans="1:10" ht="15" x14ac:dyDescent="0.2">
      <c r="A1931" s="486" t="s">
        <v>725</v>
      </c>
      <c r="B1931" s="487" t="s">
        <v>724</v>
      </c>
      <c r="C1931" s="488" t="s">
        <v>7220</v>
      </c>
      <c r="D1931" s="489" t="s">
        <v>7221</v>
      </c>
      <c r="E1931" s="487" t="s">
        <v>6699</v>
      </c>
      <c r="F1931" s="490">
        <v>1600</v>
      </c>
      <c r="G1931" s="489">
        <v>91.81</v>
      </c>
      <c r="H1931" s="489">
        <v>17.427299999999999</v>
      </c>
      <c r="I1931" s="487" t="s">
        <v>1499</v>
      </c>
      <c r="J1931" s="487" t="s">
        <v>726</v>
      </c>
    </row>
    <row r="1932" spans="1:10" ht="15" x14ac:dyDescent="0.2">
      <c r="A1932" s="486" t="s">
        <v>725</v>
      </c>
      <c r="B1932" s="487" t="s">
        <v>724</v>
      </c>
      <c r="C1932" s="488" t="s">
        <v>7222</v>
      </c>
      <c r="D1932" s="489" t="s">
        <v>7223</v>
      </c>
      <c r="E1932" s="487" t="s">
        <v>7224</v>
      </c>
      <c r="F1932" s="490">
        <v>8000</v>
      </c>
      <c r="G1932" s="489">
        <v>305.74</v>
      </c>
      <c r="H1932" s="489">
        <v>26.16602</v>
      </c>
      <c r="I1932" s="487" t="s">
        <v>1499</v>
      </c>
      <c r="J1932" s="487" t="s">
        <v>726</v>
      </c>
    </row>
    <row r="1933" spans="1:10" ht="15" x14ac:dyDescent="0.2">
      <c r="A1933" s="486" t="s">
        <v>725</v>
      </c>
      <c r="B1933" s="487" t="s">
        <v>724</v>
      </c>
      <c r="C1933" s="488" t="s">
        <v>7225</v>
      </c>
      <c r="D1933" s="489" t="s">
        <v>7226</v>
      </c>
      <c r="E1933" s="487" t="s">
        <v>7227</v>
      </c>
      <c r="F1933" s="490">
        <v>778015</v>
      </c>
      <c r="G1933" s="489">
        <v>7345.67</v>
      </c>
      <c r="H1933" s="489">
        <v>105.91477999999999</v>
      </c>
      <c r="I1933" s="487" t="s">
        <v>1499</v>
      </c>
      <c r="J1933" s="487" t="s">
        <v>726</v>
      </c>
    </row>
    <row r="1934" spans="1:10" ht="15" x14ac:dyDescent="0.2">
      <c r="A1934" s="486" t="s">
        <v>725</v>
      </c>
      <c r="B1934" s="487" t="s">
        <v>724</v>
      </c>
      <c r="C1934" s="488" t="s">
        <v>7228</v>
      </c>
      <c r="D1934" s="489" t="s">
        <v>7229</v>
      </c>
      <c r="E1934" s="487" t="s">
        <v>7230</v>
      </c>
      <c r="F1934" s="490">
        <v>4500</v>
      </c>
      <c r="G1934" s="489">
        <v>114.46</v>
      </c>
      <c r="H1934" s="489">
        <v>39.315040000000003</v>
      </c>
      <c r="I1934" s="487" t="s">
        <v>1499</v>
      </c>
      <c r="J1934" s="487" t="s">
        <v>726</v>
      </c>
    </row>
    <row r="1935" spans="1:10" ht="15" x14ac:dyDescent="0.2">
      <c r="A1935" s="486" t="s">
        <v>725</v>
      </c>
      <c r="B1935" s="487" t="s">
        <v>724</v>
      </c>
      <c r="C1935" s="488" t="s">
        <v>7231</v>
      </c>
      <c r="D1935" s="489" t="s">
        <v>7232</v>
      </c>
      <c r="E1935" s="487" t="s">
        <v>7233</v>
      </c>
      <c r="F1935" s="490">
        <v>17984.400000000001</v>
      </c>
      <c r="G1935" s="489">
        <v>359.2</v>
      </c>
      <c r="H1935" s="489">
        <v>50.067929999999997</v>
      </c>
      <c r="I1935" s="487" t="s">
        <v>1499</v>
      </c>
      <c r="J1935" s="487" t="s">
        <v>726</v>
      </c>
    </row>
    <row r="1936" spans="1:10" ht="15" x14ac:dyDescent="0.2">
      <c r="A1936" s="486" t="s">
        <v>725</v>
      </c>
      <c r="B1936" s="487" t="s">
        <v>724</v>
      </c>
      <c r="C1936" s="488" t="s">
        <v>7234</v>
      </c>
      <c r="D1936" s="489" t="s">
        <v>7235</v>
      </c>
      <c r="E1936" s="487" t="s">
        <v>7236</v>
      </c>
      <c r="F1936" s="490">
        <v>11000</v>
      </c>
      <c r="G1936" s="489">
        <v>247.04</v>
      </c>
      <c r="H1936" s="489">
        <v>44.527200000000001</v>
      </c>
      <c r="I1936" s="487" t="s">
        <v>1499</v>
      </c>
      <c r="J1936" s="487" t="s">
        <v>726</v>
      </c>
    </row>
    <row r="1937" spans="1:10" ht="15" x14ac:dyDescent="0.2">
      <c r="A1937" s="486" t="s">
        <v>725</v>
      </c>
      <c r="B1937" s="487" t="s">
        <v>724</v>
      </c>
      <c r="C1937" s="488" t="s">
        <v>7237</v>
      </c>
      <c r="D1937" s="489" t="s">
        <v>7238</v>
      </c>
      <c r="E1937" s="487" t="s">
        <v>7239</v>
      </c>
      <c r="F1937" s="490">
        <v>9200</v>
      </c>
      <c r="G1937" s="489">
        <v>253.09</v>
      </c>
      <c r="H1937" s="489">
        <v>36.350709999999999</v>
      </c>
      <c r="I1937" s="487" t="s">
        <v>1499</v>
      </c>
      <c r="J1937" s="487" t="s">
        <v>726</v>
      </c>
    </row>
    <row r="1938" spans="1:10" ht="15" x14ac:dyDescent="0.2">
      <c r="A1938" s="486" t="s">
        <v>725</v>
      </c>
      <c r="B1938" s="487" t="s">
        <v>724</v>
      </c>
      <c r="C1938" s="488" t="s">
        <v>7240</v>
      </c>
      <c r="D1938" s="489" t="s">
        <v>7241</v>
      </c>
      <c r="E1938" s="487" t="s">
        <v>7242</v>
      </c>
      <c r="F1938" s="490">
        <v>62520</v>
      </c>
      <c r="G1938" s="489">
        <v>938.93</v>
      </c>
      <c r="H1938" s="489">
        <v>66.586429999999993</v>
      </c>
      <c r="I1938" s="487" t="s">
        <v>1499</v>
      </c>
      <c r="J1938" s="487" t="s">
        <v>726</v>
      </c>
    </row>
    <row r="1939" spans="1:10" ht="15" x14ac:dyDescent="0.2">
      <c r="A1939" s="486" t="s">
        <v>725</v>
      </c>
      <c r="B1939" s="487" t="s">
        <v>724</v>
      </c>
      <c r="C1939" s="488" t="s">
        <v>7243</v>
      </c>
      <c r="D1939" s="489" t="s">
        <v>7244</v>
      </c>
      <c r="E1939" s="487" t="s">
        <v>7245</v>
      </c>
      <c r="F1939" s="490">
        <v>14000</v>
      </c>
      <c r="G1939" s="489">
        <v>352.83</v>
      </c>
      <c r="H1939" s="489">
        <v>39.679169999999999</v>
      </c>
      <c r="I1939" s="487" t="s">
        <v>1499</v>
      </c>
      <c r="J1939" s="487" t="s">
        <v>726</v>
      </c>
    </row>
    <row r="1940" spans="1:10" ht="15" x14ac:dyDescent="0.2">
      <c r="A1940" s="486" t="s">
        <v>725</v>
      </c>
      <c r="B1940" s="487" t="s">
        <v>724</v>
      </c>
      <c r="C1940" s="488" t="s">
        <v>7246</v>
      </c>
      <c r="D1940" s="489" t="s">
        <v>7247</v>
      </c>
      <c r="E1940" s="487" t="s">
        <v>7248</v>
      </c>
      <c r="F1940" s="490">
        <v>10539.97</v>
      </c>
      <c r="G1940" s="489">
        <v>229.63</v>
      </c>
      <c r="H1940" s="489">
        <v>45.899799999999999</v>
      </c>
      <c r="I1940" s="487" t="s">
        <v>1499</v>
      </c>
      <c r="J1940" s="487" t="s">
        <v>726</v>
      </c>
    </row>
    <row r="1941" spans="1:10" ht="15" x14ac:dyDescent="0.2">
      <c r="A1941" s="486" t="s">
        <v>725</v>
      </c>
      <c r="B1941" s="487" t="s">
        <v>724</v>
      </c>
      <c r="C1941" s="488" t="s">
        <v>7249</v>
      </c>
      <c r="D1941" s="489" t="s">
        <v>7250</v>
      </c>
      <c r="E1941" s="487" t="s">
        <v>7251</v>
      </c>
      <c r="F1941" s="490">
        <v>28443</v>
      </c>
      <c r="G1941" s="489">
        <v>746.41</v>
      </c>
      <c r="H1941" s="489">
        <v>38.106400000000001</v>
      </c>
      <c r="I1941" s="487" t="s">
        <v>1499</v>
      </c>
      <c r="J1941" s="487" t="s">
        <v>726</v>
      </c>
    </row>
    <row r="1942" spans="1:10" ht="15" x14ac:dyDescent="0.2">
      <c r="A1942" s="486" t="s">
        <v>725</v>
      </c>
      <c r="B1942" s="487" t="s">
        <v>724</v>
      </c>
      <c r="C1942" s="488" t="s">
        <v>7252</v>
      </c>
      <c r="D1942" s="489" t="s">
        <v>7253</v>
      </c>
      <c r="E1942" s="487" t="s">
        <v>7254</v>
      </c>
      <c r="F1942" s="490">
        <v>7500</v>
      </c>
      <c r="G1942" s="489">
        <v>148.96</v>
      </c>
      <c r="H1942" s="489">
        <v>50.349089999999997</v>
      </c>
      <c r="I1942" s="487" t="s">
        <v>1499</v>
      </c>
      <c r="J1942" s="487" t="s">
        <v>726</v>
      </c>
    </row>
    <row r="1943" spans="1:10" ht="15" x14ac:dyDescent="0.2">
      <c r="A1943" s="486" t="s">
        <v>725</v>
      </c>
      <c r="B1943" s="487" t="s">
        <v>724</v>
      </c>
      <c r="C1943" s="488" t="s">
        <v>7255</v>
      </c>
      <c r="D1943" s="489" t="s">
        <v>7256</v>
      </c>
      <c r="E1943" s="487" t="s">
        <v>7257</v>
      </c>
      <c r="F1943" s="490">
        <v>146080</v>
      </c>
      <c r="G1943" s="489">
        <v>1462.65</v>
      </c>
      <c r="H1943" s="489">
        <v>99.873519999999999</v>
      </c>
      <c r="I1943" s="487" t="s">
        <v>1499</v>
      </c>
      <c r="J1943" s="487" t="s">
        <v>726</v>
      </c>
    </row>
    <row r="1944" spans="1:10" ht="15" x14ac:dyDescent="0.2">
      <c r="A1944" s="486" t="s">
        <v>725</v>
      </c>
      <c r="B1944" s="487" t="s">
        <v>724</v>
      </c>
      <c r="C1944" s="488" t="s">
        <v>7258</v>
      </c>
      <c r="D1944" s="489" t="s">
        <v>7259</v>
      </c>
      <c r="E1944" s="487" t="s">
        <v>7260</v>
      </c>
      <c r="F1944" s="490">
        <v>7680</v>
      </c>
      <c r="G1944" s="489">
        <v>242.51</v>
      </c>
      <c r="H1944" s="489">
        <v>31.668800000000001</v>
      </c>
      <c r="I1944" s="487" t="s">
        <v>1499</v>
      </c>
      <c r="J1944" s="487" t="s">
        <v>726</v>
      </c>
    </row>
    <row r="1945" spans="1:10" ht="15" x14ac:dyDescent="0.2">
      <c r="A1945" s="486" t="s">
        <v>725</v>
      </c>
      <c r="B1945" s="487" t="s">
        <v>724</v>
      </c>
      <c r="C1945" s="488" t="s">
        <v>7261</v>
      </c>
      <c r="D1945" s="489" t="s">
        <v>7262</v>
      </c>
      <c r="E1945" s="487" t="s">
        <v>7263</v>
      </c>
      <c r="F1945" s="490">
        <v>51327.76</v>
      </c>
      <c r="G1945" s="489">
        <v>619.36</v>
      </c>
      <c r="H1945" s="489">
        <v>82.872259999999997</v>
      </c>
      <c r="I1945" s="487" t="s">
        <v>1499</v>
      </c>
      <c r="J1945" s="487" t="s">
        <v>726</v>
      </c>
    </row>
    <row r="1946" spans="1:10" ht="15" x14ac:dyDescent="0.2">
      <c r="A1946" s="486" t="s">
        <v>725</v>
      </c>
      <c r="B1946" s="487" t="s">
        <v>724</v>
      </c>
      <c r="C1946" s="488" t="s">
        <v>7264</v>
      </c>
      <c r="D1946" s="489" t="s">
        <v>7265</v>
      </c>
      <c r="E1946" s="487" t="s">
        <v>7266</v>
      </c>
      <c r="F1946" s="490">
        <v>669344.35</v>
      </c>
      <c r="G1946" s="489">
        <v>2614.3200000000002</v>
      </c>
      <c r="H1946" s="489">
        <v>256.02999999999997</v>
      </c>
      <c r="I1946" s="487" t="s">
        <v>1499</v>
      </c>
      <c r="J1946" s="487" t="s">
        <v>726</v>
      </c>
    </row>
    <row r="1947" spans="1:10" ht="15" x14ac:dyDescent="0.2">
      <c r="A1947" s="486" t="s">
        <v>725</v>
      </c>
      <c r="B1947" s="487" t="s">
        <v>724</v>
      </c>
      <c r="C1947" s="488" t="s">
        <v>7267</v>
      </c>
      <c r="D1947" s="489" t="s">
        <v>7268</v>
      </c>
      <c r="E1947" s="487" t="s">
        <v>7269</v>
      </c>
      <c r="F1947" s="490">
        <v>56875</v>
      </c>
      <c r="G1947" s="489">
        <v>1175.18</v>
      </c>
      <c r="H1947" s="489">
        <v>48.396839999999997</v>
      </c>
      <c r="I1947" s="487" t="s">
        <v>1499</v>
      </c>
      <c r="J1947" s="487" t="s">
        <v>726</v>
      </c>
    </row>
    <row r="1948" spans="1:10" ht="15" x14ac:dyDescent="0.2">
      <c r="A1948" s="486" t="s">
        <v>725</v>
      </c>
      <c r="B1948" s="487" t="s">
        <v>724</v>
      </c>
      <c r="C1948" s="488" t="s">
        <v>7270</v>
      </c>
      <c r="D1948" s="489" t="s">
        <v>7271</v>
      </c>
      <c r="E1948" s="487" t="s">
        <v>7272</v>
      </c>
      <c r="F1948" s="490">
        <v>21053.82</v>
      </c>
      <c r="G1948" s="489">
        <v>443.96</v>
      </c>
      <c r="H1948" s="489">
        <v>47.422789999999999</v>
      </c>
      <c r="I1948" s="487" t="s">
        <v>1499</v>
      </c>
      <c r="J1948" s="487" t="s">
        <v>726</v>
      </c>
    </row>
    <row r="1949" spans="1:10" ht="15" x14ac:dyDescent="0.2">
      <c r="A1949" s="486" t="s">
        <v>986</v>
      </c>
      <c r="B1949" s="487" t="s">
        <v>985</v>
      </c>
      <c r="C1949" s="488" t="s">
        <v>7273</v>
      </c>
      <c r="D1949" s="489" t="s">
        <v>7274</v>
      </c>
      <c r="E1949" s="487" t="s">
        <v>5901</v>
      </c>
      <c r="F1949" s="490">
        <v>85000</v>
      </c>
      <c r="G1949" s="489">
        <v>790.87</v>
      </c>
      <c r="H1949" s="489">
        <v>107.47658</v>
      </c>
      <c r="I1949" s="487" t="s">
        <v>1499</v>
      </c>
      <c r="J1949" s="487" t="s">
        <v>987</v>
      </c>
    </row>
    <row r="1950" spans="1:10" ht="15" x14ac:dyDescent="0.2">
      <c r="A1950" s="486" t="s">
        <v>986</v>
      </c>
      <c r="B1950" s="487" t="s">
        <v>985</v>
      </c>
      <c r="C1950" s="488" t="s">
        <v>7275</v>
      </c>
      <c r="D1950" s="489" t="s">
        <v>7276</v>
      </c>
      <c r="E1950" s="487" t="s">
        <v>7277</v>
      </c>
      <c r="F1950" s="490">
        <v>5200</v>
      </c>
      <c r="G1950" s="489">
        <v>120.2</v>
      </c>
      <c r="H1950" s="489">
        <v>43.261229999999998</v>
      </c>
      <c r="I1950" s="487" t="s">
        <v>1499</v>
      </c>
      <c r="J1950" s="487" t="s">
        <v>987</v>
      </c>
    </row>
    <row r="1951" spans="1:10" ht="15" x14ac:dyDescent="0.2">
      <c r="A1951" s="486" t="s">
        <v>986</v>
      </c>
      <c r="B1951" s="487" t="s">
        <v>985</v>
      </c>
      <c r="C1951" s="488" t="s">
        <v>7278</v>
      </c>
      <c r="D1951" s="489" t="s">
        <v>7279</v>
      </c>
      <c r="E1951" s="487" t="s">
        <v>7280</v>
      </c>
      <c r="F1951" s="490">
        <v>13000</v>
      </c>
      <c r="G1951" s="489">
        <v>469.81</v>
      </c>
      <c r="H1951" s="489">
        <v>27.670760000000001</v>
      </c>
      <c r="I1951" s="487" t="s">
        <v>1499</v>
      </c>
      <c r="J1951" s="487" t="s">
        <v>987</v>
      </c>
    </row>
    <row r="1952" spans="1:10" ht="15" x14ac:dyDescent="0.2">
      <c r="A1952" s="486" t="s">
        <v>986</v>
      </c>
      <c r="B1952" s="487" t="s">
        <v>985</v>
      </c>
      <c r="C1952" s="488" t="s">
        <v>7281</v>
      </c>
      <c r="D1952" s="489" t="s">
        <v>7282</v>
      </c>
      <c r="E1952" s="487" t="s">
        <v>7283</v>
      </c>
      <c r="F1952" s="490">
        <v>67750</v>
      </c>
      <c r="G1952" s="489">
        <v>752.88</v>
      </c>
      <c r="H1952" s="489">
        <v>89.987780000000001</v>
      </c>
      <c r="I1952" s="487" t="s">
        <v>1499</v>
      </c>
      <c r="J1952" s="487" t="s">
        <v>987</v>
      </c>
    </row>
    <row r="1953" spans="1:10" ht="15" x14ac:dyDescent="0.2">
      <c r="A1953" s="486" t="s">
        <v>986</v>
      </c>
      <c r="B1953" s="487" t="s">
        <v>985</v>
      </c>
      <c r="C1953" s="488" t="s">
        <v>7284</v>
      </c>
      <c r="D1953" s="489" t="s">
        <v>7285</v>
      </c>
      <c r="E1953" s="487" t="s">
        <v>7286</v>
      </c>
      <c r="F1953" s="490">
        <v>0</v>
      </c>
      <c r="G1953" s="489">
        <v>26.28</v>
      </c>
      <c r="H1953" s="489">
        <v>0</v>
      </c>
      <c r="I1953" s="487" t="s">
        <v>1593</v>
      </c>
      <c r="J1953" s="487" t="s">
        <v>987</v>
      </c>
    </row>
    <row r="1954" spans="1:10" ht="15" x14ac:dyDescent="0.2">
      <c r="A1954" s="486" t="s">
        <v>986</v>
      </c>
      <c r="B1954" s="487" t="s">
        <v>985</v>
      </c>
      <c r="C1954" s="488" t="s">
        <v>7287</v>
      </c>
      <c r="D1954" s="489" t="s">
        <v>7288</v>
      </c>
      <c r="E1954" s="487" t="s">
        <v>7289</v>
      </c>
      <c r="F1954" s="490">
        <v>34250</v>
      </c>
      <c r="G1954" s="489">
        <v>338.22</v>
      </c>
      <c r="H1954" s="489">
        <v>101.26545</v>
      </c>
      <c r="I1954" s="487" t="s">
        <v>1499</v>
      </c>
      <c r="J1954" s="487" t="s">
        <v>987</v>
      </c>
    </row>
    <row r="1955" spans="1:10" ht="15" x14ac:dyDescent="0.2">
      <c r="A1955" s="486" t="s">
        <v>986</v>
      </c>
      <c r="B1955" s="487" t="s">
        <v>985</v>
      </c>
      <c r="C1955" s="488" t="s">
        <v>7290</v>
      </c>
      <c r="D1955" s="489" t="s">
        <v>7291</v>
      </c>
      <c r="E1955" s="487" t="s">
        <v>7292</v>
      </c>
      <c r="F1955" s="490">
        <v>750</v>
      </c>
      <c r="G1955" s="489">
        <v>56.71</v>
      </c>
      <c r="H1955" s="489">
        <v>13.22518</v>
      </c>
      <c r="I1955" s="487" t="s">
        <v>1499</v>
      </c>
      <c r="J1955" s="487" t="s">
        <v>987</v>
      </c>
    </row>
    <row r="1956" spans="1:10" ht="15" x14ac:dyDescent="0.2">
      <c r="A1956" s="486" t="s">
        <v>986</v>
      </c>
      <c r="B1956" s="487" t="s">
        <v>985</v>
      </c>
      <c r="C1956" s="488" t="s">
        <v>7293</v>
      </c>
      <c r="D1956" s="489" t="s">
        <v>7294</v>
      </c>
      <c r="E1956" s="487" t="s">
        <v>7295</v>
      </c>
      <c r="F1956" s="490">
        <v>600</v>
      </c>
      <c r="G1956" s="489">
        <v>70.81</v>
      </c>
      <c r="H1956" s="489">
        <v>8.4733800000000006</v>
      </c>
      <c r="I1956" s="487" t="s">
        <v>1499</v>
      </c>
      <c r="J1956" s="487" t="s">
        <v>987</v>
      </c>
    </row>
    <row r="1957" spans="1:10" ht="15" x14ac:dyDescent="0.2">
      <c r="A1957" s="486" t="s">
        <v>986</v>
      </c>
      <c r="B1957" s="487" t="s">
        <v>985</v>
      </c>
      <c r="C1957" s="488" t="s">
        <v>7296</v>
      </c>
      <c r="D1957" s="489" t="s">
        <v>7297</v>
      </c>
      <c r="E1957" s="487" t="s">
        <v>7298</v>
      </c>
      <c r="F1957" s="490">
        <v>2000</v>
      </c>
      <c r="G1957" s="489">
        <v>92.67</v>
      </c>
      <c r="H1957" s="489">
        <v>21.581959999999999</v>
      </c>
      <c r="I1957" s="487" t="s">
        <v>1499</v>
      </c>
      <c r="J1957" s="487" t="s">
        <v>987</v>
      </c>
    </row>
    <row r="1958" spans="1:10" ht="15" x14ac:dyDescent="0.2">
      <c r="A1958" s="486" t="s">
        <v>986</v>
      </c>
      <c r="B1958" s="487" t="s">
        <v>985</v>
      </c>
      <c r="C1958" s="488" t="s">
        <v>7299</v>
      </c>
      <c r="D1958" s="489" t="s">
        <v>7300</v>
      </c>
      <c r="E1958" s="487" t="s">
        <v>7301</v>
      </c>
      <c r="F1958" s="490">
        <v>16320</v>
      </c>
      <c r="G1958" s="489">
        <v>260.98</v>
      </c>
      <c r="H1958" s="489">
        <v>62.533529999999999</v>
      </c>
      <c r="I1958" s="487" t="s">
        <v>1499</v>
      </c>
      <c r="J1958" s="487" t="s">
        <v>987</v>
      </c>
    </row>
    <row r="1959" spans="1:10" ht="15" x14ac:dyDescent="0.2">
      <c r="A1959" s="486" t="s">
        <v>986</v>
      </c>
      <c r="B1959" s="487" t="s">
        <v>985</v>
      </c>
      <c r="C1959" s="488" t="s">
        <v>7302</v>
      </c>
      <c r="D1959" s="489" t="s">
        <v>7303</v>
      </c>
      <c r="E1959" s="487" t="s">
        <v>7304</v>
      </c>
      <c r="F1959" s="490">
        <v>16150</v>
      </c>
      <c r="G1959" s="489">
        <v>319.14999999999998</v>
      </c>
      <c r="H1959" s="489">
        <v>50.603160000000003</v>
      </c>
      <c r="I1959" s="487" t="s">
        <v>1499</v>
      </c>
      <c r="J1959" s="487" t="s">
        <v>987</v>
      </c>
    </row>
    <row r="1960" spans="1:10" ht="15" x14ac:dyDescent="0.2">
      <c r="A1960" s="486" t="s">
        <v>986</v>
      </c>
      <c r="B1960" s="487" t="s">
        <v>985</v>
      </c>
      <c r="C1960" s="488" t="s">
        <v>7305</v>
      </c>
      <c r="D1960" s="489" t="s">
        <v>7306</v>
      </c>
      <c r="E1960" s="487" t="s">
        <v>7307</v>
      </c>
      <c r="F1960" s="490">
        <v>20540</v>
      </c>
      <c r="G1960" s="489">
        <v>399.89</v>
      </c>
      <c r="H1960" s="489">
        <v>51.364130000000003</v>
      </c>
      <c r="I1960" s="487" t="s">
        <v>1499</v>
      </c>
      <c r="J1960" s="487" t="s">
        <v>987</v>
      </c>
    </row>
    <row r="1961" spans="1:10" ht="15" x14ac:dyDescent="0.2">
      <c r="A1961" s="486" t="s">
        <v>986</v>
      </c>
      <c r="B1961" s="487" t="s">
        <v>985</v>
      </c>
      <c r="C1961" s="488" t="s">
        <v>7308</v>
      </c>
      <c r="D1961" s="489" t="s">
        <v>7309</v>
      </c>
      <c r="E1961" s="487" t="s">
        <v>7310</v>
      </c>
      <c r="F1961" s="490">
        <v>0</v>
      </c>
      <c r="G1961" s="489">
        <v>27.8</v>
      </c>
      <c r="H1961" s="489">
        <v>0</v>
      </c>
      <c r="I1961" s="487" t="s">
        <v>1593</v>
      </c>
      <c r="J1961" s="487" t="s">
        <v>987</v>
      </c>
    </row>
    <row r="1962" spans="1:10" ht="15" x14ac:dyDescent="0.2">
      <c r="A1962" s="486" t="s">
        <v>986</v>
      </c>
      <c r="B1962" s="487" t="s">
        <v>985</v>
      </c>
      <c r="C1962" s="488" t="s">
        <v>7311</v>
      </c>
      <c r="D1962" s="489" t="s">
        <v>7312</v>
      </c>
      <c r="E1962" s="487" t="s">
        <v>7313</v>
      </c>
      <c r="F1962" s="490">
        <v>1846</v>
      </c>
      <c r="G1962" s="489">
        <v>57.92</v>
      </c>
      <c r="H1962" s="489">
        <v>31.871549999999999</v>
      </c>
      <c r="I1962" s="487" t="s">
        <v>1499</v>
      </c>
      <c r="J1962" s="487" t="s">
        <v>987</v>
      </c>
    </row>
    <row r="1963" spans="1:10" ht="15" x14ac:dyDescent="0.2">
      <c r="A1963" s="486" t="s">
        <v>986</v>
      </c>
      <c r="B1963" s="487" t="s">
        <v>985</v>
      </c>
      <c r="C1963" s="488" t="s">
        <v>7314</v>
      </c>
      <c r="D1963" s="489" t="s">
        <v>7315</v>
      </c>
      <c r="E1963" s="487" t="s">
        <v>7316</v>
      </c>
      <c r="F1963" s="490">
        <v>11550</v>
      </c>
      <c r="G1963" s="489">
        <v>234.72</v>
      </c>
      <c r="H1963" s="489">
        <v>49.207569999999997</v>
      </c>
      <c r="I1963" s="487" t="s">
        <v>1499</v>
      </c>
      <c r="J1963" s="487" t="s">
        <v>987</v>
      </c>
    </row>
    <row r="1964" spans="1:10" ht="15" x14ac:dyDescent="0.2">
      <c r="A1964" s="486" t="s">
        <v>986</v>
      </c>
      <c r="B1964" s="487" t="s">
        <v>985</v>
      </c>
      <c r="C1964" s="488" t="s">
        <v>7317</v>
      </c>
      <c r="D1964" s="489" t="s">
        <v>7318</v>
      </c>
      <c r="E1964" s="487" t="s">
        <v>7319</v>
      </c>
      <c r="F1964" s="490">
        <v>6000</v>
      </c>
      <c r="G1964" s="489">
        <v>166.09</v>
      </c>
      <c r="H1964" s="489">
        <v>36.124989999999997</v>
      </c>
      <c r="I1964" s="487" t="s">
        <v>1499</v>
      </c>
      <c r="J1964" s="487" t="s">
        <v>987</v>
      </c>
    </row>
    <row r="1965" spans="1:10" ht="15" x14ac:dyDescent="0.2">
      <c r="A1965" s="486" t="s">
        <v>986</v>
      </c>
      <c r="B1965" s="487" t="s">
        <v>985</v>
      </c>
      <c r="C1965" s="488" t="s">
        <v>7320</v>
      </c>
      <c r="D1965" s="489" t="s">
        <v>7321</v>
      </c>
      <c r="E1965" s="487" t="s">
        <v>7322</v>
      </c>
      <c r="F1965" s="490">
        <v>13534</v>
      </c>
      <c r="G1965" s="489">
        <v>199.51</v>
      </c>
      <c r="H1965" s="489">
        <v>67.836200000000005</v>
      </c>
      <c r="I1965" s="487" t="s">
        <v>1499</v>
      </c>
      <c r="J1965" s="487" t="s">
        <v>987</v>
      </c>
    </row>
    <row r="1966" spans="1:10" ht="15" x14ac:dyDescent="0.2">
      <c r="A1966" s="486" t="s">
        <v>986</v>
      </c>
      <c r="B1966" s="487" t="s">
        <v>985</v>
      </c>
      <c r="C1966" s="488" t="s">
        <v>7323</v>
      </c>
      <c r="D1966" s="489" t="s">
        <v>7324</v>
      </c>
      <c r="E1966" s="487" t="s">
        <v>7325</v>
      </c>
      <c r="F1966" s="490">
        <v>35000</v>
      </c>
      <c r="G1966" s="489">
        <v>479.4</v>
      </c>
      <c r="H1966" s="489">
        <v>73.007930000000002</v>
      </c>
      <c r="I1966" s="487" t="s">
        <v>1499</v>
      </c>
      <c r="J1966" s="487" t="s">
        <v>987</v>
      </c>
    </row>
    <row r="1967" spans="1:10" ht="15" x14ac:dyDescent="0.2">
      <c r="A1967" s="486" t="s">
        <v>986</v>
      </c>
      <c r="B1967" s="487" t="s">
        <v>985</v>
      </c>
      <c r="C1967" s="488" t="s">
        <v>7326</v>
      </c>
      <c r="D1967" s="489" t="s">
        <v>7327</v>
      </c>
      <c r="E1967" s="487" t="s">
        <v>7328</v>
      </c>
      <c r="F1967" s="490">
        <v>510750</v>
      </c>
      <c r="G1967" s="489">
        <v>2794.9</v>
      </c>
      <c r="H1967" s="489">
        <v>182.74357000000001</v>
      </c>
      <c r="I1967" s="487" t="s">
        <v>1499</v>
      </c>
      <c r="J1967" s="487" t="s">
        <v>987</v>
      </c>
    </row>
    <row r="1968" spans="1:10" ht="15" x14ac:dyDescent="0.2">
      <c r="A1968" s="486" t="s">
        <v>986</v>
      </c>
      <c r="B1968" s="487" t="s">
        <v>985</v>
      </c>
      <c r="C1968" s="488" t="s">
        <v>7329</v>
      </c>
      <c r="D1968" s="489" t="s">
        <v>7330</v>
      </c>
      <c r="E1968" s="487" t="s">
        <v>7331</v>
      </c>
      <c r="F1968" s="490">
        <v>10578</v>
      </c>
      <c r="G1968" s="489">
        <v>554.21</v>
      </c>
      <c r="H1968" s="489">
        <v>19.08663</v>
      </c>
      <c r="I1968" s="487" t="s">
        <v>1499</v>
      </c>
      <c r="J1968" s="487" t="s">
        <v>987</v>
      </c>
    </row>
    <row r="1969" spans="1:10" ht="15" x14ac:dyDescent="0.2">
      <c r="A1969" s="486" t="s">
        <v>986</v>
      </c>
      <c r="B1969" s="487" t="s">
        <v>985</v>
      </c>
      <c r="C1969" s="488" t="s">
        <v>7332</v>
      </c>
      <c r="D1969" s="489" t="s">
        <v>7333</v>
      </c>
      <c r="E1969" s="487" t="s">
        <v>7334</v>
      </c>
      <c r="F1969" s="490">
        <v>5800</v>
      </c>
      <c r="G1969" s="489">
        <v>232.03</v>
      </c>
      <c r="H1969" s="489">
        <v>24.996770000000001</v>
      </c>
      <c r="I1969" s="487" t="s">
        <v>1499</v>
      </c>
      <c r="J1969" s="487" t="s">
        <v>987</v>
      </c>
    </row>
    <row r="1970" spans="1:10" ht="15" x14ac:dyDescent="0.2">
      <c r="A1970" s="486" t="s">
        <v>986</v>
      </c>
      <c r="B1970" s="487" t="s">
        <v>985</v>
      </c>
      <c r="C1970" s="488" t="s">
        <v>7335</v>
      </c>
      <c r="D1970" s="489" t="s">
        <v>7336</v>
      </c>
      <c r="E1970" s="487" t="s">
        <v>7337</v>
      </c>
      <c r="F1970" s="490">
        <v>553617</v>
      </c>
      <c r="G1970" s="489">
        <v>3730.29</v>
      </c>
      <c r="H1970" s="489">
        <v>148.41125</v>
      </c>
      <c r="I1970" s="487" t="s">
        <v>1499</v>
      </c>
      <c r="J1970" s="487" t="s">
        <v>987</v>
      </c>
    </row>
    <row r="1971" spans="1:10" ht="15" x14ac:dyDescent="0.2">
      <c r="A1971" s="486" t="s">
        <v>986</v>
      </c>
      <c r="B1971" s="487" t="s">
        <v>985</v>
      </c>
      <c r="C1971" s="488" t="s">
        <v>7338</v>
      </c>
      <c r="D1971" s="489" t="s">
        <v>7339</v>
      </c>
      <c r="E1971" s="487" t="s">
        <v>7340</v>
      </c>
      <c r="F1971" s="490">
        <v>61500</v>
      </c>
      <c r="G1971" s="489">
        <v>424.65</v>
      </c>
      <c r="H1971" s="489">
        <v>144.82515000000001</v>
      </c>
      <c r="I1971" s="487" t="s">
        <v>1499</v>
      </c>
      <c r="J1971" s="487" t="s">
        <v>987</v>
      </c>
    </row>
    <row r="1972" spans="1:10" ht="15" x14ac:dyDescent="0.2">
      <c r="A1972" s="486" t="s">
        <v>986</v>
      </c>
      <c r="B1972" s="487" t="s">
        <v>985</v>
      </c>
      <c r="C1972" s="488" t="s">
        <v>7341</v>
      </c>
      <c r="D1972" s="489" t="s">
        <v>7342</v>
      </c>
      <c r="E1972" s="487" t="s">
        <v>7343</v>
      </c>
      <c r="F1972" s="490">
        <v>4730</v>
      </c>
      <c r="G1972" s="489">
        <v>157.71</v>
      </c>
      <c r="H1972" s="489">
        <v>29.991759999999999</v>
      </c>
      <c r="I1972" s="487" t="s">
        <v>1499</v>
      </c>
      <c r="J1972" s="487" t="s">
        <v>987</v>
      </c>
    </row>
    <row r="1973" spans="1:10" ht="15" x14ac:dyDescent="0.2">
      <c r="A1973" s="486" t="s">
        <v>986</v>
      </c>
      <c r="B1973" s="487" t="s">
        <v>985</v>
      </c>
      <c r="C1973" s="488" t="s">
        <v>7344</v>
      </c>
      <c r="D1973" s="489" t="s">
        <v>7345</v>
      </c>
      <c r="E1973" s="487" t="s">
        <v>7346</v>
      </c>
      <c r="F1973" s="490">
        <v>0</v>
      </c>
      <c r="G1973" s="489">
        <v>34.56</v>
      </c>
      <c r="H1973" s="489">
        <v>0</v>
      </c>
      <c r="I1973" s="487" t="s">
        <v>1593</v>
      </c>
      <c r="J1973" s="487" t="s">
        <v>987</v>
      </c>
    </row>
    <row r="1974" spans="1:10" ht="15" x14ac:dyDescent="0.2">
      <c r="A1974" s="486" t="s">
        <v>986</v>
      </c>
      <c r="B1974" s="487" t="s">
        <v>985</v>
      </c>
      <c r="C1974" s="488" t="s">
        <v>7347</v>
      </c>
      <c r="D1974" s="489" t="s">
        <v>7348</v>
      </c>
      <c r="E1974" s="487" t="s">
        <v>7349</v>
      </c>
      <c r="F1974" s="490">
        <v>38900</v>
      </c>
      <c r="G1974" s="489">
        <v>654.78</v>
      </c>
      <c r="H1974" s="489">
        <v>59.409269999999999</v>
      </c>
      <c r="I1974" s="487" t="s">
        <v>1499</v>
      </c>
      <c r="J1974" s="487" t="s">
        <v>987</v>
      </c>
    </row>
    <row r="1975" spans="1:10" ht="15" x14ac:dyDescent="0.2">
      <c r="A1975" s="486" t="s">
        <v>986</v>
      </c>
      <c r="B1975" s="487" t="s">
        <v>985</v>
      </c>
      <c r="C1975" s="488" t="s">
        <v>7350</v>
      </c>
      <c r="D1975" s="489" t="s">
        <v>7351</v>
      </c>
      <c r="E1975" s="487" t="s">
        <v>7352</v>
      </c>
      <c r="F1975" s="490">
        <v>98000</v>
      </c>
      <c r="G1975" s="489">
        <v>911.38</v>
      </c>
      <c r="H1975" s="489">
        <v>107.52924</v>
      </c>
      <c r="I1975" s="487" t="s">
        <v>1499</v>
      </c>
      <c r="J1975" s="487" t="s">
        <v>987</v>
      </c>
    </row>
    <row r="1976" spans="1:10" ht="15" x14ac:dyDescent="0.2">
      <c r="A1976" s="486" t="s">
        <v>986</v>
      </c>
      <c r="B1976" s="487" t="s">
        <v>985</v>
      </c>
      <c r="C1976" s="488" t="s">
        <v>7353</v>
      </c>
      <c r="D1976" s="489" t="s">
        <v>7354</v>
      </c>
      <c r="E1976" s="487" t="s">
        <v>7355</v>
      </c>
      <c r="F1976" s="490">
        <v>2475</v>
      </c>
      <c r="G1976" s="489">
        <v>77.959999999999994</v>
      </c>
      <c r="H1976" s="489">
        <v>31.747050000000002</v>
      </c>
      <c r="I1976" s="487" t="s">
        <v>1499</v>
      </c>
      <c r="J1976" s="487" t="s">
        <v>987</v>
      </c>
    </row>
    <row r="1977" spans="1:10" ht="15" x14ac:dyDescent="0.2">
      <c r="A1977" s="486" t="s">
        <v>986</v>
      </c>
      <c r="B1977" s="487" t="s">
        <v>985</v>
      </c>
      <c r="C1977" s="488" t="s">
        <v>7356</v>
      </c>
      <c r="D1977" s="489" t="s">
        <v>7357</v>
      </c>
      <c r="E1977" s="487" t="s">
        <v>7358</v>
      </c>
      <c r="F1977" s="490">
        <v>2797</v>
      </c>
      <c r="G1977" s="489">
        <v>94.47</v>
      </c>
      <c r="H1977" s="489">
        <v>29.607279999999999</v>
      </c>
      <c r="I1977" s="487" t="s">
        <v>1499</v>
      </c>
      <c r="J1977" s="487" t="s">
        <v>987</v>
      </c>
    </row>
    <row r="1978" spans="1:10" ht="15" x14ac:dyDescent="0.2">
      <c r="A1978" s="486" t="s">
        <v>986</v>
      </c>
      <c r="B1978" s="487" t="s">
        <v>985</v>
      </c>
      <c r="C1978" s="488" t="s">
        <v>7359</v>
      </c>
      <c r="D1978" s="489" t="s">
        <v>7360</v>
      </c>
      <c r="E1978" s="487" t="s">
        <v>7361</v>
      </c>
      <c r="F1978" s="490">
        <v>12495</v>
      </c>
      <c r="G1978" s="489">
        <v>235.8</v>
      </c>
      <c r="H1978" s="489">
        <v>52.989820000000002</v>
      </c>
      <c r="I1978" s="487" t="s">
        <v>1499</v>
      </c>
      <c r="J1978" s="487" t="s">
        <v>987</v>
      </c>
    </row>
    <row r="1979" spans="1:10" ht="15" x14ac:dyDescent="0.2">
      <c r="A1979" s="486" t="s">
        <v>986</v>
      </c>
      <c r="B1979" s="487" t="s">
        <v>985</v>
      </c>
      <c r="C1979" s="488" t="s">
        <v>7362</v>
      </c>
      <c r="D1979" s="489" t="s">
        <v>7363</v>
      </c>
      <c r="E1979" s="487" t="s">
        <v>7364</v>
      </c>
      <c r="F1979" s="490">
        <v>2051</v>
      </c>
      <c r="G1979" s="489">
        <v>65.489999999999995</v>
      </c>
      <c r="H1979" s="489">
        <v>31.31776</v>
      </c>
      <c r="I1979" s="487" t="s">
        <v>1499</v>
      </c>
      <c r="J1979" s="487" t="s">
        <v>987</v>
      </c>
    </row>
    <row r="1980" spans="1:10" ht="15" x14ac:dyDescent="0.2">
      <c r="A1980" s="486" t="s">
        <v>986</v>
      </c>
      <c r="B1980" s="487" t="s">
        <v>985</v>
      </c>
      <c r="C1980" s="488" t="s">
        <v>7365</v>
      </c>
      <c r="D1980" s="489" t="s">
        <v>7366</v>
      </c>
      <c r="E1980" s="487" t="s">
        <v>7367</v>
      </c>
      <c r="F1980" s="490">
        <v>200</v>
      </c>
      <c r="G1980" s="489">
        <v>38.28</v>
      </c>
      <c r="H1980" s="489">
        <v>5.2246600000000001</v>
      </c>
      <c r="I1980" s="487" t="s">
        <v>1499</v>
      </c>
      <c r="J1980" s="487" t="s">
        <v>987</v>
      </c>
    </row>
    <row r="1981" spans="1:10" ht="15" x14ac:dyDescent="0.2">
      <c r="A1981" s="486" t="s">
        <v>986</v>
      </c>
      <c r="B1981" s="487" t="s">
        <v>985</v>
      </c>
      <c r="C1981" s="488" t="s">
        <v>7368</v>
      </c>
      <c r="D1981" s="489" t="s">
        <v>7369</v>
      </c>
      <c r="E1981" s="487" t="s">
        <v>7370</v>
      </c>
      <c r="F1981" s="490">
        <v>45000</v>
      </c>
      <c r="G1981" s="489">
        <v>395.59</v>
      </c>
      <c r="H1981" s="489">
        <v>113.75414000000001</v>
      </c>
      <c r="I1981" s="487" t="s">
        <v>1499</v>
      </c>
      <c r="J1981" s="487" t="s">
        <v>987</v>
      </c>
    </row>
    <row r="1982" spans="1:10" ht="15" x14ac:dyDescent="0.2">
      <c r="A1982" s="486" t="s">
        <v>986</v>
      </c>
      <c r="B1982" s="487" t="s">
        <v>985</v>
      </c>
      <c r="C1982" s="488" t="s">
        <v>7371</v>
      </c>
      <c r="D1982" s="489" t="s">
        <v>7372</v>
      </c>
      <c r="E1982" s="487" t="s">
        <v>7373</v>
      </c>
      <c r="F1982" s="490">
        <v>29000</v>
      </c>
      <c r="G1982" s="489">
        <v>402.33</v>
      </c>
      <c r="H1982" s="489">
        <v>72.080129999999997</v>
      </c>
      <c r="I1982" s="487" t="s">
        <v>1499</v>
      </c>
      <c r="J1982" s="487" t="s">
        <v>987</v>
      </c>
    </row>
    <row r="1983" spans="1:10" ht="15" x14ac:dyDescent="0.2">
      <c r="A1983" s="486" t="s">
        <v>986</v>
      </c>
      <c r="B1983" s="487" t="s">
        <v>985</v>
      </c>
      <c r="C1983" s="488" t="s">
        <v>7374</v>
      </c>
      <c r="D1983" s="489" t="s">
        <v>7375</v>
      </c>
      <c r="E1983" s="487" t="s">
        <v>7376</v>
      </c>
      <c r="F1983" s="490">
        <v>0</v>
      </c>
      <c r="G1983" s="489">
        <v>81.22</v>
      </c>
      <c r="H1983" s="489">
        <v>0</v>
      </c>
      <c r="I1983" s="487" t="s">
        <v>1593</v>
      </c>
      <c r="J1983" s="487" t="s">
        <v>987</v>
      </c>
    </row>
    <row r="1984" spans="1:10" ht="15" x14ac:dyDescent="0.2">
      <c r="A1984" s="486" t="s">
        <v>986</v>
      </c>
      <c r="B1984" s="487" t="s">
        <v>985</v>
      </c>
      <c r="C1984" s="488" t="s">
        <v>7377</v>
      </c>
      <c r="D1984" s="489" t="s">
        <v>7378</v>
      </c>
      <c r="E1984" s="487" t="s">
        <v>7379</v>
      </c>
      <c r="F1984" s="490">
        <v>11560</v>
      </c>
      <c r="G1984" s="489">
        <v>445.91</v>
      </c>
      <c r="H1984" s="489">
        <v>25.924510000000001</v>
      </c>
      <c r="I1984" s="487" t="s">
        <v>1499</v>
      </c>
      <c r="J1984" s="487" t="s">
        <v>987</v>
      </c>
    </row>
    <row r="1985" spans="1:10" ht="15" x14ac:dyDescent="0.2">
      <c r="A1985" s="486" t="s">
        <v>986</v>
      </c>
      <c r="B1985" s="487" t="s">
        <v>985</v>
      </c>
      <c r="C1985" s="488" t="s">
        <v>7380</v>
      </c>
      <c r="D1985" s="489" t="s">
        <v>7381</v>
      </c>
      <c r="E1985" s="487" t="s">
        <v>7382</v>
      </c>
      <c r="F1985" s="490">
        <v>6100</v>
      </c>
      <c r="G1985" s="489">
        <v>158.88999999999999</v>
      </c>
      <c r="H1985" s="489">
        <v>38.39134</v>
      </c>
      <c r="I1985" s="487" t="s">
        <v>1499</v>
      </c>
      <c r="J1985" s="487" t="s">
        <v>987</v>
      </c>
    </row>
    <row r="1986" spans="1:10" ht="15" x14ac:dyDescent="0.2">
      <c r="A1986" s="486" t="s">
        <v>986</v>
      </c>
      <c r="B1986" s="487" t="s">
        <v>985</v>
      </c>
      <c r="C1986" s="488" t="s">
        <v>7383</v>
      </c>
      <c r="D1986" s="489" t="s">
        <v>7384</v>
      </c>
      <c r="E1986" s="487" t="s">
        <v>7385</v>
      </c>
      <c r="F1986" s="490">
        <v>16500</v>
      </c>
      <c r="G1986" s="489">
        <v>393.83</v>
      </c>
      <c r="H1986" s="489">
        <v>41.896250000000002</v>
      </c>
      <c r="I1986" s="487" t="s">
        <v>1499</v>
      </c>
      <c r="J1986" s="487" t="s">
        <v>987</v>
      </c>
    </row>
    <row r="1987" spans="1:10" ht="15" x14ac:dyDescent="0.2">
      <c r="A1987" s="486" t="s">
        <v>986</v>
      </c>
      <c r="B1987" s="487" t="s">
        <v>985</v>
      </c>
      <c r="C1987" s="488" t="s">
        <v>7386</v>
      </c>
      <c r="D1987" s="489" t="s">
        <v>7387</v>
      </c>
      <c r="E1987" s="487" t="s">
        <v>7388</v>
      </c>
      <c r="F1987" s="490">
        <v>1200</v>
      </c>
      <c r="G1987" s="489">
        <v>48.95</v>
      </c>
      <c r="H1987" s="489">
        <v>24.514810000000001</v>
      </c>
      <c r="I1987" s="487" t="s">
        <v>1499</v>
      </c>
      <c r="J1987" s="487" t="s">
        <v>987</v>
      </c>
    </row>
    <row r="1988" spans="1:10" ht="15" x14ac:dyDescent="0.2">
      <c r="A1988" s="486" t="s">
        <v>986</v>
      </c>
      <c r="B1988" s="487" t="s">
        <v>985</v>
      </c>
      <c r="C1988" s="488" t="s">
        <v>7389</v>
      </c>
      <c r="D1988" s="489" t="s">
        <v>7390</v>
      </c>
      <c r="E1988" s="487" t="s">
        <v>7391</v>
      </c>
      <c r="F1988" s="490">
        <v>7000</v>
      </c>
      <c r="G1988" s="489">
        <v>180.98</v>
      </c>
      <c r="H1988" s="489">
        <v>38.678310000000003</v>
      </c>
      <c r="I1988" s="487" t="s">
        <v>1499</v>
      </c>
      <c r="J1988" s="487" t="s">
        <v>987</v>
      </c>
    </row>
    <row r="1989" spans="1:10" ht="15" x14ac:dyDescent="0.2">
      <c r="A1989" s="486" t="s">
        <v>986</v>
      </c>
      <c r="B1989" s="487" t="s">
        <v>985</v>
      </c>
      <c r="C1989" s="488" t="s">
        <v>7392</v>
      </c>
      <c r="D1989" s="489" t="s">
        <v>7393</v>
      </c>
      <c r="E1989" s="487" t="s">
        <v>7394</v>
      </c>
      <c r="F1989" s="490">
        <v>3547</v>
      </c>
      <c r="G1989" s="489">
        <v>82.55</v>
      </c>
      <c r="H1989" s="489">
        <v>42.9679</v>
      </c>
      <c r="I1989" s="487" t="s">
        <v>1499</v>
      </c>
      <c r="J1989" s="487" t="s">
        <v>987</v>
      </c>
    </row>
    <row r="1990" spans="1:10" ht="15" x14ac:dyDescent="0.2">
      <c r="A1990" s="486" t="s">
        <v>986</v>
      </c>
      <c r="B1990" s="487" t="s">
        <v>985</v>
      </c>
      <c r="C1990" s="488" t="s">
        <v>7395</v>
      </c>
      <c r="D1990" s="489" t="s">
        <v>7396</v>
      </c>
      <c r="E1990" s="487" t="s">
        <v>4615</v>
      </c>
      <c r="F1990" s="490">
        <v>2315</v>
      </c>
      <c r="G1990" s="489">
        <v>90.71</v>
      </c>
      <c r="H1990" s="489">
        <v>25.520890000000001</v>
      </c>
      <c r="I1990" s="487" t="s">
        <v>1499</v>
      </c>
      <c r="J1990" s="487" t="s">
        <v>987</v>
      </c>
    </row>
    <row r="1991" spans="1:10" ht="15" x14ac:dyDescent="0.2">
      <c r="A1991" s="486" t="s">
        <v>986</v>
      </c>
      <c r="B1991" s="487" t="s">
        <v>985</v>
      </c>
      <c r="C1991" s="488" t="s">
        <v>7397</v>
      </c>
      <c r="D1991" s="489" t="s">
        <v>7398</v>
      </c>
      <c r="E1991" s="487" t="s">
        <v>7399</v>
      </c>
      <c r="F1991" s="490">
        <v>26880</v>
      </c>
      <c r="G1991" s="489">
        <v>522.14</v>
      </c>
      <c r="H1991" s="489">
        <v>51.480449999999998</v>
      </c>
      <c r="I1991" s="487" t="s">
        <v>1499</v>
      </c>
      <c r="J1991" s="487" t="s">
        <v>987</v>
      </c>
    </row>
    <row r="1992" spans="1:10" ht="15" x14ac:dyDescent="0.2">
      <c r="A1992" s="486" t="s">
        <v>986</v>
      </c>
      <c r="B1992" s="487" t="s">
        <v>985</v>
      </c>
      <c r="C1992" s="488" t="s">
        <v>7400</v>
      </c>
      <c r="D1992" s="489" t="s">
        <v>7401</v>
      </c>
      <c r="E1992" s="487" t="s">
        <v>7402</v>
      </c>
      <c r="F1992" s="490">
        <v>36151</v>
      </c>
      <c r="G1992" s="489">
        <v>559.74</v>
      </c>
      <c r="H1992" s="489">
        <v>64.585340000000002</v>
      </c>
      <c r="I1992" s="487" t="s">
        <v>1499</v>
      </c>
      <c r="J1992" s="487" t="s">
        <v>987</v>
      </c>
    </row>
    <row r="1993" spans="1:10" ht="15" x14ac:dyDescent="0.2">
      <c r="A1993" s="486" t="s">
        <v>986</v>
      </c>
      <c r="B1993" s="487" t="s">
        <v>985</v>
      </c>
      <c r="C1993" s="488" t="s">
        <v>7403</v>
      </c>
      <c r="D1993" s="489" t="s">
        <v>7404</v>
      </c>
      <c r="E1993" s="487" t="s">
        <v>7405</v>
      </c>
      <c r="F1993" s="490">
        <v>9500</v>
      </c>
      <c r="G1993" s="489">
        <v>200.4</v>
      </c>
      <c r="H1993" s="489">
        <v>47.405189999999997</v>
      </c>
      <c r="I1993" s="487" t="s">
        <v>1499</v>
      </c>
      <c r="J1993" s="487" t="s">
        <v>987</v>
      </c>
    </row>
    <row r="1994" spans="1:10" ht="15" x14ac:dyDescent="0.2">
      <c r="A1994" s="486" t="s">
        <v>986</v>
      </c>
      <c r="B1994" s="487" t="s">
        <v>985</v>
      </c>
      <c r="C1994" s="488" t="s">
        <v>7406</v>
      </c>
      <c r="D1994" s="489" t="s">
        <v>7407</v>
      </c>
      <c r="E1994" s="487" t="s">
        <v>7408</v>
      </c>
      <c r="F1994" s="490">
        <v>54760</v>
      </c>
      <c r="G1994" s="489">
        <v>804.68</v>
      </c>
      <c r="H1994" s="489">
        <v>68.051900000000003</v>
      </c>
      <c r="I1994" s="487" t="s">
        <v>1499</v>
      </c>
      <c r="J1994" s="487" t="s">
        <v>987</v>
      </c>
    </row>
    <row r="1995" spans="1:10" ht="15" x14ac:dyDescent="0.2">
      <c r="A1995" s="486" t="s">
        <v>986</v>
      </c>
      <c r="B1995" s="487" t="s">
        <v>985</v>
      </c>
      <c r="C1995" s="488" t="s">
        <v>7409</v>
      </c>
      <c r="D1995" s="489" t="s">
        <v>7410</v>
      </c>
      <c r="E1995" s="487" t="s">
        <v>7411</v>
      </c>
      <c r="F1995" s="490">
        <v>0</v>
      </c>
      <c r="G1995" s="489">
        <v>31.43</v>
      </c>
      <c r="H1995" s="489">
        <v>0</v>
      </c>
      <c r="I1995" s="487" t="s">
        <v>1593</v>
      </c>
      <c r="J1995" s="487" t="s">
        <v>987</v>
      </c>
    </row>
    <row r="1996" spans="1:10" ht="15" x14ac:dyDescent="0.2">
      <c r="A1996" s="486" t="s">
        <v>986</v>
      </c>
      <c r="B1996" s="487" t="s">
        <v>985</v>
      </c>
      <c r="C1996" s="488" t="s">
        <v>7412</v>
      </c>
      <c r="D1996" s="489" t="s">
        <v>7413</v>
      </c>
      <c r="E1996" s="487" t="s">
        <v>7414</v>
      </c>
      <c r="F1996" s="490">
        <v>0</v>
      </c>
      <c r="G1996" s="489">
        <v>53.84</v>
      </c>
      <c r="H1996" s="489">
        <v>0</v>
      </c>
      <c r="I1996" s="487" t="s">
        <v>1593</v>
      </c>
      <c r="J1996" s="487" t="s">
        <v>987</v>
      </c>
    </row>
    <row r="1997" spans="1:10" ht="15" x14ac:dyDescent="0.2">
      <c r="A1997" s="486" t="s">
        <v>986</v>
      </c>
      <c r="B1997" s="487" t="s">
        <v>985</v>
      </c>
      <c r="C1997" s="488" t="s">
        <v>7415</v>
      </c>
      <c r="D1997" s="489" t="s">
        <v>7416</v>
      </c>
      <c r="E1997" s="487" t="s">
        <v>7417</v>
      </c>
      <c r="F1997" s="490">
        <v>6000</v>
      </c>
      <c r="G1997" s="489">
        <v>160.16</v>
      </c>
      <c r="H1997" s="489">
        <v>37.462539999999997</v>
      </c>
      <c r="I1997" s="487" t="s">
        <v>1499</v>
      </c>
      <c r="J1997" s="487" t="s">
        <v>987</v>
      </c>
    </row>
    <row r="1998" spans="1:10" ht="15" x14ac:dyDescent="0.2">
      <c r="A1998" s="486" t="s">
        <v>986</v>
      </c>
      <c r="B1998" s="487" t="s">
        <v>985</v>
      </c>
      <c r="C1998" s="488" t="s">
        <v>7418</v>
      </c>
      <c r="D1998" s="489" t="s">
        <v>7419</v>
      </c>
      <c r="E1998" s="487" t="s">
        <v>7420</v>
      </c>
      <c r="F1998" s="490">
        <v>4576</v>
      </c>
      <c r="G1998" s="489">
        <v>69.12</v>
      </c>
      <c r="H1998" s="489">
        <v>66.203699999999998</v>
      </c>
      <c r="I1998" s="487" t="s">
        <v>1499</v>
      </c>
      <c r="J1998" s="487" t="s">
        <v>987</v>
      </c>
    </row>
    <row r="1999" spans="1:10" ht="15" x14ac:dyDescent="0.2">
      <c r="A1999" s="486" t="s">
        <v>986</v>
      </c>
      <c r="B1999" s="487" t="s">
        <v>985</v>
      </c>
      <c r="C1999" s="488" t="s">
        <v>7421</v>
      </c>
      <c r="D1999" s="489" t="s">
        <v>7422</v>
      </c>
      <c r="E1999" s="487" t="s">
        <v>7423</v>
      </c>
      <c r="F1999" s="490">
        <v>2300</v>
      </c>
      <c r="G1999" s="489">
        <v>144.79</v>
      </c>
      <c r="H1999" s="489">
        <v>15.885070000000001</v>
      </c>
      <c r="I1999" s="487" t="s">
        <v>1499</v>
      </c>
      <c r="J1999" s="487" t="s">
        <v>987</v>
      </c>
    </row>
    <row r="2000" spans="1:10" ht="15" x14ac:dyDescent="0.2">
      <c r="A2000" s="486" t="s">
        <v>986</v>
      </c>
      <c r="B2000" s="487" t="s">
        <v>985</v>
      </c>
      <c r="C2000" s="488" t="s">
        <v>7424</v>
      </c>
      <c r="D2000" s="489" t="s">
        <v>7425</v>
      </c>
      <c r="E2000" s="487" t="s">
        <v>7426</v>
      </c>
      <c r="F2000" s="490">
        <v>24089</v>
      </c>
      <c r="G2000" s="489">
        <v>432.16</v>
      </c>
      <c r="H2000" s="489">
        <v>55.740929999999999</v>
      </c>
      <c r="I2000" s="487" t="s">
        <v>1499</v>
      </c>
      <c r="J2000" s="487" t="s">
        <v>987</v>
      </c>
    </row>
    <row r="2001" spans="1:10" ht="15" x14ac:dyDescent="0.2">
      <c r="A2001" s="486" t="s">
        <v>986</v>
      </c>
      <c r="B2001" s="487" t="s">
        <v>985</v>
      </c>
      <c r="C2001" s="488" t="s">
        <v>7427</v>
      </c>
      <c r="D2001" s="489" t="s">
        <v>7428</v>
      </c>
      <c r="E2001" s="487" t="s">
        <v>7429</v>
      </c>
      <c r="F2001" s="490">
        <v>578032</v>
      </c>
      <c r="G2001" s="489">
        <v>7436.74</v>
      </c>
      <c r="H2001" s="489">
        <v>77.726529999999997</v>
      </c>
      <c r="I2001" s="487" t="s">
        <v>1499</v>
      </c>
      <c r="J2001" s="487" t="s">
        <v>987</v>
      </c>
    </row>
    <row r="2002" spans="1:10" ht="15" x14ac:dyDescent="0.2">
      <c r="A2002" s="486" t="s">
        <v>986</v>
      </c>
      <c r="B2002" s="487" t="s">
        <v>985</v>
      </c>
      <c r="C2002" s="488" t="s">
        <v>7430</v>
      </c>
      <c r="D2002" s="489" t="s">
        <v>7431</v>
      </c>
      <c r="E2002" s="487" t="s">
        <v>7432</v>
      </c>
      <c r="F2002" s="490">
        <v>103836</v>
      </c>
      <c r="G2002" s="489">
        <v>1177.6199999999999</v>
      </c>
      <c r="H2002" s="489">
        <v>88.174449999999993</v>
      </c>
      <c r="I2002" s="487" t="s">
        <v>1499</v>
      </c>
      <c r="J2002" s="487" t="s">
        <v>987</v>
      </c>
    </row>
    <row r="2003" spans="1:10" ht="15" x14ac:dyDescent="0.2">
      <c r="A2003" s="486" t="s">
        <v>986</v>
      </c>
      <c r="B2003" s="487" t="s">
        <v>985</v>
      </c>
      <c r="C2003" s="488" t="s">
        <v>7433</v>
      </c>
      <c r="D2003" s="489" t="s">
        <v>7434</v>
      </c>
      <c r="E2003" s="487" t="s">
        <v>7435</v>
      </c>
      <c r="F2003" s="490">
        <v>4750</v>
      </c>
      <c r="G2003" s="489">
        <v>164.7</v>
      </c>
      <c r="H2003" s="489">
        <v>28.840319999999998</v>
      </c>
      <c r="I2003" s="487" t="s">
        <v>1499</v>
      </c>
      <c r="J2003" s="487" t="s">
        <v>987</v>
      </c>
    </row>
    <row r="2004" spans="1:10" ht="15" x14ac:dyDescent="0.2">
      <c r="A2004" s="486" t="s">
        <v>986</v>
      </c>
      <c r="B2004" s="487" t="s">
        <v>985</v>
      </c>
      <c r="C2004" s="488" t="s">
        <v>7436</v>
      </c>
      <c r="D2004" s="489" t="s">
        <v>7437</v>
      </c>
      <c r="E2004" s="487" t="s">
        <v>7438</v>
      </c>
      <c r="F2004" s="490">
        <v>0</v>
      </c>
      <c r="G2004" s="489">
        <v>34.08</v>
      </c>
      <c r="H2004" s="489">
        <v>0</v>
      </c>
      <c r="I2004" s="487" t="s">
        <v>1593</v>
      </c>
      <c r="J2004" s="487" t="s">
        <v>987</v>
      </c>
    </row>
    <row r="2005" spans="1:10" ht="15" x14ac:dyDescent="0.2">
      <c r="A2005" s="486" t="s">
        <v>986</v>
      </c>
      <c r="B2005" s="487" t="s">
        <v>985</v>
      </c>
      <c r="C2005" s="488" t="s">
        <v>7439</v>
      </c>
      <c r="D2005" s="489" t="s">
        <v>7440</v>
      </c>
      <c r="E2005" s="487" t="s">
        <v>7441</v>
      </c>
      <c r="F2005" s="490">
        <v>2300</v>
      </c>
      <c r="G2005" s="489">
        <v>169.2</v>
      </c>
      <c r="H2005" s="489">
        <v>13.59338</v>
      </c>
      <c r="I2005" s="487" t="s">
        <v>1499</v>
      </c>
      <c r="J2005" s="487" t="s">
        <v>987</v>
      </c>
    </row>
    <row r="2006" spans="1:10" ht="15" x14ac:dyDescent="0.2">
      <c r="A2006" s="486" t="s">
        <v>986</v>
      </c>
      <c r="B2006" s="487" t="s">
        <v>985</v>
      </c>
      <c r="C2006" s="488" t="s">
        <v>7442</v>
      </c>
      <c r="D2006" s="489" t="s">
        <v>7443</v>
      </c>
      <c r="E2006" s="487" t="s">
        <v>7444</v>
      </c>
      <c r="F2006" s="490">
        <v>500</v>
      </c>
      <c r="G2006" s="489">
        <v>44.73</v>
      </c>
      <c r="H2006" s="489">
        <v>11.178179999999999</v>
      </c>
      <c r="I2006" s="487" t="s">
        <v>1499</v>
      </c>
      <c r="J2006" s="487" t="s">
        <v>987</v>
      </c>
    </row>
    <row r="2007" spans="1:10" ht="15" x14ac:dyDescent="0.2">
      <c r="A2007" s="486" t="s">
        <v>986</v>
      </c>
      <c r="B2007" s="487" t="s">
        <v>985</v>
      </c>
      <c r="C2007" s="488" t="s">
        <v>7445</v>
      </c>
      <c r="D2007" s="489" t="s">
        <v>7446</v>
      </c>
      <c r="E2007" s="487" t="s">
        <v>7447</v>
      </c>
      <c r="F2007" s="490">
        <v>5400</v>
      </c>
      <c r="G2007" s="489">
        <v>104.58</v>
      </c>
      <c r="H2007" s="489">
        <v>51.635109999999997</v>
      </c>
      <c r="I2007" s="487" t="s">
        <v>1499</v>
      </c>
      <c r="J2007" s="487" t="s">
        <v>987</v>
      </c>
    </row>
    <row r="2008" spans="1:10" ht="15" x14ac:dyDescent="0.2">
      <c r="A2008" s="486" t="s">
        <v>986</v>
      </c>
      <c r="B2008" s="487" t="s">
        <v>985</v>
      </c>
      <c r="C2008" s="488" t="s">
        <v>7448</v>
      </c>
      <c r="D2008" s="489" t="s">
        <v>7449</v>
      </c>
      <c r="E2008" s="487" t="s">
        <v>7450</v>
      </c>
      <c r="F2008" s="490">
        <v>78418</v>
      </c>
      <c r="G2008" s="489">
        <v>1219.3399999999999</v>
      </c>
      <c r="H2008" s="489">
        <v>64.311840000000004</v>
      </c>
      <c r="I2008" s="487" t="s">
        <v>1499</v>
      </c>
      <c r="J2008" s="487" t="s">
        <v>987</v>
      </c>
    </row>
    <row r="2009" spans="1:10" ht="15" x14ac:dyDescent="0.2">
      <c r="A2009" s="486" t="s">
        <v>986</v>
      </c>
      <c r="B2009" s="487" t="s">
        <v>985</v>
      </c>
      <c r="C2009" s="488" t="s">
        <v>7451</v>
      </c>
      <c r="D2009" s="489" t="s">
        <v>7452</v>
      </c>
      <c r="E2009" s="487" t="s">
        <v>7453</v>
      </c>
      <c r="F2009" s="490">
        <v>750</v>
      </c>
      <c r="G2009" s="489">
        <v>78.34</v>
      </c>
      <c r="H2009" s="489">
        <v>9.5736500000000007</v>
      </c>
      <c r="I2009" s="487" t="s">
        <v>1499</v>
      </c>
      <c r="J2009" s="487" t="s">
        <v>987</v>
      </c>
    </row>
    <row r="2010" spans="1:10" ht="15" x14ac:dyDescent="0.2">
      <c r="A2010" s="486" t="s">
        <v>986</v>
      </c>
      <c r="B2010" s="487" t="s">
        <v>985</v>
      </c>
      <c r="C2010" s="488" t="s">
        <v>7454</v>
      </c>
      <c r="D2010" s="489" t="s">
        <v>7455</v>
      </c>
      <c r="E2010" s="487" t="s">
        <v>7456</v>
      </c>
      <c r="F2010" s="490">
        <v>8000</v>
      </c>
      <c r="G2010" s="489">
        <v>173.74</v>
      </c>
      <c r="H2010" s="489">
        <v>46.045819999999999</v>
      </c>
      <c r="I2010" s="487" t="s">
        <v>1499</v>
      </c>
      <c r="J2010" s="487" t="s">
        <v>987</v>
      </c>
    </row>
    <row r="2011" spans="1:10" ht="15" x14ac:dyDescent="0.2">
      <c r="A2011" s="486" t="s">
        <v>1019</v>
      </c>
      <c r="B2011" s="487" t="s">
        <v>1018</v>
      </c>
      <c r="C2011" s="488" t="s">
        <v>7457</v>
      </c>
      <c r="D2011" s="489" t="s">
        <v>7458</v>
      </c>
      <c r="E2011" s="487" t="s">
        <v>7459</v>
      </c>
      <c r="F2011" s="490">
        <v>1480</v>
      </c>
      <c r="G2011" s="489">
        <v>48.17</v>
      </c>
      <c r="H2011" s="489">
        <v>30.724519999999998</v>
      </c>
      <c r="I2011" s="487" t="s">
        <v>1499</v>
      </c>
      <c r="J2011" s="487" t="s">
        <v>1020</v>
      </c>
    </row>
    <row r="2012" spans="1:10" ht="15" x14ac:dyDescent="0.2">
      <c r="A2012" s="486" t="s">
        <v>1019</v>
      </c>
      <c r="B2012" s="487" t="s">
        <v>1018</v>
      </c>
      <c r="C2012" s="488" t="s">
        <v>7460</v>
      </c>
      <c r="D2012" s="489" t="s">
        <v>7461</v>
      </c>
      <c r="E2012" s="487" t="s">
        <v>355</v>
      </c>
      <c r="F2012" s="490">
        <v>5000</v>
      </c>
      <c r="G2012" s="489">
        <v>166.7</v>
      </c>
      <c r="H2012" s="489">
        <v>29.994</v>
      </c>
      <c r="I2012" s="487" t="s">
        <v>1499</v>
      </c>
      <c r="J2012" s="487" t="s">
        <v>1020</v>
      </c>
    </row>
    <row r="2013" spans="1:10" ht="15" x14ac:dyDescent="0.2">
      <c r="A2013" s="486" t="s">
        <v>1019</v>
      </c>
      <c r="B2013" s="487" t="s">
        <v>1018</v>
      </c>
      <c r="C2013" s="488" t="s">
        <v>7462</v>
      </c>
      <c r="D2013" s="489" t="s">
        <v>7463</v>
      </c>
      <c r="E2013" s="487" t="s">
        <v>7464</v>
      </c>
      <c r="F2013" s="490">
        <v>4590</v>
      </c>
      <c r="G2013" s="489">
        <v>195.55</v>
      </c>
      <c r="H2013" s="489">
        <v>23.472259999999999</v>
      </c>
      <c r="I2013" s="487" t="s">
        <v>1499</v>
      </c>
      <c r="J2013" s="487" t="s">
        <v>1020</v>
      </c>
    </row>
    <row r="2014" spans="1:10" ht="15" x14ac:dyDescent="0.2">
      <c r="A2014" s="486" t="s">
        <v>1019</v>
      </c>
      <c r="B2014" s="487" t="s">
        <v>1018</v>
      </c>
      <c r="C2014" s="488" t="s">
        <v>7465</v>
      </c>
      <c r="D2014" s="489" t="s">
        <v>7466</v>
      </c>
      <c r="E2014" s="487" t="s">
        <v>7467</v>
      </c>
      <c r="F2014" s="490">
        <v>1617958</v>
      </c>
      <c r="G2014" s="489">
        <v>7208.88</v>
      </c>
      <c r="H2014" s="489">
        <v>224.43958000000001</v>
      </c>
      <c r="I2014" s="487" t="s">
        <v>1499</v>
      </c>
      <c r="J2014" s="487" t="s">
        <v>1020</v>
      </c>
    </row>
    <row r="2015" spans="1:10" ht="15" x14ac:dyDescent="0.2">
      <c r="A2015" s="486" t="s">
        <v>1019</v>
      </c>
      <c r="B2015" s="487" t="s">
        <v>1018</v>
      </c>
      <c r="C2015" s="488" t="s">
        <v>7468</v>
      </c>
      <c r="D2015" s="489" t="s">
        <v>7469</v>
      </c>
      <c r="E2015" s="487" t="s">
        <v>7470</v>
      </c>
      <c r="F2015" s="490">
        <v>32520</v>
      </c>
      <c r="G2015" s="489">
        <v>408.5</v>
      </c>
      <c r="H2015" s="489">
        <v>79.608320000000006</v>
      </c>
      <c r="I2015" s="487" t="s">
        <v>1499</v>
      </c>
      <c r="J2015" s="487" t="s">
        <v>1020</v>
      </c>
    </row>
    <row r="2016" spans="1:10" ht="15" x14ac:dyDescent="0.2">
      <c r="A2016" s="486" t="s">
        <v>1019</v>
      </c>
      <c r="B2016" s="487" t="s">
        <v>1018</v>
      </c>
      <c r="C2016" s="488" t="s">
        <v>7471</v>
      </c>
      <c r="D2016" s="489" t="s">
        <v>7472</v>
      </c>
      <c r="E2016" s="487" t="s">
        <v>7473</v>
      </c>
      <c r="F2016" s="490">
        <v>26200</v>
      </c>
      <c r="G2016" s="489">
        <v>365.52</v>
      </c>
      <c r="H2016" s="489">
        <v>71.678700000000006</v>
      </c>
      <c r="I2016" s="487" t="s">
        <v>1499</v>
      </c>
      <c r="J2016" s="487" t="s">
        <v>1020</v>
      </c>
    </row>
    <row r="2017" spans="1:10" ht="15" x14ac:dyDescent="0.2">
      <c r="A2017" s="486" t="s">
        <v>1019</v>
      </c>
      <c r="B2017" s="487" t="s">
        <v>1018</v>
      </c>
      <c r="C2017" s="488" t="s">
        <v>7474</v>
      </c>
      <c r="D2017" s="489" t="s">
        <v>7475</v>
      </c>
      <c r="E2017" s="487" t="s">
        <v>7476</v>
      </c>
      <c r="F2017" s="490">
        <v>19500</v>
      </c>
      <c r="G2017" s="489">
        <v>471.22</v>
      </c>
      <c r="H2017" s="489">
        <v>41.38194</v>
      </c>
      <c r="I2017" s="487" t="s">
        <v>1499</v>
      </c>
      <c r="J2017" s="487" t="s">
        <v>1020</v>
      </c>
    </row>
    <row r="2018" spans="1:10" ht="15" x14ac:dyDescent="0.2">
      <c r="A2018" s="486" t="s">
        <v>1019</v>
      </c>
      <c r="B2018" s="487" t="s">
        <v>1018</v>
      </c>
      <c r="C2018" s="488" t="s">
        <v>7477</v>
      </c>
      <c r="D2018" s="489" t="s">
        <v>7478</v>
      </c>
      <c r="E2018" s="487" t="s">
        <v>7479</v>
      </c>
      <c r="F2018" s="490">
        <v>0</v>
      </c>
      <c r="G2018" s="489">
        <v>24.88</v>
      </c>
      <c r="H2018" s="489">
        <v>0</v>
      </c>
      <c r="I2018" s="487" t="s">
        <v>1593</v>
      </c>
      <c r="J2018" s="487" t="s">
        <v>1020</v>
      </c>
    </row>
    <row r="2019" spans="1:10" ht="15" x14ac:dyDescent="0.2">
      <c r="A2019" s="486" t="s">
        <v>1019</v>
      </c>
      <c r="B2019" s="487" t="s">
        <v>1018</v>
      </c>
      <c r="C2019" s="488" t="s">
        <v>7480</v>
      </c>
      <c r="D2019" s="489" t="s">
        <v>7481</v>
      </c>
      <c r="E2019" s="487" t="s">
        <v>7482</v>
      </c>
      <c r="F2019" s="490">
        <v>17500</v>
      </c>
      <c r="G2019" s="489">
        <v>380.48</v>
      </c>
      <c r="H2019" s="489">
        <v>45.994529999999997</v>
      </c>
      <c r="I2019" s="487" t="s">
        <v>1499</v>
      </c>
      <c r="J2019" s="487" t="s">
        <v>1020</v>
      </c>
    </row>
    <row r="2020" spans="1:10" ht="15" x14ac:dyDescent="0.2">
      <c r="A2020" s="486" t="s">
        <v>1019</v>
      </c>
      <c r="B2020" s="487" t="s">
        <v>1018</v>
      </c>
      <c r="C2020" s="488" t="s">
        <v>7483</v>
      </c>
      <c r="D2020" s="489" t="s">
        <v>7484</v>
      </c>
      <c r="E2020" s="487" t="s">
        <v>7485</v>
      </c>
      <c r="F2020" s="490">
        <v>337332</v>
      </c>
      <c r="G2020" s="489">
        <v>3317.62</v>
      </c>
      <c r="H2020" s="489">
        <v>101.67891</v>
      </c>
      <c r="I2020" s="487" t="s">
        <v>1499</v>
      </c>
      <c r="J2020" s="487" t="s">
        <v>1020</v>
      </c>
    </row>
    <row r="2021" spans="1:10" ht="15" x14ac:dyDescent="0.2">
      <c r="A2021" s="486" t="s">
        <v>1019</v>
      </c>
      <c r="B2021" s="487" t="s">
        <v>1018</v>
      </c>
      <c r="C2021" s="488" t="s">
        <v>7486</v>
      </c>
      <c r="D2021" s="489" t="s">
        <v>7487</v>
      </c>
      <c r="E2021" s="487" t="s">
        <v>7488</v>
      </c>
      <c r="F2021" s="490">
        <v>13306</v>
      </c>
      <c r="G2021" s="489">
        <v>178.04</v>
      </c>
      <c r="H2021" s="489">
        <v>74.736009999999993</v>
      </c>
      <c r="I2021" s="487" t="s">
        <v>1499</v>
      </c>
      <c r="J2021" s="487" t="s">
        <v>1020</v>
      </c>
    </row>
    <row r="2022" spans="1:10" ht="15" x14ac:dyDescent="0.2">
      <c r="A2022" s="486" t="s">
        <v>1019</v>
      </c>
      <c r="B2022" s="487" t="s">
        <v>1018</v>
      </c>
      <c r="C2022" s="488" t="s">
        <v>7489</v>
      </c>
      <c r="D2022" s="489" t="s">
        <v>7490</v>
      </c>
      <c r="E2022" s="487" t="s">
        <v>7491</v>
      </c>
      <c r="F2022" s="490">
        <v>3500</v>
      </c>
      <c r="G2022" s="489">
        <v>138.54</v>
      </c>
      <c r="H2022" s="489">
        <v>25.263459999999998</v>
      </c>
      <c r="I2022" s="487" t="s">
        <v>1499</v>
      </c>
      <c r="J2022" s="487" t="s">
        <v>1020</v>
      </c>
    </row>
    <row r="2023" spans="1:10" ht="15" x14ac:dyDescent="0.2">
      <c r="A2023" s="486" t="s">
        <v>1019</v>
      </c>
      <c r="B2023" s="487" t="s">
        <v>1018</v>
      </c>
      <c r="C2023" s="488" t="s">
        <v>7492</v>
      </c>
      <c r="D2023" s="489" t="s">
        <v>7493</v>
      </c>
      <c r="E2023" s="487" t="s">
        <v>1828</v>
      </c>
      <c r="F2023" s="490">
        <v>10000</v>
      </c>
      <c r="G2023" s="489">
        <v>224.77</v>
      </c>
      <c r="H2023" s="489">
        <v>44.489919999999998</v>
      </c>
      <c r="I2023" s="487" t="s">
        <v>1499</v>
      </c>
      <c r="J2023" s="487" t="s">
        <v>1020</v>
      </c>
    </row>
    <row r="2024" spans="1:10" ht="15" x14ac:dyDescent="0.2">
      <c r="A2024" s="486" t="s">
        <v>1019</v>
      </c>
      <c r="B2024" s="487" t="s">
        <v>1018</v>
      </c>
      <c r="C2024" s="488" t="s">
        <v>7494</v>
      </c>
      <c r="D2024" s="489" t="s">
        <v>7495</v>
      </c>
      <c r="E2024" s="487" t="s">
        <v>7496</v>
      </c>
      <c r="F2024" s="490">
        <v>700</v>
      </c>
      <c r="G2024" s="489">
        <v>66.819999999999993</v>
      </c>
      <c r="H2024" s="489">
        <v>10.475910000000001</v>
      </c>
      <c r="I2024" s="487" t="s">
        <v>1499</v>
      </c>
      <c r="J2024" s="487" t="s">
        <v>1020</v>
      </c>
    </row>
    <row r="2025" spans="1:10" ht="15" x14ac:dyDescent="0.2">
      <c r="A2025" s="486" t="s">
        <v>1019</v>
      </c>
      <c r="B2025" s="487" t="s">
        <v>1018</v>
      </c>
      <c r="C2025" s="488" t="s">
        <v>7497</v>
      </c>
      <c r="D2025" s="489" t="s">
        <v>7498</v>
      </c>
      <c r="E2025" s="487" t="s">
        <v>7499</v>
      </c>
      <c r="F2025" s="490">
        <v>7900</v>
      </c>
      <c r="G2025" s="489">
        <v>190.36</v>
      </c>
      <c r="H2025" s="489">
        <v>41.500320000000002</v>
      </c>
      <c r="I2025" s="487" t="s">
        <v>1499</v>
      </c>
      <c r="J2025" s="487" t="s">
        <v>1020</v>
      </c>
    </row>
    <row r="2026" spans="1:10" ht="15" x14ac:dyDescent="0.2">
      <c r="A2026" s="486" t="s">
        <v>1019</v>
      </c>
      <c r="B2026" s="487" t="s">
        <v>1018</v>
      </c>
      <c r="C2026" s="488" t="s">
        <v>7500</v>
      </c>
      <c r="D2026" s="489" t="s">
        <v>7501</v>
      </c>
      <c r="E2026" s="487" t="s">
        <v>7502</v>
      </c>
      <c r="F2026" s="490">
        <v>15374</v>
      </c>
      <c r="G2026" s="489">
        <v>399.44</v>
      </c>
      <c r="H2026" s="489">
        <v>38.488880000000002</v>
      </c>
      <c r="I2026" s="487" t="s">
        <v>1499</v>
      </c>
      <c r="J2026" s="487" t="s">
        <v>1020</v>
      </c>
    </row>
    <row r="2027" spans="1:10" ht="15" x14ac:dyDescent="0.2">
      <c r="A2027" s="486" t="s">
        <v>1019</v>
      </c>
      <c r="B2027" s="487" t="s">
        <v>1018</v>
      </c>
      <c r="C2027" s="488" t="s">
        <v>7503</v>
      </c>
      <c r="D2027" s="489" t="s">
        <v>7504</v>
      </c>
      <c r="E2027" s="487" t="s">
        <v>7505</v>
      </c>
      <c r="F2027" s="490">
        <v>32000</v>
      </c>
      <c r="G2027" s="489">
        <v>670.65</v>
      </c>
      <c r="H2027" s="489">
        <v>47.7149</v>
      </c>
      <c r="I2027" s="487" t="s">
        <v>1499</v>
      </c>
      <c r="J2027" s="487" t="s">
        <v>1020</v>
      </c>
    </row>
    <row r="2028" spans="1:10" ht="15" x14ac:dyDescent="0.2">
      <c r="A2028" s="486" t="s">
        <v>1019</v>
      </c>
      <c r="B2028" s="487" t="s">
        <v>1018</v>
      </c>
      <c r="C2028" s="488" t="s">
        <v>7506</v>
      </c>
      <c r="D2028" s="489" t="s">
        <v>7507</v>
      </c>
      <c r="E2028" s="487" t="s">
        <v>7508</v>
      </c>
      <c r="F2028" s="490">
        <v>102000</v>
      </c>
      <c r="G2028" s="489">
        <v>1035.31</v>
      </c>
      <c r="H2028" s="489">
        <v>98.52122</v>
      </c>
      <c r="I2028" s="487" t="s">
        <v>1499</v>
      </c>
      <c r="J2028" s="487" t="s">
        <v>1020</v>
      </c>
    </row>
    <row r="2029" spans="1:10" ht="15" x14ac:dyDescent="0.2">
      <c r="A2029" s="486" t="s">
        <v>1019</v>
      </c>
      <c r="B2029" s="487" t="s">
        <v>1018</v>
      </c>
      <c r="C2029" s="488" t="s">
        <v>7509</v>
      </c>
      <c r="D2029" s="489" t="s">
        <v>7510</v>
      </c>
      <c r="E2029" s="487" t="s">
        <v>7511</v>
      </c>
      <c r="F2029" s="490">
        <v>3250</v>
      </c>
      <c r="G2029" s="489">
        <v>161.08000000000001</v>
      </c>
      <c r="H2029" s="489">
        <v>20.176310000000001</v>
      </c>
      <c r="I2029" s="487" t="s">
        <v>1499</v>
      </c>
      <c r="J2029" s="487" t="s">
        <v>1020</v>
      </c>
    </row>
    <row r="2030" spans="1:10" ht="15" x14ac:dyDescent="0.2">
      <c r="A2030" s="486" t="s">
        <v>1019</v>
      </c>
      <c r="B2030" s="487" t="s">
        <v>1018</v>
      </c>
      <c r="C2030" s="488" t="s">
        <v>7512</v>
      </c>
      <c r="D2030" s="489" t="s">
        <v>7513</v>
      </c>
      <c r="E2030" s="487" t="s">
        <v>7514</v>
      </c>
      <c r="F2030" s="490">
        <v>7150</v>
      </c>
      <c r="G2030" s="489">
        <v>127.08</v>
      </c>
      <c r="H2030" s="489">
        <v>56.263770000000001</v>
      </c>
      <c r="I2030" s="487" t="s">
        <v>1499</v>
      </c>
      <c r="J2030" s="487" t="s">
        <v>1020</v>
      </c>
    </row>
    <row r="2031" spans="1:10" ht="15" x14ac:dyDescent="0.2">
      <c r="A2031" s="486" t="s">
        <v>1019</v>
      </c>
      <c r="B2031" s="487" t="s">
        <v>1018</v>
      </c>
      <c r="C2031" s="488" t="s">
        <v>7515</v>
      </c>
      <c r="D2031" s="489" t="s">
        <v>7516</v>
      </c>
      <c r="E2031" s="487" t="s">
        <v>7517</v>
      </c>
      <c r="F2031" s="490">
        <v>2327</v>
      </c>
      <c r="G2031" s="489">
        <v>128.41999999999999</v>
      </c>
      <c r="H2031" s="489">
        <v>18.120229999999999</v>
      </c>
      <c r="I2031" s="487" t="s">
        <v>1499</v>
      </c>
      <c r="J2031" s="487" t="s">
        <v>1020</v>
      </c>
    </row>
    <row r="2032" spans="1:10" ht="15" x14ac:dyDescent="0.2">
      <c r="A2032" s="486" t="s">
        <v>1019</v>
      </c>
      <c r="B2032" s="487" t="s">
        <v>1018</v>
      </c>
      <c r="C2032" s="488" t="s">
        <v>7518</v>
      </c>
      <c r="D2032" s="489" t="s">
        <v>7519</v>
      </c>
      <c r="E2032" s="487" t="s">
        <v>7520</v>
      </c>
      <c r="F2032" s="490">
        <v>9089</v>
      </c>
      <c r="G2032" s="489">
        <v>114.68</v>
      </c>
      <c r="H2032" s="489">
        <v>79.255319999999998</v>
      </c>
      <c r="I2032" s="487" t="s">
        <v>1499</v>
      </c>
      <c r="J2032" s="487" t="s">
        <v>1020</v>
      </c>
    </row>
    <row r="2033" spans="1:10" ht="15" x14ac:dyDescent="0.2">
      <c r="A2033" s="486" t="s">
        <v>1019</v>
      </c>
      <c r="B2033" s="487" t="s">
        <v>1018</v>
      </c>
      <c r="C2033" s="488" t="s">
        <v>7521</v>
      </c>
      <c r="D2033" s="489" t="s">
        <v>7522</v>
      </c>
      <c r="E2033" s="487" t="s">
        <v>7523</v>
      </c>
      <c r="F2033" s="490">
        <v>2000</v>
      </c>
      <c r="G2033" s="489">
        <v>122.16</v>
      </c>
      <c r="H2033" s="489">
        <v>16.371970000000001</v>
      </c>
      <c r="I2033" s="487" t="s">
        <v>1499</v>
      </c>
      <c r="J2033" s="487" t="s">
        <v>1020</v>
      </c>
    </row>
    <row r="2034" spans="1:10" ht="15" x14ac:dyDescent="0.2">
      <c r="A2034" s="486" t="s">
        <v>1019</v>
      </c>
      <c r="B2034" s="487" t="s">
        <v>1018</v>
      </c>
      <c r="C2034" s="488" t="s">
        <v>7524</v>
      </c>
      <c r="D2034" s="489" t="s">
        <v>7525</v>
      </c>
      <c r="E2034" s="487" t="s">
        <v>7526</v>
      </c>
      <c r="F2034" s="490">
        <v>317219.71000000002</v>
      </c>
      <c r="G2034" s="489">
        <v>4674.62</v>
      </c>
      <c r="H2034" s="489">
        <v>67.86</v>
      </c>
      <c r="I2034" s="487" t="s">
        <v>1499</v>
      </c>
      <c r="J2034" s="487" t="s">
        <v>1020</v>
      </c>
    </row>
    <row r="2035" spans="1:10" ht="15" x14ac:dyDescent="0.2">
      <c r="A2035" s="486" t="s">
        <v>1019</v>
      </c>
      <c r="B2035" s="487" t="s">
        <v>1018</v>
      </c>
      <c r="C2035" s="488" t="s">
        <v>7527</v>
      </c>
      <c r="D2035" s="489" t="s">
        <v>7528</v>
      </c>
      <c r="E2035" s="487" t="s">
        <v>7529</v>
      </c>
      <c r="F2035" s="490">
        <v>2800</v>
      </c>
      <c r="G2035" s="489">
        <v>90.2</v>
      </c>
      <c r="H2035" s="489">
        <v>31.04213</v>
      </c>
      <c r="I2035" s="487" t="s">
        <v>1499</v>
      </c>
      <c r="J2035" s="487" t="s">
        <v>1020</v>
      </c>
    </row>
    <row r="2036" spans="1:10" ht="15" x14ac:dyDescent="0.2">
      <c r="A2036" s="486" t="s">
        <v>1019</v>
      </c>
      <c r="B2036" s="487" t="s">
        <v>1018</v>
      </c>
      <c r="C2036" s="488" t="s">
        <v>7530</v>
      </c>
      <c r="D2036" s="489" t="s">
        <v>7531</v>
      </c>
      <c r="E2036" s="487" t="s">
        <v>7532</v>
      </c>
      <c r="F2036" s="490">
        <v>98561</v>
      </c>
      <c r="G2036" s="489">
        <v>1039.8900000000001</v>
      </c>
      <c r="H2036" s="489">
        <v>94.78022</v>
      </c>
      <c r="I2036" s="487" t="s">
        <v>1499</v>
      </c>
      <c r="J2036" s="487" t="s">
        <v>1020</v>
      </c>
    </row>
    <row r="2037" spans="1:10" ht="15" x14ac:dyDescent="0.2">
      <c r="A2037" s="486" t="s">
        <v>1019</v>
      </c>
      <c r="B2037" s="487" t="s">
        <v>1018</v>
      </c>
      <c r="C2037" s="488" t="s">
        <v>7533</v>
      </c>
      <c r="D2037" s="489" t="s">
        <v>7534</v>
      </c>
      <c r="E2037" s="487" t="s">
        <v>7535</v>
      </c>
      <c r="F2037" s="490">
        <v>7000</v>
      </c>
      <c r="G2037" s="489">
        <v>212.87</v>
      </c>
      <c r="H2037" s="489">
        <v>32.883920000000003</v>
      </c>
      <c r="I2037" s="487" t="s">
        <v>1499</v>
      </c>
      <c r="J2037" s="487" t="s">
        <v>1020</v>
      </c>
    </row>
    <row r="2038" spans="1:10" ht="15" x14ac:dyDescent="0.2">
      <c r="A2038" s="486" t="s">
        <v>1019</v>
      </c>
      <c r="B2038" s="487" t="s">
        <v>1018</v>
      </c>
      <c r="C2038" s="488" t="s">
        <v>7536</v>
      </c>
      <c r="D2038" s="489" t="s">
        <v>7537</v>
      </c>
      <c r="E2038" s="487" t="s">
        <v>7538</v>
      </c>
      <c r="F2038" s="490">
        <v>9500</v>
      </c>
      <c r="G2038" s="489">
        <v>704.82</v>
      </c>
      <c r="H2038" s="489">
        <v>13.478619999999999</v>
      </c>
      <c r="I2038" s="487" t="s">
        <v>1499</v>
      </c>
      <c r="J2038" s="487" t="s">
        <v>1020</v>
      </c>
    </row>
    <row r="2039" spans="1:10" ht="15" x14ac:dyDescent="0.2">
      <c r="A2039" s="486" t="s">
        <v>1019</v>
      </c>
      <c r="B2039" s="487" t="s">
        <v>1018</v>
      </c>
      <c r="C2039" s="488" t="s">
        <v>7539</v>
      </c>
      <c r="D2039" s="489" t="s">
        <v>7540</v>
      </c>
      <c r="E2039" s="487" t="s">
        <v>7541</v>
      </c>
      <c r="F2039" s="490">
        <v>24000</v>
      </c>
      <c r="G2039" s="489">
        <v>230.23</v>
      </c>
      <c r="H2039" s="489">
        <v>104.24357999999999</v>
      </c>
      <c r="I2039" s="487" t="s">
        <v>1499</v>
      </c>
      <c r="J2039" s="487" t="s">
        <v>1020</v>
      </c>
    </row>
    <row r="2040" spans="1:10" ht="15" x14ac:dyDescent="0.2">
      <c r="A2040" s="486" t="s">
        <v>1019</v>
      </c>
      <c r="B2040" s="487" t="s">
        <v>1018</v>
      </c>
      <c r="C2040" s="488" t="s">
        <v>7542</v>
      </c>
      <c r="D2040" s="489" t="s">
        <v>7543</v>
      </c>
      <c r="E2040" s="487" t="s">
        <v>7544</v>
      </c>
      <c r="F2040" s="490">
        <v>529056</v>
      </c>
      <c r="G2040" s="489">
        <v>3873.29</v>
      </c>
      <c r="H2040" s="489">
        <v>136.59085999999999</v>
      </c>
      <c r="I2040" s="487" t="s">
        <v>1499</v>
      </c>
      <c r="J2040" s="487" t="s">
        <v>1020</v>
      </c>
    </row>
    <row r="2041" spans="1:10" ht="15" x14ac:dyDescent="0.2">
      <c r="A2041" s="486" t="s">
        <v>1019</v>
      </c>
      <c r="B2041" s="487" t="s">
        <v>1018</v>
      </c>
      <c r="C2041" s="488" t="s">
        <v>7545</v>
      </c>
      <c r="D2041" s="489" t="s">
        <v>7546</v>
      </c>
      <c r="E2041" s="487" t="s">
        <v>7547</v>
      </c>
      <c r="F2041" s="490">
        <v>16524</v>
      </c>
      <c r="G2041" s="489">
        <v>493.12</v>
      </c>
      <c r="H2041" s="489">
        <v>33.50909</v>
      </c>
      <c r="I2041" s="487" t="s">
        <v>1499</v>
      </c>
      <c r="J2041" s="487" t="s">
        <v>1020</v>
      </c>
    </row>
    <row r="2042" spans="1:10" ht="15" x14ac:dyDescent="0.2">
      <c r="A2042" s="486" t="s">
        <v>1019</v>
      </c>
      <c r="B2042" s="487" t="s">
        <v>1018</v>
      </c>
      <c r="C2042" s="488" t="s">
        <v>7548</v>
      </c>
      <c r="D2042" s="489" t="s">
        <v>7549</v>
      </c>
      <c r="E2042" s="487" t="s">
        <v>7550</v>
      </c>
      <c r="F2042" s="490">
        <v>4410</v>
      </c>
      <c r="G2042" s="489">
        <v>168.04</v>
      </c>
      <c r="H2042" s="489">
        <v>26.243749999999999</v>
      </c>
      <c r="I2042" s="487" t="s">
        <v>1499</v>
      </c>
      <c r="J2042" s="487" t="s">
        <v>1020</v>
      </c>
    </row>
    <row r="2043" spans="1:10" ht="15" x14ac:dyDescent="0.2">
      <c r="A2043" s="486" t="s">
        <v>1019</v>
      </c>
      <c r="B2043" s="487" t="s">
        <v>1018</v>
      </c>
      <c r="C2043" s="488" t="s">
        <v>7551</v>
      </c>
      <c r="D2043" s="489" t="s">
        <v>7552</v>
      </c>
      <c r="E2043" s="487" t="s">
        <v>7553</v>
      </c>
      <c r="F2043" s="490">
        <v>8252</v>
      </c>
      <c r="G2043" s="489">
        <v>194.35</v>
      </c>
      <c r="H2043" s="489">
        <v>42.459479999999999</v>
      </c>
      <c r="I2043" s="487" t="s">
        <v>1499</v>
      </c>
      <c r="J2043" s="487" t="s">
        <v>1020</v>
      </c>
    </row>
    <row r="2044" spans="1:10" ht="15" x14ac:dyDescent="0.2">
      <c r="A2044" s="486" t="s">
        <v>1019</v>
      </c>
      <c r="B2044" s="487" t="s">
        <v>1018</v>
      </c>
      <c r="C2044" s="488" t="s">
        <v>7554</v>
      </c>
      <c r="D2044" s="489" t="s">
        <v>7555</v>
      </c>
      <c r="E2044" s="487" t="s">
        <v>7556</v>
      </c>
      <c r="F2044" s="490">
        <v>4076</v>
      </c>
      <c r="G2044" s="489">
        <v>110.61</v>
      </c>
      <c r="H2044" s="489">
        <v>36.850189999999998</v>
      </c>
      <c r="I2044" s="487" t="s">
        <v>1499</v>
      </c>
      <c r="J2044" s="487" t="s">
        <v>1020</v>
      </c>
    </row>
    <row r="2045" spans="1:10" ht="15" x14ac:dyDescent="0.2">
      <c r="A2045" s="486" t="s">
        <v>1019</v>
      </c>
      <c r="B2045" s="487" t="s">
        <v>1018</v>
      </c>
      <c r="C2045" s="488" t="s">
        <v>7557</v>
      </c>
      <c r="D2045" s="489" t="s">
        <v>7558</v>
      </c>
      <c r="E2045" s="487" t="s">
        <v>7559</v>
      </c>
      <c r="F2045" s="490">
        <v>21498.75</v>
      </c>
      <c r="G2045" s="489">
        <v>770.52</v>
      </c>
      <c r="H2045" s="489">
        <v>27.901610000000002</v>
      </c>
      <c r="I2045" s="487" t="s">
        <v>1499</v>
      </c>
      <c r="J2045" s="487" t="s">
        <v>1020</v>
      </c>
    </row>
    <row r="2046" spans="1:10" ht="15" x14ac:dyDescent="0.2">
      <c r="A2046" s="486" t="s">
        <v>1019</v>
      </c>
      <c r="B2046" s="487" t="s">
        <v>1018</v>
      </c>
      <c r="C2046" s="488" t="s">
        <v>7560</v>
      </c>
      <c r="D2046" s="489" t="s">
        <v>7561</v>
      </c>
      <c r="E2046" s="487" t="s">
        <v>7562</v>
      </c>
      <c r="F2046" s="490">
        <v>1000</v>
      </c>
      <c r="G2046" s="489">
        <v>91.27</v>
      </c>
      <c r="H2046" s="489">
        <v>10.9565</v>
      </c>
      <c r="I2046" s="487" t="s">
        <v>1499</v>
      </c>
      <c r="J2046" s="487" t="s">
        <v>1020</v>
      </c>
    </row>
    <row r="2047" spans="1:10" ht="15" x14ac:dyDescent="0.2">
      <c r="A2047" s="486" t="s">
        <v>1019</v>
      </c>
      <c r="B2047" s="487" t="s">
        <v>1018</v>
      </c>
      <c r="C2047" s="488" t="s">
        <v>7563</v>
      </c>
      <c r="D2047" s="489" t="s">
        <v>7564</v>
      </c>
      <c r="E2047" s="487" t="s">
        <v>7565</v>
      </c>
      <c r="F2047" s="490">
        <v>107666</v>
      </c>
      <c r="G2047" s="489">
        <v>766.86</v>
      </c>
      <c r="H2047" s="489">
        <v>140.39850999999999</v>
      </c>
      <c r="I2047" s="487" t="s">
        <v>1499</v>
      </c>
      <c r="J2047" s="487" t="s">
        <v>1020</v>
      </c>
    </row>
    <row r="2048" spans="1:10" ht="15" x14ac:dyDescent="0.2">
      <c r="A2048" s="486" t="s">
        <v>1019</v>
      </c>
      <c r="B2048" s="487" t="s">
        <v>1018</v>
      </c>
      <c r="C2048" s="488" t="s">
        <v>7566</v>
      </c>
      <c r="D2048" s="489" t="s">
        <v>7567</v>
      </c>
      <c r="E2048" s="487" t="s">
        <v>7568</v>
      </c>
      <c r="F2048" s="490">
        <v>2000</v>
      </c>
      <c r="G2048" s="489">
        <v>77.09</v>
      </c>
      <c r="H2048" s="489">
        <v>25.9437</v>
      </c>
      <c r="I2048" s="487" t="s">
        <v>1499</v>
      </c>
      <c r="J2048" s="487" t="s">
        <v>1020</v>
      </c>
    </row>
    <row r="2049" spans="1:10" ht="15" x14ac:dyDescent="0.2">
      <c r="A2049" s="486" t="s">
        <v>1019</v>
      </c>
      <c r="B2049" s="487" t="s">
        <v>1018</v>
      </c>
      <c r="C2049" s="488" t="s">
        <v>7569</v>
      </c>
      <c r="D2049" s="489" t="s">
        <v>7570</v>
      </c>
      <c r="E2049" s="487" t="s">
        <v>7571</v>
      </c>
      <c r="F2049" s="490">
        <v>0</v>
      </c>
      <c r="G2049" s="489">
        <v>70.239999999999995</v>
      </c>
      <c r="H2049" s="489">
        <v>0</v>
      </c>
      <c r="I2049" s="487" t="s">
        <v>1593</v>
      </c>
      <c r="J2049" s="487" t="s">
        <v>1020</v>
      </c>
    </row>
    <row r="2050" spans="1:10" ht="15" x14ac:dyDescent="0.2">
      <c r="A2050" s="486" t="s">
        <v>1019</v>
      </c>
      <c r="B2050" s="487" t="s">
        <v>1018</v>
      </c>
      <c r="C2050" s="488" t="s">
        <v>7572</v>
      </c>
      <c r="D2050" s="489" t="s">
        <v>7573</v>
      </c>
      <c r="E2050" s="487" t="s">
        <v>7574</v>
      </c>
      <c r="F2050" s="490">
        <v>9400</v>
      </c>
      <c r="G2050" s="489">
        <v>348.04</v>
      </c>
      <c r="H2050" s="489">
        <v>27.008389999999999</v>
      </c>
      <c r="I2050" s="487" t="s">
        <v>1499</v>
      </c>
      <c r="J2050" s="487" t="s">
        <v>1020</v>
      </c>
    </row>
    <row r="2051" spans="1:10" ht="15" x14ac:dyDescent="0.2">
      <c r="A2051" s="486" t="s">
        <v>1019</v>
      </c>
      <c r="B2051" s="487" t="s">
        <v>1018</v>
      </c>
      <c r="C2051" s="488" t="s">
        <v>7575</v>
      </c>
      <c r="D2051" s="489" t="s">
        <v>7576</v>
      </c>
      <c r="E2051" s="487" t="s">
        <v>7577</v>
      </c>
      <c r="F2051" s="490">
        <v>1100</v>
      </c>
      <c r="G2051" s="489">
        <v>80.69</v>
      </c>
      <c r="H2051" s="489">
        <v>13.63242</v>
      </c>
      <c r="I2051" s="487" t="s">
        <v>1499</v>
      </c>
      <c r="J2051" s="487" t="s">
        <v>1020</v>
      </c>
    </row>
    <row r="2052" spans="1:10" ht="15" x14ac:dyDescent="0.2">
      <c r="A2052" s="486" t="s">
        <v>1019</v>
      </c>
      <c r="B2052" s="487" t="s">
        <v>1018</v>
      </c>
      <c r="C2052" s="488" t="s">
        <v>7578</v>
      </c>
      <c r="D2052" s="489" t="s">
        <v>7579</v>
      </c>
      <c r="E2052" s="487" t="s">
        <v>7580</v>
      </c>
      <c r="F2052" s="490">
        <v>2500</v>
      </c>
      <c r="G2052" s="489">
        <v>68.05</v>
      </c>
      <c r="H2052" s="489">
        <v>36.737690000000001</v>
      </c>
      <c r="I2052" s="487" t="s">
        <v>1499</v>
      </c>
      <c r="J2052" s="487" t="s">
        <v>1020</v>
      </c>
    </row>
    <row r="2053" spans="1:10" ht="15" x14ac:dyDescent="0.2">
      <c r="A2053" s="486" t="s">
        <v>1019</v>
      </c>
      <c r="B2053" s="487" t="s">
        <v>1018</v>
      </c>
      <c r="C2053" s="488" t="s">
        <v>7581</v>
      </c>
      <c r="D2053" s="489" t="s">
        <v>7582</v>
      </c>
      <c r="E2053" s="487" t="s">
        <v>7583</v>
      </c>
      <c r="F2053" s="490">
        <v>90000</v>
      </c>
      <c r="G2053" s="489">
        <v>1216.22</v>
      </c>
      <c r="H2053" s="489">
        <v>73.999769999999998</v>
      </c>
      <c r="I2053" s="487" t="s">
        <v>1499</v>
      </c>
      <c r="J2053" s="487" t="s">
        <v>1020</v>
      </c>
    </row>
    <row r="2054" spans="1:10" ht="15" x14ac:dyDescent="0.2">
      <c r="A2054" s="486" t="s">
        <v>1019</v>
      </c>
      <c r="B2054" s="487" t="s">
        <v>1018</v>
      </c>
      <c r="C2054" s="488" t="s">
        <v>7584</v>
      </c>
      <c r="D2054" s="489" t="s">
        <v>7585</v>
      </c>
      <c r="E2054" s="487" t="s">
        <v>7586</v>
      </c>
      <c r="F2054" s="490">
        <v>22418</v>
      </c>
      <c r="G2054" s="489">
        <v>440.19</v>
      </c>
      <c r="H2054" s="489">
        <v>50.92801</v>
      </c>
      <c r="I2054" s="487" t="s">
        <v>1499</v>
      </c>
      <c r="J2054" s="487" t="s">
        <v>1020</v>
      </c>
    </row>
    <row r="2055" spans="1:10" ht="15" x14ac:dyDescent="0.2">
      <c r="A2055" s="486" t="s">
        <v>1019</v>
      </c>
      <c r="B2055" s="487" t="s">
        <v>1018</v>
      </c>
      <c r="C2055" s="488" t="s">
        <v>7587</v>
      </c>
      <c r="D2055" s="489" t="s">
        <v>7588</v>
      </c>
      <c r="E2055" s="487" t="s">
        <v>7589</v>
      </c>
      <c r="F2055" s="490">
        <v>11607.45</v>
      </c>
      <c r="G2055" s="489">
        <v>150.86000000000001</v>
      </c>
      <c r="H2055" s="489">
        <v>76.941869999999994</v>
      </c>
      <c r="I2055" s="487" t="s">
        <v>1499</v>
      </c>
      <c r="J2055" s="487" t="s">
        <v>1020</v>
      </c>
    </row>
    <row r="2056" spans="1:10" ht="15" x14ac:dyDescent="0.2">
      <c r="A2056" s="486" t="s">
        <v>1019</v>
      </c>
      <c r="B2056" s="487" t="s">
        <v>1018</v>
      </c>
      <c r="C2056" s="488" t="s">
        <v>7590</v>
      </c>
      <c r="D2056" s="489" t="s">
        <v>7591</v>
      </c>
      <c r="E2056" s="487" t="s">
        <v>7592</v>
      </c>
      <c r="F2056" s="490">
        <v>1500</v>
      </c>
      <c r="G2056" s="489">
        <v>175.76</v>
      </c>
      <c r="H2056" s="489">
        <v>8.5343699999999991</v>
      </c>
      <c r="I2056" s="487" t="s">
        <v>1499</v>
      </c>
      <c r="J2056" s="487" t="s">
        <v>1020</v>
      </c>
    </row>
    <row r="2057" spans="1:10" ht="15" x14ac:dyDescent="0.2">
      <c r="A2057" s="486" t="s">
        <v>1019</v>
      </c>
      <c r="B2057" s="487" t="s">
        <v>1018</v>
      </c>
      <c r="C2057" s="488" t="s">
        <v>7593</v>
      </c>
      <c r="D2057" s="489" t="s">
        <v>7594</v>
      </c>
      <c r="E2057" s="487" t="s">
        <v>7595</v>
      </c>
      <c r="F2057" s="490">
        <v>15900</v>
      </c>
      <c r="G2057" s="489">
        <v>147.54</v>
      </c>
      <c r="H2057" s="489">
        <v>107.76739000000001</v>
      </c>
      <c r="I2057" s="487" t="s">
        <v>1499</v>
      </c>
      <c r="J2057" s="487" t="s">
        <v>1020</v>
      </c>
    </row>
    <row r="2058" spans="1:10" ht="15" x14ac:dyDescent="0.2">
      <c r="A2058" s="486" t="s">
        <v>1019</v>
      </c>
      <c r="B2058" s="487" t="s">
        <v>1018</v>
      </c>
      <c r="C2058" s="488" t="s">
        <v>7596</v>
      </c>
      <c r="D2058" s="489" t="s">
        <v>7597</v>
      </c>
      <c r="E2058" s="487" t="s">
        <v>7598</v>
      </c>
      <c r="F2058" s="490">
        <v>3300</v>
      </c>
      <c r="G2058" s="489">
        <v>55.36</v>
      </c>
      <c r="H2058" s="489">
        <v>59.609830000000002</v>
      </c>
      <c r="I2058" s="487" t="s">
        <v>1499</v>
      </c>
      <c r="J2058" s="487" t="s">
        <v>1020</v>
      </c>
    </row>
    <row r="2059" spans="1:10" ht="15" x14ac:dyDescent="0.2">
      <c r="A2059" s="486" t="s">
        <v>1019</v>
      </c>
      <c r="B2059" s="487" t="s">
        <v>1018</v>
      </c>
      <c r="C2059" s="488" t="s">
        <v>7599</v>
      </c>
      <c r="D2059" s="489" t="s">
        <v>7600</v>
      </c>
      <c r="E2059" s="487" t="s">
        <v>7601</v>
      </c>
      <c r="F2059" s="490">
        <v>6600</v>
      </c>
      <c r="G2059" s="489">
        <v>144.55000000000001</v>
      </c>
      <c r="H2059" s="489">
        <v>45.658940000000001</v>
      </c>
      <c r="I2059" s="487" t="s">
        <v>1499</v>
      </c>
      <c r="J2059" s="487" t="s">
        <v>1020</v>
      </c>
    </row>
    <row r="2060" spans="1:10" ht="15" x14ac:dyDescent="0.2">
      <c r="A2060" s="486" t="s">
        <v>1019</v>
      </c>
      <c r="B2060" s="487" t="s">
        <v>1018</v>
      </c>
      <c r="C2060" s="488" t="s">
        <v>7602</v>
      </c>
      <c r="D2060" s="489" t="s">
        <v>7603</v>
      </c>
      <c r="E2060" s="487" t="s">
        <v>7604</v>
      </c>
      <c r="F2060" s="490">
        <v>2910</v>
      </c>
      <c r="G2060" s="489">
        <v>187.91</v>
      </c>
      <c r="H2060" s="489">
        <v>15.486140000000001</v>
      </c>
      <c r="I2060" s="487" t="s">
        <v>1499</v>
      </c>
      <c r="J2060" s="487" t="s">
        <v>1020</v>
      </c>
    </row>
    <row r="2061" spans="1:10" ht="15" x14ac:dyDescent="0.2">
      <c r="A2061" s="486" t="s">
        <v>1019</v>
      </c>
      <c r="B2061" s="487" t="s">
        <v>1018</v>
      </c>
      <c r="C2061" s="488" t="s">
        <v>7605</v>
      </c>
      <c r="D2061" s="489" t="s">
        <v>7606</v>
      </c>
      <c r="E2061" s="487" t="s">
        <v>7607</v>
      </c>
      <c r="F2061" s="490">
        <v>200000</v>
      </c>
      <c r="G2061" s="489">
        <v>2173.7199999999998</v>
      </c>
      <c r="H2061" s="489">
        <v>92.008170000000007</v>
      </c>
      <c r="I2061" s="487" t="s">
        <v>1499</v>
      </c>
      <c r="J2061" s="487" t="s">
        <v>1020</v>
      </c>
    </row>
    <row r="2062" spans="1:10" ht="15" x14ac:dyDescent="0.2">
      <c r="A2062" s="486" t="s">
        <v>1019</v>
      </c>
      <c r="B2062" s="487" t="s">
        <v>1018</v>
      </c>
      <c r="C2062" s="488" t="s">
        <v>7608</v>
      </c>
      <c r="D2062" s="489" t="s">
        <v>7609</v>
      </c>
      <c r="E2062" s="487" t="s">
        <v>7610</v>
      </c>
      <c r="F2062" s="490">
        <v>1200</v>
      </c>
      <c r="G2062" s="489">
        <v>92.04</v>
      </c>
      <c r="H2062" s="489">
        <v>13.03781</v>
      </c>
      <c r="I2062" s="487" t="s">
        <v>1499</v>
      </c>
      <c r="J2062" s="487" t="s">
        <v>1020</v>
      </c>
    </row>
    <row r="2063" spans="1:10" ht="15" x14ac:dyDescent="0.2">
      <c r="A2063" s="486" t="s">
        <v>1019</v>
      </c>
      <c r="B2063" s="487" t="s">
        <v>1018</v>
      </c>
      <c r="C2063" s="488" t="s">
        <v>7611</v>
      </c>
      <c r="D2063" s="489" t="s">
        <v>7612</v>
      </c>
      <c r="E2063" s="487" t="s">
        <v>7613</v>
      </c>
      <c r="F2063" s="490">
        <v>18819</v>
      </c>
      <c r="G2063" s="489">
        <v>320.08999999999997</v>
      </c>
      <c r="H2063" s="489">
        <v>58.792839999999998</v>
      </c>
      <c r="I2063" s="487" t="s">
        <v>1499</v>
      </c>
      <c r="J2063" s="487" t="s">
        <v>1020</v>
      </c>
    </row>
    <row r="2064" spans="1:10" ht="15" x14ac:dyDescent="0.2">
      <c r="A2064" s="486" t="s">
        <v>1019</v>
      </c>
      <c r="B2064" s="487" t="s">
        <v>1018</v>
      </c>
      <c r="C2064" s="488" t="s">
        <v>7614</v>
      </c>
      <c r="D2064" s="489" t="s">
        <v>7615</v>
      </c>
      <c r="E2064" s="487" t="s">
        <v>7616</v>
      </c>
      <c r="F2064" s="490">
        <v>27310.58</v>
      </c>
      <c r="G2064" s="489">
        <v>1241.3599999999999</v>
      </c>
      <c r="H2064" s="489">
        <v>22.000530000000001</v>
      </c>
      <c r="I2064" s="487" t="s">
        <v>1499</v>
      </c>
      <c r="J2064" s="487" t="s">
        <v>1020</v>
      </c>
    </row>
    <row r="2065" spans="1:10" ht="15" x14ac:dyDescent="0.2">
      <c r="A2065" s="486" t="s">
        <v>1019</v>
      </c>
      <c r="B2065" s="487" t="s">
        <v>1018</v>
      </c>
      <c r="C2065" s="488" t="s">
        <v>7617</v>
      </c>
      <c r="D2065" s="489" t="s">
        <v>7618</v>
      </c>
      <c r="E2065" s="487" t="s">
        <v>7619</v>
      </c>
      <c r="F2065" s="490">
        <v>1002</v>
      </c>
      <c r="G2065" s="489">
        <v>36.020000000000003</v>
      </c>
      <c r="H2065" s="489">
        <v>27.817879999999999</v>
      </c>
      <c r="I2065" s="487" t="s">
        <v>1499</v>
      </c>
      <c r="J2065" s="487" t="s">
        <v>1020</v>
      </c>
    </row>
    <row r="2066" spans="1:10" ht="15" x14ac:dyDescent="0.2">
      <c r="A2066" s="486" t="s">
        <v>1019</v>
      </c>
      <c r="B2066" s="487" t="s">
        <v>1018</v>
      </c>
      <c r="C2066" s="488" t="s">
        <v>7620</v>
      </c>
      <c r="D2066" s="489" t="s">
        <v>7621</v>
      </c>
      <c r="E2066" s="487" t="s">
        <v>7622</v>
      </c>
      <c r="F2066" s="490">
        <v>800</v>
      </c>
      <c r="G2066" s="489">
        <v>72.739999999999995</v>
      </c>
      <c r="H2066" s="489">
        <v>10.99808</v>
      </c>
      <c r="I2066" s="487" t="s">
        <v>1499</v>
      </c>
      <c r="J2066" s="487" t="s">
        <v>1020</v>
      </c>
    </row>
    <row r="2067" spans="1:10" ht="15" x14ac:dyDescent="0.2">
      <c r="A2067" s="486" t="s">
        <v>1019</v>
      </c>
      <c r="B2067" s="487" t="s">
        <v>1018</v>
      </c>
      <c r="C2067" s="488" t="s">
        <v>7623</v>
      </c>
      <c r="D2067" s="489" t="s">
        <v>7624</v>
      </c>
      <c r="E2067" s="487" t="s">
        <v>7625</v>
      </c>
      <c r="F2067" s="490">
        <v>22000</v>
      </c>
      <c r="G2067" s="489">
        <v>332.18</v>
      </c>
      <c r="H2067" s="489">
        <v>66.229150000000004</v>
      </c>
      <c r="I2067" s="487" t="s">
        <v>1499</v>
      </c>
      <c r="J2067" s="487" t="s">
        <v>1020</v>
      </c>
    </row>
    <row r="2068" spans="1:10" ht="15" x14ac:dyDescent="0.2">
      <c r="A2068" s="486" t="s">
        <v>1019</v>
      </c>
      <c r="B2068" s="487" t="s">
        <v>1018</v>
      </c>
      <c r="C2068" s="488" t="s">
        <v>7626</v>
      </c>
      <c r="D2068" s="489" t="s">
        <v>7627</v>
      </c>
      <c r="E2068" s="487" t="s">
        <v>7628</v>
      </c>
      <c r="F2068" s="490">
        <v>6196</v>
      </c>
      <c r="G2068" s="489">
        <v>135.32</v>
      </c>
      <c r="H2068" s="489">
        <v>45.787759999999999</v>
      </c>
      <c r="I2068" s="487" t="s">
        <v>1499</v>
      </c>
      <c r="J2068" s="487" t="s">
        <v>1020</v>
      </c>
    </row>
    <row r="2069" spans="1:10" ht="15" x14ac:dyDescent="0.2">
      <c r="A2069" s="486" t="s">
        <v>1019</v>
      </c>
      <c r="B2069" s="487" t="s">
        <v>1018</v>
      </c>
      <c r="C2069" s="488" t="s">
        <v>7629</v>
      </c>
      <c r="D2069" s="489" t="s">
        <v>7630</v>
      </c>
      <c r="E2069" s="487" t="s">
        <v>7631</v>
      </c>
      <c r="F2069" s="490">
        <v>43000</v>
      </c>
      <c r="G2069" s="489">
        <v>538.9</v>
      </c>
      <c r="H2069" s="489">
        <v>79.792169999999999</v>
      </c>
      <c r="I2069" s="487" t="s">
        <v>1499</v>
      </c>
      <c r="J2069" s="487" t="s">
        <v>1020</v>
      </c>
    </row>
    <row r="2070" spans="1:10" ht="15" x14ac:dyDescent="0.2">
      <c r="A2070" s="486" t="s">
        <v>1192</v>
      </c>
      <c r="B2070" s="487" t="s">
        <v>1191</v>
      </c>
      <c r="C2070" s="488" t="s">
        <v>7632</v>
      </c>
      <c r="D2070" s="489" t="s">
        <v>7633</v>
      </c>
      <c r="E2070" s="487" t="s">
        <v>7634</v>
      </c>
      <c r="F2070" s="490">
        <v>14800</v>
      </c>
      <c r="G2070" s="489">
        <v>280.08</v>
      </c>
      <c r="H2070" s="489">
        <v>52.84205</v>
      </c>
      <c r="I2070" s="487" t="s">
        <v>1499</v>
      </c>
      <c r="J2070" s="487" t="s">
        <v>1193</v>
      </c>
    </row>
    <row r="2071" spans="1:10" ht="15" x14ac:dyDescent="0.2">
      <c r="A2071" s="486" t="s">
        <v>1192</v>
      </c>
      <c r="B2071" s="487" t="s">
        <v>1191</v>
      </c>
      <c r="C2071" s="488" t="s">
        <v>7635</v>
      </c>
      <c r="D2071" s="489" t="s">
        <v>7636</v>
      </c>
      <c r="E2071" s="487" t="s">
        <v>7637</v>
      </c>
      <c r="F2071" s="490">
        <v>41650</v>
      </c>
      <c r="G2071" s="489">
        <v>426.67</v>
      </c>
      <c r="H2071" s="489">
        <v>97.616420000000005</v>
      </c>
      <c r="I2071" s="487" t="s">
        <v>1499</v>
      </c>
      <c r="J2071" s="487" t="s">
        <v>1193</v>
      </c>
    </row>
    <row r="2072" spans="1:10" ht="15" x14ac:dyDescent="0.2">
      <c r="A2072" s="486" t="s">
        <v>1192</v>
      </c>
      <c r="B2072" s="487" t="s">
        <v>1191</v>
      </c>
      <c r="C2072" s="488" t="s">
        <v>7638</v>
      </c>
      <c r="D2072" s="489" t="s">
        <v>7639</v>
      </c>
      <c r="E2072" s="487" t="s">
        <v>7640</v>
      </c>
      <c r="F2072" s="490">
        <v>20208</v>
      </c>
      <c r="G2072" s="489">
        <v>430.99</v>
      </c>
      <c r="H2072" s="489">
        <v>46.8874</v>
      </c>
      <c r="I2072" s="487" t="s">
        <v>1499</v>
      </c>
      <c r="J2072" s="487" t="s">
        <v>1193</v>
      </c>
    </row>
    <row r="2073" spans="1:10" ht="15" x14ac:dyDescent="0.2">
      <c r="A2073" s="486" t="s">
        <v>1192</v>
      </c>
      <c r="B2073" s="487" t="s">
        <v>1191</v>
      </c>
      <c r="C2073" s="488" t="s">
        <v>7641</v>
      </c>
      <c r="D2073" s="489" t="s">
        <v>7642</v>
      </c>
      <c r="E2073" s="487" t="s">
        <v>7277</v>
      </c>
      <c r="F2073" s="490">
        <v>113220</v>
      </c>
      <c r="G2073" s="489">
        <v>1392.9</v>
      </c>
      <c r="H2073" s="489">
        <v>81.283649999999994</v>
      </c>
      <c r="I2073" s="487" t="s">
        <v>1499</v>
      </c>
      <c r="J2073" s="487" t="s">
        <v>1193</v>
      </c>
    </row>
    <row r="2074" spans="1:10" ht="15" x14ac:dyDescent="0.2">
      <c r="A2074" s="486" t="s">
        <v>1192</v>
      </c>
      <c r="B2074" s="487" t="s">
        <v>1191</v>
      </c>
      <c r="C2074" s="488" t="s">
        <v>7643</v>
      </c>
      <c r="D2074" s="489" t="s">
        <v>7644</v>
      </c>
      <c r="E2074" s="487" t="s">
        <v>7645</v>
      </c>
      <c r="F2074" s="490">
        <v>28437</v>
      </c>
      <c r="G2074" s="489">
        <v>568.97</v>
      </c>
      <c r="H2074" s="489">
        <v>49.979790000000001</v>
      </c>
      <c r="I2074" s="487" t="s">
        <v>1499</v>
      </c>
      <c r="J2074" s="487" t="s">
        <v>1193</v>
      </c>
    </row>
    <row r="2075" spans="1:10" ht="15" x14ac:dyDescent="0.2">
      <c r="A2075" s="486" t="s">
        <v>1192</v>
      </c>
      <c r="B2075" s="487" t="s">
        <v>1191</v>
      </c>
      <c r="C2075" s="488" t="s">
        <v>7646</v>
      </c>
      <c r="D2075" s="489" t="s">
        <v>7647</v>
      </c>
      <c r="E2075" s="487" t="s">
        <v>7648</v>
      </c>
      <c r="F2075" s="490">
        <v>29943</v>
      </c>
      <c r="G2075" s="489">
        <v>444.06</v>
      </c>
      <c r="H2075" s="489">
        <v>67.430080000000004</v>
      </c>
      <c r="I2075" s="487" t="s">
        <v>1499</v>
      </c>
      <c r="J2075" s="487" t="s">
        <v>1193</v>
      </c>
    </row>
    <row r="2076" spans="1:10" ht="15" x14ac:dyDescent="0.2">
      <c r="A2076" s="486" t="s">
        <v>1192</v>
      </c>
      <c r="B2076" s="487" t="s">
        <v>1191</v>
      </c>
      <c r="C2076" s="488" t="s">
        <v>7649</v>
      </c>
      <c r="D2076" s="489" t="s">
        <v>7650</v>
      </c>
      <c r="E2076" s="487" t="s">
        <v>7651</v>
      </c>
      <c r="F2076" s="490">
        <v>50920</v>
      </c>
      <c r="G2076" s="489">
        <v>1468</v>
      </c>
      <c r="H2076" s="489">
        <v>34.68665</v>
      </c>
      <c r="I2076" s="487" t="s">
        <v>1499</v>
      </c>
      <c r="J2076" s="487" t="s">
        <v>1193</v>
      </c>
    </row>
    <row r="2077" spans="1:10" ht="15" x14ac:dyDescent="0.2">
      <c r="A2077" s="486" t="s">
        <v>1192</v>
      </c>
      <c r="B2077" s="487" t="s">
        <v>1191</v>
      </c>
      <c r="C2077" s="488" t="s">
        <v>7652</v>
      </c>
      <c r="D2077" s="489" t="s">
        <v>7653</v>
      </c>
      <c r="E2077" s="487" t="s">
        <v>7654</v>
      </c>
      <c r="F2077" s="490">
        <v>6070</v>
      </c>
      <c r="G2077" s="489">
        <v>121.85</v>
      </c>
      <c r="H2077" s="489">
        <v>49.815350000000002</v>
      </c>
      <c r="I2077" s="487" t="s">
        <v>1499</v>
      </c>
      <c r="J2077" s="487" t="s">
        <v>1193</v>
      </c>
    </row>
    <row r="2078" spans="1:10" ht="15" x14ac:dyDescent="0.2">
      <c r="A2078" s="486" t="s">
        <v>1192</v>
      </c>
      <c r="B2078" s="487" t="s">
        <v>1191</v>
      </c>
      <c r="C2078" s="488" t="s">
        <v>7655</v>
      </c>
      <c r="D2078" s="489" t="s">
        <v>7656</v>
      </c>
      <c r="E2078" s="487" t="s">
        <v>7657</v>
      </c>
      <c r="F2078" s="490">
        <v>12000</v>
      </c>
      <c r="G2078" s="489">
        <v>296.64999999999998</v>
      </c>
      <c r="H2078" s="489">
        <v>40.451709999999999</v>
      </c>
      <c r="I2078" s="487" t="s">
        <v>1499</v>
      </c>
      <c r="J2078" s="487" t="s">
        <v>1193</v>
      </c>
    </row>
    <row r="2079" spans="1:10" ht="15" x14ac:dyDescent="0.2">
      <c r="A2079" s="486" t="s">
        <v>1192</v>
      </c>
      <c r="B2079" s="487" t="s">
        <v>1191</v>
      </c>
      <c r="C2079" s="488" t="s">
        <v>7658</v>
      </c>
      <c r="D2079" s="489" t="s">
        <v>7659</v>
      </c>
      <c r="E2079" s="487" t="s">
        <v>7660</v>
      </c>
      <c r="F2079" s="490">
        <v>5900</v>
      </c>
      <c r="G2079" s="489">
        <v>258.45</v>
      </c>
      <c r="H2079" s="489">
        <v>22.828399999999998</v>
      </c>
      <c r="I2079" s="487" t="s">
        <v>1499</v>
      </c>
      <c r="J2079" s="487" t="s">
        <v>1193</v>
      </c>
    </row>
    <row r="2080" spans="1:10" ht="15" x14ac:dyDescent="0.2">
      <c r="A2080" s="486" t="s">
        <v>1192</v>
      </c>
      <c r="B2080" s="487" t="s">
        <v>1191</v>
      </c>
      <c r="C2080" s="488" t="s">
        <v>7661</v>
      </c>
      <c r="D2080" s="489" t="s">
        <v>7662</v>
      </c>
      <c r="E2080" s="487" t="s">
        <v>7663</v>
      </c>
      <c r="F2080" s="490">
        <v>14864</v>
      </c>
      <c r="G2080" s="489">
        <v>255.79</v>
      </c>
      <c r="H2080" s="489">
        <v>58.110169999999997</v>
      </c>
      <c r="I2080" s="487" t="s">
        <v>1499</v>
      </c>
      <c r="J2080" s="487" t="s">
        <v>1193</v>
      </c>
    </row>
    <row r="2081" spans="1:10" ht="15" x14ac:dyDescent="0.2">
      <c r="A2081" s="486" t="s">
        <v>1192</v>
      </c>
      <c r="B2081" s="487" t="s">
        <v>1191</v>
      </c>
      <c r="C2081" s="488" t="s">
        <v>7664</v>
      </c>
      <c r="D2081" s="489" t="s">
        <v>7665</v>
      </c>
      <c r="E2081" s="487" t="s">
        <v>7666</v>
      </c>
      <c r="F2081" s="490">
        <v>28550</v>
      </c>
      <c r="G2081" s="489">
        <v>420.72</v>
      </c>
      <c r="H2081" s="489">
        <v>67.859859999999998</v>
      </c>
      <c r="I2081" s="487" t="s">
        <v>1499</v>
      </c>
      <c r="J2081" s="487" t="s">
        <v>1193</v>
      </c>
    </row>
    <row r="2082" spans="1:10" ht="15" x14ac:dyDescent="0.2">
      <c r="A2082" s="486" t="s">
        <v>1192</v>
      </c>
      <c r="B2082" s="487" t="s">
        <v>1191</v>
      </c>
      <c r="C2082" s="488" t="s">
        <v>7667</v>
      </c>
      <c r="D2082" s="489" t="s">
        <v>7668</v>
      </c>
      <c r="E2082" s="487" t="s">
        <v>7669</v>
      </c>
      <c r="F2082" s="490">
        <v>10350</v>
      </c>
      <c r="G2082" s="489">
        <v>208.11</v>
      </c>
      <c r="H2082" s="489">
        <v>49.733310000000003</v>
      </c>
      <c r="I2082" s="487" t="s">
        <v>1499</v>
      </c>
      <c r="J2082" s="487" t="s">
        <v>1193</v>
      </c>
    </row>
    <row r="2083" spans="1:10" ht="15" x14ac:dyDescent="0.2">
      <c r="A2083" s="486" t="s">
        <v>1192</v>
      </c>
      <c r="B2083" s="487" t="s">
        <v>1191</v>
      </c>
      <c r="C2083" s="488" t="s">
        <v>7670</v>
      </c>
      <c r="D2083" s="489" t="s">
        <v>7671</v>
      </c>
      <c r="E2083" s="487" t="s">
        <v>7672</v>
      </c>
      <c r="F2083" s="490">
        <v>70000</v>
      </c>
      <c r="G2083" s="489">
        <v>885.89</v>
      </c>
      <c r="H2083" s="489">
        <v>79.016580000000005</v>
      </c>
      <c r="I2083" s="487" t="s">
        <v>1499</v>
      </c>
      <c r="J2083" s="487" t="s">
        <v>1193</v>
      </c>
    </row>
    <row r="2084" spans="1:10" ht="15" x14ac:dyDescent="0.2">
      <c r="A2084" s="486" t="s">
        <v>1192</v>
      </c>
      <c r="B2084" s="487" t="s">
        <v>1191</v>
      </c>
      <c r="C2084" s="488" t="s">
        <v>7673</v>
      </c>
      <c r="D2084" s="489" t="s">
        <v>7674</v>
      </c>
      <c r="E2084" s="487" t="s">
        <v>7675</v>
      </c>
      <c r="F2084" s="490">
        <v>753203</v>
      </c>
      <c r="G2084" s="489">
        <v>3163.54</v>
      </c>
      <c r="H2084" s="489">
        <v>238.08866</v>
      </c>
      <c r="I2084" s="487" t="s">
        <v>1499</v>
      </c>
      <c r="J2084" s="487" t="s">
        <v>1193</v>
      </c>
    </row>
    <row r="2085" spans="1:10" ht="15" x14ac:dyDescent="0.2">
      <c r="A2085" s="486" t="s">
        <v>1192</v>
      </c>
      <c r="B2085" s="487" t="s">
        <v>1191</v>
      </c>
      <c r="C2085" s="488" t="s">
        <v>7676</v>
      </c>
      <c r="D2085" s="489" t="s">
        <v>7677</v>
      </c>
      <c r="E2085" s="487" t="s">
        <v>7678</v>
      </c>
      <c r="F2085" s="490">
        <v>9000</v>
      </c>
      <c r="G2085" s="489">
        <v>80.06</v>
      </c>
      <c r="H2085" s="489">
        <v>112.41569</v>
      </c>
      <c r="I2085" s="487" t="s">
        <v>1499</v>
      </c>
      <c r="J2085" s="487" t="s">
        <v>1193</v>
      </c>
    </row>
    <row r="2086" spans="1:10" ht="15" x14ac:dyDescent="0.2">
      <c r="A2086" s="486" t="s">
        <v>1192</v>
      </c>
      <c r="B2086" s="487" t="s">
        <v>1191</v>
      </c>
      <c r="C2086" s="488" t="s">
        <v>7679</v>
      </c>
      <c r="D2086" s="489" t="s">
        <v>7680</v>
      </c>
      <c r="E2086" s="487" t="s">
        <v>7681</v>
      </c>
      <c r="F2086" s="490">
        <v>22201</v>
      </c>
      <c r="G2086" s="489">
        <v>280.07</v>
      </c>
      <c r="H2086" s="489">
        <v>79.269469999999998</v>
      </c>
      <c r="I2086" s="487" t="s">
        <v>1499</v>
      </c>
      <c r="J2086" s="487" t="s">
        <v>1193</v>
      </c>
    </row>
    <row r="2087" spans="1:10" ht="15" x14ac:dyDescent="0.2">
      <c r="A2087" s="486" t="s">
        <v>1192</v>
      </c>
      <c r="B2087" s="487" t="s">
        <v>1191</v>
      </c>
      <c r="C2087" s="488" t="s">
        <v>7682</v>
      </c>
      <c r="D2087" s="489" t="s">
        <v>7683</v>
      </c>
      <c r="E2087" s="487" t="s">
        <v>7684</v>
      </c>
      <c r="F2087" s="490">
        <v>19556</v>
      </c>
      <c r="G2087" s="489">
        <v>423.92</v>
      </c>
      <c r="H2087" s="489">
        <v>46.131349999999998</v>
      </c>
      <c r="I2087" s="487" t="s">
        <v>1499</v>
      </c>
      <c r="J2087" s="487" t="s">
        <v>1193</v>
      </c>
    </row>
    <row r="2088" spans="1:10" ht="15" x14ac:dyDescent="0.2">
      <c r="A2088" s="486" t="s">
        <v>1192</v>
      </c>
      <c r="B2088" s="487" t="s">
        <v>1191</v>
      </c>
      <c r="C2088" s="488" t="s">
        <v>7685</v>
      </c>
      <c r="D2088" s="489" t="s">
        <v>7686</v>
      </c>
      <c r="E2088" s="487" t="s">
        <v>7687</v>
      </c>
      <c r="F2088" s="490">
        <v>20000</v>
      </c>
      <c r="G2088" s="489">
        <v>344.07</v>
      </c>
      <c r="H2088" s="489">
        <v>58.12771</v>
      </c>
      <c r="I2088" s="487" t="s">
        <v>1499</v>
      </c>
      <c r="J2088" s="487" t="s">
        <v>1193</v>
      </c>
    </row>
    <row r="2089" spans="1:10" ht="15" x14ac:dyDescent="0.2">
      <c r="A2089" s="486" t="s">
        <v>1192</v>
      </c>
      <c r="B2089" s="487" t="s">
        <v>1191</v>
      </c>
      <c r="C2089" s="488" t="s">
        <v>7688</v>
      </c>
      <c r="D2089" s="489" t="s">
        <v>7689</v>
      </c>
      <c r="E2089" s="487" t="s">
        <v>7690</v>
      </c>
      <c r="F2089" s="490">
        <v>8058</v>
      </c>
      <c r="G2089" s="489">
        <v>284.45</v>
      </c>
      <c r="H2089" s="489">
        <v>28.32835</v>
      </c>
      <c r="I2089" s="487" t="s">
        <v>1499</v>
      </c>
      <c r="J2089" s="487" t="s">
        <v>1193</v>
      </c>
    </row>
    <row r="2090" spans="1:10" ht="15" x14ac:dyDescent="0.2">
      <c r="A2090" s="486" t="s">
        <v>1192</v>
      </c>
      <c r="B2090" s="487" t="s">
        <v>1191</v>
      </c>
      <c r="C2090" s="488" t="s">
        <v>7691</v>
      </c>
      <c r="D2090" s="489" t="s">
        <v>7692</v>
      </c>
      <c r="E2090" s="487" t="s">
        <v>7693</v>
      </c>
      <c r="F2090" s="490">
        <v>16234</v>
      </c>
      <c r="G2090" s="489">
        <v>395.17</v>
      </c>
      <c r="H2090" s="489">
        <v>41.081049999999998</v>
      </c>
      <c r="I2090" s="487" t="s">
        <v>1499</v>
      </c>
      <c r="J2090" s="487" t="s">
        <v>1193</v>
      </c>
    </row>
    <row r="2091" spans="1:10" ht="15" x14ac:dyDescent="0.2">
      <c r="A2091" s="486" t="s">
        <v>1192</v>
      </c>
      <c r="B2091" s="487" t="s">
        <v>1191</v>
      </c>
      <c r="C2091" s="488" t="s">
        <v>7694</v>
      </c>
      <c r="D2091" s="489" t="s">
        <v>7695</v>
      </c>
      <c r="E2091" s="487" t="s">
        <v>7696</v>
      </c>
      <c r="F2091" s="490">
        <v>13225</v>
      </c>
      <c r="G2091" s="489">
        <v>247.92</v>
      </c>
      <c r="H2091" s="489">
        <v>53.343820000000001</v>
      </c>
      <c r="I2091" s="487" t="s">
        <v>1499</v>
      </c>
      <c r="J2091" s="487" t="s">
        <v>1193</v>
      </c>
    </row>
    <row r="2092" spans="1:10" ht="15" x14ac:dyDescent="0.2">
      <c r="A2092" s="486" t="s">
        <v>1192</v>
      </c>
      <c r="B2092" s="487" t="s">
        <v>1191</v>
      </c>
      <c r="C2092" s="488" t="s">
        <v>7697</v>
      </c>
      <c r="D2092" s="489" t="s">
        <v>7698</v>
      </c>
      <c r="E2092" s="487" t="s">
        <v>7699</v>
      </c>
      <c r="F2092" s="490">
        <v>11660</v>
      </c>
      <c r="G2092" s="489">
        <v>239.39</v>
      </c>
      <c r="H2092" s="489">
        <v>48.707129999999999</v>
      </c>
      <c r="I2092" s="487" t="s">
        <v>1499</v>
      </c>
      <c r="J2092" s="487" t="s">
        <v>1193</v>
      </c>
    </row>
    <row r="2093" spans="1:10" ht="15" x14ac:dyDescent="0.2">
      <c r="A2093" s="486" t="s">
        <v>1192</v>
      </c>
      <c r="B2093" s="487" t="s">
        <v>1191</v>
      </c>
      <c r="C2093" s="488" t="s">
        <v>7700</v>
      </c>
      <c r="D2093" s="489" t="s">
        <v>7701</v>
      </c>
      <c r="E2093" s="487" t="s">
        <v>7702</v>
      </c>
      <c r="F2093" s="490">
        <v>26797</v>
      </c>
      <c r="G2093" s="489">
        <v>573.61</v>
      </c>
      <c r="H2093" s="489">
        <v>46.716410000000003</v>
      </c>
      <c r="I2093" s="487" t="s">
        <v>1499</v>
      </c>
      <c r="J2093" s="487" t="s">
        <v>1193</v>
      </c>
    </row>
    <row r="2094" spans="1:10" ht="15" x14ac:dyDescent="0.2">
      <c r="A2094" s="486" t="s">
        <v>1192</v>
      </c>
      <c r="B2094" s="487" t="s">
        <v>1191</v>
      </c>
      <c r="C2094" s="488" t="s">
        <v>7703</v>
      </c>
      <c r="D2094" s="489" t="s">
        <v>7704</v>
      </c>
      <c r="E2094" s="487" t="s">
        <v>7705</v>
      </c>
      <c r="F2094" s="490">
        <v>990</v>
      </c>
      <c r="G2094" s="489">
        <v>41.81</v>
      </c>
      <c r="H2094" s="489">
        <v>23.678550000000001</v>
      </c>
      <c r="I2094" s="487" t="s">
        <v>1499</v>
      </c>
      <c r="J2094" s="487" t="s">
        <v>1193</v>
      </c>
    </row>
    <row r="2095" spans="1:10" ht="15" x14ac:dyDescent="0.2">
      <c r="A2095" s="486" t="s">
        <v>1192</v>
      </c>
      <c r="B2095" s="487" t="s">
        <v>1191</v>
      </c>
      <c r="C2095" s="488" t="s">
        <v>7706</v>
      </c>
      <c r="D2095" s="489" t="s">
        <v>7707</v>
      </c>
      <c r="E2095" s="487" t="s">
        <v>7708</v>
      </c>
      <c r="F2095" s="490">
        <v>21318</v>
      </c>
      <c r="G2095" s="489">
        <v>331.9</v>
      </c>
      <c r="H2095" s="489">
        <v>64.230189999999993</v>
      </c>
      <c r="I2095" s="487" t="s">
        <v>1499</v>
      </c>
      <c r="J2095" s="487" t="s">
        <v>1193</v>
      </c>
    </row>
    <row r="2096" spans="1:10" ht="15" x14ac:dyDescent="0.2">
      <c r="A2096" s="486" t="s">
        <v>1192</v>
      </c>
      <c r="B2096" s="487" t="s">
        <v>1191</v>
      </c>
      <c r="C2096" s="488" t="s">
        <v>7709</v>
      </c>
      <c r="D2096" s="489" t="s">
        <v>7710</v>
      </c>
      <c r="E2096" s="487" t="s">
        <v>7711</v>
      </c>
      <c r="F2096" s="490">
        <v>8239</v>
      </c>
      <c r="G2096" s="489">
        <v>135.53</v>
      </c>
      <c r="H2096" s="489">
        <v>60.790970000000002</v>
      </c>
      <c r="I2096" s="487" t="s">
        <v>1499</v>
      </c>
      <c r="J2096" s="487" t="s">
        <v>1193</v>
      </c>
    </row>
    <row r="2097" spans="1:10" ht="15" x14ac:dyDescent="0.2">
      <c r="A2097" s="486" t="s">
        <v>1192</v>
      </c>
      <c r="B2097" s="487" t="s">
        <v>1191</v>
      </c>
      <c r="C2097" s="488" t="s">
        <v>7712</v>
      </c>
      <c r="D2097" s="489" t="s">
        <v>7713</v>
      </c>
      <c r="E2097" s="487" t="s">
        <v>7714</v>
      </c>
      <c r="F2097" s="490">
        <v>771437</v>
      </c>
      <c r="G2097" s="489">
        <v>4002.42</v>
      </c>
      <c r="H2097" s="489">
        <v>192.74263999999999</v>
      </c>
      <c r="I2097" s="487" t="s">
        <v>1499</v>
      </c>
      <c r="J2097" s="487" t="s">
        <v>1193</v>
      </c>
    </row>
    <row r="2098" spans="1:10" ht="15" x14ac:dyDescent="0.2">
      <c r="A2098" s="486" t="s">
        <v>1192</v>
      </c>
      <c r="B2098" s="487" t="s">
        <v>1191</v>
      </c>
      <c r="C2098" s="488" t="s">
        <v>7715</v>
      </c>
      <c r="D2098" s="489" t="s">
        <v>7716</v>
      </c>
      <c r="E2098" s="487" t="s">
        <v>7717</v>
      </c>
      <c r="F2098" s="490">
        <v>277913</v>
      </c>
      <c r="G2098" s="489">
        <v>2446.25</v>
      </c>
      <c r="H2098" s="489">
        <v>113.60777</v>
      </c>
      <c r="I2098" s="487" t="s">
        <v>1499</v>
      </c>
      <c r="J2098" s="487" t="s">
        <v>1193</v>
      </c>
    </row>
    <row r="2099" spans="1:10" ht="15" x14ac:dyDescent="0.2">
      <c r="A2099" s="486" t="s">
        <v>1192</v>
      </c>
      <c r="B2099" s="487" t="s">
        <v>1191</v>
      </c>
      <c r="C2099" s="488" t="s">
        <v>7718</v>
      </c>
      <c r="D2099" s="489" t="s">
        <v>7719</v>
      </c>
      <c r="E2099" s="487" t="s">
        <v>3666</v>
      </c>
      <c r="F2099" s="490">
        <v>12000</v>
      </c>
      <c r="G2099" s="489">
        <v>221.07</v>
      </c>
      <c r="H2099" s="489">
        <v>54.28145</v>
      </c>
      <c r="I2099" s="487" t="s">
        <v>1499</v>
      </c>
      <c r="J2099" s="487" t="s">
        <v>1193</v>
      </c>
    </row>
    <row r="2100" spans="1:10" ht="15" x14ac:dyDescent="0.2">
      <c r="A2100" s="486" t="s">
        <v>1192</v>
      </c>
      <c r="B2100" s="487" t="s">
        <v>1191</v>
      </c>
      <c r="C2100" s="488" t="s">
        <v>7720</v>
      </c>
      <c r="D2100" s="489" t="s">
        <v>7721</v>
      </c>
      <c r="E2100" s="487" t="s">
        <v>7722</v>
      </c>
      <c r="F2100" s="490">
        <v>74898</v>
      </c>
      <c r="G2100" s="489">
        <v>922.13</v>
      </c>
      <c r="H2100" s="489">
        <v>81.222819999999999</v>
      </c>
      <c r="I2100" s="487" t="s">
        <v>1499</v>
      </c>
      <c r="J2100" s="487" t="s">
        <v>1193</v>
      </c>
    </row>
    <row r="2101" spans="1:10" ht="15" x14ac:dyDescent="0.2">
      <c r="A2101" s="486" t="s">
        <v>1192</v>
      </c>
      <c r="B2101" s="487" t="s">
        <v>1191</v>
      </c>
      <c r="C2101" s="488" t="s">
        <v>7723</v>
      </c>
      <c r="D2101" s="489" t="s">
        <v>7724</v>
      </c>
      <c r="E2101" s="487" t="s">
        <v>7725</v>
      </c>
      <c r="F2101" s="490">
        <v>4528</v>
      </c>
      <c r="G2101" s="489">
        <v>115.25</v>
      </c>
      <c r="H2101" s="489">
        <v>39.288499999999999</v>
      </c>
      <c r="I2101" s="487" t="s">
        <v>1499</v>
      </c>
      <c r="J2101" s="487" t="s">
        <v>1193</v>
      </c>
    </row>
    <row r="2102" spans="1:10" ht="15" x14ac:dyDescent="0.2">
      <c r="A2102" s="486" t="s">
        <v>1192</v>
      </c>
      <c r="B2102" s="487" t="s">
        <v>1191</v>
      </c>
      <c r="C2102" s="488" t="s">
        <v>7726</v>
      </c>
      <c r="D2102" s="489" t="s">
        <v>7727</v>
      </c>
      <c r="E2102" s="487" t="s">
        <v>7728</v>
      </c>
      <c r="F2102" s="490">
        <v>39538</v>
      </c>
      <c r="G2102" s="489">
        <v>500.71</v>
      </c>
      <c r="H2102" s="489">
        <v>78.96387</v>
      </c>
      <c r="I2102" s="487" t="s">
        <v>1499</v>
      </c>
      <c r="J2102" s="487" t="s">
        <v>1193</v>
      </c>
    </row>
    <row r="2103" spans="1:10" ht="15" x14ac:dyDescent="0.2">
      <c r="A2103" s="486" t="s">
        <v>1192</v>
      </c>
      <c r="B2103" s="487" t="s">
        <v>1191</v>
      </c>
      <c r="C2103" s="488" t="s">
        <v>7729</v>
      </c>
      <c r="D2103" s="489" t="s">
        <v>7730</v>
      </c>
      <c r="E2103" s="487" t="s">
        <v>7731</v>
      </c>
      <c r="F2103" s="490">
        <v>57104</v>
      </c>
      <c r="G2103" s="489">
        <v>612.32000000000005</v>
      </c>
      <c r="H2103" s="489">
        <v>93.258430000000004</v>
      </c>
      <c r="I2103" s="487" t="s">
        <v>1499</v>
      </c>
      <c r="J2103" s="487" t="s">
        <v>1193</v>
      </c>
    </row>
    <row r="2104" spans="1:10" ht="15" x14ac:dyDescent="0.2">
      <c r="A2104" s="486" t="s">
        <v>1192</v>
      </c>
      <c r="B2104" s="487" t="s">
        <v>1191</v>
      </c>
      <c r="C2104" s="488" t="s">
        <v>7732</v>
      </c>
      <c r="D2104" s="489" t="s">
        <v>7733</v>
      </c>
      <c r="E2104" s="487" t="s">
        <v>7734</v>
      </c>
      <c r="F2104" s="490">
        <v>68000</v>
      </c>
      <c r="G2104" s="489">
        <v>899.33</v>
      </c>
      <c r="H2104" s="489">
        <v>75.611840000000001</v>
      </c>
      <c r="I2104" s="487" t="s">
        <v>1499</v>
      </c>
      <c r="J2104" s="487" t="s">
        <v>1193</v>
      </c>
    </row>
    <row r="2105" spans="1:10" ht="15" x14ac:dyDescent="0.2">
      <c r="A2105" s="486" t="s">
        <v>1192</v>
      </c>
      <c r="B2105" s="487" t="s">
        <v>1191</v>
      </c>
      <c r="C2105" s="488" t="s">
        <v>7735</v>
      </c>
      <c r="D2105" s="489" t="s">
        <v>7736</v>
      </c>
      <c r="E2105" s="487" t="s">
        <v>7737</v>
      </c>
      <c r="F2105" s="490">
        <v>61725</v>
      </c>
      <c r="G2105" s="489">
        <v>838.09</v>
      </c>
      <c r="H2105" s="489">
        <v>73.649609999999996</v>
      </c>
      <c r="I2105" s="487" t="s">
        <v>1499</v>
      </c>
      <c r="J2105" s="487" t="s">
        <v>1193</v>
      </c>
    </row>
    <row r="2106" spans="1:10" ht="15" x14ac:dyDescent="0.2">
      <c r="A2106" s="486" t="s">
        <v>1192</v>
      </c>
      <c r="B2106" s="487" t="s">
        <v>1191</v>
      </c>
      <c r="C2106" s="488" t="s">
        <v>7738</v>
      </c>
      <c r="D2106" s="489" t="s">
        <v>7739</v>
      </c>
      <c r="E2106" s="487" t="s">
        <v>7740</v>
      </c>
      <c r="F2106" s="490">
        <v>97265</v>
      </c>
      <c r="G2106" s="489">
        <v>1313.32</v>
      </c>
      <c r="H2106" s="489">
        <v>74.060400000000001</v>
      </c>
      <c r="I2106" s="487" t="s">
        <v>1499</v>
      </c>
      <c r="J2106" s="487" t="s">
        <v>1193</v>
      </c>
    </row>
    <row r="2107" spans="1:10" ht="15" x14ac:dyDescent="0.2">
      <c r="A2107" s="486" t="s">
        <v>1192</v>
      </c>
      <c r="B2107" s="487" t="s">
        <v>1191</v>
      </c>
      <c r="C2107" s="488" t="s">
        <v>7741</v>
      </c>
      <c r="D2107" s="489" t="s">
        <v>7742</v>
      </c>
      <c r="E2107" s="487" t="s">
        <v>7743</v>
      </c>
      <c r="F2107" s="490">
        <v>6000</v>
      </c>
      <c r="G2107" s="489">
        <v>222.1</v>
      </c>
      <c r="H2107" s="489">
        <v>27.014859999999999</v>
      </c>
      <c r="I2107" s="487" t="s">
        <v>1499</v>
      </c>
      <c r="J2107" s="487" t="s">
        <v>1193</v>
      </c>
    </row>
    <row r="2108" spans="1:10" ht="15" x14ac:dyDescent="0.2">
      <c r="A2108" s="486" t="s">
        <v>1192</v>
      </c>
      <c r="B2108" s="487" t="s">
        <v>1191</v>
      </c>
      <c r="C2108" s="488" t="s">
        <v>7744</v>
      </c>
      <c r="D2108" s="489" t="s">
        <v>7745</v>
      </c>
      <c r="E2108" s="487" t="s">
        <v>7746</v>
      </c>
      <c r="F2108" s="490">
        <v>10000</v>
      </c>
      <c r="G2108" s="489">
        <v>232.11</v>
      </c>
      <c r="H2108" s="489">
        <v>43.083019999999998</v>
      </c>
      <c r="I2108" s="487" t="s">
        <v>1499</v>
      </c>
      <c r="J2108" s="487" t="s">
        <v>1193</v>
      </c>
    </row>
    <row r="2109" spans="1:10" ht="15" x14ac:dyDescent="0.2">
      <c r="A2109" s="486" t="s">
        <v>1192</v>
      </c>
      <c r="B2109" s="487" t="s">
        <v>1191</v>
      </c>
      <c r="C2109" s="488" t="s">
        <v>7747</v>
      </c>
      <c r="D2109" s="489" t="s">
        <v>7748</v>
      </c>
      <c r="E2109" s="487" t="s">
        <v>7749</v>
      </c>
      <c r="F2109" s="490">
        <v>8875</v>
      </c>
      <c r="G2109" s="489">
        <v>144.36000000000001</v>
      </c>
      <c r="H2109" s="489">
        <v>61.478250000000003</v>
      </c>
      <c r="I2109" s="487" t="s">
        <v>1499</v>
      </c>
      <c r="J2109" s="487" t="s">
        <v>1193</v>
      </c>
    </row>
    <row r="2110" spans="1:10" ht="15" x14ac:dyDescent="0.2">
      <c r="A2110" s="486" t="s">
        <v>1192</v>
      </c>
      <c r="B2110" s="487" t="s">
        <v>1191</v>
      </c>
      <c r="C2110" s="488" t="s">
        <v>7750</v>
      </c>
      <c r="D2110" s="489" t="s">
        <v>7751</v>
      </c>
      <c r="E2110" s="487" t="s">
        <v>7752</v>
      </c>
      <c r="F2110" s="490">
        <v>218636</v>
      </c>
      <c r="G2110" s="489">
        <v>2678.93</v>
      </c>
      <c r="H2110" s="489">
        <v>81.61318</v>
      </c>
      <c r="I2110" s="487" t="s">
        <v>1499</v>
      </c>
      <c r="J2110" s="487" t="s">
        <v>1193</v>
      </c>
    </row>
    <row r="2111" spans="1:10" ht="15" x14ac:dyDescent="0.2">
      <c r="A2111" s="486" t="s">
        <v>1192</v>
      </c>
      <c r="B2111" s="487" t="s">
        <v>1191</v>
      </c>
      <c r="C2111" s="488" t="s">
        <v>7753</v>
      </c>
      <c r="D2111" s="489" t="s">
        <v>7754</v>
      </c>
      <c r="E2111" s="487" t="s">
        <v>7755</v>
      </c>
      <c r="F2111" s="490">
        <v>15899</v>
      </c>
      <c r="G2111" s="489">
        <v>296.20999999999998</v>
      </c>
      <c r="H2111" s="489">
        <v>53.674759999999999</v>
      </c>
      <c r="I2111" s="487" t="s">
        <v>1499</v>
      </c>
      <c r="J2111" s="487" t="s">
        <v>1193</v>
      </c>
    </row>
    <row r="2112" spans="1:10" ht="15" x14ac:dyDescent="0.2">
      <c r="A2112" s="486" t="s">
        <v>1192</v>
      </c>
      <c r="B2112" s="487" t="s">
        <v>1191</v>
      </c>
      <c r="C2112" s="488" t="s">
        <v>7756</v>
      </c>
      <c r="D2112" s="489" t="s">
        <v>7757</v>
      </c>
      <c r="E2112" s="487" t="s">
        <v>3136</v>
      </c>
      <c r="F2112" s="490">
        <v>29780</v>
      </c>
      <c r="G2112" s="489">
        <v>314.02999999999997</v>
      </c>
      <c r="H2112" s="489">
        <v>94.831699999999998</v>
      </c>
      <c r="I2112" s="487" t="s">
        <v>1499</v>
      </c>
      <c r="J2112" s="487" t="s">
        <v>1193</v>
      </c>
    </row>
    <row r="2113" spans="1:10" ht="15" x14ac:dyDescent="0.2">
      <c r="A2113" s="486" t="s">
        <v>1192</v>
      </c>
      <c r="B2113" s="487" t="s">
        <v>1191</v>
      </c>
      <c r="C2113" s="488" t="s">
        <v>7758</v>
      </c>
      <c r="D2113" s="489" t="s">
        <v>7759</v>
      </c>
      <c r="E2113" s="487" t="s">
        <v>7760</v>
      </c>
      <c r="F2113" s="490">
        <v>100000</v>
      </c>
      <c r="G2113" s="489">
        <v>1039.23</v>
      </c>
      <c r="H2113" s="489">
        <v>96.225089999999994</v>
      </c>
      <c r="I2113" s="487" t="s">
        <v>1499</v>
      </c>
      <c r="J2113" s="487" t="s">
        <v>1193</v>
      </c>
    </row>
    <row r="2114" spans="1:10" ht="15" x14ac:dyDescent="0.2">
      <c r="A2114" s="486" t="s">
        <v>1192</v>
      </c>
      <c r="B2114" s="487" t="s">
        <v>1191</v>
      </c>
      <c r="C2114" s="488" t="s">
        <v>7761</v>
      </c>
      <c r="D2114" s="489" t="s">
        <v>7762</v>
      </c>
      <c r="E2114" s="487" t="s">
        <v>7763</v>
      </c>
      <c r="F2114" s="490">
        <v>36101</v>
      </c>
      <c r="G2114" s="489">
        <v>607.17999999999995</v>
      </c>
      <c r="H2114" s="489">
        <v>59.456829999999997</v>
      </c>
      <c r="I2114" s="487" t="s">
        <v>1499</v>
      </c>
      <c r="J2114" s="487" t="s">
        <v>1193</v>
      </c>
    </row>
    <row r="2115" spans="1:10" ht="15" x14ac:dyDescent="0.2">
      <c r="A2115" s="486" t="s">
        <v>1192</v>
      </c>
      <c r="B2115" s="487" t="s">
        <v>1191</v>
      </c>
      <c r="C2115" s="488" t="s">
        <v>7764</v>
      </c>
      <c r="D2115" s="489" t="s">
        <v>7765</v>
      </c>
      <c r="E2115" s="487" t="s">
        <v>7766</v>
      </c>
      <c r="F2115" s="490">
        <v>11844</v>
      </c>
      <c r="G2115" s="489">
        <v>312.62</v>
      </c>
      <c r="H2115" s="489">
        <v>37.886249999999997</v>
      </c>
      <c r="I2115" s="487" t="s">
        <v>1499</v>
      </c>
      <c r="J2115" s="487" t="s">
        <v>1193</v>
      </c>
    </row>
    <row r="2116" spans="1:10" ht="15" x14ac:dyDescent="0.2">
      <c r="A2116" s="486" t="s">
        <v>1192</v>
      </c>
      <c r="B2116" s="487" t="s">
        <v>1191</v>
      </c>
      <c r="C2116" s="488" t="s">
        <v>7767</v>
      </c>
      <c r="D2116" s="489" t="s">
        <v>7768</v>
      </c>
      <c r="E2116" s="487" t="s">
        <v>7769</v>
      </c>
      <c r="F2116" s="490">
        <v>6650</v>
      </c>
      <c r="G2116" s="489">
        <v>151.36000000000001</v>
      </c>
      <c r="H2116" s="489">
        <v>43.934989999999999</v>
      </c>
      <c r="I2116" s="487" t="s">
        <v>1499</v>
      </c>
      <c r="J2116" s="487" t="s">
        <v>1193</v>
      </c>
    </row>
    <row r="2117" spans="1:10" ht="15" x14ac:dyDescent="0.2">
      <c r="A2117" s="486" t="s">
        <v>1192</v>
      </c>
      <c r="B2117" s="487" t="s">
        <v>1191</v>
      </c>
      <c r="C2117" s="488" t="s">
        <v>7770</v>
      </c>
      <c r="D2117" s="489" t="s">
        <v>7771</v>
      </c>
      <c r="E2117" s="487" t="s">
        <v>7772</v>
      </c>
      <c r="F2117" s="490">
        <v>13896</v>
      </c>
      <c r="G2117" s="489">
        <v>507.72</v>
      </c>
      <c r="H2117" s="489">
        <v>27.369420000000002</v>
      </c>
      <c r="I2117" s="487" t="s">
        <v>1499</v>
      </c>
      <c r="J2117" s="487" t="s">
        <v>1193</v>
      </c>
    </row>
    <row r="2118" spans="1:10" ht="15" x14ac:dyDescent="0.2">
      <c r="A2118" s="486" t="s">
        <v>1192</v>
      </c>
      <c r="B2118" s="487" t="s">
        <v>1191</v>
      </c>
      <c r="C2118" s="488" t="s">
        <v>7773</v>
      </c>
      <c r="D2118" s="489" t="s">
        <v>7774</v>
      </c>
      <c r="E2118" s="487" t="s">
        <v>7775</v>
      </c>
      <c r="F2118" s="490">
        <v>26785</v>
      </c>
      <c r="G2118" s="489">
        <v>372.79</v>
      </c>
      <c r="H2118" s="489">
        <v>71.850099999999998</v>
      </c>
      <c r="I2118" s="487" t="s">
        <v>1499</v>
      </c>
      <c r="J2118" s="487" t="s">
        <v>1193</v>
      </c>
    </row>
    <row r="2119" spans="1:10" ht="15" x14ac:dyDescent="0.2">
      <c r="A2119" s="486" t="s">
        <v>1192</v>
      </c>
      <c r="B2119" s="487" t="s">
        <v>1191</v>
      </c>
      <c r="C2119" s="488" t="s">
        <v>7776</v>
      </c>
      <c r="D2119" s="489" t="s">
        <v>7777</v>
      </c>
      <c r="E2119" s="487" t="s">
        <v>7778</v>
      </c>
      <c r="F2119" s="490">
        <v>42003</v>
      </c>
      <c r="G2119" s="489">
        <v>872.84</v>
      </c>
      <c r="H2119" s="489">
        <v>48.122219999999999</v>
      </c>
      <c r="I2119" s="487" t="s">
        <v>1499</v>
      </c>
      <c r="J2119" s="487" t="s">
        <v>1193</v>
      </c>
    </row>
    <row r="2120" spans="1:10" ht="15" x14ac:dyDescent="0.2">
      <c r="A2120" s="486" t="s">
        <v>1192</v>
      </c>
      <c r="B2120" s="487" t="s">
        <v>1191</v>
      </c>
      <c r="C2120" s="488" t="s">
        <v>7779</v>
      </c>
      <c r="D2120" s="489" t="s">
        <v>7780</v>
      </c>
      <c r="E2120" s="487" t="s">
        <v>7781</v>
      </c>
      <c r="F2120" s="490">
        <v>49000</v>
      </c>
      <c r="G2120" s="489">
        <v>808.59</v>
      </c>
      <c r="H2120" s="489">
        <v>60.599310000000003</v>
      </c>
      <c r="I2120" s="487" t="s">
        <v>1499</v>
      </c>
      <c r="J2120" s="487" t="s">
        <v>1193</v>
      </c>
    </row>
    <row r="2121" spans="1:10" ht="15" x14ac:dyDescent="0.2">
      <c r="A2121" s="486" t="s">
        <v>1192</v>
      </c>
      <c r="B2121" s="487" t="s">
        <v>1191</v>
      </c>
      <c r="C2121" s="488" t="s">
        <v>7782</v>
      </c>
      <c r="D2121" s="489" t="s">
        <v>7783</v>
      </c>
      <c r="E2121" s="487" t="s">
        <v>7784</v>
      </c>
      <c r="F2121" s="490">
        <v>53200</v>
      </c>
      <c r="G2121" s="489">
        <v>1225.8</v>
      </c>
      <c r="H2121" s="489">
        <v>43.400230000000001</v>
      </c>
      <c r="I2121" s="487" t="s">
        <v>1499</v>
      </c>
      <c r="J2121" s="487" t="s">
        <v>1193</v>
      </c>
    </row>
    <row r="2122" spans="1:10" ht="15" x14ac:dyDescent="0.2">
      <c r="A2122" s="486" t="s">
        <v>1192</v>
      </c>
      <c r="B2122" s="487" t="s">
        <v>1191</v>
      </c>
      <c r="C2122" s="488" t="s">
        <v>7785</v>
      </c>
      <c r="D2122" s="489" t="s">
        <v>7786</v>
      </c>
      <c r="E2122" s="487" t="s">
        <v>7787</v>
      </c>
      <c r="F2122" s="490">
        <v>21420</v>
      </c>
      <c r="G2122" s="489">
        <v>335.32</v>
      </c>
      <c r="H2122" s="489">
        <v>63.879280000000001</v>
      </c>
      <c r="I2122" s="487" t="s">
        <v>1499</v>
      </c>
      <c r="J2122" s="487" t="s">
        <v>1193</v>
      </c>
    </row>
    <row r="2123" spans="1:10" ht="15" x14ac:dyDescent="0.2">
      <c r="A2123" s="486" t="s">
        <v>1192</v>
      </c>
      <c r="B2123" s="487" t="s">
        <v>1191</v>
      </c>
      <c r="C2123" s="488" t="s">
        <v>7788</v>
      </c>
      <c r="D2123" s="489" t="s">
        <v>7789</v>
      </c>
      <c r="E2123" s="487" t="s">
        <v>7790</v>
      </c>
      <c r="F2123" s="490">
        <v>44934</v>
      </c>
      <c r="G2123" s="489">
        <v>992.57</v>
      </c>
      <c r="H2123" s="489">
        <v>45.270359999999997</v>
      </c>
      <c r="I2123" s="487" t="s">
        <v>1499</v>
      </c>
      <c r="J2123" s="487" t="s">
        <v>1193</v>
      </c>
    </row>
    <row r="2124" spans="1:10" ht="15" x14ac:dyDescent="0.2">
      <c r="A2124" s="486" t="s">
        <v>1192</v>
      </c>
      <c r="B2124" s="487" t="s">
        <v>1191</v>
      </c>
      <c r="C2124" s="488" t="s">
        <v>7791</v>
      </c>
      <c r="D2124" s="489" t="s">
        <v>7792</v>
      </c>
      <c r="E2124" s="487" t="s">
        <v>7793</v>
      </c>
      <c r="F2124" s="490">
        <v>688823</v>
      </c>
      <c r="G2124" s="489">
        <v>3078.83</v>
      </c>
      <c r="H2124" s="489">
        <v>223.72882000000001</v>
      </c>
      <c r="I2124" s="487" t="s">
        <v>1499</v>
      </c>
      <c r="J2124" s="487" t="s">
        <v>1193</v>
      </c>
    </row>
    <row r="2125" spans="1:10" ht="15" x14ac:dyDescent="0.2">
      <c r="A2125" s="486" t="s">
        <v>1192</v>
      </c>
      <c r="B2125" s="487" t="s">
        <v>1191</v>
      </c>
      <c r="C2125" s="488" t="s">
        <v>7794</v>
      </c>
      <c r="D2125" s="489" t="s">
        <v>7795</v>
      </c>
      <c r="E2125" s="487" t="s">
        <v>7796</v>
      </c>
      <c r="F2125" s="490">
        <v>42000</v>
      </c>
      <c r="G2125" s="489">
        <v>1195.21</v>
      </c>
      <c r="H2125" s="489">
        <v>35.140270000000001</v>
      </c>
      <c r="I2125" s="487" t="s">
        <v>1499</v>
      </c>
      <c r="J2125" s="487" t="s">
        <v>1193</v>
      </c>
    </row>
    <row r="2126" spans="1:10" ht="15" x14ac:dyDescent="0.2">
      <c r="A2126" s="486" t="s">
        <v>1192</v>
      </c>
      <c r="B2126" s="487" t="s">
        <v>1191</v>
      </c>
      <c r="C2126" s="488" t="s">
        <v>7797</v>
      </c>
      <c r="D2126" s="489" t="s">
        <v>7798</v>
      </c>
      <c r="E2126" s="487" t="s">
        <v>7799</v>
      </c>
      <c r="F2126" s="490">
        <v>94000</v>
      </c>
      <c r="G2126" s="489">
        <v>1543.97</v>
      </c>
      <c r="H2126" s="489">
        <v>60.882010000000001</v>
      </c>
      <c r="I2126" s="487" t="s">
        <v>1499</v>
      </c>
      <c r="J2126" s="487" t="s">
        <v>1193</v>
      </c>
    </row>
    <row r="2127" spans="1:10" ht="15" x14ac:dyDescent="0.2">
      <c r="A2127" s="486" t="s">
        <v>1192</v>
      </c>
      <c r="B2127" s="487" t="s">
        <v>1191</v>
      </c>
      <c r="C2127" s="488" t="s">
        <v>7800</v>
      </c>
      <c r="D2127" s="489" t="s">
        <v>7801</v>
      </c>
      <c r="E2127" s="487" t="s">
        <v>7802</v>
      </c>
      <c r="F2127" s="490">
        <v>39011</v>
      </c>
      <c r="G2127" s="489">
        <v>287.52</v>
      </c>
      <c r="H2127" s="489">
        <v>135.68100000000001</v>
      </c>
      <c r="I2127" s="487" t="s">
        <v>1499</v>
      </c>
      <c r="J2127" s="487" t="s">
        <v>1193</v>
      </c>
    </row>
    <row r="2128" spans="1:10" ht="15" x14ac:dyDescent="0.2">
      <c r="A2128" s="486" t="s">
        <v>1192</v>
      </c>
      <c r="B2128" s="487" t="s">
        <v>1191</v>
      </c>
      <c r="C2128" s="488" t="s">
        <v>7803</v>
      </c>
      <c r="D2128" s="489" t="s">
        <v>7804</v>
      </c>
      <c r="E2128" s="487" t="s">
        <v>7805</v>
      </c>
      <c r="F2128" s="490">
        <v>9400</v>
      </c>
      <c r="G2128" s="489">
        <v>126.32</v>
      </c>
      <c r="H2128" s="489">
        <v>74.414190000000005</v>
      </c>
      <c r="I2128" s="487" t="s">
        <v>1499</v>
      </c>
      <c r="J2128" s="487" t="s">
        <v>1193</v>
      </c>
    </row>
    <row r="2129" spans="1:10" ht="15" x14ac:dyDescent="0.2">
      <c r="A2129" s="486" t="s">
        <v>1192</v>
      </c>
      <c r="B2129" s="487" t="s">
        <v>1191</v>
      </c>
      <c r="C2129" s="488" t="s">
        <v>7806</v>
      </c>
      <c r="D2129" s="489" t="s">
        <v>7807</v>
      </c>
      <c r="E2129" s="487" t="s">
        <v>7808</v>
      </c>
      <c r="F2129" s="490">
        <v>640</v>
      </c>
      <c r="G2129" s="489">
        <v>127.89</v>
      </c>
      <c r="H2129" s="489">
        <v>5.0042999999999997</v>
      </c>
      <c r="I2129" s="487" t="s">
        <v>1499</v>
      </c>
      <c r="J2129" s="487" t="s">
        <v>1193</v>
      </c>
    </row>
    <row r="2130" spans="1:10" ht="15" x14ac:dyDescent="0.2">
      <c r="A2130" s="486" t="s">
        <v>1192</v>
      </c>
      <c r="B2130" s="487" t="s">
        <v>1191</v>
      </c>
      <c r="C2130" s="488" t="s">
        <v>7809</v>
      </c>
      <c r="D2130" s="489" t="s">
        <v>7810</v>
      </c>
      <c r="E2130" s="487" t="s">
        <v>7811</v>
      </c>
      <c r="F2130" s="490">
        <v>64220</v>
      </c>
      <c r="G2130" s="489">
        <v>982.33</v>
      </c>
      <c r="H2130" s="489">
        <v>65.37518</v>
      </c>
      <c r="I2130" s="487" t="s">
        <v>1499</v>
      </c>
      <c r="J2130" s="487" t="s">
        <v>1193</v>
      </c>
    </row>
    <row r="2131" spans="1:10" ht="15" x14ac:dyDescent="0.2">
      <c r="A2131" s="486" t="s">
        <v>1284</v>
      </c>
      <c r="B2131" s="487" t="s">
        <v>1283</v>
      </c>
      <c r="C2131" s="488" t="s">
        <v>7812</v>
      </c>
      <c r="D2131" s="489" t="s">
        <v>7813</v>
      </c>
      <c r="E2131" s="487" t="s">
        <v>7814</v>
      </c>
      <c r="F2131" s="490">
        <v>34000</v>
      </c>
      <c r="G2131" s="489">
        <v>645.79999999999995</v>
      </c>
      <c r="H2131" s="489">
        <v>52.647880000000001</v>
      </c>
      <c r="I2131" s="487" t="s">
        <v>1499</v>
      </c>
      <c r="J2131" s="487" t="s">
        <v>1285</v>
      </c>
    </row>
    <row r="2132" spans="1:10" ht="15" x14ac:dyDescent="0.2">
      <c r="A2132" s="486" t="s">
        <v>1284</v>
      </c>
      <c r="B2132" s="487" t="s">
        <v>1283</v>
      </c>
      <c r="C2132" s="488" t="s">
        <v>7815</v>
      </c>
      <c r="D2132" s="489" t="s">
        <v>7816</v>
      </c>
      <c r="E2132" s="487" t="s">
        <v>7817</v>
      </c>
      <c r="F2132" s="490">
        <v>224162.25</v>
      </c>
      <c r="G2132" s="489">
        <v>1494.7</v>
      </c>
      <c r="H2132" s="489">
        <v>149.97139999999999</v>
      </c>
      <c r="I2132" s="487" t="s">
        <v>1499</v>
      </c>
      <c r="J2132" s="487" t="s">
        <v>1285</v>
      </c>
    </row>
    <row r="2133" spans="1:10" ht="15" x14ac:dyDescent="0.2">
      <c r="A2133" s="486" t="s">
        <v>1284</v>
      </c>
      <c r="B2133" s="487" t="s">
        <v>1283</v>
      </c>
      <c r="C2133" s="488" t="s">
        <v>7818</v>
      </c>
      <c r="D2133" s="489" t="s">
        <v>7819</v>
      </c>
      <c r="E2133" s="487" t="s">
        <v>7820</v>
      </c>
      <c r="F2133" s="490">
        <v>0</v>
      </c>
      <c r="G2133" s="489">
        <v>37.9</v>
      </c>
      <c r="H2133" s="489">
        <v>0</v>
      </c>
      <c r="I2133" s="487" t="s">
        <v>1593</v>
      </c>
      <c r="J2133" s="487" t="s">
        <v>1285</v>
      </c>
    </row>
    <row r="2134" spans="1:10" ht="15" x14ac:dyDescent="0.2">
      <c r="A2134" s="486" t="s">
        <v>1284</v>
      </c>
      <c r="B2134" s="487" t="s">
        <v>1283</v>
      </c>
      <c r="C2134" s="488" t="s">
        <v>7821</v>
      </c>
      <c r="D2134" s="489" t="s">
        <v>7822</v>
      </c>
      <c r="E2134" s="487" t="s">
        <v>7823</v>
      </c>
      <c r="F2134" s="490">
        <v>1000</v>
      </c>
      <c r="G2134" s="489">
        <v>95.8</v>
      </c>
      <c r="H2134" s="489">
        <v>10.438409999999999</v>
      </c>
      <c r="I2134" s="487" t="s">
        <v>1499</v>
      </c>
      <c r="J2134" s="487" t="s">
        <v>1285</v>
      </c>
    </row>
    <row r="2135" spans="1:10" ht="15" x14ac:dyDescent="0.2">
      <c r="A2135" s="486" t="s">
        <v>1284</v>
      </c>
      <c r="B2135" s="487" t="s">
        <v>1283</v>
      </c>
      <c r="C2135" s="488" t="s">
        <v>7824</v>
      </c>
      <c r="D2135" s="489" t="s">
        <v>7825</v>
      </c>
      <c r="E2135" s="487" t="s">
        <v>7826</v>
      </c>
      <c r="F2135" s="490">
        <v>12000</v>
      </c>
      <c r="G2135" s="489">
        <v>174.4</v>
      </c>
      <c r="H2135" s="489">
        <v>68.807339999999996</v>
      </c>
      <c r="I2135" s="487" t="s">
        <v>1499</v>
      </c>
      <c r="J2135" s="487" t="s">
        <v>1285</v>
      </c>
    </row>
    <row r="2136" spans="1:10" ht="15" x14ac:dyDescent="0.2">
      <c r="A2136" s="486" t="s">
        <v>1284</v>
      </c>
      <c r="B2136" s="487" t="s">
        <v>1283</v>
      </c>
      <c r="C2136" s="488" t="s">
        <v>7827</v>
      </c>
      <c r="D2136" s="489" t="s">
        <v>7828</v>
      </c>
      <c r="E2136" s="487" t="s">
        <v>7829</v>
      </c>
      <c r="F2136" s="490">
        <v>85900</v>
      </c>
      <c r="G2136" s="489">
        <v>1277.5</v>
      </c>
      <c r="H2136" s="489">
        <v>67.240700000000004</v>
      </c>
      <c r="I2136" s="487" t="s">
        <v>1499</v>
      </c>
      <c r="J2136" s="487" t="s">
        <v>1285</v>
      </c>
    </row>
    <row r="2137" spans="1:10" ht="15" x14ac:dyDescent="0.2">
      <c r="A2137" s="486" t="s">
        <v>1284</v>
      </c>
      <c r="B2137" s="487" t="s">
        <v>1283</v>
      </c>
      <c r="C2137" s="488" t="s">
        <v>7830</v>
      </c>
      <c r="D2137" s="489" t="s">
        <v>7831</v>
      </c>
      <c r="E2137" s="487" t="s">
        <v>7832</v>
      </c>
      <c r="F2137" s="490">
        <v>329221</v>
      </c>
      <c r="G2137" s="489">
        <v>3211.3</v>
      </c>
      <c r="H2137" s="489">
        <v>102.51954000000001</v>
      </c>
      <c r="I2137" s="487" t="s">
        <v>1499</v>
      </c>
      <c r="J2137" s="487" t="s">
        <v>1285</v>
      </c>
    </row>
    <row r="2138" spans="1:10" ht="15" x14ac:dyDescent="0.2">
      <c r="A2138" s="486" t="s">
        <v>1284</v>
      </c>
      <c r="B2138" s="487" t="s">
        <v>1283</v>
      </c>
      <c r="C2138" s="488" t="s">
        <v>7833</v>
      </c>
      <c r="D2138" s="489" t="s">
        <v>7834</v>
      </c>
      <c r="E2138" s="487" t="s">
        <v>7835</v>
      </c>
      <c r="F2138" s="490">
        <v>13442</v>
      </c>
      <c r="G2138" s="489">
        <v>234.7</v>
      </c>
      <c r="H2138" s="489">
        <v>57.273110000000003</v>
      </c>
      <c r="I2138" s="487" t="s">
        <v>1499</v>
      </c>
      <c r="J2138" s="487" t="s">
        <v>1285</v>
      </c>
    </row>
    <row r="2139" spans="1:10" ht="15" x14ac:dyDescent="0.2">
      <c r="A2139" s="486" t="s">
        <v>1284</v>
      </c>
      <c r="B2139" s="487" t="s">
        <v>1283</v>
      </c>
      <c r="C2139" s="488" t="s">
        <v>7836</v>
      </c>
      <c r="D2139" s="489" t="s">
        <v>7837</v>
      </c>
      <c r="E2139" s="487" t="s">
        <v>7838</v>
      </c>
      <c r="F2139" s="490">
        <v>28118</v>
      </c>
      <c r="G2139" s="489">
        <v>327.60000000000002</v>
      </c>
      <c r="H2139" s="489">
        <v>85.830280000000002</v>
      </c>
      <c r="I2139" s="487" t="s">
        <v>1499</v>
      </c>
      <c r="J2139" s="487" t="s">
        <v>1285</v>
      </c>
    </row>
    <row r="2140" spans="1:10" ht="15" x14ac:dyDescent="0.2">
      <c r="A2140" s="486" t="s">
        <v>1284</v>
      </c>
      <c r="B2140" s="487" t="s">
        <v>1283</v>
      </c>
      <c r="C2140" s="488" t="s">
        <v>7839</v>
      </c>
      <c r="D2140" s="489" t="s">
        <v>7840</v>
      </c>
      <c r="E2140" s="487" t="s">
        <v>7841</v>
      </c>
      <c r="F2140" s="490">
        <v>172250</v>
      </c>
      <c r="G2140" s="489">
        <v>1201.5</v>
      </c>
      <c r="H2140" s="489">
        <v>143.36246</v>
      </c>
      <c r="I2140" s="487" t="s">
        <v>1499</v>
      </c>
      <c r="J2140" s="487" t="s">
        <v>1285</v>
      </c>
    </row>
    <row r="2141" spans="1:10" ht="15" x14ac:dyDescent="0.2">
      <c r="A2141" s="486" t="s">
        <v>1284</v>
      </c>
      <c r="B2141" s="487" t="s">
        <v>1283</v>
      </c>
      <c r="C2141" s="488" t="s">
        <v>7842</v>
      </c>
      <c r="D2141" s="489" t="s">
        <v>7843</v>
      </c>
      <c r="E2141" s="487" t="s">
        <v>7844</v>
      </c>
      <c r="F2141" s="490">
        <v>900</v>
      </c>
      <c r="G2141" s="489">
        <v>56.1</v>
      </c>
      <c r="H2141" s="489">
        <v>16.04278</v>
      </c>
      <c r="I2141" s="487" t="s">
        <v>1499</v>
      </c>
      <c r="J2141" s="487" t="s">
        <v>1285</v>
      </c>
    </row>
    <row r="2142" spans="1:10" ht="15" x14ac:dyDescent="0.2">
      <c r="A2142" s="486" t="s">
        <v>1284</v>
      </c>
      <c r="B2142" s="487" t="s">
        <v>1283</v>
      </c>
      <c r="C2142" s="488" t="s">
        <v>7845</v>
      </c>
      <c r="D2142" s="489" t="s">
        <v>7846</v>
      </c>
      <c r="E2142" s="487" t="s">
        <v>7847</v>
      </c>
      <c r="F2142" s="490">
        <v>33000</v>
      </c>
      <c r="G2142" s="489">
        <v>380.8</v>
      </c>
      <c r="H2142" s="489">
        <v>86.659660000000002</v>
      </c>
      <c r="I2142" s="487" t="s">
        <v>1499</v>
      </c>
      <c r="J2142" s="487" t="s">
        <v>1285</v>
      </c>
    </row>
    <row r="2143" spans="1:10" ht="15" x14ac:dyDescent="0.2">
      <c r="A2143" s="486" t="s">
        <v>1284</v>
      </c>
      <c r="B2143" s="487" t="s">
        <v>1283</v>
      </c>
      <c r="C2143" s="488" t="s">
        <v>7848</v>
      </c>
      <c r="D2143" s="489" t="s">
        <v>7849</v>
      </c>
      <c r="E2143" s="487" t="s">
        <v>7850</v>
      </c>
      <c r="F2143" s="490">
        <v>205074</v>
      </c>
      <c r="G2143" s="489">
        <v>1915.9</v>
      </c>
      <c r="H2143" s="489">
        <v>107.03795</v>
      </c>
      <c r="I2143" s="487" t="s">
        <v>1499</v>
      </c>
      <c r="J2143" s="487" t="s">
        <v>1285</v>
      </c>
    </row>
    <row r="2144" spans="1:10" ht="15" x14ac:dyDescent="0.2">
      <c r="A2144" s="486" t="s">
        <v>1284</v>
      </c>
      <c r="B2144" s="487" t="s">
        <v>1283</v>
      </c>
      <c r="C2144" s="488" t="s">
        <v>7851</v>
      </c>
      <c r="D2144" s="489" t="s">
        <v>7852</v>
      </c>
      <c r="E2144" s="487" t="s">
        <v>7853</v>
      </c>
      <c r="F2144" s="490">
        <v>6785</v>
      </c>
      <c r="G2144" s="489">
        <v>130.9</v>
      </c>
      <c r="H2144" s="489">
        <v>51.833460000000002</v>
      </c>
      <c r="I2144" s="487" t="s">
        <v>1499</v>
      </c>
      <c r="J2144" s="487" t="s">
        <v>1285</v>
      </c>
    </row>
    <row r="2145" spans="1:10" ht="15" x14ac:dyDescent="0.2">
      <c r="A2145" s="486" t="s">
        <v>1284</v>
      </c>
      <c r="B2145" s="487" t="s">
        <v>1283</v>
      </c>
      <c r="C2145" s="488" t="s">
        <v>7854</v>
      </c>
      <c r="D2145" s="489" t="s">
        <v>7855</v>
      </c>
      <c r="E2145" s="487" t="s">
        <v>7856</v>
      </c>
      <c r="F2145" s="490">
        <v>643438</v>
      </c>
      <c r="G2145" s="489">
        <v>5962.2</v>
      </c>
      <c r="H2145" s="489">
        <v>107.91956</v>
      </c>
      <c r="I2145" s="487" t="s">
        <v>1499</v>
      </c>
      <c r="J2145" s="487" t="s">
        <v>1285</v>
      </c>
    </row>
    <row r="2146" spans="1:10" ht="15" x14ac:dyDescent="0.2">
      <c r="A2146" s="486" t="s">
        <v>1284</v>
      </c>
      <c r="B2146" s="487" t="s">
        <v>1283</v>
      </c>
      <c r="C2146" s="488" t="s">
        <v>7857</v>
      </c>
      <c r="D2146" s="489" t="s">
        <v>7858</v>
      </c>
      <c r="E2146" s="487" t="s">
        <v>7859</v>
      </c>
      <c r="F2146" s="490">
        <v>14000</v>
      </c>
      <c r="G2146" s="489">
        <v>378.8</v>
      </c>
      <c r="H2146" s="489">
        <v>36.958820000000003</v>
      </c>
      <c r="I2146" s="487" t="s">
        <v>1499</v>
      </c>
      <c r="J2146" s="487" t="s">
        <v>1285</v>
      </c>
    </row>
    <row r="2147" spans="1:10" ht="15" x14ac:dyDescent="0.2">
      <c r="A2147" s="486" t="s">
        <v>1284</v>
      </c>
      <c r="B2147" s="487" t="s">
        <v>1283</v>
      </c>
      <c r="C2147" s="488" t="s">
        <v>7860</v>
      </c>
      <c r="D2147" s="489" t="s">
        <v>7861</v>
      </c>
      <c r="E2147" s="487" t="s">
        <v>7862</v>
      </c>
      <c r="F2147" s="490">
        <v>8867</v>
      </c>
      <c r="G2147" s="489">
        <v>151</v>
      </c>
      <c r="H2147" s="489">
        <v>58.721850000000003</v>
      </c>
      <c r="I2147" s="487" t="s">
        <v>1499</v>
      </c>
      <c r="J2147" s="487" t="s">
        <v>1285</v>
      </c>
    </row>
    <row r="2148" spans="1:10" ht="15" x14ac:dyDescent="0.2">
      <c r="A2148" s="486" t="s">
        <v>1284</v>
      </c>
      <c r="B2148" s="487" t="s">
        <v>1283</v>
      </c>
      <c r="C2148" s="488" t="s">
        <v>7863</v>
      </c>
      <c r="D2148" s="489" t="s">
        <v>7864</v>
      </c>
      <c r="E2148" s="487" t="s">
        <v>7865</v>
      </c>
      <c r="F2148" s="490">
        <v>6000</v>
      </c>
      <c r="G2148" s="489">
        <v>137.9</v>
      </c>
      <c r="H2148" s="489">
        <v>43.509790000000002</v>
      </c>
      <c r="I2148" s="487" t="s">
        <v>1499</v>
      </c>
      <c r="J2148" s="487" t="s">
        <v>1285</v>
      </c>
    </row>
    <row r="2149" spans="1:10" ht="15" x14ac:dyDescent="0.2">
      <c r="A2149" s="486" t="s">
        <v>1284</v>
      </c>
      <c r="B2149" s="487" t="s">
        <v>1283</v>
      </c>
      <c r="C2149" s="488" t="s">
        <v>7866</v>
      </c>
      <c r="D2149" s="489" t="s">
        <v>7867</v>
      </c>
      <c r="E2149" s="487" t="s">
        <v>7868</v>
      </c>
      <c r="F2149" s="490">
        <v>16560</v>
      </c>
      <c r="G2149" s="489">
        <v>316.10000000000002</v>
      </c>
      <c r="H2149" s="489">
        <v>52.388480000000001</v>
      </c>
      <c r="I2149" s="487" t="s">
        <v>1499</v>
      </c>
      <c r="J2149" s="487" t="s">
        <v>1285</v>
      </c>
    </row>
    <row r="2150" spans="1:10" ht="15" x14ac:dyDescent="0.2">
      <c r="A2150" s="486" t="s">
        <v>1284</v>
      </c>
      <c r="B2150" s="487" t="s">
        <v>1283</v>
      </c>
      <c r="C2150" s="488" t="s">
        <v>7869</v>
      </c>
      <c r="D2150" s="489" t="s">
        <v>7870</v>
      </c>
      <c r="E2150" s="487" t="s">
        <v>7871</v>
      </c>
      <c r="F2150" s="490">
        <v>172707</v>
      </c>
      <c r="G2150" s="489">
        <v>1947.2</v>
      </c>
      <c r="H2150" s="489">
        <v>88.695049999999995</v>
      </c>
      <c r="I2150" s="487" t="s">
        <v>1499</v>
      </c>
      <c r="J2150" s="487" t="s">
        <v>1285</v>
      </c>
    </row>
    <row r="2151" spans="1:10" ht="15" x14ac:dyDescent="0.2">
      <c r="A2151" s="486" t="s">
        <v>1284</v>
      </c>
      <c r="B2151" s="487" t="s">
        <v>1283</v>
      </c>
      <c r="C2151" s="488" t="s">
        <v>7872</v>
      </c>
      <c r="D2151" s="489" t="s">
        <v>7873</v>
      </c>
      <c r="E2151" s="487" t="s">
        <v>7874</v>
      </c>
      <c r="F2151" s="490">
        <v>10243</v>
      </c>
      <c r="G2151" s="489">
        <v>412.6</v>
      </c>
      <c r="H2151" s="489">
        <v>24.825500000000002</v>
      </c>
      <c r="I2151" s="487" t="s">
        <v>1499</v>
      </c>
      <c r="J2151" s="487" t="s">
        <v>1285</v>
      </c>
    </row>
    <row r="2152" spans="1:10" ht="15" x14ac:dyDescent="0.2">
      <c r="A2152" s="486" t="s">
        <v>1284</v>
      </c>
      <c r="B2152" s="487" t="s">
        <v>1283</v>
      </c>
      <c r="C2152" s="488" t="s">
        <v>7875</v>
      </c>
      <c r="D2152" s="489" t="s">
        <v>7876</v>
      </c>
      <c r="E2152" s="487" t="s">
        <v>7877</v>
      </c>
      <c r="F2152" s="490">
        <v>55618.74</v>
      </c>
      <c r="G2152" s="489">
        <v>643.1</v>
      </c>
      <c r="H2152" s="489">
        <v>86.485370000000003</v>
      </c>
      <c r="I2152" s="487" t="s">
        <v>1499</v>
      </c>
      <c r="J2152" s="487" t="s">
        <v>1285</v>
      </c>
    </row>
    <row r="2153" spans="1:10" ht="15" x14ac:dyDescent="0.2">
      <c r="A2153" s="486" t="s">
        <v>1284</v>
      </c>
      <c r="B2153" s="487" t="s">
        <v>1283</v>
      </c>
      <c r="C2153" s="488" t="s">
        <v>7878</v>
      </c>
      <c r="D2153" s="489" t="s">
        <v>7879</v>
      </c>
      <c r="E2153" s="487" t="s">
        <v>7880</v>
      </c>
      <c r="F2153" s="490">
        <v>9390</v>
      </c>
      <c r="G2153" s="489">
        <v>265</v>
      </c>
      <c r="H2153" s="489">
        <v>35.433959999999999</v>
      </c>
      <c r="I2153" s="487" t="s">
        <v>1499</v>
      </c>
      <c r="J2153" s="487" t="s">
        <v>1285</v>
      </c>
    </row>
    <row r="2154" spans="1:10" ht="15" x14ac:dyDescent="0.2">
      <c r="A2154" s="486" t="s">
        <v>1284</v>
      </c>
      <c r="B2154" s="487" t="s">
        <v>1283</v>
      </c>
      <c r="C2154" s="488" t="s">
        <v>7881</v>
      </c>
      <c r="D2154" s="489" t="s">
        <v>7882</v>
      </c>
      <c r="E2154" s="487" t="s">
        <v>7883</v>
      </c>
      <c r="F2154" s="490">
        <v>16523</v>
      </c>
      <c r="G2154" s="489">
        <v>245.6</v>
      </c>
      <c r="H2154" s="489">
        <v>67.276060000000001</v>
      </c>
      <c r="I2154" s="487" t="s">
        <v>1499</v>
      </c>
      <c r="J2154" s="487" t="s">
        <v>1285</v>
      </c>
    </row>
    <row r="2155" spans="1:10" ht="15" x14ac:dyDescent="0.2">
      <c r="A2155" s="486" t="s">
        <v>1284</v>
      </c>
      <c r="B2155" s="487" t="s">
        <v>1283</v>
      </c>
      <c r="C2155" s="488" t="s">
        <v>7884</v>
      </c>
      <c r="D2155" s="489" t="s">
        <v>7885</v>
      </c>
      <c r="E2155" s="487" t="s">
        <v>7886</v>
      </c>
      <c r="F2155" s="490">
        <v>9725</v>
      </c>
      <c r="G2155" s="489">
        <v>184.7</v>
      </c>
      <c r="H2155" s="489">
        <v>52.652949999999997</v>
      </c>
      <c r="I2155" s="487" t="s">
        <v>1499</v>
      </c>
      <c r="J2155" s="487" t="s">
        <v>1285</v>
      </c>
    </row>
    <row r="2156" spans="1:10" ht="15" x14ac:dyDescent="0.2">
      <c r="A2156" s="486" t="s">
        <v>1284</v>
      </c>
      <c r="B2156" s="487" t="s">
        <v>1283</v>
      </c>
      <c r="C2156" s="488" t="s">
        <v>7887</v>
      </c>
      <c r="D2156" s="489" t="s">
        <v>7888</v>
      </c>
      <c r="E2156" s="487" t="s">
        <v>7889</v>
      </c>
      <c r="F2156" s="490">
        <v>52401.4</v>
      </c>
      <c r="G2156" s="489">
        <v>1069.7</v>
      </c>
      <c r="H2156" s="489">
        <v>48.987009999999998</v>
      </c>
      <c r="I2156" s="487" t="s">
        <v>1499</v>
      </c>
      <c r="J2156" s="487" t="s">
        <v>1285</v>
      </c>
    </row>
    <row r="2157" spans="1:10" ht="15" x14ac:dyDescent="0.2">
      <c r="A2157" s="486" t="s">
        <v>1284</v>
      </c>
      <c r="B2157" s="487" t="s">
        <v>1283</v>
      </c>
      <c r="C2157" s="488" t="s">
        <v>7890</v>
      </c>
      <c r="D2157" s="489" t="s">
        <v>7891</v>
      </c>
      <c r="E2157" s="487" t="s">
        <v>7892</v>
      </c>
      <c r="F2157" s="490">
        <v>74380</v>
      </c>
      <c r="G2157" s="489">
        <v>991.2</v>
      </c>
      <c r="H2157" s="489">
        <v>75.040360000000007</v>
      </c>
      <c r="I2157" s="487" t="s">
        <v>1499</v>
      </c>
      <c r="J2157" s="487" t="s">
        <v>1285</v>
      </c>
    </row>
    <row r="2158" spans="1:10" ht="15" x14ac:dyDescent="0.2">
      <c r="A2158" s="486" t="s">
        <v>1284</v>
      </c>
      <c r="B2158" s="487" t="s">
        <v>1283</v>
      </c>
      <c r="C2158" s="488" t="s">
        <v>7893</v>
      </c>
      <c r="D2158" s="489" t="s">
        <v>7894</v>
      </c>
      <c r="E2158" s="487" t="s">
        <v>1858</v>
      </c>
      <c r="F2158" s="490">
        <v>41940</v>
      </c>
      <c r="G2158" s="489">
        <v>467.1</v>
      </c>
      <c r="H2158" s="489">
        <v>89.788049999999998</v>
      </c>
      <c r="I2158" s="487" t="s">
        <v>1499</v>
      </c>
      <c r="J2158" s="487" t="s">
        <v>1285</v>
      </c>
    </row>
    <row r="2159" spans="1:10" ht="15" x14ac:dyDescent="0.2">
      <c r="A2159" s="486" t="s">
        <v>1284</v>
      </c>
      <c r="B2159" s="487" t="s">
        <v>1283</v>
      </c>
      <c r="C2159" s="488" t="s">
        <v>7895</v>
      </c>
      <c r="D2159" s="489" t="s">
        <v>7896</v>
      </c>
      <c r="E2159" s="487" t="s">
        <v>7897</v>
      </c>
      <c r="F2159" s="490">
        <v>29707</v>
      </c>
      <c r="G2159" s="489">
        <v>465.9</v>
      </c>
      <c r="H2159" s="489">
        <v>63.762610000000002</v>
      </c>
      <c r="I2159" s="487" t="s">
        <v>1499</v>
      </c>
      <c r="J2159" s="487" t="s">
        <v>1285</v>
      </c>
    </row>
    <row r="2160" spans="1:10" ht="15" x14ac:dyDescent="0.2">
      <c r="A2160" s="486" t="s">
        <v>1284</v>
      </c>
      <c r="B2160" s="487" t="s">
        <v>1283</v>
      </c>
      <c r="C2160" s="488" t="s">
        <v>7898</v>
      </c>
      <c r="D2160" s="489" t="s">
        <v>7899</v>
      </c>
      <c r="E2160" s="487" t="s">
        <v>7900</v>
      </c>
      <c r="F2160" s="490">
        <v>190000</v>
      </c>
      <c r="G2160" s="489">
        <v>1886.6</v>
      </c>
      <c r="H2160" s="489">
        <v>100.71026999999999</v>
      </c>
      <c r="I2160" s="487" t="s">
        <v>1499</v>
      </c>
      <c r="J2160" s="487" t="s">
        <v>1285</v>
      </c>
    </row>
    <row r="2161" spans="1:10" ht="15" x14ac:dyDescent="0.2">
      <c r="A2161" s="486" t="s">
        <v>1284</v>
      </c>
      <c r="B2161" s="487" t="s">
        <v>1283</v>
      </c>
      <c r="C2161" s="488" t="s">
        <v>7901</v>
      </c>
      <c r="D2161" s="489" t="s">
        <v>7902</v>
      </c>
      <c r="E2161" s="487" t="s">
        <v>7903</v>
      </c>
      <c r="F2161" s="490">
        <v>401408</v>
      </c>
      <c r="G2161" s="489">
        <v>4137.3</v>
      </c>
      <c r="H2161" s="489">
        <v>97.021730000000005</v>
      </c>
      <c r="I2161" s="487" t="s">
        <v>1499</v>
      </c>
      <c r="J2161" s="487" t="s">
        <v>1285</v>
      </c>
    </row>
    <row r="2162" spans="1:10" ht="15" x14ac:dyDescent="0.2">
      <c r="A2162" s="486" t="s">
        <v>1284</v>
      </c>
      <c r="B2162" s="487" t="s">
        <v>1283</v>
      </c>
      <c r="C2162" s="488" t="s">
        <v>7904</v>
      </c>
      <c r="D2162" s="489" t="s">
        <v>7905</v>
      </c>
      <c r="E2162" s="487" t="s">
        <v>7906</v>
      </c>
      <c r="F2162" s="490">
        <v>13987</v>
      </c>
      <c r="G2162" s="489">
        <v>346.2</v>
      </c>
      <c r="H2162" s="489">
        <v>40.401499999999999</v>
      </c>
      <c r="I2162" s="487" t="s">
        <v>1499</v>
      </c>
      <c r="J2162" s="487" t="s">
        <v>1285</v>
      </c>
    </row>
    <row r="2163" spans="1:10" ht="15" x14ac:dyDescent="0.2">
      <c r="A2163" s="486" t="s">
        <v>1284</v>
      </c>
      <c r="B2163" s="487" t="s">
        <v>1283</v>
      </c>
      <c r="C2163" s="488" t="s">
        <v>7907</v>
      </c>
      <c r="D2163" s="489" t="s">
        <v>7908</v>
      </c>
      <c r="E2163" s="487" t="s">
        <v>7909</v>
      </c>
      <c r="F2163" s="490">
        <v>600</v>
      </c>
      <c r="G2163" s="489">
        <v>67.8</v>
      </c>
      <c r="H2163" s="489">
        <v>8.8495600000000003</v>
      </c>
      <c r="I2163" s="487" t="s">
        <v>1499</v>
      </c>
      <c r="J2163" s="487" t="s">
        <v>1285</v>
      </c>
    </row>
    <row r="2164" spans="1:10" ht="15" x14ac:dyDescent="0.2">
      <c r="A2164" s="486" t="s">
        <v>1284</v>
      </c>
      <c r="B2164" s="487" t="s">
        <v>1283</v>
      </c>
      <c r="C2164" s="488" t="s">
        <v>7910</v>
      </c>
      <c r="D2164" s="489" t="s">
        <v>7911</v>
      </c>
      <c r="E2164" s="487" t="s">
        <v>7912</v>
      </c>
      <c r="F2164" s="490">
        <v>7475.28</v>
      </c>
      <c r="G2164" s="489">
        <v>188.4</v>
      </c>
      <c r="H2164" s="489">
        <v>39.677709999999998</v>
      </c>
      <c r="I2164" s="487" t="s">
        <v>1499</v>
      </c>
      <c r="J2164" s="487" t="s">
        <v>1285</v>
      </c>
    </row>
    <row r="2165" spans="1:10" ht="15" x14ac:dyDescent="0.2">
      <c r="A2165" s="486" t="s">
        <v>1284</v>
      </c>
      <c r="B2165" s="487" t="s">
        <v>1283</v>
      </c>
      <c r="C2165" s="488" t="s">
        <v>7913</v>
      </c>
      <c r="D2165" s="489" t="s">
        <v>7914</v>
      </c>
      <c r="E2165" s="487" t="s">
        <v>7915</v>
      </c>
      <c r="F2165" s="490">
        <v>55940</v>
      </c>
      <c r="G2165" s="489">
        <v>728.9</v>
      </c>
      <c r="H2165" s="489">
        <v>76.745779999999996</v>
      </c>
      <c r="I2165" s="487" t="s">
        <v>1499</v>
      </c>
      <c r="J2165" s="487" t="s">
        <v>1285</v>
      </c>
    </row>
    <row r="2166" spans="1:10" ht="15" x14ac:dyDescent="0.2">
      <c r="A2166" s="486" t="s">
        <v>1284</v>
      </c>
      <c r="B2166" s="487" t="s">
        <v>1283</v>
      </c>
      <c r="C2166" s="488" t="s">
        <v>7916</v>
      </c>
      <c r="D2166" s="489" t="s">
        <v>7917</v>
      </c>
      <c r="E2166" s="487" t="s">
        <v>7918</v>
      </c>
      <c r="F2166" s="490">
        <v>1698731</v>
      </c>
      <c r="G2166" s="489">
        <v>8909.5</v>
      </c>
      <c r="H2166" s="489">
        <v>190.66513</v>
      </c>
      <c r="I2166" s="487" t="s">
        <v>1499</v>
      </c>
      <c r="J2166" s="487" t="s">
        <v>1285</v>
      </c>
    </row>
    <row r="2167" spans="1:10" ht="15" x14ac:dyDescent="0.2">
      <c r="A2167" s="486" t="s">
        <v>1284</v>
      </c>
      <c r="B2167" s="487" t="s">
        <v>1283</v>
      </c>
      <c r="C2167" s="488" t="s">
        <v>7919</v>
      </c>
      <c r="D2167" s="489" t="s">
        <v>7920</v>
      </c>
      <c r="E2167" s="487" t="s">
        <v>7921</v>
      </c>
      <c r="F2167" s="490">
        <v>10076</v>
      </c>
      <c r="G2167" s="489">
        <v>159.1</v>
      </c>
      <c r="H2167" s="489">
        <v>63.331240000000001</v>
      </c>
      <c r="I2167" s="487" t="s">
        <v>1499</v>
      </c>
      <c r="J2167" s="487" t="s">
        <v>1285</v>
      </c>
    </row>
    <row r="2168" spans="1:10" ht="15" x14ac:dyDescent="0.2">
      <c r="A2168" s="486" t="s">
        <v>1284</v>
      </c>
      <c r="B2168" s="487" t="s">
        <v>1283</v>
      </c>
      <c r="C2168" s="488" t="s">
        <v>7922</v>
      </c>
      <c r="D2168" s="489" t="s">
        <v>7923</v>
      </c>
      <c r="E2168" s="487" t="s">
        <v>7924</v>
      </c>
      <c r="F2168" s="490">
        <v>55000</v>
      </c>
      <c r="G2168" s="489">
        <v>1079.9000000000001</v>
      </c>
      <c r="H2168" s="489">
        <v>50.930639999999997</v>
      </c>
      <c r="I2168" s="487" t="s">
        <v>1499</v>
      </c>
      <c r="J2168" s="487" t="s">
        <v>1285</v>
      </c>
    </row>
    <row r="2169" spans="1:10" ht="15" x14ac:dyDescent="0.2">
      <c r="A2169" s="486" t="s">
        <v>1284</v>
      </c>
      <c r="B2169" s="487" t="s">
        <v>1283</v>
      </c>
      <c r="C2169" s="488" t="s">
        <v>7925</v>
      </c>
      <c r="D2169" s="489" t="s">
        <v>7926</v>
      </c>
      <c r="E2169" s="487" t="s">
        <v>7927</v>
      </c>
      <c r="F2169" s="490">
        <v>0</v>
      </c>
      <c r="G2169" s="489">
        <v>47</v>
      </c>
      <c r="H2169" s="489">
        <v>0</v>
      </c>
      <c r="I2169" s="487" t="s">
        <v>1593</v>
      </c>
      <c r="J2169" s="487" t="s">
        <v>1285</v>
      </c>
    </row>
    <row r="2170" spans="1:10" ht="15" x14ac:dyDescent="0.2">
      <c r="A2170" s="486" t="s">
        <v>1284</v>
      </c>
      <c r="B2170" s="487" t="s">
        <v>1283</v>
      </c>
      <c r="C2170" s="488" t="s">
        <v>7928</v>
      </c>
      <c r="D2170" s="489" t="s">
        <v>7929</v>
      </c>
      <c r="E2170" s="487" t="s">
        <v>7930</v>
      </c>
      <c r="F2170" s="490">
        <v>64300</v>
      </c>
      <c r="G2170" s="489">
        <v>1103.8</v>
      </c>
      <c r="H2170" s="489">
        <v>58.253309999999999</v>
      </c>
      <c r="I2170" s="487" t="s">
        <v>1499</v>
      </c>
      <c r="J2170" s="487" t="s">
        <v>1285</v>
      </c>
    </row>
    <row r="2171" spans="1:10" ht="15" x14ac:dyDescent="0.2">
      <c r="A2171" s="486" t="s">
        <v>1284</v>
      </c>
      <c r="B2171" s="487" t="s">
        <v>1283</v>
      </c>
      <c r="C2171" s="488" t="s">
        <v>7931</v>
      </c>
      <c r="D2171" s="489" t="s">
        <v>7932</v>
      </c>
      <c r="E2171" s="487" t="s">
        <v>7933</v>
      </c>
      <c r="F2171" s="490">
        <v>5200</v>
      </c>
      <c r="G2171" s="489">
        <v>170</v>
      </c>
      <c r="H2171" s="489">
        <v>30.588239999999999</v>
      </c>
      <c r="I2171" s="487" t="s">
        <v>1499</v>
      </c>
      <c r="J2171" s="487" t="s">
        <v>1285</v>
      </c>
    </row>
    <row r="2172" spans="1:10" ht="15" x14ac:dyDescent="0.2">
      <c r="A2172" s="486" t="s">
        <v>1284</v>
      </c>
      <c r="B2172" s="487" t="s">
        <v>1283</v>
      </c>
      <c r="C2172" s="488" t="s">
        <v>7934</v>
      </c>
      <c r="D2172" s="489" t="s">
        <v>7935</v>
      </c>
      <c r="E2172" s="487" t="s">
        <v>7936</v>
      </c>
      <c r="F2172" s="490">
        <v>52280</v>
      </c>
      <c r="G2172" s="489">
        <v>591.70000000000005</v>
      </c>
      <c r="H2172" s="489">
        <v>88.355590000000007</v>
      </c>
      <c r="I2172" s="487" t="s">
        <v>1499</v>
      </c>
      <c r="J2172" s="487" t="s">
        <v>1285</v>
      </c>
    </row>
    <row r="2173" spans="1:10" ht="15" x14ac:dyDescent="0.2">
      <c r="A2173" s="486" t="s">
        <v>1284</v>
      </c>
      <c r="B2173" s="487" t="s">
        <v>1283</v>
      </c>
      <c r="C2173" s="488" t="s">
        <v>7937</v>
      </c>
      <c r="D2173" s="489" t="s">
        <v>7938</v>
      </c>
      <c r="E2173" s="487" t="s">
        <v>7939</v>
      </c>
      <c r="F2173" s="490">
        <v>28875</v>
      </c>
      <c r="G2173" s="489">
        <v>350.2</v>
      </c>
      <c r="H2173" s="489">
        <v>82.452879999999993</v>
      </c>
      <c r="I2173" s="487" t="s">
        <v>1499</v>
      </c>
      <c r="J2173" s="487" t="s">
        <v>1285</v>
      </c>
    </row>
    <row r="2174" spans="1:10" ht="15" x14ac:dyDescent="0.2">
      <c r="A2174" s="486" t="s">
        <v>1284</v>
      </c>
      <c r="B2174" s="487" t="s">
        <v>1283</v>
      </c>
      <c r="C2174" s="488" t="s">
        <v>7940</v>
      </c>
      <c r="D2174" s="489" t="s">
        <v>7941</v>
      </c>
      <c r="E2174" s="487" t="s">
        <v>7942</v>
      </c>
      <c r="F2174" s="490">
        <v>41850</v>
      </c>
      <c r="G2174" s="489">
        <v>591.1</v>
      </c>
      <c r="H2174" s="489">
        <v>70.800200000000004</v>
      </c>
      <c r="I2174" s="487" t="s">
        <v>1499</v>
      </c>
      <c r="J2174" s="487" t="s">
        <v>1285</v>
      </c>
    </row>
    <row r="2175" spans="1:10" ht="15" x14ac:dyDescent="0.2">
      <c r="A2175" s="486" t="s">
        <v>1284</v>
      </c>
      <c r="B2175" s="487" t="s">
        <v>1283</v>
      </c>
      <c r="C2175" s="488" t="s">
        <v>7943</v>
      </c>
      <c r="D2175" s="489" t="s">
        <v>7944</v>
      </c>
      <c r="E2175" s="487" t="s">
        <v>7945</v>
      </c>
      <c r="F2175" s="490">
        <v>2000</v>
      </c>
      <c r="G2175" s="489">
        <v>76.599999999999994</v>
      </c>
      <c r="H2175" s="489">
        <v>26.109660000000002</v>
      </c>
      <c r="I2175" s="487" t="s">
        <v>1499</v>
      </c>
      <c r="J2175" s="487" t="s">
        <v>1285</v>
      </c>
    </row>
    <row r="2176" spans="1:10" ht="15" x14ac:dyDescent="0.2">
      <c r="A2176" s="486" t="s">
        <v>1284</v>
      </c>
      <c r="B2176" s="487" t="s">
        <v>1283</v>
      </c>
      <c r="C2176" s="488" t="s">
        <v>7946</v>
      </c>
      <c r="D2176" s="489" t="s">
        <v>7947</v>
      </c>
      <c r="E2176" s="487" t="s">
        <v>7948</v>
      </c>
      <c r="F2176" s="490">
        <v>1052997</v>
      </c>
      <c r="G2176" s="489">
        <v>5514.8</v>
      </c>
      <c r="H2176" s="489">
        <v>190.9402</v>
      </c>
      <c r="I2176" s="487" t="s">
        <v>1499</v>
      </c>
      <c r="J2176" s="487" t="s">
        <v>1285</v>
      </c>
    </row>
    <row r="2177" spans="1:10" ht="15" x14ac:dyDescent="0.2">
      <c r="A2177" s="486" t="s">
        <v>1284</v>
      </c>
      <c r="B2177" s="487" t="s">
        <v>1283</v>
      </c>
      <c r="C2177" s="488" t="s">
        <v>7949</v>
      </c>
      <c r="D2177" s="489" t="s">
        <v>7950</v>
      </c>
      <c r="E2177" s="487" t="s">
        <v>7951</v>
      </c>
      <c r="F2177" s="490">
        <v>940</v>
      </c>
      <c r="G2177" s="489">
        <v>89.5</v>
      </c>
      <c r="H2177" s="489">
        <v>10.502789999999999</v>
      </c>
      <c r="I2177" s="487" t="s">
        <v>1499</v>
      </c>
      <c r="J2177" s="487" t="s">
        <v>1285</v>
      </c>
    </row>
    <row r="2178" spans="1:10" ht="15" x14ac:dyDescent="0.2">
      <c r="A2178" s="486" t="s">
        <v>1284</v>
      </c>
      <c r="B2178" s="487" t="s">
        <v>1283</v>
      </c>
      <c r="C2178" s="488" t="s">
        <v>7952</v>
      </c>
      <c r="D2178" s="489" t="s">
        <v>7953</v>
      </c>
      <c r="E2178" s="487" t="s">
        <v>7954</v>
      </c>
      <c r="F2178" s="490">
        <v>6283</v>
      </c>
      <c r="G2178" s="489">
        <v>324.89999999999998</v>
      </c>
      <c r="H2178" s="489">
        <v>19.338259999999998</v>
      </c>
      <c r="I2178" s="487" t="s">
        <v>1499</v>
      </c>
      <c r="J2178" s="487" t="s">
        <v>1285</v>
      </c>
    </row>
    <row r="2179" spans="1:10" ht="15" x14ac:dyDescent="0.2">
      <c r="A2179" s="486" t="s">
        <v>1284</v>
      </c>
      <c r="B2179" s="487" t="s">
        <v>1283</v>
      </c>
      <c r="C2179" s="488" t="s">
        <v>7955</v>
      </c>
      <c r="D2179" s="489" t="s">
        <v>7956</v>
      </c>
      <c r="E2179" s="487" t="s">
        <v>7957</v>
      </c>
      <c r="F2179" s="490">
        <v>7113</v>
      </c>
      <c r="G2179" s="489">
        <v>298.89999999999998</v>
      </c>
      <c r="H2179" s="489">
        <v>23.797260000000001</v>
      </c>
      <c r="I2179" s="487" t="s">
        <v>1499</v>
      </c>
      <c r="J2179" s="487" t="s">
        <v>1285</v>
      </c>
    </row>
    <row r="2180" spans="1:10" ht="15" x14ac:dyDescent="0.2">
      <c r="A2180" s="486" t="s">
        <v>1284</v>
      </c>
      <c r="B2180" s="487" t="s">
        <v>1283</v>
      </c>
      <c r="C2180" s="488" t="s">
        <v>7958</v>
      </c>
      <c r="D2180" s="489" t="s">
        <v>7959</v>
      </c>
      <c r="E2180" s="487" t="s">
        <v>7960</v>
      </c>
      <c r="F2180" s="490">
        <v>0</v>
      </c>
      <c r="G2180" s="489">
        <v>76.8</v>
      </c>
      <c r="H2180" s="489">
        <v>0</v>
      </c>
      <c r="I2180" s="487" t="s">
        <v>1593</v>
      </c>
      <c r="J2180" s="487" t="s">
        <v>1285</v>
      </c>
    </row>
    <row r="2181" spans="1:10" ht="15" x14ac:dyDescent="0.2">
      <c r="A2181" s="486" t="s">
        <v>1314</v>
      </c>
      <c r="B2181" s="487" t="s">
        <v>1313</v>
      </c>
      <c r="C2181" s="488" t="s">
        <v>7961</v>
      </c>
      <c r="D2181" s="489" t="s">
        <v>7962</v>
      </c>
      <c r="E2181" s="487" t="s">
        <v>7963</v>
      </c>
      <c r="F2181" s="490">
        <v>0</v>
      </c>
      <c r="G2181" s="489">
        <v>15.49</v>
      </c>
      <c r="H2181" s="489">
        <v>0</v>
      </c>
      <c r="I2181" s="487" t="s">
        <v>1593</v>
      </c>
      <c r="J2181" s="487" t="s">
        <v>1315</v>
      </c>
    </row>
    <row r="2182" spans="1:10" ht="15" x14ac:dyDescent="0.2">
      <c r="A2182" s="486" t="s">
        <v>1314</v>
      </c>
      <c r="B2182" s="487" t="s">
        <v>1313</v>
      </c>
      <c r="C2182" s="488" t="s">
        <v>7964</v>
      </c>
      <c r="D2182" s="489" t="s">
        <v>7965</v>
      </c>
      <c r="E2182" s="487" t="s">
        <v>7966</v>
      </c>
      <c r="F2182" s="490">
        <v>9750</v>
      </c>
      <c r="G2182" s="489">
        <v>254.67</v>
      </c>
      <c r="H2182" s="489">
        <v>38.284840000000003</v>
      </c>
      <c r="I2182" s="487" t="s">
        <v>1499</v>
      </c>
      <c r="J2182" s="487" t="s">
        <v>1315</v>
      </c>
    </row>
    <row r="2183" spans="1:10" ht="15" x14ac:dyDescent="0.2">
      <c r="A2183" s="486" t="s">
        <v>1314</v>
      </c>
      <c r="B2183" s="487" t="s">
        <v>1313</v>
      </c>
      <c r="C2183" s="488" t="s">
        <v>7967</v>
      </c>
      <c r="D2183" s="489" t="s">
        <v>7968</v>
      </c>
      <c r="E2183" s="487" t="s">
        <v>7969</v>
      </c>
      <c r="F2183" s="490">
        <v>7280</v>
      </c>
      <c r="G2183" s="489">
        <v>176.13</v>
      </c>
      <c r="H2183" s="489">
        <v>41.333109999999998</v>
      </c>
      <c r="I2183" s="487" t="s">
        <v>2465</v>
      </c>
      <c r="J2183" s="487" t="s">
        <v>1315</v>
      </c>
    </row>
    <row r="2184" spans="1:10" ht="15" x14ac:dyDescent="0.2">
      <c r="A2184" s="486" t="s">
        <v>1314</v>
      </c>
      <c r="B2184" s="487" t="s">
        <v>1313</v>
      </c>
      <c r="C2184" s="488" t="s">
        <v>7970</v>
      </c>
      <c r="D2184" s="489" t="s">
        <v>7971</v>
      </c>
      <c r="E2184" s="487" t="s">
        <v>7972</v>
      </c>
      <c r="F2184" s="490">
        <v>5616</v>
      </c>
      <c r="G2184" s="489">
        <v>156.38</v>
      </c>
      <c r="H2184" s="489">
        <v>35.912520000000001</v>
      </c>
      <c r="I2184" s="487" t="s">
        <v>1499</v>
      </c>
      <c r="J2184" s="487" t="s">
        <v>1315</v>
      </c>
    </row>
    <row r="2185" spans="1:10" ht="15" x14ac:dyDescent="0.2">
      <c r="A2185" s="486" t="s">
        <v>1314</v>
      </c>
      <c r="B2185" s="487" t="s">
        <v>1313</v>
      </c>
      <c r="C2185" s="488" t="s">
        <v>7973</v>
      </c>
      <c r="D2185" s="489" t="s">
        <v>7974</v>
      </c>
      <c r="E2185" s="487" t="s">
        <v>7975</v>
      </c>
      <c r="F2185" s="490">
        <v>0</v>
      </c>
      <c r="G2185" s="489">
        <v>9.69</v>
      </c>
      <c r="H2185" s="489">
        <v>0</v>
      </c>
      <c r="I2185" s="487" t="s">
        <v>1593</v>
      </c>
      <c r="J2185" s="487" t="s">
        <v>1315</v>
      </c>
    </row>
    <row r="2186" spans="1:10" ht="15" x14ac:dyDescent="0.2">
      <c r="A2186" s="486" t="s">
        <v>1314</v>
      </c>
      <c r="B2186" s="487" t="s">
        <v>1313</v>
      </c>
      <c r="C2186" s="488" t="s">
        <v>7976</v>
      </c>
      <c r="D2186" s="489" t="s">
        <v>7977</v>
      </c>
      <c r="E2186" s="487" t="s">
        <v>7978</v>
      </c>
      <c r="F2186" s="490">
        <v>11000</v>
      </c>
      <c r="G2186" s="489">
        <v>228.8</v>
      </c>
      <c r="H2186" s="489">
        <v>48.076920000000001</v>
      </c>
      <c r="I2186" s="487" t="s">
        <v>1499</v>
      </c>
      <c r="J2186" s="487" t="s">
        <v>1315</v>
      </c>
    </row>
    <row r="2187" spans="1:10" ht="15" x14ac:dyDescent="0.2">
      <c r="A2187" s="486" t="s">
        <v>1314</v>
      </c>
      <c r="B2187" s="487" t="s">
        <v>1313</v>
      </c>
      <c r="C2187" s="488" t="s">
        <v>7979</v>
      </c>
      <c r="D2187" s="489" t="s">
        <v>7980</v>
      </c>
      <c r="E2187" s="487" t="s">
        <v>7981</v>
      </c>
      <c r="F2187" s="490">
        <v>9538</v>
      </c>
      <c r="G2187" s="489">
        <v>315.01</v>
      </c>
      <c r="H2187" s="489">
        <v>30.278400000000001</v>
      </c>
      <c r="I2187" s="487" t="s">
        <v>1499</v>
      </c>
      <c r="J2187" s="487" t="s">
        <v>1315</v>
      </c>
    </row>
    <row r="2188" spans="1:10" ht="15" x14ac:dyDescent="0.2">
      <c r="A2188" s="486" t="s">
        <v>1314</v>
      </c>
      <c r="B2188" s="487" t="s">
        <v>1313</v>
      </c>
      <c r="C2188" s="488" t="s">
        <v>7982</v>
      </c>
      <c r="D2188" s="489" t="s">
        <v>7983</v>
      </c>
      <c r="E2188" s="487" t="s">
        <v>7984</v>
      </c>
      <c r="F2188" s="490">
        <v>8500</v>
      </c>
      <c r="G2188" s="489">
        <v>204.39</v>
      </c>
      <c r="H2188" s="489">
        <v>41.587159999999997</v>
      </c>
      <c r="I2188" s="487" t="s">
        <v>1499</v>
      </c>
      <c r="J2188" s="487" t="s">
        <v>1315</v>
      </c>
    </row>
    <row r="2189" spans="1:10" ht="15" x14ac:dyDescent="0.2">
      <c r="A2189" s="486" t="s">
        <v>1314</v>
      </c>
      <c r="B2189" s="487" t="s">
        <v>1313</v>
      </c>
      <c r="C2189" s="488" t="s">
        <v>7985</v>
      </c>
      <c r="D2189" s="489" t="s">
        <v>7986</v>
      </c>
      <c r="E2189" s="487" t="s">
        <v>7987</v>
      </c>
      <c r="F2189" s="490">
        <v>757387.25</v>
      </c>
      <c r="G2189" s="489">
        <v>5580.88</v>
      </c>
      <c r="H2189" s="489">
        <v>135.71108000000001</v>
      </c>
      <c r="I2189" s="487" t="s">
        <v>1499</v>
      </c>
      <c r="J2189" s="487" t="s">
        <v>1315</v>
      </c>
    </row>
    <row r="2190" spans="1:10" ht="15" x14ac:dyDescent="0.2">
      <c r="A2190" s="486" t="s">
        <v>1314</v>
      </c>
      <c r="B2190" s="487" t="s">
        <v>1313</v>
      </c>
      <c r="C2190" s="488" t="s">
        <v>7988</v>
      </c>
      <c r="D2190" s="489" t="s">
        <v>7989</v>
      </c>
      <c r="E2190" s="487" t="s">
        <v>7990</v>
      </c>
      <c r="F2190" s="490">
        <v>11373</v>
      </c>
      <c r="G2190" s="489">
        <v>234.43</v>
      </c>
      <c r="H2190" s="489">
        <v>48.513420000000004</v>
      </c>
      <c r="I2190" s="487" t="s">
        <v>1499</v>
      </c>
      <c r="J2190" s="487" t="s">
        <v>1315</v>
      </c>
    </row>
    <row r="2191" spans="1:10" ht="15" x14ac:dyDescent="0.2">
      <c r="A2191" s="486" t="s">
        <v>1314</v>
      </c>
      <c r="B2191" s="487" t="s">
        <v>1313</v>
      </c>
      <c r="C2191" s="488" t="s">
        <v>7991</v>
      </c>
      <c r="D2191" s="489" t="s">
        <v>7992</v>
      </c>
      <c r="E2191" s="487" t="s">
        <v>7993</v>
      </c>
      <c r="F2191" s="490">
        <v>6064</v>
      </c>
      <c r="G2191" s="489">
        <v>231.93</v>
      </c>
      <c r="H2191" s="489">
        <v>26.145820000000001</v>
      </c>
      <c r="I2191" s="487" t="s">
        <v>2465</v>
      </c>
      <c r="J2191" s="487" t="s">
        <v>1315</v>
      </c>
    </row>
    <row r="2192" spans="1:10" ht="15" x14ac:dyDescent="0.2">
      <c r="A2192" s="486" t="s">
        <v>1314</v>
      </c>
      <c r="B2192" s="487" t="s">
        <v>1313</v>
      </c>
      <c r="C2192" s="488" t="s">
        <v>7994</v>
      </c>
      <c r="D2192" s="489" t="s">
        <v>7995</v>
      </c>
      <c r="E2192" s="487" t="s">
        <v>7996</v>
      </c>
      <c r="F2192" s="490">
        <v>21394</v>
      </c>
      <c r="G2192" s="489">
        <v>488</v>
      </c>
      <c r="H2192" s="489">
        <v>43.840159999999997</v>
      </c>
      <c r="I2192" s="487" t="s">
        <v>1499</v>
      </c>
      <c r="J2192" s="487" t="s">
        <v>1315</v>
      </c>
    </row>
    <row r="2193" spans="1:10" ht="15" x14ac:dyDescent="0.2">
      <c r="A2193" s="486" t="s">
        <v>1314</v>
      </c>
      <c r="B2193" s="487" t="s">
        <v>1313</v>
      </c>
      <c r="C2193" s="488" t="s">
        <v>7997</v>
      </c>
      <c r="D2193" s="489" t="s">
        <v>7998</v>
      </c>
      <c r="E2193" s="487" t="s">
        <v>7999</v>
      </c>
      <c r="F2193" s="490">
        <v>11320</v>
      </c>
      <c r="G2193" s="489">
        <v>306.33999999999997</v>
      </c>
      <c r="H2193" s="489">
        <v>36.95241</v>
      </c>
      <c r="I2193" s="487" t="s">
        <v>1499</v>
      </c>
      <c r="J2193" s="487" t="s">
        <v>1315</v>
      </c>
    </row>
    <row r="2194" spans="1:10" ht="15" x14ac:dyDescent="0.2">
      <c r="A2194" s="486" t="s">
        <v>1314</v>
      </c>
      <c r="B2194" s="487" t="s">
        <v>1313</v>
      </c>
      <c r="C2194" s="488" t="s">
        <v>8000</v>
      </c>
      <c r="D2194" s="489" t="s">
        <v>8001</v>
      </c>
      <c r="E2194" s="487" t="s">
        <v>8002</v>
      </c>
      <c r="F2194" s="490">
        <v>11500</v>
      </c>
      <c r="G2194" s="489">
        <v>264.86</v>
      </c>
      <c r="H2194" s="489">
        <v>43.419159999999998</v>
      </c>
      <c r="I2194" s="487" t="s">
        <v>1499</v>
      </c>
      <c r="J2194" s="487" t="s">
        <v>1315</v>
      </c>
    </row>
    <row r="2195" spans="1:10" ht="15" x14ac:dyDescent="0.2">
      <c r="A2195" s="486" t="s">
        <v>1314</v>
      </c>
      <c r="B2195" s="487" t="s">
        <v>1313</v>
      </c>
      <c r="C2195" s="488" t="s">
        <v>8003</v>
      </c>
      <c r="D2195" s="489" t="s">
        <v>8004</v>
      </c>
      <c r="E2195" s="487" t="s">
        <v>8005</v>
      </c>
      <c r="F2195" s="490">
        <v>30260</v>
      </c>
      <c r="G2195" s="489">
        <v>439.35</v>
      </c>
      <c r="H2195" s="489">
        <v>68.874470000000002</v>
      </c>
      <c r="I2195" s="487" t="s">
        <v>1499</v>
      </c>
      <c r="J2195" s="487" t="s">
        <v>1315</v>
      </c>
    </row>
    <row r="2196" spans="1:10" ht="15" x14ac:dyDescent="0.2">
      <c r="A2196" s="486" t="s">
        <v>1314</v>
      </c>
      <c r="B2196" s="487" t="s">
        <v>1313</v>
      </c>
      <c r="C2196" s="488" t="s">
        <v>8006</v>
      </c>
      <c r="D2196" s="489" t="s">
        <v>8007</v>
      </c>
      <c r="E2196" s="487" t="s">
        <v>8008</v>
      </c>
      <c r="F2196" s="490">
        <v>3377</v>
      </c>
      <c r="G2196" s="489">
        <v>67.5</v>
      </c>
      <c r="H2196" s="489">
        <v>50.029629999999997</v>
      </c>
      <c r="I2196" s="487" t="s">
        <v>1499</v>
      </c>
      <c r="J2196" s="487" t="s">
        <v>1315</v>
      </c>
    </row>
    <row r="2197" spans="1:10" ht="15" x14ac:dyDescent="0.2">
      <c r="A2197" s="486" t="s">
        <v>1314</v>
      </c>
      <c r="B2197" s="487" t="s">
        <v>1313</v>
      </c>
      <c r="C2197" s="488" t="s">
        <v>8009</v>
      </c>
      <c r="D2197" s="489" t="s">
        <v>8010</v>
      </c>
      <c r="E2197" s="487" t="s">
        <v>8011</v>
      </c>
      <c r="F2197" s="490">
        <v>0</v>
      </c>
      <c r="G2197" s="489">
        <v>29.34</v>
      </c>
      <c r="H2197" s="489">
        <v>0</v>
      </c>
      <c r="I2197" s="487" t="s">
        <v>1593</v>
      </c>
      <c r="J2197" s="487" t="s">
        <v>1315</v>
      </c>
    </row>
    <row r="2198" spans="1:10" ht="15" x14ac:dyDescent="0.2">
      <c r="A2198" s="486" t="s">
        <v>1314</v>
      </c>
      <c r="B2198" s="487" t="s">
        <v>1313</v>
      </c>
      <c r="C2198" s="488" t="s">
        <v>8012</v>
      </c>
      <c r="D2198" s="489" t="s">
        <v>8013</v>
      </c>
      <c r="E2198" s="487" t="s">
        <v>8014</v>
      </c>
      <c r="F2198" s="490">
        <v>7240</v>
      </c>
      <c r="G2198" s="489">
        <v>133.97</v>
      </c>
      <c r="H2198" s="489">
        <v>54.04195</v>
      </c>
      <c r="I2198" s="487" t="s">
        <v>1499</v>
      </c>
      <c r="J2198" s="487" t="s">
        <v>1315</v>
      </c>
    </row>
    <row r="2199" spans="1:10" ht="15" x14ac:dyDescent="0.2">
      <c r="A2199" s="486" t="s">
        <v>1314</v>
      </c>
      <c r="B2199" s="487" t="s">
        <v>1313</v>
      </c>
      <c r="C2199" s="488" t="s">
        <v>8015</v>
      </c>
      <c r="D2199" s="489" t="s">
        <v>8016</v>
      </c>
      <c r="E2199" s="487" t="s">
        <v>8017</v>
      </c>
      <c r="F2199" s="490">
        <v>4750</v>
      </c>
      <c r="G2199" s="489">
        <v>172.91</v>
      </c>
      <c r="H2199" s="489">
        <v>27.470939999999999</v>
      </c>
      <c r="I2199" s="487" t="s">
        <v>1499</v>
      </c>
      <c r="J2199" s="487" t="s">
        <v>1315</v>
      </c>
    </row>
    <row r="2200" spans="1:10" ht="15" x14ac:dyDescent="0.2">
      <c r="A2200" s="486" t="s">
        <v>1314</v>
      </c>
      <c r="B2200" s="487" t="s">
        <v>1313</v>
      </c>
      <c r="C2200" s="488" t="s">
        <v>8018</v>
      </c>
      <c r="D2200" s="489" t="s">
        <v>8019</v>
      </c>
      <c r="E2200" s="487" t="s">
        <v>8020</v>
      </c>
      <c r="F2200" s="490">
        <v>0</v>
      </c>
      <c r="G2200" s="489">
        <v>0</v>
      </c>
      <c r="H2200" s="489">
        <v>0</v>
      </c>
      <c r="I2200" s="487" t="s">
        <v>2465</v>
      </c>
      <c r="J2200" s="487" t="s">
        <v>1315</v>
      </c>
    </row>
    <row r="2201" spans="1:10" ht="15" x14ac:dyDescent="0.2">
      <c r="A2201" s="486" t="s">
        <v>1314</v>
      </c>
      <c r="B2201" s="487" t="s">
        <v>1313</v>
      </c>
      <c r="C2201" s="488" t="s">
        <v>8021</v>
      </c>
      <c r="D2201" s="489" t="s">
        <v>8022</v>
      </c>
      <c r="E2201" s="487" t="s">
        <v>8023</v>
      </c>
      <c r="F2201" s="490">
        <v>17320</v>
      </c>
      <c r="G2201" s="489">
        <v>366.43</v>
      </c>
      <c r="H2201" s="489">
        <v>47.266869999999997</v>
      </c>
      <c r="I2201" s="487" t="s">
        <v>1499</v>
      </c>
      <c r="J2201" s="487" t="s">
        <v>1315</v>
      </c>
    </row>
    <row r="2202" spans="1:10" ht="15" x14ac:dyDescent="0.2">
      <c r="A2202" s="486" t="s">
        <v>1314</v>
      </c>
      <c r="B2202" s="487" t="s">
        <v>1313</v>
      </c>
      <c r="C2202" s="488" t="s">
        <v>8024</v>
      </c>
      <c r="D2202" s="489" t="s">
        <v>8025</v>
      </c>
      <c r="E2202" s="487" t="s">
        <v>8026</v>
      </c>
      <c r="F2202" s="490">
        <v>0</v>
      </c>
      <c r="G2202" s="489">
        <v>48.73</v>
      </c>
      <c r="H2202" s="489">
        <v>0</v>
      </c>
      <c r="I2202" s="487" t="s">
        <v>1593</v>
      </c>
      <c r="J2202" s="487" t="s">
        <v>1315</v>
      </c>
    </row>
    <row r="2203" spans="1:10" ht="15" x14ac:dyDescent="0.2">
      <c r="A2203" s="486" t="s">
        <v>1314</v>
      </c>
      <c r="B2203" s="487" t="s">
        <v>1313</v>
      </c>
      <c r="C2203" s="488" t="s">
        <v>8027</v>
      </c>
      <c r="D2203" s="489" t="s">
        <v>8028</v>
      </c>
      <c r="E2203" s="487" t="s">
        <v>8029</v>
      </c>
      <c r="F2203" s="490">
        <v>3500</v>
      </c>
      <c r="G2203" s="489">
        <v>146.16999999999999</v>
      </c>
      <c r="H2203" s="489">
        <v>23.94472</v>
      </c>
      <c r="I2203" s="487" t="s">
        <v>2465</v>
      </c>
      <c r="J2203" s="487" t="s">
        <v>1315</v>
      </c>
    </row>
    <row r="2204" spans="1:10" ht="15" x14ac:dyDescent="0.2">
      <c r="A2204" s="486" t="s">
        <v>1314</v>
      </c>
      <c r="B2204" s="487" t="s">
        <v>1313</v>
      </c>
      <c r="C2204" s="488" t="s">
        <v>8030</v>
      </c>
      <c r="D2204" s="489" t="s">
        <v>8031</v>
      </c>
      <c r="E2204" s="487" t="s">
        <v>8032</v>
      </c>
      <c r="F2204" s="490">
        <v>10500</v>
      </c>
      <c r="G2204" s="489">
        <v>149.47999999999999</v>
      </c>
      <c r="H2204" s="489">
        <v>70.243510000000001</v>
      </c>
      <c r="I2204" s="487" t="s">
        <v>1499</v>
      </c>
      <c r="J2204" s="487" t="s">
        <v>1315</v>
      </c>
    </row>
    <row r="2205" spans="1:10" ht="15" x14ac:dyDescent="0.2">
      <c r="A2205" s="486" t="s">
        <v>1314</v>
      </c>
      <c r="B2205" s="487" t="s">
        <v>1313</v>
      </c>
      <c r="C2205" s="488" t="s">
        <v>8033</v>
      </c>
      <c r="D2205" s="489" t="s">
        <v>8034</v>
      </c>
      <c r="E2205" s="487" t="s">
        <v>8035</v>
      </c>
      <c r="F2205" s="490">
        <v>257931</v>
      </c>
      <c r="G2205" s="489">
        <v>1830.09</v>
      </c>
      <c r="H2205" s="489">
        <v>140.93897000000001</v>
      </c>
      <c r="I2205" s="487" t="s">
        <v>1499</v>
      </c>
      <c r="J2205" s="487" t="s">
        <v>1315</v>
      </c>
    </row>
    <row r="2206" spans="1:10" ht="15" x14ac:dyDescent="0.2">
      <c r="A2206" s="486" t="s">
        <v>1314</v>
      </c>
      <c r="B2206" s="487" t="s">
        <v>1313</v>
      </c>
      <c r="C2206" s="488" t="s">
        <v>8036</v>
      </c>
      <c r="D2206" s="489" t="s">
        <v>8037</v>
      </c>
      <c r="E2206" s="487" t="s">
        <v>8038</v>
      </c>
      <c r="F2206" s="490">
        <v>21690</v>
      </c>
      <c r="G2206" s="489">
        <v>336.66</v>
      </c>
      <c r="H2206" s="489">
        <v>64.427019999999999</v>
      </c>
      <c r="I2206" s="487" t="s">
        <v>1499</v>
      </c>
      <c r="J2206" s="487" t="s">
        <v>1315</v>
      </c>
    </row>
    <row r="2207" spans="1:10" ht="15" x14ac:dyDescent="0.2">
      <c r="A2207" s="486" t="s">
        <v>1314</v>
      </c>
      <c r="B2207" s="487" t="s">
        <v>1313</v>
      </c>
      <c r="C2207" s="488" t="s">
        <v>8039</v>
      </c>
      <c r="D2207" s="489" t="s">
        <v>8040</v>
      </c>
      <c r="E2207" s="487" t="s">
        <v>8041</v>
      </c>
      <c r="F2207" s="490">
        <v>28104</v>
      </c>
      <c r="G2207" s="489">
        <v>853.17</v>
      </c>
      <c r="H2207" s="489">
        <v>32.94068</v>
      </c>
      <c r="I2207" s="487" t="s">
        <v>1499</v>
      </c>
      <c r="J2207" s="487" t="s">
        <v>1315</v>
      </c>
    </row>
    <row r="2208" spans="1:10" ht="15" x14ac:dyDescent="0.2">
      <c r="A2208" s="486" t="s">
        <v>1314</v>
      </c>
      <c r="B2208" s="487" t="s">
        <v>1313</v>
      </c>
      <c r="C2208" s="488" t="s">
        <v>8042</v>
      </c>
      <c r="D2208" s="489" t="s">
        <v>8043</v>
      </c>
      <c r="E2208" s="487" t="s">
        <v>8044</v>
      </c>
      <c r="F2208" s="490">
        <v>14700</v>
      </c>
      <c r="G2208" s="489">
        <v>427.03</v>
      </c>
      <c r="H2208" s="489">
        <v>34.423810000000003</v>
      </c>
      <c r="I2208" s="487" t="s">
        <v>1499</v>
      </c>
      <c r="J2208" s="487" t="s">
        <v>1315</v>
      </c>
    </row>
    <row r="2209" spans="1:10" ht="15" x14ac:dyDescent="0.2">
      <c r="A2209" s="486" t="s">
        <v>1314</v>
      </c>
      <c r="B2209" s="487" t="s">
        <v>1313</v>
      </c>
      <c r="C2209" s="488" t="s">
        <v>8045</v>
      </c>
      <c r="D2209" s="489" t="s">
        <v>8046</v>
      </c>
      <c r="E2209" s="487" t="s">
        <v>8047</v>
      </c>
      <c r="F2209" s="490">
        <v>0</v>
      </c>
      <c r="G2209" s="489">
        <v>36.450000000000003</v>
      </c>
      <c r="H2209" s="489">
        <v>0</v>
      </c>
      <c r="I2209" s="487" t="s">
        <v>1593</v>
      </c>
      <c r="J2209" s="487" t="s">
        <v>1315</v>
      </c>
    </row>
    <row r="2210" spans="1:10" ht="15" x14ac:dyDescent="0.2">
      <c r="A2210" s="486" t="s">
        <v>1314</v>
      </c>
      <c r="B2210" s="487" t="s">
        <v>1313</v>
      </c>
      <c r="C2210" s="488" t="s">
        <v>8048</v>
      </c>
      <c r="D2210" s="489" t="s">
        <v>8049</v>
      </c>
      <c r="E2210" s="487" t="s">
        <v>8050</v>
      </c>
      <c r="F2210" s="490">
        <v>212800</v>
      </c>
      <c r="G2210" s="489">
        <v>1090.6400000000001</v>
      </c>
      <c r="H2210" s="489">
        <v>195.11479</v>
      </c>
      <c r="I2210" s="487" t="s">
        <v>1499</v>
      </c>
      <c r="J2210" s="487" t="s">
        <v>1315</v>
      </c>
    </row>
    <row r="2211" spans="1:10" ht="15" x14ac:dyDescent="0.2">
      <c r="A2211" s="486" t="s">
        <v>1314</v>
      </c>
      <c r="B2211" s="487" t="s">
        <v>1313</v>
      </c>
      <c r="C2211" s="488" t="s">
        <v>8051</v>
      </c>
      <c r="D2211" s="489" t="s">
        <v>8052</v>
      </c>
      <c r="E2211" s="487" t="s">
        <v>8053</v>
      </c>
      <c r="F2211" s="490">
        <v>11824</v>
      </c>
      <c r="G2211" s="489">
        <v>413.08</v>
      </c>
      <c r="H2211" s="489">
        <v>28.623999999999999</v>
      </c>
      <c r="I2211" s="487" t="s">
        <v>1499</v>
      </c>
      <c r="J2211" s="487" t="s">
        <v>1315</v>
      </c>
    </row>
    <row r="2212" spans="1:10" ht="15" x14ac:dyDescent="0.2">
      <c r="A2212" s="486" t="s">
        <v>1314</v>
      </c>
      <c r="B2212" s="487" t="s">
        <v>1313</v>
      </c>
      <c r="C2212" s="488" t="s">
        <v>8054</v>
      </c>
      <c r="D2212" s="489" t="s">
        <v>8055</v>
      </c>
      <c r="E2212" s="487" t="s">
        <v>8056</v>
      </c>
      <c r="F2212" s="490">
        <v>0</v>
      </c>
      <c r="G2212" s="489">
        <v>14.57</v>
      </c>
      <c r="H2212" s="489">
        <v>0</v>
      </c>
      <c r="I2212" s="487" t="s">
        <v>1593</v>
      </c>
      <c r="J2212" s="487" t="s">
        <v>1315</v>
      </c>
    </row>
    <row r="2213" spans="1:10" ht="15" x14ac:dyDescent="0.2">
      <c r="A2213" s="486" t="s">
        <v>1314</v>
      </c>
      <c r="B2213" s="487" t="s">
        <v>1313</v>
      </c>
      <c r="C2213" s="488" t="s">
        <v>8057</v>
      </c>
      <c r="D2213" s="489" t="s">
        <v>8058</v>
      </c>
      <c r="E2213" s="487" t="s">
        <v>8059</v>
      </c>
      <c r="F2213" s="490">
        <v>0</v>
      </c>
      <c r="G2213" s="489">
        <v>0</v>
      </c>
      <c r="H2213" s="489">
        <v>0</v>
      </c>
      <c r="I2213" s="487" t="s">
        <v>2465</v>
      </c>
      <c r="J2213" s="487" t="s">
        <v>1315</v>
      </c>
    </row>
    <row r="2214" spans="1:10" ht="15" x14ac:dyDescent="0.2">
      <c r="A2214" s="486" t="s">
        <v>1314</v>
      </c>
      <c r="B2214" s="487" t="s">
        <v>1313</v>
      </c>
      <c r="C2214" s="488" t="s">
        <v>8060</v>
      </c>
      <c r="D2214" s="489" t="s">
        <v>8061</v>
      </c>
      <c r="E2214" s="487" t="s">
        <v>8062</v>
      </c>
      <c r="F2214" s="490">
        <v>7050</v>
      </c>
      <c r="G2214" s="489">
        <v>245.23</v>
      </c>
      <c r="H2214" s="489">
        <v>28.748519999999999</v>
      </c>
      <c r="I2214" s="487" t="s">
        <v>2465</v>
      </c>
      <c r="J2214" s="487" t="s">
        <v>1315</v>
      </c>
    </row>
    <row r="2215" spans="1:10" ht="15" x14ac:dyDescent="0.2">
      <c r="A2215" s="486" t="s">
        <v>1314</v>
      </c>
      <c r="B2215" s="487" t="s">
        <v>1313</v>
      </c>
      <c r="C2215" s="488" t="s">
        <v>8063</v>
      </c>
      <c r="D2215" s="489" t="s">
        <v>8064</v>
      </c>
      <c r="E2215" s="487" t="s">
        <v>8065</v>
      </c>
      <c r="F2215" s="490">
        <v>10750</v>
      </c>
      <c r="G2215" s="489">
        <v>334.88</v>
      </c>
      <c r="H2215" s="489">
        <v>32.101050000000001</v>
      </c>
      <c r="I2215" s="487" t="s">
        <v>1499</v>
      </c>
      <c r="J2215" s="487" t="s">
        <v>1315</v>
      </c>
    </row>
    <row r="2216" spans="1:10" ht="15" x14ac:dyDescent="0.2">
      <c r="A2216" s="486" t="s">
        <v>1314</v>
      </c>
      <c r="B2216" s="487" t="s">
        <v>1313</v>
      </c>
      <c r="C2216" s="488" t="s">
        <v>8066</v>
      </c>
      <c r="D2216" s="489" t="s">
        <v>8067</v>
      </c>
      <c r="E2216" s="487" t="s">
        <v>8068</v>
      </c>
      <c r="F2216" s="490">
        <v>3000</v>
      </c>
      <c r="G2216" s="489">
        <v>165.34</v>
      </c>
      <c r="H2216" s="489">
        <v>18.14443</v>
      </c>
      <c r="I2216" s="487" t="s">
        <v>1499</v>
      </c>
      <c r="J2216" s="487" t="s">
        <v>1315</v>
      </c>
    </row>
    <row r="2217" spans="1:10" ht="15" x14ac:dyDescent="0.2">
      <c r="A2217" s="486" t="s">
        <v>1314</v>
      </c>
      <c r="B2217" s="487" t="s">
        <v>1313</v>
      </c>
      <c r="C2217" s="488" t="s">
        <v>8069</v>
      </c>
      <c r="D2217" s="489" t="s">
        <v>8070</v>
      </c>
      <c r="E2217" s="487" t="s">
        <v>8071</v>
      </c>
      <c r="F2217" s="490">
        <v>0</v>
      </c>
      <c r="G2217" s="489">
        <v>0</v>
      </c>
      <c r="H2217" s="489">
        <v>0</v>
      </c>
      <c r="I2217" s="487" t="s">
        <v>2465</v>
      </c>
      <c r="J2217" s="487" t="s">
        <v>1315</v>
      </c>
    </row>
    <row r="2218" spans="1:10" ht="15" x14ac:dyDescent="0.2">
      <c r="A2218" s="486" t="s">
        <v>1314</v>
      </c>
      <c r="B2218" s="487" t="s">
        <v>1313</v>
      </c>
      <c r="C2218" s="488" t="s">
        <v>8072</v>
      </c>
      <c r="D2218" s="489" t="s">
        <v>8073</v>
      </c>
      <c r="E2218" s="487" t="s">
        <v>8074</v>
      </c>
      <c r="F2218" s="490">
        <v>5000</v>
      </c>
      <c r="G2218" s="489">
        <v>72.010000000000005</v>
      </c>
      <c r="H2218" s="489">
        <v>69.434799999999996</v>
      </c>
      <c r="I2218" s="487" t="s">
        <v>2465</v>
      </c>
      <c r="J2218" s="487" t="s">
        <v>1315</v>
      </c>
    </row>
    <row r="2219" spans="1:10" ht="15" x14ac:dyDescent="0.2">
      <c r="A2219" s="486" t="s">
        <v>1314</v>
      </c>
      <c r="B2219" s="487" t="s">
        <v>1313</v>
      </c>
      <c r="C2219" s="488" t="s">
        <v>8075</v>
      </c>
      <c r="D2219" s="489" t="s">
        <v>8076</v>
      </c>
      <c r="E2219" s="487" t="s">
        <v>982</v>
      </c>
      <c r="F2219" s="490">
        <v>11960</v>
      </c>
      <c r="G2219" s="489">
        <v>156.36000000000001</v>
      </c>
      <c r="H2219" s="489">
        <v>76.49015</v>
      </c>
      <c r="I2219" s="487" t="s">
        <v>1499</v>
      </c>
      <c r="J2219" s="487" t="s">
        <v>1315</v>
      </c>
    </row>
    <row r="2220" spans="1:10" ht="15" x14ac:dyDescent="0.2">
      <c r="A2220" s="486" t="s">
        <v>1314</v>
      </c>
      <c r="B2220" s="487" t="s">
        <v>1313</v>
      </c>
      <c r="C2220" s="488" t="s">
        <v>8077</v>
      </c>
      <c r="D2220" s="489" t="s">
        <v>8078</v>
      </c>
      <c r="E2220" s="487" t="s">
        <v>8079</v>
      </c>
      <c r="F2220" s="490">
        <v>10900</v>
      </c>
      <c r="G2220" s="489">
        <v>190.6</v>
      </c>
      <c r="H2220" s="489">
        <v>57.187829999999998</v>
      </c>
      <c r="I2220" s="487" t="s">
        <v>1499</v>
      </c>
      <c r="J2220" s="487" t="s">
        <v>1315</v>
      </c>
    </row>
    <row r="2221" spans="1:10" ht="15" x14ac:dyDescent="0.2">
      <c r="A2221" s="486" t="s">
        <v>1314</v>
      </c>
      <c r="B2221" s="487" t="s">
        <v>1313</v>
      </c>
      <c r="C2221" s="488" t="s">
        <v>8080</v>
      </c>
      <c r="D2221" s="489" t="s">
        <v>8081</v>
      </c>
      <c r="E2221" s="487" t="s">
        <v>8082</v>
      </c>
      <c r="F2221" s="490">
        <v>6500</v>
      </c>
      <c r="G2221" s="489">
        <v>137.29</v>
      </c>
      <c r="H2221" s="489">
        <v>47.345039999999997</v>
      </c>
      <c r="I2221" s="487" t="s">
        <v>1499</v>
      </c>
      <c r="J2221" s="487" t="s">
        <v>1315</v>
      </c>
    </row>
    <row r="2222" spans="1:10" ht="15" x14ac:dyDescent="0.2">
      <c r="A2222" s="486" t="s">
        <v>1314</v>
      </c>
      <c r="B2222" s="487" t="s">
        <v>1313</v>
      </c>
      <c r="C2222" s="488" t="s">
        <v>8083</v>
      </c>
      <c r="D2222" s="489" t="s">
        <v>8084</v>
      </c>
      <c r="E2222" s="487" t="s">
        <v>8085</v>
      </c>
      <c r="F2222" s="490">
        <v>0</v>
      </c>
      <c r="G2222" s="489">
        <v>82.22</v>
      </c>
      <c r="H2222" s="489">
        <v>0</v>
      </c>
      <c r="I2222" s="487" t="s">
        <v>1593</v>
      </c>
      <c r="J2222" s="487" t="s">
        <v>1315</v>
      </c>
    </row>
    <row r="2223" spans="1:10" ht="15" x14ac:dyDescent="0.2">
      <c r="A2223" s="486" t="s">
        <v>1314</v>
      </c>
      <c r="B2223" s="487" t="s">
        <v>1313</v>
      </c>
      <c r="C2223" s="488" t="s">
        <v>8086</v>
      </c>
      <c r="D2223" s="489" t="s">
        <v>8087</v>
      </c>
      <c r="E2223" s="487" t="s">
        <v>8088</v>
      </c>
      <c r="F2223" s="490">
        <v>644337</v>
      </c>
      <c r="G2223" s="489">
        <v>5805.22</v>
      </c>
      <c r="H2223" s="489">
        <v>110.99269</v>
      </c>
      <c r="I2223" s="487" t="s">
        <v>1499</v>
      </c>
      <c r="J2223" s="487" t="s">
        <v>1315</v>
      </c>
    </row>
    <row r="2224" spans="1:10" ht="15" x14ac:dyDescent="0.2">
      <c r="A2224" s="486" t="s">
        <v>1314</v>
      </c>
      <c r="B2224" s="487" t="s">
        <v>1313</v>
      </c>
      <c r="C2224" s="488" t="s">
        <v>8089</v>
      </c>
      <c r="D2224" s="489" t="s">
        <v>8090</v>
      </c>
      <c r="E2224" s="487" t="s">
        <v>8091</v>
      </c>
      <c r="F2224" s="490">
        <v>0</v>
      </c>
      <c r="G2224" s="489">
        <v>0</v>
      </c>
      <c r="H2224" s="489">
        <v>0</v>
      </c>
      <c r="I2224" s="487" t="s">
        <v>2465</v>
      </c>
      <c r="J2224" s="487" t="s">
        <v>1315</v>
      </c>
    </row>
    <row r="2225" spans="1:10" ht="15" x14ac:dyDescent="0.2">
      <c r="A2225" s="486" t="s">
        <v>1314</v>
      </c>
      <c r="B2225" s="487" t="s">
        <v>1313</v>
      </c>
      <c r="C2225" s="488" t="s">
        <v>8092</v>
      </c>
      <c r="D2225" s="489" t="s">
        <v>8093</v>
      </c>
      <c r="E2225" s="487" t="s">
        <v>8094</v>
      </c>
      <c r="F2225" s="490">
        <v>2000</v>
      </c>
      <c r="G2225" s="489">
        <v>99.73</v>
      </c>
      <c r="H2225" s="489">
        <v>20.05415</v>
      </c>
      <c r="I2225" s="487" t="s">
        <v>1499</v>
      </c>
      <c r="J2225" s="487" t="s">
        <v>1315</v>
      </c>
    </row>
    <row r="2226" spans="1:10" ht="15" x14ac:dyDescent="0.2">
      <c r="A2226" s="486" t="s">
        <v>1314</v>
      </c>
      <c r="B2226" s="487" t="s">
        <v>1313</v>
      </c>
      <c r="C2226" s="488" t="s">
        <v>8095</v>
      </c>
      <c r="D2226" s="489" t="s">
        <v>8096</v>
      </c>
      <c r="E2226" s="487" t="s">
        <v>8097</v>
      </c>
      <c r="F2226" s="490">
        <v>20710</v>
      </c>
      <c r="G2226" s="489">
        <v>394.68</v>
      </c>
      <c r="H2226" s="489">
        <v>52.47289</v>
      </c>
      <c r="I2226" s="487" t="s">
        <v>1499</v>
      </c>
      <c r="J2226" s="487" t="s">
        <v>1315</v>
      </c>
    </row>
    <row r="2227" spans="1:10" ht="15" x14ac:dyDescent="0.2">
      <c r="A2227" s="486" t="s">
        <v>1314</v>
      </c>
      <c r="B2227" s="487" t="s">
        <v>1313</v>
      </c>
      <c r="C2227" s="488" t="s">
        <v>8098</v>
      </c>
      <c r="D2227" s="489" t="s">
        <v>8099</v>
      </c>
      <c r="E2227" s="487" t="s">
        <v>8100</v>
      </c>
      <c r="F2227" s="490">
        <v>1735</v>
      </c>
      <c r="G2227" s="489">
        <v>83.33</v>
      </c>
      <c r="H2227" s="489">
        <v>20.820830000000001</v>
      </c>
      <c r="I2227" s="487" t="s">
        <v>1499</v>
      </c>
      <c r="J2227" s="487" t="s">
        <v>1315</v>
      </c>
    </row>
    <row r="2228" spans="1:10" ht="15" x14ac:dyDescent="0.2">
      <c r="A2228" s="486" t="s">
        <v>1314</v>
      </c>
      <c r="B2228" s="487" t="s">
        <v>1313</v>
      </c>
      <c r="C2228" s="488" t="s">
        <v>8101</v>
      </c>
      <c r="D2228" s="489" t="s">
        <v>8102</v>
      </c>
      <c r="E2228" s="487" t="s">
        <v>8103</v>
      </c>
      <c r="F2228" s="490">
        <v>6000</v>
      </c>
      <c r="G2228" s="489">
        <v>181.66</v>
      </c>
      <c r="H2228" s="489">
        <v>33.028730000000003</v>
      </c>
      <c r="I2228" s="487" t="s">
        <v>1499</v>
      </c>
      <c r="J2228" s="487" t="s">
        <v>1315</v>
      </c>
    </row>
    <row r="2229" spans="1:10" ht="15" x14ac:dyDescent="0.2">
      <c r="A2229" s="486" t="s">
        <v>1314</v>
      </c>
      <c r="B2229" s="487" t="s">
        <v>1313</v>
      </c>
      <c r="C2229" s="488" t="s">
        <v>8104</v>
      </c>
      <c r="D2229" s="489" t="s">
        <v>8105</v>
      </c>
      <c r="E2229" s="487" t="s">
        <v>8106</v>
      </c>
      <c r="F2229" s="490">
        <v>8000</v>
      </c>
      <c r="G2229" s="489">
        <v>322.19</v>
      </c>
      <c r="H2229" s="489">
        <v>24.830069999999999</v>
      </c>
      <c r="I2229" s="487" t="s">
        <v>1499</v>
      </c>
      <c r="J2229" s="487" t="s">
        <v>1315</v>
      </c>
    </row>
    <row r="2230" spans="1:10" ht="15" x14ac:dyDescent="0.2">
      <c r="A2230" s="486" t="s">
        <v>1314</v>
      </c>
      <c r="B2230" s="487" t="s">
        <v>1313</v>
      </c>
      <c r="C2230" s="488" t="s">
        <v>8107</v>
      </c>
      <c r="D2230" s="489" t="s">
        <v>8108</v>
      </c>
      <c r="E2230" s="487" t="s">
        <v>8109</v>
      </c>
      <c r="F2230" s="490">
        <v>4000</v>
      </c>
      <c r="G2230" s="489">
        <v>131.53</v>
      </c>
      <c r="H2230" s="489">
        <v>30.41131</v>
      </c>
      <c r="I2230" s="487" t="s">
        <v>1499</v>
      </c>
      <c r="J2230" s="487" t="s">
        <v>1315</v>
      </c>
    </row>
    <row r="2231" spans="1:10" ht="15" x14ac:dyDescent="0.2">
      <c r="A2231" s="486" t="s">
        <v>1314</v>
      </c>
      <c r="B2231" s="487" t="s">
        <v>1313</v>
      </c>
      <c r="C2231" s="488" t="s">
        <v>8110</v>
      </c>
      <c r="D2231" s="489" t="s">
        <v>8111</v>
      </c>
      <c r="E2231" s="487" t="s">
        <v>8112</v>
      </c>
      <c r="F2231" s="490">
        <v>15650</v>
      </c>
      <c r="G2231" s="489">
        <v>378.42</v>
      </c>
      <c r="H2231" s="489">
        <v>41.356169999999999</v>
      </c>
      <c r="I2231" s="487" t="s">
        <v>1499</v>
      </c>
      <c r="J2231" s="487" t="s">
        <v>1315</v>
      </c>
    </row>
    <row r="2232" spans="1:10" ht="15" x14ac:dyDescent="0.2">
      <c r="A2232" s="486" t="s">
        <v>1314</v>
      </c>
      <c r="B2232" s="487" t="s">
        <v>1313</v>
      </c>
      <c r="C2232" s="488" t="s">
        <v>8113</v>
      </c>
      <c r="D2232" s="489" t="s">
        <v>8114</v>
      </c>
      <c r="E2232" s="487" t="s">
        <v>8115</v>
      </c>
      <c r="F2232" s="490">
        <v>8718</v>
      </c>
      <c r="G2232" s="489">
        <v>144.80000000000001</v>
      </c>
      <c r="H2232" s="489">
        <v>60.207180000000001</v>
      </c>
      <c r="I2232" s="487" t="s">
        <v>1499</v>
      </c>
      <c r="J2232" s="487" t="s">
        <v>1315</v>
      </c>
    </row>
    <row r="2233" spans="1:10" ht="15" x14ac:dyDescent="0.2">
      <c r="A2233" s="486" t="s">
        <v>1314</v>
      </c>
      <c r="B2233" s="487" t="s">
        <v>1313</v>
      </c>
      <c r="C2233" s="488" t="s">
        <v>8116</v>
      </c>
      <c r="D2233" s="489" t="s">
        <v>8117</v>
      </c>
      <c r="E2233" s="487" t="s">
        <v>8118</v>
      </c>
      <c r="F2233" s="490">
        <v>8500</v>
      </c>
      <c r="G2233" s="489">
        <v>235.46</v>
      </c>
      <c r="H2233" s="489">
        <v>36.099550000000001</v>
      </c>
      <c r="I2233" s="487" t="s">
        <v>1499</v>
      </c>
      <c r="J2233" s="487" t="s">
        <v>1315</v>
      </c>
    </row>
    <row r="2234" spans="1:10" ht="15" x14ac:dyDescent="0.2">
      <c r="A2234" s="486" t="s">
        <v>1314</v>
      </c>
      <c r="B2234" s="487" t="s">
        <v>1313</v>
      </c>
      <c r="C2234" s="488" t="s">
        <v>8119</v>
      </c>
      <c r="D2234" s="489" t="s">
        <v>8120</v>
      </c>
      <c r="E2234" s="487" t="s">
        <v>8121</v>
      </c>
      <c r="F2234" s="490">
        <v>16500</v>
      </c>
      <c r="G2234" s="489">
        <v>239.03</v>
      </c>
      <c r="H2234" s="489">
        <v>69.028989999999993</v>
      </c>
      <c r="I2234" s="487" t="s">
        <v>2465</v>
      </c>
      <c r="J2234" s="487" t="s">
        <v>1315</v>
      </c>
    </row>
    <row r="2235" spans="1:10" ht="15" x14ac:dyDescent="0.2">
      <c r="A2235" s="486" t="s">
        <v>1314</v>
      </c>
      <c r="B2235" s="487" t="s">
        <v>1313</v>
      </c>
      <c r="C2235" s="488" t="s">
        <v>8122</v>
      </c>
      <c r="D2235" s="489" t="s">
        <v>8123</v>
      </c>
      <c r="E2235" s="487" t="s">
        <v>8124</v>
      </c>
      <c r="F2235" s="490">
        <v>7000</v>
      </c>
      <c r="G2235" s="489">
        <v>132.78</v>
      </c>
      <c r="H2235" s="489">
        <v>52.718780000000002</v>
      </c>
      <c r="I2235" s="487" t="s">
        <v>1499</v>
      </c>
      <c r="J2235" s="487" t="s">
        <v>1315</v>
      </c>
    </row>
    <row r="2236" spans="1:10" ht="15" x14ac:dyDescent="0.2">
      <c r="A2236" s="486" t="s">
        <v>1314</v>
      </c>
      <c r="B2236" s="487" t="s">
        <v>1313</v>
      </c>
      <c r="C2236" s="488" t="s">
        <v>8125</v>
      </c>
      <c r="D2236" s="489" t="s">
        <v>8126</v>
      </c>
      <c r="E2236" s="487" t="s">
        <v>8127</v>
      </c>
      <c r="F2236" s="490">
        <v>0</v>
      </c>
      <c r="G2236" s="489">
        <v>0</v>
      </c>
      <c r="H2236" s="489">
        <v>0</v>
      </c>
      <c r="I2236" s="487" t="s">
        <v>2465</v>
      </c>
      <c r="J2236" s="487" t="s">
        <v>1315</v>
      </c>
    </row>
    <row r="2237" spans="1:10" ht="15" x14ac:dyDescent="0.2">
      <c r="A2237" s="486" t="s">
        <v>1314</v>
      </c>
      <c r="B2237" s="487" t="s">
        <v>1313</v>
      </c>
      <c r="C2237" s="488" t="s">
        <v>8128</v>
      </c>
      <c r="D2237" s="489" t="s">
        <v>8129</v>
      </c>
      <c r="E2237" s="487" t="s">
        <v>1762</v>
      </c>
      <c r="F2237" s="490">
        <v>5104</v>
      </c>
      <c r="G2237" s="489">
        <v>127.51</v>
      </c>
      <c r="H2237" s="489">
        <v>40.028230000000001</v>
      </c>
      <c r="I2237" s="487" t="s">
        <v>1499</v>
      </c>
      <c r="J2237" s="487" t="s">
        <v>1315</v>
      </c>
    </row>
    <row r="2238" spans="1:10" ht="15" x14ac:dyDescent="0.2">
      <c r="A2238" s="486" t="s">
        <v>1314</v>
      </c>
      <c r="B2238" s="487" t="s">
        <v>1313</v>
      </c>
      <c r="C2238" s="488" t="s">
        <v>8130</v>
      </c>
      <c r="D2238" s="489" t="s">
        <v>8131</v>
      </c>
      <c r="E2238" s="487" t="s">
        <v>8132</v>
      </c>
      <c r="F2238" s="490">
        <v>0</v>
      </c>
      <c r="G2238" s="489">
        <v>52.19</v>
      </c>
      <c r="H2238" s="489">
        <v>0</v>
      </c>
      <c r="I2238" s="487" t="s">
        <v>1593</v>
      </c>
      <c r="J2238" s="487" t="s">
        <v>1315</v>
      </c>
    </row>
    <row r="2239" spans="1:10" ht="15" x14ac:dyDescent="0.2">
      <c r="A2239" s="486" t="s">
        <v>1314</v>
      </c>
      <c r="B2239" s="487" t="s">
        <v>1313</v>
      </c>
      <c r="C2239" s="488" t="s">
        <v>8133</v>
      </c>
      <c r="D2239" s="489" t="s">
        <v>8134</v>
      </c>
      <c r="E2239" s="487" t="s">
        <v>8135</v>
      </c>
      <c r="F2239" s="490">
        <v>6260</v>
      </c>
      <c r="G2239" s="489">
        <v>185.38</v>
      </c>
      <c r="H2239" s="489">
        <v>33.768479999999997</v>
      </c>
      <c r="I2239" s="487" t="s">
        <v>1499</v>
      </c>
      <c r="J2239" s="487" t="s">
        <v>1315</v>
      </c>
    </row>
    <row r="2240" spans="1:10" ht="15" x14ac:dyDescent="0.2">
      <c r="A2240" s="486" t="s">
        <v>1314</v>
      </c>
      <c r="B2240" s="487" t="s">
        <v>1313</v>
      </c>
      <c r="C2240" s="488" t="s">
        <v>8136</v>
      </c>
      <c r="D2240" s="489" t="s">
        <v>8137</v>
      </c>
      <c r="E2240" s="487" t="s">
        <v>8138</v>
      </c>
      <c r="F2240" s="490">
        <v>2550</v>
      </c>
      <c r="G2240" s="489">
        <v>108.16</v>
      </c>
      <c r="H2240" s="489">
        <v>23.576180000000001</v>
      </c>
      <c r="I2240" s="487" t="s">
        <v>1499</v>
      </c>
      <c r="J2240" s="487" t="s">
        <v>1315</v>
      </c>
    </row>
    <row r="2241" spans="1:10" ht="15" x14ac:dyDescent="0.2">
      <c r="A2241" s="486" t="s">
        <v>1314</v>
      </c>
      <c r="B2241" s="487" t="s">
        <v>1313</v>
      </c>
      <c r="C2241" s="488" t="s">
        <v>8139</v>
      </c>
      <c r="D2241" s="489" t="s">
        <v>8140</v>
      </c>
      <c r="E2241" s="487" t="s">
        <v>8141</v>
      </c>
      <c r="F2241" s="490">
        <v>0</v>
      </c>
      <c r="G2241" s="489">
        <v>0</v>
      </c>
      <c r="H2241" s="489">
        <v>0</v>
      </c>
      <c r="I2241" s="487" t="s">
        <v>2465</v>
      </c>
      <c r="J2241" s="487" t="s">
        <v>1315</v>
      </c>
    </row>
    <row r="2242" spans="1:10" ht="15" x14ac:dyDescent="0.2">
      <c r="A2242" s="486" t="s">
        <v>1314</v>
      </c>
      <c r="B2242" s="487" t="s">
        <v>1313</v>
      </c>
      <c r="C2242" s="488" t="s">
        <v>8142</v>
      </c>
      <c r="D2242" s="489" t="s">
        <v>8143</v>
      </c>
      <c r="E2242" s="487" t="s">
        <v>8144</v>
      </c>
      <c r="F2242" s="490">
        <v>38568</v>
      </c>
      <c r="G2242" s="489">
        <v>689.12</v>
      </c>
      <c r="H2242" s="489">
        <v>55.967030000000001</v>
      </c>
      <c r="I2242" s="487" t="s">
        <v>1499</v>
      </c>
      <c r="J2242" s="487" t="s">
        <v>1315</v>
      </c>
    </row>
    <row r="2243" spans="1:10" ht="15" x14ac:dyDescent="0.2">
      <c r="A2243" s="486" t="s">
        <v>1314</v>
      </c>
      <c r="B2243" s="487" t="s">
        <v>1313</v>
      </c>
      <c r="C2243" s="488" t="s">
        <v>8145</v>
      </c>
      <c r="D2243" s="489" t="s">
        <v>8146</v>
      </c>
      <c r="E2243" s="487" t="s">
        <v>7453</v>
      </c>
      <c r="F2243" s="490">
        <v>18000</v>
      </c>
      <c r="G2243" s="489">
        <v>549.88</v>
      </c>
      <c r="H2243" s="489">
        <v>32.734409999999997</v>
      </c>
      <c r="I2243" s="487" t="s">
        <v>1499</v>
      </c>
      <c r="J2243" s="487" t="s">
        <v>1315</v>
      </c>
    </row>
    <row r="2244" spans="1:10" ht="15" x14ac:dyDescent="0.2">
      <c r="A2244" s="486" t="s">
        <v>1314</v>
      </c>
      <c r="B2244" s="487" t="s">
        <v>1313</v>
      </c>
      <c r="C2244" s="488" t="s">
        <v>8147</v>
      </c>
      <c r="D2244" s="489" t="s">
        <v>8148</v>
      </c>
      <c r="E2244" s="487" t="s">
        <v>8149</v>
      </c>
      <c r="F2244" s="490">
        <v>8300</v>
      </c>
      <c r="G2244" s="489">
        <v>140.22</v>
      </c>
      <c r="H2244" s="489">
        <v>59.192700000000002</v>
      </c>
      <c r="I2244" s="487" t="s">
        <v>1499</v>
      </c>
      <c r="J2244" s="487" t="s">
        <v>1315</v>
      </c>
    </row>
    <row r="2245" spans="1:10" ht="15" x14ac:dyDescent="0.2">
      <c r="A2245" s="486" t="s">
        <v>1363</v>
      </c>
      <c r="B2245" s="487" t="s">
        <v>1362</v>
      </c>
      <c r="C2245" s="488" t="s">
        <v>8150</v>
      </c>
      <c r="D2245" s="489" t="s">
        <v>8151</v>
      </c>
      <c r="E2245" s="487" t="s">
        <v>8152</v>
      </c>
      <c r="F2245" s="490">
        <v>5401</v>
      </c>
      <c r="G2245" s="489">
        <v>89.68</v>
      </c>
      <c r="H2245" s="489">
        <v>60.225250000000003</v>
      </c>
      <c r="I2245" s="487" t="s">
        <v>1499</v>
      </c>
      <c r="J2245" s="487" t="s">
        <v>1364</v>
      </c>
    </row>
    <row r="2246" spans="1:10" ht="15" x14ac:dyDescent="0.2">
      <c r="A2246" s="486" t="s">
        <v>1363</v>
      </c>
      <c r="B2246" s="487" t="s">
        <v>1362</v>
      </c>
      <c r="C2246" s="488" t="s">
        <v>8153</v>
      </c>
      <c r="D2246" s="489" t="s">
        <v>8154</v>
      </c>
      <c r="E2246" s="487" t="s">
        <v>8155</v>
      </c>
      <c r="F2246" s="490">
        <v>3981</v>
      </c>
      <c r="G2246" s="489">
        <v>134.47999999999999</v>
      </c>
      <c r="H2246" s="489">
        <v>29.602910000000001</v>
      </c>
      <c r="I2246" s="487" t="s">
        <v>1499</v>
      </c>
      <c r="J2246" s="487" t="s">
        <v>1364</v>
      </c>
    </row>
    <row r="2247" spans="1:10" ht="15" x14ac:dyDescent="0.2">
      <c r="A2247" s="486" t="s">
        <v>1363</v>
      </c>
      <c r="B2247" s="487" t="s">
        <v>1362</v>
      </c>
      <c r="C2247" s="488" t="s">
        <v>8156</v>
      </c>
      <c r="D2247" s="489" t="s">
        <v>8157</v>
      </c>
      <c r="E2247" s="487" t="s">
        <v>8158</v>
      </c>
      <c r="F2247" s="490">
        <v>85572</v>
      </c>
      <c r="G2247" s="489">
        <v>1100.78</v>
      </c>
      <c r="H2247" s="489">
        <v>77.7376</v>
      </c>
      <c r="I2247" s="487" t="s">
        <v>1499</v>
      </c>
      <c r="J2247" s="487" t="s">
        <v>1364</v>
      </c>
    </row>
    <row r="2248" spans="1:10" ht="15" x14ac:dyDescent="0.2">
      <c r="A2248" s="486" t="s">
        <v>1363</v>
      </c>
      <c r="B2248" s="487" t="s">
        <v>1362</v>
      </c>
      <c r="C2248" s="488" t="s">
        <v>8159</v>
      </c>
      <c r="D2248" s="489" t="s">
        <v>8160</v>
      </c>
      <c r="E2248" s="487" t="s">
        <v>8161</v>
      </c>
      <c r="F2248" s="490">
        <v>200</v>
      </c>
      <c r="G2248" s="489">
        <v>63.95</v>
      </c>
      <c r="H2248" s="489">
        <v>3.12744</v>
      </c>
      <c r="I2248" s="487" t="s">
        <v>1499</v>
      </c>
      <c r="J2248" s="487" t="s">
        <v>1364</v>
      </c>
    </row>
    <row r="2249" spans="1:10" ht="15" x14ac:dyDescent="0.2">
      <c r="A2249" s="486" t="s">
        <v>1363</v>
      </c>
      <c r="B2249" s="487" t="s">
        <v>1362</v>
      </c>
      <c r="C2249" s="488" t="s">
        <v>8162</v>
      </c>
      <c r="D2249" s="489" t="s">
        <v>8163</v>
      </c>
      <c r="E2249" s="487" t="s">
        <v>8164</v>
      </c>
      <c r="F2249" s="490">
        <v>7972</v>
      </c>
      <c r="G2249" s="489">
        <v>187.78</v>
      </c>
      <c r="H2249" s="489">
        <v>42.453940000000003</v>
      </c>
      <c r="I2249" s="487" t="s">
        <v>1499</v>
      </c>
      <c r="J2249" s="487" t="s">
        <v>1364</v>
      </c>
    </row>
    <row r="2250" spans="1:10" ht="15" x14ac:dyDescent="0.2">
      <c r="A2250" s="486" t="s">
        <v>1363</v>
      </c>
      <c r="B2250" s="487" t="s">
        <v>1362</v>
      </c>
      <c r="C2250" s="488" t="s">
        <v>8165</v>
      </c>
      <c r="D2250" s="489" t="s">
        <v>8166</v>
      </c>
      <c r="E2250" s="487" t="s">
        <v>8167</v>
      </c>
      <c r="F2250" s="490">
        <v>17169</v>
      </c>
      <c r="G2250" s="489">
        <v>201.11</v>
      </c>
      <c r="H2250" s="489">
        <v>85.371189999999999</v>
      </c>
      <c r="I2250" s="487" t="s">
        <v>1499</v>
      </c>
      <c r="J2250" s="487" t="s">
        <v>1364</v>
      </c>
    </row>
    <row r="2251" spans="1:10" ht="15" x14ac:dyDescent="0.2">
      <c r="A2251" s="486" t="s">
        <v>1363</v>
      </c>
      <c r="B2251" s="487" t="s">
        <v>1362</v>
      </c>
      <c r="C2251" s="488" t="s">
        <v>8168</v>
      </c>
      <c r="D2251" s="489" t="s">
        <v>8169</v>
      </c>
      <c r="E2251" s="487" t="s">
        <v>8170</v>
      </c>
      <c r="F2251" s="490">
        <v>9265</v>
      </c>
      <c r="G2251" s="489">
        <v>241.42</v>
      </c>
      <c r="H2251" s="489">
        <v>38.377099999999999</v>
      </c>
      <c r="I2251" s="487" t="s">
        <v>1499</v>
      </c>
      <c r="J2251" s="487" t="s">
        <v>1364</v>
      </c>
    </row>
    <row r="2252" spans="1:10" ht="15" x14ac:dyDescent="0.2">
      <c r="A2252" s="486" t="s">
        <v>1363</v>
      </c>
      <c r="B2252" s="487" t="s">
        <v>1362</v>
      </c>
      <c r="C2252" s="488" t="s">
        <v>8171</v>
      </c>
      <c r="D2252" s="489" t="s">
        <v>8172</v>
      </c>
      <c r="E2252" s="487" t="s">
        <v>8173</v>
      </c>
      <c r="F2252" s="490">
        <v>2721</v>
      </c>
      <c r="G2252" s="489">
        <v>125.65</v>
      </c>
      <c r="H2252" s="489">
        <v>21.655390000000001</v>
      </c>
      <c r="I2252" s="487" t="s">
        <v>1499</v>
      </c>
      <c r="J2252" s="487" t="s">
        <v>1364</v>
      </c>
    </row>
    <row r="2253" spans="1:10" ht="15" x14ac:dyDescent="0.2">
      <c r="A2253" s="486" t="s">
        <v>1363</v>
      </c>
      <c r="B2253" s="487" t="s">
        <v>1362</v>
      </c>
      <c r="C2253" s="488" t="s">
        <v>8174</v>
      </c>
      <c r="D2253" s="489" t="s">
        <v>8175</v>
      </c>
      <c r="E2253" s="487" t="s">
        <v>8176</v>
      </c>
      <c r="F2253" s="490">
        <v>70393</v>
      </c>
      <c r="G2253" s="489">
        <v>1730.78</v>
      </c>
      <c r="H2253" s="489">
        <v>40.671259999999997</v>
      </c>
      <c r="I2253" s="487" t="s">
        <v>1499</v>
      </c>
      <c r="J2253" s="487" t="s">
        <v>1364</v>
      </c>
    </row>
    <row r="2254" spans="1:10" ht="15" x14ac:dyDescent="0.2">
      <c r="A2254" s="486" t="s">
        <v>1363</v>
      </c>
      <c r="B2254" s="487" t="s">
        <v>1362</v>
      </c>
      <c r="C2254" s="488" t="s">
        <v>8177</v>
      </c>
      <c r="D2254" s="489" t="s">
        <v>8178</v>
      </c>
      <c r="E2254" s="487" t="s">
        <v>8179</v>
      </c>
      <c r="F2254" s="490">
        <v>80000</v>
      </c>
      <c r="G2254" s="489">
        <v>852.4</v>
      </c>
      <c r="H2254" s="489">
        <v>93.852649999999997</v>
      </c>
      <c r="I2254" s="487" t="s">
        <v>1499</v>
      </c>
      <c r="J2254" s="487" t="s">
        <v>1364</v>
      </c>
    </row>
    <row r="2255" spans="1:10" ht="15" x14ac:dyDescent="0.2">
      <c r="A2255" s="486" t="s">
        <v>1363</v>
      </c>
      <c r="B2255" s="487" t="s">
        <v>1362</v>
      </c>
      <c r="C2255" s="488" t="s">
        <v>8180</v>
      </c>
      <c r="D2255" s="489" t="s">
        <v>8181</v>
      </c>
      <c r="E2255" s="487" t="s">
        <v>8182</v>
      </c>
      <c r="F2255" s="490">
        <v>19462</v>
      </c>
      <c r="G2255" s="489">
        <v>382.12</v>
      </c>
      <c r="H2255" s="489">
        <v>50.931640000000002</v>
      </c>
      <c r="I2255" s="487" t="s">
        <v>1499</v>
      </c>
      <c r="J2255" s="487" t="s">
        <v>1364</v>
      </c>
    </row>
    <row r="2256" spans="1:10" ht="15" x14ac:dyDescent="0.2">
      <c r="A2256" s="486" t="s">
        <v>1363</v>
      </c>
      <c r="B2256" s="487" t="s">
        <v>1362</v>
      </c>
      <c r="C2256" s="488" t="s">
        <v>8183</v>
      </c>
      <c r="D2256" s="489" t="s">
        <v>8184</v>
      </c>
      <c r="E2256" s="487" t="s">
        <v>8185</v>
      </c>
      <c r="F2256" s="490">
        <v>12600</v>
      </c>
      <c r="G2256" s="489">
        <v>376.02</v>
      </c>
      <c r="H2256" s="489">
        <v>33.508859999999999</v>
      </c>
      <c r="I2256" s="487" t="s">
        <v>1499</v>
      </c>
      <c r="J2256" s="487" t="s">
        <v>1364</v>
      </c>
    </row>
    <row r="2257" spans="1:10" ht="15" x14ac:dyDescent="0.2">
      <c r="A2257" s="486" t="s">
        <v>1363</v>
      </c>
      <c r="B2257" s="487" t="s">
        <v>1362</v>
      </c>
      <c r="C2257" s="488" t="s">
        <v>8186</v>
      </c>
      <c r="D2257" s="489" t="s">
        <v>8187</v>
      </c>
      <c r="E2257" s="487" t="s">
        <v>8188</v>
      </c>
      <c r="F2257" s="490">
        <v>11250</v>
      </c>
      <c r="G2257" s="489">
        <v>229.92</v>
      </c>
      <c r="H2257" s="489">
        <v>48.930059999999997</v>
      </c>
      <c r="I2257" s="487" t="s">
        <v>2465</v>
      </c>
      <c r="J2257" s="487" t="s">
        <v>1364</v>
      </c>
    </row>
    <row r="2258" spans="1:10" ht="15" x14ac:dyDescent="0.2">
      <c r="A2258" s="486" t="s">
        <v>1363</v>
      </c>
      <c r="B2258" s="487" t="s">
        <v>1362</v>
      </c>
      <c r="C2258" s="488" t="s">
        <v>8189</v>
      </c>
      <c r="D2258" s="489" t="s">
        <v>8190</v>
      </c>
      <c r="E2258" s="487" t="s">
        <v>8191</v>
      </c>
      <c r="F2258" s="490">
        <v>7493</v>
      </c>
      <c r="G2258" s="489">
        <v>87.58</v>
      </c>
      <c r="H2258" s="489">
        <v>85.556060000000002</v>
      </c>
      <c r="I2258" s="487" t="s">
        <v>1499</v>
      </c>
      <c r="J2258" s="487" t="s">
        <v>1364</v>
      </c>
    </row>
    <row r="2259" spans="1:10" ht="15" x14ac:dyDescent="0.2">
      <c r="A2259" s="486" t="s">
        <v>1363</v>
      </c>
      <c r="B2259" s="487" t="s">
        <v>1362</v>
      </c>
      <c r="C2259" s="488" t="s">
        <v>8192</v>
      </c>
      <c r="D2259" s="489" t="s">
        <v>8193</v>
      </c>
      <c r="E2259" s="487" t="s">
        <v>8194</v>
      </c>
      <c r="F2259" s="490">
        <v>0</v>
      </c>
      <c r="G2259" s="489">
        <v>61.52</v>
      </c>
      <c r="H2259" s="489">
        <v>0</v>
      </c>
      <c r="I2259" s="487" t="s">
        <v>1593</v>
      </c>
      <c r="J2259" s="487" t="s">
        <v>1364</v>
      </c>
    </row>
    <row r="2260" spans="1:10" ht="15" x14ac:dyDescent="0.2">
      <c r="A2260" s="486" t="s">
        <v>1363</v>
      </c>
      <c r="B2260" s="487" t="s">
        <v>1362</v>
      </c>
      <c r="C2260" s="488" t="s">
        <v>8195</v>
      </c>
      <c r="D2260" s="489" t="s">
        <v>8196</v>
      </c>
      <c r="E2260" s="487" t="s">
        <v>8197</v>
      </c>
      <c r="F2260" s="490">
        <v>7422</v>
      </c>
      <c r="G2260" s="489">
        <v>210.87</v>
      </c>
      <c r="H2260" s="489">
        <v>35.197040000000001</v>
      </c>
      <c r="I2260" s="487" t="s">
        <v>1499</v>
      </c>
      <c r="J2260" s="487" t="s">
        <v>1364</v>
      </c>
    </row>
    <row r="2261" spans="1:10" ht="15" x14ac:dyDescent="0.2">
      <c r="A2261" s="486" t="s">
        <v>1363</v>
      </c>
      <c r="B2261" s="487" t="s">
        <v>1362</v>
      </c>
      <c r="C2261" s="488" t="s">
        <v>8198</v>
      </c>
      <c r="D2261" s="489" t="s">
        <v>8199</v>
      </c>
      <c r="E2261" s="487" t="s">
        <v>8200</v>
      </c>
      <c r="F2261" s="490">
        <v>49550</v>
      </c>
      <c r="G2261" s="489">
        <v>692.64</v>
      </c>
      <c r="H2261" s="489">
        <v>71.537880000000001</v>
      </c>
      <c r="I2261" s="487" t="s">
        <v>1499</v>
      </c>
      <c r="J2261" s="487" t="s">
        <v>1364</v>
      </c>
    </row>
    <row r="2262" spans="1:10" ht="15" x14ac:dyDescent="0.2">
      <c r="A2262" s="486" t="s">
        <v>1363</v>
      </c>
      <c r="B2262" s="487" t="s">
        <v>1362</v>
      </c>
      <c r="C2262" s="488" t="s">
        <v>8201</v>
      </c>
      <c r="D2262" s="489" t="s">
        <v>8202</v>
      </c>
      <c r="E2262" s="487" t="s">
        <v>8203</v>
      </c>
      <c r="F2262" s="490">
        <v>5089</v>
      </c>
      <c r="G2262" s="489">
        <v>128.35</v>
      </c>
      <c r="H2262" s="489">
        <v>39.6494</v>
      </c>
      <c r="I2262" s="487" t="s">
        <v>1499</v>
      </c>
      <c r="J2262" s="487" t="s">
        <v>1364</v>
      </c>
    </row>
    <row r="2263" spans="1:10" ht="15" x14ac:dyDescent="0.2">
      <c r="A2263" s="486" t="s">
        <v>1363</v>
      </c>
      <c r="B2263" s="487" t="s">
        <v>1362</v>
      </c>
      <c r="C2263" s="488" t="s">
        <v>8204</v>
      </c>
      <c r="D2263" s="489" t="s">
        <v>8205</v>
      </c>
      <c r="E2263" s="487" t="s">
        <v>8206</v>
      </c>
      <c r="F2263" s="490">
        <v>74591</v>
      </c>
      <c r="G2263" s="489">
        <v>745.69</v>
      </c>
      <c r="H2263" s="489">
        <v>100.0295</v>
      </c>
      <c r="I2263" s="487" t="s">
        <v>1499</v>
      </c>
      <c r="J2263" s="487" t="s">
        <v>1364</v>
      </c>
    </row>
    <row r="2264" spans="1:10" ht="15" x14ac:dyDescent="0.2">
      <c r="A2264" s="486" t="s">
        <v>1363</v>
      </c>
      <c r="B2264" s="487" t="s">
        <v>1362</v>
      </c>
      <c r="C2264" s="488" t="s">
        <v>8207</v>
      </c>
      <c r="D2264" s="489" t="s">
        <v>8208</v>
      </c>
      <c r="E2264" s="487" t="s">
        <v>8209</v>
      </c>
      <c r="F2264" s="490">
        <v>50</v>
      </c>
      <c r="G2264" s="489">
        <v>90.99</v>
      </c>
      <c r="H2264" s="489">
        <v>0.54951000000000005</v>
      </c>
      <c r="I2264" s="487" t="s">
        <v>1499</v>
      </c>
      <c r="J2264" s="487" t="s">
        <v>1364</v>
      </c>
    </row>
    <row r="2265" spans="1:10" ht="15" x14ac:dyDescent="0.2">
      <c r="A2265" s="486" t="s">
        <v>1363</v>
      </c>
      <c r="B2265" s="487" t="s">
        <v>1362</v>
      </c>
      <c r="C2265" s="488" t="s">
        <v>8210</v>
      </c>
      <c r="D2265" s="489" t="s">
        <v>8211</v>
      </c>
      <c r="E2265" s="487" t="s">
        <v>8212</v>
      </c>
      <c r="F2265" s="490">
        <v>5700</v>
      </c>
      <c r="G2265" s="489">
        <v>182.32</v>
      </c>
      <c r="H2265" s="489">
        <v>31.26371</v>
      </c>
      <c r="I2265" s="487" t="s">
        <v>1499</v>
      </c>
      <c r="J2265" s="487" t="s">
        <v>1364</v>
      </c>
    </row>
    <row r="2266" spans="1:10" ht="15" x14ac:dyDescent="0.2">
      <c r="A2266" s="486" t="s">
        <v>1363</v>
      </c>
      <c r="B2266" s="487" t="s">
        <v>1362</v>
      </c>
      <c r="C2266" s="488" t="s">
        <v>8213</v>
      </c>
      <c r="D2266" s="489" t="s">
        <v>8214</v>
      </c>
      <c r="E2266" s="487" t="s">
        <v>8215</v>
      </c>
      <c r="F2266" s="490">
        <v>450</v>
      </c>
      <c r="G2266" s="489">
        <v>57.02</v>
      </c>
      <c r="H2266" s="489">
        <v>7.8919699999999997</v>
      </c>
      <c r="I2266" s="487" t="s">
        <v>1499</v>
      </c>
      <c r="J2266" s="487" t="s">
        <v>1364</v>
      </c>
    </row>
    <row r="2267" spans="1:10" ht="15" x14ac:dyDescent="0.2">
      <c r="A2267" s="486" t="s">
        <v>1363</v>
      </c>
      <c r="B2267" s="487" t="s">
        <v>1362</v>
      </c>
      <c r="C2267" s="488" t="s">
        <v>8216</v>
      </c>
      <c r="D2267" s="489" t="s">
        <v>8217</v>
      </c>
      <c r="E2267" s="487" t="s">
        <v>8218</v>
      </c>
      <c r="F2267" s="490">
        <v>12000</v>
      </c>
      <c r="G2267" s="489">
        <v>333.81</v>
      </c>
      <c r="H2267" s="489">
        <v>35.948590000000003</v>
      </c>
      <c r="I2267" s="487" t="s">
        <v>1499</v>
      </c>
      <c r="J2267" s="487" t="s">
        <v>1364</v>
      </c>
    </row>
    <row r="2268" spans="1:10" ht="15" x14ac:dyDescent="0.2">
      <c r="A2268" s="486" t="s">
        <v>1363</v>
      </c>
      <c r="B2268" s="487" t="s">
        <v>1362</v>
      </c>
      <c r="C2268" s="488" t="s">
        <v>8219</v>
      </c>
      <c r="D2268" s="489" t="s">
        <v>8220</v>
      </c>
      <c r="E2268" s="487" t="s">
        <v>8221</v>
      </c>
      <c r="F2268" s="490">
        <v>17984</v>
      </c>
      <c r="G2268" s="489">
        <v>455.86</v>
      </c>
      <c r="H2268" s="489">
        <v>39.450710000000001</v>
      </c>
      <c r="I2268" s="487" t="s">
        <v>1499</v>
      </c>
      <c r="J2268" s="487" t="s">
        <v>1364</v>
      </c>
    </row>
    <row r="2269" spans="1:10" ht="15" x14ac:dyDescent="0.2">
      <c r="A2269" s="486" t="s">
        <v>1363</v>
      </c>
      <c r="B2269" s="487" t="s">
        <v>1362</v>
      </c>
      <c r="C2269" s="488" t="s">
        <v>8222</v>
      </c>
      <c r="D2269" s="489" t="s">
        <v>8223</v>
      </c>
      <c r="E2269" s="487" t="s">
        <v>8224</v>
      </c>
      <c r="F2269" s="490">
        <v>10158</v>
      </c>
      <c r="G2269" s="489">
        <v>188.82</v>
      </c>
      <c r="H2269" s="489">
        <v>53.797269999999997</v>
      </c>
      <c r="I2269" s="487" t="s">
        <v>1499</v>
      </c>
      <c r="J2269" s="487" t="s">
        <v>1364</v>
      </c>
    </row>
    <row r="2270" spans="1:10" ht="15" x14ac:dyDescent="0.2">
      <c r="A2270" s="486" t="s">
        <v>1363</v>
      </c>
      <c r="B2270" s="487" t="s">
        <v>1362</v>
      </c>
      <c r="C2270" s="488" t="s">
        <v>8225</v>
      </c>
      <c r="D2270" s="489" t="s">
        <v>8226</v>
      </c>
      <c r="E2270" s="487" t="s">
        <v>8227</v>
      </c>
      <c r="F2270" s="490">
        <v>26454</v>
      </c>
      <c r="G2270" s="489">
        <v>378.48</v>
      </c>
      <c r="H2270" s="489">
        <v>69.89537</v>
      </c>
      <c r="I2270" s="487" t="s">
        <v>1499</v>
      </c>
      <c r="J2270" s="487" t="s">
        <v>1364</v>
      </c>
    </row>
    <row r="2271" spans="1:10" ht="15" x14ac:dyDescent="0.2">
      <c r="A2271" s="486" t="s">
        <v>1363</v>
      </c>
      <c r="B2271" s="487" t="s">
        <v>1362</v>
      </c>
      <c r="C2271" s="488" t="s">
        <v>8228</v>
      </c>
      <c r="D2271" s="489" t="s">
        <v>8229</v>
      </c>
      <c r="E2271" s="487" t="s">
        <v>8230</v>
      </c>
      <c r="F2271" s="490">
        <v>2656</v>
      </c>
      <c r="G2271" s="489">
        <v>67.23</v>
      </c>
      <c r="H2271" s="489">
        <v>39.506169999999997</v>
      </c>
      <c r="I2271" s="487" t="s">
        <v>1499</v>
      </c>
      <c r="J2271" s="487" t="s">
        <v>1364</v>
      </c>
    </row>
    <row r="2272" spans="1:10" ht="15" x14ac:dyDescent="0.2">
      <c r="A2272" s="486" t="s">
        <v>1363</v>
      </c>
      <c r="B2272" s="487" t="s">
        <v>1362</v>
      </c>
      <c r="C2272" s="488" t="s">
        <v>8231</v>
      </c>
      <c r="D2272" s="489" t="s">
        <v>8232</v>
      </c>
      <c r="E2272" s="487" t="s">
        <v>8233</v>
      </c>
      <c r="F2272" s="490">
        <v>5911</v>
      </c>
      <c r="G2272" s="489">
        <v>370.47</v>
      </c>
      <c r="H2272" s="489">
        <v>15.955410000000001</v>
      </c>
      <c r="I2272" s="487" t="s">
        <v>2465</v>
      </c>
      <c r="J2272" s="487" t="s">
        <v>1364</v>
      </c>
    </row>
    <row r="2273" spans="1:10" ht="15" x14ac:dyDescent="0.2">
      <c r="A2273" s="486" t="s">
        <v>1363</v>
      </c>
      <c r="B2273" s="487" t="s">
        <v>1362</v>
      </c>
      <c r="C2273" s="488" t="s">
        <v>8234</v>
      </c>
      <c r="D2273" s="489" t="s">
        <v>8235</v>
      </c>
      <c r="E2273" s="487" t="s">
        <v>8236</v>
      </c>
      <c r="F2273" s="490">
        <v>50</v>
      </c>
      <c r="G2273" s="489">
        <v>54.64</v>
      </c>
      <c r="H2273" s="489">
        <v>0.91508</v>
      </c>
      <c r="I2273" s="487" t="s">
        <v>1499</v>
      </c>
      <c r="J2273" s="487" t="s">
        <v>1364</v>
      </c>
    </row>
    <row r="2274" spans="1:10" ht="15" x14ac:dyDescent="0.2">
      <c r="A2274" s="486" t="s">
        <v>1363</v>
      </c>
      <c r="B2274" s="487" t="s">
        <v>1362</v>
      </c>
      <c r="C2274" s="488" t="s">
        <v>8237</v>
      </c>
      <c r="D2274" s="489" t="s">
        <v>8238</v>
      </c>
      <c r="E2274" s="487" t="s">
        <v>8239</v>
      </c>
      <c r="F2274" s="490">
        <v>159617</v>
      </c>
      <c r="G2274" s="489">
        <v>777.6</v>
      </c>
      <c r="H2274" s="489">
        <v>205.26877999999999</v>
      </c>
      <c r="I2274" s="487" t="s">
        <v>1499</v>
      </c>
      <c r="J2274" s="487" t="s">
        <v>1364</v>
      </c>
    </row>
    <row r="2275" spans="1:10" ht="15" x14ac:dyDescent="0.2">
      <c r="A2275" s="486" t="s">
        <v>1363</v>
      </c>
      <c r="B2275" s="487" t="s">
        <v>1362</v>
      </c>
      <c r="C2275" s="488" t="s">
        <v>8240</v>
      </c>
      <c r="D2275" s="489" t="s">
        <v>8241</v>
      </c>
      <c r="E2275" s="487" t="s">
        <v>8242</v>
      </c>
      <c r="F2275" s="490">
        <v>14560</v>
      </c>
      <c r="G2275" s="489">
        <v>306.36</v>
      </c>
      <c r="H2275" s="489">
        <v>47.525790000000001</v>
      </c>
      <c r="I2275" s="487" t="s">
        <v>1499</v>
      </c>
      <c r="J2275" s="487" t="s">
        <v>1364</v>
      </c>
    </row>
    <row r="2276" spans="1:10" ht="15" x14ac:dyDescent="0.2">
      <c r="A2276" s="486" t="s">
        <v>1363</v>
      </c>
      <c r="B2276" s="487" t="s">
        <v>1362</v>
      </c>
      <c r="C2276" s="488" t="s">
        <v>8243</v>
      </c>
      <c r="D2276" s="489" t="s">
        <v>8244</v>
      </c>
      <c r="E2276" s="487" t="s">
        <v>8245</v>
      </c>
      <c r="F2276" s="490">
        <v>457313</v>
      </c>
      <c r="G2276" s="489">
        <v>2277.41</v>
      </c>
      <c r="H2276" s="489">
        <v>200.80398</v>
      </c>
      <c r="I2276" s="487" t="s">
        <v>1499</v>
      </c>
      <c r="J2276" s="487" t="s">
        <v>1364</v>
      </c>
    </row>
    <row r="2277" spans="1:10" ht="15" x14ac:dyDescent="0.2">
      <c r="A2277" s="486" t="s">
        <v>1363</v>
      </c>
      <c r="B2277" s="487" t="s">
        <v>1362</v>
      </c>
      <c r="C2277" s="488" t="s">
        <v>8246</v>
      </c>
      <c r="D2277" s="489" t="s">
        <v>8247</v>
      </c>
      <c r="E2277" s="487" t="s">
        <v>8248</v>
      </c>
      <c r="F2277" s="490">
        <v>43000</v>
      </c>
      <c r="G2277" s="489">
        <v>850.94</v>
      </c>
      <c r="H2277" s="489">
        <v>50.532350000000001</v>
      </c>
      <c r="I2277" s="487" t="s">
        <v>1499</v>
      </c>
      <c r="J2277" s="487" t="s">
        <v>1364</v>
      </c>
    </row>
    <row r="2278" spans="1:10" ht="15" x14ac:dyDescent="0.2">
      <c r="A2278" s="486" t="s">
        <v>1363</v>
      </c>
      <c r="B2278" s="487" t="s">
        <v>1362</v>
      </c>
      <c r="C2278" s="488" t="s">
        <v>8249</v>
      </c>
      <c r="D2278" s="489" t="s">
        <v>8250</v>
      </c>
      <c r="E2278" s="487" t="s">
        <v>8251</v>
      </c>
      <c r="F2278" s="490">
        <v>19000</v>
      </c>
      <c r="G2278" s="489">
        <v>134.76</v>
      </c>
      <c r="H2278" s="489">
        <v>140.99139</v>
      </c>
      <c r="I2278" s="487" t="s">
        <v>1499</v>
      </c>
      <c r="J2278" s="487" t="s">
        <v>1364</v>
      </c>
    </row>
    <row r="2279" spans="1:10" ht="15" x14ac:dyDescent="0.2">
      <c r="A2279" s="486" t="s">
        <v>1363</v>
      </c>
      <c r="B2279" s="487" t="s">
        <v>1362</v>
      </c>
      <c r="C2279" s="488" t="s">
        <v>8252</v>
      </c>
      <c r="D2279" s="489" t="s">
        <v>8253</v>
      </c>
      <c r="E2279" s="487" t="s">
        <v>8254</v>
      </c>
      <c r="F2279" s="490">
        <v>12631</v>
      </c>
      <c r="G2279" s="489">
        <v>274.79000000000002</v>
      </c>
      <c r="H2279" s="489">
        <v>45.966009999999997</v>
      </c>
      <c r="I2279" s="487" t="s">
        <v>1499</v>
      </c>
      <c r="J2279" s="487" t="s">
        <v>1364</v>
      </c>
    </row>
    <row r="2280" spans="1:10" ht="15" x14ac:dyDescent="0.2">
      <c r="A2280" s="486" t="s">
        <v>1363</v>
      </c>
      <c r="B2280" s="487" t="s">
        <v>1362</v>
      </c>
      <c r="C2280" s="488" t="s">
        <v>8255</v>
      </c>
      <c r="D2280" s="489" t="s">
        <v>8256</v>
      </c>
      <c r="E2280" s="487" t="s">
        <v>8257</v>
      </c>
      <c r="F2280" s="490">
        <v>10328</v>
      </c>
      <c r="G2280" s="489">
        <v>187.45</v>
      </c>
      <c r="H2280" s="489">
        <v>55.097360000000002</v>
      </c>
      <c r="I2280" s="487" t="s">
        <v>1499</v>
      </c>
      <c r="J2280" s="487" t="s">
        <v>1364</v>
      </c>
    </row>
    <row r="2281" spans="1:10" ht="15" x14ac:dyDescent="0.2">
      <c r="A2281" s="486" t="s">
        <v>1363</v>
      </c>
      <c r="B2281" s="487" t="s">
        <v>1362</v>
      </c>
      <c r="C2281" s="488" t="s">
        <v>8258</v>
      </c>
      <c r="D2281" s="489" t="s">
        <v>8259</v>
      </c>
      <c r="E2281" s="487" t="s">
        <v>8260</v>
      </c>
      <c r="F2281" s="490">
        <v>25900</v>
      </c>
      <c r="G2281" s="489">
        <v>493.38</v>
      </c>
      <c r="H2281" s="489">
        <v>52.49503</v>
      </c>
      <c r="I2281" s="487" t="s">
        <v>1499</v>
      </c>
      <c r="J2281" s="487" t="s">
        <v>1364</v>
      </c>
    </row>
    <row r="2282" spans="1:10" ht="15" x14ac:dyDescent="0.2">
      <c r="A2282" s="486" t="s">
        <v>1363</v>
      </c>
      <c r="B2282" s="487" t="s">
        <v>1362</v>
      </c>
      <c r="C2282" s="488" t="s">
        <v>8261</v>
      </c>
      <c r="D2282" s="489" t="s">
        <v>8262</v>
      </c>
      <c r="E2282" s="487" t="s">
        <v>8263</v>
      </c>
      <c r="F2282" s="490">
        <v>5350</v>
      </c>
      <c r="G2282" s="489">
        <v>201.45</v>
      </c>
      <c r="H2282" s="489">
        <v>26.557459999999999</v>
      </c>
      <c r="I2282" s="487" t="s">
        <v>1499</v>
      </c>
      <c r="J2282" s="487" t="s">
        <v>1364</v>
      </c>
    </row>
    <row r="2283" spans="1:10" ht="15" x14ac:dyDescent="0.2">
      <c r="A2283" s="486" t="s">
        <v>1363</v>
      </c>
      <c r="B2283" s="487" t="s">
        <v>1362</v>
      </c>
      <c r="C2283" s="488" t="s">
        <v>8264</v>
      </c>
      <c r="D2283" s="489" t="s">
        <v>8265</v>
      </c>
      <c r="E2283" s="487" t="s">
        <v>8266</v>
      </c>
      <c r="F2283" s="490">
        <v>7880</v>
      </c>
      <c r="G2283" s="489">
        <v>159.88</v>
      </c>
      <c r="H2283" s="489">
        <v>49.286969999999997</v>
      </c>
      <c r="I2283" s="487" t="s">
        <v>1499</v>
      </c>
      <c r="J2283" s="487" t="s">
        <v>1364</v>
      </c>
    </row>
    <row r="2284" spans="1:10" ht="15" x14ac:dyDescent="0.2">
      <c r="A2284" s="486" t="s">
        <v>1363</v>
      </c>
      <c r="B2284" s="487" t="s">
        <v>1362</v>
      </c>
      <c r="C2284" s="488" t="s">
        <v>8267</v>
      </c>
      <c r="D2284" s="489" t="s">
        <v>8268</v>
      </c>
      <c r="E2284" s="487" t="s">
        <v>8269</v>
      </c>
      <c r="F2284" s="490">
        <v>3740</v>
      </c>
      <c r="G2284" s="489">
        <v>127.19</v>
      </c>
      <c r="H2284" s="489">
        <v>29.40483</v>
      </c>
      <c r="I2284" s="487" t="s">
        <v>1499</v>
      </c>
      <c r="J2284" s="487" t="s">
        <v>1364</v>
      </c>
    </row>
    <row r="2285" spans="1:10" ht="15" x14ac:dyDescent="0.2">
      <c r="A2285" s="486" t="s">
        <v>1363</v>
      </c>
      <c r="B2285" s="487" t="s">
        <v>1362</v>
      </c>
      <c r="C2285" s="488" t="s">
        <v>8270</v>
      </c>
      <c r="D2285" s="489" t="s">
        <v>8271</v>
      </c>
      <c r="E2285" s="487" t="s">
        <v>8272</v>
      </c>
      <c r="F2285" s="490">
        <v>850</v>
      </c>
      <c r="G2285" s="489">
        <v>118.67</v>
      </c>
      <c r="H2285" s="489">
        <v>7.1627200000000002</v>
      </c>
      <c r="I2285" s="487" t="s">
        <v>1499</v>
      </c>
      <c r="J2285" s="487" t="s">
        <v>1364</v>
      </c>
    </row>
    <row r="2286" spans="1:10" ht="15" x14ac:dyDescent="0.2">
      <c r="A2286" s="486" t="s">
        <v>1363</v>
      </c>
      <c r="B2286" s="487" t="s">
        <v>1362</v>
      </c>
      <c r="C2286" s="488" t="s">
        <v>8273</v>
      </c>
      <c r="D2286" s="489" t="s">
        <v>8274</v>
      </c>
      <c r="E2286" s="487" t="s">
        <v>8275</v>
      </c>
      <c r="F2286" s="490">
        <v>1088850</v>
      </c>
      <c r="G2286" s="489">
        <v>4895.5600000000004</v>
      </c>
      <c r="H2286" s="489">
        <v>222.41582</v>
      </c>
      <c r="I2286" s="487" t="s">
        <v>1499</v>
      </c>
      <c r="J2286" s="487" t="s">
        <v>1364</v>
      </c>
    </row>
    <row r="2287" spans="1:10" ht="15" x14ac:dyDescent="0.2">
      <c r="A2287" s="486" t="s">
        <v>1363</v>
      </c>
      <c r="B2287" s="487" t="s">
        <v>1362</v>
      </c>
      <c r="C2287" s="488" t="s">
        <v>8276</v>
      </c>
      <c r="D2287" s="489" t="s">
        <v>8277</v>
      </c>
      <c r="E2287" s="487" t="s">
        <v>8278</v>
      </c>
      <c r="F2287" s="490">
        <v>6250</v>
      </c>
      <c r="G2287" s="489">
        <v>161.75</v>
      </c>
      <c r="H2287" s="489">
        <v>38.639879999999998</v>
      </c>
      <c r="I2287" s="487" t="s">
        <v>1499</v>
      </c>
      <c r="J2287" s="487" t="s">
        <v>1364</v>
      </c>
    </row>
    <row r="2288" spans="1:10" ht="15" x14ac:dyDescent="0.2">
      <c r="A2288" s="486" t="s">
        <v>1363</v>
      </c>
      <c r="B2288" s="487" t="s">
        <v>1362</v>
      </c>
      <c r="C2288" s="488" t="s">
        <v>8279</v>
      </c>
      <c r="D2288" s="489" t="s">
        <v>8280</v>
      </c>
      <c r="E2288" s="487" t="s">
        <v>8281</v>
      </c>
      <c r="F2288" s="490">
        <v>28000</v>
      </c>
      <c r="G2288" s="489">
        <v>667.78</v>
      </c>
      <c r="H2288" s="489">
        <v>41.92998</v>
      </c>
      <c r="I2288" s="487" t="s">
        <v>2465</v>
      </c>
      <c r="J2288" s="487" t="s">
        <v>1364</v>
      </c>
    </row>
    <row r="2289" spans="1:10" ht="15" x14ac:dyDescent="0.2">
      <c r="A2289" s="486" t="s">
        <v>1363</v>
      </c>
      <c r="B2289" s="487" t="s">
        <v>1362</v>
      </c>
      <c r="C2289" s="488" t="s">
        <v>8282</v>
      </c>
      <c r="D2289" s="489" t="s">
        <v>8283</v>
      </c>
      <c r="E2289" s="487" t="s">
        <v>8284</v>
      </c>
      <c r="F2289" s="490">
        <v>10110</v>
      </c>
      <c r="G2289" s="489">
        <v>385.47</v>
      </c>
      <c r="H2289" s="489">
        <v>26.227720000000001</v>
      </c>
      <c r="I2289" s="487" t="s">
        <v>2465</v>
      </c>
      <c r="J2289" s="487" t="s">
        <v>1364</v>
      </c>
    </row>
    <row r="2290" spans="1:10" ht="15" x14ac:dyDescent="0.2">
      <c r="A2290" s="486" t="s">
        <v>1363</v>
      </c>
      <c r="B2290" s="487" t="s">
        <v>1362</v>
      </c>
      <c r="C2290" s="488" t="s">
        <v>8285</v>
      </c>
      <c r="D2290" s="489" t="s">
        <v>8286</v>
      </c>
      <c r="E2290" s="487" t="s">
        <v>8287</v>
      </c>
      <c r="F2290" s="490">
        <v>5975</v>
      </c>
      <c r="G2290" s="489">
        <v>289.45999999999998</v>
      </c>
      <c r="H2290" s="489">
        <v>20.64188</v>
      </c>
      <c r="I2290" s="487" t="s">
        <v>2465</v>
      </c>
      <c r="J2290" s="487" t="s">
        <v>1364</v>
      </c>
    </row>
    <row r="2291" spans="1:10" ht="15" x14ac:dyDescent="0.2">
      <c r="A2291" s="486" t="s">
        <v>1363</v>
      </c>
      <c r="B2291" s="487" t="s">
        <v>1362</v>
      </c>
      <c r="C2291" s="488" t="s">
        <v>8288</v>
      </c>
      <c r="D2291" s="489" t="s">
        <v>8289</v>
      </c>
      <c r="E2291" s="487" t="s">
        <v>8290</v>
      </c>
      <c r="F2291" s="490">
        <v>0</v>
      </c>
      <c r="G2291" s="489">
        <v>0</v>
      </c>
      <c r="H2291" s="489">
        <v>0</v>
      </c>
      <c r="I2291" s="487" t="s">
        <v>2465</v>
      </c>
      <c r="J2291" s="487" t="s">
        <v>1364</v>
      </c>
    </row>
    <row r="2292" spans="1:10" ht="15" x14ac:dyDescent="0.2">
      <c r="A2292" s="486" t="s">
        <v>1363</v>
      </c>
      <c r="B2292" s="487" t="s">
        <v>1362</v>
      </c>
      <c r="C2292" s="488" t="s">
        <v>8291</v>
      </c>
      <c r="D2292" s="489" t="s">
        <v>8292</v>
      </c>
      <c r="E2292" s="487" t="s">
        <v>8293</v>
      </c>
      <c r="F2292" s="490">
        <v>0</v>
      </c>
      <c r="G2292" s="489">
        <v>0</v>
      </c>
      <c r="H2292" s="489">
        <v>0</v>
      </c>
      <c r="I2292" s="487" t="s">
        <v>2465</v>
      </c>
      <c r="J2292" s="487" t="s">
        <v>1364</v>
      </c>
    </row>
    <row r="2293" spans="1:10" ht="15" x14ac:dyDescent="0.2">
      <c r="A2293" s="486" t="s">
        <v>1363</v>
      </c>
      <c r="B2293" s="487" t="s">
        <v>1362</v>
      </c>
      <c r="C2293" s="488" t="s">
        <v>8294</v>
      </c>
      <c r="D2293" s="489" t="s">
        <v>8295</v>
      </c>
      <c r="E2293" s="487" t="s">
        <v>8296</v>
      </c>
      <c r="F2293" s="490">
        <v>0</v>
      </c>
      <c r="G2293" s="489">
        <v>0</v>
      </c>
      <c r="H2293" s="489">
        <v>0</v>
      </c>
      <c r="I2293" s="487" t="s">
        <v>2465</v>
      </c>
      <c r="J2293" s="487" t="s">
        <v>1364</v>
      </c>
    </row>
    <row r="2294" spans="1:10" ht="15" x14ac:dyDescent="0.2">
      <c r="A2294" s="486" t="s">
        <v>1363</v>
      </c>
      <c r="B2294" s="487" t="s">
        <v>1362</v>
      </c>
      <c r="C2294" s="488" t="s">
        <v>8297</v>
      </c>
      <c r="D2294" s="489" t="s">
        <v>8298</v>
      </c>
      <c r="E2294" s="487" t="s">
        <v>8299</v>
      </c>
      <c r="F2294" s="490">
        <v>0</v>
      </c>
      <c r="G2294" s="489">
        <v>0</v>
      </c>
      <c r="H2294" s="489">
        <v>0</v>
      </c>
      <c r="I2294" s="487" t="s">
        <v>2465</v>
      </c>
      <c r="J2294" s="487" t="s">
        <v>1364</v>
      </c>
    </row>
    <row r="2295" spans="1:10" ht="15" x14ac:dyDescent="0.2">
      <c r="A2295" s="486" t="s">
        <v>1363</v>
      </c>
      <c r="B2295" s="487" t="s">
        <v>1362</v>
      </c>
      <c r="C2295" s="488" t="s">
        <v>8300</v>
      </c>
      <c r="D2295" s="489" t="s">
        <v>8301</v>
      </c>
      <c r="E2295" s="487" t="s">
        <v>8302</v>
      </c>
      <c r="F2295" s="490">
        <v>0</v>
      </c>
      <c r="G2295" s="489">
        <v>0</v>
      </c>
      <c r="H2295" s="489">
        <v>0</v>
      </c>
      <c r="I2295" s="487" t="s">
        <v>2465</v>
      </c>
      <c r="J2295" s="487" t="s">
        <v>1364</v>
      </c>
    </row>
    <row r="2296" spans="1:10" ht="15" x14ac:dyDescent="0.2">
      <c r="A2296" s="486" t="s">
        <v>1363</v>
      </c>
      <c r="B2296" s="487" t="s">
        <v>1362</v>
      </c>
      <c r="C2296" s="488" t="s">
        <v>8303</v>
      </c>
      <c r="D2296" s="489" t="s">
        <v>8304</v>
      </c>
      <c r="E2296" s="487" t="s">
        <v>8305</v>
      </c>
      <c r="F2296" s="490">
        <v>0</v>
      </c>
      <c r="G2296" s="489">
        <v>0</v>
      </c>
      <c r="H2296" s="489">
        <v>0</v>
      </c>
      <c r="I2296" s="487" t="s">
        <v>2465</v>
      </c>
      <c r="J2296" s="487" t="s">
        <v>1364</v>
      </c>
    </row>
    <row r="2297" spans="1:10" ht="15" x14ac:dyDescent="0.2">
      <c r="A2297" s="486" t="s">
        <v>1363</v>
      </c>
      <c r="B2297" s="487" t="s">
        <v>1362</v>
      </c>
      <c r="C2297" s="488" t="s">
        <v>8306</v>
      </c>
      <c r="D2297" s="489" t="s">
        <v>8307</v>
      </c>
      <c r="E2297" s="487" t="s">
        <v>8308</v>
      </c>
      <c r="F2297" s="490">
        <v>0</v>
      </c>
      <c r="G2297" s="489">
        <v>0</v>
      </c>
      <c r="H2297" s="489">
        <v>0</v>
      </c>
      <c r="I2297" s="487" t="s">
        <v>2465</v>
      </c>
      <c r="J2297" s="487" t="s">
        <v>1364</v>
      </c>
    </row>
    <row r="2298" spans="1:10" ht="15" x14ac:dyDescent="0.2">
      <c r="A2298" s="486" t="s">
        <v>1363</v>
      </c>
      <c r="B2298" s="487" t="s">
        <v>1362</v>
      </c>
      <c r="C2298" s="488" t="s">
        <v>8309</v>
      </c>
      <c r="D2298" s="489" t="s">
        <v>8310</v>
      </c>
      <c r="E2298" s="487" t="s">
        <v>8311</v>
      </c>
      <c r="F2298" s="490">
        <v>0</v>
      </c>
      <c r="G2298" s="489">
        <v>0</v>
      </c>
      <c r="H2298" s="489">
        <v>0</v>
      </c>
      <c r="I2298" s="487" t="s">
        <v>2465</v>
      </c>
      <c r="J2298" s="487" t="s">
        <v>1364</v>
      </c>
    </row>
    <row r="2299" spans="1:10" ht="15" x14ac:dyDescent="0.2">
      <c r="A2299" s="486" t="s">
        <v>1363</v>
      </c>
      <c r="B2299" s="487" t="s">
        <v>1362</v>
      </c>
      <c r="C2299" s="488" t="s">
        <v>8312</v>
      </c>
      <c r="D2299" s="489" t="s">
        <v>8313</v>
      </c>
      <c r="E2299" s="487" t="s">
        <v>8314</v>
      </c>
      <c r="F2299" s="490">
        <v>0</v>
      </c>
      <c r="G2299" s="489">
        <v>0</v>
      </c>
      <c r="H2299" s="489">
        <v>0</v>
      </c>
      <c r="I2299" s="487" t="s">
        <v>2465</v>
      </c>
      <c r="J2299" s="487" t="s">
        <v>1364</v>
      </c>
    </row>
    <row r="2300" spans="1:10" ht="15" x14ac:dyDescent="0.2">
      <c r="A2300" s="486" t="s">
        <v>705</v>
      </c>
      <c r="B2300" s="487" t="s">
        <v>704</v>
      </c>
      <c r="C2300" s="488" t="s">
        <v>8315</v>
      </c>
      <c r="D2300" s="489" t="s">
        <v>8316</v>
      </c>
      <c r="E2300" s="487" t="s">
        <v>8317</v>
      </c>
      <c r="F2300" s="490">
        <v>39600</v>
      </c>
      <c r="G2300" s="489">
        <v>801.6</v>
      </c>
      <c r="H2300" s="489">
        <v>49.401200000000003</v>
      </c>
      <c r="I2300" s="487" t="s">
        <v>2465</v>
      </c>
      <c r="J2300" s="487" t="s">
        <v>706</v>
      </c>
    </row>
    <row r="2301" spans="1:10" ht="15" x14ac:dyDescent="0.2">
      <c r="A2301" s="486" t="s">
        <v>705</v>
      </c>
      <c r="B2301" s="487" t="s">
        <v>704</v>
      </c>
      <c r="C2301" s="488" t="s">
        <v>8318</v>
      </c>
      <c r="D2301" s="489" t="s">
        <v>8319</v>
      </c>
      <c r="E2301" s="487" t="s">
        <v>8320</v>
      </c>
      <c r="F2301" s="490">
        <v>13709</v>
      </c>
      <c r="G2301" s="489">
        <v>266.5</v>
      </c>
      <c r="H2301" s="489">
        <v>51.440899999999999</v>
      </c>
      <c r="I2301" s="487" t="s">
        <v>1499</v>
      </c>
      <c r="J2301" s="487" t="s">
        <v>706</v>
      </c>
    </row>
    <row r="2302" spans="1:10" ht="15" x14ac:dyDescent="0.2">
      <c r="A2302" s="486" t="s">
        <v>705</v>
      </c>
      <c r="B2302" s="487" t="s">
        <v>704</v>
      </c>
      <c r="C2302" s="488" t="s">
        <v>8321</v>
      </c>
      <c r="D2302" s="489" t="s">
        <v>8322</v>
      </c>
      <c r="E2302" s="487" t="s">
        <v>8323</v>
      </c>
      <c r="F2302" s="490">
        <v>103837.7</v>
      </c>
      <c r="G2302" s="489">
        <v>1293.5999999999999</v>
      </c>
      <c r="H2302" s="489">
        <v>80.270330000000001</v>
      </c>
      <c r="I2302" s="487" t="s">
        <v>1499</v>
      </c>
      <c r="J2302" s="487" t="s">
        <v>706</v>
      </c>
    </row>
    <row r="2303" spans="1:10" ht="15" x14ac:dyDescent="0.2">
      <c r="A2303" s="486" t="s">
        <v>705</v>
      </c>
      <c r="B2303" s="487" t="s">
        <v>704</v>
      </c>
      <c r="C2303" s="488" t="s">
        <v>8324</v>
      </c>
      <c r="D2303" s="489" t="s">
        <v>8325</v>
      </c>
      <c r="E2303" s="487" t="s">
        <v>8326</v>
      </c>
      <c r="F2303" s="490">
        <v>14100</v>
      </c>
      <c r="G2303" s="489">
        <v>632</v>
      </c>
      <c r="H2303" s="489">
        <v>22.310130000000001</v>
      </c>
      <c r="I2303" s="487" t="s">
        <v>2465</v>
      </c>
      <c r="J2303" s="487" t="s">
        <v>706</v>
      </c>
    </row>
    <row r="2304" spans="1:10" ht="15" x14ac:dyDescent="0.2">
      <c r="A2304" s="486" t="s">
        <v>705</v>
      </c>
      <c r="B2304" s="487" t="s">
        <v>704</v>
      </c>
      <c r="C2304" s="488" t="s">
        <v>8327</v>
      </c>
      <c r="D2304" s="489" t="s">
        <v>8328</v>
      </c>
      <c r="E2304" s="487" t="s">
        <v>8329</v>
      </c>
      <c r="F2304" s="490">
        <v>2504</v>
      </c>
      <c r="G2304" s="489">
        <v>48.2</v>
      </c>
      <c r="H2304" s="489">
        <v>51.950209999999998</v>
      </c>
      <c r="I2304" s="487" t="s">
        <v>1499</v>
      </c>
      <c r="J2304" s="487" t="s">
        <v>706</v>
      </c>
    </row>
    <row r="2305" spans="1:10" ht="15" x14ac:dyDescent="0.2">
      <c r="A2305" s="486" t="s">
        <v>705</v>
      </c>
      <c r="B2305" s="487" t="s">
        <v>704</v>
      </c>
      <c r="C2305" s="488" t="s">
        <v>8330</v>
      </c>
      <c r="D2305" s="489" t="s">
        <v>8331</v>
      </c>
      <c r="E2305" s="487" t="s">
        <v>8332</v>
      </c>
      <c r="F2305" s="490">
        <v>41625.67</v>
      </c>
      <c r="G2305" s="489">
        <v>696.6</v>
      </c>
      <c r="H2305" s="489">
        <v>59.755479999999999</v>
      </c>
      <c r="I2305" s="487" t="s">
        <v>1499</v>
      </c>
      <c r="J2305" s="487" t="s">
        <v>706</v>
      </c>
    </row>
    <row r="2306" spans="1:10" ht="15" x14ac:dyDescent="0.2">
      <c r="A2306" s="486" t="s">
        <v>705</v>
      </c>
      <c r="B2306" s="487" t="s">
        <v>704</v>
      </c>
      <c r="C2306" s="488" t="s">
        <v>8333</v>
      </c>
      <c r="D2306" s="489" t="s">
        <v>8334</v>
      </c>
      <c r="E2306" s="487" t="s">
        <v>8335</v>
      </c>
      <c r="F2306" s="490">
        <v>4000</v>
      </c>
      <c r="G2306" s="489">
        <v>112.5</v>
      </c>
      <c r="H2306" s="489">
        <v>35.55556</v>
      </c>
      <c r="I2306" s="487" t="s">
        <v>1499</v>
      </c>
      <c r="J2306" s="487" t="s">
        <v>706</v>
      </c>
    </row>
    <row r="2307" spans="1:10" ht="15" x14ac:dyDescent="0.2">
      <c r="A2307" s="486" t="s">
        <v>705</v>
      </c>
      <c r="B2307" s="487" t="s">
        <v>704</v>
      </c>
      <c r="C2307" s="488" t="s">
        <v>8336</v>
      </c>
      <c r="D2307" s="489" t="s">
        <v>8337</v>
      </c>
      <c r="E2307" s="487" t="s">
        <v>8338</v>
      </c>
      <c r="F2307" s="490">
        <v>2550</v>
      </c>
      <c r="G2307" s="489">
        <v>96</v>
      </c>
      <c r="H2307" s="489">
        <v>26.5625</v>
      </c>
      <c r="I2307" s="487" t="s">
        <v>1499</v>
      </c>
      <c r="J2307" s="487" t="s">
        <v>706</v>
      </c>
    </row>
    <row r="2308" spans="1:10" ht="15" x14ac:dyDescent="0.2">
      <c r="A2308" s="486" t="s">
        <v>705</v>
      </c>
      <c r="B2308" s="487" t="s">
        <v>704</v>
      </c>
      <c r="C2308" s="488" t="s">
        <v>8339</v>
      </c>
      <c r="D2308" s="489" t="s">
        <v>8340</v>
      </c>
      <c r="E2308" s="487" t="s">
        <v>8341</v>
      </c>
      <c r="F2308" s="490">
        <v>57429</v>
      </c>
      <c r="G2308" s="489">
        <v>870.8</v>
      </c>
      <c r="H2308" s="489">
        <v>65.949700000000007</v>
      </c>
      <c r="I2308" s="487" t="s">
        <v>2465</v>
      </c>
      <c r="J2308" s="487" t="s">
        <v>706</v>
      </c>
    </row>
    <row r="2309" spans="1:10" ht="15" x14ac:dyDescent="0.2">
      <c r="A2309" s="486" t="s">
        <v>705</v>
      </c>
      <c r="B2309" s="487" t="s">
        <v>704</v>
      </c>
      <c r="C2309" s="488" t="s">
        <v>8342</v>
      </c>
      <c r="D2309" s="489" t="s">
        <v>8343</v>
      </c>
      <c r="E2309" s="487" t="s">
        <v>8344</v>
      </c>
      <c r="F2309" s="490">
        <v>6500</v>
      </c>
      <c r="G2309" s="489">
        <v>137</v>
      </c>
      <c r="H2309" s="489">
        <v>47.445259999999998</v>
      </c>
      <c r="I2309" s="487" t="s">
        <v>2465</v>
      </c>
      <c r="J2309" s="487" t="s">
        <v>706</v>
      </c>
    </row>
    <row r="2310" spans="1:10" ht="15" x14ac:dyDescent="0.2">
      <c r="A2310" s="486" t="s">
        <v>705</v>
      </c>
      <c r="B2310" s="487" t="s">
        <v>704</v>
      </c>
      <c r="C2310" s="488" t="s">
        <v>8345</v>
      </c>
      <c r="D2310" s="489" t="s">
        <v>8346</v>
      </c>
      <c r="E2310" s="487" t="s">
        <v>8347</v>
      </c>
      <c r="F2310" s="490">
        <v>303483</v>
      </c>
      <c r="G2310" s="489">
        <v>1413.9</v>
      </c>
      <c r="H2310" s="489">
        <v>214.64248000000001</v>
      </c>
      <c r="I2310" s="487" t="s">
        <v>1499</v>
      </c>
      <c r="J2310" s="487" t="s">
        <v>706</v>
      </c>
    </row>
    <row r="2311" spans="1:10" ht="15" x14ac:dyDescent="0.2">
      <c r="A2311" s="486" t="s">
        <v>705</v>
      </c>
      <c r="B2311" s="487" t="s">
        <v>704</v>
      </c>
      <c r="C2311" s="488" t="s">
        <v>8348</v>
      </c>
      <c r="D2311" s="489" t="s">
        <v>8349</v>
      </c>
      <c r="E2311" s="487" t="s">
        <v>8350</v>
      </c>
      <c r="F2311" s="490">
        <v>16659.62</v>
      </c>
      <c r="G2311" s="489">
        <v>417.3</v>
      </c>
      <c r="H2311" s="489">
        <v>39.922409999999999</v>
      </c>
      <c r="I2311" s="487" t="s">
        <v>2465</v>
      </c>
      <c r="J2311" s="487" t="s">
        <v>706</v>
      </c>
    </row>
    <row r="2312" spans="1:10" ht="15" x14ac:dyDescent="0.2">
      <c r="A2312" s="486" t="s">
        <v>705</v>
      </c>
      <c r="B2312" s="487" t="s">
        <v>704</v>
      </c>
      <c r="C2312" s="488" t="s">
        <v>8351</v>
      </c>
      <c r="D2312" s="489" t="s">
        <v>8352</v>
      </c>
      <c r="E2312" s="487" t="s">
        <v>8353</v>
      </c>
      <c r="F2312" s="490">
        <v>78100</v>
      </c>
      <c r="G2312" s="489">
        <v>687.3</v>
      </c>
      <c r="H2312" s="489">
        <v>113.63306</v>
      </c>
      <c r="I2312" s="487" t="s">
        <v>1499</v>
      </c>
      <c r="J2312" s="487" t="s">
        <v>706</v>
      </c>
    </row>
    <row r="2313" spans="1:10" ht="15" x14ac:dyDescent="0.2">
      <c r="A2313" s="486" t="s">
        <v>705</v>
      </c>
      <c r="B2313" s="487" t="s">
        <v>704</v>
      </c>
      <c r="C2313" s="488" t="s">
        <v>8354</v>
      </c>
      <c r="D2313" s="489" t="s">
        <v>8355</v>
      </c>
      <c r="E2313" s="487" t="s">
        <v>8356</v>
      </c>
      <c r="F2313" s="490">
        <v>13100</v>
      </c>
      <c r="G2313" s="489">
        <v>336.9</v>
      </c>
      <c r="H2313" s="489">
        <v>38.883940000000003</v>
      </c>
      <c r="I2313" s="487" t="s">
        <v>2465</v>
      </c>
      <c r="J2313" s="487" t="s">
        <v>706</v>
      </c>
    </row>
    <row r="2314" spans="1:10" ht="15" x14ac:dyDescent="0.2">
      <c r="A2314" s="486" t="s">
        <v>705</v>
      </c>
      <c r="B2314" s="487" t="s">
        <v>704</v>
      </c>
      <c r="C2314" s="488" t="s">
        <v>8357</v>
      </c>
      <c r="D2314" s="489" t="s">
        <v>8358</v>
      </c>
      <c r="E2314" s="487" t="s">
        <v>8359</v>
      </c>
      <c r="F2314" s="490">
        <v>3360</v>
      </c>
      <c r="G2314" s="489">
        <v>124.7</v>
      </c>
      <c r="H2314" s="489">
        <v>26.944669999999999</v>
      </c>
      <c r="I2314" s="487" t="s">
        <v>2465</v>
      </c>
      <c r="J2314" s="487" t="s">
        <v>706</v>
      </c>
    </row>
    <row r="2315" spans="1:10" ht="15" x14ac:dyDescent="0.2">
      <c r="A2315" s="486" t="s">
        <v>705</v>
      </c>
      <c r="B2315" s="487" t="s">
        <v>704</v>
      </c>
      <c r="C2315" s="488" t="s">
        <v>8360</v>
      </c>
      <c r="D2315" s="489" t="s">
        <v>8361</v>
      </c>
      <c r="E2315" s="487" t="s">
        <v>8362</v>
      </c>
      <c r="F2315" s="490">
        <v>12259</v>
      </c>
      <c r="G2315" s="489">
        <v>179.3</v>
      </c>
      <c r="H2315" s="489">
        <v>68.371440000000007</v>
      </c>
      <c r="I2315" s="487" t="s">
        <v>1499</v>
      </c>
      <c r="J2315" s="487" t="s">
        <v>706</v>
      </c>
    </row>
    <row r="2316" spans="1:10" ht="15" x14ac:dyDescent="0.2">
      <c r="A2316" s="486" t="s">
        <v>705</v>
      </c>
      <c r="B2316" s="487" t="s">
        <v>704</v>
      </c>
      <c r="C2316" s="488" t="s">
        <v>8363</v>
      </c>
      <c r="D2316" s="489" t="s">
        <v>8364</v>
      </c>
      <c r="E2316" s="487" t="s">
        <v>8365</v>
      </c>
      <c r="F2316" s="490">
        <v>921873</v>
      </c>
      <c r="G2316" s="489">
        <v>3631.8</v>
      </c>
      <c r="H2316" s="489">
        <v>253.83364</v>
      </c>
      <c r="I2316" s="487" t="s">
        <v>1499</v>
      </c>
      <c r="J2316" s="487" t="s">
        <v>706</v>
      </c>
    </row>
    <row r="2317" spans="1:10" ht="15" x14ac:dyDescent="0.2">
      <c r="A2317" s="486" t="s">
        <v>705</v>
      </c>
      <c r="B2317" s="487" t="s">
        <v>704</v>
      </c>
      <c r="C2317" s="488" t="s">
        <v>8366</v>
      </c>
      <c r="D2317" s="489" t="s">
        <v>8367</v>
      </c>
      <c r="E2317" s="487" t="s">
        <v>8368</v>
      </c>
      <c r="F2317" s="490">
        <v>29132</v>
      </c>
      <c r="G2317" s="489">
        <v>819.7</v>
      </c>
      <c r="H2317" s="489">
        <v>35.539830000000002</v>
      </c>
      <c r="I2317" s="487" t="s">
        <v>1499</v>
      </c>
      <c r="J2317" s="487" t="s">
        <v>706</v>
      </c>
    </row>
    <row r="2318" spans="1:10" ht="15" x14ac:dyDescent="0.2">
      <c r="A2318" s="486" t="s">
        <v>705</v>
      </c>
      <c r="B2318" s="487" t="s">
        <v>704</v>
      </c>
      <c r="C2318" s="488" t="s">
        <v>8369</v>
      </c>
      <c r="D2318" s="489" t="s">
        <v>8370</v>
      </c>
      <c r="E2318" s="487" t="s">
        <v>8371</v>
      </c>
      <c r="F2318" s="490">
        <v>0</v>
      </c>
      <c r="G2318" s="489">
        <v>96.2</v>
      </c>
      <c r="H2318" s="489">
        <v>0</v>
      </c>
      <c r="I2318" s="487" t="s">
        <v>1593</v>
      </c>
      <c r="J2318" s="487" t="s">
        <v>706</v>
      </c>
    </row>
    <row r="2319" spans="1:10" ht="15" x14ac:dyDescent="0.2">
      <c r="A2319" s="486" t="s">
        <v>705</v>
      </c>
      <c r="B2319" s="487" t="s">
        <v>704</v>
      </c>
      <c r="C2319" s="488" t="s">
        <v>8372</v>
      </c>
      <c r="D2319" s="489" t="s">
        <v>8373</v>
      </c>
      <c r="E2319" s="487" t="s">
        <v>8374</v>
      </c>
      <c r="F2319" s="490">
        <v>30088.73</v>
      </c>
      <c r="G2319" s="489">
        <v>426.3</v>
      </c>
      <c r="H2319" s="489">
        <v>70.581119999999999</v>
      </c>
      <c r="I2319" s="487" t="s">
        <v>1499</v>
      </c>
      <c r="J2319" s="487" t="s">
        <v>706</v>
      </c>
    </row>
    <row r="2320" spans="1:10" ht="15" x14ac:dyDescent="0.2">
      <c r="A2320" s="486" t="s">
        <v>705</v>
      </c>
      <c r="B2320" s="487" t="s">
        <v>704</v>
      </c>
      <c r="C2320" s="488" t="s">
        <v>8375</v>
      </c>
      <c r="D2320" s="489" t="s">
        <v>8376</v>
      </c>
      <c r="E2320" s="487" t="s">
        <v>8377</v>
      </c>
      <c r="F2320" s="490">
        <v>17594.22</v>
      </c>
      <c r="G2320" s="489">
        <v>377.6</v>
      </c>
      <c r="H2320" s="489">
        <v>46.594859999999997</v>
      </c>
      <c r="I2320" s="487" t="s">
        <v>1499</v>
      </c>
      <c r="J2320" s="487" t="s">
        <v>706</v>
      </c>
    </row>
    <row r="2321" spans="1:10" ht="15" x14ac:dyDescent="0.2">
      <c r="A2321" s="486" t="s">
        <v>705</v>
      </c>
      <c r="B2321" s="487" t="s">
        <v>704</v>
      </c>
      <c r="C2321" s="488" t="s">
        <v>8378</v>
      </c>
      <c r="D2321" s="489" t="s">
        <v>8379</v>
      </c>
      <c r="E2321" s="487" t="s">
        <v>8380</v>
      </c>
      <c r="F2321" s="490">
        <v>9617</v>
      </c>
      <c r="G2321" s="489">
        <v>189.1</v>
      </c>
      <c r="H2321" s="489">
        <v>50.85669</v>
      </c>
      <c r="I2321" s="487" t="s">
        <v>1499</v>
      </c>
      <c r="J2321" s="487" t="s">
        <v>706</v>
      </c>
    </row>
    <row r="2322" spans="1:10" ht="15" x14ac:dyDescent="0.2">
      <c r="A2322" s="486" t="s">
        <v>705</v>
      </c>
      <c r="B2322" s="487" t="s">
        <v>704</v>
      </c>
      <c r="C2322" s="488" t="s">
        <v>8381</v>
      </c>
      <c r="D2322" s="489" t="s">
        <v>8382</v>
      </c>
      <c r="E2322" s="487" t="s">
        <v>8383</v>
      </c>
      <c r="F2322" s="490">
        <v>1191075</v>
      </c>
      <c r="G2322" s="489">
        <v>5825.9</v>
      </c>
      <c r="H2322" s="489">
        <v>204.44480999999999</v>
      </c>
      <c r="I2322" s="487" t="s">
        <v>1499</v>
      </c>
      <c r="J2322" s="487" t="s">
        <v>706</v>
      </c>
    </row>
    <row r="2323" spans="1:10" ht="15" x14ac:dyDescent="0.2">
      <c r="A2323" s="486" t="s">
        <v>705</v>
      </c>
      <c r="B2323" s="487" t="s">
        <v>704</v>
      </c>
      <c r="C2323" s="488" t="s">
        <v>8384</v>
      </c>
      <c r="D2323" s="489" t="s">
        <v>8385</v>
      </c>
      <c r="E2323" s="487" t="s">
        <v>8386</v>
      </c>
      <c r="F2323" s="490">
        <v>29163.9</v>
      </c>
      <c r="G2323" s="489">
        <v>549.1</v>
      </c>
      <c r="H2323" s="489">
        <v>53.112180000000002</v>
      </c>
      <c r="I2323" s="487" t="s">
        <v>1499</v>
      </c>
      <c r="J2323" s="487" t="s">
        <v>706</v>
      </c>
    </row>
    <row r="2324" spans="1:10" ht="15" x14ac:dyDescent="0.2">
      <c r="A2324" s="486" t="s">
        <v>705</v>
      </c>
      <c r="B2324" s="487" t="s">
        <v>704</v>
      </c>
      <c r="C2324" s="488" t="s">
        <v>8387</v>
      </c>
      <c r="D2324" s="489" t="s">
        <v>8388</v>
      </c>
      <c r="E2324" s="487" t="s">
        <v>8389</v>
      </c>
      <c r="F2324" s="490">
        <v>34292.25</v>
      </c>
      <c r="G2324" s="489">
        <v>740.9</v>
      </c>
      <c r="H2324" s="489">
        <v>46.284590000000001</v>
      </c>
      <c r="I2324" s="487" t="s">
        <v>2465</v>
      </c>
      <c r="J2324" s="487" t="s">
        <v>706</v>
      </c>
    </row>
    <row r="2325" spans="1:10" ht="15" x14ac:dyDescent="0.2">
      <c r="A2325" s="486" t="s">
        <v>705</v>
      </c>
      <c r="B2325" s="487" t="s">
        <v>704</v>
      </c>
      <c r="C2325" s="488" t="s">
        <v>8390</v>
      </c>
      <c r="D2325" s="489" t="s">
        <v>8391</v>
      </c>
      <c r="E2325" s="487" t="s">
        <v>8392</v>
      </c>
      <c r="F2325" s="490">
        <v>12000</v>
      </c>
      <c r="G2325" s="489">
        <v>154</v>
      </c>
      <c r="H2325" s="489">
        <v>77.922079999999994</v>
      </c>
      <c r="I2325" s="487" t="s">
        <v>1499</v>
      </c>
      <c r="J2325" s="487" t="s">
        <v>706</v>
      </c>
    </row>
    <row r="2326" spans="1:10" ht="15" x14ac:dyDescent="0.2">
      <c r="A2326" s="486" t="s">
        <v>705</v>
      </c>
      <c r="B2326" s="487" t="s">
        <v>704</v>
      </c>
      <c r="C2326" s="488" t="s">
        <v>8393</v>
      </c>
      <c r="D2326" s="489" t="s">
        <v>8394</v>
      </c>
      <c r="E2326" s="487" t="s">
        <v>8395</v>
      </c>
      <c r="F2326" s="490">
        <v>5244.5</v>
      </c>
      <c r="G2326" s="489">
        <v>183.2</v>
      </c>
      <c r="H2326" s="489">
        <v>28.627179999999999</v>
      </c>
      <c r="I2326" s="487" t="s">
        <v>1499</v>
      </c>
      <c r="J2326" s="487" t="s">
        <v>706</v>
      </c>
    </row>
    <row r="2327" spans="1:10" ht="15" x14ac:dyDescent="0.2">
      <c r="A2327" s="486" t="s">
        <v>705</v>
      </c>
      <c r="B2327" s="487" t="s">
        <v>704</v>
      </c>
      <c r="C2327" s="488" t="s">
        <v>8396</v>
      </c>
      <c r="D2327" s="489" t="s">
        <v>8397</v>
      </c>
      <c r="E2327" s="487" t="s">
        <v>8398</v>
      </c>
      <c r="F2327" s="490">
        <v>15683</v>
      </c>
      <c r="G2327" s="489">
        <v>332.9</v>
      </c>
      <c r="H2327" s="489">
        <v>47.110239999999997</v>
      </c>
      <c r="I2327" s="487" t="s">
        <v>1499</v>
      </c>
      <c r="J2327" s="487" t="s">
        <v>706</v>
      </c>
    </row>
    <row r="2328" spans="1:10" ht="15" x14ac:dyDescent="0.2">
      <c r="A2328" s="486" t="s">
        <v>705</v>
      </c>
      <c r="B2328" s="487" t="s">
        <v>704</v>
      </c>
      <c r="C2328" s="488" t="s">
        <v>8399</v>
      </c>
      <c r="D2328" s="489" t="s">
        <v>8400</v>
      </c>
      <c r="E2328" s="487" t="s">
        <v>8401</v>
      </c>
      <c r="F2328" s="490">
        <v>0</v>
      </c>
      <c r="G2328" s="489">
        <v>0</v>
      </c>
      <c r="H2328" s="489">
        <v>0</v>
      </c>
      <c r="I2328" s="487" t="s">
        <v>2465</v>
      </c>
      <c r="J2328" s="487" t="s">
        <v>706</v>
      </c>
    </row>
    <row r="2329" spans="1:10" ht="15" x14ac:dyDescent="0.2">
      <c r="A2329" s="486" t="s">
        <v>705</v>
      </c>
      <c r="B2329" s="487" t="s">
        <v>704</v>
      </c>
      <c r="C2329" s="488" t="s">
        <v>8402</v>
      </c>
      <c r="D2329" s="489" t="s">
        <v>8403</v>
      </c>
      <c r="E2329" s="487" t="s">
        <v>8404</v>
      </c>
      <c r="F2329" s="490">
        <v>0</v>
      </c>
      <c r="G2329" s="489">
        <v>0</v>
      </c>
      <c r="H2329" s="489">
        <v>0</v>
      </c>
      <c r="I2329" s="487" t="s">
        <v>2465</v>
      </c>
      <c r="J2329" s="487" t="s">
        <v>706</v>
      </c>
    </row>
    <row r="2330" spans="1:10" ht="15" x14ac:dyDescent="0.2">
      <c r="A2330" s="486" t="s">
        <v>705</v>
      </c>
      <c r="B2330" s="487" t="s">
        <v>704</v>
      </c>
      <c r="C2330" s="488" t="s">
        <v>8405</v>
      </c>
      <c r="D2330" s="489" t="s">
        <v>8406</v>
      </c>
      <c r="E2330" s="487" t="s">
        <v>8407</v>
      </c>
      <c r="F2330" s="490">
        <v>32279.06</v>
      </c>
      <c r="G2330" s="489">
        <v>635.20000000000005</v>
      </c>
      <c r="H2330" s="489">
        <v>50.817160000000001</v>
      </c>
      <c r="I2330" s="487" t="s">
        <v>1499</v>
      </c>
      <c r="J2330" s="487" t="s">
        <v>706</v>
      </c>
    </row>
    <row r="2331" spans="1:10" ht="15" x14ac:dyDescent="0.2">
      <c r="A2331" s="486" t="s">
        <v>705</v>
      </c>
      <c r="B2331" s="487" t="s">
        <v>704</v>
      </c>
      <c r="C2331" s="488" t="s">
        <v>8408</v>
      </c>
      <c r="D2331" s="489" t="s">
        <v>8409</v>
      </c>
      <c r="E2331" s="487" t="s">
        <v>8410</v>
      </c>
      <c r="F2331" s="490">
        <v>6487.18</v>
      </c>
      <c r="G2331" s="489">
        <v>270.7</v>
      </c>
      <c r="H2331" s="489">
        <v>23.964459999999999</v>
      </c>
      <c r="I2331" s="487" t="s">
        <v>1499</v>
      </c>
      <c r="J2331" s="487" t="s">
        <v>706</v>
      </c>
    </row>
    <row r="2332" spans="1:10" ht="15" x14ac:dyDescent="0.2">
      <c r="A2332" s="486" t="s">
        <v>705</v>
      </c>
      <c r="B2332" s="487" t="s">
        <v>704</v>
      </c>
      <c r="C2332" s="488" t="s">
        <v>8411</v>
      </c>
      <c r="D2332" s="489" t="s">
        <v>8412</v>
      </c>
      <c r="E2332" s="487" t="s">
        <v>8413</v>
      </c>
      <c r="F2332" s="490">
        <v>8128</v>
      </c>
      <c r="G2332" s="489">
        <v>190.8</v>
      </c>
      <c r="H2332" s="489">
        <v>42.599580000000003</v>
      </c>
      <c r="I2332" s="487" t="s">
        <v>2465</v>
      </c>
      <c r="J2332" s="487" t="s">
        <v>706</v>
      </c>
    </row>
    <row r="2333" spans="1:10" ht="15" x14ac:dyDescent="0.2">
      <c r="A2333" s="486" t="s">
        <v>705</v>
      </c>
      <c r="B2333" s="487" t="s">
        <v>704</v>
      </c>
      <c r="C2333" s="488" t="s">
        <v>8414</v>
      </c>
      <c r="D2333" s="489" t="s">
        <v>8415</v>
      </c>
      <c r="E2333" s="487" t="s">
        <v>8416</v>
      </c>
      <c r="F2333" s="490">
        <v>759</v>
      </c>
      <c r="G2333" s="489">
        <v>30.3</v>
      </c>
      <c r="H2333" s="489">
        <v>25.049499999999998</v>
      </c>
      <c r="I2333" s="487" t="s">
        <v>1499</v>
      </c>
      <c r="J2333" s="487" t="s">
        <v>706</v>
      </c>
    </row>
    <row r="2334" spans="1:10" ht="15" x14ac:dyDescent="0.2">
      <c r="A2334" s="486" t="s">
        <v>705</v>
      </c>
      <c r="B2334" s="487" t="s">
        <v>704</v>
      </c>
      <c r="C2334" s="488" t="s">
        <v>8417</v>
      </c>
      <c r="D2334" s="489" t="s">
        <v>8418</v>
      </c>
      <c r="E2334" s="487" t="s">
        <v>8419</v>
      </c>
      <c r="F2334" s="490">
        <v>8197.66</v>
      </c>
      <c r="G2334" s="489">
        <v>240.7</v>
      </c>
      <c r="H2334" s="489">
        <v>34.057580000000002</v>
      </c>
      <c r="I2334" s="487" t="s">
        <v>1499</v>
      </c>
      <c r="J2334" s="487" t="s">
        <v>706</v>
      </c>
    </row>
    <row r="2335" spans="1:10" ht="15" x14ac:dyDescent="0.2">
      <c r="A2335" s="486" t="s">
        <v>705</v>
      </c>
      <c r="B2335" s="487" t="s">
        <v>704</v>
      </c>
      <c r="C2335" s="488" t="s">
        <v>8420</v>
      </c>
      <c r="D2335" s="489" t="s">
        <v>8421</v>
      </c>
      <c r="E2335" s="487" t="s">
        <v>8422</v>
      </c>
      <c r="F2335" s="490">
        <v>0</v>
      </c>
      <c r="G2335" s="489">
        <v>33.299999999999997</v>
      </c>
      <c r="H2335" s="489">
        <v>0</v>
      </c>
      <c r="I2335" s="487" t="s">
        <v>1593</v>
      </c>
      <c r="J2335" s="487" t="s">
        <v>706</v>
      </c>
    </row>
    <row r="2336" spans="1:10" ht="15" x14ac:dyDescent="0.2">
      <c r="A2336" s="486" t="s">
        <v>705</v>
      </c>
      <c r="B2336" s="487" t="s">
        <v>704</v>
      </c>
      <c r="C2336" s="488" t="s">
        <v>8423</v>
      </c>
      <c r="D2336" s="489" t="s">
        <v>8424</v>
      </c>
      <c r="E2336" s="487" t="s">
        <v>8425</v>
      </c>
      <c r="F2336" s="490">
        <v>24800</v>
      </c>
      <c r="G2336" s="489">
        <v>524.70000000000005</v>
      </c>
      <c r="H2336" s="489">
        <v>47.265099999999997</v>
      </c>
      <c r="I2336" s="487" t="s">
        <v>2465</v>
      </c>
      <c r="J2336" s="487" t="s">
        <v>706</v>
      </c>
    </row>
    <row r="2337" spans="1:10" ht="15" x14ac:dyDescent="0.2">
      <c r="A2337" s="486" t="s">
        <v>705</v>
      </c>
      <c r="B2337" s="487" t="s">
        <v>704</v>
      </c>
      <c r="C2337" s="488" t="s">
        <v>8426</v>
      </c>
      <c r="D2337" s="489" t="s">
        <v>8427</v>
      </c>
      <c r="E2337" s="487" t="s">
        <v>8428</v>
      </c>
      <c r="F2337" s="490">
        <v>2435.25</v>
      </c>
      <c r="G2337" s="489">
        <v>79.3</v>
      </c>
      <c r="H2337" s="489">
        <v>30.709330000000001</v>
      </c>
      <c r="I2337" s="487" t="s">
        <v>2465</v>
      </c>
      <c r="J2337" s="487" t="s">
        <v>706</v>
      </c>
    </row>
    <row r="2338" spans="1:10" ht="15" x14ac:dyDescent="0.2">
      <c r="A2338" s="486" t="s">
        <v>705</v>
      </c>
      <c r="B2338" s="487" t="s">
        <v>704</v>
      </c>
      <c r="C2338" s="488" t="s">
        <v>8429</v>
      </c>
      <c r="D2338" s="489" t="s">
        <v>8430</v>
      </c>
      <c r="E2338" s="487" t="s">
        <v>8431</v>
      </c>
      <c r="F2338" s="490">
        <v>5730</v>
      </c>
      <c r="G2338" s="489">
        <v>95.8</v>
      </c>
      <c r="H2338" s="489">
        <v>59.812109999999997</v>
      </c>
      <c r="I2338" s="487" t="s">
        <v>1499</v>
      </c>
      <c r="J2338" s="487" t="s">
        <v>706</v>
      </c>
    </row>
    <row r="2339" spans="1:10" ht="15" x14ac:dyDescent="0.2">
      <c r="A2339" s="486" t="s">
        <v>705</v>
      </c>
      <c r="B2339" s="487" t="s">
        <v>704</v>
      </c>
      <c r="C2339" s="488" t="s">
        <v>8432</v>
      </c>
      <c r="D2339" s="489" t="s">
        <v>8433</v>
      </c>
      <c r="E2339" s="487" t="s">
        <v>8434</v>
      </c>
      <c r="F2339" s="490">
        <v>30000</v>
      </c>
      <c r="G2339" s="489">
        <v>517.1</v>
      </c>
      <c r="H2339" s="489">
        <v>58.015860000000004</v>
      </c>
      <c r="I2339" s="487" t="s">
        <v>1499</v>
      </c>
      <c r="J2339" s="487" t="s">
        <v>706</v>
      </c>
    </row>
    <row r="2340" spans="1:10" ht="15" x14ac:dyDescent="0.2">
      <c r="A2340" s="486" t="s">
        <v>705</v>
      </c>
      <c r="B2340" s="487" t="s">
        <v>704</v>
      </c>
      <c r="C2340" s="488" t="s">
        <v>8435</v>
      </c>
      <c r="D2340" s="489" t="s">
        <v>8436</v>
      </c>
      <c r="E2340" s="487" t="s">
        <v>8437</v>
      </c>
      <c r="F2340" s="490">
        <v>52547.88</v>
      </c>
      <c r="G2340" s="489">
        <v>1368.5</v>
      </c>
      <c r="H2340" s="489">
        <v>38.398159999999997</v>
      </c>
      <c r="I2340" s="487" t="s">
        <v>1499</v>
      </c>
      <c r="J2340" s="487" t="s">
        <v>706</v>
      </c>
    </row>
    <row r="2341" spans="1:10" ht="15" x14ac:dyDescent="0.2">
      <c r="A2341" s="486" t="s">
        <v>705</v>
      </c>
      <c r="B2341" s="487" t="s">
        <v>704</v>
      </c>
      <c r="C2341" s="488" t="s">
        <v>8438</v>
      </c>
      <c r="D2341" s="489" t="s">
        <v>8439</v>
      </c>
      <c r="E2341" s="487" t="s">
        <v>8440</v>
      </c>
      <c r="F2341" s="490">
        <v>104500</v>
      </c>
      <c r="G2341" s="489">
        <v>841.7</v>
      </c>
      <c r="H2341" s="489">
        <v>124.15349999999999</v>
      </c>
      <c r="I2341" s="487" t="s">
        <v>1499</v>
      </c>
      <c r="J2341" s="487" t="s">
        <v>706</v>
      </c>
    </row>
    <row r="2342" spans="1:10" ht="15" x14ac:dyDescent="0.2">
      <c r="A2342" s="486" t="s">
        <v>705</v>
      </c>
      <c r="B2342" s="487" t="s">
        <v>704</v>
      </c>
      <c r="C2342" s="488" t="s">
        <v>8441</v>
      </c>
      <c r="D2342" s="489" t="s">
        <v>8442</v>
      </c>
      <c r="E2342" s="487" t="s">
        <v>8443</v>
      </c>
      <c r="F2342" s="490">
        <v>0</v>
      </c>
      <c r="G2342" s="489">
        <v>60.3</v>
      </c>
      <c r="H2342" s="489">
        <v>0</v>
      </c>
      <c r="I2342" s="487" t="s">
        <v>1593</v>
      </c>
      <c r="J2342" s="487" t="s">
        <v>706</v>
      </c>
    </row>
    <row r="2343" spans="1:10" ht="15" x14ac:dyDescent="0.2">
      <c r="A2343" s="486" t="s">
        <v>705</v>
      </c>
      <c r="B2343" s="487" t="s">
        <v>704</v>
      </c>
      <c r="C2343" s="488" t="s">
        <v>8444</v>
      </c>
      <c r="D2343" s="489" t="s">
        <v>8445</v>
      </c>
      <c r="E2343" s="487" t="s">
        <v>8446</v>
      </c>
      <c r="F2343" s="490">
        <v>7729</v>
      </c>
      <c r="G2343" s="489">
        <v>154.4</v>
      </c>
      <c r="H2343" s="489">
        <v>50.05829</v>
      </c>
      <c r="I2343" s="487" t="s">
        <v>1499</v>
      </c>
      <c r="J2343" s="487" t="s">
        <v>706</v>
      </c>
    </row>
    <row r="2344" spans="1:10" ht="15" x14ac:dyDescent="0.2">
      <c r="A2344" s="486" t="s">
        <v>705</v>
      </c>
      <c r="B2344" s="487" t="s">
        <v>704</v>
      </c>
      <c r="C2344" s="488" t="s">
        <v>8447</v>
      </c>
      <c r="D2344" s="489" t="s">
        <v>8448</v>
      </c>
      <c r="E2344" s="487" t="s">
        <v>8449</v>
      </c>
      <c r="F2344" s="490">
        <v>13000</v>
      </c>
      <c r="G2344" s="489">
        <v>198.6</v>
      </c>
      <c r="H2344" s="489">
        <v>65.458209999999994</v>
      </c>
      <c r="I2344" s="487" t="s">
        <v>2465</v>
      </c>
      <c r="J2344" s="487" t="s">
        <v>706</v>
      </c>
    </row>
    <row r="2345" spans="1:10" ht="15" x14ac:dyDescent="0.2">
      <c r="A2345" s="486" t="s">
        <v>705</v>
      </c>
      <c r="B2345" s="487" t="s">
        <v>704</v>
      </c>
      <c r="C2345" s="488" t="s">
        <v>8450</v>
      </c>
      <c r="D2345" s="489" t="s">
        <v>8451</v>
      </c>
      <c r="E2345" s="487" t="s">
        <v>8452</v>
      </c>
      <c r="F2345" s="490">
        <v>0</v>
      </c>
      <c r="G2345" s="489">
        <v>33.799999999999997</v>
      </c>
      <c r="H2345" s="489">
        <v>0</v>
      </c>
      <c r="I2345" s="487" t="s">
        <v>1593</v>
      </c>
      <c r="J2345" s="487" t="s">
        <v>706</v>
      </c>
    </row>
    <row r="2346" spans="1:10" ht="15" x14ac:dyDescent="0.2">
      <c r="A2346" s="486" t="s">
        <v>705</v>
      </c>
      <c r="B2346" s="487" t="s">
        <v>704</v>
      </c>
      <c r="C2346" s="488" t="s">
        <v>8453</v>
      </c>
      <c r="D2346" s="489" t="s">
        <v>8454</v>
      </c>
      <c r="E2346" s="487" t="s">
        <v>8455</v>
      </c>
      <c r="F2346" s="490">
        <v>235050</v>
      </c>
      <c r="G2346" s="489">
        <v>2305.4</v>
      </c>
      <c r="H2346" s="489">
        <v>101.95628000000001</v>
      </c>
      <c r="I2346" s="487" t="s">
        <v>1499</v>
      </c>
      <c r="J2346" s="487" t="s">
        <v>706</v>
      </c>
    </row>
    <row r="2347" spans="1:10" ht="15" x14ac:dyDescent="0.2">
      <c r="A2347" s="486" t="s">
        <v>705</v>
      </c>
      <c r="B2347" s="487" t="s">
        <v>704</v>
      </c>
      <c r="C2347" s="488" t="s">
        <v>8456</v>
      </c>
      <c r="D2347" s="489" t="s">
        <v>8457</v>
      </c>
      <c r="E2347" s="487" t="s">
        <v>8458</v>
      </c>
      <c r="F2347" s="490">
        <v>25300</v>
      </c>
      <c r="G2347" s="489">
        <v>363.5</v>
      </c>
      <c r="H2347" s="489">
        <v>69.601100000000002</v>
      </c>
      <c r="I2347" s="487" t="s">
        <v>1499</v>
      </c>
      <c r="J2347" s="487" t="s">
        <v>706</v>
      </c>
    </row>
    <row r="2348" spans="1:10" ht="15" x14ac:dyDescent="0.2">
      <c r="A2348" s="486" t="s">
        <v>705</v>
      </c>
      <c r="B2348" s="487" t="s">
        <v>704</v>
      </c>
      <c r="C2348" s="488" t="s">
        <v>8459</v>
      </c>
      <c r="D2348" s="489" t="s">
        <v>8460</v>
      </c>
      <c r="E2348" s="487" t="s">
        <v>8461</v>
      </c>
      <c r="F2348" s="490">
        <v>0</v>
      </c>
      <c r="G2348" s="489">
        <v>7.2</v>
      </c>
      <c r="H2348" s="489">
        <v>0</v>
      </c>
      <c r="I2348" s="487" t="s">
        <v>1593</v>
      </c>
      <c r="J2348" s="487" t="s">
        <v>706</v>
      </c>
    </row>
    <row r="2349" spans="1:10" ht="15" x14ac:dyDescent="0.2">
      <c r="A2349" s="486" t="s">
        <v>705</v>
      </c>
      <c r="B2349" s="487" t="s">
        <v>704</v>
      </c>
      <c r="C2349" s="488" t="s">
        <v>8462</v>
      </c>
      <c r="D2349" s="489" t="s">
        <v>8463</v>
      </c>
      <c r="E2349" s="487" t="s">
        <v>8464</v>
      </c>
      <c r="F2349" s="490">
        <v>26200</v>
      </c>
      <c r="G2349" s="489">
        <v>548.1</v>
      </c>
      <c r="H2349" s="489">
        <v>47.801499999999997</v>
      </c>
      <c r="I2349" s="487" t="s">
        <v>1499</v>
      </c>
      <c r="J2349" s="487" t="s">
        <v>706</v>
      </c>
    </row>
    <row r="2350" spans="1:10" ht="15" x14ac:dyDescent="0.2">
      <c r="A2350" s="486" t="s">
        <v>705</v>
      </c>
      <c r="B2350" s="487" t="s">
        <v>704</v>
      </c>
      <c r="C2350" s="488" t="s">
        <v>8465</v>
      </c>
      <c r="D2350" s="489" t="s">
        <v>8466</v>
      </c>
      <c r="E2350" s="487" t="s">
        <v>8467</v>
      </c>
      <c r="F2350" s="490">
        <v>1256.72</v>
      </c>
      <c r="G2350" s="489">
        <v>36.9</v>
      </c>
      <c r="H2350" s="489">
        <v>34.057450000000003</v>
      </c>
      <c r="I2350" s="487" t="s">
        <v>1499</v>
      </c>
      <c r="J2350" s="487" t="s">
        <v>706</v>
      </c>
    </row>
    <row r="2351" spans="1:10" ht="15" x14ac:dyDescent="0.2">
      <c r="A2351" s="486" t="s">
        <v>705</v>
      </c>
      <c r="B2351" s="487" t="s">
        <v>704</v>
      </c>
      <c r="C2351" s="488" t="s">
        <v>8468</v>
      </c>
      <c r="D2351" s="489" t="s">
        <v>8469</v>
      </c>
      <c r="E2351" s="487" t="s">
        <v>8470</v>
      </c>
      <c r="F2351" s="490">
        <v>16000</v>
      </c>
      <c r="G2351" s="489">
        <v>201</v>
      </c>
      <c r="H2351" s="489">
        <v>79.601990000000001</v>
      </c>
      <c r="I2351" s="487" t="s">
        <v>1499</v>
      </c>
      <c r="J2351" s="487" t="s">
        <v>706</v>
      </c>
    </row>
    <row r="2352" spans="1:10" ht="15" x14ac:dyDescent="0.2">
      <c r="A2352" s="486" t="s">
        <v>705</v>
      </c>
      <c r="B2352" s="487" t="s">
        <v>704</v>
      </c>
      <c r="C2352" s="488" t="s">
        <v>8471</v>
      </c>
      <c r="D2352" s="489" t="s">
        <v>8472</v>
      </c>
      <c r="E2352" s="487" t="s">
        <v>8473</v>
      </c>
      <c r="F2352" s="490">
        <v>0</v>
      </c>
      <c r="G2352" s="489">
        <v>26.6</v>
      </c>
      <c r="H2352" s="489">
        <v>0</v>
      </c>
      <c r="I2352" s="487" t="s">
        <v>1593</v>
      </c>
      <c r="J2352" s="487" t="s">
        <v>706</v>
      </c>
    </row>
    <row r="2353" spans="1:10" ht="15" x14ac:dyDescent="0.2">
      <c r="A2353" s="486" t="s">
        <v>705</v>
      </c>
      <c r="B2353" s="487" t="s">
        <v>704</v>
      </c>
      <c r="C2353" s="488" t="s">
        <v>8474</v>
      </c>
      <c r="D2353" s="489" t="s">
        <v>8475</v>
      </c>
      <c r="E2353" s="487" t="s">
        <v>8476</v>
      </c>
      <c r="F2353" s="490">
        <v>138500</v>
      </c>
      <c r="G2353" s="489">
        <v>3043</v>
      </c>
      <c r="H2353" s="489">
        <v>45.514299999999999</v>
      </c>
      <c r="I2353" s="487" t="s">
        <v>1499</v>
      </c>
      <c r="J2353" s="487" t="s">
        <v>706</v>
      </c>
    </row>
    <row r="2354" spans="1:10" ht="15" x14ac:dyDescent="0.2">
      <c r="A2354" s="486" t="s">
        <v>705</v>
      </c>
      <c r="B2354" s="487" t="s">
        <v>704</v>
      </c>
      <c r="C2354" s="488" t="s">
        <v>8477</v>
      </c>
      <c r="D2354" s="489" t="s">
        <v>8478</v>
      </c>
      <c r="E2354" s="487" t="s">
        <v>8479</v>
      </c>
      <c r="F2354" s="490">
        <v>15000</v>
      </c>
      <c r="G2354" s="489">
        <v>114.5</v>
      </c>
      <c r="H2354" s="489">
        <v>131.00436999999999</v>
      </c>
      <c r="I2354" s="487" t="s">
        <v>1499</v>
      </c>
      <c r="J2354" s="487" t="s">
        <v>706</v>
      </c>
    </row>
    <row r="2355" spans="1:10" ht="15" x14ac:dyDescent="0.2">
      <c r="A2355" s="486" t="s">
        <v>705</v>
      </c>
      <c r="B2355" s="487" t="s">
        <v>704</v>
      </c>
      <c r="C2355" s="488" t="s">
        <v>8480</v>
      </c>
      <c r="D2355" s="489" t="s">
        <v>8481</v>
      </c>
      <c r="E2355" s="487" t="s">
        <v>8482</v>
      </c>
      <c r="F2355" s="490">
        <v>2600</v>
      </c>
      <c r="G2355" s="489">
        <v>101.4</v>
      </c>
      <c r="H2355" s="489">
        <v>25.641030000000001</v>
      </c>
      <c r="I2355" s="487" t="s">
        <v>2465</v>
      </c>
      <c r="J2355" s="487" t="s">
        <v>706</v>
      </c>
    </row>
    <row r="2356" spans="1:10" ht="15" x14ac:dyDescent="0.2">
      <c r="A2356" s="486" t="s">
        <v>705</v>
      </c>
      <c r="B2356" s="487" t="s">
        <v>704</v>
      </c>
      <c r="C2356" s="488" t="s">
        <v>8483</v>
      </c>
      <c r="D2356" s="489" t="s">
        <v>8484</v>
      </c>
      <c r="E2356" s="487" t="s">
        <v>8485</v>
      </c>
      <c r="F2356" s="490">
        <v>0</v>
      </c>
      <c r="G2356" s="489">
        <v>44</v>
      </c>
      <c r="H2356" s="489">
        <v>0</v>
      </c>
      <c r="I2356" s="487" t="s">
        <v>1593</v>
      </c>
      <c r="J2356" s="487" t="s">
        <v>706</v>
      </c>
    </row>
    <row r="2357" spans="1:10" ht="15" x14ac:dyDescent="0.2">
      <c r="A2357" s="486" t="s">
        <v>705</v>
      </c>
      <c r="B2357" s="487" t="s">
        <v>704</v>
      </c>
      <c r="C2357" s="488" t="s">
        <v>8486</v>
      </c>
      <c r="D2357" s="489" t="s">
        <v>8487</v>
      </c>
      <c r="E2357" s="487" t="s">
        <v>8488</v>
      </c>
      <c r="F2357" s="490">
        <v>61450</v>
      </c>
      <c r="G2357" s="489">
        <v>743.1</v>
      </c>
      <c r="H2357" s="489">
        <v>82.694119999999998</v>
      </c>
      <c r="I2357" s="487" t="s">
        <v>1499</v>
      </c>
      <c r="J2357" s="487" t="s">
        <v>706</v>
      </c>
    </row>
    <row r="2358" spans="1:10" ht="15" x14ac:dyDescent="0.2">
      <c r="A2358" s="486" t="s">
        <v>705</v>
      </c>
      <c r="B2358" s="487" t="s">
        <v>704</v>
      </c>
      <c r="C2358" s="488" t="s">
        <v>8489</v>
      </c>
      <c r="D2358" s="489" t="s">
        <v>8490</v>
      </c>
      <c r="E2358" s="487" t="s">
        <v>8491</v>
      </c>
      <c r="F2358" s="490">
        <v>619525.59</v>
      </c>
      <c r="G2358" s="489">
        <v>4066</v>
      </c>
      <c r="H2358" s="489">
        <v>152.36734000000001</v>
      </c>
      <c r="I2358" s="487" t="s">
        <v>1499</v>
      </c>
      <c r="J2358" s="487" t="s">
        <v>706</v>
      </c>
    </row>
    <row r="2359" spans="1:10" ht="15" x14ac:dyDescent="0.2">
      <c r="A2359" s="486" t="s">
        <v>705</v>
      </c>
      <c r="B2359" s="487" t="s">
        <v>704</v>
      </c>
      <c r="C2359" s="488" t="s">
        <v>8492</v>
      </c>
      <c r="D2359" s="489" t="s">
        <v>8493</v>
      </c>
      <c r="E2359" s="487" t="s">
        <v>8494</v>
      </c>
      <c r="F2359" s="490">
        <v>10026.959999999999</v>
      </c>
      <c r="G2359" s="489">
        <v>274.5</v>
      </c>
      <c r="H2359" s="489">
        <v>36.528089999999999</v>
      </c>
      <c r="I2359" s="487" t="s">
        <v>1499</v>
      </c>
      <c r="J2359" s="487" t="s">
        <v>706</v>
      </c>
    </row>
    <row r="2360" spans="1:10" ht="15" x14ac:dyDescent="0.2">
      <c r="A2360" s="486" t="s">
        <v>705</v>
      </c>
      <c r="B2360" s="487" t="s">
        <v>704</v>
      </c>
      <c r="C2360" s="488" t="s">
        <v>8495</v>
      </c>
      <c r="D2360" s="489" t="s">
        <v>8496</v>
      </c>
      <c r="E2360" s="487" t="s">
        <v>8497</v>
      </c>
      <c r="F2360" s="490">
        <v>22532</v>
      </c>
      <c r="G2360" s="489">
        <v>295.5</v>
      </c>
      <c r="H2360" s="489">
        <v>76.250420000000005</v>
      </c>
      <c r="I2360" s="487" t="s">
        <v>1499</v>
      </c>
      <c r="J2360" s="487" t="s">
        <v>706</v>
      </c>
    </row>
    <row r="2361" spans="1:10" ht="15" x14ac:dyDescent="0.2">
      <c r="A2361" s="486" t="s">
        <v>705</v>
      </c>
      <c r="B2361" s="487" t="s">
        <v>704</v>
      </c>
      <c r="C2361" s="488" t="s">
        <v>8498</v>
      </c>
      <c r="D2361" s="489" t="s">
        <v>8499</v>
      </c>
      <c r="E2361" s="487" t="s">
        <v>8500</v>
      </c>
      <c r="F2361" s="490">
        <v>4035</v>
      </c>
      <c r="G2361" s="489">
        <v>117.7</v>
      </c>
      <c r="H2361" s="489">
        <v>34.282069999999997</v>
      </c>
      <c r="I2361" s="487" t="s">
        <v>1499</v>
      </c>
      <c r="J2361" s="487" t="s">
        <v>706</v>
      </c>
    </row>
    <row r="2362" spans="1:10" ht="15" x14ac:dyDescent="0.2">
      <c r="A2362" s="486" t="s">
        <v>705</v>
      </c>
      <c r="B2362" s="487" t="s">
        <v>704</v>
      </c>
      <c r="C2362" s="488" t="s">
        <v>8501</v>
      </c>
      <c r="D2362" s="489" t="s">
        <v>8502</v>
      </c>
      <c r="E2362" s="487" t="s">
        <v>8503</v>
      </c>
      <c r="F2362" s="490">
        <v>65707</v>
      </c>
      <c r="G2362" s="489">
        <v>1104.7</v>
      </c>
      <c r="H2362" s="489">
        <v>59.479500000000002</v>
      </c>
      <c r="I2362" s="487" t="s">
        <v>1499</v>
      </c>
      <c r="J2362" s="487" t="s">
        <v>706</v>
      </c>
    </row>
    <row r="2363" spans="1:10" ht="15" x14ac:dyDescent="0.2">
      <c r="A2363" s="486" t="s">
        <v>705</v>
      </c>
      <c r="B2363" s="487" t="s">
        <v>704</v>
      </c>
      <c r="C2363" s="488" t="s">
        <v>8504</v>
      </c>
      <c r="D2363" s="489" t="s">
        <v>8505</v>
      </c>
      <c r="E2363" s="487" t="s">
        <v>8506</v>
      </c>
      <c r="F2363" s="490">
        <v>6300</v>
      </c>
      <c r="G2363" s="489">
        <v>140.19999999999999</v>
      </c>
      <c r="H2363" s="489">
        <v>44.935809999999996</v>
      </c>
      <c r="I2363" s="487" t="s">
        <v>1499</v>
      </c>
      <c r="J2363" s="487" t="s">
        <v>706</v>
      </c>
    </row>
    <row r="2364" spans="1:10" ht="15" x14ac:dyDescent="0.2">
      <c r="A2364" s="486" t="s">
        <v>705</v>
      </c>
      <c r="B2364" s="487" t="s">
        <v>704</v>
      </c>
      <c r="C2364" s="488" t="s">
        <v>8507</v>
      </c>
      <c r="D2364" s="489" t="s">
        <v>8508</v>
      </c>
      <c r="E2364" s="487" t="s">
        <v>8509</v>
      </c>
      <c r="F2364" s="490">
        <v>1822939</v>
      </c>
      <c r="G2364" s="489">
        <v>8497.1</v>
      </c>
      <c r="H2364" s="489">
        <v>214.53661</v>
      </c>
      <c r="I2364" s="487" t="s">
        <v>1499</v>
      </c>
      <c r="J2364" s="487" t="s">
        <v>706</v>
      </c>
    </row>
    <row r="2365" spans="1:10" ht="15" x14ac:dyDescent="0.2">
      <c r="A2365" s="486" t="s">
        <v>705</v>
      </c>
      <c r="B2365" s="487" t="s">
        <v>704</v>
      </c>
      <c r="C2365" s="488" t="s">
        <v>8510</v>
      </c>
      <c r="D2365" s="489" t="s">
        <v>8511</v>
      </c>
      <c r="E2365" s="487" t="s">
        <v>8512</v>
      </c>
      <c r="F2365" s="490">
        <v>9000</v>
      </c>
      <c r="G2365" s="489">
        <v>152.1</v>
      </c>
      <c r="H2365" s="489">
        <v>59.171599999999998</v>
      </c>
      <c r="I2365" s="487" t="s">
        <v>1499</v>
      </c>
      <c r="J2365" s="487" t="s">
        <v>706</v>
      </c>
    </row>
    <row r="2366" spans="1:10" ht="15" x14ac:dyDescent="0.2">
      <c r="A2366" s="486" t="s">
        <v>705</v>
      </c>
      <c r="B2366" s="487" t="s">
        <v>704</v>
      </c>
      <c r="C2366" s="488" t="s">
        <v>8513</v>
      </c>
      <c r="D2366" s="489" t="s">
        <v>8514</v>
      </c>
      <c r="E2366" s="487" t="s">
        <v>8515</v>
      </c>
      <c r="F2366" s="490">
        <v>975.3</v>
      </c>
      <c r="G2366" s="489">
        <v>26.7</v>
      </c>
      <c r="H2366" s="489">
        <v>36.528089999999999</v>
      </c>
      <c r="I2366" s="487" t="s">
        <v>1499</v>
      </c>
      <c r="J2366" s="487" t="s">
        <v>706</v>
      </c>
    </row>
    <row r="2367" spans="1:10" ht="15" x14ac:dyDescent="0.2">
      <c r="A2367" s="486" t="s">
        <v>705</v>
      </c>
      <c r="B2367" s="487" t="s">
        <v>704</v>
      </c>
      <c r="C2367" s="488" t="s">
        <v>8516</v>
      </c>
      <c r="D2367" s="489" t="s">
        <v>8517</v>
      </c>
      <c r="E2367" s="487" t="s">
        <v>8518</v>
      </c>
      <c r="F2367" s="490">
        <v>0</v>
      </c>
      <c r="G2367" s="489">
        <v>21.9</v>
      </c>
      <c r="H2367" s="489">
        <v>0</v>
      </c>
      <c r="I2367" s="487" t="s">
        <v>1593</v>
      </c>
      <c r="J2367" s="487" t="s">
        <v>706</v>
      </c>
    </row>
    <row r="2368" spans="1:10" ht="15" x14ac:dyDescent="0.2">
      <c r="A2368" s="486" t="s">
        <v>705</v>
      </c>
      <c r="B2368" s="487" t="s">
        <v>704</v>
      </c>
      <c r="C2368" s="488" t="s">
        <v>8519</v>
      </c>
      <c r="D2368" s="489" t="s">
        <v>8520</v>
      </c>
      <c r="E2368" s="487" t="s">
        <v>8521</v>
      </c>
      <c r="F2368" s="490">
        <v>3000</v>
      </c>
      <c r="G2368" s="489">
        <v>83.6</v>
      </c>
      <c r="H2368" s="489">
        <v>35.885170000000002</v>
      </c>
      <c r="I2368" s="487" t="s">
        <v>1499</v>
      </c>
      <c r="J2368" s="487" t="s">
        <v>706</v>
      </c>
    </row>
    <row r="2369" spans="1:10" ht="15" x14ac:dyDescent="0.2">
      <c r="A2369" s="486" t="s">
        <v>705</v>
      </c>
      <c r="B2369" s="487" t="s">
        <v>704</v>
      </c>
      <c r="C2369" s="488" t="s">
        <v>8522</v>
      </c>
      <c r="D2369" s="489" t="s">
        <v>8523</v>
      </c>
      <c r="E2369" s="487" t="s">
        <v>8524</v>
      </c>
      <c r="F2369" s="490">
        <v>2540.87</v>
      </c>
      <c r="G2369" s="489">
        <v>82.9</v>
      </c>
      <c r="H2369" s="489">
        <v>30.649819999999998</v>
      </c>
      <c r="I2369" s="487" t="s">
        <v>1499</v>
      </c>
      <c r="J2369" s="487" t="s">
        <v>706</v>
      </c>
    </row>
    <row r="2370" spans="1:10" ht="15" x14ac:dyDescent="0.2">
      <c r="A2370" s="486" t="s">
        <v>705</v>
      </c>
      <c r="B2370" s="487" t="s">
        <v>704</v>
      </c>
      <c r="C2370" s="488" t="s">
        <v>8525</v>
      </c>
      <c r="D2370" s="489" t="s">
        <v>8526</v>
      </c>
      <c r="E2370" s="487" t="s">
        <v>8527</v>
      </c>
      <c r="F2370" s="490">
        <v>9750</v>
      </c>
      <c r="G2370" s="489">
        <v>226.5</v>
      </c>
      <c r="H2370" s="489">
        <v>43.04636</v>
      </c>
      <c r="I2370" s="487" t="s">
        <v>1499</v>
      </c>
      <c r="J2370" s="487" t="s">
        <v>706</v>
      </c>
    </row>
    <row r="2371" spans="1:10" ht="15" x14ac:dyDescent="0.2">
      <c r="A2371" s="486" t="s">
        <v>705</v>
      </c>
      <c r="B2371" s="487" t="s">
        <v>704</v>
      </c>
      <c r="C2371" s="488" t="s">
        <v>8528</v>
      </c>
      <c r="D2371" s="489" t="s">
        <v>8529</v>
      </c>
      <c r="E2371" s="487" t="s">
        <v>8530</v>
      </c>
      <c r="F2371" s="490">
        <v>13508.76</v>
      </c>
      <c r="G2371" s="489">
        <v>258.39999999999998</v>
      </c>
      <c r="H2371" s="489">
        <v>52.278480000000002</v>
      </c>
      <c r="I2371" s="487" t="s">
        <v>1499</v>
      </c>
      <c r="J2371" s="487" t="s">
        <v>706</v>
      </c>
    </row>
    <row r="2372" spans="1:10" ht="15" x14ac:dyDescent="0.2">
      <c r="A2372" s="486" t="s">
        <v>705</v>
      </c>
      <c r="B2372" s="487" t="s">
        <v>704</v>
      </c>
      <c r="C2372" s="488" t="s">
        <v>8531</v>
      </c>
      <c r="D2372" s="489" t="s">
        <v>8532</v>
      </c>
      <c r="E2372" s="487" t="s">
        <v>8533</v>
      </c>
      <c r="F2372" s="490">
        <v>5918</v>
      </c>
      <c r="G2372" s="489">
        <v>77.599999999999994</v>
      </c>
      <c r="H2372" s="489">
        <v>76.262889999999999</v>
      </c>
      <c r="I2372" s="487" t="s">
        <v>1499</v>
      </c>
      <c r="J2372" s="487" t="s">
        <v>706</v>
      </c>
    </row>
    <row r="2373" spans="1:10" ht="15" x14ac:dyDescent="0.2">
      <c r="A2373" s="486" t="s">
        <v>705</v>
      </c>
      <c r="B2373" s="487" t="s">
        <v>704</v>
      </c>
      <c r="C2373" s="488" t="s">
        <v>8534</v>
      </c>
      <c r="D2373" s="489" t="s">
        <v>8535</v>
      </c>
      <c r="E2373" s="487" t="s">
        <v>8536</v>
      </c>
      <c r="F2373" s="490">
        <v>9041</v>
      </c>
      <c r="G2373" s="489">
        <v>103</v>
      </c>
      <c r="H2373" s="489">
        <v>87.776700000000005</v>
      </c>
      <c r="I2373" s="487" t="s">
        <v>1499</v>
      </c>
      <c r="J2373" s="487" t="s">
        <v>706</v>
      </c>
    </row>
    <row r="2374" spans="1:10" ht="15" x14ac:dyDescent="0.2">
      <c r="A2374" s="486" t="s">
        <v>705</v>
      </c>
      <c r="B2374" s="487" t="s">
        <v>704</v>
      </c>
      <c r="C2374" s="488" t="s">
        <v>8537</v>
      </c>
      <c r="D2374" s="489" t="s">
        <v>8538</v>
      </c>
      <c r="E2374" s="487" t="s">
        <v>8539</v>
      </c>
      <c r="F2374" s="490">
        <v>4250</v>
      </c>
      <c r="G2374" s="489">
        <v>109.7</v>
      </c>
      <c r="H2374" s="489">
        <v>38.742019999999997</v>
      </c>
      <c r="I2374" s="487" t="s">
        <v>1499</v>
      </c>
      <c r="J2374" s="487" t="s">
        <v>706</v>
      </c>
    </row>
    <row r="2375" spans="1:10" ht="15" x14ac:dyDescent="0.2">
      <c r="A2375" s="486" t="s">
        <v>705</v>
      </c>
      <c r="B2375" s="487" t="s">
        <v>704</v>
      </c>
      <c r="C2375" s="488" t="s">
        <v>8540</v>
      </c>
      <c r="D2375" s="489" t="s">
        <v>8541</v>
      </c>
      <c r="E2375" s="487" t="s">
        <v>8542</v>
      </c>
      <c r="F2375" s="490">
        <v>949225</v>
      </c>
      <c r="G2375" s="489">
        <v>7670.7</v>
      </c>
      <c r="H2375" s="489">
        <v>123.74684999999999</v>
      </c>
      <c r="I2375" s="487" t="s">
        <v>1499</v>
      </c>
      <c r="J2375" s="487" t="s">
        <v>706</v>
      </c>
    </row>
    <row r="2376" spans="1:10" ht="15" x14ac:dyDescent="0.2">
      <c r="A2376" s="486" t="s">
        <v>705</v>
      </c>
      <c r="B2376" s="487" t="s">
        <v>704</v>
      </c>
      <c r="C2376" s="488" t="s">
        <v>8543</v>
      </c>
      <c r="D2376" s="489" t="s">
        <v>8544</v>
      </c>
      <c r="E2376" s="487" t="s">
        <v>8545</v>
      </c>
      <c r="F2376" s="490">
        <v>1300</v>
      </c>
      <c r="G2376" s="489">
        <v>64.099999999999994</v>
      </c>
      <c r="H2376" s="489">
        <v>20.280809999999999</v>
      </c>
      <c r="I2376" s="487" t="s">
        <v>1499</v>
      </c>
      <c r="J2376" s="487" t="s">
        <v>706</v>
      </c>
    </row>
    <row r="2377" spans="1:10" ht="15" x14ac:dyDescent="0.2">
      <c r="A2377" s="486" t="s">
        <v>705</v>
      </c>
      <c r="B2377" s="487" t="s">
        <v>704</v>
      </c>
      <c r="C2377" s="488" t="s">
        <v>8546</v>
      </c>
      <c r="D2377" s="489" t="s">
        <v>8547</v>
      </c>
      <c r="E2377" s="487" t="s">
        <v>8548</v>
      </c>
      <c r="F2377" s="490">
        <v>0</v>
      </c>
      <c r="G2377" s="489">
        <v>77.7</v>
      </c>
      <c r="H2377" s="489">
        <v>0</v>
      </c>
      <c r="I2377" s="487" t="s">
        <v>1593</v>
      </c>
      <c r="J2377" s="487" t="s">
        <v>706</v>
      </c>
    </row>
    <row r="2378" spans="1:10" ht="15" x14ac:dyDescent="0.2">
      <c r="A2378" s="486" t="s">
        <v>705</v>
      </c>
      <c r="B2378" s="487" t="s">
        <v>704</v>
      </c>
      <c r="C2378" s="488" t="s">
        <v>8549</v>
      </c>
      <c r="D2378" s="489" t="s">
        <v>8550</v>
      </c>
      <c r="E2378" s="487" t="s">
        <v>8551</v>
      </c>
      <c r="F2378" s="490">
        <v>0</v>
      </c>
      <c r="G2378" s="489">
        <v>0</v>
      </c>
      <c r="H2378" s="489">
        <v>0</v>
      </c>
      <c r="I2378" s="487" t="s">
        <v>2465</v>
      </c>
      <c r="J2378" s="487" t="s">
        <v>706</v>
      </c>
    </row>
    <row r="2379" spans="1:10" ht="15" x14ac:dyDescent="0.2">
      <c r="A2379" s="486" t="s">
        <v>705</v>
      </c>
      <c r="B2379" s="487" t="s">
        <v>704</v>
      </c>
      <c r="C2379" s="488" t="s">
        <v>8552</v>
      </c>
      <c r="D2379" s="489" t="s">
        <v>8553</v>
      </c>
      <c r="E2379" s="487" t="s">
        <v>8554</v>
      </c>
      <c r="F2379" s="490">
        <v>6600</v>
      </c>
      <c r="G2379" s="489">
        <v>139.80000000000001</v>
      </c>
      <c r="H2379" s="489">
        <v>47.210299999999997</v>
      </c>
      <c r="I2379" s="487" t="s">
        <v>1499</v>
      </c>
      <c r="J2379" s="487" t="s">
        <v>706</v>
      </c>
    </row>
    <row r="2380" spans="1:10" ht="15" x14ac:dyDescent="0.2">
      <c r="A2380" s="486" t="s">
        <v>705</v>
      </c>
      <c r="B2380" s="487" t="s">
        <v>704</v>
      </c>
      <c r="C2380" s="488" t="s">
        <v>8555</v>
      </c>
      <c r="D2380" s="489" t="s">
        <v>8556</v>
      </c>
      <c r="E2380" s="487" t="s">
        <v>8557</v>
      </c>
      <c r="F2380" s="490">
        <v>13370</v>
      </c>
      <c r="G2380" s="489">
        <v>385.6</v>
      </c>
      <c r="H2380" s="489">
        <v>34.67324</v>
      </c>
      <c r="I2380" s="487" t="s">
        <v>1499</v>
      </c>
      <c r="J2380" s="487" t="s">
        <v>706</v>
      </c>
    </row>
    <row r="2381" spans="1:10" ht="15" x14ac:dyDescent="0.2">
      <c r="A2381" s="486" t="s">
        <v>705</v>
      </c>
      <c r="B2381" s="487" t="s">
        <v>704</v>
      </c>
      <c r="C2381" s="488" t="s">
        <v>8558</v>
      </c>
      <c r="D2381" s="489" t="s">
        <v>8559</v>
      </c>
      <c r="E2381" s="487" t="s">
        <v>8560</v>
      </c>
      <c r="F2381" s="490">
        <v>13000</v>
      </c>
      <c r="G2381" s="489">
        <v>215.9</v>
      </c>
      <c r="H2381" s="489">
        <v>60.213059999999999</v>
      </c>
      <c r="I2381" s="487" t="s">
        <v>1499</v>
      </c>
      <c r="J2381" s="487" t="s">
        <v>706</v>
      </c>
    </row>
    <row r="2382" spans="1:10" ht="15" x14ac:dyDescent="0.2">
      <c r="A2382" s="486" t="s">
        <v>705</v>
      </c>
      <c r="B2382" s="487" t="s">
        <v>704</v>
      </c>
      <c r="C2382" s="488" t="s">
        <v>8561</v>
      </c>
      <c r="D2382" s="489" t="s">
        <v>8562</v>
      </c>
      <c r="E2382" s="487" t="s">
        <v>8563</v>
      </c>
      <c r="F2382" s="490">
        <v>3003.88</v>
      </c>
      <c r="G2382" s="489">
        <v>88.2</v>
      </c>
      <c r="H2382" s="489">
        <v>34.057600000000001</v>
      </c>
      <c r="I2382" s="487" t="s">
        <v>1499</v>
      </c>
      <c r="J2382" s="487" t="s">
        <v>706</v>
      </c>
    </row>
    <row r="2383" spans="1:10" ht="15" x14ac:dyDescent="0.2">
      <c r="A2383" s="486" t="s">
        <v>705</v>
      </c>
      <c r="B2383" s="487" t="s">
        <v>704</v>
      </c>
      <c r="C2383" s="488" t="s">
        <v>8564</v>
      </c>
      <c r="D2383" s="489" t="s">
        <v>8565</v>
      </c>
      <c r="E2383" s="487" t="s">
        <v>8566</v>
      </c>
      <c r="F2383" s="490">
        <v>7570.44</v>
      </c>
      <c r="G2383" s="489">
        <v>101.5</v>
      </c>
      <c r="H2383" s="489">
        <v>74.585620000000006</v>
      </c>
      <c r="I2383" s="487" t="s">
        <v>2465</v>
      </c>
      <c r="J2383" s="487" t="s">
        <v>706</v>
      </c>
    </row>
    <row r="2384" spans="1:10" ht="15" x14ac:dyDescent="0.2">
      <c r="A2384" s="486" t="s">
        <v>705</v>
      </c>
      <c r="B2384" s="487" t="s">
        <v>704</v>
      </c>
      <c r="C2384" s="488" t="s">
        <v>8567</v>
      </c>
      <c r="D2384" s="489" t="s">
        <v>8568</v>
      </c>
      <c r="E2384" s="487" t="s">
        <v>8569</v>
      </c>
      <c r="F2384" s="490">
        <v>1123850</v>
      </c>
      <c r="G2384" s="489">
        <v>4395.6000000000004</v>
      </c>
      <c r="H2384" s="489">
        <v>255.67613</v>
      </c>
      <c r="I2384" s="487" t="s">
        <v>1499</v>
      </c>
      <c r="J2384" s="487" t="s">
        <v>706</v>
      </c>
    </row>
    <row r="2385" spans="1:10" ht="15" x14ac:dyDescent="0.2">
      <c r="A2385" s="486" t="s">
        <v>705</v>
      </c>
      <c r="B2385" s="487" t="s">
        <v>704</v>
      </c>
      <c r="C2385" s="488" t="s">
        <v>8570</v>
      </c>
      <c r="D2385" s="489" t="s">
        <v>8571</v>
      </c>
      <c r="E2385" s="487" t="s">
        <v>8572</v>
      </c>
      <c r="F2385" s="490">
        <v>1000</v>
      </c>
      <c r="G2385" s="489">
        <v>96.6</v>
      </c>
      <c r="H2385" s="489">
        <v>10.35197</v>
      </c>
      <c r="I2385" s="487" t="s">
        <v>1499</v>
      </c>
      <c r="J2385" s="487" t="s">
        <v>706</v>
      </c>
    </row>
    <row r="2386" spans="1:10" ht="15" x14ac:dyDescent="0.2">
      <c r="A2386" s="486" t="s">
        <v>705</v>
      </c>
      <c r="B2386" s="487" t="s">
        <v>704</v>
      </c>
      <c r="C2386" s="488" t="s">
        <v>8573</v>
      </c>
      <c r="D2386" s="489" t="s">
        <v>8574</v>
      </c>
      <c r="E2386" s="487" t="s">
        <v>8575</v>
      </c>
      <c r="F2386" s="490">
        <v>0</v>
      </c>
      <c r="G2386" s="489">
        <v>0</v>
      </c>
      <c r="H2386" s="489">
        <v>0</v>
      </c>
      <c r="I2386" s="487" t="s">
        <v>2465</v>
      </c>
      <c r="J2386" s="487" t="s">
        <v>706</v>
      </c>
    </row>
    <row r="2387" spans="1:10" ht="15" x14ac:dyDescent="0.2">
      <c r="A2387" s="486" t="s">
        <v>705</v>
      </c>
      <c r="B2387" s="487" t="s">
        <v>704</v>
      </c>
      <c r="C2387" s="488" t="s">
        <v>8576</v>
      </c>
      <c r="D2387" s="489" t="s">
        <v>8577</v>
      </c>
      <c r="E2387" s="487" t="s">
        <v>8578</v>
      </c>
      <c r="F2387" s="490">
        <v>0</v>
      </c>
      <c r="G2387" s="489">
        <v>0</v>
      </c>
      <c r="H2387" s="489">
        <v>0</v>
      </c>
      <c r="I2387" s="487" t="s">
        <v>2465</v>
      </c>
      <c r="J2387" s="487" t="s">
        <v>706</v>
      </c>
    </row>
    <row r="2388" spans="1:10" ht="15" x14ac:dyDescent="0.2">
      <c r="A2388" s="486" t="s">
        <v>705</v>
      </c>
      <c r="B2388" s="487" t="s">
        <v>704</v>
      </c>
      <c r="C2388" s="488" t="s">
        <v>8579</v>
      </c>
      <c r="D2388" s="489" t="s">
        <v>8580</v>
      </c>
      <c r="E2388" s="487" t="s">
        <v>8581</v>
      </c>
      <c r="F2388" s="490">
        <v>4242</v>
      </c>
      <c r="G2388" s="489">
        <v>126</v>
      </c>
      <c r="H2388" s="489">
        <v>33.666670000000003</v>
      </c>
      <c r="I2388" s="487" t="s">
        <v>1499</v>
      </c>
      <c r="J2388" s="487" t="s">
        <v>706</v>
      </c>
    </row>
    <row r="2389" spans="1:10" ht="15" x14ac:dyDescent="0.2">
      <c r="A2389" s="486" t="s">
        <v>705</v>
      </c>
      <c r="B2389" s="487" t="s">
        <v>704</v>
      </c>
      <c r="C2389" s="488" t="s">
        <v>8582</v>
      </c>
      <c r="D2389" s="489" t="s">
        <v>8583</v>
      </c>
      <c r="E2389" s="487" t="s">
        <v>8584</v>
      </c>
      <c r="F2389" s="490">
        <v>3173</v>
      </c>
      <c r="G2389" s="489">
        <v>101.4</v>
      </c>
      <c r="H2389" s="489">
        <v>31.291910000000001</v>
      </c>
      <c r="I2389" s="487" t="s">
        <v>1499</v>
      </c>
      <c r="J2389" s="487" t="s">
        <v>706</v>
      </c>
    </row>
    <row r="2390" spans="1:10" ht="15" x14ac:dyDescent="0.2">
      <c r="A2390" s="486" t="s">
        <v>705</v>
      </c>
      <c r="B2390" s="487" t="s">
        <v>704</v>
      </c>
      <c r="C2390" s="488" t="s">
        <v>8585</v>
      </c>
      <c r="D2390" s="489" t="s">
        <v>8586</v>
      </c>
      <c r="E2390" s="487" t="s">
        <v>8587</v>
      </c>
      <c r="F2390" s="490">
        <v>9358.5</v>
      </c>
      <c r="G2390" s="489">
        <v>256.2</v>
      </c>
      <c r="H2390" s="489">
        <v>36.528100000000002</v>
      </c>
      <c r="I2390" s="487" t="s">
        <v>1499</v>
      </c>
      <c r="J2390" s="487" t="s">
        <v>706</v>
      </c>
    </row>
    <row r="2391" spans="1:10" ht="15" x14ac:dyDescent="0.2">
      <c r="A2391" s="486" t="s">
        <v>705</v>
      </c>
      <c r="B2391" s="487" t="s">
        <v>704</v>
      </c>
      <c r="C2391" s="488" t="s">
        <v>8588</v>
      </c>
      <c r="D2391" s="489" t="s">
        <v>8589</v>
      </c>
      <c r="E2391" s="487" t="s">
        <v>8590</v>
      </c>
      <c r="F2391" s="490">
        <v>1322.8</v>
      </c>
      <c r="G2391" s="489">
        <v>20</v>
      </c>
      <c r="H2391" s="489">
        <v>66.14</v>
      </c>
      <c r="I2391" s="487" t="s">
        <v>1499</v>
      </c>
      <c r="J2391" s="487" t="s">
        <v>706</v>
      </c>
    </row>
    <row r="2392" spans="1:10" ht="15" x14ac:dyDescent="0.2">
      <c r="A2392" s="486" t="s">
        <v>705</v>
      </c>
      <c r="B2392" s="487" t="s">
        <v>704</v>
      </c>
      <c r="C2392" s="488" t="s">
        <v>8591</v>
      </c>
      <c r="D2392" s="489" t="s">
        <v>8592</v>
      </c>
      <c r="E2392" s="487" t="s">
        <v>8593</v>
      </c>
      <c r="F2392" s="490">
        <v>0</v>
      </c>
      <c r="G2392" s="489">
        <v>19.600000000000001</v>
      </c>
      <c r="H2392" s="489">
        <v>0</v>
      </c>
      <c r="I2392" s="487" t="s">
        <v>1593</v>
      </c>
      <c r="J2392" s="487" t="s">
        <v>706</v>
      </c>
    </row>
    <row r="2393" spans="1:10" ht="15" x14ac:dyDescent="0.2">
      <c r="A2393" s="486" t="s">
        <v>705</v>
      </c>
      <c r="B2393" s="487" t="s">
        <v>704</v>
      </c>
      <c r="C2393" s="488" t="s">
        <v>8594</v>
      </c>
      <c r="D2393" s="489" t="s">
        <v>8595</v>
      </c>
      <c r="E2393" s="487" t="s">
        <v>8596</v>
      </c>
      <c r="F2393" s="490">
        <v>0</v>
      </c>
      <c r="G2393" s="489">
        <v>16.5</v>
      </c>
      <c r="H2393" s="489">
        <v>0</v>
      </c>
      <c r="I2393" s="487" t="s">
        <v>1593</v>
      </c>
      <c r="J2393" s="487" t="s">
        <v>706</v>
      </c>
    </row>
    <row r="2394" spans="1:10" ht="15" x14ac:dyDescent="0.2">
      <c r="A2394" s="486" t="s">
        <v>705</v>
      </c>
      <c r="B2394" s="487" t="s">
        <v>704</v>
      </c>
      <c r="C2394" s="488" t="s">
        <v>8597</v>
      </c>
      <c r="D2394" s="489" t="s">
        <v>8598</v>
      </c>
      <c r="E2394" s="487" t="s">
        <v>8599</v>
      </c>
      <c r="F2394" s="490">
        <v>25848</v>
      </c>
      <c r="G2394" s="489">
        <v>522.79999999999995</v>
      </c>
      <c r="H2394" s="489">
        <v>49.441470000000002</v>
      </c>
      <c r="I2394" s="487" t="s">
        <v>1499</v>
      </c>
      <c r="J2394" s="487" t="s">
        <v>706</v>
      </c>
    </row>
    <row r="2395" spans="1:10" ht="15" x14ac:dyDescent="0.2">
      <c r="A2395" s="486" t="s">
        <v>705</v>
      </c>
      <c r="B2395" s="487" t="s">
        <v>704</v>
      </c>
      <c r="C2395" s="488" t="s">
        <v>8600</v>
      </c>
      <c r="D2395" s="489" t="s">
        <v>8601</v>
      </c>
      <c r="E2395" s="487" t="s">
        <v>8602</v>
      </c>
      <c r="F2395" s="490">
        <v>0</v>
      </c>
      <c r="G2395" s="489">
        <v>0</v>
      </c>
      <c r="H2395" s="489">
        <v>0</v>
      </c>
      <c r="I2395" s="487" t="s">
        <v>2465</v>
      </c>
      <c r="J2395" s="487" t="s">
        <v>706</v>
      </c>
    </row>
    <row r="2396" spans="1:10" ht="15" x14ac:dyDescent="0.2">
      <c r="A2396" s="486" t="s">
        <v>705</v>
      </c>
      <c r="B2396" s="487" t="s">
        <v>704</v>
      </c>
      <c r="C2396" s="488" t="s">
        <v>8603</v>
      </c>
      <c r="D2396" s="489" t="s">
        <v>8604</v>
      </c>
      <c r="E2396" s="487" t="s">
        <v>8605</v>
      </c>
      <c r="F2396" s="490">
        <v>0</v>
      </c>
      <c r="G2396" s="489">
        <v>0</v>
      </c>
      <c r="H2396" s="489">
        <v>0</v>
      </c>
      <c r="I2396" s="487" t="s">
        <v>2465</v>
      </c>
      <c r="J2396" s="487" t="s">
        <v>706</v>
      </c>
    </row>
    <row r="2397" spans="1:10" ht="15" x14ac:dyDescent="0.2">
      <c r="A2397" s="486" t="s">
        <v>705</v>
      </c>
      <c r="B2397" s="487" t="s">
        <v>704</v>
      </c>
      <c r="C2397" s="488" t="s">
        <v>8606</v>
      </c>
      <c r="D2397" s="489" t="s">
        <v>8607</v>
      </c>
      <c r="E2397" s="487" t="s">
        <v>3919</v>
      </c>
      <c r="F2397" s="490">
        <v>6660</v>
      </c>
      <c r="G2397" s="489">
        <v>248.6</v>
      </c>
      <c r="H2397" s="489">
        <v>26.790019999999998</v>
      </c>
      <c r="I2397" s="487" t="s">
        <v>1499</v>
      </c>
      <c r="J2397" s="487" t="s">
        <v>706</v>
      </c>
    </row>
    <row r="2398" spans="1:10" ht="15" x14ac:dyDescent="0.2">
      <c r="A2398" s="486" t="s">
        <v>705</v>
      </c>
      <c r="B2398" s="487" t="s">
        <v>704</v>
      </c>
      <c r="C2398" s="488" t="s">
        <v>8608</v>
      </c>
      <c r="D2398" s="489" t="s">
        <v>8609</v>
      </c>
      <c r="E2398" s="487" t="s">
        <v>8610</v>
      </c>
      <c r="F2398" s="490">
        <v>9326</v>
      </c>
      <c r="G2398" s="489">
        <v>221.4</v>
      </c>
      <c r="H2398" s="489">
        <v>42.12285</v>
      </c>
      <c r="I2398" s="487" t="s">
        <v>1499</v>
      </c>
      <c r="J2398" s="487" t="s">
        <v>706</v>
      </c>
    </row>
    <row r="2399" spans="1:10" ht="15" x14ac:dyDescent="0.2">
      <c r="A2399" s="486" t="s">
        <v>705</v>
      </c>
      <c r="B2399" s="487" t="s">
        <v>704</v>
      </c>
      <c r="C2399" s="488" t="s">
        <v>8611</v>
      </c>
      <c r="D2399" s="489" t="s">
        <v>8612</v>
      </c>
      <c r="E2399" s="487" t="s">
        <v>8613</v>
      </c>
      <c r="F2399" s="490">
        <v>2200</v>
      </c>
      <c r="G2399" s="489">
        <v>109</v>
      </c>
      <c r="H2399" s="489">
        <v>20.183489999999999</v>
      </c>
      <c r="I2399" s="487" t="s">
        <v>1499</v>
      </c>
      <c r="J2399" s="487" t="s">
        <v>706</v>
      </c>
    </row>
    <row r="2400" spans="1:10" ht="15" x14ac:dyDescent="0.2">
      <c r="A2400" s="486" t="s">
        <v>705</v>
      </c>
      <c r="B2400" s="487" t="s">
        <v>704</v>
      </c>
      <c r="C2400" s="488" t="s">
        <v>8614</v>
      </c>
      <c r="D2400" s="489" t="s">
        <v>8615</v>
      </c>
      <c r="E2400" s="487" t="s">
        <v>8616</v>
      </c>
      <c r="F2400" s="490">
        <v>7335</v>
      </c>
      <c r="G2400" s="489">
        <v>390.9</v>
      </c>
      <c r="H2400" s="489">
        <v>18.764389999999999</v>
      </c>
      <c r="I2400" s="487" t="s">
        <v>2465</v>
      </c>
      <c r="J2400" s="487" t="s">
        <v>706</v>
      </c>
    </row>
    <row r="2401" spans="1:10" ht="15" x14ac:dyDescent="0.2">
      <c r="A2401" s="486" t="s">
        <v>705</v>
      </c>
      <c r="B2401" s="487" t="s">
        <v>704</v>
      </c>
      <c r="C2401" s="488" t="s">
        <v>8617</v>
      </c>
      <c r="D2401" s="489" t="s">
        <v>8618</v>
      </c>
      <c r="E2401" s="487" t="s">
        <v>8619</v>
      </c>
      <c r="F2401" s="490">
        <v>22536.9</v>
      </c>
      <c r="G2401" s="489">
        <v>834.7</v>
      </c>
      <c r="H2401" s="489">
        <v>27</v>
      </c>
      <c r="I2401" s="487" t="s">
        <v>1499</v>
      </c>
      <c r="J2401" s="487" t="s">
        <v>706</v>
      </c>
    </row>
    <row r="2402" spans="1:10" ht="15" x14ac:dyDescent="0.2">
      <c r="A2402" s="486" t="s">
        <v>705</v>
      </c>
      <c r="B2402" s="487" t="s">
        <v>704</v>
      </c>
      <c r="C2402" s="488" t="s">
        <v>8620</v>
      </c>
      <c r="D2402" s="489" t="s">
        <v>8621</v>
      </c>
      <c r="E2402" s="487" t="s">
        <v>8622</v>
      </c>
      <c r="F2402" s="490">
        <v>8000</v>
      </c>
      <c r="G2402" s="489">
        <v>202.4</v>
      </c>
      <c r="H2402" s="489">
        <v>39.525689999999997</v>
      </c>
      <c r="I2402" s="487" t="s">
        <v>1499</v>
      </c>
      <c r="J2402" s="487" t="s">
        <v>706</v>
      </c>
    </row>
    <row r="2403" spans="1:10" ht="15" x14ac:dyDescent="0.2">
      <c r="A2403" s="486" t="s">
        <v>705</v>
      </c>
      <c r="B2403" s="487" t="s">
        <v>704</v>
      </c>
      <c r="C2403" s="488" t="s">
        <v>8623</v>
      </c>
      <c r="D2403" s="489" t="s">
        <v>8624</v>
      </c>
      <c r="E2403" s="487" t="s">
        <v>8625</v>
      </c>
      <c r="F2403" s="490">
        <v>800</v>
      </c>
      <c r="G2403" s="489">
        <v>62.3</v>
      </c>
      <c r="H2403" s="489">
        <v>12.841089999999999</v>
      </c>
      <c r="I2403" s="487" t="s">
        <v>1499</v>
      </c>
      <c r="J2403" s="487" t="s">
        <v>706</v>
      </c>
    </row>
    <row r="2404" spans="1:10" ht="15" x14ac:dyDescent="0.2">
      <c r="A2404" s="486" t="s">
        <v>705</v>
      </c>
      <c r="B2404" s="487" t="s">
        <v>704</v>
      </c>
      <c r="C2404" s="488" t="s">
        <v>8626</v>
      </c>
      <c r="D2404" s="489" t="s">
        <v>8627</v>
      </c>
      <c r="E2404" s="487" t="s">
        <v>8628</v>
      </c>
      <c r="F2404" s="490">
        <v>8110.35</v>
      </c>
      <c r="G2404" s="489">
        <v>264.10000000000002</v>
      </c>
      <c r="H2404" s="489">
        <v>30.709389999999999</v>
      </c>
      <c r="I2404" s="487" t="s">
        <v>2465</v>
      </c>
      <c r="J2404" s="487" t="s">
        <v>706</v>
      </c>
    </row>
    <row r="2405" spans="1:10" ht="15" x14ac:dyDescent="0.2">
      <c r="A2405" s="486" t="s">
        <v>705</v>
      </c>
      <c r="B2405" s="487" t="s">
        <v>704</v>
      </c>
      <c r="C2405" s="488" t="s">
        <v>8629</v>
      </c>
      <c r="D2405" s="489" t="s">
        <v>8630</v>
      </c>
      <c r="E2405" s="487" t="s">
        <v>8631</v>
      </c>
      <c r="F2405" s="490">
        <v>1200</v>
      </c>
      <c r="G2405" s="489">
        <v>61.2</v>
      </c>
      <c r="H2405" s="489">
        <v>19.607839999999999</v>
      </c>
      <c r="I2405" s="487" t="s">
        <v>1499</v>
      </c>
      <c r="J2405" s="487" t="s">
        <v>706</v>
      </c>
    </row>
    <row r="2406" spans="1:10" ht="15" x14ac:dyDescent="0.2">
      <c r="A2406" s="486" t="s">
        <v>705</v>
      </c>
      <c r="B2406" s="487" t="s">
        <v>704</v>
      </c>
      <c r="C2406" s="488" t="s">
        <v>8632</v>
      </c>
      <c r="D2406" s="489" t="s">
        <v>8633</v>
      </c>
      <c r="E2406" s="487" t="s">
        <v>8634</v>
      </c>
      <c r="F2406" s="490">
        <v>4985.67</v>
      </c>
      <c r="G2406" s="489">
        <v>198.7</v>
      </c>
      <c r="H2406" s="489">
        <v>25.091439999999999</v>
      </c>
      <c r="I2406" s="487" t="s">
        <v>1499</v>
      </c>
      <c r="J2406" s="487" t="s">
        <v>706</v>
      </c>
    </row>
    <row r="2407" spans="1:10" ht="15" x14ac:dyDescent="0.2">
      <c r="A2407" s="486" t="s">
        <v>705</v>
      </c>
      <c r="B2407" s="487" t="s">
        <v>704</v>
      </c>
      <c r="C2407" s="488" t="s">
        <v>8635</v>
      </c>
      <c r="D2407" s="489" t="s">
        <v>8636</v>
      </c>
      <c r="E2407" s="487" t="s">
        <v>8637</v>
      </c>
      <c r="F2407" s="490">
        <v>23072</v>
      </c>
      <c r="G2407" s="489">
        <v>400.9</v>
      </c>
      <c r="H2407" s="489">
        <v>57.550510000000003</v>
      </c>
      <c r="I2407" s="487" t="s">
        <v>1499</v>
      </c>
      <c r="J2407" s="487" t="s">
        <v>706</v>
      </c>
    </row>
    <row r="2408" spans="1:10" ht="15" x14ac:dyDescent="0.2">
      <c r="A2408" s="486" t="s">
        <v>705</v>
      </c>
      <c r="B2408" s="487" t="s">
        <v>704</v>
      </c>
      <c r="C2408" s="488" t="s">
        <v>8638</v>
      </c>
      <c r="D2408" s="489" t="s">
        <v>8639</v>
      </c>
      <c r="E2408" s="487" t="s">
        <v>8640</v>
      </c>
      <c r="F2408" s="490">
        <v>366.33</v>
      </c>
      <c r="G2408" s="489">
        <v>14.6</v>
      </c>
      <c r="H2408" s="489">
        <v>25.091100000000001</v>
      </c>
      <c r="I2408" s="487" t="s">
        <v>1499</v>
      </c>
      <c r="J2408" s="487" t="s">
        <v>706</v>
      </c>
    </row>
    <row r="2409" spans="1:10" ht="15" x14ac:dyDescent="0.2">
      <c r="A2409" s="486" t="s">
        <v>705</v>
      </c>
      <c r="B2409" s="487" t="s">
        <v>704</v>
      </c>
      <c r="C2409" s="488" t="s">
        <v>8641</v>
      </c>
      <c r="D2409" s="489" t="s">
        <v>8642</v>
      </c>
      <c r="E2409" s="487" t="s">
        <v>8643</v>
      </c>
      <c r="F2409" s="490">
        <v>0</v>
      </c>
      <c r="G2409" s="489">
        <v>66.900000000000006</v>
      </c>
      <c r="H2409" s="489">
        <v>0</v>
      </c>
      <c r="I2409" s="487" t="s">
        <v>1593</v>
      </c>
      <c r="J2409" s="487" t="s">
        <v>706</v>
      </c>
    </row>
    <row r="2410" spans="1:10" ht="15" x14ac:dyDescent="0.2">
      <c r="A2410" s="486" t="s">
        <v>705</v>
      </c>
      <c r="B2410" s="487" t="s">
        <v>704</v>
      </c>
      <c r="C2410" s="488" t="s">
        <v>8644</v>
      </c>
      <c r="D2410" s="489" t="s">
        <v>8645</v>
      </c>
      <c r="E2410" s="487" t="s">
        <v>8646</v>
      </c>
      <c r="F2410" s="490">
        <v>9864</v>
      </c>
      <c r="G2410" s="489">
        <v>126.8</v>
      </c>
      <c r="H2410" s="489">
        <v>77.791799999999995</v>
      </c>
      <c r="I2410" s="487" t="s">
        <v>2465</v>
      </c>
      <c r="J2410" s="487" t="s">
        <v>706</v>
      </c>
    </row>
    <row r="2411" spans="1:10" ht="15" x14ac:dyDescent="0.2">
      <c r="A2411" s="486" t="s">
        <v>705</v>
      </c>
      <c r="B2411" s="487" t="s">
        <v>704</v>
      </c>
      <c r="C2411" s="488" t="s">
        <v>8647</v>
      </c>
      <c r="D2411" s="489" t="s">
        <v>8648</v>
      </c>
      <c r="E2411" s="487" t="s">
        <v>8649</v>
      </c>
      <c r="F2411" s="490">
        <v>5244.5</v>
      </c>
      <c r="G2411" s="489">
        <v>181.6</v>
      </c>
      <c r="H2411" s="489">
        <v>28.87941</v>
      </c>
      <c r="I2411" s="487" t="s">
        <v>1499</v>
      </c>
      <c r="J2411" s="487" t="s">
        <v>706</v>
      </c>
    </row>
    <row r="2412" spans="1:10" ht="15" x14ac:dyDescent="0.2">
      <c r="A2412" s="486" t="s">
        <v>705</v>
      </c>
      <c r="B2412" s="487" t="s">
        <v>704</v>
      </c>
      <c r="C2412" s="488" t="s">
        <v>8650</v>
      </c>
      <c r="D2412" s="489" t="s">
        <v>8651</v>
      </c>
      <c r="E2412" s="487" t="s">
        <v>8652</v>
      </c>
      <c r="F2412" s="490">
        <v>0</v>
      </c>
      <c r="G2412" s="489">
        <v>0</v>
      </c>
      <c r="H2412" s="489">
        <v>0</v>
      </c>
      <c r="I2412" s="487" t="s">
        <v>2465</v>
      </c>
      <c r="J2412" s="487" t="s">
        <v>706</v>
      </c>
    </row>
    <row r="2413" spans="1:10" ht="15" x14ac:dyDescent="0.2">
      <c r="A2413" s="486" t="s">
        <v>705</v>
      </c>
      <c r="B2413" s="487" t="s">
        <v>704</v>
      </c>
      <c r="C2413" s="488" t="s">
        <v>8653</v>
      </c>
      <c r="D2413" s="489" t="s">
        <v>8654</v>
      </c>
      <c r="E2413" s="487" t="s">
        <v>8655</v>
      </c>
      <c r="F2413" s="490">
        <v>0</v>
      </c>
      <c r="G2413" s="489">
        <v>62.6</v>
      </c>
      <c r="H2413" s="489">
        <v>0</v>
      </c>
      <c r="I2413" s="487" t="s">
        <v>1593</v>
      </c>
      <c r="J2413" s="487" t="s">
        <v>706</v>
      </c>
    </row>
    <row r="2414" spans="1:10" ht="15" x14ac:dyDescent="0.2">
      <c r="A2414" s="486" t="s">
        <v>705</v>
      </c>
      <c r="B2414" s="487" t="s">
        <v>704</v>
      </c>
      <c r="C2414" s="488" t="s">
        <v>8656</v>
      </c>
      <c r="D2414" s="489" t="s">
        <v>8657</v>
      </c>
      <c r="E2414" s="487" t="s">
        <v>8658</v>
      </c>
      <c r="F2414" s="490">
        <v>47823</v>
      </c>
      <c r="G2414" s="489">
        <v>540.79999999999995</v>
      </c>
      <c r="H2414" s="489">
        <v>88.430099999999996</v>
      </c>
      <c r="I2414" s="487" t="s">
        <v>1499</v>
      </c>
      <c r="J2414" s="487" t="s">
        <v>706</v>
      </c>
    </row>
    <row r="2415" spans="1:10" ht="15" x14ac:dyDescent="0.2">
      <c r="A2415" s="486" t="s">
        <v>705</v>
      </c>
      <c r="B2415" s="487" t="s">
        <v>704</v>
      </c>
      <c r="C2415" s="488" t="s">
        <v>8659</v>
      </c>
      <c r="D2415" s="489" t="s">
        <v>8660</v>
      </c>
      <c r="E2415" s="487" t="s">
        <v>8661</v>
      </c>
      <c r="F2415" s="490">
        <v>11062</v>
      </c>
      <c r="G2415" s="489">
        <v>251.3</v>
      </c>
      <c r="H2415" s="489">
        <v>44.019100000000002</v>
      </c>
      <c r="I2415" s="487" t="s">
        <v>1499</v>
      </c>
      <c r="J2415" s="487" t="s">
        <v>706</v>
      </c>
    </row>
    <row r="2416" spans="1:10" ht="15" x14ac:dyDescent="0.2">
      <c r="A2416" s="486" t="s">
        <v>705</v>
      </c>
      <c r="B2416" s="487" t="s">
        <v>704</v>
      </c>
      <c r="C2416" s="488" t="s">
        <v>8662</v>
      </c>
      <c r="D2416" s="489" t="s">
        <v>8663</v>
      </c>
      <c r="E2416" s="487" t="s">
        <v>8664</v>
      </c>
      <c r="F2416" s="490">
        <v>0</v>
      </c>
      <c r="G2416" s="489">
        <v>0</v>
      </c>
      <c r="H2416" s="489">
        <v>0</v>
      </c>
      <c r="I2416" s="487" t="s">
        <v>2465</v>
      </c>
      <c r="J2416" s="487" t="s">
        <v>706</v>
      </c>
    </row>
    <row r="2417" spans="1:10" ht="15" x14ac:dyDescent="0.2">
      <c r="A2417" s="486" t="s">
        <v>705</v>
      </c>
      <c r="B2417" s="487" t="s">
        <v>704</v>
      </c>
      <c r="C2417" s="488" t="s">
        <v>8665</v>
      </c>
      <c r="D2417" s="489" t="s">
        <v>8666</v>
      </c>
      <c r="E2417" s="487" t="s">
        <v>8667</v>
      </c>
      <c r="F2417" s="490">
        <v>0</v>
      </c>
      <c r="G2417" s="489">
        <v>0</v>
      </c>
      <c r="H2417" s="489">
        <v>0</v>
      </c>
      <c r="I2417" s="487" t="s">
        <v>2465</v>
      </c>
      <c r="J2417" s="487" t="s">
        <v>706</v>
      </c>
    </row>
    <row r="2418" spans="1:10" ht="15" x14ac:dyDescent="0.2">
      <c r="A2418" s="486" t="s">
        <v>705</v>
      </c>
      <c r="B2418" s="487" t="s">
        <v>704</v>
      </c>
      <c r="C2418" s="488" t="s">
        <v>8668</v>
      </c>
      <c r="D2418" s="489" t="s">
        <v>8669</v>
      </c>
      <c r="E2418" s="487" t="s">
        <v>8670</v>
      </c>
      <c r="F2418" s="490">
        <v>0</v>
      </c>
      <c r="G2418" s="489">
        <v>46.2</v>
      </c>
      <c r="H2418" s="489">
        <v>0</v>
      </c>
      <c r="I2418" s="487" t="s">
        <v>1593</v>
      </c>
      <c r="J2418" s="487" t="s">
        <v>706</v>
      </c>
    </row>
    <row r="2419" spans="1:10" ht="15" x14ac:dyDescent="0.2">
      <c r="A2419" s="486" t="s">
        <v>705</v>
      </c>
      <c r="B2419" s="487" t="s">
        <v>704</v>
      </c>
      <c r="C2419" s="488" t="s">
        <v>8671</v>
      </c>
      <c r="D2419" s="489" t="s">
        <v>8672</v>
      </c>
      <c r="E2419" s="487" t="s">
        <v>8673</v>
      </c>
      <c r="F2419" s="490">
        <v>12000</v>
      </c>
      <c r="G2419" s="489">
        <v>226.4</v>
      </c>
      <c r="H2419" s="489">
        <v>53.003529999999998</v>
      </c>
      <c r="I2419" s="487" t="s">
        <v>1499</v>
      </c>
      <c r="J2419" s="487" t="s">
        <v>706</v>
      </c>
    </row>
    <row r="2420" spans="1:10" ht="15" x14ac:dyDescent="0.2">
      <c r="A2420" s="486" t="s">
        <v>705</v>
      </c>
      <c r="B2420" s="487" t="s">
        <v>704</v>
      </c>
      <c r="C2420" s="488" t="s">
        <v>8674</v>
      </c>
      <c r="D2420" s="489" t="s">
        <v>8675</v>
      </c>
      <c r="E2420" s="487" t="s">
        <v>8676</v>
      </c>
      <c r="F2420" s="490">
        <v>18000</v>
      </c>
      <c r="G2420" s="489">
        <v>302.7</v>
      </c>
      <c r="H2420" s="489">
        <v>59.464820000000003</v>
      </c>
      <c r="I2420" s="487" t="s">
        <v>1499</v>
      </c>
      <c r="J2420" s="487" t="s">
        <v>706</v>
      </c>
    </row>
    <row r="2421" spans="1:10" ht="15" x14ac:dyDescent="0.2">
      <c r="A2421" s="486" t="s">
        <v>705</v>
      </c>
      <c r="B2421" s="487" t="s">
        <v>704</v>
      </c>
      <c r="C2421" s="488" t="s">
        <v>8677</v>
      </c>
      <c r="D2421" s="489" t="s">
        <v>8678</v>
      </c>
      <c r="E2421" s="487" t="s">
        <v>8679</v>
      </c>
      <c r="F2421" s="490">
        <v>0</v>
      </c>
      <c r="G2421" s="489">
        <v>0</v>
      </c>
      <c r="H2421" s="489">
        <v>0</v>
      </c>
      <c r="I2421" s="487" t="s">
        <v>2465</v>
      </c>
      <c r="J2421" s="487" t="s">
        <v>706</v>
      </c>
    </row>
    <row r="2422" spans="1:10" ht="15" x14ac:dyDescent="0.2">
      <c r="A2422" s="486" t="s">
        <v>705</v>
      </c>
      <c r="B2422" s="487" t="s">
        <v>704</v>
      </c>
      <c r="C2422" s="488" t="s">
        <v>8680</v>
      </c>
      <c r="D2422" s="489" t="s">
        <v>8681</v>
      </c>
      <c r="E2422" s="487" t="s">
        <v>8682</v>
      </c>
      <c r="F2422" s="490">
        <v>0</v>
      </c>
      <c r="G2422" s="489">
        <v>0</v>
      </c>
      <c r="H2422" s="489">
        <v>0</v>
      </c>
      <c r="I2422" s="487" t="s">
        <v>2465</v>
      </c>
      <c r="J2422" s="487" t="s">
        <v>706</v>
      </c>
    </row>
    <row r="2423" spans="1:10" ht="15" x14ac:dyDescent="0.2">
      <c r="A2423" s="486" t="s">
        <v>705</v>
      </c>
      <c r="B2423" s="487" t="s">
        <v>704</v>
      </c>
      <c r="C2423" s="488" t="s">
        <v>8683</v>
      </c>
      <c r="D2423" s="489" t="s">
        <v>8684</v>
      </c>
      <c r="E2423" s="487" t="s">
        <v>8685</v>
      </c>
      <c r="F2423" s="490">
        <v>7500</v>
      </c>
      <c r="G2423" s="489">
        <v>213.3</v>
      </c>
      <c r="H2423" s="489">
        <v>35.161740000000002</v>
      </c>
      <c r="I2423" s="487" t="s">
        <v>1499</v>
      </c>
      <c r="J2423" s="487" t="s">
        <v>706</v>
      </c>
    </row>
    <row r="2424" spans="1:10" ht="15" x14ac:dyDescent="0.2">
      <c r="A2424" s="486" t="s">
        <v>705</v>
      </c>
      <c r="B2424" s="487" t="s">
        <v>704</v>
      </c>
      <c r="C2424" s="488" t="s">
        <v>8686</v>
      </c>
      <c r="D2424" s="489" t="s">
        <v>8687</v>
      </c>
      <c r="E2424" s="487" t="s">
        <v>8688</v>
      </c>
      <c r="F2424" s="490">
        <v>163254</v>
      </c>
      <c r="G2424" s="489">
        <v>2372.3000000000002</v>
      </c>
      <c r="H2424" s="489">
        <v>68.816760000000002</v>
      </c>
      <c r="I2424" s="487" t="s">
        <v>1499</v>
      </c>
      <c r="J2424" s="487" t="s">
        <v>706</v>
      </c>
    </row>
    <row r="2425" spans="1:10" ht="15" x14ac:dyDescent="0.2">
      <c r="A2425" s="486" t="s">
        <v>705</v>
      </c>
      <c r="B2425" s="487" t="s">
        <v>704</v>
      </c>
      <c r="C2425" s="488" t="s">
        <v>8689</v>
      </c>
      <c r="D2425" s="489" t="s">
        <v>8690</v>
      </c>
      <c r="E2425" s="487" t="s">
        <v>8691</v>
      </c>
      <c r="F2425" s="490">
        <v>120000</v>
      </c>
      <c r="G2425" s="489">
        <v>1551.4</v>
      </c>
      <c r="H2425" s="489">
        <v>77.349490000000003</v>
      </c>
      <c r="I2425" s="487" t="s">
        <v>1499</v>
      </c>
      <c r="J2425" s="487" t="s">
        <v>706</v>
      </c>
    </row>
    <row r="2426" spans="1:10" ht="15" x14ac:dyDescent="0.2">
      <c r="A2426" s="486" t="s">
        <v>705</v>
      </c>
      <c r="B2426" s="487" t="s">
        <v>704</v>
      </c>
      <c r="C2426" s="488" t="s">
        <v>8692</v>
      </c>
      <c r="D2426" s="489" t="s">
        <v>8693</v>
      </c>
      <c r="E2426" s="487" t="s">
        <v>8694</v>
      </c>
      <c r="F2426" s="490">
        <v>481125</v>
      </c>
      <c r="G2426" s="489">
        <v>3018.8</v>
      </c>
      <c r="H2426" s="489">
        <v>159.37624</v>
      </c>
      <c r="I2426" s="487" t="s">
        <v>1499</v>
      </c>
      <c r="J2426" s="487" t="s">
        <v>706</v>
      </c>
    </row>
    <row r="2427" spans="1:10" ht="15" x14ac:dyDescent="0.2">
      <c r="A2427" s="486" t="s">
        <v>705</v>
      </c>
      <c r="B2427" s="487" t="s">
        <v>704</v>
      </c>
      <c r="C2427" s="488" t="s">
        <v>8695</v>
      </c>
      <c r="D2427" s="489" t="s">
        <v>8696</v>
      </c>
      <c r="E2427" s="487" t="s">
        <v>8697</v>
      </c>
      <c r="F2427" s="490">
        <v>30229.56</v>
      </c>
      <c r="G2427" s="489">
        <v>405.3</v>
      </c>
      <c r="H2427" s="489">
        <v>74.585639999999998</v>
      </c>
      <c r="I2427" s="487" t="s">
        <v>2465</v>
      </c>
      <c r="J2427" s="487" t="s">
        <v>706</v>
      </c>
    </row>
    <row r="2428" spans="1:10" ht="15" x14ac:dyDescent="0.2">
      <c r="A2428" s="486" t="s">
        <v>705</v>
      </c>
      <c r="B2428" s="487" t="s">
        <v>704</v>
      </c>
      <c r="C2428" s="488" t="s">
        <v>8698</v>
      </c>
      <c r="D2428" s="489" t="s">
        <v>8699</v>
      </c>
      <c r="E2428" s="487" t="s">
        <v>8700</v>
      </c>
      <c r="F2428" s="490">
        <v>6131.2</v>
      </c>
      <c r="G2428" s="489">
        <v>92.7</v>
      </c>
      <c r="H2428" s="489">
        <v>66.140240000000006</v>
      </c>
      <c r="I2428" s="487" t="s">
        <v>1499</v>
      </c>
      <c r="J2428" s="487" t="s">
        <v>706</v>
      </c>
    </row>
    <row r="2429" spans="1:10" ht="15" x14ac:dyDescent="0.2">
      <c r="A2429" s="486" t="s">
        <v>705</v>
      </c>
      <c r="B2429" s="487" t="s">
        <v>704</v>
      </c>
      <c r="C2429" s="488" t="s">
        <v>8701</v>
      </c>
      <c r="D2429" s="489" t="s">
        <v>8702</v>
      </c>
      <c r="E2429" s="487" t="s">
        <v>8703</v>
      </c>
      <c r="F2429" s="490">
        <v>0</v>
      </c>
      <c r="G2429" s="489">
        <v>14.5</v>
      </c>
      <c r="H2429" s="489">
        <v>0</v>
      </c>
      <c r="I2429" s="487" t="s">
        <v>1593</v>
      </c>
      <c r="J2429" s="487" t="s">
        <v>706</v>
      </c>
    </row>
    <row r="2430" spans="1:10" ht="15" x14ac:dyDescent="0.2">
      <c r="A2430" s="486" t="s">
        <v>705</v>
      </c>
      <c r="B2430" s="487" t="s">
        <v>704</v>
      </c>
      <c r="C2430" s="488" t="s">
        <v>8704</v>
      </c>
      <c r="D2430" s="489" t="s">
        <v>8705</v>
      </c>
      <c r="E2430" s="487" t="s">
        <v>8706</v>
      </c>
      <c r="F2430" s="490">
        <v>800</v>
      </c>
      <c r="G2430" s="489">
        <v>73.5</v>
      </c>
      <c r="H2430" s="489">
        <v>10.88435</v>
      </c>
      <c r="I2430" s="487" t="s">
        <v>1499</v>
      </c>
      <c r="J2430" s="487" t="s">
        <v>706</v>
      </c>
    </row>
    <row r="2431" spans="1:10" ht="15" x14ac:dyDescent="0.2">
      <c r="A2431" s="486" t="s">
        <v>705</v>
      </c>
      <c r="B2431" s="487" t="s">
        <v>704</v>
      </c>
      <c r="C2431" s="488" t="s">
        <v>8707</v>
      </c>
      <c r="D2431" s="489" t="s">
        <v>8708</v>
      </c>
      <c r="E2431" s="487" t="s">
        <v>8709</v>
      </c>
      <c r="F2431" s="490">
        <v>864.32</v>
      </c>
      <c r="G2431" s="489">
        <v>28.2</v>
      </c>
      <c r="H2431" s="489">
        <v>30.649650000000001</v>
      </c>
      <c r="I2431" s="487" t="s">
        <v>1499</v>
      </c>
      <c r="J2431" s="487" t="s">
        <v>706</v>
      </c>
    </row>
    <row r="2432" spans="1:10" ht="15" x14ac:dyDescent="0.2">
      <c r="A2432" s="486" t="s">
        <v>705</v>
      </c>
      <c r="B2432" s="487" t="s">
        <v>704</v>
      </c>
      <c r="C2432" s="488" t="s">
        <v>8710</v>
      </c>
      <c r="D2432" s="489" t="s">
        <v>8711</v>
      </c>
      <c r="E2432" s="487" t="s">
        <v>8712</v>
      </c>
      <c r="F2432" s="490">
        <v>41497.71</v>
      </c>
      <c r="G2432" s="489">
        <v>988.4</v>
      </c>
      <c r="H2432" s="489">
        <v>41.984729999999999</v>
      </c>
      <c r="I2432" s="487" t="s">
        <v>1499</v>
      </c>
      <c r="J2432" s="487" t="s">
        <v>706</v>
      </c>
    </row>
    <row r="2433" spans="1:10" ht="15" x14ac:dyDescent="0.2">
      <c r="A2433" s="486" t="s">
        <v>705</v>
      </c>
      <c r="B2433" s="487" t="s">
        <v>704</v>
      </c>
      <c r="C2433" s="488" t="s">
        <v>8713</v>
      </c>
      <c r="D2433" s="489" t="s">
        <v>8714</v>
      </c>
      <c r="E2433" s="487" t="s">
        <v>8715</v>
      </c>
      <c r="F2433" s="490">
        <v>0</v>
      </c>
      <c r="G2433" s="489">
        <v>0</v>
      </c>
      <c r="H2433" s="489">
        <v>0</v>
      </c>
      <c r="I2433" s="487" t="s">
        <v>2465</v>
      </c>
      <c r="J2433" s="487" t="s">
        <v>706</v>
      </c>
    </row>
    <row r="2434" spans="1:10" ht="15" x14ac:dyDescent="0.2">
      <c r="A2434" s="486" t="s">
        <v>705</v>
      </c>
      <c r="B2434" s="487" t="s">
        <v>704</v>
      </c>
      <c r="C2434" s="488" t="s">
        <v>8716</v>
      </c>
      <c r="D2434" s="489" t="s">
        <v>8717</v>
      </c>
      <c r="E2434" s="487" t="s">
        <v>8718</v>
      </c>
      <c r="F2434" s="490">
        <v>4030.82</v>
      </c>
      <c r="G2434" s="489">
        <v>168.2</v>
      </c>
      <c r="H2434" s="489">
        <v>23.964449999999999</v>
      </c>
      <c r="I2434" s="487" t="s">
        <v>1499</v>
      </c>
      <c r="J2434" s="487" t="s">
        <v>706</v>
      </c>
    </row>
    <row r="2435" spans="1:10" ht="15" x14ac:dyDescent="0.2">
      <c r="A2435" s="486" t="s">
        <v>705</v>
      </c>
      <c r="B2435" s="487" t="s">
        <v>704</v>
      </c>
      <c r="C2435" s="488" t="s">
        <v>8719</v>
      </c>
      <c r="D2435" s="489" t="s">
        <v>8720</v>
      </c>
      <c r="E2435" s="487" t="s">
        <v>8721</v>
      </c>
      <c r="F2435" s="490">
        <v>0</v>
      </c>
      <c r="G2435" s="489">
        <v>31.3</v>
      </c>
      <c r="H2435" s="489">
        <v>0</v>
      </c>
      <c r="I2435" s="487" t="s">
        <v>1593</v>
      </c>
      <c r="J2435" s="487" t="s">
        <v>706</v>
      </c>
    </row>
    <row r="2436" spans="1:10" ht="15" x14ac:dyDescent="0.2">
      <c r="A2436" s="486" t="s">
        <v>705</v>
      </c>
      <c r="B2436" s="487" t="s">
        <v>704</v>
      </c>
      <c r="C2436" s="488" t="s">
        <v>8722</v>
      </c>
      <c r="D2436" s="489" t="s">
        <v>8723</v>
      </c>
      <c r="E2436" s="487" t="s">
        <v>8724</v>
      </c>
      <c r="F2436" s="490">
        <v>6800</v>
      </c>
      <c r="G2436" s="489">
        <v>103.7</v>
      </c>
      <c r="H2436" s="489">
        <v>65.573769999999996</v>
      </c>
      <c r="I2436" s="487" t="s">
        <v>1499</v>
      </c>
      <c r="J2436" s="487" t="s">
        <v>706</v>
      </c>
    </row>
    <row r="2437" spans="1:10" ht="15" x14ac:dyDescent="0.2">
      <c r="A2437" s="486" t="s">
        <v>705</v>
      </c>
      <c r="B2437" s="487" t="s">
        <v>704</v>
      </c>
      <c r="C2437" s="488" t="s">
        <v>8725</v>
      </c>
      <c r="D2437" s="489" t="s">
        <v>8726</v>
      </c>
      <c r="E2437" s="487" t="s">
        <v>8727</v>
      </c>
      <c r="F2437" s="490">
        <v>0</v>
      </c>
      <c r="G2437" s="489">
        <v>19.100000000000001</v>
      </c>
      <c r="H2437" s="489">
        <v>0</v>
      </c>
      <c r="I2437" s="487" t="s">
        <v>1593</v>
      </c>
      <c r="J2437" s="487" t="s">
        <v>706</v>
      </c>
    </row>
    <row r="2438" spans="1:10" ht="15" x14ac:dyDescent="0.2">
      <c r="A2438" s="486" t="s">
        <v>705</v>
      </c>
      <c r="B2438" s="487" t="s">
        <v>704</v>
      </c>
      <c r="C2438" s="488" t="s">
        <v>8728</v>
      </c>
      <c r="D2438" s="489" t="s">
        <v>8729</v>
      </c>
      <c r="E2438" s="487" t="s">
        <v>8730</v>
      </c>
      <c r="F2438" s="490">
        <v>1500</v>
      </c>
      <c r="G2438" s="489">
        <v>61.9</v>
      </c>
      <c r="H2438" s="489">
        <v>24.23263</v>
      </c>
      <c r="I2438" s="487" t="s">
        <v>1499</v>
      </c>
      <c r="J2438" s="487" t="s">
        <v>706</v>
      </c>
    </row>
    <row r="2439" spans="1:10" ht="15" x14ac:dyDescent="0.2">
      <c r="A2439" s="486" t="s">
        <v>705</v>
      </c>
      <c r="B2439" s="487" t="s">
        <v>704</v>
      </c>
      <c r="C2439" s="488" t="s">
        <v>8731</v>
      </c>
      <c r="D2439" s="489" t="s">
        <v>8732</v>
      </c>
      <c r="E2439" s="487" t="s">
        <v>8733</v>
      </c>
      <c r="F2439" s="490">
        <v>15900</v>
      </c>
      <c r="G2439" s="489">
        <v>460</v>
      </c>
      <c r="H2439" s="489">
        <v>34.565219999999997</v>
      </c>
      <c r="I2439" s="487" t="s">
        <v>1499</v>
      </c>
      <c r="J2439" s="487" t="s">
        <v>706</v>
      </c>
    </row>
    <row r="2440" spans="1:10" ht="15" x14ac:dyDescent="0.2">
      <c r="A2440" s="486" t="s">
        <v>705</v>
      </c>
      <c r="B2440" s="487" t="s">
        <v>704</v>
      </c>
      <c r="C2440" s="488" t="s">
        <v>8734</v>
      </c>
      <c r="D2440" s="489" t="s">
        <v>8735</v>
      </c>
      <c r="E2440" s="487" t="s">
        <v>8736</v>
      </c>
      <c r="F2440" s="490">
        <v>22820</v>
      </c>
      <c r="G2440" s="489">
        <v>290.3</v>
      </c>
      <c r="H2440" s="489">
        <v>78.608339999999998</v>
      </c>
      <c r="I2440" s="487" t="s">
        <v>1499</v>
      </c>
      <c r="J2440" s="487" t="s">
        <v>706</v>
      </c>
    </row>
    <row r="2441" spans="1:10" ht="15" x14ac:dyDescent="0.2">
      <c r="A2441" s="486" t="s">
        <v>705</v>
      </c>
      <c r="B2441" s="487" t="s">
        <v>704</v>
      </c>
      <c r="C2441" s="488" t="s">
        <v>8737</v>
      </c>
      <c r="D2441" s="489" t="s">
        <v>8738</v>
      </c>
      <c r="E2441" s="487" t="s">
        <v>8739</v>
      </c>
      <c r="F2441" s="490">
        <v>3400</v>
      </c>
      <c r="G2441" s="489">
        <v>94.3</v>
      </c>
      <c r="H2441" s="489">
        <v>36.055140000000002</v>
      </c>
      <c r="I2441" s="487" t="s">
        <v>1499</v>
      </c>
      <c r="J2441" s="487" t="s">
        <v>706</v>
      </c>
    </row>
    <row r="2442" spans="1:10" ht="15" x14ac:dyDescent="0.2">
      <c r="A2442" s="486" t="s">
        <v>705</v>
      </c>
      <c r="B2442" s="487" t="s">
        <v>704</v>
      </c>
      <c r="C2442" s="488" t="s">
        <v>8740</v>
      </c>
      <c r="D2442" s="489" t="s">
        <v>8741</v>
      </c>
      <c r="E2442" s="487" t="s">
        <v>8742</v>
      </c>
      <c r="F2442" s="490">
        <v>5000</v>
      </c>
      <c r="G2442" s="489">
        <v>141.6</v>
      </c>
      <c r="H2442" s="489">
        <v>35.31073</v>
      </c>
      <c r="I2442" s="487" t="s">
        <v>1499</v>
      </c>
      <c r="J2442" s="487" t="s">
        <v>706</v>
      </c>
    </row>
    <row r="2443" spans="1:10" ht="15" x14ac:dyDescent="0.2">
      <c r="A2443" s="486" t="s">
        <v>705</v>
      </c>
      <c r="B2443" s="487" t="s">
        <v>704</v>
      </c>
      <c r="C2443" s="488" t="s">
        <v>8743</v>
      </c>
      <c r="D2443" s="489" t="s">
        <v>8744</v>
      </c>
      <c r="E2443" s="487" t="s">
        <v>8745</v>
      </c>
      <c r="F2443" s="490">
        <v>7775</v>
      </c>
      <c r="G2443" s="489">
        <v>147.19999999999999</v>
      </c>
      <c r="H2443" s="489">
        <v>52.819290000000002</v>
      </c>
      <c r="I2443" s="487" t="s">
        <v>1499</v>
      </c>
      <c r="J2443" s="487" t="s">
        <v>706</v>
      </c>
    </row>
    <row r="2444" spans="1:10" ht="15" x14ac:dyDescent="0.2">
      <c r="A2444" s="486" t="s">
        <v>705</v>
      </c>
      <c r="B2444" s="487" t="s">
        <v>704</v>
      </c>
      <c r="C2444" s="488" t="s">
        <v>8746</v>
      </c>
      <c r="D2444" s="489" t="s">
        <v>8747</v>
      </c>
      <c r="E2444" s="487" t="s">
        <v>8748</v>
      </c>
      <c r="F2444" s="490">
        <v>16100</v>
      </c>
      <c r="G2444" s="489">
        <v>303.5</v>
      </c>
      <c r="H2444" s="489">
        <v>53.047780000000003</v>
      </c>
      <c r="I2444" s="487" t="s">
        <v>1499</v>
      </c>
      <c r="J2444" s="487" t="s">
        <v>706</v>
      </c>
    </row>
    <row r="2445" spans="1:10" ht="15" x14ac:dyDescent="0.2">
      <c r="A2445" s="486" t="s">
        <v>705</v>
      </c>
      <c r="B2445" s="487" t="s">
        <v>704</v>
      </c>
      <c r="C2445" s="488" t="s">
        <v>8749</v>
      </c>
      <c r="D2445" s="489" t="s">
        <v>8750</v>
      </c>
      <c r="E2445" s="487" t="s">
        <v>8751</v>
      </c>
      <c r="F2445" s="490">
        <v>40091.06</v>
      </c>
      <c r="G2445" s="489">
        <v>637</v>
      </c>
      <c r="H2445" s="489">
        <v>62.9373</v>
      </c>
      <c r="I2445" s="487" t="s">
        <v>1499</v>
      </c>
      <c r="J2445" s="487" t="s">
        <v>706</v>
      </c>
    </row>
    <row r="2446" spans="1:10" ht="15" x14ac:dyDescent="0.2">
      <c r="A2446" s="486" t="s">
        <v>705</v>
      </c>
      <c r="B2446" s="487" t="s">
        <v>704</v>
      </c>
      <c r="C2446" s="488" t="s">
        <v>8752</v>
      </c>
      <c r="D2446" s="489" t="s">
        <v>8753</v>
      </c>
      <c r="E2446" s="487" t="s">
        <v>8754</v>
      </c>
      <c r="F2446" s="490">
        <v>0</v>
      </c>
      <c r="G2446" s="489">
        <v>0</v>
      </c>
      <c r="H2446" s="489">
        <v>0</v>
      </c>
      <c r="I2446" s="487" t="s">
        <v>2465</v>
      </c>
      <c r="J2446" s="487" t="s">
        <v>706</v>
      </c>
    </row>
    <row r="2447" spans="1:10" ht="15" x14ac:dyDescent="0.2">
      <c r="A2447" s="486" t="s">
        <v>705</v>
      </c>
      <c r="B2447" s="487" t="s">
        <v>704</v>
      </c>
      <c r="C2447" s="488" t="s">
        <v>8755</v>
      </c>
      <c r="D2447" s="489" t="s">
        <v>8756</v>
      </c>
      <c r="E2447" s="487" t="s">
        <v>8757</v>
      </c>
      <c r="F2447" s="490">
        <v>31447</v>
      </c>
      <c r="G2447" s="489">
        <v>573.29999999999995</v>
      </c>
      <c r="H2447" s="489">
        <v>54.852609999999999</v>
      </c>
      <c r="I2447" s="487" t="s">
        <v>2465</v>
      </c>
      <c r="J2447" s="487" t="s">
        <v>706</v>
      </c>
    </row>
    <row r="2448" spans="1:10" ht="15" x14ac:dyDescent="0.2">
      <c r="A2448" s="486" t="s">
        <v>705</v>
      </c>
      <c r="B2448" s="487" t="s">
        <v>704</v>
      </c>
      <c r="C2448" s="488" t="s">
        <v>8758</v>
      </c>
      <c r="D2448" s="489" t="s">
        <v>8759</v>
      </c>
      <c r="E2448" s="487" t="s">
        <v>8760</v>
      </c>
      <c r="F2448" s="490">
        <v>10900</v>
      </c>
      <c r="G2448" s="489">
        <v>659.4</v>
      </c>
      <c r="H2448" s="489">
        <v>16.530180000000001</v>
      </c>
      <c r="I2448" s="487" t="s">
        <v>1499</v>
      </c>
      <c r="J2448" s="487" t="s">
        <v>706</v>
      </c>
    </row>
    <row r="2449" spans="1:10" ht="15" x14ac:dyDescent="0.2">
      <c r="A2449" s="486" t="s">
        <v>705</v>
      </c>
      <c r="B2449" s="487" t="s">
        <v>704</v>
      </c>
      <c r="C2449" s="488" t="s">
        <v>8761</v>
      </c>
      <c r="D2449" s="489" t="s">
        <v>8762</v>
      </c>
      <c r="E2449" s="487" t="s">
        <v>8763</v>
      </c>
      <c r="F2449" s="490">
        <v>5000</v>
      </c>
      <c r="G2449" s="489">
        <v>245.8</v>
      </c>
      <c r="H2449" s="489">
        <v>20.341740000000001</v>
      </c>
      <c r="I2449" s="487" t="s">
        <v>2465</v>
      </c>
      <c r="J2449" s="487" t="s">
        <v>706</v>
      </c>
    </row>
    <row r="2450" spans="1:10" ht="15" x14ac:dyDescent="0.2">
      <c r="A2450" s="486" t="s">
        <v>705</v>
      </c>
      <c r="B2450" s="487" t="s">
        <v>704</v>
      </c>
      <c r="C2450" s="488" t="s">
        <v>8764</v>
      </c>
      <c r="D2450" s="489" t="s">
        <v>8765</v>
      </c>
      <c r="E2450" s="487" t="s">
        <v>8766</v>
      </c>
      <c r="F2450" s="490">
        <v>0</v>
      </c>
      <c r="G2450" s="489">
        <v>21.3</v>
      </c>
      <c r="H2450" s="489">
        <v>0</v>
      </c>
      <c r="I2450" s="487" t="s">
        <v>1593</v>
      </c>
      <c r="J2450" s="487" t="s">
        <v>706</v>
      </c>
    </row>
    <row r="2451" spans="1:10" ht="15" x14ac:dyDescent="0.2">
      <c r="A2451" s="486" t="s">
        <v>705</v>
      </c>
      <c r="B2451" s="487" t="s">
        <v>704</v>
      </c>
      <c r="C2451" s="488" t="s">
        <v>8767</v>
      </c>
      <c r="D2451" s="489" t="s">
        <v>8768</v>
      </c>
      <c r="E2451" s="487" t="s">
        <v>8769</v>
      </c>
      <c r="F2451" s="490">
        <v>0</v>
      </c>
      <c r="G2451" s="489">
        <v>0</v>
      </c>
      <c r="H2451" s="489">
        <v>0</v>
      </c>
      <c r="I2451" s="487" t="s">
        <v>2465</v>
      </c>
      <c r="J2451" s="487" t="s">
        <v>706</v>
      </c>
    </row>
    <row r="2452" spans="1:10" ht="15" x14ac:dyDescent="0.2">
      <c r="A2452" s="486" t="s">
        <v>705</v>
      </c>
      <c r="B2452" s="487" t="s">
        <v>704</v>
      </c>
      <c r="C2452" s="488" t="s">
        <v>8770</v>
      </c>
      <c r="D2452" s="489" t="s">
        <v>8771</v>
      </c>
      <c r="E2452" s="487" t="s">
        <v>8772</v>
      </c>
      <c r="F2452" s="490">
        <v>29020</v>
      </c>
      <c r="G2452" s="489">
        <v>428.9</v>
      </c>
      <c r="H2452" s="489">
        <v>67.661460000000005</v>
      </c>
      <c r="I2452" s="487" t="s">
        <v>1499</v>
      </c>
      <c r="J2452" s="487" t="s">
        <v>706</v>
      </c>
    </row>
    <row r="2453" spans="1:10" ht="15" x14ac:dyDescent="0.2">
      <c r="A2453" s="486" t="s">
        <v>705</v>
      </c>
      <c r="B2453" s="487" t="s">
        <v>704</v>
      </c>
      <c r="C2453" s="488" t="s">
        <v>8773</v>
      </c>
      <c r="D2453" s="489" t="s">
        <v>8774</v>
      </c>
      <c r="E2453" s="487" t="s">
        <v>8775</v>
      </c>
      <c r="F2453" s="490">
        <v>18295.77</v>
      </c>
      <c r="G2453" s="489">
        <v>353.2</v>
      </c>
      <c r="H2453" s="489">
        <v>51.80003</v>
      </c>
      <c r="I2453" s="487" t="s">
        <v>1499</v>
      </c>
      <c r="J2453" s="487" t="s">
        <v>706</v>
      </c>
    </row>
    <row r="2454" spans="1:10" ht="15" x14ac:dyDescent="0.2">
      <c r="A2454" s="486" t="s">
        <v>705</v>
      </c>
      <c r="B2454" s="487" t="s">
        <v>704</v>
      </c>
      <c r="C2454" s="488" t="s">
        <v>8776</v>
      </c>
      <c r="D2454" s="489" t="s">
        <v>8777</v>
      </c>
      <c r="E2454" s="487" t="s">
        <v>8778</v>
      </c>
      <c r="F2454" s="490">
        <v>0</v>
      </c>
      <c r="G2454" s="489">
        <v>0</v>
      </c>
      <c r="H2454" s="489">
        <v>0</v>
      </c>
      <c r="I2454" s="487" t="s">
        <v>2465</v>
      </c>
      <c r="J2454" s="487" t="s">
        <v>706</v>
      </c>
    </row>
    <row r="2455" spans="1:10" ht="15" x14ac:dyDescent="0.2">
      <c r="A2455" s="486" t="s">
        <v>705</v>
      </c>
      <c r="B2455" s="487" t="s">
        <v>704</v>
      </c>
      <c r="C2455" s="488" t="s">
        <v>8779</v>
      </c>
      <c r="D2455" s="489" t="s">
        <v>8780</v>
      </c>
      <c r="E2455" s="487" t="s">
        <v>8781</v>
      </c>
      <c r="F2455" s="490">
        <v>14500</v>
      </c>
      <c r="G2455" s="489">
        <v>264.5</v>
      </c>
      <c r="H2455" s="489">
        <v>54.820419999999999</v>
      </c>
      <c r="I2455" s="487" t="s">
        <v>1499</v>
      </c>
      <c r="J2455" s="487" t="s">
        <v>706</v>
      </c>
    </row>
    <row r="2456" spans="1:10" ht="15" x14ac:dyDescent="0.2">
      <c r="A2456" s="486" t="s">
        <v>705</v>
      </c>
      <c r="B2456" s="487" t="s">
        <v>704</v>
      </c>
      <c r="C2456" s="488" t="s">
        <v>8782</v>
      </c>
      <c r="D2456" s="489" t="s">
        <v>8783</v>
      </c>
      <c r="E2456" s="487" t="s">
        <v>8784</v>
      </c>
      <c r="F2456" s="490">
        <v>5985.12</v>
      </c>
      <c r="G2456" s="489">
        <v>237.2</v>
      </c>
      <c r="H2456" s="489">
        <v>25.232379999999999</v>
      </c>
      <c r="I2456" s="487" t="s">
        <v>2465</v>
      </c>
      <c r="J2456" s="487" t="s">
        <v>706</v>
      </c>
    </row>
    <row r="2457" spans="1:10" ht="15" x14ac:dyDescent="0.2">
      <c r="A2457" s="486" t="s">
        <v>705</v>
      </c>
      <c r="B2457" s="487" t="s">
        <v>704</v>
      </c>
      <c r="C2457" s="488" t="s">
        <v>8785</v>
      </c>
      <c r="D2457" s="489" t="s">
        <v>8786</v>
      </c>
      <c r="E2457" s="487" t="s">
        <v>8787</v>
      </c>
      <c r="F2457" s="490">
        <v>0</v>
      </c>
      <c r="G2457" s="489">
        <v>0</v>
      </c>
      <c r="H2457" s="489">
        <v>0</v>
      </c>
      <c r="I2457" s="487" t="s">
        <v>2465</v>
      </c>
      <c r="J2457" s="487" t="s">
        <v>706</v>
      </c>
    </row>
    <row r="2458" spans="1:10" ht="15" x14ac:dyDescent="0.2">
      <c r="A2458" s="486" t="s">
        <v>705</v>
      </c>
      <c r="B2458" s="487" t="s">
        <v>704</v>
      </c>
      <c r="C2458" s="488" t="s">
        <v>8788</v>
      </c>
      <c r="D2458" s="489" t="s">
        <v>8789</v>
      </c>
      <c r="E2458" s="487" t="s">
        <v>8790</v>
      </c>
      <c r="F2458" s="490">
        <v>0</v>
      </c>
      <c r="G2458" s="489">
        <v>0</v>
      </c>
      <c r="H2458" s="489">
        <v>0</v>
      </c>
      <c r="I2458" s="487" t="s">
        <v>2465</v>
      </c>
      <c r="J2458" s="487" t="s">
        <v>706</v>
      </c>
    </row>
    <row r="2459" spans="1:10" ht="15" x14ac:dyDescent="0.2">
      <c r="A2459" s="486" t="s">
        <v>705</v>
      </c>
      <c r="B2459" s="487" t="s">
        <v>704</v>
      </c>
      <c r="C2459" s="488" t="s">
        <v>8791</v>
      </c>
      <c r="D2459" s="489" t="s">
        <v>8792</v>
      </c>
      <c r="E2459" s="487" t="s">
        <v>8793</v>
      </c>
      <c r="F2459" s="490">
        <v>0</v>
      </c>
      <c r="G2459" s="489">
        <v>0</v>
      </c>
      <c r="H2459" s="489">
        <v>0</v>
      </c>
      <c r="I2459" s="487" t="s">
        <v>2465</v>
      </c>
      <c r="J2459" s="487" t="s">
        <v>706</v>
      </c>
    </row>
    <row r="2460" spans="1:10" ht="15" x14ac:dyDescent="0.2">
      <c r="A2460" s="486" t="s">
        <v>705</v>
      </c>
      <c r="B2460" s="487" t="s">
        <v>704</v>
      </c>
      <c r="C2460" s="488" t="s">
        <v>8794</v>
      </c>
      <c r="D2460" s="489" t="s">
        <v>8795</v>
      </c>
      <c r="E2460" s="487" t="s">
        <v>8796</v>
      </c>
      <c r="F2460" s="490">
        <v>19940</v>
      </c>
      <c r="G2460" s="489">
        <v>492.1</v>
      </c>
      <c r="H2460" s="489">
        <v>40.520220000000002</v>
      </c>
      <c r="I2460" s="487" t="s">
        <v>1499</v>
      </c>
      <c r="J2460" s="487" t="s">
        <v>706</v>
      </c>
    </row>
    <row r="2461" spans="1:10" ht="15" x14ac:dyDescent="0.2">
      <c r="A2461" s="486" t="s">
        <v>705</v>
      </c>
      <c r="B2461" s="487" t="s">
        <v>704</v>
      </c>
      <c r="C2461" s="488" t="s">
        <v>8797</v>
      </c>
      <c r="D2461" s="489" t="s">
        <v>8798</v>
      </c>
      <c r="E2461" s="487" t="s">
        <v>8799</v>
      </c>
      <c r="F2461" s="490">
        <v>0</v>
      </c>
      <c r="G2461" s="489">
        <v>0</v>
      </c>
      <c r="H2461" s="489">
        <v>0</v>
      </c>
      <c r="I2461" s="487" t="s">
        <v>2465</v>
      </c>
      <c r="J2461" s="487" t="s">
        <v>706</v>
      </c>
    </row>
    <row r="2462" spans="1:10" ht="15" x14ac:dyDescent="0.2">
      <c r="A2462" s="486" t="s">
        <v>705</v>
      </c>
      <c r="B2462" s="487" t="s">
        <v>704</v>
      </c>
      <c r="C2462" s="488" t="s">
        <v>8800</v>
      </c>
      <c r="D2462" s="489" t="s">
        <v>8801</v>
      </c>
      <c r="E2462" s="487" t="s">
        <v>8802</v>
      </c>
      <c r="F2462" s="490">
        <v>618624</v>
      </c>
      <c r="G2462" s="489">
        <v>4055</v>
      </c>
      <c r="H2462" s="489">
        <v>152.55832000000001</v>
      </c>
      <c r="I2462" s="487" t="s">
        <v>1499</v>
      </c>
      <c r="J2462" s="487" t="s">
        <v>706</v>
      </c>
    </row>
    <row r="2463" spans="1:10" ht="15" x14ac:dyDescent="0.2">
      <c r="A2463" s="486" t="s">
        <v>705</v>
      </c>
      <c r="B2463" s="487" t="s">
        <v>704</v>
      </c>
      <c r="C2463" s="488" t="s">
        <v>8803</v>
      </c>
      <c r="D2463" s="489" t="s">
        <v>8804</v>
      </c>
      <c r="E2463" s="487" t="s">
        <v>8805</v>
      </c>
      <c r="F2463" s="490">
        <v>0</v>
      </c>
      <c r="G2463" s="489">
        <v>0</v>
      </c>
      <c r="H2463" s="489">
        <v>0</v>
      </c>
      <c r="I2463" s="487" t="s">
        <v>2465</v>
      </c>
      <c r="J2463" s="487" t="s">
        <v>706</v>
      </c>
    </row>
    <row r="2464" spans="1:10" ht="15" x14ac:dyDescent="0.2">
      <c r="A2464" s="486" t="s">
        <v>705</v>
      </c>
      <c r="B2464" s="487" t="s">
        <v>704</v>
      </c>
      <c r="C2464" s="488" t="s">
        <v>8806</v>
      </c>
      <c r="D2464" s="489" t="s">
        <v>8807</v>
      </c>
      <c r="E2464" s="487" t="s">
        <v>8808</v>
      </c>
      <c r="F2464" s="490">
        <v>0</v>
      </c>
      <c r="G2464" s="489">
        <v>21.5</v>
      </c>
      <c r="H2464" s="489">
        <v>0</v>
      </c>
      <c r="I2464" s="487" t="s">
        <v>1593</v>
      </c>
      <c r="J2464" s="487" t="s">
        <v>706</v>
      </c>
    </row>
    <row r="2465" spans="1:10" ht="15" x14ac:dyDescent="0.2">
      <c r="A2465" s="486" t="s">
        <v>705</v>
      </c>
      <c r="B2465" s="487" t="s">
        <v>704</v>
      </c>
      <c r="C2465" s="488" t="s">
        <v>8809</v>
      </c>
      <c r="D2465" s="489" t="s">
        <v>8810</v>
      </c>
      <c r="E2465" s="487" t="s">
        <v>8811</v>
      </c>
      <c r="F2465" s="490">
        <v>0</v>
      </c>
      <c r="G2465" s="489">
        <v>0</v>
      </c>
      <c r="H2465" s="489">
        <v>0</v>
      </c>
      <c r="I2465" s="487" t="s">
        <v>2465</v>
      </c>
      <c r="J2465" s="487" t="s">
        <v>706</v>
      </c>
    </row>
    <row r="2466" spans="1:10" ht="15" x14ac:dyDescent="0.2">
      <c r="A2466" s="486" t="s">
        <v>705</v>
      </c>
      <c r="B2466" s="487" t="s">
        <v>704</v>
      </c>
      <c r="C2466" s="488" t="s">
        <v>8812</v>
      </c>
      <c r="D2466" s="489" t="s">
        <v>8813</v>
      </c>
      <c r="E2466" s="487" t="s">
        <v>8814</v>
      </c>
      <c r="F2466" s="490">
        <v>0</v>
      </c>
      <c r="G2466" s="489">
        <v>0</v>
      </c>
      <c r="H2466" s="489">
        <v>0</v>
      </c>
      <c r="I2466" s="487" t="s">
        <v>2465</v>
      </c>
      <c r="J2466" s="487" t="s">
        <v>706</v>
      </c>
    </row>
    <row r="2467" spans="1:10" ht="15" x14ac:dyDescent="0.2">
      <c r="A2467" s="486" t="s">
        <v>705</v>
      </c>
      <c r="B2467" s="487" t="s">
        <v>704</v>
      </c>
      <c r="C2467" s="488" t="s">
        <v>8815</v>
      </c>
      <c r="D2467" s="489" t="s">
        <v>8816</v>
      </c>
      <c r="E2467" s="487" t="s">
        <v>8817</v>
      </c>
      <c r="F2467" s="490">
        <v>0</v>
      </c>
      <c r="G2467" s="489">
        <v>109.2</v>
      </c>
      <c r="H2467" s="489">
        <v>0</v>
      </c>
      <c r="I2467" s="487" t="s">
        <v>1593</v>
      </c>
      <c r="J2467" s="487" t="s">
        <v>706</v>
      </c>
    </row>
    <row r="2468" spans="1:10" ht="15" x14ac:dyDescent="0.2">
      <c r="A2468" s="486" t="s">
        <v>705</v>
      </c>
      <c r="B2468" s="487" t="s">
        <v>704</v>
      </c>
      <c r="C2468" s="488" t="s">
        <v>8818</v>
      </c>
      <c r="D2468" s="489" t="s">
        <v>8819</v>
      </c>
      <c r="E2468" s="487" t="s">
        <v>8820</v>
      </c>
      <c r="F2468" s="490">
        <v>12310</v>
      </c>
      <c r="G2468" s="489">
        <v>348.4</v>
      </c>
      <c r="H2468" s="489">
        <v>35.332949999999997</v>
      </c>
      <c r="I2468" s="487" t="s">
        <v>2465</v>
      </c>
      <c r="J2468" s="487" t="s">
        <v>706</v>
      </c>
    </row>
    <row r="2469" spans="1:10" ht="15" x14ac:dyDescent="0.2">
      <c r="A2469" s="486" t="s">
        <v>705</v>
      </c>
      <c r="B2469" s="487" t="s">
        <v>704</v>
      </c>
      <c r="C2469" s="488" t="s">
        <v>8821</v>
      </c>
      <c r="D2469" s="489" t="s">
        <v>8822</v>
      </c>
      <c r="E2469" s="487" t="s">
        <v>8823</v>
      </c>
      <c r="F2469" s="490">
        <v>1890</v>
      </c>
      <c r="G2469" s="489">
        <v>58.6</v>
      </c>
      <c r="H2469" s="489">
        <v>32.252560000000003</v>
      </c>
      <c r="I2469" s="487" t="s">
        <v>1499</v>
      </c>
      <c r="J2469" s="487" t="s">
        <v>706</v>
      </c>
    </row>
    <row r="2470" spans="1:10" ht="15" x14ac:dyDescent="0.2">
      <c r="A2470" s="486" t="s">
        <v>705</v>
      </c>
      <c r="B2470" s="487" t="s">
        <v>704</v>
      </c>
      <c r="C2470" s="488" t="s">
        <v>8824</v>
      </c>
      <c r="D2470" s="489" t="s">
        <v>8825</v>
      </c>
      <c r="E2470" s="487" t="s">
        <v>8826</v>
      </c>
      <c r="F2470" s="490">
        <v>1800</v>
      </c>
      <c r="G2470" s="489">
        <v>65.099999999999994</v>
      </c>
      <c r="H2470" s="489">
        <v>27.64977</v>
      </c>
      <c r="I2470" s="487" t="s">
        <v>1499</v>
      </c>
      <c r="J2470" s="487" t="s">
        <v>706</v>
      </c>
    </row>
    <row r="2471" spans="1:10" ht="15" x14ac:dyDescent="0.2">
      <c r="A2471" s="486" t="s">
        <v>705</v>
      </c>
      <c r="B2471" s="487" t="s">
        <v>704</v>
      </c>
      <c r="C2471" s="488" t="s">
        <v>8827</v>
      </c>
      <c r="D2471" s="489" t="s">
        <v>8828</v>
      </c>
      <c r="E2471" s="487" t="s">
        <v>8829</v>
      </c>
      <c r="F2471" s="490">
        <v>36492</v>
      </c>
      <c r="G2471" s="489">
        <v>632.20000000000005</v>
      </c>
      <c r="H2471" s="489">
        <v>57.722239999999999</v>
      </c>
      <c r="I2471" s="487" t="s">
        <v>2465</v>
      </c>
      <c r="J2471" s="487" t="s">
        <v>706</v>
      </c>
    </row>
    <row r="2472" spans="1:10" ht="15" x14ac:dyDescent="0.2">
      <c r="A2472" s="486" t="s">
        <v>705</v>
      </c>
      <c r="B2472" s="487" t="s">
        <v>704</v>
      </c>
      <c r="C2472" s="488" t="s">
        <v>8830</v>
      </c>
      <c r="D2472" s="489" t="s">
        <v>8831</v>
      </c>
      <c r="E2472" s="487" t="s">
        <v>8832</v>
      </c>
      <c r="F2472" s="490">
        <v>0</v>
      </c>
      <c r="G2472" s="489">
        <v>0</v>
      </c>
      <c r="H2472" s="489">
        <v>0</v>
      </c>
      <c r="I2472" s="487" t="s">
        <v>2465</v>
      </c>
      <c r="J2472" s="487" t="s">
        <v>706</v>
      </c>
    </row>
    <row r="2473" spans="1:10" ht="15" x14ac:dyDescent="0.2">
      <c r="A2473" s="486" t="s">
        <v>705</v>
      </c>
      <c r="B2473" s="487" t="s">
        <v>704</v>
      </c>
      <c r="C2473" s="488" t="s">
        <v>8833</v>
      </c>
      <c r="D2473" s="489" t="s">
        <v>8834</v>
      </c>
      <c r="E2473" s="487" t="s">
        <v>8835</v>
      </c>
      <c r="F2473" s="490">
        <v>0</v>
      </c>
      <c r="G2473" s="489">
        <v>0</v>
      </c>
      <c r="H2473" s="489">
        <v>0</v>
      </c>
      <c r="I2473" s="487" t="s">
        <v>2465</v>
      </c>
      <c r="J2473" s="487" t="s">
        <v>706</v>
      </c>
    </row>
    <row r="2474" spans="1:10" ht="15" x14ac:dyDescent="0.2">
      <c r="A2474" s="486" t="s">
        <v>705</v>
      </c>
      <c r="B2474" s="487" t="s">
        <v>704</v>
      </c>
      <c r="C2474" s="488" t="s">
        <v>8836</v>
      </c>
      <c r="D2474" s="489" t="s">
        <v>8837</v>
      </c>
      <c r="E2474" s="487" t="s">
        <v>8838</v>
      </c>
      <c r="F2474" s="490">
        <v>764403</v>
      </c>
      <c r="G2474" s="489">
        <v>3479.7</v>
      </c>
      <c r="H2474" s="489">
        <v>219.67497</v>
      </c>
      <c r="I2474" s="487" t="s">
        <v>1499</v>
      </c>
      <c r="J2474" s="487" t="s">
        <v>706</v>
      </c>
    </row>
    <row r="2475" spans="1:10" ht="15" x14ac:dyDescent="0.2">
      <c r="A2475" s="486" t="s">
        <v>705</v>
      </c>
      <c r="B2475" s="487" t="s">
        <v>704</v>
      </c>
      <c r="C2475" s="488" t="s">
        <v>8839</v>
      </c>
      <c r="D2475" s="489" t="s">
        <v>8840</v>
      </c>
      <c r="E2475" s="487" t="s">
        <v>8841</v>
      </c>
      <c r="F2475" s="490">
        <v>0</v>
      </c>
      <c r="G2475" s="489">
        <v>0</v>
      </c>
      <c r="H2475" s="489">
        <v>0</v>
      </c>
      <c r="I2475" s="487" t="s">
        <v>2465</v>
      </c>
      <c r="J2475" s="487" t="s">
        <v>706</v>
      </c>
    </row>
    <row r="2476" spans="1:10" ht="15" x14ac:dyDescent="0.2">
      <c r="A2476" s="486" t="s">
        <v>705</v>
      </c>
      <c r="B2476" s="487" t="s">
        <v>704</v>
      </c>
      <c r="C2476" s="488" t="s">
        <v>8842</v>
      </c>
      <c r="D2476" s="489" t="s">
        <v>8843</v>
      </c>
      <c r="E2476" s="487" t="s">
        <v>8844</v>
      </c>
      <c r="F2476" s="490">
        <v>1116326.3600000001</v>
      </c>
      <c r="G2476" s="489">
        <v>4138.2</v>
      </c>
      <c r="H2476" s="489">
        <v>269.76134000000002</v>
      </c>
      <c r="I2476" s="487" t="s">
        <v>1499</v>
      </c>
      <c r="J2476" s="487" t="s">
        <v>706</v>
      </c>
    </row>
    <row r="2477" spans="1:10" ht="15" x14ac:dyDescent="0.2">
      <c r="A2477" s="486" t="s">
        <v>705</v>
      </c>
      <c r="B2477" s="487" t="s">
        <v>704</v>
      </c>
      <c r="C2477" s="488" t="s">
        <v>8845</v>
      </c>
      <c r="D2477" s="489" t="s">
        <v>8846</v>
      </c>
      <c r="E2477" s="487" t="s">
        <v>8847</v>
      </c>
      <c r="F2477" s="490">
        <v>39650</v>
      </c>
      <c r="G2477" s="489">
        <v>458.7</v>
      </c>
      <c r="H2477" s="489">
        <v>86.439940000000007</v>
      </c>
      <c r="I2477" s="487" t="s">
        <v>1499</v>
      </c>
      <c r="J2477" s="487" t="s">
        <v>706</v>
      </c>
    </row>
    <row r="2478" spans="1:10" ht="15" x14ac:dyDescent="0.2">
      <c r="A2478" s="486" t="s">
        <v>705</v>
      </c>
      <c r="B2478" s="487" t="s">
        <v>704</v>
      </c>
      <c r="C2478" s="488" t="s">
        <v>8848</v>
      </c>
      <c r="D2478" s="489" t="s">
        <v>8849</v>
      </c>
      <c r="E2478" s="487" t="s">
        <v>8850</v>
      </c>
      <c r="F2478" s="490">
        <v>14165</v>
      </c>
      <c r="G2478" s="489">
        <v>226.7</v>
      </c>
      <c r="H2478" s="489">
        <v>62.483460000000001</v>
      </c>
      <c r="I2478" s="487" t="s">
        <v>1499</v>
      </c>
      <c r="J2478" s="487" t="s">
        <v>706</v>
      </c>
    </row>
    <row r="2479" spans="1:10" ht="15" x14ac:dyDescent="0.2">
      <c r="A2479" s="486" t="s">
        <v>705</v>
      </c>
      <c r="B2479" s="487" t="s">
        <v>704</v>
      </c>
      <c r="C2479" s="488" t="s">
        <v>8851</v>
      </c>
      <c r="D2479" s="489" t="s">
        <v>8852</v>
      </c>
      <c r="E2479" s="487" t="s">
        <v>8853</v>
      </c>
      <c r="F2479" s="490">
        <v>3000</v>
      </c>
      <c r="G2479" s="489">
        <v>64.8</v>
      </c>
      <c r="H2479" s="489">
        <v>46.296300000000002</v>
      </c>
      <c r="I2479" s="487" t="s">
        <v>1499</v>
      </c>
      <c r="J2479" s="487" t="s">
        <v>706</v>
      </c>
    </row>
    <row r="2480" spans="1:10" ht="15" x14ac:dyDescent="0.2">
      <c r="A2480" s="486" t="s">
        <v>705</v>
      </c>
      <c r="B2480" s="487" t="s">
        <v>704</v>
      </c>
      <c r="C2480" s="488" t="s">
        <v>8854</v>
      </c>
      <c r="D2480" s="489" t="s">
        <v>8855</v>
      </c>
      <c r="E2480" s="487" t="s">
        <v>8856</v>
      </c>
      <c r="F2480" s="490">
        <v>70440</v>
      </c>
      <c r="G2480" s="489">
        <v>582.1</v>
      </c>
      <c r="H2480" s="489">
        <v>121.01014000000001</v>
      </c>
      <c r="I2480" s="487" t="s">
        <v>1499</v>
      </c>
      <c r="J2480" s="487" t="s">
        <v>706</v>
      </c>
    </row>
    <row r="2481" spans="1:10" ht="15" x14ac:dyDescent="0.2">
      <c r="A2481" s="486" t="s">
        <v>705</v>
      </c>
      <c r="B2481" s="487" t="s">
        <v>704</v>
      </c>
      <c r="C2481" s="488" t="s">
        <v>8857</v>
      </c>
      <c r="D2481" s="489" t="s">
        <v>8858</v>
      </c>
      <c r="E2481" s="487" t="s">
        <v>8859</v>
      </c>
      <c r="F2481" s="490">
        <v>6000</v>
      </c>
      <c r="G2481" s="489">
        <v>113.5</v>
      </c>
      <c r="H2481" s="489">
        <v>52.863439999999997</v>
      </c>
      <c r="I2481" s="487" t="s">
        <v>1499</v>
      </c>
      <c r="J2481" s="487" t="s">
        <v>706</v>
      </c>
    </row>
    <row r="2482" spans="1:10" ht="15" x14ac:dyDescent="0.2">
      <c r="A2482" s="486" t="s">
        <v>705</v>
      </c>
      <c r="B2482" s="487" t="s">
        <v>704</v>
      </c>
      <c r="C2482" s="488" t="s">
        <v>8860</v>
      </c>
      <c r="D2482" s="489" t="s">
        <v>8861</v>
      </c>
      <c r="E2482" s="487" t="s">
        <v>8862</v>
      </c>
      <c r="F2482" s="490">
        <v>11500</v>
      </c>
      <c r="G2482" s="489">
        <v>275.3</v>
      </c>
      <c r="H2482" s="489">
        <v>41.77261</v>
      </c>
      <c r="I2482" s="487" t="s">
        <v>1499</v>
      </c>
      <c r="J2482" s="487" t="s">
        <v>706</v>
      </c>
    </row>
    <row r="2483" spans="1:10" ht="15" x14ac:dyDescent="0.2">
      <c r="A2483" s="486" t="s">
        <v>705</v>
      </c>
      <c r="B2483" s="487" t="s">
        <v>704</v>
      </c>
      <c r="C2483" s="488" t="s">
        <v>8863</v>
      </c>
      <c r="D2483" s="489" t="s">
        <v>8864</v>
      </c>
      <c r="E2483" s="487" t="s">
        <v>8865</v>
      </c>
      <c r="F2483" s="490">
        <v>108773</v>
      </c>
      <c r="G2483" s="489">
        <v>4216.7</v>
      </c>
      <c r="H2483" s="489">
        <v>25.795760000000001</v>
      </c>
      <c r="I2483" s="487" t="s">
        <v>1499</v>
      </c>
      <c r="J2483" s="487" t="s">
        <v>706</v>
      </c>
    </row>
    <row r="2484" spans="1:10" ht="15" x14ac:dyDescent="0.2">
      <c r="A2484" s="486" t="s">
        <v>705</v>
      </c>
      <c r="B2484" s="487" t="s">
        <v>704</v>
      </c>
      <c r="C2484" s="488" t="s">
        <v>8866</v>
      </c>
      <c r="D2484" s="489" t="s">
        <v>8867</v>
      </c>
      <c r="E2484" s="487" t="s">
        <v>8868</v>
      </c>
      <c r="F2484" s="490">
        <v>160000</v>
      </c>
      <c r="G2484" s="489">
        <v>1150</v>
      </c>
      <c r="H2484" s="489">
        <v>139.13042999999999</v>
      </c>
      <c r="I2484" s="487" t="s">
        <v>1499</v>
      </c>
      <c r="J2484" s="487" t="s">
        <v>706</v>
      </c>
    </row>
    <row r="2485" spans="1:10" ht="15" x14ac:dyDescent="0.2">
      <c r="A2485" s="486" t="s">
        <v>705</v>
      </c>
      <c r="B2485" s="487" t="s">
        <v>704</v>
      </c>
      <c r="C2485" s="488" t="s">
        <v>8869</v>
      </c>
      <c r="D2485" s="489" t="s">
        <v>8870</v>
      </c>
      <c r="E2485" s="487" t="s">
        <v>8871</v>
      </c>
      <c r="F2485" s="490">
        <v>24552.14</v>
      </c>
      <c r="G2485" s="489">
        <v>631.29999999999995</v>
      </c>
      <c r="H2485" s="489">
        <v>38.891399999999997</v>
      </c>
      <c r="I2485" s="487" t="s">
        <v>2465</v>
      </c>
      <c r="J2485" s="487" t="s">
        <v>706</v>
      </c>
    </row>
    <row r="2486" spans="1:10" ht="15" x14ac:dyDescent="0.2">
      <c r="A2486" s="486" t="s">
        <v>705</v>
      </c>
      <c r="B2486" s="487" t="s">
        <v>704</v>
      </c>
      <c r="C2486" s="488" t="s">
        <v>8872</v>
      </c>
      <c r="D2486" s="489" t="s">
        <v>8873</v>
      </c>
      <c r="E2486" s="487" t="s">
        <v>8874</v>
      </c>
      <c r="F2486" s="490">
        <v>0</v>
      </c>
      <c r="G2486" s="489">
        <v>51.3</v>
      </c>
      <c r="H2486" s="489">
        <v>0</v>
      </c>
      <c r="I2486" s="487" t="s">
        <v>1593</v>
      </c>
      <c r="J2486" s="487" t="s">
        <v>706</v>
      </c>
    </row>
    <row r="2487" spans="1:10" ht="15" x14ac:dyDescent="0.2">
      <c r="A2487" s="486" t="s">
        <v>705</v>
      </c>
      <c r="B2487" s="487" t="s">
        <v>704</v>
      </c>
      <c r="C2487" s="488" t="s">
        <v>8875</v>
      </c>
      <c r="D2487" s="489" t="s">
        <v>8876</v>
      </c>
      <c r="E2487" s="487" t="s">
        <v>8877</v>
      </c>
      <c r="F2487" s="490">
        <v>5500</v>
      </c>
      <c r="G2487" s="489">
        <v>152.1</v>
      </c>
      <c r="H2487" s="489">
        <v>36.160420000000002</v>
      </c>
      <c r="I2487" s="487" t="s">
        <v>1499</v>
      </c>
      <c r="J2487" s="487" t="s">
        <v>706</v>
      </c>
    </row>
    <row r="2488" spans="1:10" ht="15" x14ac:dyDescent="0.2">
      <c r="A2488" s="486" t="s">
        <v>705</v>
      </c>
      <c r="B2488" s="487" t="s">
        <v>704</v>
      </c>
      <c r="C2488" s="488" t="s">
        <v>8878</v>
      </c>
      <c r="D2488" s="489" t="s">
        <v>8879</v>
      </c>
      <c r="E2488" s="487" t="s">
        <v>8880</v>
      </c>
      <c r="F2488" s="490">
        <v>0</v>
      </c>
      <c r="G2488" s="489">
        <v>0</v>
      </c>
      <c r="H2488" s="489">
        <v>0</v>
      </c>
      <c r="I2488" s="487" t="s">
        <v>2465</v>
      </c>
      <c r="J2488" s="487" t="s">
        <v>706</v>
      </c>
    </row>
    <row r="2489" spans="1:10" ht="15" x14ac:dyDescent="0.2">
      <c r="A2489" s="486" t="s">
        <v>705</v>
      </c>
      <c r="B2489" s="487" t="s">
        <v>704</v>
      </c>
      <c r="C2489" s="488" t="s">
        <v>8881</v>
      </c>
      <c r="D2489" s="489" t="s">
        <v>8882</v>
      </c>
      <c r="E2489" s="487" t="s">
        <v>8883</v>
      </c>
      <c r="F2489" s="490">
        <v>0</v>
      </c>
      <c r="G2489" s="489">
        <v>0</v>
      </c>
      <c r="H2489" s="489">
        <v>0</v>
      </c>
      <c r="I2489" s="487" t="s">
        <v>2465</v>
      </c>
      <c r="J2489" s="487" t="s">
        <v>706</v>
      </c>
    </row>
    <row r="2490" spans="1:10" ht="15" x14ac:dyDescent="0.2">
      <c r="A2490" s="486" t="s">
        <v>705</v>
      </c>
      <c r="B2490" s="487" t="s">
        <v>704</v>
      </c>
      <c r="C2490" s="488" t="s">
        <v>8884</v>
      </c>
      <c r="D2490" s="489" t="s">
        <v>8885</v>
      </c>
      <c r="E2490" s="487" t="s">
        <v>8886</v>
      </c>
      <c r="F2490" s="490">
        <v>0</v>
      </c>
      <c r="G2490" s="489">
        <v>24.1</v>
      </c>
      <c r="H2490" s="489">
        <v>0</v>
      </c>
      <c r="I2490" s="487" t="s">
        <v>1593</v>
      </c>
      <c r="J2490" s="487" t="s">
        <v>706</v>
      </c>
    </row>
    <row r="2491" spans="1:10" ht="15" x14ac:dyDescent="0.2">
      <c r="A2491" s="486" t="s">
        <v>705</v>
      </c>
      <c r="B2491" s="487" t="s">
        <v>704</v>
      </c>
      <c r="C2491" s="488" t="s">
        <v>8887</v>
      </c>
      <c r="D2491" s="489" t="s">
        <v>8888</v>
      </c>
      <c r="E2491" s="487" t="s">
        <v>8889</v>
      </c>
      <c r="F2491" s="490">
        <v>13381.5</v>
      </c>
      <c r="G2491" s="489">
        <v>303.3</v>
      </c>
      <c r="H2491" s="489">
        <v>44.119680000000002</v>
      </c>
      <c r="I2491" s="487" t="s">
        <v>1499</v>
      </c>
      <c r="J2491" s="487" t="s">
        <v>706</v>
      </c>
    </row>
    <row r="2492" spans="1:10" ht="15" x14ac:dyDescent="0.2">
      <c r="A2492" s="486" t="s">
        <v>705</v>
      </c>
      <c r="B2492" s="487" t="s">
        <v>704</v>
      </c>
      <c r="C2492" s="488" t="s">
        <v>8890</v>
      </c>
      <c r="D2492" s="489" t="s">
        <v>8891</v>
      </c>
      <c r="E2492" s="487" t="s">
        <v>8892</v>
      </c>
      <c r="F2492" s="490">
        <v>17660</v>
      </c>
      <c r="G2492" s="489">
        <v>265.7</v>
      </c>
      <c r="H2492" s="489">
        <v>66.465940000000003</v>
      </c>
      <c r="I2492" s="487" t="s">
        <v>1499</v>
      </c>
      <c r="J2492" s="487" t="s">
        <v>706</v>
      </c>
    </row>
    <row r="2493" spans="1:10" ht="15" x14ac:dyDescent="0.2">
      <c r="A2493" s="486" t="s">
        <v>705</v>
      </c>
      <c r="B2493" s="487" t="s">
        <v>704</v>
      </c>
      <c r="C2493" s="488" t="s">
        <v>8893</v>
      </c>
      <c r="D2493" s="489" t="s">
        <v>8894</v>
      </c>
      <c r="E2493" s="487" t="s">
        <v>8895</v>
      </c>
      <c r="F2493" s="490">
        <v>10220.17</v>
      </c>
      <c r="G2493" s="489">
        <v>196.5</v>
      </c>
      <c r="H2493" s="489">
        <v>52.011040000000001</v>
      </c>
      <c r="I2493" s="487" t="s">
        <v>1499</v>
      </c>
      <c r="J2493" s="487" t="s">
        <v>706</v>
      </c>
    </row>
    <row r="2494" spans="1:10" ht="15" x14ac:dyDescent="0.2">
      <c r="A2494" s="486" t="s">
        <v>705</v>
      </c>
      <c r="B2494" s="487" t="s">
        <v>704</v>
      </c>
      <c r="C2494" s="488" t="s">
        <v>8896</v>
      </c>
      <c r="D2494" s="489" t="s">
        <v>8897</v>
      </c>
      <c r="E2494" s="487" t="s">
        <v>8898</v>
      </c>
      <c r="F2494" s="490">
        <v>13200</v>
      </c>
      <c r="G2494" s="489">
        <v>272</v>
      </c>
      <c r="H2494" s="489">
        <v>48.529409999999999</v>
      </c>
      <c r="I2494" s="487" t="s">
        <v>1499</v>
      </c>
      <c r="J2494" s="487" t="s">
        <v>706</v>
      </c>
    </row>
    <row r="2495" spans="1:10" ht="15" x14ac:dyDescent="0.2">
      <c r="A2495" s="486" t="s">
        <v>705</v>
      </c>
      <c r="B2495" s="487" t="s">
        <v>704</v>
      </c>
      <c r="C2495" s="488" t="s">
        <v>8899</v>
      </c>
      <c r="D2495" s="489" t="s">
        <v>8900</v>
      </c>
      <c r="E2495" s="487" t="s">
        <v>8901</v>
      </c>
      <c r="F2495" s="490">
        <v>55857.25</v>
      </c>
      <c r="G2495" s="489">
        <v>364.6</v>
      </c>
      <c r="H2495" s="489">
        <v>153.20144999999999</v>
      </c>
      <c r="I2495" s="487" t="s">
        <v>1499</v>
      </c>
      <c r="J2495" s="487" t="s">
        <v>706</v>
      </c>
    </row>
    <row r="2496" spans="1:10" ht="15" x14ac:dyDescent="0.2">
      <c r="A2496" s="486" t="s">
        <v>705</v>
      </c>
      <c r="B2496" s="487" t="s">
        <v>704</v>
      </c>
      <c r="C2496" s="488" t="s">
        <v>8902</v>
      </c>
      <c r="D2496" s="489" t="s">
        <v>8903</v>
      </c>
      <c r="E2496" s="487" t="s">
        <v>8904</v>
      </c>
      <c r="F2496" s="490">
        <v>65000</v>
      </c>
      <c r="G2496" s="489">
        <v>844</v>
      </c>
      <c r="H2496" s="489">
        <v>77.014219999999995</v>
      </c>
      <c r="I2496" s="487" t="s">
        <v>1499</v>
      </c>
      <c r="J2496" s="487" t="s">
        <v>706</v>
      </c>
    </row>
    <row r="2497" spans="1:10" ht="15" x14ac:dyDescent="0.2">
      <c r="A2497" s="486" t="s">
        <v>705</v>
      </c>
      <c r="B2497" s="487" t="s">
        <v>704</v>
      </c>
      <c r="C2497" s="488" t="s">
        <v>8905</v>
      </c>
      <c r="D2497" s="489" t="s">
        <v>8906</v>
      </c>
      <c r="E2497" s="487" t="s">
        <v>8907</v>
      </c>
      <c r="F2497" s="490">
        <v>458176</v>
      </c>
      <c r="G2497" s="489">
        <v>1678.9</v>
      </c>
      <c r="H2497" s="489">
        <v>272.90249999999997</v>
      </c>
      <c r="I2497" s="487" t="s">
        <v>1499</v>
      </c>
      <c r="J2497" s="487" t="s">
        <v>706</v>
      </c>
    </row>
    <row r="2498" spans="1:10" ht="15" x14ac:dyDescent="0.2">
      <c r="A2498" s="486" t="s">
        <v>705</v>
      </c>
      <c r="B2498" s="487" t="s">
        <v>704</v>
      </c>
      <c r="C2498" s="488" t="s">
        <v>8908</v>
      </c>
      <c r="D2498" s="489" t="s">
        <v>8909</v>
      </c>
      <c r="E2498" s="487" t="s">
        <v>8910</v>
      </c>
      <c r="F2498" s="490">
        <v>3000</v>
      </c>
      <c r="G2498" s="489">
        <v>107.5</v>
      </c>
      <c r="H2498" s="489">
        <v>27.906980000000001</v>
      </c>
      <c r="I2498" s="487" t="s">
        <v>1499</v>
      </c>
      <c r="J2498" s="487" t="s">
        <v>706</v>
      </c>
    </row>
    <row r="2499" spans="1:10" ht="15" x14ac:dyDescent="0.2">
      <c r="A2499" s="486" t="s">
        <v>705</v>
      </c>
      <c r="B2499" s="487" t="s">
        <v>704</v>
      </c>
      <c r="C2499" s="488" t="s">
        <v>8911</v>
      </c>
      <c r="D2499" s="489" t="s">
        <v>8912</v>
      </c>
      <c r="E2499" s="487" t="s">
        <v>8913</v>
      </c>
      <c r="F2499" s="490">
        <v>1085000</v>
      </c>
      <c r="G2499" s="489">
        <v>5745.1</v>
      </c>
      <c r="H2499" s="489">
        <v>188.85659000000001</v>
      </c>
      <c r="I2499" s="487" t="s">
        <v>1499</v>
      </c>
      <c r="J2499" s="487" t="s">
        <v>706</v>
      </c>
    </row>
    <row r="2500" spans="1:10" ht="15" x14ac:dyDescent="0.2">
      <c r="A2500" s="486" t="s">
        <v>705</v>
      </c>
      <c r="B2500" s="487" t="s">
        <v>704</v>
      </c>
      <c r="C2500" s="488" t="s">
        <v>8914</v>
      </c>
      <c r="D2500" s="489" t="s">
        <v>8915</v>
      </c>
      <c r="E2500" s="487" t="s">
        <v>8916</v>
      </c>
      <c r="F2500" s="490">
        <v>0</v>
      </c>
      <c r="G2500" s="489">
        <v>0</v>
      </c>
      <c r="H2500" s="489">
        <v>0</v>
      </c>
      <c r="I2500" s="487" t="s">
        <v>2465</v>
      </c>
      <c r="J2500" s="487" t="s">
        <v>706</v>
      </c>
    </row>
    <row r="2501" spans="1:10" ht="15" x14ac:dyDescent="0.2">
      <c r="A2501" s="486" t="s">
        <v>705</v>
      </c>
      <c r="B2501" s="487" t="s">
        <v>704</v>
      </c>
      <c r="C2501" s="488" t="s">
        <v>8917</v>
      </c>
      <c r="D2501" s="489" t="s">
        <v>8918</v>
      </c>
      <c r="E2501" s="487" t="s">
        <v>8919</v>
      </c>
      <c r="F2501" s="490">
        <v>11700</v>
      </c>
      <c r="G2501" s="489">
        <v>224.6</v>
      </c>
      <c r="H2501" s="489">
        <v>52.092610000000001</v>
      </c>
      <c r="I2501" s="487" t="s">
        <v>1499</v>
      </c>
      <c r="J2501" s="487" t="s">
        <v>706</v>
      </c>
    </row>
    <row r="2502" spans="1:10" ht="15" x14ac:dyDescent="0.2">
      <c r="A2502" s="486" t="s">
        <v>705</v>
      </c>
      <c r="B2502" s="487" t="s">
        <v>704</v>
      </c>
      <c r="C2502" s="488" t="s">
        <v>8920</v>
      </c>
      <c r="D2502" s="489" t="s">
        <v>8921</v>
      </c>
      <c r="E2502" s="487" t="s">
        <v>8922</v>
      </c>
      <c r="F2502" s="490">
        <v>22123</v>
      </c>
      <c r="G2502" s="489">
        <v>537.1</v>
      </c>
      <c r="H2502" s="489">
        <v>41.189720000000001</v>
      </c>
      <c r="I2502" s="487" t="s">
        <v>1499</v>
      </c>
      <c r="J2502" s="487" t="s">
        <v>706</v>
      </c>
    </row>
    <row r="2503" spans="1:10" ht="15" x14ac:dyDescent="0.2">
      <c r="A2503" s="486" t="s">
        <v>705</v>
      </c>
      <c r="B2503" s="487" t="s">
        <v>704</v>
      </c>
      <c r="C2503" s="488" t="s">
        <v>8923</v>
      </c>
      <c r="D2503" s="489" t="s">
        <v>8924</v>
      </c>
      <c r="E2503" s="487" t="s">
        <v>8925</v>
      </c>
      <c r="F2503" s="490">
        <v>235.22</v>
      </c>
      <c r="G2503" s="489">
        <v>8.6</v>
      </c>
      <c r="H2503" s="489">
        <v>27.35116</v>
      </c>
      <c r="I2503" s="487" t="s">
        <v>1499</v>
      </c>
      <c r="J2503" s="487" t="s">
        <v>706</v>
      </c>
    </row>
    <row r="2504" spans="1:10" ht="15" x14ac:dyDescent="0.2">
      <c r="A2504" s="486" t="s">
        <v>705</v>
      </c>
      <c r="B2504" s="487" t="s">
        <v>704</v>
      </c>
      <c r="C2504" s="488" t="s">
        <v>8926</v>
      </c>
      <c r="D2504" s="489" t="s">
        <v>8927</v>
      </c>
      <c r="E2504" s="487" t="s">
        <v>8928</v>
      </c>
      <c r="F2504" s="490">
        <v>3100</v>
      </c>
      <c r="G2504" s="489">
        <v>149.9</v>
      </c>
      <c r="H2504" s="489">
        <v>20.68045</v>
      </c>
      <c r="I2504" s="487" t="s">
        <v>1499</v>
      </c>
      <c r="J2504" s="487" t="s">
        <v>706</v>
      </c>
    </row>
    <row r="2505" spans="1:10" ht="15" x14ac:dyDescent="0.2">
      <c r="A2505" s="486" t="s">
        <v>705</v>
      </c>
      <c r="B2505" s="487" t="s">
        <v>704</v>
      </c>
      <c r="C2505" s="488" t="s">
        <v>8929</v>
      </c>
      <c r="D2505" s="489" t="s">
        <v>8930</v>
      </c>
      <c r="E2505" s="487" t="s">
        <v>8931</v>
      </c>
      <c r="F2505" s="490">
        <v>800</v>
      </c>
      <c r="G2505" s="489">
        <v>88.3</v>
      </c>
      <c r="H2505" s="489">
        <v>9.0600199999999997</v>
      </c>
      <c r="I2505" s="487" t="s">
        <v>1499</v>
      </c>
      <c r="J2505" s="487" t="s">
        <v>706</v>
      </c>
    </row>
    <row r="2506" spans="1:10" ht="15" x14ac:dyDescent="0.2">
      <c r="A2506" s="486" t="s">
        <v>705</v>
      </c>
      <c r="B2506" s="487" t="s">
        <v>704</v>
      </c>
      <c r="C2506" s="488" t="s">
        <v>8932</v>
      </c>
      <c r="D2506" s="489" t="s">
        <v>8933</v>
      </c>
      <c r="E2506" s="487" t="s">
        <v>8934</v>
      </c>
      <c r="F2506" s="490">
        <v>4036.98</v>
      </c>
      <c r="G2506" s="489">
        <v>147.6</v>
      </c>
      <c r="H2506" s="489">
        <v>27.350809999999999</v>
      </c>
      <c r="I2506" s="487" t="s">
        <v>1499</v>
      </c>
      <c r="J2506" s="487" t="s">
        <v>706</v>
      </c>
    </row>
    <row r="2507" spans="1:10" ht="15" x14ac:dyDescent="0.2">
      <c r="A2507" s="486" t="s">
        <v>705</v>
      </c>
      <c r="B2507" s="487" t="s">
        <v>704</v>
      </c>
      <c r="C2507" s="488" t="s">
        <v>8935</v>
      </c>
      <c r="D2507" s="489" t="s">
        <v>8936</v>
      </c>
      <c r="E2507" s="487" t="s">
        <v>8937</v>
      </c>
      <c r="F2507" s="490">
        <v>2927.57</v>
      </c>
      <c r="G2507" s="489">
        <v>132.1</v>
      </c>
      <c r="H2507" s="489">
        <v>22.161770000000001</v>
      </c>
      <c r="I2507" s="487" t="s">
        <v>1499</v>
      </c>
      <c r="J2507" s="487" t="s">
        <v>706</v>
      </c>
    </row>
    <row r="2508" spans="1:10" ht="15" x14ac:dyDescent="0.2">
      <c r="A2508" s="486" t="s">
        <v>705</v>
      </c>
      <c r="B2508" s="487" t="s">
        <v>704</v>
      </c>
      <c r="C2508" s="488" t="s">
        <v>8938</v>
      </c>
      <c r="D2508" s="489" t="s">
        <v>8939</v>
      </c>
      <c r="E2508" s="487" t="s">
        <v>8940</v>
      </c>
      <c r="F2508" s="490">
        <v>8964.43</v>
      </c>
      <c r="G2508" s="489">
        <v>404.5</v>
      </c>
      <c r="H2508" s="489">
        <v>22.161760000000001</v>
      </c>
      <c r="I2508" s="487" t="s">
        <v>1499</v>
      </c>
      <c r="J2508" s="487" t="s">
        <v>706</v>
      </c>
    </row>
    <row r="2509" spans="1:10" ht="15" x14ac:dyDescent="0.2">
      <c r="A2509" s="486" t="s">
        <v>705</v>
      </c>
      <c r="B2509" s="487" t="s">
        <v>704</v>
      </c>
      <c r="C2509" s="488" t="s">
        <v>8941</v>
      </c>
      <c r="D2509" s="489" t="s">
        <v>8942</v>
      </c>
      <c r="E2509" s="487" t="s">
        <v>8943</v>
      </c>
      <c r="F2509" s="490">
        <v>451.29</v>
      </c>
      <c r="G2509" s="489">
        <v>16.5</v>
      </c>
      <c r="H2509" s="489">
        <v>27.350909999999999</v>
      </c>
      <c r="I2509" s="487" t="s">
        <v>1499</v>
      </c>
      <c r="J2509" s="487" t="s">
        <v>706</v>
      </c>
    </row>
    <row r="2510" spans="1:10" ht="15" x14ac:dyDescent="0.2">
      <c r="A2510" s="486" t="s">
        <v>705</v>
      </c>
      <c r="B2510" s="487" t="s">
        <v>704</v>
      </c>
      <c r="C2510" s="488" t="s">
        <v>8944</v>
      </c>
      <c r="D2510" s="489" t="s">
        <v>8945</v>
      </c>
      <c r="E2510" s="487" t="s">
        <v>8946</v>
      </c>
      <c r="F2510" s="490">
        <v>1326.51</v>
      </c>
      <c r="G2510" s="489">
        <v>48.5</v>
      </c>
      <c r="H2510" s="489">
        <v>27.350719999999999</v>
      </c>
      <c r="I2510" s="487" t="s">
        <v>1499</v>
      </c>
      <c r="J2510" s="487" t="s">
        <v>706</v>
      </c>
    </row>
    <row r="2511" spans="1:10" ht="15" x14ac:dyDescent="0.2">
      <c r="A2511" s="486" t="s">
        <v>705</v>
      </c>
      <c r="B2511" s="487" t="s">
        <v>704</v>
      </c>
      <c r="C2511" s="488" t="s">
        <v>8947</v>
      </c>
      <c r="D2511" s="489" t="s">
        <v>8948</v>
      </c>
      <c r="E2511" s="487" t="s">
        <v>8949</v>
      </c>
      <c r="F2511" s="490">
        <v>12296</v>
      </c>
      <c r="G2511" s="489">
        <v>340.9</v>
      </c>
      <c r="H2511" s="489">
        <v>36.069229999999997</v>
      </c>
      <c r="I2511" s="487" t="s">
        <v>1499</v>
      </c>
      <c r="J2511" s="487" t="s">
        <v>706</v>
      </c>
    </row>
    <row r="2512" spans="1:10" ht="15" x14ac:dyDescent="0.2">
      <c r="A2512" s="486" t="s">
        <v>705</v>
      </c>
      <c r="B2512" s="487" t="s">
        <v>704</v>
      </c>
      <c r="C2512" s="488" t="s">
        <v>8950</v>
      </c>
      <c r="D2512" s="489" t="s">
        <v>8951</v>
      </c>
      <c r="E2512" s="487" t="s">
        <v>8952</v>
      </c>
      <c r="F2512" s="490">
        <v>0</v>
      </c>
      <c r="G2512" s="489">
        <v>0</v>
      </c>
      <c r="H2512" s="489">
        <v>0</v>
      </c>
      <c r="I2512" s="487" t="s">
        <v>2465</v>
      </c>
      <c r="J2512" s="487" t="s">
        <v>706</v>
      </c>
    </row>
    <row r="2513" spans="1:10" ht="15" x14ac:dyDescent="0.2">
      <c r="A2513" s="486" t="s">
        <v>705</v>
      </c>
      <c r="B2513" s="487" t="s">
        <v>704</v>
      </c>
      <c r="C2513" s="488" t="s">
        <v>8953</v>
      </c>
      <c r="D2513" s="489" t="s">
        <v>8954</v>
      </c>
      <c r="E2513" s="487" t="s">
        <v>8955</v>
      </c>
      <c r="F2513" s="490">
        <v>3887.34</v>
      </c>
      <c r="G2513" s="489">
        <v>89.8</v>
      </c>
      <c r="H2513" s="489">
        <v>43.28886</v>
      </c>
      <c r="I2513" s="487" t="s">
        <v>1499</v>
      </c>
      <c r="J2513" s="487" t="s">
        <v>706</v>
      </c>
    </row>
    <row r="2514" spans="1:10" ht="15" x14ac:dyDescent="0.2">
      <c r="A2514" s="486" t="s">
        <v>705</v>
      </c>
      <c r="B2514" s="487" t="s">
        <v>704</v>
      </c>
      <c r="C2514" s="488" t="s">
        <v>8956</v>
      </c>
      <c r="D2514" s="489" t="s">
        <v>8957</v>
      </c>
      <c r="E2514" s="487" t="s">
        <v>8958</v>
      </c>
      <c r="F2514" s="490">
        <v>4810.4799999999996</v>
      </c>
      <c r="G2514" s="489">
        <v>78.5</v>
      </c>
      <c r="H2514" s="489">
        <v>61.28</v>
      </c>
      <c r="I2514" s="487" t="s">
        <v>1499</v>
      </c>
      <c r="J2514" s="487" t="s">
        <v>706</v>
      </c>
    </row>
    <row r="2515" spans="1:10" ht="15" x14ac:dyDescent="0.2">
      <c r="A2515" s="486" t="s">
        <v>705</v>
      </c>
      <c r="B2515" s="487" t="s">
        <v>704</v>
      </c>
      <c r="C2515" s="488" t="s">
        <v>8959</v>
      </c>
      <c r="D2515" s="489" t="s">
        <v>8960</v>
      </c>
      <c r="E2515" s="487" t="s">
        <v>8961</v>
      </c>
      <c r="F2515" s="490">
        <v>0</v>
      </c>
      <c r="G2515" s="489">
        <v>0</v>
      </c>
      <c r="H2515" s="489">
        <v>0</v>
      </c>
      <c r="I2515" s="487" t="s">
        <v>2465</v>
      </c>
      <c r="J2515" s="487" t="s">
        <v>706</v>
      </c>
    </row>
    <row r="2516" spans="1:10" ht="15" x14ac:dyDescent="0.2">
      <c r="A2516" s="486" t="s">
        <v>705</v>
      </c>
      <c r="B2516" s="487" t="s">
        <v>704</v>
      </c>
      <c r="C2516" s="488" t="s">
        <v>8962</v>
      </c>
      <c r="D2516" s="489" t="s">
        <v>8963</v>
      </c>
      <c r="E2516" s="487" t="s">
        <v>8964</v>
      </c>
      <c r="F2516" s="490">
        <v>9850</v>
      </c>
      <c r="G2516" s="489">
        <v>178.7</v>
      </c>
      <c r="H2516" s="489">
        <v>55.120310000000003</v>
      </c>
      <c r="I2516" s="487" t="s">
        <v>1499</v>
      </c>
      <c r="J2516" s="487" t="s">
        <v>706</v>
      </c>
    </row>
    <row r="2517" spans="1:10" ht="15" x14ac:dyDescent="0.2">
      <c r="A2517" s="486" t="s">
        <v>705</v>
      </c>
      <c r="B2517" s="487" t="s">
        <v>704</v>
      </c>
      <c r="C2517" s="488" t="s">
        <v>8965</v>
      </c>
      <c r="D2517" s="489" t="s">
        <v>8966</v>
      </c>
      <c r="E2517" s="487" t="s">
        <v>8967</v>
      </c>
      <c r="F2517" s="490">
        <v>0</v>
      </c>
      <c r="G2517" s="489">
        <v>0</v>
      </c>
      <c r="H2517" s="489">
        <v>0</v>
      </c>
      <c r="I2517" s="487" t="s">
        <v>2465</v>
      </c>
      <c r="J2517" s="487" t="s">
        <v>706</v>
      </c>
    </row>
    <row r="2518" spans="1:10" ht="15" x14ac:dyDescent="0.2">
      <c r="A2518" s="486" t="s">
        <v>705</v>
      </c>
      <c r="B2518" s="487" t="s">
        <v>704</v>
      </c>
      <c r="C2518" s="488" t="s">
        <v>8968</v>
      </c>
      <c r="D2518" s="489" t="s">
        <v>8969</v>
      </c>
      <c r="E2518" s="487" t="s">
        <v>8970</v>
      </c>
      <c r="F2518" s="490">
        <v>0</v>
      </c>
      <c r="G2518" s="489">
        <v>0</v>
      </c>
      <c r="H2518" s="489">
        <v>0</v>
      </c>
      <c r="I2518" s="487" t="s">
        <v>2465</v>
      </c>
      <c r="J2518" s="487" t="s">
        <v>706</v>
      </c>
    </row>
    <row r="2519" spans="1:10" ht="15" x14ac:dyDescent="0.2">
      <c r="A2519" s="486" t="s">
        <v>705</v>
      </c>
      <c r="B2519" s="487" t="s">
        <v>704</v>
      </c>
      <c r="C2519" s="488" t="s">
        <v>8971</v>
      </c>
      <c r="D2519" s="489" t="s">
        <v>8972</v>
      </c>
      <c r="E2519" s="487" t="s">
        <v>8973</v>
      </c>
      <c r="F2519" s="490">
        <v>0</v>
      </c>
      <c r="G2519" s="489">
        <v>24.7</v>
      </c>
      <c r="H2519" s="489">
        <v>0</v>
      </c>
      <c r="I2519" s="487" t="s">
        <v>1593</v>
      </c>
      <c r="J2519" s="487" t="s">
        <v>706</v>
      </c>
    </row>
    <row r="2520" spans="1:10" ht="15" x14ac:dyDescent="0.2">
      <c r="A2520" s="486" t="s">
        <v>705</v>
      </c>
      <c r="B2520" s="487" t="s">
        <v>704</v>
      </c>
      <c r="C2520" s="488" t="s">
        <v>8974</v>
      </c>
      <c r="D2520" s="489" t="s">
        <v>8975</v>
      </c>
      <c r="E2520" s="487" t="s">
        <v>8976</v>
      </c>
      <c r="F2520" s="490">
        <v>0</v>
      </c>
      <c r="G2520" s="489">
        <v>0</v>
      </c>
      <c r="H2520" s="489">
        <v>0</v>
      </c>
      <c r="I2520" s="487" t="s">
        <v>2465</v>
      </c>
      <c r="J2520" s="487" t="s">
        <v>706</v>
      </c>
    </row>
    <row r="2521" spans="1:10" ht="15" x14ac:dyDescent="0.2">
      <c r="A2521" s="486" t="s">
        <v>705</v>
      </c>
      <c r="B2521" s="487" t="s">
        <v>704</v>
      </c>
      <c r="C2521" s="488" t="s">
        <v>8977</v>
      </c>
      <c r="D2521" s="489" t="s">
        <v>8978</v>
      </c>
      <c r="E2521" s="487" t="s">
        <v>8979</v>
      </c>
      <c r="F2521" s="490">
        <v>415940</v>
      </c>
      <c r="G2521" s="489">
        <v>6417.9</v>
      </c>
      <c r="H2521" s="489">
        <v>64.809359999999998</v>
      </c>
      <c r="I2521" s="487" t="s">
        <v>1499</v>
      </c>
      <c r="J2521" s="487" t="s">
        <v>706</v>
      </c>
    </row>
    <row r="2522" spans="1:10" ht="15" x14ac:dyDescent="0.2">
      <c r="A2522" s="486" t="s">
        <v>705</v>
      </c>
      <c r="B2522" s="487" t="s">
        <v>704</v>
      </c>
      <c r="C2522" s="488" t="s">
        <v>8980</v>
      </c>
      <c r="D2522" s="489" t="s">
        <v>8981</v>
      </c>
      <c r="E2522" s="487" t="s">
        <v>8982</v>
      </c>
      <c r="F2522" s="490">
        <v>38500</v>
      </c>
      <c r="G2522" s="489">
        <v>1006.3</v>
      </c>
      <c r="H2522" s="489">
        <v>38.258969999999998</v>
      </c>
      <c r="I2522" s="487" t="s">
        <v>1499</v>
      </c>
      <c r="J2522" s="487" t="s">
        <v>706</v>
      </c>
    </row>
    <row r="2523" spans="1:10" ht="15" x14ac:dyDescent="0.2">
      <c r="A2523" s="486" t="s">
        <v>705</v>
      </c>
      <c r="B2523" s="487" t="s">
        <v>704</v>
      </c>
      <c r="C2523" s="488" t="s">
        <v>8983</v>
      </c>
      <c r="D2523" s="489" t="s">
        <v>8984</v>
      </c>
      <c r="E2523" s="487" t="s">
        <v>8985</v>
      </c>
      <c r="F2523" s="490">
        <v>562880</v>
      </c>
      <c r="G2523" s="489">
        <v>2273.8000000000002</v>
      </c>
      <c r="H2523" s="489">
        <v>247.55036000000001</v>
      </c>
      <c r="I2523" s="487" t="s">
        <v>1499</v>
      </c>
      <c r="J2523" s="487" t="s">
        <v>706</v>
      </c>
    </row>
    <row r="2524" spans="1:10" ht="15" x14ac:dyDescent="0.2">
      <c r="A2524" s="486" t="s">
        <v>705</v>
      </c>
      <c r="B2524" s="487" t="s">
        <v>704</v>
      </c>
      <c r="C2524" s="488" t="s">
        <v>8986</v>
      </c>
      <c r="D2524" s="489" t="s">
        <v>8987</v>
      </c>
      <c r="E2524" s="487" t="s">
        <v>8988</v>
      </c>
      <c r="F2524" s="490">
        <v>0</v>
      </c>
      <c r="G2524" s="489">
        <v>58.5</v>
      </c>
      <c r="H2524" s="489">
        <v>0</v>
      </c>
      <c r="I2524" s="487" t="s">
        <v>1593</v>
      </c>
      <c r="J2524" s="487" t="s">
        <v>706</v>
      </c>
    </row>
    <row r="2525" spans="1:10" ht="15" x14ac:dyDescent="0.2">
      <c r="A2525" s="486" t="s">
        <v>705</v>
      </c>
      <c r="B2525" s="487" t="s">
        <v>704</v>
      </c>
      <c r="C2525" s="488" t="s">
        <v>8989</v>
      </c>
      <c r="D2525" s="489" t="s">
        <v>8990</v>
      </c>
      <c r="E2525" s="487" t="s">
        <v>8991</v>
      </c>
      <c r="F2525" s="490">
        <v>639.24</v>
      </c>
      <c r="G2525" s="489">
        <v>17.5</v>
      </c>
      <c r="H2525" s="489">
        <v>36.527999999999999</v>
      </c>
      <c r="I2525" s="487" t="s">
        <v>1499</v>
      </c>
      <c r="J2525" s="487" t="s">
        <v>706</v>
      </c>
    </row>
    <row r="2526" spans="1:10" ht="15" x14ac:dyDescent="0.2">
      <c r="A2526" s="486" t="s">
        <v>705</v>
      </c>
      <c r="B2526" s="487" t="s">
        <v>704</v>
      </c>
      <c r="C2526" s="488" t="s">
        <v>8992</v>
      </c>
      <c r="D2526" s="489" t="s">
        <v>8993</v>
      </c>
      <c r="E2526" s="487" t="s">
        <v>8994</v>
      </c>
      <c r="F2526" s="490">
        <v>0</v>
      </c>
      <c r="G2526" s="489">
        <v>0</v>
      </c>
      <c r="H2526" s="489">
        <v>0</v>
      </c>
      <c r="I2526" s="487" t="s">
        <v>2465</v>
      </c>
      <c r="J2526" s="487" t="s">
        <v>706</v>
      </c>
    </row>
    <row r="2527" spans="1:10" ht="15" x14ac:dyDescent="0.2">
      <c r="A2527" s="486" t="s">
        <v>705</v>
      </c>
      <c r="B2527" s="487" t="s">
        <v>704</v>
      </c>
      <c r="C2527" s="488" t="s">
        <v>8995</v>
      </c>
      <c r="D2527" s="489" t="s">
        <v>8996</v>
      </c>
      <c r="E2527" s="487" t="s">
        <v>8997</v>
      </c>
      <c r="F2527" s="490">
        <v>11330.09</v>
      </c>
      <c r="G2527" s="489">
        <v>185.5</v>
      </c>
      <c r="H2527" s="489">
        <v>61.078650000000003</v>
      </c>
      <c r="I2527" s="487" t="s">
        <v>1499</v>
      </c>
      <c r="J2527" s="487" t="s">
        <v>706</v>
      </c>
    </row>
    <row r="2528" spans="1:10" ht="15" x14ac:dyDescent="0.2">
      <c r="A2528" s="486" t="s">
        <v>705</v>
      </c>
      <c r="B2528" s="487" t="s">
        <v>704</v>
      </c>
      <c r="C2528" s="488" t="s">
        <v>8998</v>
      </c>
      <c r="D2528" s="489" t="s">
        <v>8999</v>
      </c>
      <c r="E2528" s="487" t="s">
        <v>9000</v>
      </c>
      <c r="F2528" s="490">
        <v>22944.76</v>
      </c>
      <c r="G2528" s="489">
        <v>347.2</v>
      </c>
      <c r="H2528" s="489">
        <v>66.085139999999996</v>
      </c>
      <c r="I2528" s="487" t="s">
        <v>1499</v>
      </c>
      <c r="J2528" s="487" t="s">
        <v>706</v>
      </c>
    </row>
    <row r="2529" spans="1:10" ht="15" x14ac:dyDescent="0.2">
      <c r="A2529" s="486" t="s">
        <v>705</v>
      </c>
      <c r="B2529" s="487" t="s">
        <v>704</v>
      </c>
      <c r="C2529" s="488" t="s">
        <v>9001</v>
      </c>
      <c r="D2529" s="489" t="s">
        <v>9002</v>
      </c>
      <c r="E2529" s="487" t="s">
        <v>9003</v>
      </c>
      <c r="F2529" s="490">
        <v>221148</v>
      </c>
      <c r="G2529" s="489">
        <v>3113.4</v>
      </c>
      <c r="H2529" s="489">
        <v>71.031030000000001</v>
      </c>
      <c r="I2529" s="487" t="s">
        <v>1499</v>
      </c>
      <c r="J2529" s="487" t="s">
        <v>706</v>
      </c>
    </row>
    <row r="2530" spans="1:10" ht="15" x14ac:dyDescent="0.2">
      <c r="A2530" s="486" t="s">
        <v>705</v>
      </c>
      <c r="B2530" s="487" t="s">
        <v>704</v>
      </c>
      <c r="C2530" s="488" t="s">
        <v>9004</v>
      </c>
      <c r="D2530" s="489" t="s">
        <v>9005</v>
      </c>
      <c r="E2530" s="487" t="s">
        <v>9006</v>
      </c>
      <c r="F2530" s="490">
        <v>1075.81</v>
      </c>
      <c r="G2530" s="489">
        <v>35.1</v>
      </c>
      <c r="H2530" s="489">
        <v>30.64986</v>
      </c>
      <c r="I2530" s="487" t="s">
        <v>1499</v>
      </c>
      <c r="J2530" s="487" t="s">
        <v>706</v>
      </c>
    </row>
    <row r="2531" spans="1:10" ht="15" x14ac:dyDescent="0.2">
      <c r="A2531" s="486" t="s">
        <v>705</v>
      </c>
      <c r="B2531" s="487" t="s">
        <v>704</v>
      </c>
      <c r="C2531" s="488" t="s">
        <v>9007</v>
      </c>
      <c r="D2531" s="489" t="s">
        <v>9008</v>
      </c>
      <c r="E2531" s="487" t="s">
        <v>9009</v>
      </c>
      <c r="F2531" s="490">
        <v>91550</v>
      </c>
      <c r="G2531" s="489">
        <v>1801.7</v>
      </c>
      <c r="H2531" s="489">
        <v>50.813119999999998</v>
      </c>
      <c r="I2531" s="487" t="s">
        <v>1499</v>
      </c>
      <c r="J2531" s="487" t="s">
        <v>706</v>
      </c>
    </row>
    <row r="2532" spans="1:10" ht="15" x14ac:dyDescent="0.2">
      <c r="A2532" s="486" t="s">
        <v>705</v>
      </c>
      <c r="B2532" s="487" t="s">
        <v>704</v>
      </c>
      <c r="C2532" s="488" t="s">
        <v>9010</v>
      </c>
      <c r="D2532" s="489" t="s">
        <v>9011</v>
      </c>
      <c r="E2532" s="487" t="s">
        <v>9012</v>
      </c>
      <c r="F2532" s="490">
        <v>8639.74</v>
      </c>
      <c r="G2532" s="489">
        <v>164.5</v>
      </c>
      <c r="H2532" s="489">
        <v>52.52122</v>
      </c>
      <c r="I2532" s="487" t="s">
        <v>1499</v>
      </c>
      <c r="J2532" s="487" t="s">
        <v>706</v>
      </c>
    </row>
    <row r="2533" spans="1:10" ht="15" x14ac:dyDescent="0.2">
      <c r="A2533" s="486" t="s">
        <v>705</v>
      </c>
      <c r="B2533" s="487" t="s">
        <v>704</v>
      </c>
      <c r="C2533" s="488" t="s">
        <v>9013</v>
      </c>
      <c r="D2533" s="489" t="s">
        <v>9014</v>
      </c>
      <c r="E2533" s="487" t="s">
        <v>9015</v>
      </c>
      <c r="F2533" s="490">
        <v>4686.26</v>
      </c>
      <c r="G2533" s="489">
        <v>107.5</v>
      </c>
      <c r="H2533" s="489">
        <v>43.593119999999999</v>
      </c>
      <c r="I2533" s="487" t="s">
        <v>1499</v>
      </c>
      <c r="J2533" s="487" t="s">
        <v>706</v>
      </c>
    </row>
    <row r="2534" spans="1:10" ht="15" x14ac:dyDescent="0.2">
      <c r="A2534" s="486" t="s">
        <v>705</v>
      </c>
      <c r="B2534" s="487" t="s">
        <v>704</v>
      </c>
      <c r="C2534" s="488" t="s">
        <v>9016</v>
      </c>
      <c r="D2534" s="489" t="s">
        <v>9017</v>
      </c>
      <c r="E2534" s="487" t="s">
        <v>9018</v>
      </c>
      <c r="F2534" s="490">
        <v>3899180</v>
      </c>
      <c r="G2534" s="489">
        <v>19525.2</v>
      </c>
      <c r="H2534" s="489">
        <v>199.69988000000001</v>
      </c>
      <c r="I2534" s="487" t="s">
        <v>1499</v>
      </c>
      <c r="J2534" s="487" t="s">
        <v>706</v>
      </c>
    </row>
    <row r="2535" spans="1:10" ht="15" x14ac:dyDescent="0.2">
      <c r="A2535" s="486" t="s">
        <v>705</v>
      </c>
      <c r="B2535" s="487" t="s">
        <v>704</v>
      </c>
      <c r="C2535" s="488" t="s">
        <v>9019</v>
      </c>
      <c r="D2535" s="489" t="s">
        <v>9020</v>
      </c>
      <c r="E2535" s="487" t="s">
        <v>9021</v>
      </c>
      <c r="F2535" s="490">
        <v>0</v>
      </c>
      <c r="G2535" s="489">
        <v>0</v>
      </c>
      <c r="H2535" s="489">
        <v>0</v>
      </c>
      <c r="I2535" s="487" t="s">
        <v>2465</v>
      </c>
      <c r="J2535" s="487" t="s">
        <v>706</v>
      </c>
    </row>
    <row r="2536" spans="1:10" ht="15" x14ac:dyDescent="0.2">
      <c r="A2536" s="486" t="s">
        <v>705</v>
      </c>
      <c r="B2536" s="487" t="s">
        <v>704</v>
      </c>
      <c r="C2536" s="488" t="s">
        <v>9022</v>
      </c>
      <c r="D2536" s="489" t="s">
        <v>9023</v>
      </c>
      <c r="E2536" s="487" t="s">
        <v>9024</v>
      </c>
      <c r="F2536" s="490">
        <v>0</v>
      </c>
      <c r="G2536" s="489">
        <v>0</v>
      </c>
      <c r="H2536" s="489">
        <v>0</v>
      </c>
      <c r="I2536" s="487" t="s">
        <v>2465</v>
      </c>
      <c r="J2536" s="487" t="s">
        <v>706</v>
      </c>
    </row>
    <row r="2537" spans="1:10" ht="15" x14ac:dyDescent="0.2">
      <c r="A2537" s="486" t="s">
        <v>705</v>
      </c>
      <c r="B2537" s="487" t="s">
        <v>704</v>
      </c>
      <c r="C2537" s="488" t="s">
        <v>9025</v>
      </c>
      <c r="D2537" s="489" t="s">
        <v>9026</v>
      </c>
      <c r="E2537" s="487" t="s">
        <v>9027</v>
      </c>
      <c r="F2537" s="490">
        <v>614704</v>
      </c>
      <c r="G2537" s="489">
        <v>4139.5</v>
      </c>
      <c r="H2537" s="489">
        <v>148.49716000000001</v>
      </c>
      <c r="I2537" s="487" t="s">
        <v>1499</v>
      </c>
      <c r="J2537" s="487" t="s">
        <v>706</v>
      </c>
    </row>
    <row r="2538" spans="1:10" ht="15" x14ac:dyDescent="0.2">
      <c r="A2538" s="486" t="s">
        <v>705</v>
      </c>
      <c r="B2538" s="487" t="s">
        <v>704</v>
      </c>
      <c r="C2538" s="488" t="s">
        <v>9028</v>
      </c>
      <c r="D2538" s="489" t="s">
        <v>9029</v>
      </c>
      <c r="E2538" s="487" t="s">
        <v>9030</v>
      </c>
      <c r="F2538" s="490">
        <v>4781.45</v>
      </c>
      <c r="G2538" s="489">
        <v>155.69999999999999</v>
      </c>
      <c r="H2538" s="489">
        <v>30.709379999999999</v>
      </c>
      <c r="I2538" s="487" t="s">
        <v>2465</v>
      </c>
      <c r="J2538" s="487" t="s">
        <v>706</v>
      </c>
    </row>
    <row r="2539" spans="1:10" ht="15" x14ac:dyDescent="0.2">
      <c r="A2539" s="486" t="s">
        <v>705</v>
      </c>
      <c r="B2539" s="487" t="s">
        <v>704</v>
      </c>
      <c r="C2539" s="488" t="s">
        <v>9031</v>
      </c>
      <c r="D2539" s="489" t="s">
        <v>9032</v>
      </c>
      <c r="E2539" s="487" t="s">
        <v>9033</v>
      </c>
      <c r="F2539" s="490">
        <v>17500</v>
      </c>
      <c r="G2539" s="489">
        <v>328</v>
      </c>
      <c r="H2539" s="489">
        <v>53.353659999999998</v>
      </c>
      <c r="I2539" s="487" t="s">
        <v>1499</v>
      </c>
      <c r="J2539" s="487" t="s">
        <v>706</v>
      </c>
    </row>
    <row r="2540" spans="1:10" ht="15" x14ac:dyDescent="0.2">
      <c r="A2540" s="486" t="s">
        <v>705</v>
      </c>
      <c r="B2540" s="487" t="s">
        <v>704</v>
      </c>
      <c r="C2540" s="488" t="s">
        <v>9034</v>
      </c>
      <c r="D2540" s="489" t="s">
        <v>9035</v>
      </c>
      <c r="E2540" s="487" t="s">
        <v>9036</v>
      </c>
      <c r="F2540" s="490">
        <v>0</v>
      </c>
      <c r="G2540" s="489">
        <v>19.7</v>
      </c>
      <c r="H2540" s="489">
        <v>0</v>
      </c>
      <c r="I2540" s="487" t="s">
        <v>1593</v>
      </c>
      <c r="J2540" s="487" t="s">
        <v>706</v>
      </c>
    </row>
    <row r="2541" spans="1:10" ht="15" x14ac:dyDescent="0.2">
      <c r="A2541" s="486" t="s">
        <v>705</v>
      </c>
      <c r="B2541" s="487" t="s">
        <v>704</v>
      </c>
      <c r="C2541" s="488" t="s">
        <v>9037</v>
      </c>
      <c r="D2541" s="489" t="s">
        <v>9038</v>
      </c>
      <c r="E2541" s="487" t="s">
        <v>9039</v>
      </c>
      <c r="F2541" s="490">
        <v>4600</v>
      </c>
      <c r="G2541" s="489">
        <v>95.7</v>
      </c>
      <c r="H2541" s="489">
        <v>48.066879999999998</v>
      </c>
      <c r="I2541" s="487" t="s">
        <v>1499</v>
      </c>
      <c r="J2541" s="487" t="s">
        <v>706</v>
      </c>
    </row>
    <row r="2542" spans="1:10" ht="15" x14ac:dyDescent="0.2">
      <c r="A2542" s="486" t="s">
        <v>705</v>
      </c>
      <c r="B2542" s="487" t="s">
        <v>704</v>
      </c>
      <c r="C2542" s="488" t="s">
        <v>9040</v>
      </c>
      <c r="D2542" s="489" t="s">
        <v>9041</v>
      </c>
      <c r="E2542" s="487" t="s">
        <v>9042</v>
      </c>
      <c r="F2542" s="490">
        <v>40549</v>
      </c>
      <c r="G2542" s="489">
        <v>298.5</v>
      </c>
      <c r="H2542" s="489">
        <v>135.84254999999999</v>
      </c>
      <c r="I2542" s="487" t="s">
        <v>1499</v>
      </c>
      <c r="J2542" s="487" t="s">
        <v>706</v>
      </c>
    </row>
    <row r="2543" spans="1:10" ht="15" x14ac:dyDescent="0.2">
      <c r="A2543" s="486" t="s">
        <v>705</v>
      </c>
      <c r="B2543" s="487" t="s">
        <v>704</v>
      </c>
      <c r="C2543" s="488" t="s">
        <v>9043</v>
      </c>
      <c r="D2543" s="489" t="s">
        <v>9044</v>
      </c>
      <c r="E2543" s="487" t="s">
        <v>9045</v>
      </c>
      <c r="F2543" s="490">
        <v>11122.83</v>
      </c>
      <c r="G2543" s="489">
        <v>357.4</v>
      </c>
      <c r="H2543" s="489">
        <v>31.12152</v>
      </c>
      <c r="I2543" s="487" t="s">
        <v>1499</v>
      </c>
      <c r="J2543" s="487" t="s">
        <v>706</v>
      </c>
    </row>
    <row r="2544" spans="1:10" ht="15" x14ac:dyDescent="0.2">
      <c r="A2544" s="486" t="s">
        <v>705</v>
      </c>
      <c r="B2544" s="487" t="s">
        <v>704</v>
      </c>
      <c r="C2544" s="488" t="s">
        <v>9046</v>
      </c>
      <c r="D2544" s="489" t="s">
        <v>9047</v>
      </c>
      <c r="E2544" s="487" t="s">
        <v>9048</v>
      </c>
      <c r="F2544" s="490">
        <v>18602.2</v>
      </c>
      <c r="G2544" s="489">
        <v>272.60000000000002</v>
      </c>
      <c r="H2544" s="489">
        <v>68.239909999999995</v>
      </c>
      <c r="I2544" s="487" t="s">
        <v>1499</v>
      </c>
      <c r="J2544" s="487" t="s">
        <v>706</v>
      </c>
    </row>
    <row r="2545" spans="1:10" ht="15" x14ac:dyDescent="0.2">
      <c r="A2545" s="486" t="s">
        <v>705</v>
      </c>
      <c r="B2545" s="487" t="s">
        <v>704</v>
      </c>
      <c r="C2545" s="488" t="s">
        <v>9049</v>
      </c>
      <c r="D2545" s="489" t="s">
        <v>9050</v>
      </c>
      <c r="E2545" s="487" t="s">
        <v>9051</v>
      </c>
      <c r="F2545" s="490">
        <v>17000</v>
      </c>
      <c r="G2545" s="489">
        <v>300.60000000000002</v>
      </c>
      <c r="H2545" s="489">
        <v>56.553559999999997</v>
      </c>
      <c r="I2545" s="487" t="s">
        <v>1499</v>
      </c>
      <c r="J2545" s="487" t="s">
        <v>706</v>
      </c>
    </row>
    <row r="2546" spans="1:10" ht="15" x14ac:dyDescent="0.2">
      <c r="A2546" s="486" t="s">
        <v>705</v>
      </c>
      <c r="B2546" s="487" t="s">
        <v>704</v>
      </c>
      <c r="C2546" s="488" t="s">
        <v>9052</v>
      </c>
      <c r="D2546" s="489" t="s">
        <v>9053</v>
      </c>
      <c r="E2546" s="487" t="s">
        <v>9054</v>
      </c>
      <c r="F2546" s="490">
        <v>5150</v>
      </c>
      <c r="G2546" s="489">
        <v>95.7</v>
      </c>
      <c r="H2546" s="489">
        <v>53.814</v>
      </c>
      <c r="I2546" s="487" t="s">
        <v>1499</v>
      </c>
      <c r="J2546" s="487" t="s">
        <v>706</v>
      </c>
    </row>
    <row r="2547" spans="1:10" ht="15" x14ac:dyDescent="0.2">
      <c r="A2547" s="486" t="s">
        <v>705</v>
      </c>
      <c r="B2547" s="487" t="s">
        <v>704</v>
      </c>
      <c r="C2547" s="488" t="s">
        <v>9055</v>
      </c>
      <c r="D2547" s="489" t="s">
        <v>9056</v>
      </c>
      <c r="E2547" s="487" t="s">
        <v>9057</v>
      </c>
      <c r="F2547" s="490">
        <v>7750</v>
      </c>
      <c r="G2547" s="489">
        <v>259.2</v>
      </c>
      <c r="H2547" s="489">
        <v>29.89969</v>
      </c>
      <c r="I2547" s="487" t="s">
        <v>2465</v>
      </c>
      <c r="J2547" s="487" t="s">
        <v>706</v>
      </c>
    </row>
    <row r="2548" spans="1:10" ht="15" x14ac:dyDescent="0.2">
      <c r="A2548" s="486" t="s">
        <v>705</v>
      </c>
      <c r="B2548" s="487" t="s">
        <v>704</v>
      </c>
      <c r="C2548" s="488" t="s">
        <v>9058</v>
      </c>
      <c r="D2548" s="489" t="s">
        <v>9059</v>
      </c>
      <c r="E2548" s="487" t="s">
        <v>9060</v>
      </c>
      <c r="F2548" s="490">
        <v>0</v>
      </c>
      <c r="G2548" s="489">
        <v>0</v>
      </c>
      <c r="H2548" s="489">
        <v>0</v>
      </c>
      <c r="I2548" s="487" t="s">
        <v>2465</v>
      </c>
      <c r="J2548" s="487" t="s">
        <v>706</v>
      </c>
    </row>
    <row r="2549" spans="1:10" ht="15" x14ac:dyDescent="0.2">
      <c r="A2549" s="486" t="s">
        <v>705</v>
      </c>
      <c r="B2549" s="487" t="s">
        <v>704</v>
      </c>
      <c r="C2549" s="488" t="s">
        <v>9061</v>
      </c>
      <c r="D2549" s="489" t="s">
        <v>9062</v>
      </c>
      <c r="E2549" s="487" t="s">
        <v>9063</v>
      </c>
      <c r="F2549" s="490">
        <v>0</v>
      </c>
      <c r="G2549" s="489">
        <v>0</v>
      </c>
      <c r="H2549" s="489">
        <v>0</v>
      </c>
      <c r="I2549" s="487" t="s">
        <v>2465</v>
      </c>
      <c r="J2549" s="487" t="s">
        <v>706</v>
      </c>
    </row>
    <row r="2550" spans="1:10" ht="15" x14ac:dyDescent="0.2">
      <c r="A2550" s="486" t="s">
        <v>705</v>
      </c>
      <c r="B2550" s="487" t="s">
        <v>704</v>
      </c>
      <c r="C2550" s="488" t="s">
        <v>9064</v>
      </c>
      <c r="D2550" s="489" t="s">
        <v>9065</v>
      </c>
      <c r="E2550" s="487" t="s">
        <v>9066</v>
      </c>
      <c r="F2550" s="490">
        <v>0</v>
      </c>
      <c r="G2550" s="489">
        <v>0</v>
      </c>
      <c r="H2550" s="489">
        <v>0</v>
      </c>
      <c r="I2550" s="487" t="s">
        <v>2465</v>
      </c>
      <c r="J2550" s="487" t="s">
        <v>706</v>
      </c>
    </row>
    <row r="2551" spans="1:10" ht="15" x14ac:dyDescent="0.2">
      <c r="A2551" s="486" t="s">
        <v>705</v>
      </c>
      <c r="B2551" s="487" t="s">
        <v>704</v>
      </c>
      <c r="C2551" s="488" t="s">
        <v>9067</v>
      </c>
      <c r="D2551" s="489" t="s">
        <v>9068</v>
      </c>
      <c r="E2551" s="487" t="s">
        <v>9069</v>
      </c>
      <c r="F2551" s="490">
        <v>0</v>
      </c>
      <c r="G2551" s="489">
        <v>0</v>
      </c>
      <c r="H2551" s="489">
        <v>0</v>
      </c>
      <c r="I2551" s="487" t="s">
        <v>2465</v>
      </c>
      <c r="J2551" s="487" t="s">
        <v>706</v>
      </c>
    </row>
    <row r="2552" spans="1:10" ht="15" x14ac:dyDescent="0.2">
      <c r="A2552" s="486" t="s">
        <v>705</v>
      </c>
      <c r="B2552" s="487" t="s">
        <v>704</v>
      </c>
      <c r="C2552" s="488" t="s">
        <v>9070</v>
      </c>
      <c r="D2552" s="489" t="s">
        <v>9071</v>
      </c>
      <c r="E2552" s="487" t="s">
        <v>9072</v>
      </c>
      <c r="F2552" s="490">
        <v>9803</v>
      </c>
      <c r="G2552" s="489">
        <v>212.3</v>
      </c>
      <c r="H2552" s="489">
        <v>46.175220000000003</v>
      </c>
      <c r="I2552" s="487" t="s">
        <v>1499</v>
      </c>
      <c r="J2552" s="487" t="s">
        <v>706</v>
      </c>
    </row>
    <row r="2553" spans="1:10" ht="15" x14ac:dyDescent="0.2">
      <c r="A2553" s="486" t="s">
        <v>705</v>
      </c>
      <c r="B2553" s="487" t="s">
        <v>704</v>
      </c>
      <c r="C2553" s="488" t="s">
        <v>9073</v>
      </c>
      <c r="D2553" s="489" t="s">
        <v>9074</v>
      </c>
      <c r="E2553" s="487" t="s">
        <v>9075</v>
      </c>
      <c r="F2553" s="490">
        <v>7010.95</v>
      </c>
      <c r="G2553" s="489">
        <v>228.3</v>
      </c>
      <c r="H2553" s="489">
        <v>30.70937</v>
      </c>
      <c r="I2553" s="487" t="s">
        <v>2465</v>
      </c>
      <c r="J2553" s="487" t="s">
        <v>706</v>
      </c>
    </row>
    <row r="2554" spans="1:10" ht="15" x14ac:dyDescent="0.2">
      <c r="A2554" s="486" t="s">
        <v>705</v>
      </c>
      <c r="B2554" s="487" t="s">
        <v>704</v>
      </c>
      <c r="C2554" s="488" t="s">
        <v>9076</v>
      </c>
      <c r="D2554" s="489" t="s">
        <v>9077</v>
      </c>
      <c r="E2554" s="487" t="s">
        <v>9078</v>
      </c>
      <c r="F2554" s="490">
        <v>1142.83</v>
      </c>
      <c r="G2554" s="489">
        <v>26.4</v>
      </c>
      <c r="H2554" s="489">
        <v>43.289020000000001</v>
      </c>
      <c r="I2554" s="487" t="s">
        <v>1499</v>
      </c>
      <c r="J2554" s="487" t="s">
        <v>706</v>
      </c>
    </row>
    <row r="2555" spans="1:10" ht="15" x14ac:dyDescent="0.2">
      <c r="A2555" s="486" t="s">
        <v>705</v>
      </c>
      <c r="B2555" s="487" t="s">
        <v>704</v>
      </c>
      <c r="C2555" s="488" t="s">
        <v>9079</v>
      </c>
      <c r="D2555" s="489" t="s">
        <v>9080</v>
      </c>
      <c r="E2555" s="487" t="s">
        <v>9081</v>
      </c>
      <c r="F2555" s="490">
        <v>110000</v>
      </c>
      <c r="G2555" s="489">
        <v>1715.3</v>
      </c>
      <c r="H2555" s="489">
        <v>64.128720000000001</v>
      </c>
      <c r="I2555" s="487" t="s">
        <v>1499</v>
      </c>
      <c r="J2555" s="487" t="s">
        <v>706</v>
      </c>
    </row>
    <row r="2556" spans="1:10" ht="15" x14ac:dyDescent="0.2">
      <c r="A2556" s="486" t="s">
        <v>705</v>
      </c>
      <c r="B2556" s="487" t="s">
        <v>704</v>
      </c>
      <c r="C2556" s="488" t="s">
        <v>9082</v>
      </c>
      <c r="D2556" s="489" t="s">
        <v>9083</v>
      </c>
      <c r="E2556" s="487" t="s">
        <v>9084</v>
      </c>
      <c r="F2556" s="490">
        <v>0</v>
      </c>
      <c r="G2556" s="489">
        <v>51.9</v>
      </c>
      <c r="H2556" s="489">
        <v>0</v>
      </c>
      <c r="I2556" s="487" t="s">
        <v>1593</v>
      </c>
      <c r="J2556" s="487" t="s">
        <v>706</v>
      </c>
    </row>
    <row r="2557" spans="1:10" ht="15" x14ac:dyDescent="0.2">
      <c r="A2557" s="486" t="s">
        <v>705</v>
      </c>
      <c r="B2557" s="487" t="s">
        <v>704</v>
      </c>
      <c r="C2557" s="488" t="s">
        <v>9085</v>
      </c>
      <c r="D2557" s="489" t="s">
        <v>9086</v>
      </c>
      <c r="E2557" s="487" t="s">
        <v>9087</v>
      </c>
      <c r="F2557" s="490">
        <v>0</v>
      </c>
      <c r="G2557" s="489">
        <v>0</v>
      </c>
      <c r="H2557" s="489">
        <v>0</v>
      </c>
      <c r="I2557" s="487" t="s">
        <v>2465</v>
      </c>
      <c r="J2557" s="487" t="s">
        <v>706</v>
      </c>
    </row>
    <row r="2558" spans="1:10" ht="15" x14ac:dyDescent="0.2">
      <c r="A2558" s="486" t="s">
        <v>705</v>
      </c>
      <c r="B2558" s="487" t="s">
        <v>704</v>
      </c>
      <c r="C2558" s="488" t="s">
        <v>9088</v>
      </c>
      <c r="D2558" s="489" t="s">
        <v>9089</v>
      </c>
      <c r="E2558" s="487" t="s">
        <v>9090</v>
      </c>
      <c r="F2558" s="490">
        <v>0</v>
      </c>
      <c r="G2558" s="489">
        <v>558.70000000000005</v>
      </c>
      <c r="H2558" s="489">
        <v>0</v>
      </c>
      <c r="I2558" s="487" t="s">
        <v>1593</v>
      </c>
      <c r="J2558" s="487" t="s">
        <v>706</v>
      </c>
    </row>
    <row r="2559" spans="1:10" ht="15" x14ac:dyDescent="0.2">
      <c r="A2559" s="486" t="s">
        <v>705</v>
      </c>
      <c r="B2559" s="487" t="s">
        <v>704</v>
      </c>
      <c r="C2559" s="488" t="s">
        <v>9091</v>
      </c>
      <c r="D2559" s="489" t="s">
        <v>9092</v>
      </c>
      <c r="E2559" s="487" t="s">
        <v>9093</v>
      </c>
      <c r="F2559" s="490">
        <v>0</v>
      </c>
      <c r="G2559" s="489">
        <v>27.6</v>
      </c>
      <c r="H2559" s="489">
        <v>0</v>
      </c>
      <c r="I2559" s="487" t="s">
        <v>1593</v>
      </c>
      <c r="J2559" s="487" t="s">
        <v>706</v>
      </c>
    </row>
    <row r="2560" spans="1:10" ht="15" x14ac:dyDescent="0.2">
      <c r="A2560" s="486" t="s">
        <v>705</v>
      </c>
      <c r="B2560" s="487" t="s">
        <v>704</v>
      </c>
      <c r="C2560" s="488" t="s">
        <v>9094</v>
      </c>
      <c r="D2560" s="489" t="s">
        <v>9095</v>
      </c>
      <c r="E2560" s="487" t="s">
        <v>9096</v>
      </c>
      <c r="F2560" s="490">
        <v>0</v>
      </c>
      <c r="G2560" s="489">
        <v>0</v>
      </c>
      <c r="H2560" s="489">
        <v>0</v>
      </c>
      <c r="I2560" s="487" t="s">
        <v>2465</v>
      </c>
      <c r="J2560" s="487" t="s">
        <v>706</v>
      </c>
    </row>
    <row r="2561" spans="1:10" ht="15" x14ac:dyDescent="0.2">
      <c r="A2561" s="486" t="s">
        <v>705</v>
      </c>
      <c r="B2561" s="487" t="s">
        <v>704</v>
      </c>
      <c r="C2561" s="488" t="s">
        <v>9097</v>
      </c>
      <c r="D2561" s="489" t="s">
        <v>9098</v>
      </c>
      <c r="E2561" s="487" t="s">
        <v>9099</v>
      </c>
      <c r="F2561" s="490">
        <v>0</v>
      </c>
      <c r="G2561" s="489">
        <v>0</v>
      </c>
      <c r="H2561" s="489">
        <v>0</v>
      </c>
      <c r="I2561" s="487" t="s">
        <v>2465</v>
      </c>
      <c r="J2561" s="487" t="s">
        <v>706</v>
      </c>
    </row>
    <row r="2562" spans="1:10" ht="15" x14ac:dyDescent="0.2">
      <c r="A2562" s="486" t="s">
        <v>490</v>
      </c>
      <c r="B2562" s="487" t="s">
        <v>386</v>
      </c>
      <c r="C2562" s="488" t="s">
        <v>9100</v>
      </c>
      <c r="D2562" s="489" t="s">
        <v>9101</v>
      </c>
      <c r="E2562" s="487" t="s">
        <v>9102</v>
      </c>
      <c r="F2562" s="490">
        <v>29429</v>
      </c>
      <c r="G2562" s="489">
        <v>1666.2</v>
      </c>
      <c r="H2562" s="489">
        <v>17.66235</v>
      </c>
      <c r="I2562" s="487" t="s">
        <v>1499</v>
      </c>
      <c r="J2562" s="487" t="s">
        <v>491</v>
      </c>
    </row>
    <row r="2563" spans="1:10" ht="15" x14ac:dyDescent="0.2">
      <c r="A2563" s="486" t="s">
        <v>490</v>
      </c>
      <c r="B2563" s="487" t="s">
        <v>386</v>
      </c>
      <c r="C2563" s="488" t="s">
        <v>9103</v>
      </c>
      <c r="D2563" s="489" t="s">
        <v>9104</v>
      </c>
      <c r="E2563" s="487" t="s">
        <v>9105</v>
      </c>
      <c r="F2563" s="490">
        <v>151713</v>
      </c>
      <c r="G2563" s="489">
        <v>67763.399999999994</v>
      </c>
      <c r="H2563" s="489">
        <v>2.2388599999999999</v>
      </c>
      <c r="I2563" s="487" t="s">
        <v>1654</v>
      </c>
      <c r="J2563" s="487" t="s">
        <v>491</v>
      </c>
    </row>
    <row r="2564" spans="1:10" ht="15" x14ac:dyDescent="0.2">
      <c r="A2564" s="486" t="s">
        <v>490</v>
      </c>
      <c r="B2564" s="487" t="s">
        <v>386</v>
      </c>
      <c r="C2564" s="488" t="s">
        <v>9106</v>
      </c>
      <c r="D2564" s="489" t="s">
        <v>9107</v>
      </c>
      <c r="E2564" s="487" t="s">
        <v>9108</v>
      </c>
      <c r="F2564" s="490">
        <v>932198</v>
      </c>
      <c r="G2564" s="489">
        <v>12885</v>
      </c>
      <c r="H2564" s="489">
        <v>72.347539999999995</v>
      </c>
      <c r="I2564" s="487" t="s">
        <v>1499</v>
      </c>
      <c r="J2564" s="487" t="s">
        <v>491</v>
      </c>
    </row>
    <row r="2565" spans="1:10" ht="15" x14ac:dyDescent="0.2">
      <c r="A2565" s="486" t="s">
        <v>490</v>
      </c>
      <c r="B2565" s="487" t="s">
        <v>386</v>
      </c>
      <c r="C2565" s="488" t="s">
        <v>9109</v>
      </c>
      <c r="D2565" s="489" t="s">
        <v>9110</v>
      </c>
      <c r="E2565" s="487" t="s">
        <v>9111</v>
      </c>
      <c r="F2565" s="490">
        <v>224000</v>
      </c>
      <c r="G2565" s="489">
        <v>6816.3</v>
      </c>
      <c r="H2565" s="489">
        <v>32.862400000000001</v>
      </c>
      <c r="I2565" s="487" t="s">
        <v>1499</v>
      </c>
      <c r="J2565" s="487" t="s">
        <v>491</v>
      </c>
    </row>
    <row r="2566" spans="1:10" ht="15" x14ac:dyDescent="0.2">
      <c r="A2566" s="486" t="s">
        <v>490</v>
      </c>
      <c r="B2566" s="487" t="s">
        <v>386</v>
      </c>
      <c r="C2566" s="488" t="s">
        <v>9112</v>
      </c>
      <c r="D2566" s="489" t="s">
        <v>9113</v>
      </c>
      <c r="E2566" s="487" t="s">
        <v>9114</v>
      </c>
      <c r="F2566" s="490">
        <v>9484</v>
      </c>
      <c r="G2566" s="489">
        <v>271.8</v>
      </c>
      <c r="H2566" s="489">
        <v>34.893300000000004</v>
      </c>
      <c r="I2566" s="487" t="s">
        <v>1499</v>
      </c>
      <c r="J2566" s="487" t="s">
        <v>491</v>
      </c>
    </row>
    <row r="2567" spans="1:10" ht="15" x14ac:dyDescent="0.2">
      <c r="A2567" s="486" t="s">
        <v>490</v>
      </c>
      <c r="B2567" s="487" t="s">
        <v>386</v>
      </c>
      <c r="C2567" s="488" t="s">
        <v>9115</v>
      </c>
      <c r="D2567" s="489" t="s">
        <v>9116</v>
      </c>
      <c r="E2567" s="487" t="s">
        <v>9117</v>
      </c>
      <c r="F2567" s="490">
        <v>132324</v>
      </c>
      <c r="G2567" s="489">
        <v>61833.5</v>
      </c>
      <c r="H2567" s="489">
        <v>2.1400100000000002</v>
      </c>
      <c r="I2567" s="487" t="s">
        <v>1654</v>
      </c>
      <c r="J2567" s="487" t="s">
        <v>491</v>
      </c>
    </row>
    <row r="2568" spans="1:10" ht="15" x14ac:dyDescent="0.2">
      <c r="A2568" s="486" t="s">
        <v>490</v>
      </c>
      <c r="B2568" s="487" t="s">
        <v>386</v>
      </c>
      <c r="C2568" s="488" t="s">
        <v>9118</v>
      </c>
      <c r="D2568" s="489" t="s">
        <v>9119</v>
      </c>
      <c r="E2568" s="487" t="s">
        <v>9120</v>
      </c>
      <c r="F2568" s="490">
        <v>12090</v>
      </c>
      <c r="G2568" s="489">
        <v>312.2</v>
      </c>
      <c r="H2568" s="489">
        <v>38.725180000000002</v>
      </c>
      <c r="I2568" s="487" t="s">
        <v>1499</v>
      </c>
      <c r="J2568" s="487" t="s">
        <v>491</v>
      </c>
    </row>
    <row r="2569" spans="1:10" ht="15" x14ac:dyDescent="0.2">
      <c r="A2569" s="486" t="s">
        <v>683</v>
      </c>
      <c r="B2569" s="487" t="s">
        <v>682</v>
      </c>
      <c r="C2569" s="488" t="s">
        <v>9121</v>
      </c>
      <c r="D2569" s="489" t="s">
        <v>9122</v>
      </c>
      <c r="E2569" s="487" t="s">
        <v>9123</v>
      </c>
      <c r="F2569" s="490">
        <v>0</v>
      </c>
      <c r="G2569" s="489">
        <v>10.18</v>
      </c>
      <c r="H2569" s="489">
        <v>0</v>
      </c>
      <c r="I2569" s="487" t="s">
        <v>1593</v>
      </c>
      <c r="J2569" s="487" t="s">
        <v>684</v>
      </c>
    </row>
    <row r="2570" spans="1:10" ht="15" x14ac:dyDescent="0.2">
      <c r="A2570" s="486" t="s">
        <v>683</v>
      </c>
      <c r="B2570" s="487" t="s">
        <v>682</v>
      </c>
      <c r="C2570" s="488" t="s">
        <v>9124</v>
      </c>
      <c r="D2570" s="489" t="s">
        <v>9125</v>
      </c>
      <c r="E2570" s="487" t="s">
        <v>9126</v>
      </c>
      <c r="F2570" s="490">
        <v>11050</v>
      </c>
      <c r="G2570" s="489">
        <v>180.5</v>
      </c>
      <c r="H2570" s="489">
        <v>61.21884</v>
      </c>
      <c r="I2570" s="487" t="s">
        <v>1499</v>
      </c>
      <c r="J2570" s="487" t="s">
        <v>684</v>
      </c>
    </row>
    <row r="2571" spans="1:10" ht="15" x14ac:dyDescent="0.2">
      <c r="A2571" s="486" t="s">
        <v>683</v>
      </c>
      <c r="B2571" s="487" t="s">
        <v>682</v>
      </c>
      <c r="C2571" s="488" t="s">
        <v>9127</v>
      </c>
      <c r="D2571" s="489" t="s">
        <v>9128</v>
      </c>
      <c r="E2571" s="487" t="s">
        <v>9129</v>
      </c>
      <c r="F2571" s="490">
        <v>36225</v>
      </c>
      <c r="G2571" s="489">
        <v>1121.5999999999999</v>
      </c>
      <c r="H2571" s="489">
        <v>32.297609999999999</v>
      </c>
      <c r="I2571" s="487" t="s">
        <v>1499</v>
      </c>
      <c r="J2571" s="487" t="s">
        <v>684</v>
      </c>
    </row>
    <row r="2572" spans="1:10" ht="15" x14ac:dyDescent="0.2">
      <c r="A2572" s="486" t="s">
        <v>683</v>
      </c>
      <c r="B2572" s="487" t="s">
        <v>682</v>
      </c>
      <c r="C2572" s="488" t="s">
        <v>9130</v>
      </c>
      <c r="D2572" s="489" t="s">
        <v>9131</v>
      </c>
      <c r="E2572" s="487" t="s">
        <v>9132</v>
      </c>
      <c r="F2572" s="490">
        <v>6000</v>
      </c>
      <c r="G2572" s="489">
        <v>112.42</v>
      </c>
      <c r="H2572" s="489">
        <v>53.371290000000002</v>
      </c>
      <c r="I2572" s="487" t="s">
        <v>1499</v>
      </c>
      <c r="J2572" s="487" t="s">
        <v>684</v>
      </c>
    </row>
    <row r="2573" spans="1:10" ht="15" x14ac:dyDescent="0.2">
      <c r="A2573" s="486" t="s">
        <v>683</v>
      </c>
      <c r="B2573" s="487" t="s">
        <v>682</v>
      </c>
      <c r="C2573" s="488" t="s">
        <v>9133</v>
      </c>
      <c r="D2573" s="489" t="s">
        <v>9134</v>
      </c>
      <c r="E2573" s="487" t="s">
        <v>9135</v>
      </c>
      <c r="F2573" s="490">
        <v>80000</v>
      </c>
      <c r="G2573" s="489">
        <v>1601.7</v>
      </c>
      <c r="H2573" s="489">
        <v>49.946930000000002</v>
      </c>
      <c r="I2573" s="487" t="s">
        <v>1499</v>
      </c>
      <c r="J2573" s="487" t="s">
        <v>684</v>
      </c>
    </row>
    <row r="2574" spans="1:10" ht="15" x14ac:dyDescent="0.2">
      <c r="A2574" s="486" t="s">
        <v>683</v>
      </c>
      <c r="B2574" s="487" t="s">
        <v>682</v>
      </c>
      <c r="C2574" s="488" t="s">
        <v>9136</v>
      </c>
      <c r="D2574" s="489" t="s">
        <v>9137</v>
      </c>
      <c r="E2574" s="487" t="s">
        <v>9138</v>
      </c>
      <c r="F2574" s="490">
        <v>6329</v>
      </c>
      <c r="G2574" s="489">
        <v>348.7</v>
      </c>
      <c r="H2574" s="489">
        <v>18.150269999999999</v>
      </c>
      <c r="I2574" s="487" t="s">
        <v>1499</v>
      </c>
      <c r="J2574" s="487" t="s">
        <v>684</v>
      </c>
    </row>
    <row r="2575" spans="1:10" ht="15" x14ac:dyDescent="0.2">
      <c r="A2575" s="486" t="s">
        <v>683</v>
      </c>
      <c r="B2575" s="487" t="s">
        <v>682</v>
      </c>
      <c r="C2575" s="488" t="s">
        <v>9139</v>
      </c>
      <c r="D2575" s="489" t="s">
        <v>9140</v>
      </c>
      <c r="E2575" s="487" t="s">
        <v>9141</v>
      </c>
      <c r="F2575" s="490">
        <v>70701</v>
      </c>
      <c r="G2575" s="489">
        <v>2115.35</v>
      </c>
      <c r="H2575" s="489">
        <v>33.422840000000001</v>
      </c>
      <c r="I2575" s="487" t="s">
        <v>1499</v>
      </c>
      <c r="J2575" s="487" t="s">
        <v>684</v>
      </c>
    </row>
    <row r="2576" spans="1:10" ht="15" x14ac:dyDescent="0.2">
      <c r="A2576" s="486" t="s">
        <v>683</v>
      </c>
      <c r="B2576" s="487" t="s">
        <v>682</v>
      </c>
      <c r="C2576" s="488" t="s">
        <v>9142</v>
      </c>
      <c r="D2576" s="489" t="s">
        <v>9143</v>
      </c>
      <c r="E2576" s="487" t="s">
        <v>9144</v>
      </c>
      <c r="F2576" s="490">
        <v>11000</v>
      </c>
      <c r="G2576" s="489">
        <v>249.3</v>
      </c>
      <c r="H2576" s="489">
        <v>44.123550000000002</v>
      </c>
      <c r="I2576" s="487" t="s">
        <v>1499</v>
      </c>
      <c r="J2576" s="487" t="s">
        <v>684</v>
      </c>
    </row>
    <row r="2577" spans="1:10" ht="15" x14ac:dyDescent="0.2">
      <c r="A2577" s="486" t="s">
        <v>683</v>
      </c>
      <c r="B2577" s="487" t="s">
        <v>682</v>
      </c>
      <c r="C2577" s="488" t="s">
        <v>9145</v>
      </c>
      <c r="D2577" s="489" t="s">
        <v>9146</v>
      </c>
      <c r="E2577" s="487" t="s">
        <v>9147</v>
      </c>
      <c r="F2577" s="490">
        <v>1665</v>
      </c>
      <c r="G2577" s="489">
        <v>61.9</v>
      </c>
      <c r="H2577" s="489">
        <v>26.898219999999998</v>
      </c>
      <c r="I2577" s="487" t="s">
        <v>1499</v>
      </c>
      <c r="J2577" s="487" t="s">
        <v>684</v>
      </c>
    </row>
    <row r="2578" spans="1:10" ht="15" x14ac:dyDescent="0.2">
      <c r="A2578" s="486" t="s">
        <v>683</v>
      </c>
      <c r="B2578" s="487" t="s">
        <v>682</v>
      </c>
      <c r="C2578" s="488" t="s">
        <v>9148</v>
      </c>
      <c r="D2578" s="489" t="s">
        <v>9149</v>
      </c>
      <c r="E2578" s="487" t="s">
        <v>9150</v>
      </c>
      <c r="F2578" s="490">
        <v>19233</v>
      </c>
      <c r="G2578" s="489">
        <v>308.89999999999998</v>
      </c>
      <c r="H2578" s="489">
        <v>62.262869999999999</v>
      </c>
      <c r="I2578" s="487" t="s">
        <v>1499</v>
      </c>
      <c r="J2578" s="487" t="s">
        <v>684</v>
      </c>
    </row>
    <row r="2579" spans="1:10" ht="15" x14ac:dyDescent="0.2">
      <c r="A2579" s="486" t="s">
        <v>683</v>
      </c>
      <c r="B2579" s="487" t="s">
        <v>682</v>
      </c>
      <c r="C2579" s="488" t="s">
        <v>9151</v>
      </c>
      <c r="D2579" s="489" t="s">
        <v>9152</v>
      </c>
      <c r="E2579" s="487" t="s">
        <v>9153</v>
      </c>
      <c r="F2579" s="490">
        <v>0</v>
      </c>
      <c r="G2579" s="489">
        <v>49.29</v>
      </c>
      <c r="H2579" s="489">
        <v>0</v>
      </c>
      <c r="I2579" s="487" t="s">
        <v>1593</v>
      </c>
      <c r="J2579" s="487" t="s">
        <v>684</v>
      </c>
    </row>
    <row r="2580" spans="1:10" ht="15" x14ac:dyDescent="0.2">
      <c r="A2580" s="486" t="s">
        <v>683</v>
      </c>
      <c r="B2580" s="487" t="s">
        <v>682</v>
      </c>
      <c r="C2580" s="488" t="s">
        <v>9154</v>
      </c>
      <c r="D2580" s="489" t="s">
        <v>9155</v>
      </c>
      <c r="E2580" s="487" t="s">
        <v>9156</v>
      </c>
      <c r="F2580" s="490">
        <v>13525</v>
      </c>
      <c r="G2580" s="489">
        <v>662</v>
      </c>
      <c r="H2580" s="489">
        <v>20.430510000000002</v>
      </c>
      <c r="I2580" s="487" t="s">
        <v>1499</v>
      </c>
      <c r="J2580" s="487" t="s">
        <v>684</v>
      </c>
    </row>
    <row r="2581" spans="1:10" ht="15" x14ac:dyDescent="0.2">
      <c r="A2581" s="486" t="s">
        <v>683</v>
      </c>
      <c r="B2581" s="487" t="s">
        <v>682</v>
      </c>
      <c r="C2581" s="488" t="s">
        <v>9157</v>
      </c>
      <c r="D2581" s="489" t="s">
        <v>9158</v>
      </c>
      <c r="E2581" s="487" t="s">
        <v>9159</v>
      </c>
      <c r="F2581" s="490">
        <v>0</v>
      </c>
      <c r="G2581" s="489">
        <v>43.49</v>
      </c>
      <c r="H2581" s="489">
        <v>0</v>
      </c>
      <c r="I2581" s="487" t="s">
        <v>1593</v>
      </c>
      <c r="J2581" s="487" t="s">
        <v>684</v>
      </c>
    </row>
    <row r="2582" spans="1:10" ht="15" x14ac:dyDescent="0.2">
      <c r="A2582" s="486" t="s">
        <v>683</v>
      </c>
      <c r="B2582" s="487" t="s">
        <v>682</v>
      </c>
      <c r="C2582" s="488" t="s">
        <v>9160</v>
      </c>
      <c r="D2582" s="489" t="s">
        <v>9161</v>
      </c>
      <c r="E2582" s="487" t="s">
        <v>9162</v>
      </c>
      <c r="F2582" s="490">
        <v>0</v>
      </c>
      <c r="G2582" s="489">
        <v>67.489999999999995</v>
      </c>
      <c r="H2582" s="489">
        <v>0</v>
      </c>
      <c r="I2582" s="487" t="s">
        <v>1593</v>
      </c>
      <c r="J2582" s="487" t="s">
        <v>684</v>
      </c>
    </row>
    <row r="2583" spans="1:10" ht="15" x14ac:dyDescent="0.2">
      <c r="A2583" s="486" t="s">
        <v>683</v>
      </c>
      <c r="B2583" s="487" t="s">
        <v>682</v>
      </c>
      <c r="C2583" s="488" t="s">
        <v>9163</v>
      </c>
      <c r="D2583" s="489" t="s">
        <v>9164</v>
      </c>
      <c r="E2583" s="487" t="s">
        <v>9165</v>
      </c>
      <c r="F2583" s="490">
        <v>0</v>
      </c>
      <c r="G2583" s="489">
        <v>52.12</v>
      </c>
      <c r="H2583" s="489">
        <v>0</v>
      </c>
      <c r="I2583" s="487" t="s">
        <v>1593</v>
      </c>
      <c r="J2583" s="487" t="s">
        <v>684</v>
      </c>
    </row>
    <row r="2584" spans="1:10" ht="15" x14ac:dyDescent="0.2">
      <c r="A2584" s="486" t="s">
        <v>683</v>
      </c>
      <c r="B2584" s="487" t="s">
        <v>682</v>
      </c>
      <c r="C2584" s="488" t="s">
        <v>9166</v>
      </c>
      <c r="D2584" s="489" t="s">
        <v>9167</v>
      </c>
      <c r="E2584" s="487" t="s">
        <v>9168</v>
      </c>
      <c r="F2584" s="490">
        <v>0</v>
      </c>
      <c r="G2584" s="489">
        <v>20.05</v>
      </c>
      <c r="H2584" s="489">
        <v>0</v>
      </c>
      <c r="I2584" s="487" t="s">
        <v>1593</v>
      </c>
      <c r="J2584" s="487" t="s">
        <v>684</v>
      </c>
    </row>
    <row r="2585" spans="1:10" ht="15" x14ac:dyDescent="0.2">
      <c r="A2585" s="486" t="s">
        <v>683</v>
      </c>
      <c r="B2585" s="487" t="s">
        <v>682</v>
      </c>
      <c r="C2585" s="488" t="s">
        <v>9169</v>
      </c>
      <c r="D2585" s="489" t="s">
        <v>9170</v>
      </c>
      <c r="E2585" s="487" t="s">
        <v>9171</v>
      </c>
      <c r="F2585" s="490">
        <v>0</v>
      </c>
      <c r="G2585" s="489">
        <v>10.48</v>
      </c>
      <c r="H2585" s="489">
        <v>0</v>
      </c>
      <c r="I2585" s="487" t="s">
        <v>1593</v>
      </c>
      <c r="J2585" s="487" t="s">
        <v>684</v>
      </c>
    </row>
    <row r="2586" spans="1:10" ht="15" x14ac:dyDescent="0.2">
      <c r="A2586" s="486" t="s">
        <v>683</v>
      </c>
      <c r="B2586" s="487" t="s">
        <v>682</v>
      </c>
      <c r="C2586" s="488" t="s">
        <v>9172</v>
      </c>
      <c r="D2586" s="489" t="s">
        <v>9173</v>
      </c>
      <c r="E2586" s="487" t="s">
        <v>9174</v>
      </c>
      <c r="F2586" s="490">
        <v>0</v>
      </c>
      <c r="G2586" s="489">
        <v>47.85</v>
      </c>
      <c r="H2586" s="489">
        <v>0</v>
      </c>
      <c r="I2586" s="487" t="s">
        <v>1593</v>
      </c>
      <c r="J2586" s="487" t="s">
        <v>684</v>
      </c>
    </row>
    <row r="2587" spans="1:10" ht="15" x14ac:dyDescent="0.2">
      <c r="A2587" s="486" t="s">
        <v>683</v>
      </c>
      <c r="B2587" s="487" t="s">
        <v>682</v>
      </c>
      <c r="C2587" s="488" t="s">
        <v>9175</v>
      </c>
      <c r="D2587" s="489" t="s">
        <v>9176</v>
      </c>
      <c r="E2587" s="487" t="s">
        <v>9177</v>
      </c>
      <c r="F2587" s="490">
        <v>0</v>
      </c>
      <c r="G2587" s="489">
        <v>44.25</v>
      </c>
      <c r="H2587" s="489">
        <v>0</v>
      </c>
      <c r="I2587" s="487" t="s">
        <v>1593</v>
      </c>
      <c r="J2587" s="487" t="s">
        <v>684</v>
      </c>
    </row>
    <row r="2588" spans="1:10" ht="15" x14ac:dyDescent="0.2">
      <c r="A2588" s="486" t="s">
        <v>683</v>
      </c>
      <c r="B2588" s="487" t="s">
        <v>682</v>
      </c>
      <c r="C2588" s="488" t="s">
        <v>9178</v>
      </c>
      <c r="D2588" s="489" t="s">
        <v>9179</v>
      </c>
      <c r="E2588" s="487" t="s">
        <v>9180</v>
      </c>
      <c r="F2588" s="490">
        <v>0</v>
      </c>
      <c r="G2588" s="489">
        <v>30.44</v>
      </c>
      <c r="H2588" s="489">
        <v>0</v>
      </c>
      <c r="I2588" s="487" t="s">
        <v>1593</v>
      </c>
      <c r="J2588" s="487" t="s">
        <v>684</v>
      </c>
    </row>
    <row r="2589" spans="1:10" ht="15" x14ac:dyDescent="0.2">
      <c r="A2589" s="486" t="s">
        <v>683</v>
      </c>
      <c r="B2589" s="487" t="s">
        <v>682</v>
      </c>
      <c r="C2589" s="488" t="s">
        <v>9181</v>
      </c>
      <c r="D2589" s="489" t="s">
        <v>9182</v>
      </c>
      <c r="E2589" s="487" t="s">
        <v>9183</v>
      </c>
      <c r="F2589" s="490">
        <v>0</v>
      </c>
      <c r="G2589" s="489">
        <v>26.39</v>
      </c>
      <c r="H2589" s="489">
        <v>0</v>
      </c>
      <c r="I2589" s="487" t="s">
        <v>1593</v>
      </c>
      <c r="J2589" s="487" t="s">
        <v>684</v>
      </c>
    </row>
    <row r="2590" spans="1:10" ht="15" x14ac:dyDescent="0.2">
      <c r="A2590" s="486" t="s">
        <v>683</v>
      </c>
      <c r="B2590" s="487" t="s">
        <v>682</v>
      </c>
      <c r="C2590" s="488" t="s">
        <v>9184</v>
      </c>
      <c r="D2590" s="489" t="s">
        <v>9185</v>
      </c>
      <c r="E2590" s="487" t="s">
        <v>9186</v>
      </c>
      <c r="F2590" s="490">
        <v>0</v>
      </c>
      <c r="G2590" s="489">
        <v>47.77</v>
      </c>
      <c r="H2590" s="489">
        <v>0</v>
      </c>
      <c r="I2590" s="487" t="s">
        <v>1593</v>
      </c>
      <c r="J2590" s="487" t="s">
        <v>684</v>
      </c>
    </row>
    <row r="2591" spans="1:10" ht="15" x14ac:dyDescent="0.2">
      <c r="A2591" s="486" t="s">
        <v>683</v>
      </c>
      <c r="B2591" s="487" t="s">
        <v>682</v>
      </c>
      <c r="C2591" s="488" t="s">
        <v>9187</v>
      </c>
      <c r="D2591" s="489" t="s">
        <v>9188</v>
      </c>
      <c r="E2591" s="487" t="s">
        <v>9189</v>
      </c>
      <c r="F2591" s="490">
        <v>0</v>
      </c>
      <c r="G2591" s="489">
        <v>15.68</v>
      </c>
      <c r="H2591" s="489">
        <v>0</v>
      </c>
      <c r="I2591" s="487" t="s">
        <v>1593</v>
      </c>
      <c r="J2591" s="487" t="s">
        <v>684</v>
      </c>
    </row>
    <row r="2592" spans="1:10" ht="15" x14ac:dyDescent="0.2">
      <c r="A2592" s="486" t="s">
        <v>683</v>
      </c>
      <c r="B2592" s="487" t="s">
        <v>682</v>
      </c>
      <c r="C2592" s="488" t="s">
        <v>9190</v>
      </c>
      <c r="D2592" s="489" t="s">
        <v>9191</v>
      </c>
      <c r="E2592" s="487" t="s">
        <v>9192</v>
      </c>
      <c r="F2592" s="490">
        <v>0</v>
      </c>
      <c r="G2592" s="489">
        <v>38.270000000000003</v>
      </c>
      <c r="H2592" s="489">
        <v>0</v>
      </c>
      <c r="I2592" s="487" t="s">
        <v>1593</v>
      </c>
      <c r="J2592" s="487" t="s">
        <v>684</v>
      </c>
    </row>
    <row r="2593" spans="1:10" ht="15" x14ac:dyDescent="0.2">
      <c r="A2593" s="486" t="s">
        <v>714</v>
      </c>
      <c r="B2593" s="487" t="s">
        <v>713</v>
      </c>
      <c r="C2593" s="488" t="s">
        <v>9193</v>
      </c>
      <c r="D2593" s="489" t="s">
        <v>9194</v>
      </c>
      <c r="E2593" s="487" t="s">
        <v>9195</v>
      </c>
      <c r="F2593" s="490">
        <v>0</v>
      </c>
      <c r="G2593" s="489">
        <v>38.1</v>
      </c>
      <c r="H2593" s="489">
        <v>0</v>
      </c>
      <c r="I2593" s="487" t="s">
        <v>1593</v>
      </c>
      <c r="J2593" s="487" t="s">
        <v>715</v>
      </c>
    </row>
    <row r="2594" spans="1:10" ht="15" x14ac:dyDescent="0.2">
      <c r="A2594" s="486" t="s">
        <v>714</v>
      </c>
      <c r="B2594" s="487" t="s">
        <v>713</v>
      </c>
      <c r="C2594" s="488" t="s">
        <v>9196</v>
      </c>
      <c r="D2594" s="489" t="s">
        <v>9197</v>
      </c>
      <c r="E2594" s="487" t="s">
        <v>9198</v>
      </c>
      <c r="F2594" s="490">
        <v>209086</v>
      </c>
      <c r="G2594" s="489">
        <v>1894.7</v>
      </c>
      <c r="H2594" s="489">
        <v>110.35308999999999</v>
      </c>
      <c r="I2594" s="487" t="s">
        <v>1499</v>
      </c>
      <c r="J2594" s="487" t="s">
        <v>715</v>
      </c>
    </row>
    <row r="2595" spans="1:10" ht="15" x14ac:dyDescent="0.2">
      <c r="A2595" s="486" t="s">
        <v>714</v>
      </c>
      <c r="B2595" s="487" t="s">
        <v>713</v>
      </c>
      <c r="C2595" s="488" t="s">
        <v>9199</v>
      </c>
      <c r="D2595" s="489" t="s">
        <v>9200</v>
      </c>
      <c r="E2595" s="487" t="s">
        <v>9201</v>
      </c>
      <c r="F2595" s="490">
        <v>1600</v>
      </c>
      <c r="G2595" s="489">
        <v>78.599999999999994</v>
      </c>
      <c r="H2595" s="489">
        <v>20.35623</v>
      </c>
      <c r="I2595" s="487" t="s">
        <v>1499</v>
      </c>
      <c r="J2595" s="487" t="s">
        <v>715</v>
      </c>
    </row>
    <row r="2596" spans="1:10" ht="15" x14ac:dyDescent="0.2">
      <c r="A2596" s="486" t="s">
        <v>714</v>
      </c>
      <c r="B2596" s="487" t="s">
        <v>713</v>
      </c>
      <c r="C2596" s="488" t="s">
        <v>9202</v>
      </c>
      <c r="D2596" s="489" t="s">
        <v>9203</v>
      </c>
      <c r="E2596" s="487" t="s">
        <v>9204</v>
      </c>
      <c r="F2596" s="490">
        <v>29517.67</v>
      </c>
      <c r="G2596" s="489">
        <v>585.20000000000005</v>
      </c>
      <c r="H2596" s="489">
        <v>50.440309999999997</v>
      </c>
      <c r="I2596" s="487" t="s">
        <v>1499</v>
      </c>
      <c r="J2596" s="487" t="s">
        <v>715</v>
      </c>
    </row>
    <row r="2597" spans="1:10" ht="15" x14ac:dyDescent="0.2">
      <c r="A2597" s="486" t="s">
        <v>714</v>
      </c>
      <c r="B2597" s="487" t="s">
        <v>713</v>
      </c>
      <c r="C2597" s="488" t="s">
        <v>9205</v>
      </c>
      <c r="D2597" s="489" t="s">
        <v>9206</v>
      </c>
      <c r="E2597" s="487" t="s">
        <v>9207</v>
      </c>
      <c r="F2597" s="490">
        <v>110051</v>
      </c>
      <c r="G2597" s="489">
        <v>2964.5</v>
      </c>
      <c r="H2597" s="489">
        <v>37.122950000000003</v>
      </c>
      <c r="I2597" s="487" t="s">
        <v>1499</v>
      </c>
      <c r="J2597" s="487" t="s">
        <v>715</v>
      </c>
    </row>
    <row r="2598" spans="1:10" ht="15" x14ac:dyDescent="0.2">
      <c r="A2598" s="486" t="s">
        <v>714</v>
      </c>
      <c r="B2598" s="487" t="s">
        <v>713</v>
      </c>
      <c r="C2598" s="488" t="s">
        <v>9208</v>
      </c>
      <c r="D2598" s="489" t="s">
        <v>9209</v>
      </c>
      <c r="E2598" s="487" t="s">
        <v>9210</v>
      </c>
      <c r="F2598" s="490">
        <v>483029.34</v>
      </c>
      <c r="G2598" s="489">
        <v>4427.3999999999996</v>
      </c>
      <c r="H2598" s="489">
        <v>109.1</v>
      </c>
      <c r="I2598" s="487" t="s">
        <v>1499</v>
      </c>
      <c r="J2598" s="487" t="s">
        <v>715</v>
      </c>
    </row>
    <row r="2599" spans="1:10" ht="15" x14ac:dyDescent="0.2">
      <c r="A2599" s="486" t="s">
        <v>714</v>
      </c>
      <c r="B2599" s="487" t="s">
        <v>713</v>
      </c>
      <c r="C2599" s="488" t="s">
        <v>9211</v>
      </c>
      <c r="D2599" s="489" t="s">
        <v>9212</v>
      </c>
      <c r="E2599" s="487" t="s">
        <v>9213</v>
      </c>
      <c r="F2599" s="490">
        <v>57844</v>
      </c>
      <c r="G2599" s="489">
        <v>424.7</v>
      </c>
      <c r="H2599" s="489">
        <v>136.19967</v>
      </c>
      <c r="I2599" s="487" t="s">
        <v>1499</v>
      </c>
      <c r="J2599" s="487" t="s">
        <v>715</v>
      </c>
    </row>
    <row r="2600" spans="1:10" ht="15" x14ac:dyDescent="0.2">
      <c r="A2600" s="486" t="s">
        <v>714</v>
      </c>
      <c r="B2600" s="487" t="s">
        <v>713</v>
      </c>
      <c r="C2600" s="488" t="s">
        <v>9214</v>
      </c>
      <c r="D2600" s="489" t="s">
        <v>9215</v>
      </c>
      <c r="E2600" s="487" t="s">
        <v>9216</v>
      </c>
      <c r="F2600" s="490">
        <v>0</v>
      </c>
      <c r="G2600" s="489">
        <v>43.4</v>
      </c>
      <c r="H2600" s="489">
        <v>0</v>
      </c>
      <c r="I2600" s="487" t="s">
        <v>1593</v>
      </c>
      <c r="J2600" s="487" t="s">
        <v>715</v>
      </c>
    </row>
    <row r="2601" spans="1:10" ht="15" x14ac:dyDescent="0.2">
      <c r="A2601" s="486" t="s">
        <v>714</v>
      </c>
      <c r="B2601" s="487" t="s">
        <v>713</v>
      </c>
      <c r="C2601" s="488" t="s">
        <v>9217</v>
      </c>
      <c r="D2601" s="489" t="s">
        <v>9218</v>
      </c>
      <c r="E2601" s="487" t="s">
        <v>9219</v>
      </c>
      <c r="F2601" s="490">
        <v>380</v>
      </c>
      <c r="G2601" s="489">
        <v>58</v>
      </c>
      <c r="H2601" s="489">
        <v>6.5517200000000004</v>
      </c>
      <c r="I2601" s="487" t="s">
        <v>1499</v>
      </c>
      <c r="J2601" s="487" t="s">
        <v>715</v>
      </c>
    </row>
    <row r="2602" spans="1:10" ht="15" x14ac:dyDescent="0.2">
      <c r="A2602" s="486" t="s">
        <v>714</v>
      </c>
      <c r="B2602" s="487" t="s">
        <v>713</v>
      </c>
      <c r="C2602" s="488" t="s">
        <v>9220</v>
      </c>
      <c r="D2602" s="489" t="s">
        <v>9221</v>
      </c>
      <c r="E2602" s="487" t="s">
        <v>9222</v>
      </c>
      <c r="F2602" s="490">
        <v>16000</v>
      </c>
      <c r="G2602" s="489">
        <v>706.6</v>
      </c>
      <c r="H2602" s="489">
        <v>22.643650000000001</v>
      </c>
      <c r="I2602" s="487" t="s">
        <v>1499</v>
      </c>
      <c r="J2602" s="487" t="s">
        <v>715</v>
      </c>
    </row>
    <row r="2603" spans="1:10" ht="15" x14ac:dyDescent="0.2">
      <c r="A2603" s="486" t="s">
        <v>714</v>
      </c>
      <c r="B2603" s="487" t="s">
        <v>713</v>
      </c>
      <c r="C2603" s="488" t="s">
        <v>9223</v>
      </c>
      <c r="D2603" s="489" t="s">
        <v>9224</v>
      </c>
      <c r="E2603" s="487" t="s">
        <v>9225</v>
      </c>
      <c r="F2603" s="490">
        <v>6500</v>
      </c>
      <c r="G2603" s="489">
        <v>187</v>
      </c>
      <c r="H2603" s="489">
        <v>34.759360000000001</v>
      </c>
      <c r="I2603" s="487" t="s">
        <v>1499</v>
      </c>
      <c r="J2603" s="487" t="s">
        <v>715</v>
      </c>
    </row>
    <row r="2604" spans="1:10" ht="15" x14ac:dyDescent="0.2">
      <c r="A2604" s="486" t="s">
        <v>714</v>
      </c>
      <c r="B2604" s="487" t="s">
        <v>713</v>
      </c>
      <c r="C2604" s="488" t="s">
        <v>9226</v>
      </c>
      <c r="D2604" s="489" t="s">
        <v>9227</v>
      </c>
      <c r="E2604" s="487" t="s">
        <v>9228</v>
      </c>
      <c r="F2604" s="490">
        <v>2204.29</v>
      </c>
      <c r="G2604" s="489">
        <v>59.8</v>
      </c>
      <c r="H2604" s="489">
        <v>36.861040000000003</v>
      </c>
      <c r="I2604" s="487" t="s">
        <v>1499</v>
      </c>
      <c r="J2604" s="487" t="s">
        <v>715</v>
      </c>
    </row>
    <row r="2605" spans="1:10" ht="15" x14ac:dyDescent="0.2">
      <c r="A2605" s="486" t="s">
        <v>714</v>
      </c>
      <c r="B2605" s="487" t="s">
        <v>713</v>
      </c>
      <c r="C2605" s="488" t="s">
        <v>9229</v>
      </c>
      <c r="D2605" s="489" t="s">
        <v>9230</v>
      </c>
      <c r="E2605" s="487" t="s">
        <v>9231</v>
      </c>
      <c r="F2605" s="490">
        <v>20554</v>
      </c>
      <c r="G2605" s="489">
        <v>227.2</v>
      </c>
      <c r="H2605" s="489">
        <v>90.466549999999998</v>
      </c>
      <c r="I2605" s="487" t="s">
        <v>1499</v>
      </c>
      <c r="J2605" s="487" t="s">
        <v>715</v>
      </c>
    </row>
    <row r="2606" spans="1:10" ht="15" x14ac:dyDescent="0.2">
      <c r="A2606" s="486" t="s">
        <v>714</v>
      </c>
      <c r="B2606" s="487" t="s">
        <v>713</v>
      </c>
      <c r="C2606" s="488" t="s">
        <v>9232</v>
      </c>
      <c r="D2606" s="489" t="s">
        <v>9233</v>
      </c>
      <c r="E2606" s="487" t="s">
        <v>9234</v>
      </c>
      <c r="F2606" s="490">
        <v>242033</v>
      </c>
      <c r="G2606" s="489">
        <v>5392.9</v>
      </c>
      <c r="H2606" s="489">
        <v>44.879930000000002</v>
      </c>
      <c r="I2606" s="487" t="s">
        <v>1499</v>
      </c>
      <c r="J2606" s="487" t="s">
        <v>715</v>
      </c>
    </row>
    <row r="2607" spans="1:10" ht="15" x14ac:dyDescent="0.2">
      <c r="A2607" s="486" t="s">
        <v>714</v>
      </c>
      <c r="B2607" s="487" t="s">
        <v>713</v>
      </c>
      <c r="C2607" s="488" t="s">
        <v>9235</v>
      </c>
      <c r="D2607" s="489" t="s">
        <v>9236</v>
      </c>
      <c r="E2607" s="487" t="s">
        <v>9237</v>
      </c>
      <c r="F2607" s="490">
        <v>0</v>
      </c>
      <c r="G2607" s="489">
        <v>0</v>
      </c>
      <c r="H2607" s="489">
        <v>0</v>
      </c>
      <c r="I2607" s="487" t="s">
        <v>2465</v>
      </c>
      <c r="J2607" s="487" t="s">
        <v>715</v>
      </c>
    </row>
    <row r="2608" spans="1:10" ht="15" x14ac:dyDescent="0.2">
      <c r="A2608" s="486" t="s">
        <v>714</v>
      </c>
      <c r="B2608" s="487" t="s">
        <v>713</v>
      </c>
      <c r="C2608" s="488" t="s">
        <v>9238</v>
      </c>
      <c r="D2608" s="489" t="s">
        <v>9239</v>
      </c>
      <c r="E2608" s="487" t="s">
        <v>9240</v>
      </c>
      <c r="F2608" s="490">
        <v>8700</v>
      </c>
      <c r="G2608" s="489">
        <v>409.8</v>
      </c>
      <c r="H2608" s="489">
        <v>21.229869999999998</v>
      </c>
      <c r="I2608" s="487" t="s">
        <v>1499</v>
      </c>
      <c r="J2608" s="487" t="s">
        <v>715</v>
      </c>
    </row>
    <row r="2609" spans="1:10" ht="15" x14ac:dyDescent="0.2">
      <c r="A2609" s="486" t="s">
        <v>714</v>
      </c>
      <c r="B2609" s="487" t="s">
        <v>713</v>
      </c>
      <c r="C2609" s="488" t="s">
        <v>9241</v>
      </c>
      <c r="D2609" s="489" t="s">
        <v>9242</v>
      </c>
      <c r="E2609" s="487" t="s">
        <v>9243</v>
      </c>
      <c r="F2609" s="490">
        <v>83893.99</v>
      </c>
      <c r="G2609" s="489">
        <v>2010.4</v>
      </c>
      <c r="H2609" s="489">
        <v>41.73</v>
      </c>
      <c r="I2609" s="487" t="s">
        <v>1499</v>
      </c>
      <c r="J2609" s="487" t="s">
        <v>715</v>
      </c>
    </row>
    <row r="2610" spans="1:10" ht="15" x14ac:dyDescent="0.2">
      <c r="A2610" s="486" t="s">
        <v>714</v>
      </c>
      <c r="B2610" s="487" t="s">
        <v>713</v>
      </c>
      <c r="C2610" s="488" t="s">
        <v>9244</v>
      </c>
      <c r="D2610" s="489" t="s">
        <v>9245</v>
      </c>
      <c r="E2610" s="487" t="s">
        <v>9246</v>
      </c>
      <c r="F2610" s="490">
        <v>10000</v>
      </c>
      <c r="G2610" s="489">
        <v>313.2</v>
      </c>
      <c r="H2610" s="489">
        <v>31.92848</v>
      </c>
      <c r="I2610" s="487" t="s">
        <v>1499</v>
      </c>
      <c r="J2610" s="487" t="s">
        <v>715</v>
      </c>
    </row>
    <row r="2611" spans="1:10" ht="15" x14ac:dyDescent="0.2">
      <c r="A2611" s="486" t="s">
        <v>714</v>
      </c>
      <c r="B2611" s="487" t="s">
        <v>713</v>
      </c>
      <c r="C2611" s="488" t="s">
        <v>9247</v>
      </c>
      <c r="D2611" s="489" t="s">
        <v>9248</v>
      </c>
      <c r="E2611" s="487" t="s">
        <v>2857</v>
      </c>
      <c r="F2611" s="490">
        <v>302726</v>
      </c>
      <c r="G2611" s="489">
        <v>1244.2</v>
      </c>
      <c r="H2611" s="489">
        <v>243.30976000000001</v>
      </c>
      <c r="I2611" s="487" t="s">
        <v>1499</v>
      </c>
      <c r="J2611" s="487" t="s">
        <v>715</v>
      </c>
    </row>
    <row r="2612" spans="1:10" ht="15" x14ac:dyDescent="0.2">
      <c r="A2612" s="486" t="s">
        <v>714</v>
      </c>
      <c r="B2612" s="487" t="s">
        <v>713</v>
      </c>
      <c r="C2612" s="488" t="s">
        <v>9249</v>
      </c>
      <c r="D2612" s="489" t="s">
        <v>9250</v>
      </c>
      <c r="E2612" s="487" t="s">
        <v>9251</v>
      </c>
      <c r="F2612" s="490">
        <v>0</v>
      </c>
      <c r="G2612" s="489">
        <v>41</v>
      </c>
      <c r="H2612" s="489">
        <v>0</v>
      </c>
      <c r="I2612" s="487" t="s">
        <v>1593</v>
      </c>
      <c r="J2612" s="487" t="s">
        <v>715</v>
      </c>
    </row>
    <row r="2613" spans="1:10" ht="15" x14ac:dyDescent="0.2">
      <c r="A2613" s="486" t="s">
        <v>714</v>
      </c>
      <c r="B2613" s="487" t="s">
        <v>713</v>
      </c>
      <c r="C2613" s="488" t="s">
        <v>9252</v>
      </c>
      <c r="D2613" s="489" t="s">
        <v>9253</v>
      </c>
      <c r="E2613" s="487" t="s">
        <v>9254</v>
      </c>
      <c r="F2613" s="490">
        <v>26070</v>
      </c>
      <c r="G2613" s="489">
        <v>416.7</v>
      </c>
      <c r="H2613" s="489">
        <v>62.562989999999999</v>
      </c>
      <c r="I2613" s="487" t="s">
        <v>1499</v>
      </c>
      <c r="J2613" s="487" t="s">
        <v>715</v>
      </c>
    </row>
    <row r="2614" spans="1:10" ht="15" x14ac:dyDescent="0.2">
      <c r="A2614" s="486" t="s">
        <v>714</v>
      </c>
      <c r="B2614" s="487" t="s">
        <v>713</v>
      </c>
      <c r="C2614" s="488" t="s">
        <v>9255</v>
      </c>
      <c r="D2614" s="489" t="s">
        <v>9256</v>
      </c>
      <c r="E2614" s="487" t="s">
        <v>9257</v>
      </c>
      <c r="F2614" s="490">
        <v>67411</v>
      </c>
      <c r="G2614" s="489">
        <v>611</v>
      </c>
      <c r="H2614" s="489">
        <v>110.32897</v>
      </c>
      <c r="I2614" s="487" t="s">
        <v>1499</v>
      </c>
      <c r="J2614" s="487" t="s">
        <v>715</v>
      </c>
    </row>
    <row r="2615" spans="1:10" ht="15" x14ac:dyDescent="0.2">
      <c r="A2615" s="486" t="s">
        <v>714</v>
      </c>
      <c r="B2615" s="487" t="s">
        <v>713</v>
      </c>
      <c r="C2615" s="488" t="s">
        <v>9258</v>
      </c>
      <c r="D2615" s="489" t="s">
        <v>9259</v>
      </c>
      <c r="E2615" s="487" t="s">
        <v>9260</v>
      </c>
      <c r="F2615" s="490">
        <v>18183</v>
      </c>
      <c r="G2615" s="489">
        <v>283.5</v>
      </c>
      <c r="H2615" s="489">
        <v>64.137569999999997</v>
      </c>
      <c r="I2615" s="487" t="s">
        <v>1499</v>
      </c>
      <c r="J2615" s="487" t="s">
        <v>715</v>
      </c>
    </row>
    <row r="2616" spans="1:10" ht="15" x14ac:dyDescent="0.2">
      <c r="A2616" s="486" t="s">
        <v>714</v>
      </c>
      <c r="B2616" s="487" t="s">
        <v>713</v>
      </c>
      <c r="C2616" s="488" t="s">
        <v>9261</v>
      </c>
      <c r="D2616" s="489" t="s">
        <v>9262</v>
      </c>
      <c r="E2616" s="487" t="s">
        <v>9263</v>
      </c>
      <c r="F2616" s="490">
        <v>21934</v>
      </c>
      <c r="G2616" s="489">
        <v>288.3</v>
      </c>
      <c r="H2616" s="489">
        <v>76.080470000000005</v>
      </c>
      <c r="I2616" s="487" t="s">
        <v>1499</v>
      </c>
      <c r="J2616" s="487" t="s">
        <v>715</v>
      </c>
    </row>
    <row r="2617" spans="1:10" ht="15" x14ac:dyDescent="0.2">
      <c r="A2617" s="486" t="s">
        <v>714</v>
      </c>
      <c r="B2617" s="487" t="s">
        <v>713</v>
      </c>
      <c r="C2617" s="488" t="s">
        <v>9264</v>
      </c>
      <c r="D2617" s="489" t="s">
        <v>9265</v>
      </c>
      <c r="E2617" s="487" t="s">
        <v>9266</v>
      </c>
      <c r="F2617" s="490">
        <v>170372</v>
      </c>
      <c r="G2617" s="489">
        <v>1484.3</v>
      </c>
      <c r="H2617" s="489">
        <v>114.78273</v>
      </c>
      <c r="I2617" s="487" t="s">
        <v>1499</v>
      </c>
      <c r="J2617" s="487" t="s">
        <v>715</v>
      </c>
    </row>
    <row r="2618" spans="1:10" ht="15" x14ac:dyDescent="0.2">
      <c r="A2618" s="486" t="s">
        <v>714</v>
      </c>
      <c r="B2618" s="487" t="s">
        <v>713</v>
      </c>
      <c r="C2618" s="488" t="s">
        <v>9267</v>
      </c>
      <c r="D2618" s="489" t="s">
        <v>9268</v>
      </c>
      <c r="E2618" s="487" t="s">
        <v>9269</v>
      </c>
      <c r="F2618" s="490">
        <v>17500</v>
      </c>
      <c r="G2618" s="489">
        <v>297.39999999999998</v>
      </c>
      <c r="H2618" s="489">
        <v>58.843310000000002</v>
      </c>
      <c r="I2618" s="487" t="s">
        <v>1499</v>
      </c>
      <c r="J2618" s="487" t="s">
        <v>715</v>
      </c>
    </row>
    <row r="2619" spans="1:10" ht="15" x14ac:dyDescent="0.2">
      <c r="A2619" s="486" t="s">
        <v>714</v>
      </c>
      <c r="B2619" s="487" t="s">
        <v>713</v>
      </c>
      <c r="C2619" s="488" t="s">
        <v>9270</v>
      </c>
      <c r="D2619" s="489" t="s">
        <v>9271</v>
      </c>
      <c r="E2619" s="487" t="s">
        <v>9272</v>
      </c>
      <c r="F2619" s="490">
        <v>15464.85</v>
      </c>
      <c r="G2619" s="489">
        <v>553.70000000000005</v>
      </c>
      <c r="H2619" s="489">
        <v>27.930019999999999</v>
      </c>
      <c r="I2619" s="487" t="s">
        <v>1499</v>
      </c>
      <c r="J2619" s="487" t="s">
        <v>715</v>
      </c>
    </row>
    <row r="2620" spans="1:10" ht="15" x14ac:dyDescent="0.2">
      <c r="A2620" s="486" t="s">
        <v>714</v>
      </c>
      <c r="B2620" s="487" t="s">
        <v>713</v>
      </c>
      <c r="C2620" s="488" t="s">
        <v>9273</v>
      </c>
      <c r="D2620" s="489" t="s">
        <v>9274</v>
      </c>
      <c r="E2620" s="487" t="s">
        <v>9275</v>
      </c>
      <c r="F2620" s="490">
        <v>18867</v>
      </c>
      <c r="G2620" s="489">
        <v>906.8</v>
      </c>
      <c r="H2620" s="489">
        <v>20.80613</v>
      </c>
      <c r="I2620" s="487" t="s">
        <v>1499</v>
      </c>
      <c r="J2620" s="487" t="s">
        <v>715</v>
      </c>
    </row>
    <row r="2621" spans="1:10" ht="15" x14ac:dyDescent="0.2">
      <c r="A2621" s="486" t="s">
        <v>714</v>
      </c>
      <c r="B2621" s="487" t="s">
        <v>713</v>
      </c>
      <c r="C2621" s="488" t="s">
        <v>9276</v>
      </c>
      <c r="D2621" s="489" t="s">
        <v>9277</v>
      </c>
      <c r="E2621" s="487" t="s">
        <v>9278</v>
      </c>
      <c r="F2621" s="490">
        <v>387493</v>
      </c>
      <c r="G2621" s="489">
        <v>1156.3</v>
      </c>
      <c r="H2621" s="489">
        <v>335.11459000000002</v>
      </c>
      <c r="I2621" s="487" t="s">
        <v>1499</v>
      </c>
      <c r="J2621" s="487" t="s">
        <v>715</v>
      </c>
    </row>
    <row r="2622" spans="1:10" ht="15" x14ac:dyDescent="0.2">
      <c r="A2622" s="486" t="s">
        <v>714</v>
      </c>
      <c r="B2622" s="487" t="s">
        <v>713</v>
      </c>
      <c r="C2622" s="488" t="s">
        <v>9279</v>
      </c>
      <c r="D2622" s="489" t="s">
        <v>9280</v>
      </c>
      <c r="E2622" s="487" t="s">
        <v>9281</v>
      </c>
      <c r="F2622" s="490">
        <v>186140</v>
      </c>
      <c r="G2622" s="489">
        <v>930.7</v>
      </c>
      <c r="H2622" s="489">
        <v>200</v>
      </c>
      <c r="I2622" s="487" t="s">
        <v>1499</v>
      </c>
      <c r="J2622" s="487" t="s">
        <v>715</v>
      </c>
    </row>
    <row r="2623" spans="1:10" ht="15" x14ac:dyDescent="0.2">
      <c r="A2623" s="486" t="s">
        <v>714</v>
      </c>
      <c r="B2623" s="487" t="s">
        <v>713</v>
      </c>
      <c r="C2623" s="488" t="s">
        <v>9282</v>
      </c>
      <c r="D2623" s="489" t="s">
        <v>9283</v>
      </c>
      <c r="E2623" s="487" t="s">
        <v>9284</v>
      </c>
      <c r="F2623" s="490">
        <v>11182</v>
      </c>
      <c r="G2623" s="489">
        <v>152</v>
      </c>
      <c r="H2623" s="489">
        <v>73.565790000000007</v>
      </c>
      <c r="I2623" s="487" t="s">
        <v>1499</v>
      </c>
      <c r="J2623" s="487" t="s">
        <v>715</v>
      </c>
    </row>
    <row r="2624" spans="1:10" ht="15" x14ac:dyDescent="0.2">
      <c r="A2624" s="486" t="s">
        <v>714</v>
      </c>
      <c r="B2624" s="487" t="s">
        <v>713</v>
      </c>
      <c r="C2624" s="488" t="s">
        <v>9285</v>
      </c>
      <c r="D2624" s="489" t="s">
        <v>9286</v>
      </c>
      <c r="E2624" s="487" t="s">
        <v>9287</v>
      </c>
      <c r="F2624" s="490">
        <v>10215.56</v>
      </c>
      <c r="G2624" s="489">
        <v>208.2</v>
      </c>
      <c r="H2624" s="489">
        <v>49.066090000000003</v>
      </c>
      <c r="I2624" s="487" t="s">
        <v>1499</v>
      </c>
      <c r="J2624" s="487" t="s">
        <v>715</v>
      </c>
    </row>
    <row r="2625" spans="1:10" ht="15" x14ac:dyDescent="0.2">
      <c r="A2625" s="486" t="s">
        <v>714</v>
      </c>
      <c r="B2625" s="487" t="s">
        <v>713</v>
      </c>
      <c r="C2625" s="488" t="s">
        <v>9288</v>
      </c>
      <c r="D2625" s="489" t="s">
        <v>9289</v>
      </c>
      <c r="E2625" s="487" t="s">
        <v>9290</v>
      </c>
      <c r="F2625" s="490">
        <v>0</v>
      </c>
      <c r="G2625" s="489">
        <v>0</v>
      </c>
      <c r="H2625" s="489">
        <v>0</v>
      </c>
      <c r="I2625" s="487" t="s">
        <v>2465</v>
      </c>
      <c r="J2625" s="487" t="s">
        <v>715</v>
      </c>
    </row>
    <row r="2626" spans="1:10" ht="15" x14ac:dyDescent="0.2">
      <c r="A2626" s="486" t="s">
        <v>714</v>
      </c>
      <c r="B2626" s="487" t="s">
        <v>713</v>
      </c>
      <c r="C2626" s="488" t="s">
        <v>9291</v>
      </c>
      <c r="D2626" s="489" t="s">
        <v>9292</v>
      </c>
      <c r="E2626" s="487" t="s">
        <v>9293</v>
      </c>
      <c r="F2626" s="490">
        <v>14127.02</v>
      </c>
      <c r="G2626" s="489">
        <v>112.2</v>
      </c>
      <c r="H2626" s="489">
        <v>125.90927000000001</v>
      </c>
      <c r="I2626" s="487" t="s">
        <v>1499</v>
      </c>
      <c r="J2626" s="487" t="s">
        <v>715</v>
      </c>
    </row>
    <row r="2627" spans="1:10" ht="15" x14ac:dyDescent="0.2">
      <c r="A2627" s="486" t="s">
        <v>714</v>
      </c>
      <c r="B2627" s="487" t="s">
        <v>713</v>
      </c>
      <c r="C2627" s="488" t="s">
        <v>9294</v>
      </c>
      <c r="D2627" s="489" t="s">
        <v>9295</v>
      </c>
      <c r="E2627" s="487" t="s">
        <v>9296</v>
      </c>
      <c r="F2627" s="490">
        <v>110066</v>
      </c>
      <c r="G2627" s="489">
        <v>1473.5</v>
      </c>
      <c r="H2627" s="489">
        <v>74.696979999999996</v>
      </c>
      <c r="I2627" s="487" t="s">
        <v>1499</v>
      </c>
      <c r="J2627" s="487" t="s">
        <v>715</v>
      </c>
    </row>
    <row r="2628" spans="1:10" ht="15" x14ac:dyDescent="0.2">
      <c r="A2628" s="486" t="s">
        <v>714</v>
      </c>
      <c r="B2628" s="487" t="s">
        <v>713</v>
      </c>
      <c r="C2628" s="488" t="s">
        <v>9297</v>
      </c>
      <c r="D2628" s="489" t="s">
        <v>9298</v>
      </c>
      <c r="E2628" s="487" t="s">
        <v>9299</v>
      </c>
      <c r="F2628" s="490">
        <v>32139.13</v>
      </c>
      <c r="G2628" s="489">
        <v>694.9</v>
      </c>
      <c r="H2628" s="489">
        <v>46.250010000000003</v>
      </c>
      <c r="I2628" s="487" t="s">
        <v>1499</v>
      </c>
      <c r="J2628" s="487" t="s">
        <v>715</v>
      </c>
    </row>
    <row r="2629" spans="1:10" ht="15" x14ac:dyDescent="0.2">
      <c r="A2629" s="486" t="s">
        <v>714</v>
      </c>
      <c r="B2629" s="487" t="s">
        <v>713</v>
      </c>
      <c r="C2629" s="488" t="s">
        <v>9300</v>
      </c>
      <c r="D2629" s="489" t="s">
        <v>9301</v>
      </c>
      <c r="E2629" s="487" t="s">
        <v>9302</v>
      </c>
      <c r="F2629" s="490">
        <v>65500</v>
      </c>
      <c r="G2629" s="489">
        <v>682</v>
      </c>
      <c r="H2629" s="489">
        <v>96.041060000000002</v>
      </c>
      <c r="I2629" s="487" t="s">
        <v>1499</v>
      </c>
      <c r="J2629" s="487" t="s">
        <v>715</v>
      </c>
    </row>
    <row r="2630" spans="1:10" ht="15" x14ac:dyDescent="0.2">
      <c r="A2630" s="486" t="s">
        <v>714</v>
      </c>
      <c r="B2630" s="487" t="s">
        <v>713</v>
      </c>
      <c r="C2630" s="488" t="s">
        <v>9303</v>
      </c>
      <c r="D2630" s="489" t="s">
        <v>9304</v>
      </c>
      <c r="E2630" s="487" t="s">
        <v>9305</v>
      </c>
      <c r="F2630" s="490">
        <v>584843</v>
      </c>
      <c r="G2630" s="489">
        <v>2340.6999999999998</v>
      </c>
      <c r="H2630" s="489">
        <v>249.85816</v>
      </c>
      <c r="I2630" s="487" t="s">
        <v>1499</v>
      </c>
      <c r="J2630" s="487" t="s">
        <v>715</v>
      </c>
    </row>
    <row r="2631" spans="1:10" ht="15" x14ac:dyDescent="0.2">
      <c r="A2631" s="486" t="s">
        <v>714</v>
      </c>
      <c r="B2631" s="487" t="s">
        <v>713</v>
      </c>
      <c r="C2631" s="488" t="s">
        <v>9306</v>
      </c>
      <c r="D2631" s="489" t="s">
        <v>9307</v>
      </c>
      <c r="E2631" s="487" t="s">
        <v>9308</v>
      </c>
      <c r="F2631" s="490">
        <v>107128.15</v>
      </c>
      <c r="G2631" s="489">
        <v>647.29999999999995</v>
      </c>
      <c r="H2631" s="489">
        <v>165.5</v>
      </c>
      <c r="I2631" s="487" t="s">
        <v>1499</v>
      </c>
      <c r="J2631" s="487" t="s">
        <v>715</v>
      </c>
    </row>
    <row r="2632" spans="1:10" ht="15" x14ac:dyDescent="0.2">
      <c r="A2632" s="486" t="s">
        <v>714</v>
      </c>
      <c r="B2632" s="487" t="s">
        <v>713</v>
      </c>
      <c r="C2632" s="488" t="s">
        <v>9309</v>
      </c>
      <c r="D2632" s="489" t="s">
        <v>9310</v>
      </c>
      <c r="E2632" s="487" t="s">
        <v>9311</v>
      </c>
      <c r="F2632" s="490">
        <v>0</v>
      </c>
      <c r="G2632" s="489">
        <v>62.9</v>
      </c>
      <c r="H2632" s="489">
        <v>0</v>
      </c>
      <c r="I2632" s="487" t="s">
        <v>1593</v>
      </c>
      <c r="J2632" s="487" t="s">
        <v>715</v>
      </c>
    </row>
    <row r="2633" spans="1:10" ht="15" x14ac:dyDescent="0.2">
      <c r="A2633" s="486" t="s">
        <v>714</v>
      </c>
      <c r="B2633" s="487" t="s">
        <v>713</v>
      </c>
      <c r="C2633" s="488" t="s">
        <v>9312</v>
      </c>
      <c r="D2633" s="489" t="s">
        <v>9313</v>
      </c>
      <c r="E2633" s="487" t="s">
        <v>9314</v>
      </c>
      <c r="F2633" s="490">
        <v>76105</v>
      </c>
      <c r="G2633" s="489">
        <v>1923.3</v>
      </c>
      <c r="H2633" s="489">
        <v>39.570010000000003</v>
      </c>
      <c r="I2633" s="487" t="s">
        <v>1499</v>
      </c>
      <c r="J2633" s="487" t="s">
        <v>715</v>
      </c>
    </row>
    <row r="2634" spans="1:10" ht="15" x14ac:dyDescent="0.2">
      <c r="A2634" s="486" t="s">
        <v>714</v>
      </c>
      <c r="B2634" s="487" t="s">
        <v>713</v>
      </c>
      <c r="C2634" s="488" t="s">
        <v>9315</v>
      </c>
      <c r="D2634" s="489" t="s">
        <v>9316</v>
      </c>
      <c r="E2634" s="487" t="s">
        <v>9317</v>
      </c>
      <c r="F2634" s="490">
        <v>36548</v>
      </c>
      <c r="G2634" s="489">
        <v>499.2</v>
      </c>
      <c r="H2634" s="489">
        <v>73.213139999999996</v>
      </c>
      <c r="I2634" s="487" t="s">
        <v>2465</v>
      </c>
      <c r="J2634" s="487" t="s">
        <v>715</v>
      </c>
    </row>
    <row r="2635" spans="1:10" ht="15" x14ac:dyDescent="0.2">
      <c r="A2635" s="486" t="s">
        <v>714</v>
      </c>
      <c r="B2635" s="487" t="s">
        <v>713</v>
      </c>
      <c r="C2635" s="488" t="s">
        <v>9318</v>
      </c>
      <c r="D2635" s="489" t="s">
        <v>9319</v>
      </c>
      <c r="E2635" s="487" t="s">
        <v>9320</v>
      </c>
      <c r="F2635" s="490">
        <v>0</v>
      </c>
      <c r="G2635" s="489">
        <v>18.7</v>
      </c>
      <c r="H2635" s="489">
        <v>0</v>
      </c>
      <c r="I2635" s="487" t="s">
        <v>1593</v>
      </c>
      <c r="J2635" s="487" t="s">
        <v>715</v>
      </c>
    </row>
    <row r="2636" spans="1:10" ht="15" x14ac:dyDescent="0.2">
      <c r="A2636" s="486" t="s">
        <v>714</v>
      </c>
      <c r="B2636" s="487" t="s">
        <v>713</v>
      </c>
      <c r="C2636" s="488" t="s">
        <v>9321</v>
      </c>
      <c r="D2636" s="489" t="s">
        <v>9322</v>
      </c>
      <c r="E2636" s="487" t="s">
        <v>9323</v>
      </c>
      <c r="F2636" s="490">
        <v>2075350</v>
      </c>
      <c r="G2636" s="489">
        <v>6909</v>
      </c>
      <c r="H2636" s="489">
        <v>300.38355999999999</v>
      </c>
      <c r="I2636" s="487" t="s">
        <v>1499</v>
      </c>
      <c r="J2636" s="487" t="s">
        <v>715</v>
      </c>
    </row>
    <row r="2637" spans="1:10" ht="15" x14ac:dyDescent="0.2">
      <c r="A2637" s="486" t="s">
        <v>714</v>
      </c>
      <c r="B2637" s="487" t="s">
        <v>713</v>
      </c>
      <c r="C2637" s="488" t="s">
        <v>9324</v>
      </c>
      <c r="D2637" s="489" t="s">
        <v>9325</v>
      </c>
      <c r="E2637" s="487" t="s">
        <v>9326</v>
      </c>
      <c r="F2637" s="490">
        <v>80549.149999999994</v>
      </c>
      <c r="G2637" s="489">
        <v>1119.8</v>
      </c>
      <c r="H2637" s="489">
        <v>71.931730000000002</v>
      </c>
      <c r="I2637" s="487" t="s">
        <v>1499</v>
      </c>
      <c r="J2637" s="487" t="s">
        <v>715</v>
      </c>
    </row>
    <row r="2638" spans="1:10" ht="15" x14ac:dyDescent="0.2">
      <c r="A2638" s="486" t="s">
        <v>714</v>
      </c>
      <c r="B2638" s="487" t="s">
        <v>713</v>
      </c>
      <c r="C2638" s="488" t="s">
        <v>9327</v>
      </c>
      <c r="D2638" s="489" t="s">
        <v>9328</v>
      </c>
      <c r="E2638" s="487" t="s">
        <v>9329</v>
      </c>
      <c r="F2638" s="490">
        <v>123039.31</v>
      </c>
      <c r="G2638" s="489">
        <v>1873.6</v>
      </c>
      <c r="H2638" s="489">
        <v>65.67</v>
      </c>
      <c r="I2638" s="487" t="s">
        <v>1499</v>
      </c>
      <c r="J2638" s="487" t="s">
        <v>715</v>
      </c>
    </row>
    <row r="2639" spans="1:10" ht="15" x14ac:dyDescent="0.2">
      <c r="A2639" s="486" t="s">
        <v>714</v>
      </c>
      <c r="B2639" s="487" t="s">
        <v>713</v>
      </c>
      <c r="C2639" s="488" t="s">
        <v>9330</v>
      </c>
      <c r="D2639" s="489" t="s">
        <v>9331</v>
      </c>
      <c r="E2639" s="487" t="s">
        <v>9332</v>
      </c>
      <c r="F2639" s="490">
        <v>6459.26</v>
      </c>
      <c r="G2639" s="489">
        <v>151.19999999999999</v>
      </c>
      <c r="H2639" s="489">
        <v>42.719970000000004</v>
      </c>
      <c r="I2639" s="487" t="s">
        <v>1499</v>
      </c>
      <c r="J2639" s="487" t="s">
        <v>715</v>
      </c>
    </row>
    <row r="2640" spans="1:10" ht="15" x14ac:dyDescent="0.2">
      <c r="A2640" s="486" t="s">
        <v>714</v>
      </c>
      <c r="B2640" s="487" t="s">
        <v>713</v>
      </c>
      <c r="C2640" s="488" t="s">
        <v>9333</v>
      </c>
      <c r="D2640" s="489" t="s">
        <v>9334</v>
      </c>
      <c r="E2640" s="487" t="s">
        <v>9335</v>
      </c>
      <c r="F2640" s="490">
        <v>4900</v>
      </c>
      <c r="G2640" s="489">
        <v>195.3</v>
      </c>
      <c r="H2640" s="489">
        <v>25.08961</v>
      </c>
      <c r="I2640" s="487" t="s">
        <v>1499</v>
      </c>
      <c r="J2640" s="487" t="s">
        <v>715</v>
      </c>
    </row>
    <row r="2641" spans="1:10" ht="15" x14ac:dyDescent="0.2">
      <c r="A2641" s="486" t="s">
        <v>714</v>
      </c>
      <c r="B2641" s="487" t="s">
        <v>713</v>
      </c>
      <c r="C2641" s="488" t="s">
        <v>9336</v>
      </c>
      <c r="D2641" s="489" t="s">
        <v>9337</v>
      </c>
      <c r="E2641" s="487" t="s">
        <v>9338</v>
      </c>
      <c r="F2641" s="490">
        <v>65495.56</v>
      </c>
      <c r="G2641" s="489">
        <v>478</v>
      </c>
      <c r="H2641" s="489">
        <v>137.02000000000001</v>
      </c>
      <c r="I2641" s="487" t="s">
        <v>1499</v>
      </c>
      <c r="J2641" s="487" t="s">
        <v>715</v>
      </c>
    </row>
    <row r="2642" spans="1:10" ht="15" x14ac:dyDescent="0.2">
      <c r="A2642" s="486" t="s">
        <v>714</v>
      </c>
      <c r="B2642" s="487" t="s">
        <v>713</v>
      </c>
      <c r="C2642" s="488" t="s">
        <v>9339</v>
      </c>
      <c r="D2642" s="489" t="s">
        <v>9340</v>
      </c>
      <c r="E2642" s="487" t="s">
        <v>9341</v>
      </c>
      <c r="F2642" s="490">
        <v>12100</v>
      </c>
      <c r="G2642" s="489">
        <v>232.8</v>
      </c>
      <c r="H2642" s="489">
        <v>51.975949999999997</v>
      </c>
      <c r="I2642" s="487" t="s">
        <v>1499</v>
      </c>
      <c r="J2642" s="487" t="s">
        <v>715</v>
      </c>
    </row>
    <row r="2643" spans="1:10" ht="15" x14ac:dyDescent="0.2">
      <c r="A2643" s="486" t="s">
        <v>714</v>
      </c>
      <c r="B2643" s="487" t="s">
        <v>713</v>
      </c>
      <c r="C2643" s="488" t="s">
        <v>9342</v>
      </c>
      <c r="D2643" s="489" t="s">
        <v>9343</v>
      </c>
      <c r="E2643" s="487" t="s">
        <v>9344</v>
      </c>
      <c r="F2643" s="490">
        <v>0</v>
      </c>
      <c r="G2643" s="489">
        <v>27.5</v>
      </c>
      <c r="H2643" s="489">
        <v>0</v>
      </c>
      <c r="I2643" s="487" t="s">
        <v>1593</v>
      </c>
      <c r="J2643" s="487" t="s">
        <v>715</v>
      </c>
    </row>
    <row r="2644" spans="1:10" ht="15" x14ac:dyDescent="0.2">
      <c r="A2644" s="486" t="s">
        <v>714</v>
      </c>
      <c r="B2644" s="487" t="s">
        <v>713</v>
      </c>
      <c r="C2644" s="488" t="s">
        <v>9345</v>
      </c>
      <c r="D2644" s="489" t="s">
        <v>9346</v>
      </c>
      <c r="E2644" s="487" t="s">
        <v>9347</v>
      </c>
      <c r="F2644" s="490">
        <v>15476</v>
      </c>
      <c r="G2644" s="489">
        <v>518</v>
      </c>
      <c r="H2644" s="489">
        <v>29.876449999999998</v>
      </c>
      <c r="I2644" s="487" t="s">
        <v>1499</v>
      </c>
      <c r="J2644" s="487" t="s">
        <v>715</v>
      </c>
    </row>
    <row r="2645" spans="1:10" ht="15" x14ac:dyDescent="0.2">
      <c r="A2645" s="486" t="s">
        <v>714</v>
      </c>
      <c r="B2645" s="487" t="s">
        <v>713</v>
      </c>
      <c r="C2645" s="488" t="s">
        <v>9348</v>
      </c>
      <c r="D2645" s="489" t="s">
        <v>9349</v>
      </c>
      <c r="E2645" s="487" t="s">
        <v>9350</v>
      </c>
      <c r="F2645" s="490">
        <v>5691.27</v>
      </c>
      <c r="G2645" s="489">
        <v>56.4</v>
      </c>
      <c r="H2645" s="489">
        <v>100.90904</v>
      </c>
      <c r="I2645" s="487" t="s">
        <v>1499</v>
      </c>
      <c r="J2645" s="487" t="s">
        <v>715</v>
      </c>
    </row>
    <row r="2646" spans="1:10" ht="15" x14ac:dyDescent="0.2">
      <c r="A2646" s="486" t="s">
        <v>714</v>
      </c>
      <c r="B2646" s="487" t="s">
        <v>713</v>
      </c>
      <c r="C2646" s="488" t="s">
        <v>9351</v>
      </c>
      <c r="D2646" s="489" t="s">
        <v>9352</v>
      </c>
      <c r="E2646" s="487" t="s">
        <v>3919</v>
      </c>
      <c r="F2646" s="490">
        <v>0</v>
      </c>
      <c r="G2646" s="489">
        <v>20.5</v>
      </c>
      <c r="H2646" s="489">
        <v>0</v>
      </c>
      <c r="I2646" s="487" t="s">
        <v>1593</v>
      </c>
      <c r="J2646" s="487" t="s">
        <v>715</v>
      </c>
    </row>
    <row r="2647" spans="1:10" ht="15" x14ac:dyDescent="0.2">
      <c r="A2647" s="486" t="s">
        <v>714</v>
      </c>
      <c r="B2647" s="487" t="s">
        <v>713</v>
      </c>
      <c r="C2647" s="488" t="s">
        <v>9353</v>
      </c>
      <c r="D2647" s="489" t="s">
        <v>9354</v>
      </c>
      <c r="E2647" s="487" t="s">
        <v>9355</v>
      </c>
      <c r="F2647" s="490">
        <v>0</v>
      </c>
      <c r="G2647" s="489">
        <v>35.700000000000003</v>
      </c>
      <c r="H2647" s="489">
        <v>0</v>
      </c>
      <c r="I2647" s="487" t="s">
        <v>1593</v>
      </c>
      <c r="J2647" s="487" t="s">
        <v>715</v>
      </c>
    </row>
    <row r="2648" spans="1:10" ht="15" x14ac:dyDescent="0.2">
      <c r="A2648" s="486" t="s">
        <v>714</v>
      </c>
      <c r="B2648" s="487" t="s">
        <v>713</v>
      </c>
      <c r="C2648" s="488" t="s">
        <v>9356</v>
      </c>
      <c r="D2648" s="489" t="s">
        <v>9357</v>
      </c>
      <c r="E2648" s="487" t="s">
        <v>9358</v>
      </c>
      <c r="F2648" s="490">
        <v>0</v>
      </c>
      <c r="G2648" s="489">
        <v>8.6</v>
      </c>
      <c r="H2648" s="489">
        <v>0</v>
      </c>
      <c r="I2648" s="487" t="s">
        <v>1593</v>
      </c>
      <c r="J2648" s="487" t="s">
        <v>715</v>
      </c>
    </row>
    <row r="2649" spans="1:10" ht="15" x14ac:dyDescent="0.2">
      <c r="A2649" s="486" t="s">
        <v>714</v>
      </c>
      <c r="B2649" s="487" t="s">
        <v>713</v>
      </c>
      <c r="C2649" s="488" t="s">
        <v>9359</v>
      </c>
      <c r="D2649" s="489" t="s">
        <v>9360</v>
      </c>
      <c r="E2649" s="487" t="s">
        <v>9361</v>
      </c>
      <c r="F2649" s="490">
        <v>678166</v>
      </c>
      <c r="G2649" s="489">
        <v>1711</v>
      </c>
      <c r="H2649" s="489">
        <v>396.35651999999999</v>
      </c>
      <c r="I2649" s="487" t="s">
        <v>1499</v>
      </c>
      <c r="J2649" s="487" t="s">
        <v>715</v>
      </c>
    </row>
    <row r="2650" spans="1:10" ht="15" x14ac:dyDescent="0.2">
      <c r="A2650" s="486" t="s">
        <v>714</v>
      </c>
      <c r="B2650" s="487" t="s">
        <v>713</v>
      </c>
      <c r="C2650" s="488" t="s">
        <v>9362</v>
      </c>
      <c r="D2650" s="489" t="s">
        <v>9363</v>
      </c>
      <c r="E2650" s="487" t="s">
        <v>9364</v>
      </c>
      <c r="F2650" s="490">
        <v>0</v>
      </c>
      <c r="G2650" s="489">
        <v>55.6</v>
      </c>
      <c r="H2650" s="489">
        <v>0</v>
      </c>
      <c r="I2650" s="487" t="s">
        <v>1593</v>
      </c>
      <c r="J2650" s="487" t="s">
        <v>715</v>
      </c>
    </row>
    <row r="2651" spans="1:10" ht="15" x14ac:dyDescent="0.2">
      <c r="A2651" s="486" t="s">
        <v>714</v>
      </c>
      <c r="B2651" s="487" t="s">
        <v>713</v>
      </c>
      <c r="C2651" s="488" t="s">
        <v>9365</v>
      </c>
      <c r="D2651" s="489" t="s">
        <v>9366</v>
      </c>
      <c r="E2651" s="487" t="s">
        <v>9367</v>
      </c>
      <c r="F2651" s="490">
        <v>43184</v>
      </c>
      <c r="G2651" s="489">
        <v>437.5</v>
      </c>
      <c r="H2651" s="489">
        <v>98.706289999999996</v>
      </c>
      <c r="I2651" s="487" t="s">
        <v>1499</v>
      </c>
      <c r="J2651" s="487" t="s">
        <v>715</v>
      </c>
    </row>
    <row r="2652" spans="1:10" ht="15" x14ac:dyDescent="0.2">
      <c r="A2652" s="486" t="s">
        <v>714</v>
      </c>
      <c r="B2652" s="487" t="s">
        <v>713</v>
      </c>
      <c r="C2652" s="488" t="s">
        <v>9368</v>
      </c>
      <c r="D2652" s="489" t="s">
        <v>9369</v>
      </c>
      <c r="E2652" s="487" t="s">
        <v>9370</v>
      </c>
      <c r="F2652" s="490">
        <v>894</v>
      </c>
      <c r="G2652" s="489">
        <v>46.6</v>
      </c>
      <c r="H2652" s="489">
        <v>19.184550000000002</v>
      </c>
      <c r="I2652" s="487" t="s">
        <v>1499</v>
      </c>
      <c r="J2652" s="487" t="s">
        <v>715</v>
      </c>
    </row>
    <row r="2653" spans="1:10" ht="15" x14ac:dyDescent="0.2">
      <c r="A2653" s="486" t="s">
        <v>714</v>
      </c>
      <c r="B2653" s="487" t="s">
        <v>713</v>
      </c>
      <c r="C2653" s="488" t="s">
        <v>9371</v>
      </c>
      <c r="D2653" s="489" t="s">
        <v>9372</v>
      </c>
      <c r="E2653" s="487" t="s">
        <v>9373</v>
      </c>
      <c r="F2653" s="490">
        <v>10223.120000000001</v>
      </c>
      <c r="G2653" s="489">
        <v>184.9</v>
      </c>
      <c r="H2653" s="489">
        <v>55.289990000000003</v>
      </c>
      <c r="I2653" s="487" t="s">
        <v>1499</v>
      </c>
      <c r="J2653" s="487" t="s">
        <v>715</v>
      </c>
    </row>
    <row r="2654" spans="1:10" ht="15" x14ac:dyDescent="0.2">
      <c r="A2654" s="486" t="s">
        <v>714</v>
      </c>
      <c r="B2654" s="487" t="s">
        <v>713</v>
      </c>
      <c r="C2654" s="488" t="s">
        <v>9374</v>
      </c>
      <c r="D2654" s="489" t="s">
        <v>9375</v>
      </c>
      <c r="E2654" s="487" t="s">
        <v>9376</v>
      </c>
      <c r="F2654" s="490">
        <v>15585.77</v>
      </c>
      <c r="G2654" s="489">
        <v>334.1</v>
      </c>
      <c r="H2654" s="489">
        <v>46.650010000000002</v>
      </c>
      <c r="I2654" s="487" t="s">
        <v>1499</v>
      </c>
      <c r="J2654" s="487" t="s">
        <v>715</v>
      </c>
    </row>
    <row r="2655" spans="1:10" ht="15" x14ac:dyDescent="0.2">
      <c r="A2655" s="486" t="s">
        <v>714</v>
      </c>
      <c r="B2655" s="487" t="s">
        <v>713</v>
      </c>
      <c r="C2655" s="488" t="s">
        <v>9377</v>
      </c>
      <c r="D2655" s="489" t="s">
        <v>9378</v>
      </c>
      <c r="E2655" s="487" t="s">
        <v>9379</v>
      </c>
      <c r="F2655" s="490">
        <v>24352.35</v>
      </c>
      <c r="G2655" s="489">
        <v>624.9</v>
      </c>
      <c r="H2655" s="489">
        <v>38.97</v>
      </c>
      <c r="I2655" s="487" t="s">
        <v>1499</v>
      </c>
      <c r="J2655" s="487" t="s">
        <v>715</v>
      </c>
    </row>
    <row r="2656" spans="1:10" ht="15" x14ac:dyDescent="0.2">
      <c r="A2656" s="486" t="s">
        <v>714</v>
      </c>
      <c r="B2656" s="487" t="s">
        <v>713</v>
      </c>
      <c r="C2656" s="488" t="s">
        <v>9380</v>
      </c>
      <c r="D2656" s="489" t="s">
        <v>9381</v>
      </c>
      <c r="E2656" s="487" t="s">
        <v>9382</v>
      </c>
      <c r="F2656" s="490">
        <v>80508.039999999994</v>
      </c>
      <c r="G2656" s="489">
        <v>1514.6</v>
      </c>
      <c r="H2656" s="489">
        <v>53.154649999999997</v>
      </c>
      <c r="I2656" s="487" t="s">
        <v>1499</v>
      </c>
      <c r="J2656" s="487" t="s">
        <v>715</v>
      </c>
    </row>
    <row r="2657" spans="1:10" ht="15" x14ac:dyDescent="0.2">
      <c r="A2657" s="486" t="s">
        <v>714</v>
      </c>
      <c r="B2657" s="487" t="s">
        <v>713</v>
      </c>
      <c r="C2657" s="488" t="s">
        <v>9383</v>
      </c>
      <c r="D2657" s="489" t="s">
        <v>9384</v>
      </c>
      <c r="E2657" s="487" t="s">
        <v>9385</v>
      </c>
      <c r="F2657" s="490">
        <v>0</v>
      </c>
      <c r="G2657" s="489">
        <v>24.7</v>
      </c>
      <c r="H2657" s="489">
        <v>0</v>
      </c>
      <c r="I2657" s="487" t="s">
        <v>1593</v>
      </c>
      <c r="J2657" s="487" t="s">
        <v>715</v>
      </c>
    </row>
    <row r="2658" spans="1:10" ht="15" x14ac:dyDescent="0.2">
      <c r="A2658" s="486" t="s">
        <v>714</v>
      </c>
      <c r="B2658" s="487" t="s">
        <v>713</v>
      </c>
      <c r="C2658" s="488" t="s">
        <v>9386</v>
      </c>
      <c r="D2658" s="489" t="s">
        <v>9387</v>
      </c>
      <c r="E2658" s="487" t="s">
        <v>9388</v>
      </c>
      <c r="F2658" s="490">
        <v>0</v>
      </c>
      <c r="G2658" s="489">
        <v>0</v>
      </c>
      <c r="H2658" s="489">
        <v>0</v>
      </c>
      <c r="I2658" s="487" t="s">
        <v>2465</v>
      </c>
      <c r="J2658" s="487" t="s">
        <v>715</v>
      </c>
    </row>
    <row r="2659" spans="1:10" ht="15" x14ac:dyDescent="0.2">
      <c r="A2659" s="486" t="s">
        <v>714</v>
      </c>
      <c r="B2659" s="487" t="s">
        <v>713</v>
      </c>
      <c r="C2659" s="488" t="s">
        <v>9389</v>
      </c>
      <c r="D2659" s="489" t="s">
        <v>9390</v>
      </c>
      <c r="E2659" s="487" t="s">
        <v>9391</v>
      </c>
      <c r="F2659" s="490">
        <v>2209</v>
      </c>
      <c r="G2659" s="489">
        <v>67</v>
      </c>
      <c r="H2659" s="489">
        <v>32.970149999999997</v>
      </c>
      <c r="I2659" s="487" t="s">
        <v>1499</v>
      </c>
      <c r="J2659" s="487" t="s">
        <v>715</v>
      </c>
    </row>
    <row r="2660" spans="1:10" ht="15" x14ac:dyDescent="0.2">
      <c r="A2660" s="486" t="s">
        <v>714</v>
      </c>
      <c r="B2660" s="487" t="s">
        <v>713</v>
      </c>
      <c r="C2660" s="488" t="s">
        <v>9392</v>
      </c>
      <c r="D2660" s="489" t="s">
        <v>9393</v>
      </c>
      <c r="E2660" s="487" t="s">
        <v>9394</v>
      </c>
      <c r="F2660" s="490">
        <v>11850</v>
      </c>
      <c r="G2660" s="489">
        <v>505.2</v>
      </c>
      <c r="H2660" s="489">
        <v>23.456060000000001</v>
      </c>
      <c r="I2660" s="487" t="s">
        <v>1499</v>
      </c>
      <c r="J2660" s="487" t="s">
        <v>715</v>
      </c>
    </row>
    <row r="2661" spans="1:10" ht="15" x14ac:dyDescent="0.2">
      <c r="A2661" s="486" t="s">
        <v>714</v>
      </c>
      <c r="B2661" s="487" t="s">
        <v>713</v>
      </c>
      <c r="C2661" s="488" t="s">
        <v>9395</v>
      </c>
      <c r="D2661" s="489" t="s">
        <v>9396</v>
      </c>
      <c r="E2661" s="487" t="s">
        <v>9397</v>
      </c>
      <c r="F2661" s="490">
        <v>349</v>
      </c>
      <c r="G2661" s="489">
        <v>44.7</v>
      </c>
      <c r="H2661" s="489">
        <v>7.8076100000000004</v>
      </c>
      <c r="I2661" s="487" t="s">
        <v>1499</v>
      </c>
      <c r="J2661" s="487" t="s">
        <v>715</v>
      </c>
    </row>
    <row r="2662" spans="1:10" ht="15" x14ac:dyDescent="0.2">
      <c r="A2662" s="486" t="s">
        <v>714</v>
      </c>
      <c r="B2662" s="487" t="s">
        <v>713</v>
      </c>
      <c r="C2662" s="488" t="s">
        <v>9398</v>
      </c>
      <c r="D2662" s="489" t="s">
        <v>9399</v>
      </c>
      <c r="E2662" s="487" t="s">
        <v>9400</v>
      </c>
      <c r="F2662" s="490">
        <v>12600</v>
      </c>
      <c r="G2662" s="489">
        <v>421.3</v>
      </c>
      <c r="H2662" s="489">
        <v>29.907430000000002</v>
      </c>
      <c r="I2662" s="487" t="s">
        <v>1499</v>
      </c>
      <c r="J2662" s="487" t="s">
        <v>715</v>
      </c>
    </row>
    <row r="2663" spans="1:10" ht="15" x14ac:dyDescent="0.2">
      <c r="A2663" s="486" t="s">
        <v>714</v>
      </c>
      <c r="B2663" s="487" t="s">
        <v>713</v>
      </c>
      <c r="C2663" s="488" t="s">
        <v>9401</v>
      </c>
      <c r="D2663" s="489" t="s">
        <v>9402</v>
      </c>
      <c r="E2663" s="487" t="s">
        <v>7574</v>
      </c>
      <c r="F2663" s="490">
        <v>13707.35</v>
      </c>
      <c r="G2663" s="489">
        <v>362.4</v>
      </c>
      <c r="H2663" s="489">
        <v>37.823810000000002</v>
      </c>
      <c r="I2663" s="487" t="s">
        <v>1499</v>
      </c>
      <c r="J2663" s="487" t="s">
        <v>715</v>
      </c>
    </row>
    <row r="2664" spans="1:10" ht="15" x14ac:dyDescent="0.2">
      <c r="A2664" s="486" t="s">
        <v>714</v>
      </c>
      <c r="B2664" s="487" t="s">
        <v>713</v>
      </c>
      <c r="C2664" s="488" t="s">
        <v>9403</v>
      </c>
      <c r="D2664" s="489" t="s">
        <v>9404</v>
      </c>
      <c r="E2664" s="487" t="s">
        <v>9405</v>
      </c>
      <c r="F2664" s="490">
        <v>13680</v>
      </c>
      <c r="G2664" s="489">
        <v>190</v>
      </c>
      <c r="H2664" s="489">
        <v>72</v>
      </c>
      <c r="I2664" s="487" t="s">
        <v>1499</v>
      </c>
      <c r="J2664" s="487" t="s">
        <v>715</v>
      </c>
    </row>
    <row r="2665" spans="1:10" ht="15" x14ac:dyDescent="0.2">
      <c r="A2665" s="486" t="s">
        <v>714</v>
      </c>
      <c r="B2665" s="487" t="s">
        <v>713</v>
      </c>
      <c r="C2665" s="488" t="s">
        <v>9406</v>
      </c>
      <c r="D2665" s="489" t="s">
        <v>9407</v>
      </c>
      <c r="E2665" s="487" t="s">
        <v>9408</v>
      </c>
      <c r="F2665" s="490">
        <v>35901</v>
      </c>
      <c r="G2665" s="489">
        <v>516.6</v>
      </c>
      <c r="H2665" s="489">
        <v>69.494770000000003</v>
      </c>
      <c r="I2665" s="487" t="s">
        <v>2465</v>
      </c>
      <c r="J2665" s="487" t="s">
        <v>715</v>
      </c>
    </row>
    <row r="2666" spans="1:10" ht="15" x14ac:dyDescent="0.2">
      <c r="A2666" s="486" t="s">
        <v>714</v>
      </c>
      <c r="B2666" s="487" t="s">
        <v>713</v>
      </c>
      <c r="C2666" s="488" t="s">
        <v>9409</v>
      </c>
      <c r="D2666" s="489" t="s">
        <v>9410</v>
      </c>
      <c r="E2666" s="487" t="s">
        <v>9411</v>
      </c>
      <c r="F2666" s="490">
        <v>23341.47</v>
      </c>
      <c r="G2666" s="489">
        <v>341.1</v>
      </c>
      <c r="H2666" s="489">
        <v>68.429990000000004</v>
      </c>
      <c r="I2666" s="487" t="s">
        <v>1499</v>
      </c>
      <c r="J2666" s="487" t="s">
        <v>715</v>
      </c>
    </row>
    <row r="2667" spans="1:10" ht="15" x14ac:dyDescent="0.2">
      <c r="A2667" s="486" t="s">
        <v>714</v>
      </c>
      <c r="B2667" s="487" t="s">
        <v>713</v>
      </c>
      <c r="C2667" s="488" t="s">
        <v>9412</v>
      </c>
      <c r="D2667" s="489" t="s">
        <v>9413</v>
      </c>
      <c r="E2667" s="487" t="s">
        <v>9414</v>
      </c>
      <c r="F2667" s="490">
        <v>318417</v>
      </c>
      <c r="G2667" s="489">
        <v>1508.8</v>
      </c>
      <c r="H2667" s="489">
        <v>211.03989999999999</v>
      </c>
      <c r="I2667" s="487" t="s">
        <v>1499</v>
      </c>
      <c r="J2667" s="487" t="s">
        <v>715</v>
      </c>
    </row>
    <row r="2668" spans="1:10" ht="15" x14ac:dyDescent="0.2">
      <c r="A2668" s="486" t="s">
        <v>714</v>
      </c>
      <c r="B2668" s="487" t="s">
        <v>713</v>
      </c>
      <c r="C2668" s="488" t="s">
        <v>9415</v>
      </c>
      <c r="D2668" s="489" t="s">
        <v>9416</v>
      </c>
      <c r="E2668" s="487" t="s">
        <v>9417</v>
      </c>
      <c r="F2668" s="490">
        <v>3420.6</v>
      </c>
      <c r="G2668" s="489">
        <v>114.4</v>
      </c>
      <c r="H2668" s="489">
        <v>29.90035</v>
      </c>
      <c r="I2668" s="487" t="s">
        <v>1499</v>
      </c>
      <c r="J2668" s="487" t="s">
        <v>715</v>
      </c>
    </row>
    <row r="2669" spans="1:10" ht="15" x14ac:dyDescent="0.2">
      <c r="A2669" s="486" t="s">
        <v>714</v>
      </c>
      <c r="B2669" s="487" t="s">
        <v>713</v>
      </c>
      <c r="C2669" s="488" t="s">
        <v>9418</v>
      </c>
      <c r="D2669" s="489" t="s">
        <v>9419</v>
      </c>
      <c r="E2669" s="487" t="s">
        <v>9420</v>
      </c>
      <c r="F2669" s="490">
        <v>0</v>
      </c>
      <c r="G2669" s="489">
        <v>3.8</v>
      </c>
      <c r="H2669" s="489">
        <v>0</v>
      </c>
      <c r="I2669" s="487" t="s">
        <v>1593</v>
      </c>
      <c r="J2669" s="487" t="s">
        <v>715</v>
      </c>
    </row>
    <row r="2670" spans="1:10" ht="15" x14ac:dyDescent="0.2">
      <c r="A2670" s="486" t="s">
        <v>714</v>
      </c>
      <c r="B2670" s="487" t="s">
        <v>713</v>
      </c>
      <c r="C2670" s="488" t="s">
        <v>9421</v>
      </c>
      <c r="D2670" s="489" t="s">
        <v>9422</v>
      </c>
      <c r="E2670" s="487" t="s">
        <v>9423</v>
      </c>
      <c r="F2670" s="490">
        <v>1200</v>
      </c>
      <c r="G2670" s="489">
        <v>47.2</v>
      </c>
      <c r="H2670" s="489">
        <v>25.423729999999999</v>
      </c>
      <c r="I2670" s="487" t="s">
        <v>1499</v>
      </c>
      <c r="J2670" s="487" t="s">
        <v>715</v>
      </c>
    </row>
    <row r="2671" spans="1:10" ht="15" x14ac:dyDescent="0.2">
      <c r="A2671" s="486" t="s">
        <v>714</v>
      </c>
      <c r="B2671" s="487" t="s">
        <v>713</v>
      </c>
      <c r="C2671" s="488" t="s">
        <v>9424</v>
      </c>
      <c r="D2671" s="489" t="s">
        <v>9425</v>
      </c>
      <c r="E2671" s="487" t="s">
        <v>6157</v>
      </c>
      <c r="F2671" s="490">
        <v>359942</v>
      </c>
      <c r="G2671" s="489">
        <v>1807</v>
      </c>
      <c r="H2671" s="489">
        <v>199.19314</v>
      </c>
      <c r="I2671" s="487" t="s">
        <v>1499</v>
      </c>
      <c r="J2671" s="487" t="s">
        <v>715</v>
      </c>
    </row>
    <row r="2672" spans="1:10" ht="15" x14ac:dyDescent="0.2">
      <c r="A2672" s="486" t="s">
        <v>714</v>
      </c>
      <c r="B2672" s="487" t="s">
        <v>713</v>
      </c>
      <c r="C2672" s="488" t="s">
        <v>9426</v>
      </c>
      <c r="D2672" s="489" t="s">
        <v>9427</v>
      </c>
      <c r="E2672" s="487" t="s">
        <v>9428</v>
      </c>
      <c r="F2672" s="490">
        <v>0</v>
      </c>
      <c r="G2672" s="489">
        <v>0</v>
      </c>
      <c r="H2672" s="489">
        <v>0</v>
      </c>
      <c r="I2672" s="487" t="s">
        <v>2465</v>
      </c>
      <c r="J2672" s="487" t="s">
        <v>715</v>
      </c>
    </row>
    <row r="2673" spans="1:10" ht="15" x14ac:dyDescent="0.2">
      <c r="A2673" s="486" t="s">
        <v>714</v>
      </c>
      <c r="B2673" s="487" t="s">
        <v>713</v>
      </c>
      <c r="C2673" s="488" t="s">
        <v>9429</v>
      </c>
      <c r="D2673" s="489" t="s">
        <v>9430</v>
      </c>
      <c r="E2673" s="487" t="s">
        <v>9431</v>
      </c>
      <c r="F2673" s="490">
        <v>37762.28</v>
      </c>
      <c r="G2673" s="489">
        <v>1198.8</v>
      </c>
      <c r="H2673" s="489">
        <v>31.500070000000001</v>
      </c>
      <c r="I2673" s="487" t="s">
        <v>1499</v>
      </c>
      <c r="J2673" s="487" t="s">
        <v>715</v>
      </c>
    </row>
    <row r="2674" spans="1:10" ht="15" x14ac:dyDescent="0.2">
      <c r="A2674" s="486" t="s">
        <v>714</v>
      </c>
      <c r="B2674" s="487" t="s">
        <v>713</v>
      </c>
      <c r="C2674" s="488" t="s">
        <v>9432</v>
      </c>
      <c r="D2674" s="489" t="s">
        <v>9433</v>
      </c>
      <c r="E2674" s="487" t="s">
        <v>9434</v>
      </c>
      <c r="F2674" s="490">
        <v>36650</v>
      </c>
      <c r="G2674" s="489">
        <v>882.7</v>
      </c>
      <c r="H2674" s="489">
        <v>41.520339999999997</v>
      </c>
      <c r="I2674" s="487" t="s">
        <v>1499</v>
      </c>
      <c r="J2674" s="487" t="s">
        <v>715</v>
      </c>
    </row>
    <row r="2675" spans="1:10" ht="15" x14ac:dyDescent="0.2">
      <c r="A2675" s="486" t="s">
        <v>714</v>
      </c>
      <c r="B2675" s="487" t="s">
        <v>713</v>
      </c>
      <c r="C2675" s="488" t="s">
        <v>9435</v>
      </c>
      <c r="D2675" s="489" t="s">
        <v>9436</v>
      </c>
      <c r="E2675" s="487" t="s">
        <v>9437</v>
      </c>
      <c r="F2675" s="490">
        <v>2790</v>
      </c>
      <c r="G2675" s="489">
        <v>75</v>
      </c>
      <c r="H2675" s="489">
        <v>37.200000000000003</v>
      </c>
      <c r="I2675" s="487" t="s">
        <v>1499</v>
      </c>
      <c r="J2675" s="487" t="s">
        <v>715</v>
      </c>
    </row>
    <row r="2676" spans="1:10" ht="15" x14ac:dyDescent="0.2">
      <c r="A2676" s="486" t="s">
        <v>714</v>
      </c>
      <c r="B2676" s="487" t="s">
        <v>713</v>
      </c>
      <c r="C2676" s="488" t="s">
        <v>9438</v>
      </c>
      <c r="D2676" s="489" t="s">
        <v>9439</v>
      </c>
      <c r="E2676" s="487" t="s">
        <v>9440</v>
      </c>
      <c r="F2676" s="490">
        <v>230551</v>
      </c>
      <c r="G2676" s="489">
        <v>1777.9</v>
      </c>
      <c r="H2676" s="489">
        <v>129.67601999999999</v>
      </c>
      <c r="I2676" s="487" t="s">
        <v>1499</v>
      </c>
      <c r="J2676" s="487" t="s">
        <v>715</v>
      </c>
    </row>
    <row r="2677" spans="1:10" ht="15" x14ac:dyDescent="0.2">
      <c r="A2677" s="486" t="s">
        <v>714</v>
      </c>
      <c r="B2677" s="487" t="s">
        <v>713</v>
      </c>
      <c r="C2677" s="488" t="s">
        <v>9441</v>
      </c>
      <c r="D2677" s="489" t="s">
        <v>9442</v>
      </c>
      <c r="E2677" s="487" t="s">
        <v>9443</v>
      </c>
      <c r="F2677" s="490">
        <v>1918800</v>
      </c>
      <c r="G2677" s="489">
        <v>4708</v>
      </c>
      <c r="H2677" s="489">
        <v>407.5616</v>
      </c>
      <c r="I2677" s="487" t="s">
        <v>1499</v>
      </c>
      <c r="J2677" s="487" t="s">
        <v>715</v>
      </c>
    </row>
    <row r="2678" spans="1:10" ht="15" x14ac:dyDescent="0.2">
      <c r="A2678" s="486" t="s">
        <v>714</v>
      </c>
      <c r="B2678" s="487" t="s">
        <v>713</v>
      </c>
      <c r="C2678" s="488" t="s">
        <v>9444</v>
      </c>
      <c r="D2678" s="489" t="s">
        <v>9445</v>
      </c>
      <c r="E2678" s="487" t="s">
        <v>9446</v>
      </c>
      <c r="F2678" s="490">
        <v>37298</v>
      </c>
      <c r="G2678" s="489">
        <v>501.8</v>
      </c>
      <c r="H2678" s="489">
        <v>74.328419999999994</v>
      </c>
      <c r="I2678" s="487" t="s">
        <v>1499</v>
      </c>
      <c r="J2678" s="487" t="s">
        <v>715</v>
      </c>
    </row>
    <row r="2679" spans="1:10" ht="15" x14ac:dyDescent="0.2">
      <c r="A2679" s="486" t="s">
        <v>714</v>
      </c>
      <c r="B2679" s="487" t="s">
        <v>713</v>
      </c>
      <c r="C2679" s="488" t="s">
        <v>9447</v>
      </c>
      <c r="D2679" s="489" t="s">
        <v>9448</v>
      </c>
      <c r="E2679" s="487" t="s">
        <v>9449</v>
      </c>
      <c r="F2679" s="490">
        <v>0</v>
      </c>
      <c r="G2679" s="489">
        <v>30.7</v>
      </c>
      <c r="H2679" s="489">
        <v>0</v>
      </c>
      <c r="I2679" s="487" t="s">
        <v>1593</v>
      </c>
      <c r="J2679" s="487" t="s">
        <v>715</v>
      </c>
    </row>
    <row r="2680" spans="1:10" ht="15" x14ac:dyDescent="0.2">
      <c r="A2680" s="486" t="s">
        <v>714</v>
      </c>
      <c r="B2680" s="487" t="s">
        <v>713</v>
      </c>
      <c r="C2680" s="488" t="s">
        <v>9450</v>
      </c>
      <c r="D2680" s="489" t="s">
        <v>9451</v>
      </c>
      <c r="E2680" s="487" t="s">
        <v>9452</v>
      </c>
      <c r="F2680" s="490">
        <v>1892.22</v>
      </c>
      <c r="G2680" s="489">
        <v>69.900000000000006</v>
      </c>
      <c r="H2680" s="489">
        <v>27.07039</v>
      </c>
      <c r="I2680" s="487" t="s">
        <v>2465</v>
      </c>
      <c r="J2680" s="487" t="s">
        <v>715</v>
      </c>
    </row>
    <row r="2681" spans="1:10" ht="15" x14ac:dyDescent="0.2">
      <c r="A2681" s="486" t="s">
        <v>714</v>
      </c>
      <c r="B2681" s="487" t="s">
        <v>713</v>
      </c>
      <c r="C2681" s="488" t="s">
        <v>9453</v>
      </c>
      <c r="D2681" s="489" t="s">
        <v>9454</v>
      </c>
      <c r="E2681" s="487" t="s">
        <v>9455</v>
      </c>
      <c r="F2681" s="490">
        <v>13460</v>
      </c>
      <c r="G2681" s="489">
        <v>103.2</v>
      </c>
      <c r="H2681" s="489">
        <v>130.42635999999999</v>
      </c>
      <c r="I2681" s="487" t="s">
        <v>1499</v>
      </c>
      <c r="J2681" s="487" t="s">
        <v>715</v>
      </c>
    </row>
    <row r="2682" spans="1:10" ht="15" x14ac:dyDescent="0.2">
      <c r="A2682" s="486" t="s">
        <v>714</v>
      </c>
      <c r="B2682" s="487" t="s">
        <v>713</v>
      </c>
      <c r="C2682" s="488" t="s">
        <v>9456</v>
      </c>
      <c r="D2682" s="489" t="s">
        <v>9457</v>
      </c>
      <c r="E2682" s="487" t="s">
        <v>9458</v>
      </c>
      <c r="F2682" s="490">
        <v>63374.16</v>
      </c>
      <c r="G2682" s="489">
        <v>1380.4</v>
      </c>
      <c r="H2682" s="489">
        <v>45.91</v>
      </c>
      <c r="I2682" s="487" t="s">
        <v>1499</v>
      </c>
      <c r="J2682" s="487" t="s">
        <v>715</v>
      </c>
    </row>
    <row r="2683" spans="1:10" ht="15" x14ac:dyDescent="0.2">
      <c r="A2683" s="486" t="s">
        <v>714</v>
      </c>
      <c r="B2683" s="487" t="s">
        <v>713</v>
      </c>
      <c r="C2683" s="488" t="s">
        <v>9459</v>
      </c>
      <c r="D2683" s="489" t="s">
        <v>9460</v>
      </c>
      <c r="E2683" s="487" t="s">
        <v>9461</v>
      </c>
      <c r="F2683" s="490">
        <v>4441</v>
      </c>
      <c r="G2683" s="489">
        <v>122.4</v>
      </c>
      <c r="H2683" s="489">
        <v>36.282679999999999</v>
      </c>
      <c r="I2683" s="487" t="s">
        <v>1499</v>
      </c>
      <c r="J2683" s="487" t="s">
        <v>715</v>
      </c>
    </row>
    <row r="2684" spans="1:10" ht="15" x14ac:dyDescent="0.2">
      <c r="A2684" s="486" t="s">
        <v>714</v>
      </c>
      <c r="B2684" s="487" t="s">
        <v>713</v>
      </c>
      <c r="C2684" s="488" t="s">
        <v>9462</v>
      </c>
      <c r="D2684" s="489" t="s">
        <v>9463</v>
      </c>
      <c r="E2684" s="487" t="s">
        <v>9464</v>
      </c>
      <c r="F2684" s="490">
        <v>0</v>
      </c>
      <c r="G2684" s="489">
        <v>16.8</v>
      </c>
      <c r="H2684" s="489">
        <v>0</v>
      </c>
      <c r="I2684" s="487" t="s">
        <v>1593</v>
      </c>
      <c r="J2684" s="487" t="s">
        <v>715</v>
      </c>
    </row>
    <row r="2685" spans="1:10" ht="15" x14ac:dyDescent="0.2">
      <c r="A2685" s="486" t="s">
        <v>714</v>
      </c>
      <c r="B2685" s="487" t="s">
        <v>713</v>
      </c>
      <c r="C2685" s="488" t="s">
        <v>9465</v>
      </c>
      <c r="D2685" s="489" t="s">
        <v>9466</v>
      </c>
      <c r="E2685" s="487" t="s">
        <v>9467</v>
      </c>
      <c r="F2685" s="490">
        <v>1348205</v>
      </c>
      <c r="G2685" s="489">
        <v>4766.5</v>
      </c>
      <c r="H2685" s="489">
        <v>282.8501</v>
      </c>
      <c r="I2685" s="487" t="s">
        <v>1499</v>
      </c>
      <c r="J2685" s="487" t="s">
        <v>715</v>
      </c>
    </row>
    <row r="2686" spans="1:10" ht="15" x14ac:dyDescent="0.2">
      <c r="A2686" s="486" t="s">
        <v>714</v>
      </c>
      <c r="B2686" s="487" t="s">
        <v>713</v>
      </c>
      <c r="C2686" s="488" t="s">
        <v>9468</v>
      </c>
      <c r="D2686" s="489" t="s">
        <v>9469</v>
      </c>
      <c r="E2686" s="487" t="s">
        <v>9470</v>
      </c>
      <c r="F2686" s="490">
        <v>14225</v>
      </c>
      <c r="G2686" s="489">
        <v>441.5</v>
      </c>
      <c r="H2686" s="489">
        <v>32.219709999999999</v>
      </c>
      <c r="I2686" s="487" t="s">
        <v>1499</v>
      </c>
      <c r="J2686" s="487" t="s">
        <v>715</v>
      </c>
    </row>
    <row r="2687" spans="1:10" ht="15" x14ac:dyDescent="0.2">
      <c r="A2687" s="486" t="s">
        <v>714</v>
      </c>
      <c r="B2687" s="487" t="s">
        <v>713</v>
      </c>
      <c r="C2687" s="488" t="s">
        <v>9471</v>
      </c>
      <c r="D2687" s="489" t="s">
        <v>9472</v>
      </c>
      <c r="E2687" s="487" t="s">
        <v>9473</v>
      </c>
      <c r="F2687" s="490">
        <v>506024.01</v>
      </c>
      <c r="G2687" s="489">
        <v>2252.3000000000002</v>
      </c>
      <c r="H2687" s="489">
        <v>224.66990000000001</v>
      </c>
      <c r="I2687" s="487" t="s">
        <v>1499</v>
      </c>
      <c r="J2687" s="487" t="s">
        <v>715</v>
      </c>
    </row>
    <row r="2688" spans="1:10" ht="15" x14ac:dyDescent="0.2">
      <c r="A2688" s="486" t="s">
        <v>714</v>
      </c>
      <c r="B2688" s="487" t="s">
        <v>713</v>
      </c>
      <c r="C2688" s="488" t="s">
        <v>9474</v>
      </c>
      <c r="D2688" s="489" t="s">
        <v>9475</v>
      </c>
      <c r="E2688" s="487" t="s">
        <v>9476</v>
      </c>
      <c r="F2688" s="490">
        <v>21946.66</v>
      </c>
      <c r="G2688" s="489">
        <v>629.20000000000005</v>
      </c>
      <c r="H2688" s="489">
        <v>34.88026</v>
      </c>
      <c r="I2688" s="487" t="s">
        <v>1499</v>
      </c>
      <c r="J2688" s="487" t="s">
        <v>715</v>
      </c>
    </row>
    <row r="2689" spans="1:10" ht="15" x14ac:dyDescent="0.2">
      <c r="A2689" s="486" t="s">
        <v>714</v>
      </c>
      <c r="B2689" s="487" t="s">
        <v>713</v>
      </c>
      <c r="C2689" s="488" t="s">
        <v>9477</v>
      </c>
      <c r="D2689" s="489" t="s">
        <v>9478</v>
      </c>
      <c r="E2689" s="487" t="s">
        <v>9479</v>
      </c>
      <c r="F2689" s="490">
        <v>26013.33</v>
      </c>
      <c r="G2689" s="489">
        <v>963.1</v>
      </c>
      <c r="H2689" s="489">
        <v>27.01</v>
      </c>
      <c r="I2689" s="487" t="s">
        <v>1499</v>
      </c>
      <c r="J2689" s="487" t="s">
        <v>715</v>
      </c>
    </row>
    <row r="2690" spans="1:10" ht="15" x14ac:dyDescent="0.2">
      <c r="A2690" s="486" t="s">
        <v>714</v>
      </c>
      <c r="B2690" s="487" t="s">
        <v>713</v>
      </c>
      <c r="C2690" s="488" t="s">
        <v>9480</v>
      </c>
      <c r="D2690" s="489" t="s">
        <v>9481</v>
      </c>
      <c r="E2690" s="487" t="s">
        <v>9482</v>
      </c>
      <c r="F2690" s="490">
        <v>822890</v>
      </c>
      <c r="G2690" s="489">
        <v>2527.1999999999998</v>
      </c>
      <c r="H2690" s="489">
        <v>325.61333000000002</v>
      </c>
      <c r="I2690" s="487" t="s">
        <v>1499</v>
      </c>
      <c r="J2690" s="487" t="s">
        <v>715</v>
      </c>
    </row>
    <row r="2691" spans="1:10" ht="15" x14ac:dyDescent="0.2">
      <c r="A2691" s="486" t="s">
        <v>714</v>
      </c>
      <c r="B2691" s="487" t="s">
        <v>713</v>
      </c>
      <c r="C2691" s="488" t="s">
        <v>9483</v>
      </c>
      <c r="D2691" s="489" t="s">
        <v>9484</v>
      </c>
      <c r="E2691" s="487" t="s">
        <v>9485</v>
      </c>
      <c r="F2691" s="490">
        <v>61552</v>
      </c>
      <c r="G2691" s="489">
        <v>713.8</v>
      </c>
      <c r="H2691" s="489">
        <v>86.231440000000006</v>
      </c>
      <c r="I2691" s="487" t="s">
        <v>1499</v>
      </c>
      <c r="J2691" s="487" t="s">
        <v>715</v>
      </c>
    </row>
    <row r="2692" spans="1:10" ht="15" x14ac:dyDescent="0.2">
      <c r="A2692" s="486" t="s">
        <v>714</v>
      </c>
      <c r="B2692" s="487" t="s">
        <v>713</v>
      </c>
      <c r="C2692" s="488" t="s">
        <v>9486</v>
      </c>
      <c r="D2692" s="489" t="s">
        <v>9487</v>
      </c>
      <c r="E2692" s="487" t="s">
        <v>9488</v>
      </c>
      <c r="F2692" s="490">
        <v>147000</v>
      </c>
      <c r="G2692" s="489">
        <v>1157.5999999999999</v>
      </c>
      <c r="H2692" s="489">
        <v>126.98687</v>
      </c>
      <c r="I2692" s="487" t="s">
        <v>1499</v>
      </c>
      <c r="J2692" s="487" t="s">
        <v>715</v>
      </c>
    </row>
    <row r="2693" spans="1:10" ht="15" x14ac:dyDescent="0.2">
      <c r="A2693" s="486" t="s">
        <v>714</v>
      </c>
      <c r="B2693" s="487" t="s">
        <v>713</v>
      </c>
      <c r="C2693" s="488" t="s">
        <v>9489</v>
      </c>
      <c r="D2693" s="489" t="s">
        <v>9490</v>
      </c>
      <c r="E2693" s="487" t="s">
        <v>9491</v>
      </c>
      <c r="F2693" s="490">
        <v>1412</v>
      </c>
      <c r="G2693" s="489">
        <v>82.8</v>
      </c>
      <c r="H2693" s="489">
        <v>17.053139999999999</v>
      </c>
      <c r="I2693" s="487" t="s">
        <v>1499</v>
      </c>
      <c r="J2693" s="487" t="s">
        <v>715</v>
      </c>
    </row>
    <row r="2694" spans="1:10" ht="15" x14ac:dyDescent="0.2">
      <c r="A2694" s="486" t="s">
        <v>714</v>
      </c>
      <c r="B2694" s="487" t="s">
        <v>713</v>
      </c>
      <c r="C2694" s="488" t="s">
        <v>9492</v>
      </c>
      <c r="D2694" s="489" t="s">
        <v>9493</v>
      </c>
      <c r="E2694" s="487" t="s">
        <v>9494</v>
      </c>
      <c r="F2694" s="490">
        <v>125000</v>
      </c>
      <c r="G2694" s="489">
        <v>704.6</v>
      </c>
      <c r="H2694" s="489">
        <v>177.40562</v>
      </c>
      <c r="I2694" s="487" t="s">
        <v>1499</v>
      </c>
      <c r="J2694" s="487" t="s">
        <v>715</v>
      </c>
    </row>
    <row r="2695" spans="1:10" ht="15" x14ac:dyDescent="0.2">
      <c r="A2695" s="486" t="s">
        <v>714</v>
      </c>
      <c r="B2695" s="487" t="s">
        <v>713</v>
      </c>
      <c r="C2695" s="488" t="s">
        <v>9495</v>
      </c>
      <c r="D2695" s="489" t="s">
        <v>9496</v>
      </c>
      <c r="E2695" s="487" t="s">
        <v>9497</v>
      </c>
      <c r="F2695" s="490">
        <v>1557975.79</v>
      </c>
      <c r="G2695" s="489">
        <v>6618.7</v>
      </c>
      <c r="H2695" s="489">
        <v>235.39</v>
      </c>
      <c r="I2695" s="487" t="s">
        <v>1499</v>
      </c>
      <c r="J2695" s="487" t="s">
        <v>715</v>
      </c>
    </row>
    <row r="2696" spans="1:10" ht="15" x14ac:dyDescent="0.2">
      <c r="A2696" s="486" t="s">
        <v>714</v>
      </c>
      <c r="B2696" s="487" t="s">
        <v>713</v>
      </c>
      <c r="C2696" s="488" t="s">
        <v>9498</v>
      </c>
      <c r="D2696" s="489" t="s">
        <v>9499</v>
      </c>
      <c r="E2696" s="487" t="s">
        <v>9500</v>
      </c>
      <c r="F2696" s="490">
        <v>23981</v>
      </c>
      <c r="G2696" s="489">
        <v>474.6</v>
      </c>
      <c r="H2696" s="489">
        <v>50.528869999999998</v>
      </c>
      <c r="I2696" s="487" t="s">
        <v>1499</v>
      </c>
      <c r="J2696" s="487" t="s">
        <v>715</v>
      </c>
    </row>
    <row r="2697" spans="1:10" ht="15" x14ac:dyDescent="0.2">
      <c r="A2697" s="486" t="s">
        <v>714</v>
      </c>
      <c r="B2697" s="487" t="s">
        <v>713</v>
      </c>
      <c r="C2697" s="488" t="s">
        <v>9501</v>
      </c>
      <c r="D2697" s="489" t="s">
        <v>9502</v>
      </c>
      <c r="E2697" s="487" t="s">
        <v>9503</v>
      </c>
      <c r="F2697" s="490">
        <v>54000</v>
      </c>
      <c r="G2697" s="489">
        <v>1700.9</v>
      </c>
      <c r="H2697" s="489">
        <v>31.747900000000001</v>
      </c>
      <c r="I2697" s="487" t="s">
        <v>1499</v>
      </c>
      <c r="J2697" s="487" t="s">
        <v>715</v>
      </c>
    </row>
    <row r="2698" spans="1:10" ht="15" x14ac:dyDescent="0.2">
      <c r="A2698" s="486" t="s">
        <v>714</v>
      </c>
      <c r="B2698" s="487" t="s">
        <v>713</v>
      </c>
      <c r="C2698" s="488" t="s">
        <v>9504</v>
      </c>
      <c r="D2698" s="489" t="s">
        <v>9505</v>
      </c>
      <c r="E2698" s="487" t="s">
        <v>9506</v>
      </c>
      <c r="F2698" s="490">
        <v>953965</v>
      </c>
      <c r="G2698" s="489">
        <v>8188.5</v>
      </c>
      <c r="H2698" s="489">
        <v>116.50058</v>
      </c>
      <c r="I2698" s="487" t="s">
        <v>1499</v>
      </c>
      <c r="J2698" s="487" t="s">
        <v>715</v>
      </c>
    </row>
    <row r="2699" spans="1:10" ht="15" x14ac:dyDescent="0.2">
      <c r="A2699" s="486" t="s">
        <v>714</v>
      </c>
      <c r="B2699" s="487" t="s">
        <v>713</v>
      </c>
      <c r="C2699" s="488" t="s">
        <v>9507</v>
      </c>
      <c r="D2699" s="489" t="s">
        <v>9508</v>
      </c>
      <c r="E2699" s="487" t="s">
        <v>9509</v>
      </c>
      <c r="F2699" s="490">
        <v>25089</v>
      </c>
      <c r="G2699" s="489">
        <v>540.4</v>
      </c>
      <c r="H2699" s="489">
        <v>46.426720000000003</v>
      </c>
      <c r="I2699" s="487" t="s">
        <v>1499</v>
      </c>
      <c r="J2699" s="487" t="s">
        <v>715</v>
      </c>
    </row>
    <row r="2700" spans="1:10" ht="15" x14ac:dyDescent="0.2">
      <c r="A2700" s="486" t="s">
        <v>714</v>
      </c>
      <c r="B2700" s="487" t="s">
        <v>713</v>
      </c>
      <c r="C2700" s="488" t="s">
        <v>9510</v>
      </c>
      <c r="D2700" s="489" t="s">
        <v>9511</v>
      </c>
      <c r="E2700" s="487" t="s">
        <v>9512</v>
      </c>
      <c r="F2700" s="490">
        <v>8347.1299999999992</v>
      </c>
      <c r="G2700" s="489">
        <v>160.80000000000001</v>
      </c>
      <c r="H2700" s="489">
        <v>51.91001</v>
      </c>
      <c r="I2700" s="487" t="s">
        <v>1499</v>
      </c>
      <c r="J2700" s="487" t="s">
        <v>715</v>
      </c>
    </row>
    <row r="2701" spans="1:10" ht="15" x14ac:dyDescent="0.2">
      <c r="A2701" s="486" t="s">
        <v>714</v>
      </c>
      <c r="B2701" s="487" t="s">
        <v>713</v>
      </c>
      <c r="C2701" s="488" t="s">
        <v>9513</v>
      </c>
      <c r="D2701" s="489" t="s">
        <v>9514</v>
      </c>
      <c r="E2701" s="487" t="s">
        <v>9515</v>
      </c>
      <c r="F2701" s="490">
        <v>178473.29</v>
      </c>
      <c r="G2701" s="489">
        <v>645.79999999999995</v>
      </c>
      <c r="H2701" s="489">
        <v>276.36</v>
      </c>
      <c r="I2701" s="487" t="s">
        <v>1499</v>
      </c>
      <c r="J2701" s="487" t="s">
        <v>715</v>
      </c>
    </row>
    <row r="2702" spans="1:10" ht="15" x14ac:dyDescent="0.2">
      <c r="A2702" s="486" t="s">
        <v>714</v>
      </c>
      <c r="B2702" s="487" t="s">
        <v>713</v>
      </c>
      <c r="C2702" s="488" t="s">
        <v>9516</v>
      </c>
      <c r="D2702" s="489" t="s">
        <v>9517</v>
      </c>
      <c r="E2702" s="487" t="s">
        <v>9518</v>
      </c>
      <c r="F2702" s="490">
        <v>48618</v>
      </c>
      <c r="G2702" s="489">
        <v>555</v>
      </c>
      <c r="H2702" s="489">
        <v>87.6</v>
      </c>
      <c r="I2702" s="487" t="s">
        <v>1499</v>
      </c>
      <c r="J2702" s="487" t="s">
        <v>715</v>
      </c>
    </row>
    <row r="2703" spans="1:10" ht="15" x14ac:dyDescent="0.2">
      <c r="A2703" s="486" t="s">
        <v>714</v>
      </c>
      <c r="B2703" s="487" t="s">
        <v>713</v>
      </c>
      <c r="C2703" s="488" t="s">
        <v>9519</v>
      </c>
      <c r="D2703" s="489" t="s">
        <v>9520</v>
      </c>
      <c r="E2703" s="487" t="s">
        <v>9521</v>
      </c>
      <c r="F2703" s="490">
        <v>190541.53</v>
      </c>
      <c r="G2703" s="489">
        <v>1103.2</v>
      </c>
      <c r="H2703" s="489">
        <v>172.71711999999999</v>
      </c>
      <c r="I2703" s="487" t="s">
        <v>1499</v>
      </c>
      <c r="J2703" s="487" t="s">
        <v>715</v>
      </c>
    </row>
    <row r="2704" spans="1:10" ht="15" x14ac:dyDescent="0.2">
      <c r="A2704" s="486" t="s">
        <v>714</v>
      </c>
      <c r="B2704" s="487" t="s">
        <v>713</v>
      </c>
      <c r="C2704" s="488" t="s">
        <v>9522</v>
      </c>
      <c r="D2704" s="489" t="s">
        <v>9523</v>
      </c>
      <c r="E2704" s="487" t="s">
        <v>9524</v>
      </c>
      <c r="F2704" s="490">
        <v>68304</v>
      </c>
      <c r="G2704" s="489">
        <v>365.4</v>
      </c>
      <c r="H2704" s="489">
        <v>186.92939000000001</v>
      </c>
      <c r="I2704" s="487" t="s">
        <v>1499</v>
      </c>
      <c r="J2704" s="487" t="s">
        <v>715</v>
      </c>
    </row>
    <row r="2705" spans="1:10" ht="15" x14ac:dyDescent="0.2">
      <c r="A2705" s="486" t="s">
        <v>714</v>
      </c>
      <c r="B2705" s="487" t="s">
        <v>713</v>
      </c>
      <c r="C2705" s="488" t="s">
        <v>9525</v>
      </c>
      <c r="D2705" s="489" t="s">
        <v>9526</v>
      </c>
      <c r="E2705" s="487" t="s">
        <v>9527</v>
      </c>
      <c r="F2705" s="490">
        <v>47189</v>
      </c>
      <c r="G2705" s="489">
        <v>1172.7</v>
      </c>
      <c r="H2705" s="489">
        <v>40.239620000000002</v>
      </c>
      <c r="I2705" s="487" t="s">
        <v>1499</v>
      </c>
      <c r="J2705" s="487" t="s">
        <v>715</v>
      </c>
    </row>
    <row r="2706" spans="1:10" ht="15" x14ac:dyDescent="0.2">
      <c r="A2706" s="486" t="s">
        <v>714</v>
      </c>
      <c r="B2706" s="487" t="s">
        <v>713</v>
      </c>
      <c r="C2706" s="488" t="s">
        <v>9528</v>
      </c>
      <c r="D2706" s="489" t="s">
        <v>9529</v>
      </c>
      <c r="E2706" s="487" t="s">
        <v>9530</v>
      </c>
      <c r="F2706" s="490">
        <v>0</v>
      </c>
      <c r="G2706" s="489">
        <v>21.2</v>
      </c>
      <c r="H2706" s="489">
        <v>0</v>
      </c>
      <c r="I2706" s="487" t="s">
        <v>1593</v>
      </c>
      <c r="J2706" s="487" t="s">
        <v>715</v>
      </c>
    </row>
    <row r="2707" spans="1:10" ht="15" x14ac:dyDescent="0.2">
      <c r="A2707" s="486" t="s">
        <v>714</v>
      </c>
      <c r="B2707" s="487" t="s">
        <v>713</v>
      </c>
      <c r="C2707" s="488" t="s">
        <v>9531</v>
      </c>
      <c r="D2707" s="489" t="s">
        <v>9532</v>
      </c>
      <c r="E2707" s="487" t="s">
        <v>9533</v>
      </c>
      <c r="F2707" s="490">
        <v>72328.165599999993</v>
      </c>
      <c r="G2707" s="489">
        <v>1449.7</v>
      </c>
      <c r="H2707" s="489">
        <v>49.891820000000003</v>
      </c>
      <c r="I2707" s="487" t="s">
        <v>1499</v>
      </c>
      <c r="J2707" s="487" t="s">
        <v>715</v>
      </c>
    </row>
    <row r="2708" spans="1:10" ht="15" x14ac:dyDescent="0.2">
      <c r="A2708" s="486" t="s">
        <v>714</v>
      </c>
      <c r="B2708" s="487" t="s">
        <v>713</v>
      </c>
      <c r="C2708" s="488" t="s">
        <v>9534</v>
      </c>
      <c r="D2708" s="489" t="s">
        <v>9535</v>
      </c>
      <c r="E2708" s="487" t="s">
        <v>9536</v>
      </c>
      <c r="F2708" s="490">
        <v>24329.23</v>
      </c>
      <c r="G2708" s="489">
        <v>631.6</v>
      </c>
      <c r="H2708" s="489">
        <v>38.520000000000003</v>
      </c>
      <c r="I2708" s="487" t="s">
        <v>1499</v>
      </c>
      <c r="J2708" s="487" t="s">
        <v>715</v>
      </c>
    </row>
    <row r="2709" spans="1:10" ht="15" x14ac:dyDescent="0.2">
      <c r="A2709" s="486" t="s">
        <v>714</v>
      </c>
      <c r="B2709" s="487" t="s">
        <v>713</v>
      </c>
      <c r="C2709" s="488" t="s">
        <v>9537</v>
      </c>
      <c r="D2709" s="489" t="s">
        <v>9538</v>
      </c>
      <c r="E2709" s="487" t="s">
        <v>9539</v>
      </c>
      <c r="F2709" s="490">
        <v>41483.25</v>
      </c>
      <c r="G2709" s="489">
        <v>762.7</v>
      </c>
      <c r="H2709" s="489">
        <v>54.39</v>
      </c>
      <c r="I2709" s="487" t="s">
        <v>1499</v>
      </c>
      <c r="J2709" s="487" t="s">
        <v>715</v>
      </c>
    </row>
    <row r="2710" spans="1:10" ht="15" x14ac:dyDescent="0.2">
      <c r="A2710" s="486" t="s">
        <v>714</v>
      </c>
      <c r="B2710" s="487" t="s">
        <v>713</v>
      </c>
      <c r="C2710" s="488" t="s">
        <v>9540</v>
      </c>
      <c r="D2710" s="489" t="s">
        <v>9541</v>
      </c>
      <c r="E2710" s="487" t="s">
        <v>9542</v>
      </c>
      <c r="F2710" s="490">
        <v>0</v>
      </c>
      <c r="G2710" s="489">
        <v>0</v>
      </c>
      <c r="H2710" s="489">
        <v>0</v>
      </c>
      <c r="I2710" s="487" t="s">
        <v>2465</v>
      </c>
      <c r="J2710" s="487" t="s">
        <v>715</v>
      </c>
    </row>
    <row r="2711" spans="1:10" ht="15" x14ac:dyDescent="0.2">
      <c r="A2711" s="486" t="s">
        <v>714</v>
      </c>
      <c r="B2711" s="487" t="s">
        <v>713</v>
      </c>
      <c r="C2711" s="488" t="s">
        <v>9543</v>
      </c>
      <c r="D2711" s="489" t="s">
        <v>9544</v>
      </c>
      <c r="E2711" s="487" t="s">
        <v>9545</v>
      </c>
      <c r="F2711" s="490">
        <v>136415</v>
      </c>
      <c r="G2711" s="489">
        <v>787</v>
      </c>
      <c r="H2711" s="489">
        <v>173.33545000000001</v>
      </c>
      <c r="I2711" s="487" t="s">
        <v>1499</v>
      </c>
      <c r="J2711" s="487" t="s">
        <v>715</v>
      </c>
    </row>
    <row r="2712" spans="1:10" ht="15" x14ac:dyDescent="0.2">
      <c r="A2712" s="486" t="s">
        <v>714</v>
      </c>
      <c r="B2712" s="487" t="s">
        <v>713</v>
      </c>
      <c r="C2712" s="488" t="s">
        <v>9546</v>
      </c>
      <c r="D2712" s="489" t="s">
        <v>9547</v>
      </c>
      <c r="E2712" s="487" t="s">
        <v>9548</v>
      </c>
      <c r="F2712" s="490">
        <v>7952.34</v>
      </c>
      <c r="G2712" s="489">
        <v>128.30000000000001</v>
      </c>
      <c r="H2712" s="489">
        <v>61.982390000000002</v>
      </c>
      <c r="I2712" s="487" t="s">
        <v>2465</v>
      </c>
      <c r="J2712" s="487" t="s">
        <v>715</v>
      </c>
    </row>
    <row r="2713" spans="1:10" ht="15" x14ac:dyDescent="0.2">
      <c r="A2713" s="486" t="s">
        <v>714</v>
      </c>
      <c r="B2713" s="487" t="s">
        <v>713</v>
      </c>
      <c r="C2713" s="488" t="s">
        <v>9549</v>
      </c>
      <c r="D2713" s="489" t="s">
        <v>9550</v>
      </c>
      <c r="E2713" s="487" t="s">
        <v>9551</v>
      </c>
      <c r="F2713" s="490">
        <v>8250</v>
      </c>
      <c r="G2713" s="489">
        <v>112.2</v>
      </c>
      <c r="H2713" s="489">
        <v>73.529409999999999</v>
      </c>
      <c r="I2713" s="487" t="s">
        <v>1499</v>
      </c>
      <c r="J2713" s="487" t="s">
        <v>715</v>
      </c>
    </row>
    <row r="2714" spans="1:10" ht="15" x14ac:dyDescent="0.2">
      <c r="A2714" s="486" t="s">
        <v>714</v>
      </c>
      <c r="B2714" s="487" t="s">
        <v>713</v>
      </c>
      <c r="C2714" s="488" t="s">
        <v>9552</v>
      </c>
      <c r="D2714" s="489" t="s">
        <v>9553</v>
      </c>
      <c r="E2714" s="487" t="s">
        <v>9554</v>
      </c>
      <c r="F2714" s="490">
        <v>191000</v>
      </c>
      <c r="G2714" s="489">
        <v>1268.3</v>
      </c>
      <c r="H2714" s="489">
        <v>150.59529000000001</v>
      </c>
      <c r="I2714" s="487" t="s">
        <v>1499</v>
      </c>
      <c r="J2714" s="487" t="s">
        <v>715</v>
      </c>
    </row>
    <row r="2715" spans="1:10" ht="15" x14ac:dyDescent="0.2">
      <c r="A2715" s="486" t="s">
        <v>714</v>
      </c>
      <c r="B2715" s="487" t="s">
        <v>713</v>
      </c>
      <c r="C2715" s="488" t="s">
        <v>9555</v>
      </c>
      <c r="D2715" s="489" t="s">
        <v>9556</v>
      </c>
      <c r="E2715" s="487" t="s">
        <v>9557</v>
      </c>
      <c r="F2715" s="490">
        <v>11400</v>
      </c>
      <c r="G2715" s="489">
        <v>210.6</v>
      </c>
      <c r="H2715" s="489">
        <v>54.131050000000002</v>
      </c>
      <c r="I2715" s="487" t="s">
        <v>1499</v>
      </c>
      <c r="J2715" s="487" t="s">
        <v>715</v>
      </c>
    </row>
    <row r="2716" spans="1:10" ht="15" x14ac:dyDescent="0.2">
      <c r="A2716" s="486" t="s">
        <v>714</v>
      </c>
      <c r="B2716" s="487" t="s">
        <v>713</v>
      </c>
      <c r="C2716" s="488" t="s">
        <v>9558</v>
      </c>
      <c r="D2716" s="489" t="s">
        <v>9559</v>
      </c>
      <c r="E2716" s="487" t="s">
        <v>9560</v>
      </c>
      <c r="F2716" s="490">
        <v>28696</v>
      </c>
      <c r="G2716" s="489">
        <v>770</v>
      </c>
      <c r="H2716" s="489">
        <v>37.267530000000001</v>
      </c>
      <c r="I2716" s="487" t="s">
        <v>1499</v>
      </c>
      <c r="J2716" s="487" t="s">
        <v>715</v>
      </c>
    </row>
    <row r="2717" spans="1:10" ht="15" x14ac:dyDescent="0.2">
      <c r="A2717" s="486" t="s">
        <v>714</v>
      </c>
      <c r="B2717" s="487" t="s">
        <v>713</v>
      </c>
      <c r="C2717" s="488" t="s">
        <v>9561</v>
      </c>
      <c r="D2717" s="489" t="s">
        <v>9562</v>
      </c>
      <c r="E2717" s="487" t="s">
        <v>9563</v>
      </c>
      <c r="F2717" s="490">
        <v>8123.58</v>
      </c>
      <c r="G2717" s="489">
        <v>293.89999999999998</v>
      </c>
      <c r="H2717" s="489">
        <v>27.640630000000002</v>
      </c>
      <c r="I2717" s="487" t="s">
        <v>1499</v>
      </c>
      <c r="J2717" s="487" t="s">
        <v>715</v>
      </c>
    </row>
    <row r="2718" spans="1:10" ht="15" x14ac:dyDescent="0.2">
      <c r="A2718" s="486" t="s">
        <v>714</v>
      </c>
      <c r="B2718" s="487" t="s">
        <v>713</v>
      </c>
      <c r="C2718" s="488" t="s">
        <v>9564</v>
      </c>
      <c r="D2718" s="489" t="s">
        <v>9565</v>
      </c>
      <c r="E2718" s="487" t="s">
        <v>9566</v>
      </c>
      <c r="F2718" s="490">
        <v>65000</v>
      </c>
      <c r="G2718" s="489">
        <v>1019.2</v>
      </c>
      <c r="H2718" s="489">
        <v>63.775509999999997</v>
      </c>
      <c r="I2718" s="487" t="s">
        <v>1499</v>
      </c>
      <c r="J2718" s="487" t="s">
        <v>715</v>
      </c>
    </row>
    <row r="2719" spans="1:10" ht="15" x14ac:dyDescent="0.2">
      <c r="A2719" s="486" t="s">
        <v>714</v>
      </c>
      <c r="B2719" s="487" t="s">
        <v>713</v>
      </c>
      <c r="C2719" s="488" t="s">
        <v>9567</v>
      </c>
      <c r="D2719" s="489" t="s">
        <v>9568</v>
      </c>
      <c r="E2719" s="487" t="s">
        <v>7960</v>
      </c>
      <c r="F2719" s="490">
        <v>3900</v>
      </c>
      <c r="G2719" s="489">
        <v>82.6</v>
      </c>
      <c r="H2719" s="489">
        <v>47.215499999999999</v>
      </c>
      <c r="I2719" s="487" t="s">
        <v>1499</v>
      </c>
      <c r="J2719" s="487" t="s">
        <v>715</v>
      </c>
    </row>
    <row r="2720" spans="1:10" ht="15" x14ac:dyDescent="0.2">
      <c r="A2720" s="486" t="s">
        <v>714</v>
      </c>
      <c r="B2720" s="487" t="s">
        <v>713</v>
      </c>
      <c r="C2720" s="488" t="s">
        <v>9569</v>
      </c>
      <c r="D2720" s="489" t="s">
        <v>9570</v>
      </c>
      <c r="E2720" s="487" t="s">
        <v>9571</v>
      </c>
      <c r="F2720" s="490">
        <v>0</v>
      </c>
      <c r="G2720" s="489">
        <v>54.9</v>
      </c>
      <c r="H2720" s="489">
        <v>0</v>
      </c>
      <c r="I2720" s="487" t="s">
        <v>1593</v>
      </c>
      <c r="J2720" s="487" t="s">
        <v>715</v>
      </c>
    </row>
    <row r="2721" spans="1:10" ht="15" x14ac:dyDescent="0.2">
      <c r="A2721" s="486" t="s">
        <v>714</v>
      </c>
      <c r="B2721" s="487" t="s">
        <v>713</v>
      </c>
      <c r="C2721" s="488" t="s">
        <v>9572</v>
      </c>
      <c r="D2721" s="489" t="s">
        <v>9573</v>
      </c>
      <c r="E2721" s="487" t="s">
        <v>9574</v>
      </c>
      <c r="F2721" s="490">
        <v>292167.28000000003</v>
      </c>
      <c r="G2721" s="489">
        <v>4622.8999999999996</v>
      </c>
      <c r="H2721" s="489">
        <v>63.2</v>
      </c>
      <c r="I2721" s="487" t="s">
        <v>1499</v>
      </c>
      <c r="J2721" s="487" t="s">
        <v>715</v>
      </c>
    </row>
    <row r="2722" spans="1:10" ht="15" x14ac:dyDescent="0.2">
      <c r="A2722" s="486" t="s">
        <v>714</v>
      </c>
      <c r="B2722" s="487" t="s">
        <v>713</v>
      </c>
      <c r="C2722" s="488" t="s">
        <v>9575</v>
      </c>
      <c r="D2722" s="489" t="s">
        <v>9576</v>
      </c>
      <c r="E2722" s="487" t="s">
        <v>9577</v>
      </c>
      <c r="F2722" s="490">
        <v>54842</v>
      </c>
      <c r="G2722" s="489">
        <v>27420.799999999999</v>
      </c>
      <c r="H2722" s="489">
        <v>2.0000100000000001</v>
      </c>
      <c r="I2722" s="487" t="s">
        <v>1654</v>
      </c>
      <c r="J2722" s="487" t="s">
        <v>715</v>
      </c>
    </row>
    <row r="2723" spans="1:10" ht="15" x14ac:dyDescent="0.2">
      <c r="A2723" s="486" t="s">
        <v>532</v>
      </c>
      <c r="B2723" s="487" t="s">
        <v>531</v>
      </c>
      <c r="C2723" s="488" t="s">
        <v>9578</v>
      </c>
      <c r="D2723" s="489" t="s">
        <v>9579</v>
      </c>
      <c r="E2723" s="487" t="s">
        <v>9580</v>
      </c>
      <c r="F2723" s="490">
        <v>60340</v>
      </c>
      <c r="G2723" s="489">
        <v>1785.8</v>
      </c>
      <c r="H2723" s="489">
        <v>33.788780000000003</v>
      </c>
      <c r="I2723" s="487" t="s">
        <v>1499</v>
      </c>
      <c r="J2723" s="487" t="s">
        <v>533</v>
      </c>
    </row>
    <row r="2724" spans="1:10" ht="15" x14ac:dyDescent="0.2">
      <c r="A2724" s="486" t="s">
        <v>944</v>
      </c>
      <c r="B2724" s="487" t="s">
        <v>943</v>
      </c>
      <c r="C2724" s="488" t="s">
        <v>9581</v>
      </c>
      <c r="D2724" s="489" t="s">
        <v>9582</v>
      </c>
      <c r="E2724" s="487" t="s">
        <v>9583</v>
      </c>
      <c r="F2724" s="490">
        <v>40000</v>
      </c>
      <c r="G2724" s="489">
        <v>665.80002000000002</v>
      </c>
      <c r="H2724" s="489">
        <v>60.078099999999999</v>
      </c>
      <c r="I2724" s="487" t="s">
        <v>1499</v>
      </c>
      <c r="J2724" s="487" t="s">
        <v>945</v>
      </c>
    </row>
    <row r="2725" spans="1:10" ht="15" x14ac:dyDescent="0.2">
      <c r="A2725" s="486" t="s">
        <v>944</v>
      </c>
      <c r="B2725" s="487" t="s">
        <v>943</v>
      </c>
      <c r="C2725" s="488" t="s">
        <v>9584</v>
      </c>
      <c r="D2725" s="489" t="s">
        <v>9585</v>
      </c>
      <c r="E2725" s="487" t="s">
        <v>9586</v>
      </c>
      <c r="F2725" s="490">
        <v>90892</v>
      </c>
      <c r="G2725" s="489">
        <v>1476.79249</v>
      </c>
      <c r="H2725" s="489">
        <v>61.546900000000001</v>
      </c>
      <c r="I2725" s="487" t="s">
        <v>1499</v>
      </c>
      <c r="J2725" s="487" t="s">
        <v>945</v>
      </c>
    </row>
    <row r="2726" spans="1:10" ht="15" x14ac:dyDescent="0.2">
      <c r="A2726" s="486" t="s">
        <v>944</v>
      </c>
      <c r="B2726" s="487" t="s">
        <v>943</v>
      </c>
      <c r="C2726" s="488" t="s">
        <v>9587</v>
      </c>
      <c r="D2726" s="489" t="s">
        <v>9588</v>
      </c>
      <c r="E2726" s="487" t="s">
        <v>9589</v>
      </c>
      <c r="F2726" s="490">
        <v>129930</v>
      </c>
      <c r="G2726" s="489">
        <v>1185.53649</v>
      </c>
      <c r="H2726" s="489">
        <v>109.59595</v>
      </c>
      <c r="I2726" s="487" t="s">
        <v>1499</v>
      </c>
      <c r="J2726" s="487" t="s">
        <v>945</v>
      </c>
    </row>
    <row r="2727" spans="1:10" ht="15" x14ac:dyDescent="0.2">
      <c r="A2727" s="486" t="s">
        <v>944</v>
      </c>
      <c r="B2727" s="487" t="s">
        <v>943</v>
      </c>
      <c r="C2727" s="488" t="s">
        <v>9590</v>
      </c>
      <c r="D2727" s="489" t="s">
        <v>9591</v>
      </c>
      <c r="E2727" s="487" t="s">
        <v>9592</v>
      </c>
      <c r="F2727" s="490">
        <v>8970</v>
      </c>
      <c r="G2727" s="489">
        <v>199.92761999999999</v>
      </c>
      <c r="H2727" s="489">
        <v>44.866239999999998</v>
      </c>
      <c r="I2727" s="487" t="s">
        <v>1499</v>
      </c>
      <c r="J2727" s="487" t="s">
        <v>945</v>
      </c>
    </row>
    <row r="2728" spans="1:10" ht="15" x14ac:dyDescent="0.2">
      <c r="A2728" s="486" t="s">
        <v>944</v>
      </c>
      <c r="B2728" s="487" t="s">
        <v>943</v>
      </c>
      <c r="C2728" s="488" t="s">
        <v>9593</v>
      </c>
      <c r="D2728" s="489" t="s">
        <v>9594</v>
      </c>
      <c r="E2728" s="487" t="s">
        <v>9595</v>
      </c>
      <c r="F2728" s="490">
        <v>1000</v>
      </c>
      <c r="G2728" s="489">
        <v>73.278959999999998</v>
      </c>
      <c r="H2728" s="489">
        <v>13.64648</v>
      </c>
      <c r="I2728" s="487" t="s">
        <v>1499</v>
      </c>
      <c r="J2728" s="487" t="s">
        <v>945</v>
      </c>
    </row>
    <row r="2729" spans="1:10" ht="15" x14ac:dyDescent="0.2">
      <c r="A2729" s="486" t="s">
        <v>944</v>
      </c>
      <c r="B2729" s="487" t="s">
        <v>943</v>
      </c>
      <c r="C2729" s="488" t="s">
        <v>9596</v>
      </c>
      <c r="D2729" s="489" t="s">
        <v>9597</v>
      </c>
      <c r="E2729" s="487" t="s">
        <v>9598</v>
      </c>
      <c r="F2729" s="490">
        <v>12075</v>
      </c>
      <c r="G2729" s="489">
        <v>126.26429</v>
      </c>
      <c r="H2729" s="489">
        <v>95.632739999999998</v>
      </c>
      <c r="I2729" s="487" t="s">
        <v>1499</v>
      </c>
      <c r="J2729" s="487" t="s">
        <v>945</v>
      </c>
    </row>
    <row r="2730" spans="1:10" ht="15" x14ac:dyDescent="0.2">
      <c r="A2730" s="486" t="s">
        <v>944</v>
      </c>
      <c r="B2730" s="487" t="s">
        <v>943</v>
      </c>
      <c r="C2730" s="488" t="s">
        <v>9599</v>
      </c>
      <c r="D2730" s="489" t="s">
        <v>9600</v>
      </c>
      <c r="E2730" s="487" t="s">
        <v>9601</v>
      </c>
      <c r="F2730" s="490">
        <v>21196</v>
      </c>
      <c r="G2730" s="489">
        <v>193.22878</v>
      </c>
      <c r="H2730" s="489">
        <v>109.69381</v>
      </c>
      <c r="I2730" s="487" t="s">
        <v>1499</v>
      </c>
      <c r="J2730" s="487" t="s">
        <v>945</v>
      </c>
    </row>
    <row r="2731" spans="1:10" ht="15" x14ac:dyDescent="0.2">
      <c r="A2731" s="486" t="s">
        <v>944</v>
      </c>
      <c r="B2731" s="487" t="s">
        <v>943</v>
      </c>
      <c r="C2731" s="488" t="s">
        <v>9602</v>
      </c>
      <c r="D2731" s="489" t="s">
        <v>9603</v>
      </c>
      <c r="E2731" s="487" t="s">
        <v>9604</v>
      </c>
      <c r="F2731" s="490">
        <v>21000</v>
      </c>
      <c r="G2731" s="489">
        <v>296.67649</v>
      </c>
      <c r="H2731" s="489">
        <v>70.784170000000003</v>
      </c>
      <c r="I2731" s="487" t="s">
        <v>1499</v>
      </c>
      <c r="J2731" s="487" t="s">
        <v>945</v>
      </c>
    </row>
    <row r="2732" spans="1:10" ht="15" x14ac:dyDescent="0.2">
      <c r="A2732" s="486" t="s">
        <v>944</v>
      </c>
      <c r="B2732" s="487" t="s">
        <v>943</v>
      </c>
      <c r="C2732" s="488" t="s">
        <v>9605</v>
      </c>
      <c r="D2732" s="489" t="s">
        <v>9606</v>
      </c>
      <c r="E2732" s="487" t="s">
        <v>9607</v>
      </c>
      <c r="F2732" s="490">
        <v>0</v>
      </c>
      <c r="G2732" s="489">
        <v>94.81</v>
      </c>
      <c r="H2732" s="489">
        <v>0</v>
      </c>
      <c r="I2732" s="487" t="s">
        <v>1593</v>
      </c>
      <c r="J2732" s="487" t="s">
        <v>945</v>
      </c>
    </row>
    <row r="2733" spans="1:10" ht="15" x14ac:dyDescent="0.2">
      <c r="A2733" s="486" t="s">
        <v>944</v>
      </c>
      <c r="B2733" s="487" t="s">
        <v>943</v>
      </c>
      <c r="C2733" s="488" t="s">
        <v>9608</v>
      </c>
      <c r="D2733" s="489" t="s">
        <v>9609</v>
      </c>
      <c r="E2733" s="487" t="s">
        <v>9610</v>
      </c>
      <c r="F2733" s="490">
        <v>60946</v>
      </c>
      <c r="G2733" s="489">
        <v>429.58190999999999</v>
      </c>
      <c r="H2733" s="489">
        <v>141.87282999999999</v>
      </c>
      <c r="I2733" s="487" t="s">
        <v>1499</v>
      </c>
      <c r="J2733" s="487" t="s">
        <v>945</v>
      </c>
    </row>
    <row r="2734" spans="1:10" ht="15" x14ac:dyDescent="0.2">
      <c r="A2734" s="486" t="s">
        <v>944</v>
      </c>
      <c r="B2734" s="487" t="s">
        <v>943</v>
      </c>
      <c r="C2734" s="488" t="s">
        <v>9611</v>
      </c>
      <c r="D2734" s="489" t="s">
        <v>9612</v>
      </c>
      <c r="E2734" s="487" t="s">
        <v>943</v>
      </c>
      <c r="F2734" s="490">
        <v>1478045</v>
      </c>
      <c r="G2734" s="489">
        <v>6393.9860399999998</v>
      </c>
      <c r="H2734" s="489">
        <v>231.16175000000001</v>
      </c>
      <c r="I2734" s="487" t="s">
        <v>1499</v>
      </c>
      <c r="J2734" s="487" t="s">
        <v>945</v>
      </c>
    </row>
    <row r="2735" spans="1:10" ht="15" x14ac:dyDescent="0.2">
      <c r="A2735" s="486" t="s">
        <v>944</v>
      </c>
      <c r="B2735" s="487" t="s">
        <v>943</v>
      </c>
      <c r="C2735" s="488" t="s">
        <v>9613</v>
      </c>
      <c r="D2735" s="489" t="s">
        <v>9614</v>
      </c>
      <c r="E2735" s="487" t="s">
        <v>9615</v>
      </c>
      <c r="F2735" s="490">
        <v>723962</v>
      </c>
      <c r="G2735" s="489">
        <v>4032.9744000000001</v>
      </c>
      <c r="H2735" s="489">
        <v>179.51069000000001</v>
      </c>
      <c r="I2735" s="487" t="s">
        <v>1499</v>
      </c>
      <c r="J2735" s="487" t="s">
        <v>945</v>
      </c>
    </row>
    <row r="2736" spans="1:10" ht="15" x14ac:dyDescent="0.2">
      <c r="A2736" s="486" t="s">
        <v>944</v>
      </c>
      <c r="B2736" s="487" t="s">
        <v>943</v>
      </c>
      <c r="C2736" s="488" t="s">
        <v>9616</v>
      </c>
      <c r="D2736" s="489" t="s">
        <v>9617</v>
      </c>
      <c r="E2736" s="487" t="s">
        <v>9618</v>
      </c>
      <c r="F2736" s="490">
        <v>75100</v>
      </c>
      <c r="G2736" s="489">
        <v>1170.7776899999999</v>
      </c>
      <c r="H2736" s="489">
        <v>64.145399999999995</v>
      </c>
      <c r="I2736" s="487" t="s">
        <v>1499</v>
      </c>
      <c r="J2736" s="487" t="s">
        <v>945</v>
      </c>
    </row>
    <row r="2737" spans="1:10" ht="15" x14ac:dyDescent="0.2">
      <c r="A2737" s="486" t="s">
        <v>944</v>
      </c>
      <c r="B2737" s="487" t="s">
        <v>943</v>
      </c>
      <c r="C2737" s="488" t="s">
        <v>9619</v>
      </c>
      <c r="D2737" s="489" t="s">
        <v>9620</v>
      </c>
      <c r="E2737" s="487" t="s">
        <v>9621</v>
      </c>
      <c r="F2737" s="490">
        <v>963719</v>
      </c>
      <c r="G2737" s="489">
        <v>5130.5613300000005</v>
      </c>
      <c r="H2737" s="489">
        <v>187.8389</v>
      </c>
      <c r="I2737" s="487" t="s">
        <v>1499</v>
      </c>
      <c r="J2737" s="487" t="s">
        <v>945</v>
      </c>
    </row>
    <row r="2738" spans="1:10" ht="15" x14ac:dyDescent="0.2">
      <c r="A2738" s="486" t="s">
        <v>944</v>
      </c>
      <c r="B2738" s="487" t="s">
        <v>943</v>
      </c>
      <c r="C2738" s="488" t="s">
        <v>9622</v>
      </c>
      <c r="D2738" s="489" t="s">
        <v>9623</v>
      </c>
      <c r="E2738" s="487" t="s">
        <v>9624</v>
      </c>
      <c r="F2738" s="490">
        <v>12515</v>
      </c>
      <c r="G2738" s="489">
        <v>133.39542</v>
      </c>
      <c r="H2738" s="489">
        <v>93.818809999999999</v>
      </c>
      <c r="I2738" s="487" t="s">
        <v>1499</v>
      </c>
      <c r="J2738" s="487" t="s">
        <v>945</v>
      </c>
    </row>
    <row r="2739" spans="1:10" ht="15" x14ac:dyDescent="0.2">
      <c r="A2739" s="486" t="s">
        <v>944</v>
      </c>
      <c r="B2739" s="487" t="s">
        <v>943</v>
      </c>
      <c r="C2739" s="488" t="s">
        <v>9625</v>
      </c>
      <c r="D2739" s="489" t="s">
        <v>9626</v>
      </c>
      <c r="E2739" s="487" t="s">
        <v>9627</v>
      </c>
      <c r="F2739" s="490">
        <v>94525</v>
      </c>
      <c r="G2739" s="489">
        <v>726.23770999999999</v>
      </c>
      <c r="H2739" s="489">
        <v>130.15710999999999</v>
      </c>
      <c r="I2739" s="487" t="s">
        <v>1499</v>
      </c>
      <c r="J2739" s="487" t="s">
        <v>945</v>
      </c>
    </row>
    <row r="2740" spans="1:10" ht="15" x14ac:dyDescent="0.2">
      <c r="A2740" s="486" t="s">
        <v>944</v>
      </c>
      <c r="B2740" s="487" t="s">
        <v>943</v>
      </c>
      <c r="C2740" s="488" t="s">
        <v>9628</v>
      </c>
      <c r="D2740" s="489" t="s">
        <v>9629</v>
      </c>
      <c r="E2740" s="487" t="s">
        <v>9630</v>
      </c>
      <c r="F2740" s="490">
        <v>161550</v>
      </c>
      <c r="G2740" s="489">
        <v>2186.5008699999998</v>
      </c>
      <c r="H2740" s="489">
        <v>73.885180000000005</v>
      </c>
      <c r="I2740" s="487" t="s">
        <v>1499</v>
      </c>
      <c r="J2740" s="487" t="s">
        <v>945</v>
      </c>
    </row>
    <row r="2741" spans="1:10" ht="15" x14ac:dyDescent="0.2">
      <c r="A2741" s="486" t="s">
        <v>944</v>
      </c>
      <c r="B2741" s="487" t="s">
        <v>943</v>
      </c>
      <c r="C2741" s="488" t="s">
        <v>9631</v>
      </c>
      <c r="D2741" s="489" t="s">
        <v>9632</v>
      </c>
      <c r="E2741" s="487" t="s">
        <v>9633</v>
      </c>
      <c r="F2741" s="490">
        <v>19500</v>
      </c>
      <c r="G2741" s="489">
        <v>210.17624000000001</v>
      </c>
      <c r="H2741" s="489">
        <v>92.77928</v>
      </c>
      <c r="I2741" s="487" t="s">
        <v>1499</v>
      </c>
      <c r="J2741" s="487" t="s">
        <v>945</v>
      </c>
    </row>
    <row r="2742" spans="1:10" ht="15" x14ac:dyDescent="0.2">
      <c r="A2742" s="486" t="s">
        <v>944</v>
      </c>
      <c r="B2742" s="487" t="s">
        <v>943</v>
      </c>
      <c r="C2742" s="488" t="s">
        <v>9634</v>
      </c>
      <c r="D2742" s="489" t="s">
        <v>9635</v>
      </c>
      <c r="E2742" s="487" t="s">
        <v>9636</v>
      </c>
      <c r="F2742" s="490">
        <v>1248360</v>
      </c>
      <c r="G2742" s="489">
        <v>9765.0390399999997</v>
      </c>
      <c r="H2742" s="489">
        <v>127.83973</v>
      </c>
      <c r="I2742" s="487" t="s">
        <v>1499</v>
      </c>
      <c r="J2742" s="487" t="s">
        <v>945</v>
      </c>
    </row>
    <row r="2743" spans="1:10" ht="15" x14ac:dyDescent="0.2">
      <c r="A2743" s="486" t="s">
        <v>944</v>
      </c>
      <c r="B2743" s="487" t="s">
        <v>943</v>
      </c>
      <c r="C2743" s="488" t="s">
        <v>9637</v>
      </c>
      <c r="D2743" s="489" t="s">
        <v>9638</v>
      </c>
      <c r="E2743" s="487" t="s">
        <v>9639</v>
      </c>
      <c r="F2743" s="490">
        <v>25045</v>
      </c>
      <c r="G2743" s="489">
        <v>274.05264</v>
      </c>
      <c r="H2743" s="489">
        <v>91.387550000000005</v>
      </c>
      <c r="I2743" s="487" t="s">
        <v>1499</v>
      </c>
      <c r="J2743" s="487" t="s">
        <v>945</v>
      </c>
    </row>
    <row r="2744" spans="1:10" ht="15" x14ac:dyDescent="0.2">
      <c r="A2744" s="486" t="s">
        <v>944</v>
      </c>
      <c r="B2744" s="487" t="s">
        <v>943</v>
      </c>
      <c r="C2744" s="488" t="s">
        <v>9640</v>
      </c>
      <c r="D2744" s="489" t="s">
        <v>9641</v>
      </c>
      <c r="E2744" s="487" t="s">
        <v>9642</v>
      </c>
      <c r="F2744" s="490">
        <v>0</v>
      </c>
      <c r="G2744" s="489">
        <v>21.83</v>
      </c>
      <c r="H2744" s="489">
        <v>0</v>
      </c>
      <c r="I2744" s="487" t="s">
        <v>1593</v>
      </c>
      <c r="J2744" s="487" t="s">
        <v>945</v>
      </c>
    </row>
    <row r="2745" spans="1:10" ht="15" x14ac:dyDescent="0.2">
      <c r="A2745" s="486" t="s">
        <v>944</v>
      </c>
      <c r="B2745" s="487" t="s">
        <v>943</v>
      </c>
      <c r="C2745" s="488" t="s">
        <v>9643</v>
      </c>
      <c r="D2745" s="489" t="s">
        <v>9644</v>
      </c>
      <c r="E2745" s="487" t="s">
        <v>9645</v>
      </c>
      <c r="F2745" s="490">
        <v>0</v>
      </c>
      <c r="G2745" s="489">
        <v>41.394109999999998</v>
      </c>
      <c r="H2745" s="489">
        <v>0</v>
      </c>
      <c r="I2745" s="487" t="s">
        <v>1593</v>
      </c>
      <c r="J2745" s="487" t="s">
        <v>945</v>
      </c>
    </row>
    <row r="2746" spans="1:10" ht="15" x14ac:dyDescent="0.2">
      <c r="A2746" s="486" t="s">
        <v>944</v>
      </c>
      <c r="B2746" s="487" t="s">
        <v>943</v>
      </c>
      <c r="C2746" s="488" t="s">
        <v>9646</v>
      </c>
      <c r="D2746" s="489" t="s">
        <v>9647</v>
      </c>
      <c r="E2746" s="487" t="s">
        <v>9648</v>
      </c>
      <c r="F2746" s="490">
        <v>0</v>
      </c>
      <c r="G2746" s="489">
        <v>23.002780000000001</v>
      </c>
      <c r="H2746" s="489">
        <v>0</v>
      </c>
      <c r="I2746" s="487" t="s">
        <v>1593</v>
      </c>
      <c r="J2746" s="487" t="s">
        <v>945</v>
      </c>
    </row>
    <row r="2747" spans="1:10" ht="15" x14ac:dyDescent="0.2">
      <c r="A2747" s="486" t="s">
        <v>944</v>
      </c>
      <c r="B2747" s="487" t="s">
        <v>943</v>
      </c>
      <c r="C2747" s="488" t="s">
        <v>9649</v>
      </c>
      <c r="D2747" s="489" t="s">
        <v>9650</v>
      </c>
      <c r="E2747" s="487" t="s">
        <v>9651</v>
      </c>
      <c r="F2747" s="490">
        <v>6391</v>
      </c>
      <c r="G2747" s="489">
        <v>90.192670000000007</v>
      </c>
      <c r="H2747" s="489">
        <v>70.85942</v>
      </c>
      <c r="I2747" s="487" t="s">
        <v>1499</v>
      </c>
      <c r="J2747" s="487" t="s">
        <v>945</v>
      </c>
    </row>
    <row r="2748" spans="1:10" ht="15" x14ac:dyDescent="0.2">
      <c r="A2748" s="486" t="s">
        <v>944</v>
      </c>
      <c r="B2748" s="487" t="s">
        <v>943</v>
      </c>
      <c r="C2748" s="488" t="s">
        <v>9652</v>
      </c>
      <c r="D2748" s="489" t="s">
        <v>9653</v>
      </c>
      <c r="E2748" s="487" t="s">
        <v>9654</v>
      </c>
      <c r="F2748" s="490">
        <v>0</v>
      </c>
      <c r="G2748" s="489">
        <v>8.1199999999999992</v>
      </c>
      <c r="H2748" s="489">
        <v>0</v>
      </c>
      <c r="I2748" s="487" t="s">
        <v>1593</v>
      </c>
      <c r="J2748" s="487" t="s">
        <v>945</v>
      </c>
    </row>
    <row r="2749" spans="1:10" ht="15" x14ac:dyDescent="0.2">
      <c r="A2749" s="486" t="s">
        <v>944</v>
      </c>
      <c r="B2749" s="487" t="s">
        <v>943</v>
      </c>
      <c r="C2749" s="488" t="s">
        <v>9655</v>
      </c>
      <c r="D2749" s="489" t="s">
        <v>9656</v>
      </c>
      <c r="E2749" s="487" t="s">
        <v>9657</v>
      </c>
      <c r="F2749" s="490">
        <v>322076</v>
      </c>
      <c r="G2749" s="489">
        <v>2575.8526900000002</v>
      </c>
      <c r="H2749" s="489">
        <v>125.03664999999999</v>
      </c>
      <c r="I2749" s="487" t="s">
        <v>1499</v>
      </c>
      <c r="J2749" s="487" t="s">
        <v>945</v>
      </c>
    </row>
    <row r="2750" spans="1:10" ht="15" x14ac:dyDescent="0.2">
      <c r="A2750" s="486" t="s">
        <v>944</v>
      </c>
      <c r="B2750" s="487" t="s">
        <v>943</v>
      </c>
      <c r="C2750" s="488" t="s">
        <v>9658</v>
      </c>
      <c r="D2750" s="489" t="s">
        <v>9659</v>
      </c>
      <c r="E2750" s="487" t="s">
        <v>9660</v>
      </c>
      <c r="F2750" s="490">
        <v>13000</v>
      </c>
      <c r="G2750" s="489">
        <v>172.92971</v>
      </c>
      <c r="H2750" s="489">
        <v>75.175049999999999</v>
      </c>
      <c r="I2750" s="487" t="s">
        <v>1499</v>
      </c>
      <c r="J2750" s="487" t="s">
        <v>945</v>
      </c>
    </row>
    <row r="2751" spans="1:10" ht="15" x14ac:dyDescent="0.2">
      <c r="A2751" s="486" t="s">
        <v>944</v>
      </c>
      <c r="B2751" s="487" t="s">
        <v>943</v>
      </c>
      <c r="C2751" s="488" t="s">
        <v>9661</v>
      </c>
      <c r="D2751" s="489" t="s">
        <v>9662</v>
      </c>
      <c r="E2751" s="487" t="s">
        <v>9663</v>
      </c>
      <c r="F2751" s="490">
        <v>155616</v>
      </c>
      <c r="G2751" s="489">
        <v>1255.9897800000001</v>
      </c>
      <c r="H2751" s="489">
        <v>123.8991</v>
      </c>
      <c r="I2751" s="487" t="s">
        <v>1499</v>
      </c>
      <c r="J2751" s="487" t="s">
        <v>945</v>
      </c>
    </row>
    <row r="2752" spans="1:10" ht="15" x14ac:dyDescent="0.2">
      <c r="A2752" s="486" t="s">
        <v>1134</v>
      </c>
      <c r="B2752" s="487" t="s">
        <v>1133</v>
      </c>
      <c r="C2752" s="488" t="s">
        <v>9664</v>
      </c>
      <c r="D2752" s="489" t="s">
        <v>9665</v>
      </c>
      <c r="E2752" s="487" t="s">
        <v>9666</v>
      </c>
      <c r="F2752" s="490">
        <v>15225</v>
      </c>
      <c r="G2752" s="489">
        <v>204.37</v>
      </c>
      <c r="H2752" s="489">
        <v>74.497240000000005</v>
      </c>
      <c r="I2752" s="487" t="s">
        <v>1499</v>
      </c>
      <c r="J2752" s="487" t="s">
        <v>1135</v>
      </c>
    </row>
    <row r="2753" spans="1:10" ht="15" x14ac:dyDescent="0.2">
      <c r="A2753" s="486" t="s">
        <v>1134</v>
      </c>
      <c r="B2753" s="487" t="s">
        <v>1133</v>
      </c>
      <c r="C2753" s="488" t="s">
        <v>9667</v>
      </c>
      <c r="D2753" s="489" t="s">
        <v>9668</v>
      </c>
      <c r="E2753" s="487" t="s">
        <v>9669</v>
      </c>
      <c r="F2753" s="490">
        <v>498801</v>
      </c>
      <c r="G2753" s="489">
        <v>2903.88</v>
      </c>
      <c r="H2753" s="489">
        <v>171.77053000000001</v>
      </c>
      <c r="I2753" s="487" t="s">
        <v>1499</v>
      </c>
      <c r="J2753" s="487" t="s">
        <v>1135</v>
      </c>
    </row>
    <row r="2754" spans="1:10" ht="15" x14ac:dyDescent="0.2">
      <c r="A2754" s="486" t="s">
        <v>1134</v>
      </c>
      <c r="B2754" s="487" t="s">
        <v>1133</v>
      </c>
      <c r="C2754" s="488" t="s">
        <v>9670</v>
      </c>
      <c r="D2754" s="489" t="s">
        <v>9671</v>
      </c>
      <c r="E2754" s="487" t="s">
        <v>9672</v>
      </c>
      <c r="F2754" s="490">
        <v>30000</v>
      </c>
      <c r="G2754" s="489">
        <v>568.66999999999996</v>
      </c>
      <c r="H2754" s="489">
        <v>52.754669999999997</v>
      </c>
      <c r="I2754" s="487" t="s">
        <v>1499</v>
      </c>
      <c r="J2754" s="487" t="s">
        <v>1135</v>
      </c>
    </row>
    <row r="2755" spans="1:10" ht="15" x14ac:dyDescent="0.2">
      <c r="A2755" s="486" t="s">
        <v>1134</v>
      </c>
      <c r="B2755" s="487" t="s">
        <v>1133</v>
      </c>
      <c r="C2755" s="488" t="s">
        <v>9673</v>
      </c>
      <c r="D2755" s="489" t="s">
        <v>9674</v>
      </c>
      <c r="E2755" s="487" t="s">
        <v>9675</v>
      </c>
      <c r="F2755" s="490">
        <v>15670</v>
      </c>
      <c r="G2755" s="489">
        <v>171.63</v>
      </c>
      <c r="H2755" s="489">
        <v>91.301050000000004</v>
      </c>
      <c r="I2755" s="487" t="s">
        <v>1499</v>
      </c>
      <c r="J2755" s="487" t="s">
        <v>1135</v>
      </c>
    </row>
    <row r="2756" spans="1:10" ht="15" x14ac:dyDescent="0.2">
      <c r="A2756" s="486" t="s">
        <v>1134</v>
      </c>
      <c r="B2756" s="487" t="s">
        <v>1133</v>
      </c>
      <c r="C2756" s="488" t="s">
        <v>9676</v>
      </c>
      <c r="D2756" s="489" t="s">
        <v>9677</v>
      </c>
      <c r="E2756" s="487" t="s">
        <v>9678</v>
      </c>
      <c r="F2756" s="490">
        <v>44117</v>
      </c>
      <c r="G2756" s="489">
        <v>884.01</v>
      </c>
      <c r="H2756" s="489">
        <v>49.905540000000002</v>
      </c>
      <c r="I2756" s="487" t="s">
        <v>1499</v>
      </c>
      <c r="J2756" s="487" t="s">
        <v>1135</v>
      </c>
    </row>
    <row r="2757" spans="1:10" ht="15" x14ac:dyDescent="0.2">
      <c r="A2757" s="486" t="s">
        <v>1134</v>
      </c>
      <c r="B2757" s="487" t="s">
        <v>1133</v>
      </c>
      <c r="C2757" s="488" t="s">
        <v>9679</v>
      </c>
      <c r="D2757" s="489" t="s">
        <v>9680</v>
      </c>
      <c r="E2757" s="487" t="s">
        <v>9681</v>
      </c>
      <c r="F2757" s="490">
        <v>9137</v>
      </c>
      <c r="G2757" s="489">
        <v>208.1</v>
      </c>
      <c r="H2757" s="489">
        <v>43.906779999999998</v>
      </c>
      <c r="I2757" s="487" t="s">
        <v>1499</v>
      </c>
      <c r="J2757" s="487" t="s">
        <v>1135</v>
      </c>
    </row>
    <row r="2758" spans="1:10" ht="15" x14ac:dyDescent="0.2">
      <c r="A2758" s="486" t="s">
        <v>1134</v>
      </c>
      <c r="B2758" s="487" t="s">
        <v>1133</v>
      </c>
      <c r="C2758" s="488" t="s">
        <v>9682</v>
      </c>
      <c r="D2758" s="489" t="s">
        <v>9683</v>
      </c>
      <c r="E2758" s="487" t="s">
        <v>9684</v>
      </c>
      <c r="F2758" s="490">
        <v>113198</v>
      </c>
      <c r="G2758" s="489">
        <v>1300.31</v>
      </c>
      <c r="H2758" s="489">
        <v>87.054630000000003</v>
      </c>
      <c r="I2758" s="487" t="s">
        <v>1499</v>
      </c>
      <c r="J2758" s="487" t="s">
        <v>1135</v>
      </c>
    </row>
    <row r="2759" spans="1:10" ht="15" x14ac:dyDescent="0.2">
      <c r="A2759" s="486" t="s">
        <v>1134</v>
      </c>
      <c r="B2759" s="487" t="s">
        <v>1133</v>
      </c>
      <c r="C2759" s="488" t="s">
        <v>9685</v>
      </c>
      <c r="D2759" s="489" t="s">
        <v>9686</v>
      </c>
      <c r="E2759" s="487" t="s">
        <v>9687</v>
      </c>
      <c r="F2759" s="490">
        <v>63498</v>
      </c>
      <c r="G2759" s="489">
        <v>715.43</v>
      </c>
      <c r="H2759" s="489">
        <v>88.755009999999999</v>
      </c>
      <c r="I2759" s="487" t="s">
        <v>1499</v>
      </c>
      <c r="J2759" s="487" t="s">
        <v>1135</v>
      </c>
    </row>
    <row r="2760" spans="1:10" ht="15" x14ac:dyDescent="0.2">
      <c r="A2760" s="486" t="s">
        <v>1134</v>
      </c>
      <c r="B2760" s="487" t="s">
        <v>1133</v>
      </c>
      <c r="C2760" s="488" t="s">
        <v>9688</v>
      </c>
      <c r="D2760" s="489" t="s">
        <v>9689</v>
      </c>
      <c r="E2760" s="487" t="s">
        <v>9690</v>
      </c>
      <c r="F2760" s="490">
        <v>48400</v>
      </c>
      <c r="G2760" s="489">
        <v>388.48</v>
      </c>
      <c r="H2760" s="489">
        <v>124.58814</v>
      </c>
      <c r="I2760" s="487" t="s">
        <v>1499</v>
      </c>
      <c r="J2760" s="487" t="s">
        <v>1135</v>
      </c>
    </row>
    <row r="2761" spans="1:10" ht="15" x14ac:dyDescent="0.2">
      <c r="A2761" s="486" t="s">
        <v>1134</v>
      </c>
      <c r="B2761" s="487" t="s">
        <v>1133</v>
      </c>
      <c r="C2761" s="488" t="s">
        <v>9691</v>
      </c>
      <c r="D2761" s="489" t="s">
        <v>9692</v>
      </c>
      <c r="E2761" s="487" t="s">
        <v>9693</v>
      </c>
      <c r="F2761" s="490">
        <v>35217</v>
      </c>
      <c r="G2761" s="489">
        <v>379.04</v>
      </c>
      <c r="H2761" s="489">
        <v>92.91104</v>
      </c>
      <c r="I2761" s="487" t="s">
        <v>1499</v>
      </c>
      <c r="J2761" s="487" t="s">
        <v>1135</v>
      </c>
    </row>
    <row r="2762" spans="1:10" ht="15" x14ac:dyDescent="0.2">
      <c r="A2762" s="486" t="s">
        <v>1134</v>
      </c>
      <c r="B2762" s="487" t="s">
        <v>1133</v>
      </c>
      <c r="C2762" s="488" t="s">
        <v>9694</v>
      </c>
      <c r="D2762" s="489" t="s">
        <v>9695</v>
      </c>
      <c r="E2762" s="487" t="s">
        <v>9696</v>
      </c>
      <c r="F2762" s="490">
        <v>11500</v>
      </c>
      <c r="G2762" s="489">
        <v>184.71</v>
      </c>
      <c r="H2762" s="489">
        <v>62.25976</v>
      </c>
      <c r="I2762" s="487" t="s">
        <v>1499</v>
      </c>
      <c r="J2762" s="487" t="s">
        <v>1135</v>
      </c>
    </row>
    <row r="2763" spans="1:10" ht="15" x14ac:dyDescent="0.2">
      <c r="A2763" s="486" t="s">
        <v>1134</v>
      </c>
      <c r="B2763" s="487" t="s">
        <v>1133</v>
      </c>
      <c r="C2763" s="488" t="s">
        <v>9697</v>
      </c>
      <c r="D2763" s="489" t="s">
        <v>9698</v>
      </c>
      <c r="E2763" s="487" t="s">
        <v>9699</v>
      </c>
      <c r="F2763" s="490">
        <v>0</v>
      </c>
      <c r="G2763" s="489">
        <v>32.340000000000003</v>
      </c>
      <c r="H2763" s="489">
        <v>0</v>
      </c>
      <c r="I2763" s="487" t="s">
        <v>1593</v>
      </c>
      <c r="J2763" s="487" t="s">
        <v>1135</v>
      </c>
    </row>
    <row r="2764" spans="1:10" ht="15" x14ac:dyDescent="0.2">
      <c r="A2764" s="486" t="s">
        <v>1134</v>
      </c>
      <c r="B2764" s="487" t="s">
        <v>1133</v>
      </c>
      <c r="C2764" s="488" t="s">
        <v>9700</v>
      </c>
      <c r="D2764" s="489" t="s">
        <v>9701</v>
      </c>
      <c r="E2764" s="487" t="s">
        <v>9702</v>
      </c>
      <c r="F2764" s="490">
        <v>87500</v>
      </c>
      <c r="G2764" s="489">
        <v>435.47</v>
      </c>
      <c r="H2764" s="489">
        <v>200.93233000000001</v>
      </c>
      <c r="I2764" s="487" t="s">
        <v>1499</v>
      </c>
      <c r="J2764" s="487" t="s">
        <v>1135</v>
      </c>
    </row>
    <row r="2765" spans="1:10" ht="15" x14ac:dyDescent="0.2">
      <c r="A2765" s="486" t="s">
        <v>1134</v>
      </c>
      <c r="B2765" s="487" t="s">
        <v>1133</v>
      </c>
      <c r="C2765" s="488" t="s">
        <v>9703</v>
      </c>
      <c r="D2765" s="489" t="s">
        <v>9704</v>
      </c>
      <c r="E2765" s="487" t="s">
        <v>9705</v>
      </c>
      <c r="F2765" s="490">
        <v>83122</v>
      </c>
      <c r="G2765" s="489">
        <v>572.4</v>
      </c>
      <c r="H2765" s="489">
        <v>145.21663000000001</v>
      </c>
      <c r="I2765" s="487" t="s">
        <v>1499</v>
      </c>
      <c r="J2765" s="487" t="s">
        <v>1135</v>
      </c>
    </row>
    <row r="2766" spans="1:10" ht="15" x14ac:dyDescent="0.2">
      <c r="A2766" s="486" t="s">
        <v>1134</v>
      </c>
      <c r="B2766" s="487" t="s">
        <v>1133</v>
      </c>
      <c r="C2766" s="488" t="s">
        <v>9706</v>
      </c>
      <c r="D2766" s="489" t="s">
        <v>9707</v>
      </c>
      <c r="E2766" s="487" t="s">
        <v>9708</v>
      </c>
      <c r="F2766" s="490">
        <v>74867</v>
      </c>
      <c r="G2766" s="489">
        <v>933.75</v>
      </c>
      <c r="H2766" s="489">
        <v>80.178849999999997</v>
      </c>
      <c r="I2766" s="487" t="s">
        <v>1499</v>
      </c>
      <c r="J2766" s="487" t="s">
        <v>1135</v>
      </c>
    </row>
    <row r="2767" spans="1:10" ht="15" x14ac:dyDescent="0.2">
      <c r="A2767" s="486" t="s">
        <v>1134</v>
      </c>
      <c r="B2767" s="487" t="s">
        <v>1133</v>
      </c>
      <c r="C2767" s="488" t="s">
        <v>9709</v>
      </c>
      <c r="D2767" s="489" t="s">
        <v>9710</v>
      </c>
      <c r="E2767" s="487" t="s">
        <v>9711</v>
      </c>
      <c r="F2767" s="490">
        <v>10326</v>
      </c>
      <c r="G2767" s="489">
        <v>668.83</v>
      </c>
      <c r="H2767" s="489">
        <v>15.4389</v>
      </c>
      <c r="I2767" s="487" t="s">
        <v>1499</v>
      </c>
      <c r="J2767" s="487" t="s">
        <v>1135</v>
      </c>
    </row>
    <row r="2768" spans="1:10" ht="15" x14ac:dyDescent="0.2">
      <c r="A2768" s="486" t="s">
        <v>1134</v>
      </c>
      <c r="B2768" s="487" t="s">
        <v>1133</v>
      </c>
      <c r="C2768" s="488" t="s">
        <v>9712</v>
      </c>
      <c r="D2768" s="489" t="s">
        <v>9713</v>
      </c>
      <c r="E2768" s="487" t="s">
        <v>9714</v>
      </c>
      <c r="F2768" s="490">
        <v>65818</v>
      </c>
      <c r="G2768" s="489">
        <v>594.80999999999995</v>
      </c>
      <c r="H2768" s="489">
        <v>110.65382</v>
      </c>
      <c r="I2768" s="487" t="s">
        <v>1499</v>
      </c>
      <c r="J2768" s="487" t="s">
        <v>1135</v>
      </c>
    </row>
    <row r="2769" spans="1:10" ht="15" x14ac:dyDescent="0.2">
      <c r="A2769" s="486" t="s">
        <v>1134</v>
      </c>
      <c r="B2769" s="487" t="s">
        <v>1133</v>
      </c>
      <c r="C2769" s="488" t="s">
        <v>9715</v>
      </c>
      <c r="D2769" s="489" t="s">
        <v>9716</v>
      </c>
      <c r="E2769" s="487" t="s">
        <v>9717</v>
      </c>
      <c r="F2769" s="490">
        <v>151110</v>
      </c>
      <c r="G2769" s="489">
        <v>1305.92</v>
      </c>
      <c r="H2769" s="489">
        <v>115.71153</v>
      </c>
      <c r="I2769" s="487" t="s">
        <v>1499</v>
      </c>
      <c r="J2769" s="487" t="s">
        <v>1135</v>
      </c>
    </row>
    <row r="2770" spans="1:10" ht="15" x14ac:dyDescent="0.2">
      <c r="A2770" s="486" t="s">
        <v>1134</v>
      </c>
      <c r="B2770" s="487" t="s">
        <v>1133</v>
      </c>
      <c r="C2770" s="488" t="s">
        <v>9718</v>
      </c>
      <c r="D2770" s="489" t="s">
        <v>9719</v>
      </c>
      <c r="E2770" s="487" t="s">
        <v>9720</v>
      </c>
      <c r="F2770" s="490">
        <v>18000</v>
      </c>
      <c r="G2770" s="489">
        <v>245.16</v>
      </c>
      <c r="H2770" s="489">
        <v>73.421440000000004</v>
      </c>
      <c r="I2770" s="487" t="s">
        <v>1499</v>
      </c>
      <c r="J2770" s="487" t="s">
        <v>1135</v>
      </c>
    </row>
    <row r="2771" spans="1:10" ht="15" x14ac:dyDescent="0.2">
      <c r="A2771" s="486" t="s">
        <v>1134</v>
      </c>
      <c r="B2771" s="487" t="s">
        <v>1133</v>
      </c>
      <c r="C2771" s="488" t="s">
        <v>9721</v>
      </c>
      <c r="D2771" s="489" t="s">
        <v>9722</v>
      </c>
      <c r="E2771" s="487" t="s">
        <v>9723</v>
      </c>
      <c r="F2771" s="490">
        <v>12000</v>
      </c>
      <c r="G2771" s="489">
        <v>211.15</v>
      </c>
      <c r="H2771" s="489">
        <v>56.83164</v>
      </c>
      <c r="I2771" s="487" t="s">
        <v>1499</v>
      </c>
      <c r="J2771" s="487" t="s">
        <v>1135</v>
      </c>
    </row>
    <row r="2772" spans="1:10" ht="15" x14ac:dyDescent="0.2">
      <c r="A2772" s="486" t="s">
        <v>1134</v>
      </c>
      <c r="B2772" s="487" t="s">
        <v>1133</v>
      </c>
      <c r="C2772" s="488" t="s">
        <v>9724</v>
      </c>
      <c r="D2772" s="489" t="s">
        <v>9725</v>
      </c>
      <c r="E2772" s="487" t="s">
        <v>9726</v>
      </c>
      <c r="F2772" s="490">
        <v>134000</v>
      </c>
      <c r="G2772" s="489">
        <v>1095.55</v>
      </c>
      <c r="H2772" s="489">
        <v>122.31299</v>
      </c>
      <c r="I2772" s="487" t="s">
        <v>1499</v>
      </c>
      <c r="J2772" s="487" t="s">
        <v>1135</v>
      </c>
    </row>
    <row r="2773" spans="1:10" ht="15" x14ac:dyDescent="0.2">
      <c r="A2773" s="486" t="s">
        <v>1134</v>
      </c>
      <c r="B2773" s="487" t="s">
        <v>1133</v>
      </c>
      <c r="C2773" s="488" t="s">
        <v>9727</v>
      </c>
      <c r="D2773" s="489" t="s">
        <v>9728</v>
      </c>
      <c r="E2773" s="487" t="s">
        <v>9729</v>
      </c>
      <c r="F2773" s="490">
        <v>37000</v>
      </c>
      <c r="G2773" s="489">
        <v>528.46</v>
      </c>
      <c r="H2773" s="489">
        <v>70.014759999999995</v>
      </c>
      <c r="I2773" s="487" t="s">
        <v>1499</v>
      </c>
      <c r="J2773" s="487" t="s">
        <v>1135</v>
      </c>
    </row>
    <row r="2774" spans="1:10" ht="15" x14ac:dyDescent="0.2">
      <c r="A2774" s="486" t="s">
        <v>1134</v>
      </c>
      <c r="B2774" s="487" t="s">
        <v>1133</v>
      </c>
      <c r="C2774" s="488" t="s">
        <v>9730</v>
      </c>
      <c r="D2774" s="489" t="s">
        <v>9731</v>
      </c>
      <c r="E2774" s="487" t="s">
        <v>9732</v>
      </c>
      <c r="F2774" s="490">
        <v>35000</v>
      </c>
      <c r="G2774" s="489">
        <v>488.06</v>
      </c>
      <c r="H2774" s="489">
        <v>71.712490000000003</v>
      </c>
      <c r="I2774" s="487" t="s">
        <v>1499</v>
      </c>
      <c r="J2774" s="487" t="s">
        <v>1135</v>
      </c>
    </row>
    <row r="2775" spans="1:10" ht="15" x14ac:dyDescent="0.2">
      <c r="A2775" s="486" t="s">
        <v>1134</v>
      </c>
      <c r="B2775" s="487" t="s">
        <v>1133</v>
      </c>
      <c r="C2775" s="488" t="s">
        <v>9733</v>
      </c>
      <c r="D2775" s="489" t="s">
        <v>9734</v>
      </c>
      <c r="E2775" s="487" t="s">
        <v>9735</v>
      </c>
      <c r="F2775" s="490">
        <v>5000</v>
      </c>
      <c r="G2775" s="489">
        <v>176.55</v>
      </c>
      <c r="H2775" s="489">
        <v>28.320589999999999</v>
      </c>
      <c r="I2775" s="487" t="s">
        <v>1499</v>
      </c>
      <c r="J2775" s="487" t="s">
        <v>1135</v>
      </c>
    </row>
    <row r="2776" spans="1:10" ht="15" x14ac:dyDescent="0.2">
      <c r="A2776" s="486" t="s">
        <v>1134</v>
      </c>
      <c r="B2776" s="487" t="s">
        <v>1133</v>
      </c>
      <c r="C2776" s="488" t="s">
        <v>9736</v>
      </c>
      <c r="D2776" s="489" t="s">
        <v>9737</v>
      </c>
      <c r="E2776" s="487" t="s">
        <v>9738</v>
      </c>
      <c r="F2776" s="490">
        <v>284883</v>
      </c>
      <c r="G2776" s="489">
        <v>1973.77</v>
      </c>
      <c r="H2776" s="489">
        <v>144.33445</v>
      </c>
      <c r="I2776" s="487" t="s">
        <v>1499</v>
      </c>
      <c r="J2776" s="487" t="s">
        <v>1135</v>
      </c>
    </row>
    <row r="2777" spans="1:10" ht="15" x14ac:dyDescent="0.2">
      <c r="A2777" s="486" t="s">
        <v>1134</v>
      </c>
      <c r="B2777" s="487" t="s">
        <v>1133</v>
      </c>
      <c r="C2777" s="488" t="s">
        <v>9739</v>
      </c>
      <c r="D2777" s="489" t="s">
        <v>9740</v>
      </c>
      <c r="E2777" s="487" t="s">
        <v>9741</v>
      </c>
      <c r="F2777" s="490">
        <v>2500</v>
      </c>
      <c r="G2777" s="489">
        <v>178.51</v>
      </c>
      <c r="H2777" s="489">
        <v>14.00482</v>
      </c>
      <c r="I2777" s="487" t="s">
        <v>1499</v>
      </c>
      <c r="J2777" s="487" t="s">
        <v>1135</v>
      </c>
    </row>
    <row r="2778" spans="1:10" ht="15" x14ac:dyDescent="0.2">
      <c r="A2778" s="486" t="s">
        <v>1134</v>
      </c>
      <c r="B2778" s="487" t="s">
        <v>1133</v>
      </c>
      <c r="C2778" s="488" t="s">
        <v>9742</v>
      </c>
      <c r="D2778" s="489" t="s">
        <v>9743</v>
      </c>
      <c r="E2778" s="487" t="s">
        <v>9744</v>
      </c>
      <c r="F2778" s="490">
        <v>152820</v>
      </c>
      <c r="G2778" s="489">
        <v>1031.6600000000001</v>
      </c>
      <c r="H2778" s="489">
        <v>148.1302</v>
      </c>
      <c r="I2778" s="487" t="s">
        <v>1499</v>
      </c>
      <c r="J2778" s="487" t="s">
        <v>1135</v>
      </c>
    </row>
    <row r="2779" spans="1:10" ht="15" x14ac:dyDescent="0.2">
      <c r="A2779" s="486" t="s">
        <v>1134</v>
      </c>
      <c r="B2779" s="487" t="s">
        <v>1133</v>
      </c>
      <c r="C2779" s="488" t="s">
        <v>9745</v>
      </c>
      <c r="D2779" s="489" t="s">
        <v>9746</v>
      </c>
      <c r="E2779" s="487" t="s">
        <v>9747</v>
      </c>
      <c r="F2779" s="490">
        <v>70000</v>
      </c>
      <c r="G2779" s="489">
        <v>689.08</v>
      </c>
      <c r="H2779" s="489">
        <v>101.58472</v>
      </c>
      <c r="I2779" s="487" t="s">
        <v>1499</v>
      </c>
      <c r="J2779" s="487" t="s">
        <v>1135</v>
      </c>
    </row>
    <row r="2780" spans="1:10" ht="15" x14ac:dyDescent="0.2">
      <c r="A2780" s="486" t="s">
        <v>1134</v>
      </c>
      <c r="B2780" s="487" t="s">
        <v>1133</v>
      </c>
      <c r="C2780" s="488" t="s">
        <v>9748</v>
      </c>
      <c r="D2780" s="489" t="s">
        <v>9749</v>
      </c>
      <c r="E2780" s="487" t="s">
        <v>9750</v>
      </c>
      <c r="F2780" s="490">
        <v>163179</v>
      </c>
      <c r="G2780" s="489">
        <v>1789.55</v>
      </c>
      <c r="H2780" s="489">
        <v>91.184380000000004</v>
      </c>
      <c r="I2780" s="487" t="s">
        <v>1499</v>
      </c>
      <c r="J2780" s="487" t="s">
        <v>1135</v>
      </c>
    </row>
    <row r="2781" spans="1:10" ht="15" x14ac:dyDescent="0.2">
      <c r="A2781" s="486" t="s">
        <v>1134</v>
      </c>
      <c r="B2781" s="487" t="s">
        <v>1133</v>
      </c>
      <c r="C2781" s="488" t="s">
        <v>9751</v>
      </c>
      <c r="D2781" s="489" t="s">
        <v>9752</v>
      </c>
      <c r="E2781" s="487" t="s">
        <v>9753</v>
      </c>
      <c r="F2781" s="490">
        <v>7000</v>
      </c>
      <c r="G2781" s="489">
        <v>195.03</v>
      </c>
      <c r="H2781" s="489">
        <v>35.891910000000003</v>
      </c>
      <c r="I2781" s="487" t="s">
        <v>1499</v>
      </c>
      <c r="J2781" s="487" t="s">
        <v>1135</v>
      </c>
    </row>
    <row r="2782" spans="1:10" ht="15" x14ac:dyDescent="0.2">
      <c r="A2782" s="486" t="s">
        <v>1134</v>
      </c>
      <c r="B2782" s="487" t="s">
        <v>1133</v>
      </c>
      <c r="C2782" s="488" t="s">
        <v>9754</v>
      </c>
      <c r="D2782" s="489" t="s">
        <v>9755</v>
      </c>
      <c r="E2782" s="487" t="s">
        <v>1647</v>
      </c>
      <c r="F2782" s="490">
        <v>118770</v>
      </c>
      <c r="G2782" s="489">
        <v>1150.1099999999999</v>
      </c>
      <c r="H2782" s="489">
        <v>103.26837999999999</v>
      </c>
      <c r="I2782" s="487" t="s">
        <v>1499</v>
      </c>
      <c r="J2782" s="487" t="s">
        <v>1135</v>
      </c>
    </row>
    <row r="2783" spans="1:10" ht="15" x14ac:dyDescent="0.2">
      <c r="A2783" s="486" t="s">
        <v>1134</v>
      </c>
      <c r="B2783" s="487" t="s">
        <v>1133</v>
      </c>
      <c r="C2783" s="488" t="s">
        <v>9756</v>
      </c>
      <c r="D2783" s="489" t="s">
        <v>9757</v>
      </c>
      <c r="E2783" s="487" t="s">
        <v>9758</v>
      </c>
      <c r="F2783" s="490">
        <v>8200</v>
      </c>
      <c r="G2783" s="489">
        <v>161.41</v>
      </c>
      <c r="H2783" s="489">
        <v>50.802300000000002</v>
      </c>
      <c r="I2783" s="487" t="s">
        <v>1499</v>
      </c>
      <c r="J2783" s="487" t="s">
        <v>1135</v>
      </c>
    </row>
    <row r="2784" spans="1:10" ht="15" x14ac:dyDescent="0.2">
      <c r="A2784" s="486" t="s">
        <v>1134</v>
      </c>
      <c r="B2784" s="487" t="s">
        <v>1133</v>
      </c>
      <c r="C2784" s="488" t="s">
        <v>9759</v>
      </c>
      <c r="D2784" s="489" t="s">
        <v>9760</v>
      </c>
      <c r="E2784" s="487" t="s">
        <v>9761</v>
      </c>
      <c r="F2784" s="490">
        <v>917440</v>
      </c>
      <c r="G2784" s="489">
        <v>17319.7</v>
      </c>
      <c r="H2784" s="489">
        <v>52.970889999999997</v>
      </c>
      <c r="I2784" s="487" t="s">
        <v>1499</v>
      </c>
      <c r="J2784" s="487" t="s">
        <v>1135</v>
      </c>
    </row>
    <row r="2785" spans="1:10" ht="15" x14ac:dyDescent="0.2">
      <c r="A2785" s="486" t="s">
        <v>1354</v>
      </c>
      <c r="B2785" s="487" t="s">
        <v>1353</v>
      </c>
      <c r="C2785" s="488" t="s">
        <v>9762</v>
      </c>
      <c r="D2785" s="489" t="s">
        <v>9763</v>
      </c>
      <c r="E2785" s="487" t="s">
        <v>9764</v>
      </c>
      <c r="F2785" s="490">
        <v>1075</v>
      </c>
      <c r="G2785" s="489">
        <v>67.2</v>
      </c>
      <c r="H2785" s="489">
        <v>15.997019999999999</v>
      </c>
      <c r="I2785" s="487" t="s">
        <v>1499</v>
      </c>
      <c r="J2785" s="487" t="s">
        <v>1355</v>
      </c>
    </row>
    <row r="2786" spans="1:10" ht="15" x14ac:dyDescent="0.2">
      <c r="A2786" s="486" t="s">
        <v>1354</v>
      </c>
      <c r="B2786" s="487" t="s">
        <v>1353</v>
      </c>
      <c r="C2786" s="488" t="s">
        <v>9765</v>
      </c>
      <c r="D2786" s="489" t="s">
        <v>9766</v>
      </c>
      <c r="E2786" s="487" t="s">
        <v>9767</v>
      </c>
      <c r="F2786" s="490">
        <v>58975</v>
      </c>
      <c r="G2786" s="489">
        <v>450</v>
      </c>
      <c r="H2786" s="489">
        <v>131.05556000000001</v>
      </c>
      <c r="I2786" s="487" t="s">
        <v>1499</v>
      </c>
      <c r="J2786" s="487" t="s">
        <v>1355</v>
      </c>
    </row>
    <row r="2787" spans="1:10" ht="15" x14ac:dyDescent="0.2">
      <c r="A2787" s="486" t="s">
        <v>1354</v>
      </c>
      <c r="B2787" s="487" t="s">
        <v>1353</v>
      </c>
      <c r="C2787" s="488" t="s">
        <v>9768</v>
      </c>
      <c r="D2787" s="489" t="s">
        <v>9769</v>
      </c>
      <c r="E2787" s="487" t="s">
        <v>7459</v>
      </c>
      <c r="F2787" s="490">
        <v>25849</v>
      </c>
      <c r="G2787" s="489">
        <v>350.5</v>
      </c>
      <c r="H2787" s="489">
        <v>73.748930000000001</v>
      </c>
      <c r="I2787" s="487" t="s">
        <v>1499</v>
      </c>
      <c r="J2787" s="487" t="s">
        <v>1355</v>
      </c>
    </row>
    <row r="2788" spans="1:10" ht="15" x14ac:dyDescent="0.2">
      <c r="A2788" s="486" t="s">
        <v>1354</v>
      </c>
      <c r="B2788" s="487" t="s">
        <v>1353</v>
      </c>
      <c r="C2788" s="488" t="s">
        <v>9770</v>
      </c>
      <c r="D2788" s="489" t="s">
        <v>9771</v>
      </c>
      <c r="E2788" s="487" t="s">
        <v>9772</v>
      </c>
      <c r="F2788" s="490">
        <v>17255</v>
      </c>
      <c r="G2788" s="489">
        <v>147.80000000000001</v>
      </c>
      <c r="H2788" s="489">
        <v>116.7456</v>
      </c>
      <c r="I2788" s="487" t="s">
        <v>1499</v>
      </c>
      <c r="J2788" s="487" t="s">
        <v>1355</v>
      </c>
    </row>
    <row r="2789" spans="1:10" ht="15" x14ac:dyDescent="0.2">
      <c r="A2789" s="486" t="s">
        <v>1354</v>
      </c>
      <c r="B2789" s="487" t="s">
        <v>1353</v>
      </c>
      <c r="C2789" s="488" t="s">
        <v>9773</v>
      </c>
      <c r="D2789" s="489" t="s">
        <v>9774</v>
      </c>
      <c r="E2789" s="487" t="s">
        <v>9775</v>
      </c>
      <c r="F2789" s="490">
        <v>129786</v>
      </c>
      <c r="G2789" s="489">
        <v>1892.9</v>
      </c>
      <c r="H2789" s="489">
        <v>68.564639999999997</v>
      </c>
      <c r="I2789" s="487" t="s">
        <v>1499</v>
      </c>
      <c r="J2789" s="487" t="s">
        <v>1355</v>
      </c>
    </row>
    <row r="2790" spans="1:10" ht="15" x14ac:dyDescent="0.2">
      <c r="A2790" s="486" t="s">
        <v>1354</v>
      </c>
      <c r="B2790" s="487" t="s">
        <v>1353</v>
      </c>
      <c r="C2790" s="488" t="s">
        <v>9776</v>
      </c>
      <c r="D2790" s="489" t="s">
        <v>9777</v>
      </c>
      <c r="E2790" s="487" t="s">
        <v>9778</v>
      </c>
      <c r="F2790" s="490">
        <v>17367</v>
      </c>
      <c r="G2790" s="489">
        <v>469.4</v>
      </c>
      <c r="H2790" s="489">
        <v>36.9983</v>
      </c>
      <c r="I2790" s="487" t="s">
        <v>1499</v>
      </c>
      <c r="J2790" s="487" t="s">
        <v>1355</v>
      </c>
    </row>
    <row r="2791" spans="1:10" ht="15" x14ac:dyDescent="0.2">
      <c r="A2791" s="486" t="s">
        <v>1354</v>
      </c>
      <c r="B2791" s="487" t="s">
        <v>1353</v>
      </c>
      <c r="C2791" s="488" t="s">
        <v>9779</v>
      </c>
      <c r="D2791" s="489" t="s">
        <v>9780</v>
      </c>
      <c r="E2791" s="487" t="s">
        <v>9781</v>
      </c>
      <c r="F2791" s="490">
        <v>49707</v>
      </c>
      <c r="G2791" s="489">
        <v>533.20000000000005</v>
      </c>
      <c r="H2791" s="489">
        <v>93.223929999999996</v>
      </c>
      <c r="I2791" s="487" t="s">
        <v>1499</v>
      </c>
      <c r="J2791" s="487" t="s">
        <v>1355</v>
      </c>
    </row>
    <row r="2792" spans="1:10" ht="15" x14ac:dyDescent="0.2">
      <c r="A2792" s="486" t="s">
        <v>1354</v>
      </c>
      <c r="B2792" s="487" t="s">
        <v>1353</v>
      </c>
      <c r="C2792" s="488" t="s">
        <v>9782</v>
      </c>
      <c r="D2792" s="489" t="s">
        <v>9783</v>
      </c>
      <c r="E2792" s="487" t="s">
        <v>9784</v>
      </c>
      <c r="F2792" s="490">
        <v>1748757</v>
      </c>
      <c r="G2792" s="489">
        <v>9171</v>
      </c>
      <c r="H2792" s="489">
        <v>190.68334999999999</v>
      </c>
      <c r="I2792" s="487" t="s">
        <v>1499</v>
      </c>
      <c r="J2792" s="487" t="s">
        <v>1355</v>
      </c>
    </row>
    <row r="2793" spans="1:10" ht="15" x14ac:dyDescent="0.2">
      <c r="A2793" s="486" t="s">
        <v>1354</v>
      </c>
      <c r="B2793" s="487" t="s">
        <v>1353</v>
      </c>
      <c r="C2793" s="488" t="s">
        <v>9785</v>
      </c>
      <c r="D2793" s="489" t="s">
        <v>9786</v>
      </c>
      <c r="E2793" s="487" t="s">
        <v>9787</v>
      </c>
      <c r="F2793" s="490">
        <v>11390</v>
      </c>
      <c r="G2793" s="489">
        <v>131.30000000000001</v>
      </c>
      <c r="H2793" s="489">
        <v>86.747910000000005</v>
      </c>
      <c r="I2793" s="487" t="s">
        <v>1499</v>
      </c>
      <c r="J2793" s="487" t="s">
        <v>1355</v>
      </c>
    </row>
    <row r="2794" spans="1:10" ht="15" x14ac:dyDescent="0.2">
      <c r="A2794" s="486" t="s">
        <v>1354</v>
      </c>
      <c r="B2794" s="487" t="s">
        <v>1353</v>
      </c>
      <c r="C2794" s="488" t="s">
        <v>9788</v>
      </c>
      <c r="D2794" s="489" t="s">
        <v>9789</v>
      </c>
      <c r="E2794" s="487" t="s">
        <v>9790</v>
      </c>
      <c r="F2794" s="490">
        <v>119511</v>
      </c>
      <c r="G2794" s="489">
        <v>963.9</v>
      </c>
      <c r="H2794" s="489">
        <v>123.98693</v>
      </c>
      <c r="I2794" s="487" t="s">
        <v>1499</v>
      </c>
      <c r="J2794" s="487" t="s">
        <v>1355</v>
      </c>
    </row>
    <row r="2795" spans="1:10" ht="15" x14ac:dyDescent="0.2">
      <c r="A2795" s="486" t="s">
        <v>1354</v>
      </c>
      <c r="B2795" s="487" t="s">
        <v>1353</v>
      </c>
      <c r="C2795" s="488" t="s">
        <v>9791</v>
      </c>
      <c r="D2795" s="489" t="s">
        <v>9792</v>
      </c>
      <c r="E2795" s="487" t="s">
        <v>9793</v>
      </c>
      <c r="F2795" s="490">
        <v>77175</v>
      </c>
      <c r="G2795" s="489">
        <v>974.7</v>
      </c>
      <c r="H2795" s="489">
        <v>79.178210000000007</v>
      </c>
      <c r="I2795" s="487" t="s">
        <v>1499</v>
      </c>
      <c r="J2795" s="487" t="s">
        <v>1355</v>
      </c>
    </row>
    <row r="2796" spans="1:10" ht="15" x14ac:dyDescent="0.2">
      <c r="A2796" s="486" t="s">
        <v>1354</v>
      </c>
      <c r="B2796" s="487" t="s">
        <v>1353</v>
      </c>
      <c r="C2796" s="488" t="s">
        <v>9794</v>
      </c>
      <c r="D2796" s="489" t="s">
        <v>9795</v>
      </c>
      <c r="E2796" s="487" t="s">
        <v>9796</v>
      </c>
      <c r="F2796" s="490">
        <v>93100</v>
      </c>
      <c r="G2796" s="489">
        <v>741.4</v>
      </c>
      <c r="H2796" s="489">
        <v>125.57324</v>
      </c>
      <c r="I2796" s="487" t="s">
        <v>1499</v>
      </c>
      <c r="J2796" s="487" t="s">
        <v>1355</v>
      </c>
    </row>
    <row r="2797" spans="1:10" ht="15" x14ac:dyDescent="0.2">
      <c r="A2797" s="486" t="s">
        <v>1354</v>
      </c>
      <c r="B2797" s="487" t="s">
        <v>1353</v>
      </c>
      <c r="C2797" s="488" t="s">
        <v>9797</v>
      </c>
      <c r="D2797" s="489" t="s">
        <v>9798</v>
      </c>
      <c r="E2797" s="487" t="s">
        <v>9799</v>
      </c>
      <c r="F2797" s="490">
        <v>36453</v>
      </c>
      <c r="G2797" s="489">
        <v>593.79999999999995</v>
      </c>
      <c r="H2797" s="489">
        <v>61.389360000000003</v>
      </c>
      <c r="I2797" s="487" t="s">
        <v>1499</v>
      </c>
      <c r="J2797" s="487" t="s">
        <v>1355</v>
      </c>
    </row>
    <row r="2798" spans="1:10" ht="15" x14ac:dyDescent="0.2">
      <c r="A2798" s="486" t="s">
        <v>1354</v>
      </c>
      <c r="B2798" s="487" t="s">
        <v>1353</v>
      </c>
      <c r="C2798" s="488" t="s">
        <v>9800</v>
      </c>
      <c r="D2798" s="489" t="s">
        <v>9801</v>
      </c>
      <c r="E2798" s="487" t="s">
        <v>9802</v>
      </c>
      <c r="F2798" s="490">
        <v>670000</v>
      </c>
      <c r="G2798" s="489">
        <v>2260.3000000000002</v>
      </c>
      <c r="H2798" s="489">
        <v>296.42083000000002</v>
      </c>
      <c r="I2798" s="487" t="s">
        <v>1499</v>
      </c>
      <c r="J2798" s="487" t="s">
        <v>1355</v>
      </c>
    </row>
    <row r="2799" spans="1:10" ht="15" x14ac:dyDescent="0.2">
      <c r="A2799" s="486" t="s">
        <v>1354</v>
      </c>
      <c r="B2799" s="487" t="s">
        <v>1353</v>
      </c>
      <c r="C2799" s="488" t="s">
        <v>9803</v>
      </c>
      <c r="D2799" s="489" t="s">
        <v>9804</v>
      </c>
      <c r="E2799" s="487" t="s">
        <v>9805</v>
      </c>
      <c r="F2799" s="490">
        <v>81805</v>
      </c>
      <c r="G2799" s="489">
        <v>987.5</v>
      </c>
      <c r="H2799" s="489">
        <v>82.840509999999995</v>
      </c>
      <c r="I2799" s="487" t="s">
        <v>1499</v>
      </c>
      <c r="J2799" s="487" t="s">
        <v>1355</v>
      </c>
    </row>
    <row r="2800" spans="1:10" ht="15" x14ac:dyDescent="0.2">
      <c r="A2800" s="486" t="s">
        <v>1354</v>
      </c>
      <c r="B2800" s="487" t="s">
        <v>1353</v>
      </c>
      <c r="C2800" s="488" t="s">
        <v>9806</v>
      </c>
      <c r="D2800" s="489" t="s">
        <v>9807</v>
      </c>
      <c r="E2800" s="487" t="s">
        <v>9808</v>
      </c>
      <c r="F2800" s="490">
        <v>135000</v>
      </c>
      <c r="G2800" s="489">
        <v>880.6</v>
      </c>
      <c r="H2800" s="489">
        <v>153.30457000000001</v>
      </c>
      <c r="I2800" s="487" t="s">
        <v>1499</v>
      </c>
      <c r="J2800" s="487" t="s">
        <v>1355</v>
      </c>
    </row>
    <row r="2801" spans="1:10" ht="15" x14ac:dyDescent="0.2">
      <c r="A2801" s="486" t="s">
        <v>1354</v>
      </c>
      <c r="B2801" s="487" t="s">
        <v>1353</v>
      </c>
      <c r="C2801" s="488" t="s">
        <v>9809</v>
      </c>
      <c r="D2801" s="489" t="s">
        <v>9810</v>
      </c>
      <c r="E2801" s="487" t="s">
        <v>9811</v>
      </c>
      <c r="F2801" s="490">
        <v>45400</v>
      </c>
      <c r="G2801" s="489">
        <v>411.2</v>
      </c>
      <c r="H2801" s="489">
        <v>110.40855999999999</v>
      </c>
      <c r="I2801" s="487" t="s">
        <v>1499</v>
      </c>
      <c r="J2801" s="487" t="s">
        <v>1355</v>
      </c>
    </row>
    <row r="2802" spans="1:10" ht="15" x14ac:dyDescent="0.2">
      <c r="A2802" s="486" t="s">
        <v>1354</v>
      </c>
      <c r="B2802" s="487" t="s">
        <v>1353</v>
      </c>
      <c r="C2802" s="488" t="s">
        <v>9812</v>
      </c>
      <c r="D2802" s="489" t="s">
        <v>9813</v>
      </c>
      <c r="E2802" s="487" t="s">
        <v>9814</v>
      </c>
      <c r="F2802" s="490">
        <v>1644120</v>
      </c>
      <c r="G2802" s="489">
        <v>7796.1</v>
      </c>
      <c r="H2802" s="489">
        <v>210.89006000000001</v>
      </c>
      <c r="I2802" s="487" t="s">
        <v>1499</v>
      </c>
      <c r="J2802" s="487" t="s">
        <v>1355</v>
      </c>
    </row>
    <row r="2803" spans="1:10" ht="15" x14ac:dyDescent="0.2">
      <c r="A2803" s="486" t="s">
        <v>1354</v>
      </c>
      <c r="B2803" s="487" t="s">
        <v>1353</v>
      </c>
      <c r="C2803" s="488" t="s">
        <v>9815</v>
      </c>
      <c r="D2803" s="489" t="s">
        <v>9816</v>
      </c>
      <c r="E2803" s="487" t="s">
        <v>9817</v>
      </c>
      <c r="F2803" s="490">
        <v>111954</v>
      </c>
      <c r="G2803" s="489">
        <v>1138.0999999999999</v>
      </c>
      <c r="H2803" s="489">
        <v>98.369209999999995</v>
      </c>
      <c r="I2803" s="487" t="s">
        <v>1499</v>
      </c>
      <c r="J2803" s="487" t="s">
        <v>1355</v>
      </c>
    </row>
    <row r="2804" spans="1:10" ht="15" x14ac:dyDescent="0.2">
      <c r="A2804" s="486" t="s">
        <v>1354</v>
      </c>
      <c r="B2804" s="487" t="s">
        <v>1353</v>
      </c>
      <c r="C2804" s="488" t="s">
        <v>9818</v>
      </c>
      <c r="D2804" s="489" t="s">
        <v>9819</v>
      </c>
      <c r="E2804" s="487" t="s">
        <v>9820</v>
      </c>
      <c r="F2804" s="490">
        <v>503352</v>
      </c>
      <c r="G2804" s="489">
        <v>5418.8</v>
      </c>
      <c r="H2804" s="489">
        <v>92.889939999999996</v>
      </c>
      <c r="I2804" s="487" t="s">
        <v>1499</v>
      </c>
      <c r="J2804" s="487" t="s">
        <v>1355</v>
      </c>
    </row>
    <row r="2805" spans="1:10" ht="15" x14ac:dyDescent="0.2">
      <c r="A2805" s="486" t="s">
        <v>1354</v>
      </c>
      <c r="B2805" s="487" t="s">
        <v>1353</v>
      </c>
      <c r="C2805" s="488" t="s">
        <v>9821</v>
      </c>
      <c r="D2805" s="489" t="s">
        <v>9822</v>
      </c>
      <c r="E2805" s="487" t="s">
        <v>9823</v>
      </c>
      <c r="F2805" s="490">
        <v>220638</v>
      </c>
      <c r="G2805" s="489">
        <v>1888.7</v>
      </c>
      <c r="H2805" s="489">
        <v>116.82003</v>
      </c>
      <c r="I2805" s="487" t="s">
        <v>1499</v>
      </c>
      <c r="J2805" s="487" t="s">
        <v>1355</v>
      </c>
    </row>
    <row r="2806" spans="1:10" ht="15" x14ac:dyDescent="0.2">
      <c r="A2806" s="486" t="s">
        <v>1354</v>
      </c>
      <c r="B2806" s="487" t="s">
        <v>1353</v>
      </c>
      <c r="C2806" s="488" t="s">
        <v>9824</v>
      </c>
      <c r="D2806" s="489" t="s">
        <v>9825</v>
      </c>
      <c r="E2806" s="487" t="s">
        <v>9826</v>
      </c>
      <c r="F2806" s="490">
        <v>108000</v>
      </c>
      <c r="G2806" s="489">
        <v>1176.3</v>
      </c>
      <c r="H2806" s="489">
        <v>91.813310000000001</v>
      </c>
      <c r="I2806" s="487" t="s">
        <v>1499</v>
      </c>
      <c r="J2806" s="487" t="s">
        <v>1355</v>
      </c>
    </row>
    <row r="2807" spans="1:10" ht="15" x14ac:dyDescent="0.2">
      <c r="A2807" s="486" t="s">
        <v>1354</v>
      </c>
      <c r="B2807" s="487" t="s">
        <v>1353</v>
      </c>
      <c r="C2807" s="488" t="s">
        <v>9827</v>
      </c>
      <c r="D2807" s="489" t="s">
        <v>9828</v>
      </c>
      <c r="E2807" s="487" t="s">
        <v>9829</v>
      </c>
      <c r="F2807" s="490">
        <v>45714</v>
      </c>
      <c r="G2807" s="489">
        <v>210.7</v>
      </c>
      <c r="H2807" s="489">
        <v>216.96251000000001</v>
      </c>
      <c r="I2807" s="487" t="s">
        <v>1499</v>
      </c>
      <c r="J2807" s="487" t="s">
        <v>1355</v>
      </c>
    </row>
    <row r="2808" spans="1:10" ht="15" x14ac:dyDescent="0.2">
      <c r="A2808" s="486" t="s">
        <v>1354</v>
      </c>
      <c r="B2808" s="487" t="s">
        <v>1353</v>
      </c>
      <c r="C2808" s="488" t="s">
        <v>9830</v>
      </c>
      <c r="D2808" s="489" t="s">
        <v>9831</v>
      </c>
      <c r="E2808" s="487" t="s">
        <v>9832</v>
      </c>
      <c r="F2808" s="490">
        <v>124894</v>
      </c>
      <c r="G2808" s="489">
        <v>1374.5</v>
      </c>
      <c r="H2808" s="489">
        <v>90.865039999999993</v>
      </c>
      <c r="I2808" s="487" t="s">
        <v>1499</v>
      </c>
      <c r="J2808" s="487" t="s">
        <v>1355</v>
      </c>
    </row>
    <row r="2809" spans="1:10" ht="15" x14ac:dyDescent="0.2">
      <c r="A2809" s="486" t="s">
        <v>1354</v>
      </c>
      <c r="B2809" s="487" t="s">
        <v>1353</v>
      </c>
      <c r="C2809" s="488" t="s">
        <v>9833</v>
      </c>
      <c r="D2809" s="489" t="s">
        <v>9834</v>
      </c>
      <c r="E2809" s="487" t="s">
        <v>9835</v>
      </c>
      <c r="F2809" s="490">
        <v>25890</v>
      </c>
      <c r="G2809" s="489">
        <v>361.7</v>
      </c>
      <c r="H2809" s="489">
        <v>71.578659999999999</v>
      </c>
      <c r="I2809" s="487" t="s">
        <v>1499</v>
      </c>
      <c r="J2809" s="487" t="s">
        <v>1355</v>
      </c>
    </row>
    <row r="2810" spans="1:10" ht="15" x14ac:dyDescent="0.2">
      <c r="A2810" s="486" t="s">
        <v>1354</v>
      </c>
      <c r="B2810" s="487" t="s">
        <v>1353</v>
      </c>
      <c r="C2810" s="488" t="s">
        <v>9836</v>
      </c>
      <c r="D2810" s="489" t="s">
        <v>9837</v>
      </c>
      <c r="E2810" s="487" t="s">
        <v>9838</v>
      </c>
      <c r="F2810" s="490">
        <v>25752</v>
      </c>
      <c r="G2810" s="489">
        <v>329.7</v>
      </c>
      <c r="H2810" s="489">
        <v>78.107370000000003</v>
      </c>
      <c r="I2810" s="487" t="s">
        <v>1499</v>
      </c>
      <c r="J2810" s="487" t="s">
        <v>1355</v>
      </c>
    </row>
    <row r="2811" spans="1:10" ht="15" x14ac:dyDescent="0.2">
      <c r="A2811" s="486" t="s">
        <v>1354</v>
      </c>
      <c r="B2811" s="487" t="s">
        <v>1353</v>
      </c>
      <c r="C2811" s="488" t="s">
        <v>9839</v>
      </c>
      <c r="D2811" s="489" t="s">
        <v>9840</v>
      </c>
      <c r="E2811" s="487" t="s">
        <v>9841</v>
      </c>
      <c r="F2811" s="490">
        <v>0</v>
      </c>
      <c r="G2811" s="489">
        <v>112.8</v>
      </c>
      <c r="H2811" s="489">
        <v>0</v>
      </c>
      <c r="I2811" s="487" t="s">
        <v>1593</v>
      </c>
      <c r="J2811" s="487" t="s">
        <v>1355</v>
      </c>
    </row>
    <row r="2812" spans="1:10" ht="15" x14ac:dyDescent="0.2">
      <c r="A2812" s="486" t="s">
        <v>1354</v>
      </c>
      <c r="B2812" s="487" t="s">
        <v>1353</v>
      </c>
      <c r="C2812" s="488" t="s">
        <v>9842</v>
      </c>
      <c r="D2812" s="489" t="s">
        <v>9843</v>
      </c>
      <c r="E2812" s="487" t="s">
        <v>9844</v>
      </c>
      <c r="F2812" s="490">
        <v>14394</v>
      </c>
      <c r="G2812" s="489">
        <v>255</v>
      </c>
      <c r="H2812" s="489">
        <v>56.44706</v>
      </c>
      <c r="I2812" s="487" t="s">
        <v>1499</v>
      </c>
      <c r="J2812" s="487" t="s">
        <v>1355</v>
      </c>
    </row>
    <row r="2813" spans="1:10" ht="15" x14ac:dyDescent="0.2">
      <c r="A2813" s="486" t="s">
        <v>1354</v>
      </c>
      <c r="B2813" s="487" t="s">
        <v>1353</v>
      </c>
      <c r="C2813" s="488" t="s">
        <v>9845</v>
      </c>
      <c r="D2813" s="489" t="s">
        <v>9846</v>
      </c>
      <c r="E2813" s="487" t="s">
        <v>9847</v>
      </c>
      <c r="F2813" s="490">
        <v>111958</v>
      </c>
      <c r="G2813" s="489">
        <v>1908.2</v>
      </c>
      <c r="H2813" s="489">
        <v>58.672049999999999</v>
      </c>
      <c r="I2813" s="487" t="s">
        <v>1499</v>
      </c>
      <c r="J2813" s="487" t="s">
        <v>1355</v>
      </c>
    </row>
    <row r="2814" spans="1:10" ht="15" x14ac:dyDescent="0.2">
      <c r="A2814" s="486" t="s">
        <v>1354</v>
      </c>
      <c r="B2814" s="487" t="s">
        <v>1353</v>
      </c>
      <c r="C2814" s="488" t="s">
        <v>9848</v>
      </c>
      <c r="D2814" s="489" t="s">
        <v>9849</v>
      </c>
      <c r="E2814" s="487" t="s">
        <v>9850</v>
      </c>
      <c r="F2814" s="490">
        <v>243327</v>
      </c>
      <c r="G2814" s="489">
        <v>1984.3</v>
      </c>
      <c r="H2814" s="489">
        <v>122.62612</v>
      </c>
      <c r="I2814" s="487" t="s">
        <v>1499</v>
      </c>
      <c r="J2814" s="487" t="s">
        <v>1355</v>
      </c>
    </row>
    <row r="2815" spans="1:10" ht="15" x14ac:dyDescent="0.2">
      <c r="A2815" s="486" t="s">
        <v>1354</v>
      </c>
      <c r="B2815" s="487" t="s">
        <v>1353</v>
      </c>
      <c r="C2815" s="488" t="s">
        <v>9851</v>
      </c>
      <c r="D2815" s="489" t="s">
        <v>9852</v>
      </c>
      <c r="E2815" s="487" t="s">
        <v>9853</v>
      </c>
      <c r="F2815" s="490">
        <v>64000</v>
      </c>
      <c r="G2815" s="489">
        <v>695.3</v>
      </c>
      <c r="H2815" s="489">
        <v>92.046599999999998</v>
      </c>
      <c r="I2815" s="487" t="s">
        <v>1499</v>
      </c>
      <c r="J2815" s="487" t="s">
        <v>1355</v>
      </c>
    </row>
    <row r="2816" spans="1:10" ht="15" x14ac:dyDescent="0.2">
      <c r="A2816" s="486" t="s">
        <v>1354</v>
      </c>
      <c r="B2816" s="487" t="s">
        <v>1353</v>
      </c>
      <c r="C2816" s="488" t="s">
        <v>9854</v>
      </c>
      <c r="D2816" s="489" t="s">
        <v>9855</v>
      </c>
      <c r="E2816" s="487" t="s">
        <v>9856</v>
      </c>
      <c r="F2816" s="490">
        <v>156206</v>
      </c>
      <c r="G2816" s="489">
        <v>1377.9</v>
      </c>
      <c r="H2816" s="489">
        <v>113.36527</v>
      </c>
      <c r="I2816" s="487" t="s">
        <v>1499</v>
      </c>
      <c r="J2816" s="487" t="s">
        <v>1355</v>
      </c>
    </row>
    <row r="2817" spans="1:10" ht="15" x14ac:dyDescent="0.2">
      <c r="A2817" s="486" t="s">
        <v>1354</v>
      </c>
      <c r="B2817" s="487" t="s">
        <v>1353</v>
      </c>
      <c r="C2817" s="488" t="s">
        <v>9857</v>
      </c>
      <c r="D2817" s="489" t="s">
        <v>9858</v>
      </c>
      <c r="E2817" s="487" t="s">
        <v>9859</v>
      </c>
      <c r="F2817" s="490">
        <v>514937</v>
      </c>
      <c r="G2817" s="489">
        <v>3242.8</v>
      </c>
      <c r="H2817" s="489">
        <v>158.79393999999999</v>
      </c>
      <c r="I2817" s="487" t="s">
        <v>1499</v>
      </c>
      <c r="J2817" s="487" t="s">
        <v>1355</v>
      </c>
    </row>
    <row r="2818" spans="1:10" ht="15" x14ac:dyDescent="0.2">
      <c r="A2818" s="486" t="s">
        <v>1354</v>
      </c>
      <c r="B2818" s="487" t="s">
        <v>1353</v>
      </c>
      <c r="C2818" s="488" t="s">
        <v>9860</v>
      </c>
      <c r="D2818" s="489" t="s">
        <v>9861</v>
      </c>
      <c r="E2818" s="487" t="s">
        <v>9862</v>
      </c>
      <c r="F2818" s="490">
        <v>211114</v>
      </c>
      <c r="G2818" s="489">
        <v>1649.9</v>
      </c>
      <c r="H2818" s="489">
        <v>127.95563</v>
      </c>
      <c r="I2818" s="487" t="s">
        <v>1499</v>
      </c>
      <c r="J2818" s="487" t="s">
        <v>1355</v>
      </c>
    </row>
    <row r="2819" spans="1:10" ht="15" x14ac:dyDescent="0.2">
      <c r="A2819" s="486" t="s">
        <v>1354</v>
      </c>
      <c r="B2819" s="487" t="s">
        <v>1353</v>
      </c>
      <c r="C2819" s="488" t="s">
        <v>9863</v>
      </c>
      <c r="D2819" s="489" t="s">
        <v>9864</v>
      </c>
      <c r="E2819" s="487" t="s">
        <v>9865</v>
      </c>
      <c r="F2819" s="490">
        <v>0</v>
      </c>
      <c r="G2819" s="489">
        <v>107.3</v>
      </c>
      <c r="H2819" s="489">
        <v>0</v>
      </c>
      <c r="I2819" s="487" t="s">
        <v>1593</v>
      </c>
      <c r="J2819" s="487" t="s">
        <v>1355</v>
      </c>
    </row>
    <row r="2820" spans="1:10" ht="15" x14ac:dyDescent="0.2">
      <c r="A2820" s="486" t="s">
        <v>1354</v>
      </c>
      <c r="B2820" s="487" t="s">
        <v>1353</v>
      </c>
      <c r="C2820" s="488" t="s">
        <v>9866</v>
      </c>
      <c r="D2820" s="489" t="s">
        <v>9867</v>
      </c>
      <c r="E2820" s="487" t="s">
        <v>9868</v>
      </c>
      <c r="F2820" s="490">
        <v>1321884</v>
      </c>
      <c r="G2820" s="489">
        <v>6000.4</v>
      </c>
      <c r="H2820" s="489">
        <v>220.29930999999999</v>
      </c>
      <c r="I2820" s="487" t="s">
        <v>1499</v>
      </c>
      <c r="J2820" s="487" t="s">
        <v>1355</v>
      </c>
    </row>
    <row r="2821" spans="1:10" ht="15" x14ac:dyDescent="0.2">
      <c r="A2821" s="486" t="s">
        <v>1354</v>
      </c>
      <c r="B2821" s="487" t="s">
        <v>1353</v>
      </c>
      <c r="C2821" s="488" t="s">
        <v>9869</v>
      </c>
      <c r="D2821" s="489" t="s">
        <v>9870</v>
      </c>
      <c r="E2821" s="487" t="s">
        <v>9871</v>
      </c>
      <c r="F2821" s="490">
        <v>280494</v>
      </c>
      <c r="G2821" s="489">
        <v>2522.1</v>
      </c>
      <c r="H2821" s="489">
        <v>111.21446</v>
      </c>
      <c r="I2821" s="487" t="s">
        <v>1499</v>
      </c>
      <c r="J2821" s="487" t="s">
        <v>1355</v>
      </c>
    </row>
    <row r="2822" spans="1:10" ht="15" x14ac:dyDescent="0.2">
      <c r="A2822" s="486" t="s">
        <v>1354</v>
      </c>
      <c r="B2822" s="487" t="s">
        <v>1353</v>
      </c>
      <c r="C2822" s="488" t="s">
        <v>9872</v>
      </c>
      <c r="D2822" s="489" t="s">
        <v>9873</v>
      </c>
      <c r="E2822" s="487" t="s">
        <v>9874</v>
      </c>
      <c r="F2822" s="490">
        <v>31315</v>
      </c>
      <c r="G2822" s="489">
        <v>747.1</v>
      </c>
      <c r="H2822" s="489">
        <v>41.915410000000001</v>
      </c>
      <c r="I2822" s="487" t="s">
        <v>1499</v>
      </c>
      <c r="J2822" s="487" t="s">
        <v>1355</v>
      </c>
    </row>
    <row r="2823" spans="1:10" ht="15" x14ac:dyDescent="0.2">
      <c r="A2823" s="486" t="s">
        <v>1354</v>
      </c>
      <c r="B2823" s="487" t="s">
        <v>1353</v>
      </c>
      <c r="C2823" s="488" t="s">
        <v>9875</v>
      </c>
      <c r="D2823" s="489" t="s">
        <v>9876</v>
      </c>
      <c r="E2823" s="487" t="s">
        <v>9877</v>
      </c>
      <c r="F2823" s="490">
        <v>9500</v>
      </c>
      <c r="G2823" s="489">
        <v>214.9</v>
      </c>
      <c r="H2823" s="489">
        <v>44.206609999999998</v>
      </c>
      <c r="I2823" s="487" t="s">
        <v>1499</v>
      </c>
      <c r="J2823" s="487" t="s">
        <v>1355</v>
      </c>
    </row>
    <row r="2824" spans="1:10" ht="15" x14ac:dyDescent="0.2">
      <c r="A2824" s="486" t="s">
        <v>1354</v>
      </c>
      <c r="B2824" s="487" t="s">
        <v>1353</v>
      </c>
      <c r="C2824" s="488" t="s">
        <v>9878</v>
      </c>
      <c r="D2824" s="489" t="s">
        <v>9879</v>
      </c>
      <c r="E2824" s="487" t="s">
        <v>9880</v>
      </c>
      <c r="F2824" s="490">
        <v>184995</v>
      </c>
      <c r="G2824" s="489">
        <v>3144.4</v>
      </c>
      <c r="H2824" s="489">
        <v>58.833159999999999</v>
      </c>
      <c r="I2824" s="487" t="s">
        <v>1499</v>
      </c>
      <c r="J2824" s="487" t="s">
        <v>1355</v>
      </c>
    </row>
    <row r="2825" spans="1:10" ht="15" x14ac:dyDescent="0.2">
      <c r="A2825" s="486" t="s">
        <v>1354</v>
      </c>
      <c r="B2825" s="487" t="s">
        <v>1353</v>
      </c>
      <c r="C2825" s="488" t="s">
        <v>9881</v>
      </c>
      <c r="D2825" s="489" t="s">
        <v>9882</v>
      </c>
      <c r="E2825" s="487" t="s">
        <v>9883</v>
      </c>
      <c r="F2825" s="490">
        <v>258715</v>
      </c>
      <c r="G2825" s="489">
        <v>3305</v>
      </c>
      <c r="H2825" s="489">
        <v>78.279880000000006</v>
      </c>
      <c r="I2825" s="487" t="s">
        <v>1499</v>
      </c>
      <c r="J2825" s="487" t="s">
        <v>1355</v>
      </c>
    </row>
    <row r="2826" spans="1:10" ht="15" x14ac:dyDescent="0.2">
      <c r="A2826" s="486" t="s">
        <v>1354</v>
      </c>
      <c r="B2826" s="487" t="s">
        <v>1353</v>
      </c>
      <c r="C2826" s="488" t="s">
        <v>9884</v>
      </c>
      <c r="D2826" s="489" t="s">
        <v>9885</v>
      </c>
      <c r="E2826" s="487" t="s">
        <v>9886</v>
      </c>
      <c r="F2826" s="490">
        <v>235675</v>
      </c>
      <c r="G2826" s="489">
        <v>1360</v>
      </c>
      <c r="H2826" s="489">
        <v>173.29043999999999</v>
      </c>
      <c r="I2826" s="487" t="s">
        <v>1499</v>
      </c>
      <c r="J2826" s="487" t="s">
        <v>1355</v>
      </c>
    </row>
    <row r="2827" spans="1:10" ht="15" x14ac:dyDescent="0.2">
      <c r="A2827" s="486" t="s">
        <v>1219</v>
      </c>
      <c r="B2827" s="487" t="s">
        <v>1218</v>
      </c>
      <c r="C2827" s="488" t="s">
        <v>9887</v>
      </c>
      <c r="D2827" s="489" t="s">
        <v>9888</v>
      </c>
      <c r="E2827" s="487" t="s">
        <v>9889</v>
      </c>
      <c r="F2827" s="490">
        <v>484790</v>
      </c>
      <c r="G2827" s="489">
        <v>9104.0400000000009</v>
      </c>
      <c r="H2827" s="489">
        <v>53.249989999999997</v>
      </c>
      <c r="I2827" s="487" t="s">
        <v>1499</v>
      </c>
      <c r="J2827" s="487" t="s">
        <v>1220</v>
      </c>
    </row>
    <row r="2828" spans="1:10" ht="15" x14ac:dyDescent="0.2">
      <c r="A2828" s="486" t="s">
        <v>399</v>
      </c>
      <c r="B2828" s="487" t="s">
        <v>398</v>
      </c>
      <c r="C2828" s="488" t="s">
        <v>9890</v>
      </c>
      <c r="D2828" s="489" t="s">
        <v>9891</v>
      </c>
      <c r="E2828" s="487" t="s">
        <v>9892</v>
      </c>
      <c r="F2828" s="490">
        <v>320383</v>
      </c>
      <c r="G2828" s="489">
        <v>12317.67</v>
      </c>
      <c r="H2828" s="489">
        <v>26.01003</v>
      </c>
      <c r="I2828" s="487" t="s">
        <v>1499</v>
      </c>
      <c r="J2828" s="487" t="s">
        <v>400</v>
      </c>
    </row>
    <row r="2829" spans="1:10" ht="15" x14ac:dyDescent="0.2">
      <c r="A2829" s="486" t="s">
        <v>399</v>
      </c>
      <c r="B2829" s="487" t="s">
        <v>398</v>
      </c>
      <c r="C2829" s="488" t="s">
        <v>9893</v>
      </c>
      <c r="D2829" s="489" t="s">
        <v>9894</v>
      </c>
      <c r="E2829" s="487" t="s">
        <v>9895</v>
      </c>
      <c r="F2829" s="490">
        <v>29970</v>
      </c>
      <c r="G2829" s="489">
        <v>723.91</v>
      </c>
      <c r="H2829" s="489">
        <v>41.400170000000003</v>
      </c>
      <c r="I2829" s="487" t="s">
        <v>1499</v>
      </c>
      <c r="J2829" s="487" t="s">
        <v>400</v>
      </c>
    </row>
    <row r="2830" spans="1:10" ht="15" x14ac:dyDescent="0.2">
      <c r="A2830" s="486" t="s">
        <v>399</v>
      </c>
      <c r="B2830" s="487" t="s">
        <v>398</v>
      </c>
      <c r="C2830" s="488" t="s">
        <v>9896</v>
      </c>
      <c r="D2830" s="489" t="s">
        <v>9897</v>
      </c>
      <c r="E2830" s="487" t="s">
        <v>9898</v>
      </c>
      <c r="F2830" s="490">
        <v>32481</v>
      </c>
      <c r="G2830" s="489">
        <v>2471.94</v>
      </c>
      <c r="H2830" s="489">
        <v>13.13988</v>
      </c>
      <c r="I2830" s="487" t="s">
        <v>1499</v>
      </c>
      <c r="J2830" s="487" t="s">
        <v>400</v>
      </c>
    </row>
    <row r="2831" spans="1:10" ht="15" x14ac:dyDescent="0.2">
      <c r="A2831" s="486" t="s">
        <v>399</v>
      </c>
      <c r="B2831" s="487" t="s">
        <v>398</v>
      </c>
      <c r="C2831" s="488" t="s">
        <v>9899</v>
      </c>
      <c r="D2831" s="489" t="s">
        <v>9900</v>
      </c>
      <c r="E2831" s="487" t="s">
        <v>9901</v>
      </c>
      <c r="F2831" s="490">
        <v>17710</v>
      </c>
      <c r="G2831" s="489">
        <v>217.04</v>
      </c>
      <c r="H2831" s="489">
        <v>81.597859999999997</v>
      </c>
      <c r="I2831" s="487" t="s">
        <v>1499</v>
      </c>
      <c r="J2831" s="487" t="s">
        <v>400</v>
      </c>
    </row>
    <row r="2832" spans="1:10" ht="15" x14ac:dyDescent="0.2">
      <c r="A2832" s="486" t="s">
        <v>399</v>
      </c>
      <c r="B2832" s="487" t="s">
        <v>398</v>
      </c>
      <c r="C2832" s="488" t="s">
        <v>9902</v>
      </c>
      <c r="D2832" s="489" t="s">
        <v>9903</v>
      </c>
      <c r="E2832" s="487" t="s">
        <v>9904</v>
      </c>
      <c r="F2832" s="490">
        <v>41277</v>
      </c>
      <c r="G2832" s="489">
        <v>999.19</v>
      </c>
      <c r="H2832" s="489">
        <v>41.310459999999999</v>
      </c>
      <c r="I2832" s="487" t="s">
        <v>1499</v>
      </c>
      <c r="J2832" s="487" t="s">
        <v>400</v>
      </c>
    </row>
    <row r="2833" spans="1:10" ht="15" x14ac:dyDescent="0.2">
      <c r="A2833" s="486" t="s">
        <v>399</v>
      </c>
      <c r="B2833" s="487" t="s">
        <v>398</v>
      </c>
      <c r="C2833" s="488" t="s">
        <v>9905</v>
      </c>
      <c r="D2833" s="489" t="s">
        <v>9906</v>
      </c>
      <c r="E2833" s="487" t="s">
        <v>9907</v>
      </c>
      <c r="F2833" s="490">
        <v>34796</v>
      </c>
      <c r="G2833" s="489">
        <v>437.35</v>
      </c>
      <c r="H2833" s="489">
        <v>79.560990000000004</v>
      </c>
      <c r="I2833" s="487" t="s">
        <v>1499</v>
      </c>
      <c r="J2833" s="487" t="s">
        <v>400</v>
      </c>
    </row>
    <row r="2834" spans="1:10" ht="15" x14ac:dyDescent="0.2">
      <c r="A2834" s="486" t="s">
        <v>399</v>
      </c>
      <c r="B2834" s="487" t="s">
        <v>398</v>
      </c>
      <c r="C2834" s="488" t="s">
        <v>9908</v>
      </c>
      <c r="D2834" s="489" t="s">
        <v>9909</v>
      </c>
      <c r="E2834" s="487" t="s">
        <v>9910</v>
      </c>
      <c r="F2834" s="490">
        <v>14442</v>
      </c>
      <c r="G2834" s="489">
        <v>534.9</v>
      </c>
      <c r="H2834" s="489">
        <v>26.99944</v>
      </c>
      <c r="I2834" s="487" t="s">
        <v>1499</v>
      </c>
      <c r="J2834" s="487" t="s">
        <v>400</v>
      </c>
    </row>
    <row r="2835" spans="1:10" ht="15" x14ac:dyDescent="0.2">
      <c r="A2835" s="486" t="s">
        <v>399</v>
      </c>
      <c r="B2835" s="487" t="s">
        <v>398</v>
      </c>
      <c r="C2835" s="488" t="s">
        <v>9911</v>
      </c>
      <c r="D2835" s="489" t="s">
        <v>9912</v>
      </c>
      <c r="E2835" s="487" t="s">
        <v>9913</v>
      </c>
      <c r="F2835" s="490">
        <v>47625</v>
      </c>
      <c r="G2835" s="489">
        <v>1300.1600000000001</v>
      </c>
      <c r="H2835" s="489">
        <v>36.630110000000002</v>
      </c>
      <c r="I2835" s="487" t="s">
        <v>1499</v>
      </c>
      <c r="J2835" s="487" t="s">
        <v>400</v>
      </c>
    </row>
    <row r="2836" spans="1:10" ht="15" x14ac:dyDescent="0.2">
      <c r="A2836" s="486" t="s">
        <v>399</v>
      </c>
      <c r="B2836" s="487" t="s">
        <v>398</v>
      </c>
      <c r="C2836" s="488" t="s">
        <v>9914</v>
      </c>
      <c r="D2836" s="489" t="s">
        <v>9915</v>
      </c>
      <c r="E2836" s="487" t="s">
        <v>9916</v>
      </c>
      <c r="F2836" s="490">
        <v>234262</v>
      </c>
      <c r="G2836" s="489">
        <v>9822.2900000000009</v>
      </c>
      <c r="H2836" s="489">
        <v>23.85004</v>
      </c>
      <c r="I2836" s="487" t="s">
        <v>1499</v>
      </c>
      <c r="J2836" s="487" t="s">
        <v>400</v>
      </c>
    </row>
    <row r="2837" spans="1:10" ht="15" x14ac:dyDescent="0.2">
      <c r="A2837" s="486" t="s">
        <v>514</v>
      </c>
      <c r="B2837" s="487" t="s">
        <v>513</v>
      </c>
      <c r="C2837" s="488" t="s">
        <v>9917</v>
      </c>
      <c r="D2837" s="489" t="s">
        <v>9918</v>
      </c>
      <c r="E2837" s="487" t="s">
        <v>9919</v>
      </c>
      <c r="F2837" s="490">
        <v>5301</v>
      </c>
      <c r="G2837" s="489">
        <v>204.56</v>
      </c>
      <c r="H2837" s="489">
        <v>25.914159999999999</v>
      </c>
      <c r="I2837" s="487" t="s">
        <v>2465</v>
      </c>
      <c r="J2837" s="487" t="s">
        <v>515</v>
      </c>
    </row>
    <row r="2838" spans="1:10" ht="15" x14ac:dyDescent="0.2">
      <c r="A2838" s="486" t="s">
        <v>514</v>
      </c>
      <c r="B2838" s="487" t="s">
        <v>513</v>
      </c>
      <c r="C2838" s="488" t="s">
        <v>9920</v>
      </c>
      <c r="D2838" s="489" t="s">
        <v>9921</v>
      </c>
      <c r="E2838" s="487" t="s">
        <v>9922</v>
      </c>
      <c r="F2838" s="490">
        <v>6715</v>
      </c>
      <c r="G2838" s="489">
        <v>150.32</v>
      </c>
      <c r="H2838" s="489">
        <v>44.671370000000003</v>
      </c>
      <c r="I2838" s="487" t="s">
        <v>1499</v>
      </c>
      <c r="J2838" s="487" t="s">
        <v>515</v>
      </c>
    </row>
    <row r="2839" spans="1:10" ht="15" x14ac:dyDescent="0.2">
      <c r="A2839" s="486" t="s">
        <v>514</v>
      </c>
      <c r="B2839" s="487" t="s">
        <v>513</v>
      </c>
      <c r="C2839" s="488" t="s">
        <v>9923</v>
      </c>
      <c r="D2839" s="489" t="s">
        <v>9924</v>
      </c>
      <c r="E2839" s="487" t="s">
        <v>9925</v>
      </c>
      <c r="F2839" s="490">
        <v>1250</v>
      </c>
      <c r="G2839" s="489">
        <v>75.55</v>
      </c>
      <c r="H2839" s="489">
        <v>16.54533</v>
      </c>
      <c r="I2839" s="487" t="s">
        <v>1499</v>
      </c>
      <c r="J2839" s="487" t="s">
        <v>515</v>
      </c>
    </row>
    <row r="2840" spans="1:10" ht="15" x14ac:dyDescent="0.2">
      <c r="A2840" s="486" t="s">
        <v>514</v>
      </c>
      <c r="B2840" s="487" t="s">
        <v>513</v>
      </c>
      <c r="C2840" s="488" t="s">
        <v>9926</v>
      </c>
      <c r="D2840" s="489" t="s">
        <v>9927</v>
      </c>
      <c r="E2840" s="487" t="s">
        <v>9928</v>
      </c>
      <c r="F2840" s="490">
        <v>3750</v>
      </c>
      <c r="G2840" s="489">
        <v>166.34</v>
      </c>
      <c r="H2840" s="489">
        <v>22.54419</v>
      </c>
      <c r="I2840" s="487" t="s">
        <v>1499</v>
      </c>
      <c r="J2840" s="487" t="s">
        <v>515</v>
      </c>
    </row>
    <row r="2841" spans="1:10" ht="15" x14ac:dyDescent="0.2">
      <c r="A2841" s="486" t="s">
        <v>514</v>
      </c>
      <c r="B2841" s="487" t="s">
        <v>513</v>
      </c>
      <c r="C2841" s="488" t="s">
        <v>9929</v>
      </c>
      <c r="D2841" s="489" t="s">
        <v>9930</v>
      </c>
      <c r="E2841" s="487" t="s">
        <v>9931</v>
      </c>
      <c r="F2841" s="490">
        <v>6034</v>
      </c>
      <c r="G2841" s="489">
        <v>108.24</v>
      </c>
      <c r="H2841" s="489">
        <v>55.746490000000001</v>
      </c>
      <c r="I2841" s="487" t="s">
        <v>1499</v>
      </c>
      <c r="J2841" s="487" t="s">
        <v>515</v>
      </c>
    </row>
    <row r="2842" spans="1:10" ht="15" x14ac:dyDescent="0.2">
      <c r="A2842" s="486" t="s">
        <v>514</v>
      </c>
      <c r="B2842" s="487" t="s">
        <v>513</v>
      </c>
      <c r="C2842" s="488" t="s">
        <v>9932</v>
      </c>
      <c r="D2842" s="489" t="s">
        <v>9933</v>
      </c>
      <c r="E2842" s="487" t="s">
        <v>9934</v>
      </c>
      <c r="F2842" s="490">
        <v>13823</v>
      </c>
      <c r="G2842" s="489">
        <v>162.5</v>
      </c>
      <c r="H2842" s="489">
        <v>85.064620000000005</v>
      </c>
      <c r="I2842" s="487" t="s">
        <v>1499</v>
      </c>
      <c r="J2842" s="487" t="s">
        <v>515</v>
      </c>
    </row>
    <row r="2843" spans="1:10" ht="15" x14ac:dyDescent="0.2">
      <c r="A2843" s="486" t="s">
        <v>514</v>
      </c>
      <c r="B2843" s="487" t="s">
        <v>513</v>
      </c>
      <c r="C2843" s="488" t="s">
        <v>9935</v>
      </c>
      <c r="D2843" s="489" t="s">
        <v>9936</v>
      </c>
      <c r="E2843" s="487" t="s">
        <v>9937</v>
      </c>
      <c r="F2843" s="490">
        <v>52000</v>
      </c>
      <c r="G2843" s="489">
        <v>1004.19</v>
      </c>
      <c r="H2843" s="489">
        <v>51.783029999999997</v>
      </c>
      <c r="I2843" s="487" t="s">
        <v>1499</v>
      </c>
      <c r="J2843" s="487" t="s">
        <v>515</v>
      </c>
    </row>
    <row r="2844" spans="1:10" ht="15" x14ac:dyDescent="0.2">
      <c r="A2844" s="486" t="s">
        <v>514</v>
      </c>
      <c r="B2844" s="487" t="s">
        <v>513</v>
      </c>
      <c r="C2844" s="488" t="s">
        <v>9938</v>
      </c>
      <c r="D2844" s="489" t="s">
        <v>9939</v>
      </c>
      <c r="E2844" s="487" t="s">
        <v>9940</v>
      </c>
      <c r="F2844" s="490">
        <v>1457</v>
      </c>
      <c r="G2844" s="489">
        <v>54.82</v>
      </c>
      <c r="H2844" s="489">
        <v>26.57789</v>
      </c>
      <c r="I2844" s="487" t="s">
        <v>1499</v>
      </c>
      <c r="J2844" s="487" t="s">
        <v>515</v>
      </c>
    </row>
    <row r="2845" spans="1:10" ht="15" x14ac:dyDescent="0.2">
      <c r="A2845" s="486" t="s">
        <v>514</v>
      </c>
      <c r="B2845" s="487" t="s">
        <v>513</v>
      </c>
      <c r="C2845" s="488" t="s">
        <v>9941</v>
      </c>
      <c r="D2845" s="489" t="s">
        <v>9942</v>
      </c>
      <c r="E2845" s="487" t="s">
        <v>2624</v>
      </c>
      <c r="F2845" s="490">
        <v>16900</v>
      </c>
      <c r="G2845" s="489">
        <v>227.97</v>
      </c>
      <c r="H2845" s="489">
        <v>74.132559999999998</v>
      </c>
      <c r="I2845" s="487" t="s">
        <v>1499</v>
      </c>
      <c r="J2845" s="487" t="s">
        <v>515</v>
      </c>
    </row>
    <row r="2846" spans="1:10" ht="15" x14ac:dyDescent="0.2">
      <c r="A2846" s="486" t="s">
        <v>514</v>
      </c>
      <c r="B2846" s="487" t="s">
        <v>513</v>
      </c>
      <c r="C2846" s="488" t="s">
        <v>9943</v>
      </c>
      <c r="D2846" s="489" t="s">
        <v>9944</v>
      </c>
      <c r="E2846" s="487" t="s">
        <v>9945</v>
      </c>
      <c r="F2846" s="490">
        <v>11491</v>
      </c>
      <c r="G2846" s="489">
        <v>272.74</v>
      </c>
      <c r="H2846" s="489">
        <v>42.131700000000002</v>
      </c>
      <c r="I2846" s="487" t="s">
        <v>1499</v>
      </c>
      <c r="J2846" s="487" t="s">
        <v>515</v>
      </c>
    </row>
    <row r="2847" spans="1:10" ht="15" x14ac:dyDescent="0.2">
      <c r="A2847" s="486" t="s">
        <v>514</v>
      </c>
      <c r="B2847" s="487" t="s">
        <v>513</v>
      </c>
      <c r="C2847" s="488" t="s">
        <v>9946</v>
      </c>
      <c r="D2847" s="489" t="s">
        <v>9947</v>
      </c>
      <c r="E2847" s="487" t="s">
        <v>9948</v>
      </c>
      <c r="F2847" s="490">
        <v>32817</v>
      </c>
      <c r="G2847" s="489">
        <v>334.74</v>
      </c>
      <c r="H2847" s="489">
        <v>98.037279999999996</v>
      </c>
      <c r="I2847" s="487" t="s">
        <v>1499</v>
      </c>
      <c r="J2847" s="487" t="s">
        <v>515</v>
      </c>
    </row>
    <row r="2848" spans="1:10" ht="15" x14ac:dyDescent="0.2">
      <c r="A2848" s="486" t="s">
        <v>514</v>
      </c>
      <c r="B2848" s="487" t="s">
        <v>513</v>
      </c>
      <c r="C2848" s="488" t="s">
        <v>9949</v>
      </c>
      <c r="D2848" s="489" t="s">
        <v>9950</v>
      </c>
      <c r="E2848" s="487" t="s">
        <v>9951</v>
      </c>
      <c r="F2848" s="490">
        <v>39434</v>
      </c>
      <c r="G2848" s="489">
        <v>479.65</v>
      </c>
      <c r="H2848" s="489">
        <v>82.214110000000005</v>
      </c>
      <c r="I2848" s="487" t="s">
        <v>1499</v>
      </c>
      <c r="J2848" s="487" t="s">
        <v>515</v>
      </c>
    </row>
    <row r="2849" spans="1:10" ht="15" x14ac:dyDescent="0.2">
      <c r="A2849" s="486" t="s">
        <v>514</v>
      </c>
      <c r="B2849" s="487" t="s">
        <v>513</v>
      </c>
      <c r="C2849" s="488" t="s">
        <v>9952</v>
      </c>
      <c r="D2849" s="489" t="s">
        <v>9953</v>
      </c>
      <c r="E2849" s="487" t="s">
        <v>9954</v>
      </c>
      <c r="F2849" s="490">
        <v>230028</v>
      </c>
      <c r="G2849" s="489">
        <v>1982.22</v>
      </c>
      <c r="H2849" s="489">
        <v>116.04564999999999</v>
      </c>
      <c r="I2849" s="487" t="s">
        <v>1499</v>
      </c>
      <c r="J2849" s="487" t="s">
        <v>515</v>
      </c>
    </row>
    <row r="2850" spans="1:10" ht="15" x14ac:dyDescent="0.2">
      <c r="A2850" s="486" t="s">
        <v>514</v>
      </c>
      <c r="B2850" s="487" t="s">
        <v>513</v>
      </c>
      <c r="C2850" s="488" t="s">
        <v>9955</v>
      </c>
      <c r="D2850" s="489" t="s">
        <v>9956</v>
      </c>
      <c r="E2850" s="487" t="s">
        <v>9957</v>
      </c>
      <c r="F2850" s="490">
        <v>26249</v>
      </c>
      <c r="G2850" s="489">
        <v>414.71</v>
      </c>
      <c r="H2850" s="489">
        <v>63.294829999999997</v>
      </c>
      <c r="I2850" s="487" t="s">
        <v>1499</v>
      </c>
      <c r="J2850" s="487" t="s">
        <v>515</v>
      </c>
    </row>
    <row r="2851" spans="1:10" ht="15" x14ac:dyDescent="0.2">
      <c r="A2851" s="486" t="s">
        <v>514</v>
      </c>
      <c r="B2851" s="487" t="s">
        <v>513</v>
      </c>
      <c r="C2851" s="488" t="s">
        <v>9958</v>
      </c>
      <c r="D2851" s="489" t="s">
        <v>9959</v>
      </c>
      <c r="E2851" s="487" t="s">
        <v>9960</v>
      </c>
      <c r="F2851" s="490">
        <v>57500</v>
      </c>
      <c r="G2851" s="489">
        <v>1069.1600000000001</v>
      </c>
      <c r="H2851" s="489">
        <v>53.780540000000002</v>
      </c>
      <c r="I2851" s="487" t="s">
        <v>1499</v>
      </c>
      <c r="J2851" s="487" t="s">
        <v>515</v>
      </c>
    </row>
    <row r="2852" spans="1:10" ht="15" x14ac:dyDescent="0.2">
      <c r="A2852" s="486" t="s">
        <v>514</v>
      </c>
      <c r="B2852" s="487" t="s">
        <v>513</v>
      </c>
      <c r="C2852" s="488" t="s">
        <v>9961</v>
      </c>
      <c r="D2852" s="489" t="s">
        <v>9962</v>
      </c>
      <c r="E2852" s="487" t="s">
        <v>9963</v>
      </c>
      <c r="F2852" s="490">
        <v>177332</v>
      </c>
      <c r="G2852" s="489">
        <v>1544.37</v>
      </c>
      <c r="H2852" s="489">
        <v>114.82482</v>
      </c>
      <c r="I2852" s="487" t="s">
        <v>1499</v>
      </c>
      <c r="J2852" s="487" t="s">
        <v>515</v>
      </c>
    </row>
    <row r="2853" spans="1:10" ht="15" x14ac:dyDescent="0.2">
      <c r="A2853" s="486" t="s">
        <v>514</v>
      </c>
      <c r="B2853" s="487" t="s">
        <v>513</v>
      </c>
      <c r="C2853" s="488" t="s">
        <v>9964</v>
      </c>
      <c r="D2853" s="489" t="s">
        <v>9965</v>
      </c>
      <c r="E2853" s="487" t="s">
        <v>9966</v>
      </c>
      <c r="F2853" s="490">
        <v>0</v>
      </c>
      <c r="G2853" s="489">
        <v>0</v>
      </c>
      <c r="H2853" s="489">
        <v>0</v>
      </c>
      <c r="I2853" s="487" t="s">
        <v>2465</v>
      </c>
      <c r="J2853" s="487" t="s">
        <v>515</v>
      </c>
    </row>
    <row r="2854" spans="1:10" ht="15" x14ac:dyDescent="0.2">
      <c r="A2854" s="486" t="s">
        <v>514</v>
      </c>
      <c r="B2854" s="487" t="s">
        <v>513</v>
      </c>
      <c r="C2854" s="488" t="s">
        <v>9967</v>
      </c>
      <c r="D2854" s="489" t="s">
        <v>9968</v>
      </c>
      <c r="E2854" s="487" t="s">
        <v>9969</v>
      </c>
      <c r="F2854" s="490">
        <v>0</v>
      </c>
      <c r="G2854" s="489">
        <v>0</v>
      </c>
      <c r="H2854" s="489">
        <v>0</v>
      </c>
      <c r="I2854" s="487" t="s">
        <v>2465</v>
      </c>
      <c r="J2854" s="487" t="s">
        <v>515</v>
      </c>
    </row>
    <row r="2855" spans="1:10" ht="15" x14ac:dyDescent="0.2">
      <c r="A2855" s="486" t="s">
        <v>514</v>
      </c>
      <c r="B2855" s="487" t="s">
        <v>513</v>
      </c>
      <c r="C2855" s="488" t="s">
        <v>9970</v>
      </c>
      <c r="D2855" s="489" t="s">
        <v>9971</v>
      </c>
      <c r="E2855" s="487" t="s">
        <v>9972</v>
      </c>
      <c r="F2855" s="490">
        <v>120521</v>
      </c>
      <c r="G2855" s="489">
        <v>971.83</v>
      </c>
      <c r="H2855" s="489">
        <v>124.01449</v>
      </c>
      <c r="I2855" s="487" t="s">
        <v>1499</v>
      </c>
      <c r="J2855" s="487" t="s">
        <v>515</v>
      </c>
    </row>
    <row r="2856" spans="1:10" ht="15" x14ac:dyDescent="0.2">
      <c r="A2856" s="486" t="s">
        <v>514</v>
      </c>
      <c r="B2856" s="487" t="s">
        <v>513</v>
      </c>
      <c r="C2856" s="488" t="s">
        <v>9973</v>
      </c>
      <c r="D2856" s="489" t="s">
        <v>9974</v>
      </c>
      <c r="E2856" s="487" t="s">
        <v>9975</v>
      </c>
      <c r="F2856" s="490">
        <v>78026</v>
      </c>
      <c r="G2856" s="489">
        <v>807.05</v>
      </c>
      <c r="H2856" s="489">
        <v>96.680499999999995</v>
      </c>
      <c r="I2856" s="487" t="s">
        <v>1499</v>
      </c>
      <c r="J2856" s="487" t="s">
        <v>515</v>
      </c>
    </row>
    <row r="2857" spans="1:10" ht="15" x14ac:dyDescent="0.2">
      <c r="A2857" s="486" t="s">
        <v>514</v>
      </c>
      <c r="B2857" s="487" t="s">
        <v>513</v>
      </c>
      <c r="C2857" s="488" t="s">
        <v>9976</v>
      </c>
      <c r="D2857" s="489" t="s">
        <v>9977</v>
      </c>
      <c r="E2857" s="487" t="s">
        <v>9978</v>
      </c>
      <c r="F2857" s="490">
        <v>11427</v>
      </c>
      <c r="G2857" s="489">
        <v>155.59</v>
      </c>
      <c r="H2857" s="489">
        <v>73.443020000000004</v>
      </c>
      <c r="I2857" s="487" t="s">
        <v>2465</v>
      </c>
      <c r="J2857" s="487" t="s">
        <v>515</v>
      </c>
    </row>
    <row r="2858" spans="1:10" ht="15" x14ac:dyDescent="0.2">
      <c r="A2858" s="486" t="s">
        <v>514</v>
      </c>
      <c r="B2858" s="487" t="s">
        <v>513</v>
      </c>
      <c r="C2858" s="488" t="s">
        <v>9979</v>
      </c>
      <c r="D2858" s="489" t="s">
        <v>9980</v>
      </c>
      <c r="E2858" s="487" t="s">
        <v>9981</v>
      </c>
      <c r="F2858" s="490">
        <v>11445</v>
      </c>
      <c r="G2858" s="489">
        <v>179.31</v>
      </c>
      <c r="H2858" s="489">
        <v>63.828009999999999</v>
      </c>
      <c r="I2858" s="487" t="s">
        <v>1499</v>
      </c>
      <c r="J2858" s="487" t="s">
        <v>515</v>
      </c>
    </row>
    <row r="2859" spans="1:10" ht="15" x14ac:dyDescent="0.2">
      <c r="A2859" s="486" t="s">
        <v>514</v>
      </c>
      <c r="B2859" s="487" t="s">
        <v>513</v>
      </c>
      <c r="C2859" s="488" t="s">
        <v>9982</v>
      </c>
      <c r="D2859" s="489" t="s">
        <v>9983</v>
      </c>
      <c r="E2859" s="487" t="s">
        <v>9984</v>
      </c>
      <c r="F2859" s="490">
        <v>50090</v>
      </c>
      <c r="G2859" s="489">
        <v>658.84</v>
      </c>
      <c r="H2859" s="489">
        <v>76.027559999999994</v>
      </c>
      <c r="I2859" s="487" t="s">
        <v>1499</v>
      </c>
      <c r="J2859" s="487" t="s">
        <v>515</v>
      </c>
    </row>
    <row r="2860" spans="1:10" ht="15" x14ac:dyDescent="0.2">
      <c r="A2860" s="486" t="s">
        <v>514</v>
      </c>
      <c r="B2860" s="487" t="s">
        <v>513</v>
      </c>
      <c r="C2860" s="488" t="s">
        <v>9985</v>
      </c>
      <c r="D2860" s="489" t="s">
        <v>9986</v>
      </c>
      <c r="E2860" s="487" t="s">
        <v>9987</v>
      </c>
      <c r="F2860" s="490">
        <v>53500</v>
      </c>
      <c r="G2860" s="489">
        <v>617.37</v>
      </c>
      <c r="H2860" s="489">
        <v>86.657920000000004</v>
      </c>
      <c r="I2860" s="487" t="s">
        <v>1499</v>
      </c>
      <c r="J2860" s="487" t="s">
        <v>515</v>
      </c>
    </row>
    <row r="2861" spans="1:10" ht="15" x14ac:dyDescent="0.2">
      <c r="A2861" s="486" t="s">
        <v>514</v>
      </c>
      <c r="B2861" s="487" t="s">
        <v>513</v>
      </c>
      <c r="C2861" s="488" t="s">
        <v>9988</v>
      </c>
      <c r="D2861" s="489" t="s">
        <v>9989</v>
      </c>
      <c r="E2861" s="487" t="s">
        <v>9990</v>
      </c>
      <c r="F2861" s="490">
        <v>12195</v>
      </c>
      <c r="G2861" s="489">
        <v>241.58</v>
      </c>
      <c r="H2861" s="489">
        <v>50.480170000000001</v>
      </c>
      <c r="I2861" s="487" t="s">
        <v>2465</v>
      </c>
      <c r="J2861" s="487" t="s">
        <v>515</v>
      </c>
    </row>
    <row r="2862" spans="1:10" ht="15" x14ac:dyDescent="0.2">
      <c r="A2862" s="486" t="s">
        <v>514</v>
      </c>
      <c r="B2862" s="487" t="s">
        <v>513</v>
      </c>
      <c r="C2862" s="488" t="s">
        <v>9991</v>
      </c>
      <c r="D2862" s="489" t="s">
        <v>9992</v>
      </c>
      <c r="E2862" s="487" t="s">
        <v>9993</v>
      </c>
      <c r="F2862" s="490">
        <v>13932</v>
      </c>
      <c r="G2862" s="489">
        <v>168.97</v>
      </c>
      <c r="H2862" s="489">
        <v>82.452510000000004</v>
      </c>
      <c r="I2862" s="487" t="s">
        <v>1499</v>
      </c>
      <c r="J2862" s="487" t="s">
        <v>515</v>
      </c>
    </row>
    <row r="2863" spans="1:10" ht="15" x14ac:dyDescent="0.2">
      <c r="A2863" s="486" t="s">
        <v>514</v>
      </c>
      <c r="B2863" s="487" t="s">
        <v>513</v>
      </c>
      <c r="C2863" s="488" t="s">
        <v>9994</v>
      </c>
      <c r="D2863" s="489" t="s">
        <v>9995</v>
      </c>
      <c r="E2863" s="487" t="s">
        <v>9996</v>
      </c>
      <c r="F2863" s="490">
        <v>118000</v>
      </c>
      <c r="G2863" s="489">
        <v>2586.9</v>
      </c>
      <c r="H2863" s="489">
        <v>45.614440000000002</v>
      </c>
      <c r="I2863" s="487" t="s">
        <v>1499</v>
      </c>
      <c r="J2863" s="487" t="s">
        <v>515</v>
      </c>
    </row>
    <row r="2864" spans="1:10" ht="15" x14ac:dyDescent="0.2">
      <c r="A2864" s="486" t="s">
        <v>514</v>
      </c>
      <c r="B2864" s="487" t="s">
        <v>513</v>
      </c>
      <c r="C2864" s="488" t="s">
        <v>9997</v>
      </c>
      <c r="D2864" s="489" t="s">
        <v>9998</v>
      </c>
      <c r="E2864" s="487" t="s">
        <v>9999</v>
      </c>
      <c r="F2864" s="490">
        <v>66936</v>
      </c>
      <c r="G2864" s="489">
        <v>674.2</v>
      </c>
      <c r="H2864" s="489">
        <v>99.282110000000003</v>
      </c>
      <c r="I2864" s="487" t="s">
        <v>1499</v>
      </c>
      <c r="J2864" s="487" t="s">
        <v>515</v>
      </c>
    </row>
    <row r="2865" spans="1:10" ht="15" x14ac:dyDescent="0.2">
      <c r="A2865" s="486" t="s">
        <v>514</v>
      </c>
      <c r="B2865" s="487" t="s">
        <v>513</v>
      </c>
      <c r="C2865" s="488" t="s">
        <v>10000</v>
      </c>
      <c r="D2865" s="489" t="s">
        <v>10001</v>
      </c>
      <c r="E2865" s="487" t="s">
        <v>10002</v>
      </c>
      <c r="F2865" s="490">
        <v>13740</v>
      </c>
      <c r="G2865" s="489">
        <v>278.87</v>
      </c>
      <c r="H2865" s="489">
        <v>49.270269999999996</v>
      </c>
      <c r="I2865" s="487" t="s">
        <v>1499</v>
      </c>
      <c r="J2865" s="487" t="s">
        <v>515</v>
      </c>
    </row>
    <row r="2866" spans="1:10" ht="15" x14ac:dyDescent="0.2">
      <c r="A2866" s="486" t="s">
        <v>514</v>
      </c>
      <c r="B2866" s="487" t="s">
        <v>513</v>
      </c>
      <c r="C2866" s="488" t="s">
        <v>10003</v>
      </c>
      <c r="D2866" s="489" t="s">
        <v>10004</v>
      </c>
      <c r="E2866" s="487" t="s">
        <v>10005</v>
      </c>
      <c r="F2866" s="490">
        <v>247051</v>
      </c>
      <c r="G2866" s="489">
        <v>4550.59</v>
      </c>
      <c r="H2866" s="489">
        <v>54.289879999999997</v>
      </c>
      <c r="I2866" s="487" t="s">
        <v>1499</v>
      </c>
      <c r="J2866" s="487" t="s">
        <v>515</v>
      </c>
    </row>
    <row r="2867" spans="1:10" ht="15" x14ac:dyDescent="0.2">
      <c r="A2867" s="486" t="s">
        <v>514</v>
      </c>
      <c r="B2867" s="487" t="s">
        <v>513</v>
      </c>
      <c r="C2867" s="488" t="s">
        <v>10006</v>
      </c>
      <c r="D2867" s="489" t="s">
        <v>10007</v>
      </c>
      <c r="E2867" s="487" t="s">
        <v>10008</v>
      </c>
      <c r="F2867" s="490">
        <v>181000</v>
      </c>
      <c r="G2867" s="489">
        <v>2253.0300000000002</v>
      </c>
      <c r="H2867" s="489">
        <v>80.336259999999996</v>
      </c>
      <c r="I2867" s="487" t="s">
        <v>1499</v>
      </c>
      <c r="J2867" s="487" t="s">
        <v>515</v>
      </c>
    </row>
    <row r="2868" spans="1:10" ht="15" x14ac:dyDescent="0.2">
      <c r="A2868" s="486" t="s">
        <v>514</v>
      </c>
      <c r="B2868" s="487" t="s">
        <v>513</v>
      </c>
      <c r="C2868" s="488" t="s">
        <v>10009</v>
      </c>
      <c r="D2868" s="489" t="s">
        <v>10010</v>
      </c>
      <c r="E2868" s="487" t="s">
        <v>10011</v>
      </c>
      <c r="F2868" s="490">
        <v>12616</v>
      </c>
      <c r="G2868" s="489">
        <v>183.04</v>
      </c>
      <c r="H2868" s="489">
        <v>68.92483</v>
      </c>
      <c r="I2868" s="487" t="s">
        <v>1499</v>
      </c>
      <c r="J2868" s="487" t="s">
        <v>515</v>
      </c>
    </row>
    <row r="2869" spans="1:10" ht="15" x14ac:dyDescent="0.2">
      <c r="A2869" s="486" t="s">
        <v>514</v>
      </c>
      <c r="B2869" s="487" t="s">
        <v>513</v>
      </c>
      <c r="C2869" s="488" t="s">
        <v>10012</v>
      </c>
      <c r="D2869" s="489" t="s">
        <v>10013</v>
      </c>
      <c r="E2869" s="487" t="s">
        <v>10014</v>
      </c>
      <c r="F2869" s="490">
        <v>166365</v>
      </c>
      <c r="G2869" s="489">
        <v>1536.01</v>
      </c>
      <c r="H2869" s="489">
        <v>108.30983999999999</v>
      </c>
      <c r="I2869" s="487" t="s">
        <v>1499</v>
      </c>
      <c r="J2869" s="487" t="s">
        <v>515</v>
      </c>
    </row>
    <row r="2870" spans="1:10" ht="15" x14ac:dyDescent="0.2">
      <c r="A2870" s="486" t="s">
        <v>514</v>
      </c>
      <c r="B2870" s="487" t="s">
        <v>513</v>
      </c>
      <c r="C2870" s="488" t="s">
        <v>10015</v>
      </c>
      <c r="D2870" s="489" t="s">
        <v>10016</v>
      </c>
      <c r="E2870" s="487" t="s">
        <v>10017</v>
      </c>
      <c r="F2870" s="490">
        <v>0</v>
      </c>
      <c r="G2870" s="489">
        <v>0</v>
      </c>
      <c r="H2870" s="489">
        <v>0</v>
      </c>
      <c r="I2870" s="487" t="s">
        <v>2465</v>
      </c>
      <c r="J2870" s="487" t="s">
        <v>515</v>
      </c>
    </row>
    <row r="2871" spans="1:10" ht="15" x14ac:dyDescent="0.2">
      <c r="A2871" s="486" t="s">
        <v>514</v>
      </c>
      <c r="B2871" s="487" t="s">
        <v>513</v>
      </c>
      <c r="C2871" s="488" t="s">
        <v>10018</v>
      </c>
      <c r="D2871" s="489" t="s">
        <v>10019</v>
      </c>
      <c r="E2871" s="487" t="s">
        <v>10020</v>
      </c>
      <c r="F2871" s="490">
        <v>0</v>
      </c>
      <c r="G2871" s="489">
        <v>0</v>
      </c>
      <c r="H2871" s="489">
        <v>0</v>
      </c>
      <c r="I2871" s="487" t="s">
        <v>2465</v>
      </c>
      <c r="J2871" s="487" t="s">
        <v>515</v>
      </c>
    </row>
    <row r="2872" spans="1:10" ht="15" x14ac:dyDescent="0.2">
      <c r="A2872" s="486" t="s">
        <v>514</v>
      </c>
      <c r="B2872" s="487" t="s">
        <v>513</v>
      </c>
      <c r="C2872" s="488" t="s">
        <v>10021</v>
      </c>
      <c r="D2872" s="489" t="s">
        <v>10022</v>
      </c>
      <c r="E2872" s="487" t="s">
        <v>10023</v>
      </c>
      <c r="F2872" s="490">
        <v>0</v>
      </c>
      <c r="G2872" s="489">
        <v>0</v>
      </c>
      <c r="H2872" s="489">
        <v>0</v>
      </c>
      <c r="I2872" s="487" t="s">
        <v>2465</v>
      </c>
      <c r="J2872" s="487" t="s">
        <v>515</v>
      </c>
    </row>
    <row r="2873" spans="1:10" ht="15" x14ac:dyDescent="0.2">
      <c r="A2873" s="486" t="s">
        <v>514</v>
      </c>
      <c r="B2873" s="487" t="s">
        <v>513</v>
      </c>
      <c r="C2873" s="488" t="s">
        <v>10024</v>
      </c>
      <c r="D2873" s="489" t="s">
        <v>10025</v>
      </c>
      <c r="E2873" s="487" t="s">
        <v>10026</v>
      </c>
      <c r="F2873" s="490">
        <v>8900</v>
      </c>
      <c r="G2873" s="489">
        <v>117.49</v>
      </c>
      <c r="H2873" s="489">
        <v>75.751130000000003</v>
      </c>
      <c r="I2873" s="487" t="s">
        <v>1499</v>
      </c>
      <c r="J2873" s="487" t="s">
        <v>515</v>
      </c>
    </row>
    <row r="2874" spans="1:10" ht="15" x14ac:dyDescent="0.2">
      <c r="A2874" s="486" t="s">
        <v>514</v>
      </c>
      <c r="B2874" s="487" t="s">
        <v>513</v>
      </c>
      <c r="C2874" s="488" t="s">
        <v>10027</v>
      </c>
      <c r="D2874" s="489" t="s">
        <v>10028</v>
      </c>
      <c r="E2874" s="487" t="s">
        <v>10029</v>
      </c>
      <c r="F2874" s="490">
        <v>9528</v>
      </c>
      <c r="G2874" s="489">
        <v>248.85</v>
      </c>
      <c r="H2874" s="489">
        <v>38.288130000000002</v>
      </c>
      <c r="I2874" s="487" t="s">
        <v>2465</v>
      </c>
      <c r="J2874" s="487" t="s">
        <v>515</v>
      </c>
    </row>
    <row r="2875" spans="1:10" ht="15" x14ac:dyDescent="0.2">
      <c r="A2875" s="486" t="s">
        <v>514</v>
      </c>
      <c r="B2875" s="487" t="s">
        <v>513</v>
      </c>
      <c r="C2875" s="488" t="s">
        <v>10030</v>
      </c>
      <c r="D2875" s="489" t="s">
        <v>10031</v>
      </c>
      <c r="E2875" s="487" t="s">
        <v>10032</v>
      </c>
      <c r="F2875" s="490">
        <v>0</v>
      </c>
      <c r="G2875" s="489">
        <v>0</v>
      </c>
      <c r="H2875" s="489">
        <v>0</v>
      </c>
      <c r="I2875" s="487" t="s">
        <v>2465</v>
      </c>
      <c r="J2875" s="487" t="s">
        <v>515</v>
      </c>
    </row>
    <row r="2876" spans="1:10" ht="15" x14ac:dyDescent="0.2">
      <c r="A2876" s="486" t="s">
        <v>514</v>
      </c>
      <c r="B2876" s="487" t="s">
        <v>513</v>
      </c>
      <c r="C2876" s="488" t="s">
        <v>10033</v>
      </c>
      <c r="D2876" s="489" t="s">
        <v>10034</v>
      </c>
      <c r="E2876" s="487" t="s">
        <v>10035</v>
      </c>
      <c r="F2876" s="490">
        <v>0</v>
      </c>
      <c r="G2876" s="489">
        <v>0</v>
      </c>
      <c r="H2876" s="489">
        <v>0</v>
      </c>
      <c r="I2876" s="487" t="s">
        <v>2465</v>
      </c>
      <c r="J2876" s="487" t="s">
        <v>515</v>
      </c>
    </row>
    <row r="2877" spans="1:10" ht="15" x14ac:dyDescent="0.2">
      <c r="A2877" s="486" t="s">
        <v>514</v>
      </c>
      <c r="B2877" s="487" t="s">
        <v>513</v>
      </c>
      <c r="C2877" s="488" t="s">
        <v>10036</v>
      </c>
      <c r="D2877" s="489" t="s">
        <v>10037</v>
      </c>
      <c r="E2877" s="487" t="s">
        <v>10038</v>
      </c>
      <c r="F2877" s="490">
        <v>30604</v>
      </c>
      <c r="G2877" s="489">
        <v>340.69</v>
      </c>
      <c r="H2877" s="489">
        <v>89.829459999999997</v>
      </c>
      <c r="I2877" s="487" t="s">
        <v>1499</v>
      </c>
      <c r="J2877" s="487" t="s">
        <v>515</v>
      </c>
    </row>
    <row r="2878" spans="1:10" ht="15" x14ac:dyDescent="0.2">
      <c r="A2878" s="486" t="s">
        <v>514</v>
      </c>
      <c r="B2878" s="487" t="s">
        <v>513</v>
      </c>
      <c r="C2878" s="488" t="s">
        <v>10039</v>
      </c>
      <c r="D2878" s="489" t="s">
        <v>10040</v>
      </c>
      <c r="E2878" s="487" t="s">
        <v>10041</v>
      </c>
      <c r="F2878" s="490">
        <v>17000</v>
      </c>
      <c r="G2878" s="489">
        <v>246.27</v>
      </c>
      <c r="H2878" s="489">
        <v>69.029929999999993</v>
      </c>
      <c r="I2878" s="487" t="s">
        <v>1499</v>
      </c>
      <c r="J2878" s="487" t="s">
        <v>515</v>
      </c>
    </row>
    <row r="2879" spans="1:10" ht="15" x14ac:dyDescent="0.2">
      <c r="A2879" s="486" t="s">
        <v>514</v>
      </c>
      <c r="B2879" s="487" t="s">
        <v>513</v>
      </c>
      <c r="C2879" s="488" t="s">
        <v>10042</v>
      </c>
      <c r="D2879" s="489" t="s">
        <v>10043</v>
      </c>
      <c r="E2879" s="487" t="s">
        <v>10044</v>
      </c>
      <c r="F2879" s="490">
        <v>7000</v>
      </c>
      <c r="G2879" s="489">
        <v>108.83</v>
      </c>
      <c r="H2879" s="489">
        <v>64.320499999999996</v>
      </c>
      <c r="I2879" s="487" t="s">
        <v>1499</v>
      </c>
      <c r="J2879" s="487" t="s">
        <v>515</v>
      </c>
    </row>
    <row r="2880" spans="1:10" ht="15" x14ac:dyDescent="0.2">
      <c r="A2880" s="486" t="s">
        <v>514</v>
      </c>
      <c r="B2880" s="487" t="s">
        <v>513</v>
      </c>
      <c r="C2880" s="488" t="s">
        <v>10045</v>
      </c>
      <c r="D2880" s="489" t="s">
        <v>10046</v>
      </c>
      <c r="E2880" s="487" t="s">
        <v>10047</v>
      </c>
      <c r="F2880" s="490">
        <v>63457</v>
      </c>
      <c r="G2880" s="489">
        <v>877.93</v>
      </c>
      <c r="H2880" s="489">
        <v>72.280249999999995</v>
      </c>
      <c r="I2880" s="487" t="s">
        <v>1499</v>
      </c>
      <c r="J2880" s="487" t="s">
        <v>515</v>
      </c>
    </row>
    <row r="2881" spans="1:10" ht="15" x14ac:dyDescent="0.2">
      <c r="A2881" s="486" t="s">
        <v>514</v>
      </c>
      <c r="B2881" s="487" t="s">
        <v>513</v>
      </c>
      <c r="C2881" s="488" t="s">
        <v>10048</v>
      </c>
      <c r="D2881" s="489" t="s">
        <v>10049</v>
      </c>
      <c r="E2881" s="487" t="s">
        <v>10050</v>
      </c>
      <c r="F2881" s="490">
        <v>22700</v>
      </c>
      <c r="G2881" s="489">
        <v>233.74</v>
      </c>
      <c r="H2881" s="489">
        <v>97.11645</v>
      </c>
      <c r="I2881" s="487" t="s">
        <v>1499</v>
      </c>
      <c r="J2881" s="487" t="s">
        <v>515</v>
      </c>
    </row>
    <row r="2882" spans="1:10" ht="15" x14ac:dyDescent="0.2">
      <c r="A2882" s="486" t="s">
        <v>514</v>
      </c>
      <c r="B2882" s="487" t="s">
        <v>513</v>
      </c>
      <c r="C2882" s="488" t="s">
        <v>10051</v>
      </c>
      <c r="D2882" s="489" t="s">
        <v>10052</v>
      </c>
      <c r="E2882" s="487" t="s">
        <v>10053</v>
      </c>
      <c r="F2882" s="490">
        <v>17085</v>
      </c>
      <c r="G2882" s="489">
        <v>318.11</v>
      </c>
      <c r="H2882" s="489">
        <v>53.707839999999997</v>
      </c>
      <c r="I2882" s="487" t="s">
        <v>1499</v>
      </c>
      <c r="J2882" s="487" t="s">
        <v>515</v>
      </c>
    </row>
    <row r="2883" spans="1:10" ht="15" x14ac:dyDescent="0.2">
      <c r="A2883" s="486" t="s">
        <v>514</v>
      </c>
      <c r="B2883" s="487" t="s">
        <v>513</v>
      </c>
      <c r="C2883" s="488" t="s">
        <v>10054</v>
      </c>
      <c r="D2883" s="489" t="s">
        <v>10055</v>
      </c>
      <c r="E2883" s="487" t="s">
        <v>10056</v>
      </c>
      <c r="F2883" s="490">
        <v>27000</v>
      </c>
      <c r="G2883" s="489">
        <v>367.41</v>
      </c>
      <c r="H2883" s="489">
        <v>73.487380000000002</v>
      </c>
      <c r="I2883" s="487" t="s">
        <v>1499</v>
      </c>
      <c r="J2883" s="487" t="s">
        <v>515</v>
      </c>
    </row>
    <row r="2884" spans="1:10" ht="15" x14ac:dyDescent="0.2">
      <c r="A2884" s="486" t="s">
        <v>514</v>
      </c>
      <c r="B2884" s="487" t="s">
        <v>513</v>
      </c>
      <c r="C2884" s="488" t="s">
        <v>10057</v>
      </c>
      <c r="D2884" s="489" t="s">
        <v>10058</v>
      </c>
      <c r="E2884" s="487" t="s">
        <v>10059</v>
      </c>
      <c r="F2884" s="490">
        <v>107949</v>
      </c>
      <c r="G2884" s="489">
        <v>1661.4</v>
      </c>
      <c r="H2884" s="489">
        <v>64.974720000000005</v>
      </c>
      <c r="I2884" s="487" t="s">
        <v>1499</v>
      </c>
      <c r="J2884" s="487" t="s">
        <v>515</v>
      </c>
    </row>
    <row r="2885" spans="1:10" ht="15" x14ac:dyDescent="0.2">
      <c r="A2885" s="486" t="s">
        <v>514</v>
      </c>
      <c r="B2885" s="487" t="s">
        <v>513</v>
      </c>
      <c r="C2885" s="488" t="s">
        <v>10060</v>
      </c>
      <c r="D2885" s="489" t="s">
        <v>10061</v>
      </c>
      <c r="E2885" s="487" t="s">
        <v>10062</v>
      </c>
      <c r="F2885" s="490">
        <v>93360</v>
      </c>
      <c r="G2885" s="489">
        <v>1421</v>
      </c>
      <c r="H2885" s="489">
        <v>65.700209999999998</v>
      </c>
      <c r="I2885" s="487" t="s">
        <v>1499</v>
      </c>
      <c r="J2885" s="487" t="s">
        <v>515</v>
      </c>
    </row>
    <row r="2886" spans="1:10" ht="15" x14ac:dyDescent="0.2">
      <c r="A2886" s="486" t="s">
        <v>514</v>
      </c>
      <c r="B2886" s="487" t="s">
        <v>513</v>
      </c>
      <c r="C2886" s="488" t="s">
        <v>10063</v>
      </c>
      <c r="D2886" s="489" t="s">
        <v>10064</v>
      </c>
      <c r="E2886" s="487" t="s">
        <v>10065</v>
      </c>
      <c r="F2886" s="490">
        <v>9748</v>
      </c>
      <c r="G2886" s="489">
        <v>170.17</v>
      </c>
      <c r="H2886" s="489">
        <v>57.28389</v>
      </c>
      <c r="I2886" s="487" t="s">
        <v>1499</v>
      </c>
      <c r="J2886" s="487" t="s">
        <v>515</v>
      </c>
    </row>
    <row r="2887" spans="1:10" ht="15" x14ac:dyDescent="0.2">
      <c r="A2887" s="486" t="s">
        <v>514</v>
      </c>
      <c r="B2887" s="487" t="s">
        <v>513</v>
      </c>
      <c r="C2887" s="488" t="s">
        <v>10066</v>
      </c>
      <c r="D2887" s="489" t="s">
        <v>10067</v>
      </c>
      <c r="E2887" s="487" t="s">
        <v>10068</v>
      </c>
      <c r="F2887" s="490">
        <v>51700</v>
      </c>
      <c r="G2887" s="489">
        <v>658.58</v>
      </c>
      <c r="H2887" s="489">
        <v>78.502229999999997</v>
      </c>
      <c r="I2887" s="487" t="s">
        <v>1499</v>
      </c>
      <c r="J2887" s="487" t="s">
        <v>515</v>
      </c>
    </row>
    <row r="2888" spans="1:10" ht="15" x14ac:dyDescent="0.2">
      <c r="A2888" s="486" t="s">
        <v>514</v>
      </c>
      <c r="B2888" s="487" t="s">
        <v>513</v>
      </c>
      <c r="C2888" s="488" t="s">
        <v>10069</v>
      </c>
      <c r="D2888" s="489" t="s">
        <v>10070</v>
      </c>
      <c r="E2888" s="487" t="s">
        <v>10071</v>
      </c>
      <c r="F2888" s="490">
        <v>21271</v>
      </c>
      <c r="G2888" s="489">
        <v>286.19</v>
      </c>
      <c r="H2888" s="489">
        <v>74.324749999999995</v>
      </c>
      <c r="I2888" s="487" t="s">
        <v>1499</v>
      </c>
      <c r="J2888" s="487" t="s">
        <v>515</v>
      </c>
    </row>
    <row r="2889" spans="1:10" ht="15" x14ac:dyDescent="0.2">
      <c r="A2889" s="486" t="s">
        <v>514</v>
      </c>
      <c r="B2889" s="487" t="s">
        <v>513</v>
      </c>
      <c r="C2889" s="488" t="s">
        <v>10072</v>
      </c>
      <c r="D2889" s="489" t="s">
        <v>10073</v>
      </c>
      <c r="E2889" s="487" t="s">
        <v>10074</v>
      </c>
      <c r="F2889" s="490">
        <v>14100</v>
      </c>
      <c r="G2889" s="489">
        <v>197.29</v>
      </c>
      <c r="H2889" s="489">
        <v>71.468400000000003</v>
      </c>
      <c r="I2889" s="487" t="s">
        <v>1499</v>
      </c>
      <c r="J2889" s="487" t="s">
        <v>515</v>
      </c>
    </row>
    <row r="2890" spans="1:10" ht="15" x14ac:dyDescent="0.2">
      <c r="A2890" s="486" t="s">
        <v>514</v>
      </c>
      <c r="B2890" s="487" t="s">
        <v>513</v>
      </c>
      <c r="C2890" s="488" t="s">
        <v>10075</v>
      </c>
      <c r="D2890" s="489" t="s">
        <v>10076</v>
      </c>
      <c r="E2890" s="487" t="s">
        <v>10077</v>
      </c>
      <c r="F2890" s="490">
        <v>35350</v>
      </c>
      <c r="G2890" s="489">
        <v>413.73</v>
      </c>
      <c r="H2890" s="489">
        <v>85.4422</v>
      </c>
      <c r="I2890" s="487" t="s">
        <v>2465</v>
      </c>
      <c r="J2890" s="487" t="s">
        <v>515</v>
      </c>
    </row>
    <row r="2891" spans="1:10" ht="15" x14ac:dyDescent="0.2">
      <c r="A2891" s="486" t="s">
        <v>514</v>
      </c>
      <c r="B2891" s="487" t="s">
        <v>513</v>
      </c>
      <c r="C2891" s="488" t="s">
        <v>10078</v>
      </c>
      <c r="D2891" s="489" t="s">
        <v>10079</v>
      </c>
      <c r="E2891" s="487" t="s">
        <v>10080</v>
      </c>
      <c r="F2891" s="490">
        <v>20076</v>
      </c>
      <c r="G2891" s="489">
        <v>229.9</v>
      </c>
      <c r="H2891" s="489">
        <v>87.324920000000006</v>
      </c>
      <c r="I2891" s="487" t="s">
        <v>1499</v>
      </c>
      <c r="J2891" s="487" t="s">
        <v>515</v>
      </c>
    </row>
    <row r="2892" spans="1:10" ht="15" x14ac:dyDescent="0.2">
      <c r="A2892" s="486" t="s">
        <v>514</v>
      </c>
      <c r="B2892" s="487" t="s">
        <v>513</v>
      </c>
      <c r="C2892" s="488" t="s">
        <v>10081</v>
      </c>
      <c r="D2892" s="489" t="s">
        <v>10082</v>
      </c>
      <c r="E2892" s="487" t="s">
        <v>10083</v>
      </c>
      <c r="F2892" s="490">
        <v>0</v>
      </c>
      <c r="G2892" s="489">
        <v>0</v>
      </c>
      <c r="H2892" s="489">
        <v>0</v>
      </c>
      <c r="I2892" s="487" t="s">
        <v>2465</v>
      </c>
      <c r="J2892" s="487" t="s">
        <v>515</v>
      </c>
    </row>
    <row r="2893" spans="1:10" ht="15" x14ac:dyDescent="0.2">
      <c r="A2893" s="486" t="s">
        <v>514</v>
      </c>
      <c r="B2893" s="487" t="s">
        <v>513</v>
      </c>
      <c r="C2893" s="488" t="s">
        <v>10084</v>
      </c>
      <c r="D2893" s="489" t="s">
        <v>10085</v>
      </c>
      <c r="E2893" s="487" t="s">
        <v>10086</v>
      </c>
      <c r="F2893" s="490">
        <v>18750</v>
      </c>
      <c r="G2893" s="489">
        <v>218.3</v>
      </c>
      <c r="H2893" s="489">
        <v>85.890979999999999</v>
      </c>
      <c r="I2893" s="487" t="s">
        <v>1499</v>
      </c>
      <c r="J2893" s="487" t="s">
        <v>515</v>
      </c>
    </row>
    <row r="2894" spans="1:10" ht="15" x14ac:dyDescent="0.2">
      <c r="A2894" s="486" t="s">
        <v>514</v>
      </c>
      <c r="B2894" s="487" t="s">
        <v>513</v>
      </c>
      <c r="C2894" s="488" t="s">
        <v>10087</v>
      </c>
      <c r="D2894" s="489" t="s">
        <v>10088</v>
      </c>
      <c r="E2894" s="487" t="s">
        <v>10089</v>
      </c>
      <c r="F2894" s="490">
        <v>0</v>
      </c>
      <c r="G2894" s="489">
        <v>0</v>
      </c>
      <c r="H2894" s="489">
        <v>0</v>
      </c>
      <c r="I2894" s="487" t="s">
        <v>2465</v>
      </c>
      <c r="J2894" s="487" t="s">
        <v>515</v>
      </c>
    </row>
    <row r="2895" spans="1:10" ht="15" x14ac:dyDescent="0.2">
      <c r="A2895" s="486" t="s">
        <v>514</v>
      </c>
      <c r="B2895" s="487" t="s">
        <v>513</v>
      </c>
      <c r="C2895" s="488" t="s">
        <v>10090</v>
      </c>
      <c r="D2895" s="489" t="s">
        <v>10091</v>
      </c>
      <c r="E2895" s="487" t="s">
        <v>10092</v>
      </c>
      <c r="F2895" s="490">
        <v>46910</v>
      </c>
      <c r="G2895" s="489">
        <v>558.85</v>
      </c>
      <c r="H2895" s="489">
        <v>83.94023</v>
      </c>
      <c r="I2895" s="487" t="s">
        <v>1499</v>
      </c>
      <c r="J2895" s="487" t="s">
        <v>515</v>
      </c>
    </row>
    <row r="2896" spans="1:10" ht="15" x14ac:dyDescent="0.2">
      <c r="A2896" s="486" t="s">
        <v>514</v>
      </c>
      <c r="B2896" s="487" t="s">
        <v>513</v>
      </c>
      <c r="C2896" s="488" t="s">
        <v>10093</v>
      </c>
      <c r="D2896" s="489" t="s">
        <v>10094</v>
      </c>
      <c r="E2896" s="487" t="s">
        <v>10095</v>
      </c>
      <c r="F2896" s="490">
        <v>12652</v>
      </c>
      <c r="G2896" s="489">
        <v>216.43</v>
      </c>
      <c r="H2896" s="489">
        <v>58.457700000000003</v>
      </c>
      <c r="I2896" s="487" t="s">
        <v>1499</v>
      </c>
      <c r="J2896" s="487" t="s">
        <v>515</v>
      </c>
    </row>
    <row r="2897" spans="1:10" ht="15" x14ac:dyDescent="0.2">
      <c r="A2897" s="486" t="s">
        <v>514</v>
      </c>
      <c r="B2897" s="487" t="s">
        <v>513</v>
      </c>
      <c r="C2897" s="488" t="s">
        <v>10096</v>
      </c>
      <c r="D2897" s="489" t="s">
        <v>10097</v>
      </c>
      <c r="E2897" s="487" t="s">
        <v>10098</v>
      </c>
      <c r="F2897" s="490">
        <v>20000</v>
      </c>
      <c r="G2897" s="489">
        <v>247.07</v>
      </c>
      <c r="H2897" s="489">
        <v>80.948719999999994</v>
      </c>
      <c r="I2897" s="487" t="s">
        <v>2465</v>
      </c>
      <c r="J2897" s="487" t="s">
        <v>515</v>
      </c>
    </row>
    <row r="2898" spans="1:10" ht="15" x14ac:dyDescent="0.2">
      <c r="A2898" s="486" t="s">
        <v>514</v>
      </c>
      <c r="B2898" s="487" t="s">
        <v>513</v>
      </c>
      <c r="C2898" s="488" t="s">
        <v>10099</v>
      </c>
      <c r="D2898" s="489" t="s">
        <v>10100</v>
      </c>
      <c r="E2898" s="487" t="s">
        <v>10101</v>
      </c>
      <c r="F2898" s="490">
        <v>18971</v>
      </c>
      <c r="G2898" s="489">
        <v>149.53</v>
      </c>
      <c r="H2898" s="489">
        <v>126.87085999999999</v>
      </c>
      <c r="I2898" s="487" t="s">
        <v>1499</v>
      </c>
      <c r="J2898" s="487" t="s">
        <v>515</v>
      </c>
    </row>
    <row r="2899" spans="1:10" ht="15" x14ac:dyDescent="0.2">
      <c r="A2899" s="486" t="s">
        <v>514</v>
      </c>
      <c r="B2899" s="487" t="s">
        <v>513</v>
      </c>
      <c r="C2899" s="488" t="s">
        <v>10102</v>
      </c>
      <c r="D2899" s="489" t="s">
        <v>10103</v>
      </c>
      <c r="E2899" s="487" t="s">
        <v>10104</v>
      </c>
      <c r="F2899" s="490">
        <v>1037266</v>
      </c>
      <c r="G2899" s="489">
        <v>9322.93</v>
      </c>
      <c r="H2899" s="489">
        <v>111.25966</v>
      </c>
      <c r="I2899" s="487" t="s">
        <v>1499</v>
      </c>
      <c r="J2899" s="487" t="s">
        <v>515</v>
      </c>
    </row>
    <row r="2900" spans="1:10" ht="15" x14ac:dyDescent="0.2">
      <c r="A2900" s="486" t="s">
        <v>528</v>
      </c>
      <c r="B2900" s="487" t="s">
        <v>527</v>
      </c>
      <c r="C2900" s="488" t="s">
        <v>10105</v>
      </c>
      <c r="D2900" s="489" t="s">
        <v>10106</v>
      </c>
      <c r="E2900" s="487" t="s">
        <v>10107</v>
      </c>
      <c r="F2900" s="490">
        <v>111729</v>
      </c>
      <c r="G2900" s="489">
        <v>1540.4</v>
      </c>
      <c r="H2900" s="489">
        <v>72.53246</v>
      </c>
      <c r="I2900" s="487" t="s">
        <v>1499</v>
      </c>
      <c r="J2900" s="487" t="s">
        <v>529</v>
      </c>
    </row>
    <row r="2901" spans="1:10" ht="15" x14ac:dyDescent="0.2">
      <c r="A2901" s="486" t="s">
        <v>528</v>
      </c>
      <c r="B2901" s="487" t="s">
        <v>527</v>
      </c>
      <c r="C2901" s="488" t="s">
        <v>10108</v>
      </c>
      <c r="D2901" s="489" t="s">
        <v>10109</v>
      </c>
      <c r="E2901" s="487" t="s">
        <v>10110</v>
      </c>
      <c r="F2901" s="490">
        <v>80400</v>
      </c>
      <c r="G2901" s="489">
        <v>1207.8</v>
      </c>
      <c r="H2901" s="489">
        <v>66.567310000000006</v>
      </c>
      <c r="I2901" s="487" t="s">
        <v>1499</v>
      </c>
      <c r="J2901" s="487" t="s">
        <v>529</v>
      </c>
    </row>
    <row r="2902" spans="1:10" ht="15" x14ac:dyDescent="0.2">
      <c r="A2902" s="486" t="s">
        <v>528</v>
      </c>
      <c r="B2902" s="487" t="s">
        <v>527</v>
      </c>
      <c r="C2902" s="488" t="s">
        <v>10111</v>
      </c>
      <c r="D2902" s="489" t="s">
        <v>10112</v>
      </c>
      <c r="E2902" s="487" t="s">
        <v>10113</v>
      </c>
      <c r="F2902" s="490">
        <v>72000</v>
      </c>
      <c r="G2902" s="489">
        <v>1033.5999999999999</v>
      </c>
      <c r="H2902" s="489">
        <v>69.659440000000004</v>
      </c>
      <c r="I2902" s="487" t="s">
        <v>1499</v>
      </c>
      <c r="J2902" s="487" t="s">
        <v>529</v>
      </c>
    </row>
    <row r="2903" spans="1:10" ht="15" x14ac:dyDescent="0.2">
      <c r="A2903" s="486" t="s">
        <v>528</v>
      </c>
      <c r="B2903" s="487" t="s">
        <v>527</v>
      </c>
      <c r="C2903" s="488" t="s">
        <v>10114</v>
      </c>
      <c r="D2903" s="489" t="s">
        <v>10115</v>
      </c>
      <c r="E2903" s="487" t="s">
        <v>10116</v>
      </c>
      <c r="F2903" s="490">
        <v>205138</v>
      </c>
      <c r="G2903" s="489">
        <v>2488.3000000000002</v>
      </c>
      <c r="H2903" s="489">
        <v>82.441019999999995</v>
      </c>
      <c r="I2903" s="487" t="s">
        <v>1499</v>
      </c>
      <c r="J2903" s="487" t="s">
        <v>529</v>
      </c>
    </row>
    <row r="2904" spans="1:10" ht="15" x14ac:dyDescent="0.2">
      <c r="A2904" s="486" t="s">
        <v>528</v>
      </c>
      <c r="B2904" s="487" t="s">
        <v>527</v>
      </c>
      <c r="C2904" s="488" t="s">
        <v>10117</v>
      </c>
      <c r="D2904" s="489" t="s">
        <v>10118</v>
      </c>
      <c r="E2904" s="487" t="s">
        <v>10119</v>
      </c>
      <c r="F2904" s="490">
        <v>115000</v>
      </c>
      <c r="G2904" s="489">
        <v>1113.5999999999999</v>
      </c>
      <c r="H2904" s="489">
        <v>103.26868</v>
      </c>
      <c r="I2904" s="487" t="s">
        <v>1499</v>
      </c>
      <c r="J2904" s="487" t="s">
        <v>529</v>
      </c>
    </row>
    <row r="2905" spans="1:10" ht="15" x14ac:dyDescent="0.2">
      <c r="A2905" s="486" t="s">
        <v>528</v>
      </c>
      <c r="B2905" s="487" t="s">
        <v>527</v>
      </c>
      <c r="C2905" s="488" t="s">
        <v>10120</v>
      </c>
      <c r="D2905" s="489" t="s">
        <v>10121</v>
      </c>
      <c r="E2905" s="487" t="s">
        <v>10122</v>
      </c>
      <c r="F2905" s="490">
        <v>78520</v>
      </c>
      <c r="G2905" s="489">
        <v>593.5</v>
      </c>
      <c r="H2905" s="489">
        <v>132.29991999999999</v>
      </c>
      <c r="I2905" s="487" t="s">
        <v>1499</v>
      </c>
      <c r="J2905" s="487" t="s">
        <v>529</v>
      </c>
    </row>
    <row r="2906" spans="1:10" ht="15" x14ac:dyDescent="0.2">
      <c r="A2906" s="486" t="s">
        <v>528</v>
      </c>
      <c r="B2906" s="487" t="s">
        <v>527</v>
      </c>
      <c r="C2906" s="488" t="s">
        <v>10123</v>
      </c>
      <c r="D2906" s="489" t="s">
        <v>10124</v>
      </c>
      <c r="E2906" s="487" t="s">
        <v>10125</v>
      </c>
      <c r="F2906" s="490">
        <v>27000</v>
      </c>
      <c r="G2906" s="489">
        <v>255.1</v>
      </c>
      <c r="H2906" s="489">
        <v>105.84085</v>
      </c>
      <c r="I2906" s="487" t="s">
        <v>1499</v>
      </c>
      <c r="J2906" s="487" t="s">
        <v>529</v>
      </c>
    </row>
    <row r="2907" spans="1:10" ht="15" x14ac:dyDescent="0.2">
      <c r="A2907" s="486" t="s">
        <v>528</v>
      </c>
      <c r="B2907" s="487" t="s">
        <v>527</v>
      </c>
      <c r="C2907" s="488" t="s">
        <v>10126</v>
      </c>
      <c r="D2907" s="489" t="s">
        <v>10127</v>
      </c>
      <c r="E2907" s="487" t="s">
        <v>10128</v>
      </c>
      <c r="F2907" s="490">
        <v>40090</v>
      </c>
      <c r="G2907" s="489">
        <v>342.1</v>
      </c>
      <c r="H2907" s="489">
        <v>117.18796</v>
      </c>
      <c r="I2907" s="487" t="s">
        <v>1499</v>
      </c>
      <c r="J2907" s="487" t="s">
        <v>529</v>
      </c>
    </row>
    <row r="2908" spans="1:10" ht="15" x14ac:dyDescent="0.2">
      <c r="A2908" s="486" t="s">
        <v>528</v>
      </c>
      <c r="B2908" s="487" t="s">
        <v>527</v>
      </c>
      <c r="C2908" s="488" t="s">
        <v>10129</v>
      </c>
      <c r="D2908" s="489" t="s">
        <v>10130</v>
      </c>
      <c r="E2908" s="487" t="s">
        <v>10131</v>
      </c>
      <c r="F2908" s="490">
        <v>36000</v>
      </c>
      <c r="G2908" s="489">
        <v>685.8</v>
      </c>
      <c r="H2908" s="489">
        <v>52.49344</v>
      </c>
      <c r="I2908" s="487" t="s">
        <v>1499</v>
      </c>
      <c r="J2908" s="487" t="s">
        <v>529</v>
      </c>
    </row>
    <row r="2909" spans="1:10" ht="15" x14ac:dyDescent="0.2">
      <c r="A2909" s="486" t="s">
        <v>607</v>
      </c>
      <c r="B2909" s="487" t="s">
        <v>606</v>
      </c>
      <c r="C2909" s="488" t="s">
        <v>10132</v>
      </c>
      <c r="D2909" s="489" t="s">
        <v>10133</v>
      </c>
      <c r="E2909" s="487" t="s">
        <v>10134</v>
      </c>
      <c r="F2909" s="490">
        <v>297866</v>
      </c>
      <c r="G2909" s="489">
        <v>12035</v>
      </c>
      <c r="H2909" s="489">
        <v>24.749980000000001</v>
      </c>
      <c r="I2909" s="487" t="s">
        <v>1499</v>
      </c>
      <c r="J2909" s="487" t="s">
        <v>608</v>
      </c>
    </row>
    <row r="2910" spans="1:10" ht="15" x14ac:dyDescent="0.2">
      <c r="A2910" s="486" t="s">
        <v>616</v>
      </c>
      <c r="B2910" s="487" t="s">
        <v>615</v>
      </c>
      <c r="C2910" s="488" t="s">
        <v>10135</v>
      </c>
      <c r="D2910" s="489" t="s">
        <v>10136</v>
      </c>
      <c r="E2910" s="487" t="s">
        <v>10137</v>
      </c>
      <c r="F2910" s="490">
        <v>117405</v>
      </c>
      <c r="G2910" s="489">
        <v>1422.58</v>
      </c>
      <c r="H2910" s="489">
        <v>82.529629999999997</v>
      </c>
      <c r="I2910" s="487" t="s">
        <v>1499</v>
      </c>
      <c r="J2910" s="487" t="s">
        <v>617</v>
      </c>
    </row>
    <row r="2911" spans="1:10" ht="15" x14ac:dyDescent="0.2">
      <c r="A2911" s="486" t="s">
        <v>616</v>
      </c>
      <c r="B2911" s="487" t="s">
        <v>615</v>
      </c>
      <c r="C2911" s="488" t="s">
        <v>10138</v>
      </c>
      <c r="D2911" s="489" t="s">
        <v>10139</v>
      </c>
      <c r="E2911" s="487" t="s">
        <v>10140</v>
      </c>
      <c r="F2911" s="490">
        <v>228478</v>
      </c>
      <c r="G2911" s="489">
        <v>2151.39</v>
      </c>
      <c r="H2911" s="489">
        <v>106.20018</v>
      </c>
      <c r="I2911" s="487" t="s">
        <v>1499</v>
      </c>
      <c r="J2911" s="487" t="s">
        <v>617</v>
      </c>
    </row>
    <row r="2912" spans="1:10" ht="15" x14ac:dyDescent="0.2">
      <c r="A2912" s="486" t="s">
        <v>616</v>
      </c>
      <c r="B2912" s="487" t="s">
        <v>615</v>
      </c>
      <c r="C2912" s="488" t="s">
        <v>10141</v>
      </c>
      <c r="D2912" s="489" t="s">
        <v>10142</v>
      </c>
      <c r="E2912" s="487" t="s">
        <v>10143</v>
      </c>
      <c r="F2912" s="490">
        <v>7006</v>
      </c>
      <c r="G2912" s="489">
        <v>320.36</v>
      </c>
      <c r="H2912" s="489">
        <v>21.869150000000001</v>
      </c>
      <c r="I2912" s="487" t="s">
        <v>1499</v>
      </c>
      <c r="J2912" s="487" t="s">
        <v>617</v>
      </c>
    </row>
    <row r="2913" spans="1:10" ht="15" x14ac:dyDescent="0.2">
      <c r="A2913" s="486" t="s">
        <v>616</v>
      </c>
      <c r="B2913" s="487" t="s">
        <v>615</v>
      </c>
      <c r="C2913" s="488" t="s">
        <v>10144</v>
      </c>
      <c r="D2913" s="489" t="s">
        <v>10145</v>
      </c>
      <c r="E2913" s="487" t="s">
        <v>10146</v>
      </c>
      <c r="F2913" s="490">
        <v>412337</v>
      </c>
      <c r="G2913" s="489">
        <v>2467.16</v>
      </c>
      <c r="H2913" s="489">
        <v>167.13022000000001</v>
      </c>
      <c r="I2913" s="487" t="s">
        <v>1499</v>
      </c>
      <c r="J2913" s="487" t="s">
        <v>617</v>
      </c>
    </row>
    <row r="2914" spans="1:10" ht="15" x14ac:dyDescent="0.2">
      <c r="A2914" s="486" t="s">
        <v>616</v>
      </c>
      <c r="B2914" s="487" t="s">
        <v>615</v>
      </c>
      <c r="C2914" s="488" t="s">
        <v>10147</v>
      </c>
      <c r="D2914" s="489" t="s">
        <v>10148</v>
      </c>
      <c r="E2914" s="487" t="s">
        <v>10149</v>
      </c>
      <c r="F2914" s="490">
        <v>43304</v>
      </c>
      <c r="G2914" s="489">
        <v>570.77</v>
      </c>
      <c r="H2914" s="489">
        <v>75.869439999999997</v>
      </c>
      <c r="I2914" s="487" t="s">
        <v>1499</v>
      </c>
      <c r="J2914" s="487" t="s">
        <v>617</v>
      </c>
    </row>
    <row r="2915" spans="1:10" ht="15" x14ac:dyDescent="0.2">
      <c r="A2915" s="486" t="s">
        <v>616</v>
      </c>
      <c r="B2915" s="487" t="s">
        <v>615</v>
      </c>
      <c r="C2915" s="488" t="s">
        <v>10150</v>
      </c>
      <c r="D2915" s="489" t="s">
        <v>10151</v>
      </c>
      <c r="E2915" s="487" t="s">
        <v>10152</v>
      </c>
      <c r="F2915" s="490">
        <v>130226</v>
      </c>
      <c r="G2915" s="489">
        <v>2118.5300000000002</v>
      </c>
      <c r="H2915" s="489">
        <v>61.46998</v>
      </c>
      <c r="I2915" s="487" t="s">
        <v>1499</v>
      </c>
      <c r="J2915" s="487" t="s">
        <v>617</v>
      </c>
    </row>
    <row r="2916" spans="1:10" ht="15" x14ac:dyDescent="0.2">
      <c r="A2916" s="486" t="s">
        <v>616</v>
      </c>
      <c r="B2916" s="487" t="s">
        <v>615</v>
      </c>
      <c r="C2916" s="488" t="s">
        <v>10153</v>
      </c>
      <c r="D2916" s="489" t="s">
        <v>10154</v>
      </c>
      <c r="E2916" s="487" t="s">
        <v>10155</v>
      </c>
      <c r="F2916" s="490">
        <v>11349</v>
      </c>
      <c r="G2916" s="489">
        <v>182.22</v>
      </c>
      <c r="H2916" s="489">
        <v>62.281860000000002</v>
      </c>
      <c r="I2916" s="487" t="s">
        <v>1499</v>
      </c>
      <c r="J2916" s="487" t="s">
        <v>617</v>
      </c>
    </row>
    <row r="2917" spans="1:10" ht="15" x14ac:dyDescent="0.2">
      <c r="A2917" s="486" t="s">
        <v>616</v>
      </c>
      <c r="B2917" s="487" t="s">
        <v>615</v>
      </c>
      <c r="C2917" s="488" t="s">
        <v>10156</v>
      </c>
      <c r="D2917" s="489" t="s">
        <v>10157</v>
      </c>
      <c r="E2917" s="487" t="s">
        <v>10158</v>
      </c>
      <c r="F2917" s="490">
        <v>41955</v>
      </c>
      <c r="G2917" s="489">
        <v>1165.42</v>
      </c>
      <c r="H2917" s="489">
        <v>35.999899999999997</v>
      </c>
      <c r="I2917" s="487" t="s">
        <v>1499</v>
      </c>
      <c r="J2917" s="487" t="s">
        <v>617</v>
      </c>
    </row>
    <row r="2918" spans="1:10" ht="15" x14ac:dyDescent="0.2">
      <c r="A2918" s="486" t="s">
        <v>616</v>
      </c>
      <c r="B2918" s="487" t="s">
        <v>615</v>
      </c>
      <c r="C2918" s="488" t="s">
        <v>10159</v>
      </c>
      <c r="D2918" s="489" t="s">
        <v>10160</v>
      </c>
      <c r="E2918" s="487" t="s">
        <v>10161</v>
      </c>
      <c r="F2918" s="490">
        <v>525451</v>
      </c>
      <c r="G2918" s="489">
        <v>5461.5</v>
      </c>
      <c r="H2918" s="489">
        <v>96.21002</v>
      </c>
      <c r="I2918" s="487" t="s">
        <v>1499</v>
      </c>
      <c r="J2918" s="487" t="s">
        <v>617</v>
      </c>
    </row>
    <row r="2919" spans="1:10" ht="15" x14ac:dyDescent="0.2">
      <c r="A2919" s="486" t="s">
        <v>616</v>
      </c>
      <c r="B2919" s="487" t="s">
        <v>615</v>
      </c>
      <c r="C2919" s="488" t="s">
        <v>10162</v>
      </c>
      <c r="D2919" s="489" t="s">
        <v>10163</v>
      </c>
      <c r="E2919" s="487" t="s">
        <v>10164</v>
      </c>
      <c r="F2919" s="490">
        <v>101635</v>
      </c>
      <c r="G2919" s="489">
        <v>946.59</v>
      </c>
      <c r="H2919" s="489">
        <v>107.36960999999999</v>
      </c>
      <c r="I2919" s="487" t="s">
        <v>1499</v>
      </c>
      <c r="J2919" s="487" t="s">
        <v>617</v>
      </c>
    </row>
    <row r="2920" spans="1:10" ht="15" x14ac:dyDescent="0.2">
      <c r="A2920" s="486" t="s">
        <v>616</v>
      </c>
      <c r="B2920" s="487" t="s">
        <v>615</v>
      </c>
      <c r="C2920" s="488" t="s">
        <v>10165</v>
      </c>
      <c r="D2920" s="489" t="s">
        <v>10166</v>
      </c>
      <c r="E2920" s="487" t="s">
        <v>10167</v>
      </c>
      <c r="F2920" s="490">
        <v>40034</v>
      </c>
      <c r="G2920" s="489">
        <v>334.96</v>
      </c>
      <c r="H2920" s="489">
        <v>119.51875</v>
      </c>
      <c r="I2920" s="487" t="s">
        <v>1499</v>
      </c>
      <c r="J2920" s="487" t="s">
        <v>617</v>
      </c>
    </row>
    <row r="2921" spans="1:10" ht="15" x14ac:dyDescent="0.2">
      <c r="A2921" s="486" t="s">
        <v>616</v>
      </c>
      <c r="B2921" s="487" t="s">
        <v>615</v>
      </c>
      <c r="C2921" s="488" t="s">
        <v>10168</v>
      </c>
      <c r="D2921" s="489" t="s">
        <v>10169</v>
      </c>
      <c r="E2921" s="487" t="s">
        <v>10170</v>
      </c>
      <c r="F2921" s="490">
        <v>54875</v>
      </c>
      <c r="G2921" s="489">
        <v>874.79</v>
      </c>
      <c r="H2921" s="489">
        <v>62.729340000000001</v>
      </c>
      <c r="I2921" s="487" t="s">
        <v>1499</v>
      </c>
      <c r="J2921" s="487" t="s">
        <v>617</v>
      </c>
    </row>
    <row r="2922" spans="1:10" ht="15" x14ac:dyDescent="0.2">
      <c r="A2922" s="486" t="s">
        <v>616</v>
      </c>
      <c r="B2922" s="487" t="s">
        <v>615</v>
      </c>
      <c r="C2922" s="488" t="s">
        <v>10171</v>
      </c>
      <c r="D2922" s="489" t="s">
        <v>10172</v>
      </c>
      <c r="E2922" s="487" t="s">
        <v>10173</v>
      </c>
      <c r="F2922" s="490">
        <v>56508</v>
      </c>
      <c r="G2922" s="489">
        <v>551.73</v>
      </c>
      <c r="H2922" s="489">
        <v>102.41965999999999</v>
      </c>
      <c r="I2922" s="487" t="s">
        <v>1499</v>
      </c>
      <c r="J2922" s="487" t="s">
        <v>617</v>
      </c>
    </row>
    <row r="2923" spans="1:10" ht="15" x14ac:dyDescent="0.2">
      <c r="A2923" s="486" t="s">
        <v>616</v>
      </c>
      <c r="B2923" s="487" t="s">
        <v>615</v>
      </c>
      <c r="C2923" s="488" t="s">
        <v>10174</v>
      </c>
      <c r="D2923" s="489" t="s">
        <v>10175</v>
      </c>
      <c r="E2923" s="487" t="s">
        <v>10176</v>
      </c>
      <c r="F2923" s="490">
        <v>14403</v>
      </c>
      <c r="G2923" s="489">
        <v>410.34</v>
      </c>
      <c r="H2923" s="489">
        <v>35.100160000000002</v>
      </c>
      <c r="I2923" s="487" t="s">
        <v>1499</v>
      </c>
      <c r="J2923" s="487" t="s">
        <v>617</v>
      </c>
    </row>
    <row r="2924" spans="1:10" ht="15" x14ac:dyDescent="0.2">
      <c r="A2924" s="486" t="s">
        <v>616</v>
      </c>
      <c r="B2924" s="487" t="s">
        <v>615</v>
      </c>
      <c r="C2924" s="488" t="s">
        <v>10177</v>
      </c>
      <c r="D2924" s="489" t="s">
        <v>10178</v>
      </c>
      <c r="E2924" s="487" t="s">
        <v>10179</v>
      </c>
      <c r="F2924" s="490">
        <v>0</v>
      </c>
      <c r="G2924" s="489">
        <v>45.24</v>
      </c>
      <c r="H2924" s="489">
        <v>0</v>
      </c>
      <c r="I2924" s="487" t="s">
        <v>1593</v>
      </c>
      <c r="J2924" s="487" t="s">
        <v>617</v>
      </c>
    </row>
    <row r="2925" spans="1:10" ht="15" x14ac:dyDescent="0.2">
      <c r="A2925" s="486" t="s">
        <v>616</v>
      </c>
      <c r="B2925" s="487" t="s">
        <v>615</v>
      </c>
      <c r="C2925" s="488" t="s">
        <v>10180</v>
      </c>
      <c r="D2925" s="489" t="s">
        <v>10181</v>
      </c>
      <c r="E2925" s="487" t="s">
        <v>10182</v>
      </c>
      <c r="F2925" s="490">
        <v>13250</v>
      </c>
      <c r="G2925" s="489">
        <v>141.28</v>
      </c>
      <c r="H2925" s="489">
        <v>93.785390000000007</v>
      </c>
      <c r="I2925" s="487" t="s">
        <v>1499</v>
      </c>
      <c r="J2925" s="487" t="s">
        <v>617</v>
      </c>
    </row>
    <row r="2926" spans="1:10" ht="15" x14ac:dyDescent="0.2">
      <c r="A2926" s="486" t="s">
        <v>616</v>
      </c>
      <c r="B2926" s="487" t="s">
        <v>615</v>
      </c>
      <c r="C2926" s="488" t="s">
        <v>10183</v>
      </c>
      <c r="D2926" s="489" t="s">
        <v>10184</v>
      </c>
      <c r="E2926" s="487" t="s">
        <v>10185</v>
      </c>
      <c r="F2926" s="490">
        <v>49644</v>
      </c>
      <c r="G2926" s="489">
        <v>835.76</v>
      </c>
      <c r="H2926" s="489">
        <v>59.399830000000001</v>
      </c>
      <c r="I2926" s="487" t="s">
        <v>1499</v>
      </c>
      <c r="J2926" s="487" t="s">
        <v>617</v>
      </c>
    </row>
    <row r="2927" spans="1:10" ht="15" x14ac:dyDescent="0.2">
      <c r="A2927" s="486" t="s">
        <v>616</v>
      </c>
      <c r="B2927" s="487" t="s">
        <v>615</v>
      </c>
      <c r="C2927" s="488" t="s">
        <v>10186</v>
      </c>
      <c r="D2927" s="489" t="s">
        <v>10187</v>
      </c>
      <c r="E2927" s="487" t="s">
        <v>10188</v>
      </c>
      <c r="F2927" s="490">
        <v>22517</v>
      </c>
      <c r="G2927" s="489">
        <v>478.38</v>
      </c>
      <c r="H2927" s="489">
        <v>47.069279999999999</v>
      </c>
      <c r="I2927" s="487" t="s">
        <v>1499</v>
      </c>
      <c r="J2927" s="487" t="s">
        <v>617</v>
      </c>
    </row>
    <row r="2928" spans="1:10" ht="15" x14ac:dyDescent="0.2">
      <c r="A2928" s="486" t="s">
        <v>616</v>
      </c>
      <c r="B2928" s="487" t="s">
        <v>615</v>
      </c>
      <c r="C2928" s="488" t="s">
        <v>10189</v>
      </c>
      <c r="D2928" s="489" t="s">
        <v>10190</v>
      </c>
      <c r="E2928" s="487" t="s">
        <v>10191</v>
      </c>
      <c r="F2928" s="490">
        <v>148620</v>
      </c>
      <c r="G2928" s="489">
        <v>2106.29</v>
      </c>
      <c r="H2928" s="489">
        <v>70.560079999999999</v>
      </c>
      <c r="I2928" s="487" t="s">
        <v>1499</v>
      </c>
      <c r="J2928" s="487" t="s">
        <v>617</v>
      </c>
    </row>
    <row r="2929" spans="1:10" ht="15" x14ac:dyDescent="0.2">
      <c r="A2929" s="486" t="s">
        <v>616</v>
      </c>
      <c r="B2929" s="487" t="s">
        <v>615</v>
      </c>
      <c r="C2929" s="488" t="s">
        <v>10192</v>
      </c>
      <c r="D2929" s="489" t="s">
        <v>10193</v>
      </c>
      <c r="E2929" s="487" t="s">
        <v>10194</v>
      </c>
      <c r="F2929" s="490">
        <v>41977</v>
      </c>
      <c r="G2929" s="489">
        <v>774.77</v>
      </c>
      <c r="H2929" s="489">
        <v>54.179949999999998</v>
      </c>
      <c r="I2929" s="487" t="s">
        <v>1499</v>
      </c>
      <c r="J2929" s="487" t="s">
        <v>617</v>
      </c>
    </row>
    <row r="2930" spans="1:10" ht="15" x14ac:dyDescent="0.2">
      <c r="A2930" s="486" t="s">
        <v>616</v>
      </c>
      <c r="B2930" s="487" t="s">
        <v>615</v>
      </c>
      <c r="C2930" s="488" t="s">
        <v>10195</v>
      </c>
      <c r="D2930" s="489" t="s">
        <v>10196</v>
      </c>
      <c r="E2930" s="487" t="s">
        <v>10197</v>
      </c>
      <c r="F2930" s="490">
        <v>104136</v>
      </c>
      <c r="G2930" s="489">
        <v>1257.68</v>
      </c>
      <c r="H2930" s="489">
        <v>82.800079999999994</v>
      </c>
      <c r="I2930" s="487" t="s">
        <v>1499</v>
      </c>
      <c r="J2930" s="487" t="s">
        <v>617</v>
      </c>
    </row>
    <row r="2931" spans="1:10" ht="15" x14ac:dyDescent="0.2">
      <c r="A2931" s="486" t="s">
        <v>616</v>
      </c>
      <c r="B2931" s="487" t="s">
        <v>615</v>
      </c>
      <c r="C2931" s="488" t="s">
        <v>10198</v>
      </c>
      <c r="D2931" s="489" t="s">
        <v>10199</v>
      </c>
      <c r="E2931" s="487" t="s">
        <v>10200</v>
      </c>
      <c r="F2931" s="490">
        <v>465199</v>
      </c>
      <c r="G2931" s="489">
        <v>6102.57</v>
      </c>
      <c r="H2931" s="489">
        <v>76.230009999999993</v>
      </c>
      <c r="I2931" s="487" t="s">
        <v>1499</v>
      </c>
      <c r="J2931" s="487" t="s">
        <v>617</v>
      </c>
    </row>
    <row r="2932" spans="1:10" ht="15" x14ac:dyDescent="0.2">
      <c r="A2932" s="486" t="s">
        <v>616</v>
      </c>
      <c r="B2932" s="487" t="s">
        <v>615</v>
      </c>
      <c r="C2932" s="488" t="s">
        <v>10201</v>
      </c>
      <c r="D2932" s="489" t="s">
        <v>10202</v>
      </c>
      <c r="E2932" s="487" t="s">
        <v>10203</v>
      </c>
      <c r="F2932" s="490">
        <v>238581</v>
      </c>
      <c r="G2932" s="489">
        <v>2903.5</v>
      </c>
      <c r="H2932" s="489">
        <v>82.170140000000004</v>
      </c>
      <c r="I2932" s="487" t="s">
        <v>1499</v>
      </c>
      <c r="J2932" s="487" t="s">
        <v>617</v>
      </c>
    </row>
    <row r="2933" spans="1:10" ht="15" x14ac:dyDescent="0.2">
      <c r="A2933" s="486" t="s">
        <v>616</v>
      </c>
      <c r="B2933" s="487" t="s">
        <v>615</v>
      </c>
      <c r="C2933" s="488" t="s">
        <v>10204</v>
      </c>
      <c r="D2933" s="489" t="s">
        <v>10205</v>
      </c>
      <c r="E2933" s="487" t="s">
        <v>10206</v>
      </c>
      <c r="F2933" s="490">
        <v>52951</v>
      </c>
      <c r="G2933" s="489">
        <v>1246.48</v>
      </c>
      <c r="H2933" s="489">
        <v>42.480420000000002</v>
      </c>
      <c r="I2933" s="487" t="s">
        <v>1499</v>
      </c>
      <c r="J2933" s="487" t="s">
        <v>617</v>
      </c>
    </row>
    <row r="2934" spans="1:10" ht="15" x14ac:dyDescent="0.2">
      <c r="A2934" s="486" t="s">
        <v>616</v>
      </c>
      <c r="B2934" s="487" t="s">
        <v>615</v>
      </c>
      <c r="C2934" s="488" t="s">
        <v>10207</v>
      </c>
      <c r="D2934" s="489" t="s">
        <v>10208</v>
      </c>
      <c r="E2934" s="487" t="s">
        <v>10209</v>
      </c>
      <c r="F2934" s="490">
        <v>32395</v>
      </c>
      <c r="G2934" s="489">
        <v>567.74</v>
      </c>
      <c r="H2934" s="489">
        <v>57.059570000000001</v>
      </c>
      <c r="I2934" s="487" t="s">
        <v>1499</v>
      </c>
      <c r="J2934" s="487" t="s">
        <v>617</v>
      </c>
    </row>
    <row r="2935" spans="1:10" ht="15" x14ac:dyDescent="0.2">
      <c r="A2935" s="486" t="s">
        <v>616</v>
      </c>
      <c r="B2935" s="487" t="s">
        <v>615</v>
      </c>
      <c r="C2935" s="488" t="s">
        <v>10210</v>
      </c>
      <c r="D2935" s="489" t="s">
        <v>10211</v>
      </c>
      <c r="E2935" s="487" t="s">
        <v>10212</v>
      </c>
      <c r="F2935" s="490">
        <v>102593</v>
      </c>
      <c r="G2935" s="489">
        <v>1313.27</v>
      </c>
      <c r="H2935" s="489">
        <v>78.120260000000002</v>
      </c>
      <c r="I2935" s="487" t="s">
        <v>1499</v>
      </c>
      <c r="J2935" s="487" t="s">
        <v>617</v>
      </c>
    </row>
    <row r="2936" spans="1:10" ht="15" x14ac:dyDescent="0.2">
      <c r="A2936" s="486" t="s">
        <v>616</v>
      </c>
      <c r="B2936" s="487" t="s">
        <v>615</v>
      </c>
      <c r="C2936" s="488" t="s">
        <v>10213</v>
      </c>
      <c r="D2936" s="489" t="s">
        <v>10214</v>
      </c>
      <c r="E2936" s="487" t="s">
        <v>10215</v>
      </c>
      <c r="F2936" s="490">
        <v>182633</v>
      </c>
      <c r="G2936" s="489">
        <v>2031.29</v>
      </c>
      <c r="H2936" s="489">
        <v>89.909859999999995</v>
      </c>
      <c r="I2936" s="487" t="s">
        <v>1499</v>
      </c>
      <c r="J2936" s="487" t="s">
        <v>617</v>
      </c>
    </row>
    <row r="2937" spans="1:10" ht="15" x14ac:dyDescent="0.2">
      <c r="A2937" s="486" t="s">
        <v>616</v>
      </c>
      <c r="B2937" s="487" t="s">
        <v>615</v>
      </c>
      <c r="C2937" s="488" t="s">
        <v>10216</v>
      </c>
      <c r="D2937" s="489" t="s">
        <v>10217</v>
      </c>
      <c r="E2937" s="487" t="s">
        <v>10218</v>
      </c>
      <c r="F2937" s="490">
        <v>219294</v>
      </c>
      <c r="G2937" s="489">
        <v>3422.2</v>
      </c>
      <c r="H2937" s="489">
        <v>64.079830000000001</v>
      </c>
      <c r="I2937" s="487" t="s">
        <v>1499</v>
      </c>
      <c r="J2937" s="487" t="s">
        <v>617</v>
      </c>
    </row>
    <row r="2938" spans="1:10" ht="15" x14ac:dyDescent="0.2">
      <c r="A2938" s="486" t="s">
        <v>616</v>
      </c>
      <c r="B2938" s="487" t="s">
        <v>615</v>
      </c>
      <c r="C2938" s="488" t="s">
        <v>10219</v>
      </c>
      <c r="D2938" s="489" t="s">
        <v>10220</v>
      </c>
      <c r="E2938" s="487" t="s">
        <v>10221</v>
      </c>
      <c r="F2938" s="490">
        <v>244562</v>
      </c>
      <c r="G2938" s="489">
        <v>3943.91</v>
      </c>
      <c r="H2938" s="489">
        <v>62.010039999999996</v>
      </c>
      <c r="I2938" s="487" t="s">
        <v>1499</v>
      </c>
      <c r="J2938" s="487" t="s">
        <v>617</v>
      </c>
    </row>
    <row r="2939" spans="1:10" ht="15" x14ac:dyDescent="0.2">
      <c r="A2939" s="486" t="s">
        <v>653</v>
      </c>
      <c r="B2939" s="487" t="s">
        <v>652</v>
      </c>
      <c r="C2939" s="488" t="s">
        <v>10222</v>
      </c>
      <c r="D2939" s="489" t="s">
        <v>10223</v>
      </c>
      <c r="E2939" s="487" t="s">
        <v>10224</v>
      </c>
      <c r="F2939" s="490">
        <v>18301</v>
      </c>
      <c r="G2939" s="489">
        <v>430.5</v>
      </c>
      <c r="H2939" s="489">
        <v>42.511029999999998</v>
      </c>
      <c r="I2939" s="487" t="s">
        <v>2465</v>
      </c>
      <c r="J2939" s="487" t="s">
        <v>654</v>
      </c>
    </row>
    <row r="2940" spans="1:10" ht="15" x14ac:dyDescent="0.2">
      <c r="A2940" s="486" t="s">
        <v>653</v>
      </c>
      <c r="B2940" s="487" t="s">
        <v>652</v>
      </c>
      <c r="C2940" s="488" t="s">
        <v>10225</v>
      </c>
      <c r="D2940" s="489" t="s">
        <v>10226</v>
      </c>
      <c r="E2940" s="487" t="s">
        <v>10227</v>
      </c>
      <c r="F2940" s="490">
        <v>16742</v>
      </c>
      <c r="G2940" s="489">
        <v>208</v>
      </c>
      <c r="H2940" s="489">
        <v>80.490380000000002</v>
      </c>
      <c r="I2940" s="487" t="s">
        <v>1499</v>
      </c>
      <c r="J2940" s="487" t="s">
        <v>654</v>
      </c>
    </row>
    <row r="2941" spans="1:10" ht="15" x14ac:dyDescent="0.2">
      <c r="A2941" s="486" t="s">
        <v>653</v>
      </c>
      <c r="B2941" s="487" t="s">
        <v>652</v>
      </c>
      <c r="C2941" s="488" t="s">
        <v>10228</v>
      </c>
      <c r="D2941" s="489" t="s">
        <v>10229</v>
      </c>
      <c r="E2941" s="487" t="s">
        <v>10230</v>
      </c>
      <c r="F2941" s="490">
        <v>20000</v>
      </c>
      <c r="G2941" s="489">
        <v>312.7</v>
      </c>
      <c r="H2941" s="489">
        <v>63.959069999999997</v>
      </c>
      <c r="I2941" s="487" t="s">
        <v>1499</v>
      </c>
      <c r="J2941" s="487" t="s">
        <v>654</v>
      </c>
    </row>
    <row r="2942" spans="1:10" ht="15" x14ac:dyDescent="0.2">
      <c r="A2942" s="486" t="s">
        <v>653</v>
      </c>
      <c r="B2942" s="487" t="s">
        <v>652</v>
      </c>
      <c r="C2942" s="488" t="s">
        <v>10231</v>
      </c>
      <c r="D2942" s="489" t="s">
        <v>10232</v>
      </c>
      <c r="E2942" s="487" t="s">
        <v>10233</v>
      </c>
      <c r="F2942" s="490">
        <v>65746</v>
      </c>
      <c r="G2942" s="489">
        <v>621.29999999999995</v>
      </c>
      <c r="H2942" s="489">
        <v>105.82004999999999</v>
      </c>
      <c r="I2942" s="487" t="s">
        <v>1499</v>
      </c>
      <c r="J2942" s="487" t="s">
        <v>654</v>
      </c>
    </row>
    <row r="2943" spans="1:10" ht="15" x14ac:dyDescent="0.2">
      <c r="A2943" s="486" t="s">
        <v>653</v>
      </c>
      <c r="B2943" s="487" t="s">
        <v>652</v>
      </c>
      <c r="C2943" s="488" t="s">
        <v>10234</v>
      </c>
      <c r="D2943" s="489" t="s">
        <v>10235</v>
      </c>
      <c r="E2943" s="487" t="s">
        <v>10236</v>
      </c>
      <c r="F2943" s="490">
        <v>19786</v>
      </c>
      <c r="G2943" s="489">
        <v>223.2</v>
      </c>
      <c r="H2943" s="489">
        <v>88.646950000000004</v>
      </c>
      <c r="I2943" s="487" t="s">
        <v>1499</v>
      </c>
      <c r="J2943" s="487" t="s">
        <v>654</v>
      </c>
    </row>
    <row r="2944" spans="1:10" ht="15" x14ac:dyDescent="0.2">
      <c r="A2944" s="486" t="s">
        <v>653</v>
      </c>
      <c r="B2944" s="487" t="s">
        <v>652</v>
      </c>
      <c r="C2944" s="488" t="s">
        <v>10237</v>
      </c>
      <c r="D2944" s="489" t="s">
        <v>10238</v>
      </c>
      <c r="E2944" s="487" t="s">
        <v>10239</v>
      </c>
      <c r="F2944" s="490">
        <v>72900</v>
      </c>
      <c r="G2944" s="489">
        <v>689.4</v>
      </c>
      <c r="H2944" s="489">
        <v>105.74413</v>
      </c>
      <c r="I2944" s="487" t="s">
        <v>1499</v>
      </c>
      <c r="J2944" s="487" t="s">
        <v>654</v>
      </c>
    </row>
    <row r="2945" spans="1:10" ht="15" x14ac:dyDescent="0.2">
      <c r="A2945" s="486" t="s">
        <v>653</v>
      </c>
      <c r="B2945" s="487" t="s">
        <v>652</v>
      </c>
      <c r="C2945" s="488" t="s">
        <v>10240</v>
      </c>
      <c r="D2945" s="489" t="s">
        <v>10241</v>
      </c>
      <c r="E2945" s="487" t="s">
        <v>10242</v>
      </c>
      <c r="F2945" s="490">
        <v>43574</v>
      </c>
      <c r="G2945" s="489">
        <v>943.4</v>
      </c>
      <c r="H2945" s="489">
        <v>46.18826</v>
      </c>
      <c r="I2945" s="487" t="s">
        <v>1499</v>
      </c>
      <c r="J2945" s="487" t="s">
        <v>654</v>
      </c>
    </row>
    <row r="2946" spans="1:10" ht="15" x14ac:dyDescent="0.2">
      <c r="A2946" s="486" t="s">
        <v>653</v>
      </c>
      <c r="B2946" s="487" t="s">
        <v>652</v>
      </c>
      <c r="C2946" s="488" t="s">
        <v>10243</v>
      </c>
      <c r="D2946" s="489" t="s">
        <v>10244</v>
      </c>
      <c r="E2946" s="487" t="s">
        <v>10245</v>
      </c>
      <c r="F2946" s="490">
        <v>102559</v>
      </c>
      <c r="G2946" s="489">
        <v>876.4</v>
      </c>
      <c r="H2946" s="489">
        <v>117.02305</v>
      </c>
      <c r="I2946" s="487" t="s">
        <v>1499</v>
      </c>
      <c r="J2946" s="487" t="s">
        <v>654</v>
      </c>
    </row>
    <row r="2947" spans="1:10" ht="15" x14ac:dyDescent="0.2">
      <c r="A2947" s="486" t="s">
        <v>653</v>
      </c>
      <c r="B2947" s="487" t="s">
        <v>652</v>
      </c>
      <c r="C2947" s="488" t="s">
        <v>10246</v>
      </c>
      <c r="D2947" s="489" t="s">
        <v>10247</v>
      </c>
      <c r="E2947" s="487" t="s">
        <v>10248</v>
      </c>
      <c r="F2947" s="490">
        <v>7814</v>
      </c>
      <c r="G2947" s="489">
        <v>128</v>
      </c>
      <c r="H2947" s="489">
        <v>61.046880000000002</v>
      </c>
      <c r="I2947" s="487" t="s">
        <v>1499</v>
      </c>
      <c r="J2947" s="487" t="s">
        <v>654</v>
      </c>
    </row>
    <row r="2948" spans="1:10" ht="15" x14ac:dyDescent="0.2">
      <c r="A2948" s="486" t="s">
        <v>653</v>
      </c>
      <c r="B2948" s="487" t="s">
        <v>652</v>
      </c>
      <c r="C2948" s="488" t="s">
        <v>10249</v>
      </c>
      <c r="D2948" s="489" t="s">
        <v>10250</v>
      </c>
      <c r="E2948" s="487" t="s">
        <v>10251</v>
      </c>
      <c r="F2948" s="490">
        <v>50000</v>
      </c>
      <c r="G2948" s="489">
        <v>794.2</v>
      </c>
      <c r="H2948" s="489">
        <v>62.956429999999997</v>
      </c>
      <c r="I2948" s="487" t="s">
        <v>1499</v>
      </c>
      <c r="J2948" s="487" t="s">
        <v>654</v>
      </c>
    </row>
    <row r="2949" spans="1:10" ht="15" x14ac:dyDescent="0.2">
      <c r="A2949" s="486" t="s">
        <v>653</v>
      </c>
      <c r="B2949" s="487" t="s">
        <v>652</v>
      </c>
      <c r="C2949" s="488" t="s">
        <v>10252</v>
      </c>
      <c r="D2949" s="489" t="s">
        <v>10253</v>
      </c>
      <c r="E2949" s="487" t="s">
        <v>10254</v>
      </c>
      <c r="F2949" s="490">
        <v>14500</v>
      </c>
      <c r="G2949" s="489">
        <v>337.3</v>
      </c>
      <c r="H2949" s="489">
        <v>42.988439999999997</v>
      </c>
      <c r="I2949" s="487" t="s">
        <v>1499</v>
      </c>
      <c r="J2949" s="487" t="s">
        <v>654</v>
      </c>
    </row>
    <row r="2950" spans="1:10" ht="15" x14ac:dyDescent="0.2">
      <c r="A2950" s="486" t="s">
        <v>653</v>
      </c>
      <c r="B2950" s="487" t="s">
        <v>652</v>
      </c>
      <c r="C2950" s="488" t="s">
        <v>10255</v>
      </c>
      <c r="D2950" s="489" t="s">
        <v>10256</v>
      </c>
      <c r="E2950" s="487" t="s">
        <v>3382</v>
      </c>
      <c r="F2950" s="490">
        <v>38950</v>
      </c>
      <c r="G2950" s="489">
        <v>343.9</v>
      </c>
      <c r="H2950" s="489">
        <v>113.25967</v>
      </c>
      <c r="I2950" s="487" t="s">
        <v>1499</v>
      </c>
      <c r="J2950" s="487" t="s">
        <v>654</v>
      </c>
    </row>
    <row r="2951" spans="1:10" ht="15" x14ac:dyDescent="0.2">
      <c r="A2951" s="486" t="s">
        <v>653</v>
      </c>
      <c r="B2951" s="487" t="s">
        <v>652</v>
      </c>
      <c r="C2951" s="488" t="s">
        <v>10257</v>
      </c>
      <c r="D2951" s="489" t="s">
        <v>10258</v>
      </c>
      <c r="E2951" s="487" t="s">
        <v>10259</v>
      </c>
      <c r="F2951" s="490">
        <v>15830</v>
      </c>
      <c r="G2951" s="489">
        <v>488.5</v>
      </c>
      <c r="H2951" s="489">
        <v>32.405320000000003</v>
      </c>
      <c r="I2951" s="487" t="s">
        <v>2465</v>
      </c>
      <c r="J2951" s="487" t="s">
        <v>654</v>
      </c>
    </row>
    <row r="2952" spans="1:10" ht="15" x14ac:dyDescent="0.2">
      <c r="A2952" s="486" t="s">
        <v>653</v>
      </c>
      <c r="B2952" s="487" t="s">
        <v>652</v>
      </c>
      <c r="C2952" s="488" t="s">
        <v>10260</v>
      </c>
      <c r="D2952" s="489" t="s">
        <v>10261</v>
      </c>
      <c r="E2952" s="487" t="s">
        <v>10262</v>
      </c>
      <c r="F2952" s="490">
        <v>48949</v>
      </c>
      <c r="G2952" s="489">
        <v>1084.3</v>
      </c>
      <c r="H2952" s="489">
        <v>45.143410000000003</v>
      </c>
      <c r="I2952" s="487" t="s">
        <v>1499</v>
      </c>
      <c r="J2952" s="487" t="s">
        <v>654</v>
      </c>
    </row>
    <row r="2953" spans="1:10" ht="15" x14ac:dyDescent="0.2">
      <c r="A2953" s="486" t="s">
        <v>653</v>
      </c>
      <c r="B2953" s="487" t="s">
        <v>652</v>
      </c>
      <c r="C2953" s="488" t="s">
        <v>10263</v>
      </c>
      <c r="D2953" s="489" t="s">
        <v>10264</v>
      </c>
      <c r="E2953" s="487" t="s">
        <v>10265</v>
      </c>
      <c r="F2953" s="490">
        <v>21812</v>
      </c>
      <c r="G2953" s="489">
        <v>384.6</v>
      </c>
      <c r="H2953" s="489">
        <v>56.713470000000001</v>
      </c>
      <c r="I2953" s="487" t="s">
        <v>1499</v>
      </c>
      <c r="J2953" s="487" t="s">
        <v>654</v>
      </c>
    </row>
    <row r="2954" spans="1:10" ht="15" x14ac:dyDescent="0.2">
      <c r="A2954" s="486" t="s">
        <v>653</v>
      </c>
      <c r="B2954" s="487" t="s">
        <v>652</v>
      </c>
      <c r="C2954" s="488" t="s">
        <v>10266</v>
      </c>
      <c r="D2954" s="489" t="s">
        <v>10267</v>
      </c>
      <c r="E2954" s="487" t="s">
        <v>10268</v>
      </c>
      <c r="F2954" s="490">
        <v>0</v>
      </c>
      <c r="G2954" s="489">
        <v>0</v>
      </c>
      <c r="H2954" s="489">
        <v>0</v>
      </c>
      <c r="I2954" s="487" t="s">
        <v>2465</v>
      </c>
      <c r="J2954" s="487" t="s">
        <v>654</v>
      </c>
    </row>
    <row r="2955" spans="1:10" ht="15" x14ac:dyDescent="0.2">
      <c r="A2955" s="486" t="s">
        <v>653</v>
      </c>
      <c r="B2955" s="487" t="s">
        <v>652</v>
      </c>
      <c r="C2955" s="488" t="s">
        <v>10269</v>
      </c>
      <c r="D2955" s="489" t="s">
        <v>10270</v>
      </c>
      <c r="E2955" s="487" t="s">
        <v>10271</v>
      </c>
      <c r="F2955" s="490">
        <v>24800</v>
      </c>
      <c r="G2955" s="489">
        <v>528</v>
      </c>
      <c r="H2955" s="489">
        <v>46.969700000000003</v>
      </c>
      <c r="I2955" s="487" t="s">
        <v>1499</v>
      </c>
      <c r="J2955" s="487" t="s">
        <v>654</v>
      </c>
    </row>
    <row r="2956" spans="1:10" ht="15" x14ac:dyDescent="0.2">
      <c r="A2956" s="486" t="s">
        <v>653</v>
      </c>
      <c r="B2956" s="487" t="s">
        <v>652</v>
      </c>
      <c r="C2956" s="488" t="s">
        <v>10272</v>
      </c>
      <c r="D2956" s="489" t="s">
        <v>10273</v>
      </c>
      <c r="E2956" s="487" t="s">
        <v>10274</v>
      </c>
      <c r="F2956" s="490">
        <v>0</v>
      </c>
      <c r="G2956" s="489">
        <v>138.1</v>
      </c>
      <c r="H2956" s="489">
        <v>0</v>
      </c>
      <c r="I2956" s="487" t="s">
        <v>1593</v>
      </c>
      <c r="J2956" s="487" t="s">
        <v>654</v>
      </c>
    </row>
    <row r="2957" spans="1:10" ht="15" x14ac:dyDescent="0.2">
      <c r="A2957" s="486" t="s">
        <v>653</v>
      </c>
      <c r="B2957" s="487" t="s">
        <v>652</v>
      </c>
      <c r="C2957" s="488" t="s">
        <v>10275</v>
      </c>
      <c r="D2957" s="489" t="s">
        <v>10276</v>
      </c>
      <c r="E2957" s="487" t="s">
        <v>10277</v>
      </c>
      <c r="F2957" s="490">
        <v>0</v>
      </c>
      <c r="G2957" s="489">
        <v>100.8</v>
      </c>
      <c r="H2957" s="489">
        <v>0</v>
      </c>
      <c r="I2957" s="487" t="s">
        <v>1593</v>
      </c>
      <c r="J2957" s="487" t="s">
        <v>654</v>
      </c>
    </row>
    <row r="2958" spans="1:10" ht="15" x14ac:dyDescent="0.2">
      <c r="A2958" s="486" t="s">
        <v>653</v>
      </c>
      <c r="B2958" s="487" t="s">
        <v>652</v>
      </c>
      <c r="C2958" s="488" t="s">
        <v>10278</v>
      </c>
      <c r="D2958" s="489" t="s">
        <v>10279</v>
      </c>
      <c r="E2958" s="487" t="s">
        <v>10280</v>
      </c>
      <c r="F2958" s="490">
        <v>44126</v>
      </c>
      <c r="G2958" s="489">
        <v>725.4</v>
      </c>
      <c r="H2958" s="489">
        <v>60.829889999999999</v>
      </c>
      <c r="I2958" s="487" t="s">
        <v>1499</v>
      </c>
      <c r="J2958" s="487" t="s">
        <v>654</v>
      </c>
    </row>
    <row r="2959" spans="1:10" ht="15" x14ac:dyDescent="0.2">
      <c r="A2959" s="486" t="s">
        <v>653</v>
      </c>
      <c r="B2959" s="487" t="s">
        <v>652</v>
      </c>
      <c r="C2959" s="488" t="s">
        <v>10281</v>
      </c>
      <c r="D2959" s="489" t="s">
        <v>10282</v>
      </c>
      <c r="E2959" s="487" t="s">
        <v>10283</v>
      </c>
      <c r="F2959" s="490">
        <v>5141</v>
      </c>
      <c r="G2959" s="489">
        <v>87.8</v>
      </c>
      <c r="H2959" s="489">
        <v>58.553530000000002</v>
      </c>
      <c r="I2959" s="487" t="s">
        <v>1499</v>
      </c>
      <c r="J2959" s="487" t="s">
        <v>654</v>
      </c>
    </row>
    <row r="2960" spans="1:10" ht="15" x14ac:dyDescent="0.2">
      <c r="A2960" s="486" t="s">
        <v>653</v>
      </c>
      <c r="B2960" s="487" t="s">
        <v>652</v>
      </c>
      <c r="C2960" s="488" t="s">
        <v>10284</v>
      </c>
      <c r="D2960" s="489" t="s">
        <v>10285</v>
      </c>
      <c r="E2960" s="487" t="s">
        <v>10286</v>
      </c>
      <c r="F2960" s="490">
        <v>77898</v>
      </c>
      <c r="G2960" s="489">
        <v>954.2</v>
      </c>
      <c r="H2960" s="489">
        <v>81.636970000000005</v>
      </c>
      <c r="I2960" s="487" t="s">
        <v>1499</v>
      </c>
      <c r="J2960" s="487" t="s">
        <v>654</v>
      </c>
    </row>
    <row r="2961" spans="1:10" ht="15" x14ac:dyDescent="0.2">
      <c r="A2961" s="486" t="s">
        <v>653</v>
      </c>
      <c r="B2961" s="487" t="s">
        <v>652</v>
      </c>
      <c r="C2961" s="488" t="s">
        <v>10287</v>
      </c>
      <c r="D2961" s="489" t="s">
        <v>10288</v>
      </c>
      <c r="E2961" s="487" t="s">
        <v>10289</v>
      </c>
      <c r="F2961" s="490">
        <v>25486</v>
      </c>
      <c r="G2961" s="489">
        <v>179.3</v>
      </c>
      <c r="H2961" s="489">
        <v>142.14166</v>
      </c>
      <c r="I2961" s="487" t="s">
        <v>1499</v>
      </c>
      <c r="J2961" s="487" t="s">
        <v>654</v>
      </c>
    </row>
    <row r="2962" spans="1:10" ht="15" x14ac:dyDescent="0.2">
      <c r="A2962" s="486" t="s">
        <v>653</v>
      </c>
      <c r="B2962" s="487" t="s">
        <v>652</v>
      </c>
      <c r="C2962" s="488" t="s">
        <v>10290</v>
      </c>
      <c r="D2962" s="489" t="s">
        <v>10291</v>
      </c>
      <c r="E2962" s="487" t="s">
        <v>10292</v>
      </c>
      <c r="F2962" s="490">
        <v>3482</v>
      </c>
      <c r="G2962" s="489">
        <v>110.6</v>
      </c>
      <c r="H2962" s="489">
        <v>31.48282</v>
      </c>
      <c r="I2962" s="487" t="s">
        <v>1499</v>
      </c>
      <c r="J2962" s="487" t="s">
        <v>654</v>
      </c>
    </row>
    <row r="2963" spans="1:10" ht="15" x14ac:dyDescent="0.2">
      <c r="A2963" s="486" t="s">
        <v>653</v>
      </c>
      <c r="B2963" s="487" t="s">
        <v>652</v>
      </c>
      <c r="C2963" s="488" t="s">
        <v>10293</v>
      </c>
      <c r="D2963" s="489" t="s">
        <v>10294</v>
      </c>
      <c r="E2963" s="487" t="s">
        <v>10295</v>
      </c>
      <c r="F2963" s="490">
        <v>120278</v>
      </c>
      <c r="G2963" s="489">
        <v>6626.5</v>
      </c>
      <c r="H2963" s="489">
        <v>18.151060000000001</v>
      </c>
      <c r="I2963" s="487" t="s">
        <v>1499</v>
      </c>
      <c r="J2963" s="487" t="s">
        <v>654</v>
      </c>
    </row>
    <row r="2964" spans="1:10" ht="15" x14ac:dyDescent="0.2">
      <c r="A2964" s="486" t="s">
        <v>653</v>
      </c>
      <c r="B2964" s="487" t="s">
        <v>652</v>
      </c>
      <c r="C2964" s="488" t="s">
        <v>10296</v>
      </c>
      <c r="D2964" s="489" t="s">
        <v>10297</v>
      </c>
      <c r="E2964" s="487" t="s">
        <v>10298</v>
      </c>
      <c r="F2964" s="490">
        <v>0</v>
      </c>
      <c r="G2964" s="489">
        <v>0</v>
      </c>
      <c r="H2964" s="489">
        <v>0</v>
      </c>
      <c r="I2964" s="487" t="s">
        <v>2465</v>
      </c>
      <c r="J2964" s="487" t="s">
        <v>654</v>
      </c>
    </row>
    <row r="2965" spans="1:10" ht="15" x14ac:dyDescent="0.2">
      <c r="A2965" s="486" t="s">
        <v>653</v>
      </c>
      <c r="B2965" s="487" t="s">
        <v>652</v>
      </c>
      <c r="C2965" s="488" t="s">
        <v>10299</v>
      </c>
      <c r="D2965" s="489" t="s">
        <v>10300</v>
      </c>
      <c r="E2965" s="487" t="s">
        <v>10301</v>
      </c>
      <c r="F2965" s="490">
        <v>0</v>
      </c>
      <c r="G2965" s="489">
        <v>0</v>
      </c>
      <c r="H2965" s="489">
        <v>0</v>
      </c>
      <c r="I2965" s="487" t="s">
        <v>2465</v>
      </c>
      <c r="J2965" s="487" t="s">
        <v>654</v>
      </c>
    </row>
    <row r="2966" spans="1:10" ht="15" x14ac:dyDescent="0.2">
      <c r="A2966" s="486" t="s">
        <v>653</v>
      </c>
      <c r="B2966" s="487" t="s">
        <v>652</v>
      </c>
      <c r="C2966" s="488" t="s">
        <v>10302</v>
      </c>
      <c r="D2966" s="489" t="s">
        <v>10303</v>
      </c>
      <c r="E2966" s="487" t="s">
        <v>10304</v>
      </c>
      <c r="F2966" s="490">
        <v>382600</v>
      </c>
      <c r="G2966" s="489">
        <v>4373.6000000000004</v>
      </c>
      <c r="H2966" s="489">
        <v>87.479420000000005</v>
      </c>
      <c r="I2966" s="487" t="s">
        <v>1499</v>
      </c>
      <c r="J2966" s="487" t="s">
        <v>654</v>
      </c>
    </row>
    <row r="2967" spans="1:10" ht="15" x14ac:dyDescent="0.2">
      <c r="A2967" s="486" t="s">
        <v>653</v>
      </c>
      <c r="B2967" s="487" t="s">
        <v>652</v>
      </c>
      <c r="C2967" s="488" t="s">
        <v>10305</v>
      </c>
      <c r="D2967" s="489" t="s">
        <v>10306</v>
      </c>
      <c r="E2967" s="487" t="s">
        <v>10307</v>
      </c>
      <c r="F2967" s="490">
        <v>428944</v>
      </c>
      <c r="G2967" s="489">
        <v>3902.5</v>
      </c>
      <c r="H2967" s="489">
        <v>109.91518000000001</v>
      </c>
      <c r="I2967" s="487" t="s">
        <v>1499</v>
      </c>
      <c r="J2967" s="487" t="s">
        <v>654</v>
      </c>
    </row>
    <row r="2968" spans="1:10" ht="15" x14ac:dyDescent="0.2">
      <c r="A2968" s="486" t="s">
        <v>653</v>
      </c>
      <c r="B2968" s="487" t="s">
        <v>652</v>
      </c>
      <c r="C2968" s="488" t="s">
        <v>10308</v>
      </c>
      <c r="D2968" s="489" t="s">
        <v>10309</v>
      </c>
      <c r="E2968" s="487" t="s">
        <v>10310</v>
      </c>
      <c r="F2968" s="490">
        <v>0</v>
      </c>
      <c r="G2968" s="489">
        <v>0</v>
      </c>
      <c r="H2968" s="489">
        <v>0</v>
      </c>
      <c r="I2968" s="487" t="s">
        <v>2465</v>
      </c>
      <c r="J2968" s="487" t="s">
        <v>654</v>
      </c>
    </row>
    <row r="2969" spans="1:10" ht="15" x14ac:dyDescent="0.2">
      <c r="A2969" s="486" t="s">
        <v>653</v>
      </c>
      <c r="B2969" s="487" t="s">
        <v>652</v>
      </c>
      <c r="C2969" s="488" t="s">
        <v>10311</v>
      </c>
      <c r="D2969" s="489" t="s">
        <v>10312</v>
      </c>
      <c r="E2969" s="487" t="s">
        <v>10313</v>
      </c>
      <c r="F2969" s="490">
        <v>15566</v>
      </c>
      <c r="G2969" s="489">
        <v>271.8</v>
      </c>
      <c r="H2969" s="489">
        <v>57.270049999999998</v>
      </c>
      <c r="I2969" s="487" t="s">
        <v>1499</v>
      </c>
      <c r="J2969" s="487" t="s">
        <v>654</v>
      </c>
    </row>
    <row r="2970" spans="1:10" ht="15" x14ac:dyDescent="0.2">
      <c r="A2970" s="486" t="s">
        <v>653</v>
      </c>
      <c r="B2970" s="487" t="s">
        <v>652</v>
      </c>
      <c r="C2970" s="488" t="s">
        <v>10314</v>
      </c>
      <c r="D2970" s="489" t="s">
        <v>10315</v>
      </c>
      <c r="E2970" s="487" t="s">
        <v>10316</v>
      </c>
      <c r="F2970" s="490">
        <v>125608</v>
      </c>
      <c r="G2970" s="489">
        <v>1398.4</v>
      </c>
      <c r="H2970" s="489">
        <v>89.822649999999996</v>
      </c>
      <c r="I2970" s="487" t="s">
        <v>1499</v>
      </c>
      <c r="J2970" s="487" t="s">
        <v>654</v>
      </c>
    </row>
    <row r="2971" spans="1:10" ht="15" x14ac:dyDescent="0.2">
      <c r="A2971" s="486" t="s">
        <v>653</v>
      </c>
      <c r="B2971" s="487" t="s">
        <v>652</v>
      </c>
      <c r="C2971" s="488" t="s">
        <v>10317</v>
      </c>
      <c r="D2971" s="489" t="s">
        <v>10318</v>
      </c>
      <c r="E2971" s="487" t="s">
        <v>10319</v>
      </c>
      <c r="F2971" s="490">
        <v>401037</v>
      </c>
      <c r="G2971" s="489">
        <v>3295</v>
      </c>
      <c r="H2971" s="489">
        <v>121.71077</v>
      </c>
      <c r="I2971" s="487" t="s">
        <v>1499</v>
      </c>
      <c r="J2971" s="487" t="s">
        <v>654</v>
      </c>
    </row>
    <row r="2972" spans="1:10" ht="15" x14ac:dyDescent="0.2">
      <c r="A2972" s="486" t="s">
        <v>653</v>
      </c>
      <c r="B2972" s="487" t="s">
        <v>652</v>
      </c>
      <c r="C2972" s="488" t="s">
        <v>10320</v>
      </c>
      <c r="D2972" s="489" t="s">
        <v>10321</v>
      </c>
      <c r="E2972" s="487" t="s">
        <v>10322</v>
      </c>
      <c r="F2972" s="490">
        <v>471244</v>
      </c>
      <c r="G2972" s="489">
        <v>2915.9</v>
      </c>
      <c r="H2972" s="489">
        <v>161.61185</v>
      </c>
      <c r="I2972" s="487" t="s">
        <v>1499</v>
      </c>
      <c r="J2972" s="487" t="s">
        <v>654</v>
      </c>
    </row>
    <row r="2973" spans="1:10" ht="15" x14ac:dyDescent="0.2">
      <c r="A2973" s="486" t="s">
        <v>653</v>
      </c>
      <c r="B2973" s="487" t="s">
        <v>652</v>
      </c>
      <c r="C2973" s="488" t="s">
        <v>10323</v>
      </c>
      <c r="D2973" s="489" t="s">
        <v>10324</v>
      </c>
      <c r="E2973" s="487" t="s">
        <v>10325</v>
      </c>
      <c r="F2973" s="490">
        <v>11433</v>
      </c>
      <c r="G2973" s="489">
        <v>197.1</v>
      </c>
      <c r="H2973" s="489">
        <v>58.00609</v>
      </c>
      <c r="I2973" s="487" t="s">
        <v>1499</v>
      </c>
      <c r="J2973" s="487" t="s">
        <v>654</v>
      </c>
    </row>
    <row r="2974" spans="1:10" ht="15" x14ac:dyDescent="0.2">
      <c r="A2974" s="486" t="s">
        <v>774</v>
      </c>
      <c r="B2974" s="487" t="s">
        <v>773</v>
      </c>
      <c r="C2974" s="488" t="s">
        <v>10326</v>
      </c>
      <c r="D2974" s="489" t="s">
        <v>10327</v>
      </c>
      <c r="E2974" s="487" t="s">
        <v>10328</v>
      </c>
      <c r="F2974" s="490">
        <v>5950</v>
      </c>
      <c r="G2974" s="489">
        <v>236.29</v>
      </c>
      <c r="H2974" s="489">
        <v>25.18092</v>
      </c>
      <c r="I2974" s="487" t="s">
        <v>1499</v>
      </c>
      <c r="J2974" s="487" t="s">
        <v>775</v>
      </c>
    </row>
    <row r="2975" spans="1:10" ht="15" x14ac:dyDescent="0.2">
      <c r="A2975" s="486" t="s">
        <v>774</v>
      </c>
      <c r="B2975" s="487" t="s">
        <v>773</v>
      </c>
      <c r="C2975" s="488" t="s">
        <v>10329</v>
      </c>
      <c r="D2975" s="489" t="s">
        <v>10330</v>
      </c>
      <c r="E2975" s="487" t="s">
        <v>10331</v>
      </c>
      <c r="F2975" s="490">
        <v>25407</v>
      </c>
      <c r="G2975" s="489">
        <v>628.07000000000005</v>
      </c>
      <c r="H2975" s="489">
        <v>40.452500000000001</v>
      </c>
      <c r="I2975" s="487" t="s">
        <v>1499</v>
      </c>
      <c r="J2975" s="487" t="s">
        <v>775</v>
      </c>
    </row>
    <row r="2976" spans="1:10" ht="15" x14ac:dyDescent="0.2">
      <c r="A2976" s="486" t="s">
        <v>774</v>
      </c>
      <c r="B2976" s="487" t="s">
        <v>773</v>
      </c>
      <c r="C2976" s="488" t="s">
        <v>10332</v>
      </c>
      <c r="D2976" s="489" t="s">
        <v>10333</v>
      </c>
      <c r="E2976" s="487" t="s">
        <v>10334</v>
      </c>
      <c r="F2976" s="490">
        <v>371215</v>
      </c>
      <c r="G2976" s="489">
        <v>5258.44</v>
      </c>
      <c r="H2976" s="489">
        <v>70.594130000000007</v>
      </c>
      <c r="I2976" s="487" t="s">
        <v>1499</v>
      </c>
      <c r="J2976" s="487" t="s">
        <v>775</v>
      </c>
    </row>
    <row r="2977" spans="1:10" ht="15" x14ac:dyDescent="0.2">
      <c r="A2977" s="486" t="s">
        <v>774</v>
      </c>
      <c r="B2977" s="487" t="s">
        <v>773</v>
      </c>
      <c r="C2977" s="488" t="s">
        <v>10335</v>
      </c>
      <c r="D2977" s="489" t="s">
        <v>10336</v>
      </c>
      <c r="E2977" s="487" t="s">
        <v>10337</v>
      </c>
      <c r="F2977" s="490">
        <v>325416</v>
      </c>
      <c r="G2977" s="489">
        <v>6349.52</v>
      </c>
      <c r="H2977" s="489">
        <v>51.250489999999999</v>
      </c>
      <c r="I2977" s="487" t="s">
        <v>1499</v>
      </c>
      <c r="J2977" s="487" t="s">
        <v>775</v>
      </c>
    </row>
    <row r="2978" spans="1:10" ht="15" x14ac:dyDescent="0.2">
      <c r="A2978" s="486" t="s">
        <v>774</v>
      </c>
      <c r="B2978" s="487" t="s">
        <v>773</v>
      </c>
      <c r="C2978" s="488" t="s">
        <v>10338</v>
      </c>
      <c r="D2978" s="489" t="s">
        <v>10339</v>
      </c>
      <c r="E2978" s="487" t="s">
        <v>10340</v>
      </c>
      <c r="F2978" s="490">
        <v>645791</v>
      </c>
      <c r="G2978" s="489">
        <v>5403.47</v>
      </c>
      <c r="H2978" s="489">
        <v>119.51412999999999</v>
      </c>
      <c r="I2978" s="487" t="s">
        <v>1499</v>
      </c>
      <c r="J2978" s="487" t="s">
        <v>775</v>
      </c>
    </row>
    <row r="2979" spans="1:10" ht="15" x14ac:dyDescent="0.2">
      <c r="A2979" s="486" t="s">
        <v>774</v>
      </c>
      <c r="B2979" s="487" t="s">
        <v>773</v>
      </c>
      <c r="C2979" s="488" t="s">
        <v>10341</v>
      </c>
      <c r="D2979" s="489" t="s">
        <v>10342</v>
      </c>
      <c r="E2979" s="487" t="s">
        <v>10343</v>
      </c>
      <c r="F2979" s="490">
        <v>39317</v>
      </c>
      <c r="G2979" s="489">
        <v>420.41</v>
      </c>
      <c r="H2979" s="489">
        <v>93.520610000000005</v>
      </c>
      <c r="I2979" s="487" t="s">
        <v>1499</v>
      </c>
      <c r="J2979" s="487" t="s">
        <v>775</v>
      </c>
    </row>
    <row r="2980" spans="1:10" ht="15" x14ac:dyDescent="0.2">
      <c r="A2980" s="486" t="s">
        <v>774</v>
      </c>
      <c r="B2980" s="487" t="s">
        <v>773</v>
      </c>
      <c r="C2980" s="488" t="s">
        <v>10344</v>
      </c>
      <c r="D2980" s="489" t="s">
        <v>10345</v>
      </c>
      <c r="E2980" s="487" t="s">
        <v>10346</v>
      </c>
      <c r="F2980" s="490">
        <v>17120</v>
      </c>
      <c r="G2980" s="489">
        <v>414.52</v>
      </c>
      <c r="H2980" s="489">
        <v>41.300780000000003</v>
      </c>
      <c r="I2980" s="487" t="s">
        <v>1499</v>
      </c>
      <c r="J2980" s="487" t="s">
        <v>775</v>
      </c>
    </row>
    <row r="2981" spans="1:10" ht="15" x14ac:dyDescent="0.2">
      <c r="A2981" s="486" t="s">
        <v>774</v>
      </c>
      <c r="B2981" s="487" t="s">
        <v>773</v>
      </c>
      <c r="C2981" s="488" t="s">
        <v>10347</v>
      </c>
      <c r="D2981" s="489" t="s">
        <v>10348</v>
      </c>
      <c r="E2981" s="487" t="s">
        <v>10349</v>
      </c>
      <c r="F2981" s="490">
        <v>13843</v>
      </c>
      <c r="G2981" s="489">
        <v>640.91999999999996</v>
      </c>
      <c r="H2981" s="489">
        <v>21.59864</v>
      </c>
      <c r="I2981" s="487" t="s">
        <v>1499</v>
      </c>
      <c r="J2981" s="487" t="s">
        <v>775</v>
      </c>
    </row>
    <row r="2982" spans="1:10" ht="15" x14ac:dyDescent="0.2">
      <c r="A2982" s="486" t="s">
        <v>774</v>
      </c>
      <c r="B2982" s="487" t="s">
        <v>773</v>
      </c>
      <c r="C2982" s="488" t="s">
        <v>10350</v>
      </c>
      <c r="D2982" s="489" t="s">
        <v>10351</v>
      </c>
      <c r="E2982" s="487" t="s">
        <v>10352</v>
      </c>
      <c r="F2982" s="490">
        <v>48060</v>
      </c>
      <c r="G2982" s="489">
        <v>907.68</v>
      </c>
      <c r="H2982" s="489">
        <v>52.948180000000001</v>
      </c>
      <c r="I2982" s="487" t="s">
        <v>1499</v>
      </c>
      <c r="J2982" s="487" t="s">
        <v>775</v>
      </c>
    </row>
    <row r="2983" spans="1:10" ht="15" x14ac:dyDescent="0.2">
      <c r="A2983" s="486" t="s">
        <v>774</v>
      </c>
      <c r="B2983" s="487" t="s">
        <v>773</v>
      </c>
      <c r="C2983" s="488" t="s">
        <v>10353</v>
      </c>
      <c r="D2983" s="489" t="s">
        <v>10354</v>
      </c>
      <c r="E2983" s="487" t="s">
        <v>10355</v>
      </c>
      <c r="F2983" s="490">
        <v>1061038</v>
      </c>
      <c r="G2983" s="489">
        <v>13184.06</v>
      </c>
      <c r="H2983" s="489">
        <v>80.478849999999994</v>
      </c>
      <c r="I2983" s="487" t="s">
        <v>1499</v>
      </c>
      <c r="J2983" s="487" t="s">
        <v>775</v>
      </c>
    </row>
    <row r="2984" spans="1:10" ht="15" x14ac:dyDescent="0.2">
      <c r="A2984" s="486" t="s">
        <v>774</v>
      </c>
      <c r="B2984" s="487" t="s">
        <v>773</v>
      </c>
      <c r="C2984" s="488" t="s">
        <v>10356</v>
      </c>
      <c r="D2984" s="489" t="s">
        <v>10357</v>
      </c>
      <c r="E2984" s="487" t="s">
        <v>10358</v>
      </c>
      <c r="F2984" s="490">
        <v>19504</v>
      </c>
      <c r="G2984" s="489">
        <v>466.46</v>
      </c>
      <c r="H2984" s="489">
        <v>41.812800000000003</v>
      </c>
      <c r="I2984" s="487" t="s">
        <v>1499</v>
      </c>
      <c r="J2984" s="487" t="s">
        <v>775</v>
      </c>
    </row>
    <row r="2985" spans="1:10" ht="15" x14ac:dyDescent="0.2">
      <c r="A2985" s="486" t="s">
        <v>774</v>
      </c>
      <c r="B2985" s="487" t="s">
        <v>773</v>
      </c>
      <c r="C2985" s="488" t="s">
        <v>10359</v>
      </c>
      <c r="D2985" s="489" t="s">
        <v>10360</v>
      </c>
      <c r="E2985" s="487" t="s">
        <v>10361</v>
      </c>
      <c r="F2985" s="490">
        <v>205000</v>
      </c>
      <c r="G2985" s="489">
        <v>2212.7600000000002</v>
      </c>
      <c r="H2985" s="489">
        <v>92.644480000000001</v>
      </c>
      <c r="I2985" s="487" t="s">
        <v>1499</v>
      </c>
      <c r="J2985" s="487" t="s">
        <v>775</v>
      </c>
    </row>
    <row r="2986" spans="1:10" ht="15" x14ac:dyDescent="0.2">
      <c r="A2986" s="486" t="s">
        <v>774</v>
      </c>
      <c r="B2986" s="487" t="s">
        <v>773</v>
      </c>
      <c r="C2986" s="488" t="s">
        <v>10362</v>
      </c>
      <c r="D2986" s="489" t="s">
        <v>10363</v>
      </c>
      <c r="E2986" s="487" t="s">
        <v>10364</v>
      </c>
      <c r="F2986" s="490">
        <v>244240</v>
      </c>
      <c r="G2986" s="489">
        <v>2619.5300000000002</v>
      </c>
      <c r="H2986" s="489">
        <v>93.238100000000003</v>
      </c>
      <c r="I2986" s="487" t="s">
        <v>1499</v>
      </c>
      <c r="J2986" s="487" t="s">
        <v>775</v>
      </c>
    </row>
    <row r="2987" spans="1:10" ht="15" x14ac:dyDescent="0.2">
      <c r="A2987" s="486" t="s">
        <v>774</v>
      </c>
      <c r="B2987" s="487" t="s">
        <v>773</v>
      </c>
      <c r="C2987" s="488" t="s">
        <v>10365</v>
      </c>
      <c r="D2987" s="489" t="s">
        <v>10366</v>
      </c>
      <c r="E2987" s="487" t="s">
        <v>10367</v>
      </c>
      <c r="F2987" s="490">
        <v>313275</v>
      </c>
      <c r="G2987" s="489">
        <v>2864.68</v>
      </c>
      <c r="H2987" s="489">
        <v>109.35776</v>
      </c>
      <c r="I2987" s="487" t="s">
        <v>1499</v>
      </c>
      <c r="J2987" s="487" t="s">
        <v>775</v>
      </c>
    </row>
    <row r="2988" spans="1:10" ht="15" x14ac:dyDescent="0.2">
      <c r="A2988" s="486" t="s">
        <v>774</v>
      </c>
      <c r="B2988" s="487" t="s">
        <v>773</v>
      </c>
      <c r="C2988" s="488" t="s">
        <v>10368</v>
      </c>
      <c r="D2988" s="489" t="s">
        <v>10369</v>
      </c>
      <c r="E2988" s="487" t="s">
        <v>10370</v>
      </c>
      <c r="F2988" s="490">
        <v>100000</v>
      </c>
      <c r="G2988" s="489">
        <v>1412.51</v>
      </c>
      <c r="H2988" s="489">
        <v>70.795959999999994</v>
      </c>
      <c r="I2988" s="487" t="s">
        <v>1499</v>
      </c>
      <c r="J2988" s="487" t="s">
        <v>775</v>
      </c>
    </row>
    <row r="2989" spans="1:10" ht="15" x14ac:dyDescent="0.2">
      <c r="A2989" s="486" t="s">
        <v>774</v>
      </c>
      <c r="B2989" s="487" t="s">
        <v>773</v>
      </c>
      <c r="C2989" s="488" t="s">
        <v>10371</v>
      </c>
      <c r="D2989" s="489" t="s">
        <v>10372</v>
      </c>
      <c r="E2989" s="487" t="s">
        <v>10373</v>
      </c>
      <c r="F2989" s="490">
        <v>56995</v>
      </c>
      <c r="G2989" s="489">
        <v>1384.9</v>
      </c>
      <c r="H2989" s="489">
        <v>41.154600000000002</v>
      </c>
      <c r="I2989" s="487" t="s">
        <v>1499</v>
      </c>
      <c r="J2989" s="487" t="s">
        <v>775</v>
      </c>
    </row>
    <row r="2990" spans="1:10" ht="15" x14ac:dyDescent="0.2">
      <c r="A2990" s="486" t="s">
        <v>774</v>
      </c>
      <c r="B2990" s="487" t="s">
        <v>773</v>
      </c>
      <c r="C2990" s="488" t="s">
        <v>10374</v>
      </c>
      <c r="D2990" s="489" t="s">
        <v>10375</v>
      </c>
      <c r="E2990" s="487" t="s">
        <v>10376</v>
      </c>
      <c r="F2990" s="490">
        <v>23462</v>
      </c>
      <c r="G2990" s="489">
        <v>387.3</v>
      </c>
      <c r="H2990" s="489">
        <v>60.578360000000004</v>
      </c>
      <c r="I2990" s="487" t="s">
        <v>1499</v>
      </c>
      <c r="J2990" s="487" t="s">
        <v>775</v>
      </c>
    </row>
    <row r="2991" spans="1:10" ht="15" x14ac:dyDescent="0.2">
      <c r="A2991" s="486" t="s">
        <v>774</v>
      </c>
      <c r="B2991" s="487" t="s">
        <v>773</v>
      </c>
      <c r="C2991" s="488" t="s">
        <v>10377</v>
      </c>
      <c r="D2991" s="489" t="s">
        <v>10378</v>
      </c>
      <c r="E2991" s="487" t="s">
        <v>10379</v>
      </c>
      <c r="F2991" s="490">
        <v>14215</v>
      </c>
      <c r="G2991" s="489">
        <v>614.94000000000005</v>
      </c>
      <c r="H2991" s="489">
        <v>23.11608</v>
      </c>
      <c r="I2991" s="487" t="s">
        <v>1499</v>
      </c>
      <c r="J2991" s="487" t="s">
        <v>775</v>
      </c>
    </row>
    <row r="2992" spans="1:10" ht="15" x14ac:dyDescent="0.2">
      <c r="A2992" s="486" t="s">
        <v>774</v>
      </c>
      <c r="B2992" s="487" t="s">
        <v>773</v>
      </c>
      <c r="C2992" s="488" t="s">
        <v>10380</v>
      </c>
      <c r="D2992" s="489" t="s">
        <v>10381</v>
      </c>
      <c r="E2992" s="487" t="s">
        <v>10382</v>
      </c>
      <c r="F2992" s="490">
        <v>1675</v>
      </c>
      <c r="G2992" s="489">
        <v>106.59</v>
      </c>
      <c r="H2992" s="489">
        <v>15.71442</v>
      </c>
      <c r="I2992" s="487" t="s">
        <v>1499</v>
      </c>
      <c r="J2992" s="487" t="s">
        <v>775</v>
      </c>
    </row>
    <row r="2993" spans="1:10" ht="15" x14ac:dyDescent="0.2">
      <c r="A2993" s="486" t="s">
        <v>774</v>
      </c>
      <c r="B2993" s="487" t="s">
        <v>773</v>
      </c>
      <c r="C2993" s="488" t="s">
        <v>10383</v>
      </c>
      <c r="D2993" s="489" t="s">
        <v>10384</v>
      </c>
      <c r="E2993" s="487" t="s">
        <v>10385</v>
      </c>
      <c r="F2993" s="490">
        <v>163165</v>
      </c>
      <c r="G2993" s="489">
        <v>2007.4</v>
      </c>
      <c r="H2993" s="489">
        <v>81.281760000000006</v>
      </c>
      <c r="I2993" s="487" t="s">
        <v>1499</v>
      </c>
      <c r="J2993" s="487" t="s">
        <v>775</v>
      </c>
    </row>
    <row r="2994" spans="1:10" ht="15" x14ac:dyDescent="0.2">
      <c r="A2994" s="486" t="s">
        <v>774</v>
      </c>
      <c r="B2994" s="487" t="s">
        <v>773</v>
      </c>
      <c r="C2994" s="488" t="s">
        <v>10386</v>
      </c>
      <c r="D2994" s="489" t="s">
        <v>10387</v>
      </c>
      <c r="E2994" s="487" t="s">
        <v>10388</v>
      </c>
      <c r="F2994" s="490">
        <v>1200</v>
      </c>
      <c r="G2994" s="489">
        <v>90.18</v>
      </c>
      <c r="H2994" s="489">
        <v>13.30672</v>
      </c>
      <c r="I2994" s="487" t="s">
        <v>1499</v>
      </c>
      <c r="J2994" s="487" t="s">
        <v>775</v>
      </c>
    </row>
    <row r="2995" spans="1:10" ht="15" x14ac:dyDescent="0.2">
      <c r="A2995" s="486" t="s">
        <v>774</v>
      </c>
      <c r="B2995" s="487" t="s">
        <v>773</v>
      </c>
      <c r="C2995" s="488" t="s">
        <v>10389</v>
      </c>
      <c r="D2995" s="489" t="s">
        <v>10390</v>
      </c>
      <c r="E2995" s="487" t="s">
        <v>10391</v>
      </c>
      <c r="F2995" s="490">
        <v>6800</v>
      </c>
      <c r="G2995" s="489">
        <v>121.45</v>
      </c>
      <c r="H2995" s="489">
        <v>55.990119999999997</v>
      </c>
      <c r="I2995" s="487" t="s">
        <v>1499</v>
      </c>
      <c r="J2995" s="487" t="s">
        <v>775</v>
      </c>
    </row>
    <row r="2996" spans="1:10" ht="15" x14ac:dyDescent="0.2">
      <c r="A2996" s="486" t="s">
        <v>774</v>
      </c>
      <c r="B2996" s="487" t="s">
        <v>773</v>
      </c>
      <c r="C2996" s="488" t="s">
        <v>10392</v>
      </c>
      <c r="D2996" s="489" t="s">
        <v>10393</v>
      </c>
      <c r="E2996" s="487" t="s">
        <v>10394</v>
      </c>
      <c r="F2996" s="490">
        <v>1168020</v>
      </c>
      <c r="G2996" s="489">
        <v>7956.48</v>
      </c>
      <c r="H2996" s="489">
        <v>146.80109999999999</v>
      </c>
      <c r="I2996" s="487" t="s">
        <v>1499</v>
      </c>
      <c r="J2996" s="487" t="s">
        <v>775</v>
      </c>
    </row>
    <row r="2997" spans="1:10" ht="15" x14ac:dyDescent="0.2">
      <c r="A2997" s="486" t="s">
        <v>774</v>
      </c>
      <c r="B2997" s="487" t="s">
        <v>773</v>
      </c>
      <c r="C2997" s="488" t="s">
        <v>10395</v>
      </c>
      <c r="D2997" s="489" t="s">
        <v>10396</v>
      </c>
      <c r="E2997" s="487" t="s">
        <v>10397</v>
      </c>
      <c r="F2997" s="490">
        <v>6258</v>
      </c>
      <c r="G2997" s="489">
        <v>256.58</v>
      </c>
      <c r="H2997" s="489">
        <v>24.390049999999999</v>
      </c>
      <c r="I2997" s="487" t="s">
        <v>1499</v>
      </c>
      <c r="J2997" s="487" t="s">
        <v>775</v>
      </c>
    </row>
    <row r="2998" spans="1:10" ht="15" x14ac:dyDescent="0.2">
      <c r="A2998" s="486" t="s">
        <v>965</v>
      </c>
      <c r="B2998" s="487" t="s">
        <v>964</v>
      </c>
      <c r="C2998" s="488" t="s">
        <v>10398</v>
      </c>
      <c r="D2998" s="489" t="s">
        <v>10399</v>
      </c>
      <c r="E2998" s="487" t="s">
        <v>10400</v>
      </c>
      <c r="F2998" s="490">
        <v>28080</v>
      </c>
      <c r="G2998" s="489">
        <v>511.7</v>
      </c>
      <c r="H2998" s="489">
        <v>54.875900000000001</v>
      </c>
      <c r="I2998" s="487" t="s">
        <v>1499</v>
      </c>
      <c r="J2998" s="487" t="s">
        <v>966</v>
      </c>
    </row>
    <row r="2999" spans="1:10" ht="15" x14ac:dyDescent="0.2">
      <c r="A2999" s="486" t="s">
        <v>965</v>
      </c>
      <c r="B2999" s="487" t="s">
        <v>964</v>
      </c>
      <c r="C2999" s="488" t="s">
        <v>10401</v>
      </c>
      <c r="D2999" s="489" t="s">
        <v>10402</v>
      </c>
      <c r="E2999" s="487" t="s">
        <v>10403</v>
      </c>
      <c r="F2999" s="490">
        <v>4344</v>
      </c>
      <c r="G2999" s="489">
        <v>68.599999999999994</v>
      </c>
      <c r="H2999" s="489">
        <v>63.323619999999998</v>
      </c>
      <c r="I2999" s="487" t="s">
        <v>1499</v>
      </c>
      <c r="J2999" s="487" t="s">
        <v>966</v>
      </c>
    </row>
    <row r="3000" spans="1:10" ht="15" x14ac:dyDescent="0.2">
      <c r="A3000" s="486" t="s">
        <v>965</v>
      </c>
      <c r="B3000" s="487" t="s">
        <v>964</v>
      </c>
      <c r="C3000" s="488" t="s">
        <v>10404</v>
      </c>
      <c r="D3000" s="489" t="s">
        <v>10405</v>
      </c>
      <c r="E3000" s="487" t="s">
        <v>10406</v>
      </c>
      <c r="F3000" s="490">
        <v>27900</v>
      </c>
      <c r="G3000" s="489">
        <v>341.7</v>
      </c>
      <c r="H3000" s="489">
        <v>81.650570000000002</v>
      </c>
      <c r="I3000" s="487" t="s">
        <v>1499</v>
      </c>
      <c r="J3000" s="487" t="s">
        <v>966</v>
      </c>
    </row>
    <row r="3001" spans="1:10" ht="15" x14ac:dyDescent="0.2">
      <c r="A3001" s="486" t="s">
        <v>965</v>
      </c>
      <c r="B3001" s="487" t="s">
        <v>964</v>
      </c>
      <c r="C3001" s="488" t="s">
        <v>10407</v>
      </c>
      <c r="D3001" s="489" t="s">
        <v>10408</v>
      </c>
      <c r="E3001" s="487" t="s">
        <v>10409</v>
      </c>
      <c r="F3001" s="490">
        <v>248309.5</v>
      </c>
      <c r="G3001" s="489">
        <v>3794</v>
      </c>
      <c r="H3001" s="489">
        <v>65.447940000000003</v>
      </c>
      <c r="I3001" s="487" t="s">
        <v>1499</v>
      </c>
      <c r="J3001" s="487" t="s">
        <v>966</v>
      </c>
    </row>
    <row r="3002" spans="1:10" ht="15" x14ac:dyDescent="0.2">
      <c r="A3002" s="486" t="s">
        <v>965</v>
      </c>
      <c r="B3002" s="487" t="s">
        <v>964</v>
      </c>
      <c r="C3002" s="488" t="s">
        <v>10410</v>
      </c>
      <c r="D3002" s="489" t="s">
        <v>10411</v>
      </c>
      <c r="E3002" s="487" t="s">
        <v>10412</v>
      </c>
      <c r="F3002" s="490">
        <v>47031</v>
      </c>
      <c r="G3002" s="489">
        <v>510</v>
      </c>
      <c r="H3002" s="489">
        <v>92.217650000000006</v>
      </c>
      <c r="I3002" s="487" t="s">
        <v>1499</v>
      </c>
      <c r="J3002" s="487" t="s">
        <v>966</v>
      </c>
    </row>
    <row r="3003" spans="1:10" ht="15" x14ac:dyDescent="0.2">
      <c r="A3003" s="486" t="s">
        <v>965</v>
      </c>
      <c r="B3003" s="487" t="s">
        <v>964</v>
      </c>
      <c r="C3003" s="488" t="s">
        <v>10413</v>
      </c>
      <c r="D3003" s="489" t="s">
        <v>10414</v>
      </c>
      <c r="E3003" s="487" t="s">
        <v>10415</v>
      </c>
      <c r="F3003" s="490">
        <v>2951</v>
      </c>
      <c r="G3003" s="489">
        <v>46.6</v>
      </c>
      <c r="H3003" s="489">
        <v>63.326180000000001</v>
      </c>
      <c r="I3003" s="487" t="s">
        <v>1499</v>
      </c>
      <c r="J3003" s="487" t="s">
        <v>966</v>
      </c>
    </row>
    <row r="3004" spans="1:10" ht="15" x14ac:dyDescent="0.2">
      <c r="A3004" s="486" t="s">
        <v>965</v>
      </c>
      <c r="B3004" s="487" t="s">
        <v>964</v>
      </c>
      <c r="C3004" s="488" t="s">
        <v>10416</v>
      </c>
      <c r="D3004" s="489" t="s">
        <v>10417</v>
      </c>
      <c r="E3004" s="487" t="s">
        <v>10418</v>
      </c>
      <c r="F3004" s="490">
        <v>12500</v>
      </c>
      <c r="G3004" s="489">
        <v>310.39999999999998</v>
      </c>
      <c r="H3004" s="489">
        <v>40.270620000000001</v>
      </c>
      <c r="I3004" s="487" t="s">
        <v>1499</v>
      </c>
      <c r="J3004" s="487" t="s">
        <v>966</v>
      </c>
    </row>
    <row r="3005" spans="1:10" ht="15" x14ac:dyDescent="0.2">
      <c r="A3005" s="486" t="s">
        <v>965</v>
      </c>
      <c r="B3005" s="487" t="s">
        <v>964</v>
      </c>
      <c r="C3005" s="488" t="s">
        <v>10419</v>
      </c>
      <c r="D3005" s="489" t="s">
        <v>10420</v>
      </c>
      <c r="E3005" s="487" t="s">
        <v>10421</v>
      </c>
      <c r="F3005" s="490">
        <v>13997.24</v>
      </c>
      <c r="G3005" s="489">
        <v>186</v>
      </c>
      <c r="H3005" s="489">
        <v>75.253979999999999</v>
      </c>
      <c r="I3005" s="487" t="s">
        <v>1499</v>
      </c>
      <c r="J3005" s="487" t="s">
        <v>966</v>
      </c>
    </row>
    <row r="3006" spans="1:10" ht="15" x14ac:dyDescent="0.2">
      <c r="A3006" s="486" t="s">
        <v>965</v>
      </c>
      <c r="B3006" s="487" t="s">
        <v>964</v>
      </c>
      <c r="C3006" s="488" t="s">
        <v>10422</v>
      </c>
      <c r="D3006" s="489" t="s">
        <v>10423</v>
      </c>
      <c r="E3006" s="487" t="s">
        <v>10424</v>
      </c>
      <c r="F3006" s="490">
        <v>39716</v>
      </c>
      <c r="G3006" s="489">
        <v>1415.4</v>
      </c>
      <c r="H3006" s="489">
        <v>28.059909999999999</v>
      </c>
      <c r="I3006" s="487" t="s">
        <v>1499</v>
      </c>
      <c r="J3006" s="487" t="s">
        <v>966</v>
      </c>
    </row>
    <row r="3007" spans="1:10" ht="15" x14ac:dyDescent="0.2">
      <c r="A3007" s="486" t="s">
        <v>965</v>
      </c>
      <c r="B3007" s="487" t="s">
        <v>964</v>
      </c>
      <c r="C3007" s="488" t="s">
        <v>10425</v>
      </c>
      <c r="D3007" s="489" t="s">
        <v>10426</v>
      </c>
      <c r="E3007" s="487" t="s">
        <v>10427</v>
      </c>
      <c r="F3007" s="490">
        <v>2552</v>
      </c>
      <c r="G3007" s="489">
        <v>127.7</v>
      </c>
      <c r="H3007" s="489">
        <v>19.98434</v>
      </c>
      <c r="I3007" s="487" t="s">
        <v>1499</v>
      </c>
      <c r="J3007" s="487" t="s">
        <v>966</v>
      </c>
    </row>
    <row r="3008" spans="1:10" ht="15" x14ac:dyDescent="0.2">
      <c r="A3008" s="486" t="s">
        <v>965</v>
      </c>
      <c r="B3008" s="487" t="s">
        <v>964</v>
      </c>
      <c r="C3008" s="488" t="s">
        <v>10428</v>
      </c>
      <c r="D3008" s="489" t="s">
        <v>10429</v>
      </c>
      <c r="E3008" s="487" t="s">
        <v>10430</v>
      </c>
      <c r="F3008" s="490">
        <v>260000</v>
      </c>
      <c r="G3008" s="489">
        <v>2865.6</v>
      </c>
      <c r="H3008" s="489">
        <v>90.731430000000003</v>
      </c>
      <c r="I3008" s="487" t="s">
        <v>1499</v>
      </c>
      <c r="J3008" s="487" t="s">
        <v>966</v>
      </c>
    </row>
    <row r="3009" spans="1:10" ht="15" x14ac:dyDescent="0.2">
      <c r="A3009" s="486" t="s">
        <v>965</v>
      </c>
      <c r="B3009" s="487" t="s">
        <v>964</v>
      </c>
      <c r="C3009" s="488" t="s">
        <v>10431</v>
      </c>
      <c r="D3009" s="489" t="s">
        <v>10432</v>
      </c>
      <c r="E3009" s="487" t="s">
        <v>2188</v>
      </c>
      <c r="F3009" s="490">
        <v>8199</v>
      </c>
      <c r="G3009" s="489">
        <v>87.7</v>
      </c>
      <c r="H3009" s="489">
        <v>93.489170000000001</v>
      </c>
      <c r="I3009" s="487" t="s">
        <v>1499</v>
      </c>
      <c r="J3009" s="487" t="s">
        <v>966</v>
      </c>
    </row>
    <row r="3010" spans="1:10" ht="15" x14ac:dyDescent="0.2">
      <c r="A3010" s="486" t="s">
        <v>965</v>
      </c>
      <c r="B3010" s="487" t="s">
        <v>964</v>
      </c>
      <c r="C3010" s="488" t="s">
        <v>10433</v>
      </c>
      <c r="D3010" s="489" t="s">
        <v>10434</v>
      </c>
      <c r="E3010" s="487" t="s">
        <v>10435</v>
      </c>
      <c r="F3010" s="490">
        <v>44210</v>
      </c>
      <c r="G3010" s="489">
        <v>535.1</v>
      </c>
      <c r="H3010" s="489">
        <v>82.620069999999998</v>
      </c>
      <c r="I3010" s="487" t="s">
        <v>1499</v>
      </c>
      <c r="J3010" s="487" t="s">
        <v>966</v>
      </c>
    </row>
    <row r="3011" spans="1:10" ht="15" x14ac:dyDescent="0.2">
      <c r="A3011" s="486" t="s">
        <v>965</v>
      </c>
      <c r="B3011" s="487" t="s">
        <v>964</v>
      </c>
      <c r="C3011" s="488" t="s">
        <v>10436</v>
      </c>
      <c r="D3011" s="489" t="s">
        <v>10437</v>
      </c>
      <c r="E3011" s="487" t="s">
        <v>10438</v>
      </c>
      <c r="F3011" s="490">
        <v>5100</v>
      </c>
      <c r="G3011" s="489">
        <v>82.1</v>
      </c>
      <c r="H3011" s="489">
        <v>62.119370000000004</v>
      </c>
      <c r="I3011" s="487" t="s">
        <v>1499</v>
      </c>
      <c r="J3011" s="487" t="s">
        <v>966</v>
      </c>
    </row>
    <row r="3012" spans="1:10" ht="15" x14ac:dyDescent="0.2">
      <c r="A3012" s="486" t="s">
        <v>965</v>
      </c>
      <c r="B3012" s="487" t="s">
        <v>964</v>
      </c>
      <c r="C3012" s="488" t="s">
        <v>10439</v>
      </c>
      <c r="D3012" s="489" t="s">
        <v>10440</v>
      </c>
      <c r="E3012" s="487" t="s">
        <v>10441</v>
      </c>
      <c r="F3012" s="490">
        <v>9508</v>
      </c>
      <c r="G3012" s="489">
        <v>194.6</v>
      </c>
      <c r="H3012" s="489">
        <v>48.859200000000001</v>
      </c>
      <c r="I3012" s="487" t="s">
        <v>1499</v>
      </c>
      <c r="J3012" s="487" t="s">
        <v>966</v>
      </c>
    </row>
    <row r="3013" spans="1:10" ht="15" x14ac:dyDescent="0.2">
      <c r="A3013" s="486" t="s">
        <v>965</v>
      </c>
      <c r="B3013" s="487" t="s">
        <v>964</v>
      </c>
      <c r="C3013" s="488" t="s">
        <v>10442</v>
      </c>
      <c r="D3013" s="489" t="s">
        <v>10443</v>
      </c>
      <c r="E3013" s="487" t="s">
        <v>964</v>
      </c>
      <c r="F3013" s="490">
        <v>487270.25</v>
      </c>
      <c r="G3013" s="489">
        <v>5962.3</v>
      </c>
      <c r="H3013" s="489">
        <v>81.725219999999993</v>
      </c>
      <c r="I3013" s="487" t="s">
        <v>1499</v>
      </c>
      <c r="J3013" s="487" t="s">
        <v>966</v>
      </c>
    </row>
    <row r="3014" spans="1:10" ht="15" x14ac:dyDescent="0.2">
      <c r="A3014" s="486" t="s">
        <v>965</v>
      </c>
      <c r="B3014" s="487" t="s">
        <v>964</v>
      </c>
      <c r="C3014" s="488" t="s">
        <v>10444</v>
      </c>
      <c r="D3014" s="489" t="s">
        <v>10445</v>
      </c>
      <c r="E3014" s="487" t="s">
        <v>10446</v>
      </c>
      <c r="F3014" s="490">
        <v>107428</v>
      </c>
      <c r="G3014" s="489">
        <v>1496.2</v>
      </c>
      <c r="H3014" s="489">
        <v>71.800560000000004</v>
      </c>
      <c r="I3014" s="487" t="s">
        <v>1499</v>
      </c>
      <c r="J3014" s="487" t="s">
        <v>966</v>
      </c>
    </row>
    <row r="3015" spans="1:10" ht="15" x14ac:dyDescent="0.2">
      <c r="A3015" s="486" t="s">
        <v>965</v>
      </c>
      <c r="B3015" s="487" t="s">
        <v>964</v>
      </c>
      <c r="C3015" s="488" t="s">
        <v>10447</v>
      </c>
      <c r="D3015" s="489" t="s">
        <v>10448</v>
      </c>
      <c r="E3015" s="487" t="s">
        <v>10449</v>
      </c>
      <c r="F3015" s="490">
        <v>8600</v>
      </c>
      <c r="G3015" s="489">
        <v>147.5</v>
      </c>
      <c r="H3015" s="489">
        <v>58.305079999999997</v>
      </c>
      <c r="I3015" s="487" t="s">
        <v>1499</v>
      </c>
      <c r="J3015" s="487" t="s">
        <v>966</v>
      </c>
    </row>
    <row r="3016" spans="1:10" ht="15" x14ac:dyDescent="0.2">
      <c r="A3016" s="486" t="s">
        <v>965</v>
      </c>
      <c r="B3016" s="487" t="s">
        <v>964</v>
      </c>
      <c r="C3016" s="488" t="s">
        <v>10450</v>
      </c>
      <c r="D3016" s="489" t="s">
        <v>10451</v>
      </c>
      <c r="E3016" s="487" t="s">
        <v>10452</v>
      </c>
      <c r="F3016" s="490">
        <v>24150</v>
      </c>
      <c r="G3016" s="489">
        <v>539.9</v>
      </c>
      <c r="H3016" s="489">
        <v>44.730510000000002</v>
      </c>
      <c r="I3016" s="487" t="s">
        <v>1499</v>
      </c>
      <c r="J3016" s="487" t="s">
        <v>966</v>
      </c>
    </row>
    <row r="3017" spans="1:10" ht="15" x14ac:dyDescent="0.2">
      <c r="A3017" s="486" t="s">
        <v>965</v>
      </c>
      <c r="B3017" s="487" t="s">
        <v>964</v>
      </c>
      <c r="C3017" s="488" t="s">
        <v>10453</v>
      </c>
      <c r="D3017" s="489" t="s">
        <v>10454</v>
      </c>
      <c r="E3017" s="487" t="s">
        <v>10455</v>
      </c>
      <c r="F3017" s="490">
        <v>49000</v>
      </c>
      <c r="G3017" s="489">
        <v>579.70000000000005</v>
      </c>
      <c r="H3017" s="489">
        <v>84.526480000000006</v>
      </c>
      <c r="I3017" s="487" t="s">
        <v>1499</v>
      </c>
      <c r="J3017" s="487" t="s">
        <v>966</v>
      </c>
    </row>
    <row r="3018" spans="1:10" ht="15" x14ac:dyDescent="0.2">
      <c r="A3018" s="486" t="s">
        <v>965</v>
      </c>
      <c r="B3018" s="487" t="s">
        <v>964</v>
      </c>
      <c r="C3018" s="488" t="s">
        <v>10456</v>
      </c>
      <c r="D3018" s="489" t="s">
        <v>10457</v>
      </c>
      <c r="E3018" s="487" t="s">
        <v>10458</v>
      </c>
      <c r="F3018" s="490">
        <v>162843</v>
      </c>
      <c r="G3018" s="489">
        <v>1657.2</v>
      </c>
      <c r="H3018" s="489">
        <v>98.263940000000005</v>
      </c>
      <c r="I3018" s="487" t="s">
        <v>1499</v>
      </c>
      <c r="J3018" s="487" t="s">
        <v>966</v>
      </c>
    </row>
    <row r="3019" spans="1:10" ht="15" x14ac:dyDescent="0.2">
      <c r="A3019" s="486" t="s">
        <v>965</v>
      </c>
      <c r="B3019" s="487" t="s">
        <v>964</v>
      </c>
      <c r="C3019" s="488" t="s">
        <v>10459</v>
      </c>
      <c r="D3019" s="489" t="s">
        <v>10460</v>
      </c>
      <c r="E3019" s="487" t="s">
        <v>10461</v>
      </c>
      <c r="F3019" s="490">
        <v>35169</v>
      </c>
      <c r="G3019" s="489">
        <v>594.79999999999995</v>
      </c>
      <c r="H3019" s="489">
        <v>59.12744</v>
      </c>
      <c r="I3019" s="487" t="s">
        <v>1499</v>
      </c>
      <c r="J3019" s="487" t="s">
        <v>966</v>
      </c>
    </row>
    <row r="3020" spans="1:10" ht="15" x14ac:dyDescent="0.2">
      <c r="A3020" s="486" t="s">
        <v>965</v>
      </c>
      <c r="B3020" s="487" t="s">
        <v>964</v>
      </c>
      <c r="C3020" s="488" t="s">
        <v>10462</v>
      </c>
      <c r="D3020" s="489" t="s">
        <v>10463</v>
      </c>
      <c r="E3020" s="487" t="s">
        <v>8874</v>
      </c>
      <c r="F3020" s="490">
        <v>12036</v>
      </c>
      <c r="G3020" s="489">
        <v>189.5</v>
      </c>
      <c r="H3020" s="489">
        <v>63.514510000000001</v>
      </c>
      <c r="I3020" s="487" t="s">
        <v>1499</v>
      </c>
      <c r="J3020" s="487" t="s">
        <v>966</v>
      </c>
    </row>
    <row r="3021" spans="1:10" ht="15" x14ac:dyDescent="0.2">
      <c r="A3021" s="486" t="s">
        <v>965</v>
      </c>
      <c r="B3021" s="487" t="s">
        <v>964</v>
      </c>
      <c r="C3021" s="488" t="s">
        <v>10464</v>
      </c>
      <c r="D3021" s="489" t="s">
        <v>10465</v>
      </c>
      <c r="E3021" s="487" t="s">
        <v>10466</v>
      </c>
      <c r="F3021" s="490">
        <v>7651.8</v>
      </c>
      <c r="G3021" s="489">
        <v>87.5</v>
      </c>
      <c r="H3021" s="489">
        <v>87.44914</v>
      </c>
      <c r="I3021" s="487" t="s">
        <v>1499</v>
      </c>
      <c r="J3021" s="487" t="s">
        <v>966</v>
      </c>
    </row>
    <row r="3022" spans="1:10" ht="15" x14ac:dyDescent="0.2">
      <c r="A3022" s="486" t="s">
        <v>965</v>
      </c>
      <c r="B3022" s="487" t="s">
        <v>964</v>
      </c>
      <c r="C3022" s="488" t="s">
        <v>10467</v>
      </c>
      <c r="D3022" s="489" t="s">
        <v>10468</v>
      </c>
      <c r="E3022" s="487" t="s">
        <v>10469</v>
      </c>
      <c r="F3022" s="490">
        <v>38273</v>
      </c>
      <c r="G3022" s="489">
        <v>410.7</v>
      </c>
      <c r="H3022" s="489">
        <v>93.189679999999996</v>
      </c>
      <c r="I3022" s="487" t="s">
        <v>1499</v>
      </c>
      <c r="J3022" s="487" t="s">
        <v>966</v>
      </c>
    </row>
    <row r="3023" spans="1:10" ht="15" x14ac:dyDescent="0.2">
      <c r="A3023" s="486" t="s">
        <v>965</v>
      </c>
      <c r="B3023" s="487" t="s">
        <v>964</v>
      </c>
      <c r="C3023" s="488" t="s">
        <v>10470</v>
      </c>
      <c r="D3023" s="489" t="s">
        <v>10471</v>
      </c>
      <c r="E3023" s="487" t="s">
        <v>10472</v>
      </c>
      <c r="F3023" s="490">
        <v>123946</v>
      </c>
      <c r="G3023" s="489">
        <v>1023.3</v>
      </c>
      <c r="H3023" s="489">
        <v>121.12381999999999</v>
      </c>
      <c r="I3023" s="487" t="s">
        <v>1499</v>
      </c>
      <c r="J3023" s="487" t="s">
        <v>966</v>
      </c>
    </row>
    <row r="3024" spans="1:10" ht="15" x14ac:dyDescent="0.2">
      <c r="A3024" s="486" t="s">
        <v>965</v>
      </c>
      <c r="B3024" s="487" t="s">
        <v>964</v>
      </c>
      <c r="C3024" s="488" t="s">
        <v>10473</v>
      </c>
      <c r="D3024" s="489" t="s">
        <v>10474</v>
      </c>
      <c r="E3024" s="487" t="s">
        <v>10475</v>
      </c>
      <c r="F3024" s="490">
        <v>25730</v>
      </c>
      <c r="G3024" s="489">
        <v>463.9</v>
      </c>
      <c r="H3024" s="489">
        <v>55.46454</v>
      </c>
      <c r="I3024" s="487" t="s">
        <v>1499</v>
      </c>
      <c r="J3024" s="487" t="s">
        <v>966</v>
      </c>
    </row>
    <row r="3025" spans="1:10" ht="15" x14ac:dyDescent="0.2">
      <c r="A3025" s="486" t="s">
        <v>965</v>
      </c>
      <c r="B3025" s="487" t="s">
        <v>964</v>
      </c>
      <c r="C3025" s="488" t="s">
        <v>10476</v>
      </c>
      <c r="D3025" s="489" t="s">
        <v>10477</v>
      </c>
      <c r="E3025" s="487" t="s">
        <v>10478</v>
      </c>
      <c r="F3025" s="490">
        <v>17306</v>
      </c>
      <c r="G3025" s="489">
        <v>429.6</v>
      </c>
      <c r="H3025" s="489">
        <v>40.283990000000003</v>
      </c>
      <c r="I3025" s="487" t="s">
        <v>1499</v>
      </c>
      <c r="J3025" s="487" t="s">
        <v>966</v>
      </c>
    </row>
    <row r="3026" spans="1:10" ht="15" x14ac:dyDescent="0.2">
      <c r="A3026" s="486" t="s">
        <v>965</v>
      </c>
      <c r="B3026" s="487" t="s">
        <v>964</v>
      </c>
      <c r="C3026" s="488" t="s">
        <v>10479</v>
      </c>
      <c r="D3026" s="489" t="s">
        <v>10480</v>
      </c>
      <c r="E3026" s="487" t="s">
        <v>10481</v>
      </c>
      <c r="F3026" s="490">
        <v>13500</v>
      </c>
      <c r="G3026" s="489">
        <v>275.5</v>
      </c>
      <c r="H3026" s="489">
        <v>49.001809999999999</v>
      </c>
      <c r="I3026" s="487" t="s">
        <v>1499</v>
      </c>
      <c r="J3026" s="487" t="s">
        <v>966</v>
      </c>
    </row>
    <row r="3027" spans="1:10" ht="15" x14ac:dyDescent="0.2">
      <c r="A3027" s="486" t="s">
        <v>965</v>
      </c>
      <c r="B3027" s="487" t="s">
        <v>964</v>
      </c>
      <c r="C3027" s="488" t="s">
        <v>10482</v>
      </c>
      <c r="D3027" s="489" t="s">
        <v>10483</v>
      </c>
      <c r="E3027" s="487" t="s">
        <v>10484</v>
      </c>
      <c r="F3027" s="490">
        <v>6301</v>
      </c>
      <c r="G3027" s="489">
        <v>78.400000000000006</v>
      </c>
      <c r="H3027" s="489">
        <v>80.369900000000001</v>
      </c>
      <c r="I3027" s="487" t="s">
        <v>1499</v>
      </c>
      <c r="J3027" s="487" t="s">
        <v>966</v>
      </c>
    </row>
    <row r="3028" spans="1:10" ht="15" x14ac:dyDescent="0.2">
      <c r="A3028" s="486" t="s">
        <v>965</v>
      </c>
      <c r="B3028" s="487" t="s">
        <v>964</v>
      </c>
      <c r="C3028" s="488" t="s">
        <v>10485</v>
      </c>
      <c r="D3028" s="489" t="s">
        <v>10486</v>
      </c>
      <c r="E3028" s="487" t="s">
        <v>10487</v>
      </c>
      <c r="F3028" s="490">
        <v>24530</v>
      </c>
      <c r="G3028" s="489">
        <v>1022.1</v>
      </c>
      <c r="H3028" s="489">
        <v>23.999610000000001</v>
      </c>
      <c r="I3028" s="487" t="s">
        <v>1499</v>
      </c>
      <c r="J3028" s="487" t="s">
        <v>966</v>
      </c>
    </row>
    <row r="3029" spans="1:10" ht="15" x14ac:dyDescent="0.2">
      <c r="A3029" s="486" t="s">
        <v>965</v>
      </c>
      <c r="B3029" s="487" t="s">
        <v>964</v>
      </c>
      <c r="C3029" s="488" t="s">
        <v>10488</v>
      </c>
      <c r="D3029" s="489" t="s">
        <v>10489</v>
      </c>
      <c r="E3029" s="487" t="s">
        <v>10490</v>
      </c>
      <c r="F3029" s="490">
        <v>5211</v>
      </c>
      <c r="G3029" s="489">
        <v>260.8</v>
      </c>
      <c r="H3029" s="489">
        <v>19.980830000000001</v>
      </c>
      <c r="I3029" s="487" t="s">
        <v>1499</v>
      </c>
      <c r="J3029" s="487" t="s">
        <v>966</v>
      </c>
    </row>
    <row r="3030" spans="1:10" ht="15" x14ac:dyDescent="0.2">
      <c r="A3030" s="486" t="s">
        <v>965</v>
      </c>
      <c r="B3030" s="487" t="s">
        <v>964</v>
      </c>
      <c r="C3030" s="488" t="s">
        <v>10491</v>
      </c>
      <c r="D3030" s="489" t="s">
        <v>10492</v>
      </c>
      <c r="E3030" s="487" t="s">
        <v>10493</v>
      </c>
      <c r="F3030" s="490">
        <v>34213</v>
      </c>
      <c r="G3030" s="489">
        <v>282</v>
      </c>
      <c r="H3030" s="489">
        <v>121.3227</v>
      </c>
      <c r="I3030" s="487" t="s">
        <v>1499</v>
      </c>
      <c r="J3030" s="487" t="s">
        <v>966</v>
      </c>
    </row>
    <row r="3031" spans="1:10" ht="15" x14ac:dyDescent="0.2">
      <c r="A3031" s="486" t="s">
        <v>965</v>
      </c>
      <c r="B3031" s="487" t="s">
        <v>964</v>
      </c>
      <c r="C3031" s="488" t="s">
        <v>10494</v>
      </c>
      <c r="D3031" s="489" t="s">
        <v>10495</v>
      </c>
      <c r="E3031" s="487" t="s">
        <v>10496</v>
      </c>
      <c r="F3031" s="490">
        <v>30500</v>
      </c>
      <c r="G3031" s="489">
        <v>276.3</v>
      </c>
      <c r="H3031" s="489">
        <v>110.38726</v>
      </c>
      <c r="I3031" s="487" t="s">
        <v>1499</v>
      </c>
      <c r="J3031" s="487" t="s">
        <v>966</v>
      </c>
    </row>
    <row r="3032" spans="1:10" ht="15" x14ac:dyDescent="0.2">
      <c r="A3032" s="486" t="s">
        <v>1128</v>
      </c>
      <c r="B3032" s="487" t="s">
        <v>1127</v>
      </c>
      <c r="C3032" s="488" t="s">
        <v>10497</v>
      </c>
      <c r="D3032" s="489" t="s">
        <v>10498</v>
      </c>
      <c r="E3032" s="487" t="s">
        <v>10499</v>
      </c>
      <c r="F3032" s="490">
        <v>149780</v>
      </c>
      <c r="G3032" s="489">
        <v>1219.8</v>
      </c>
      <c r="H3032" s="489">
        <v>122.79062</v>
      </c>
      <c r="I3032" s="487" t="s">
        <v>1499</v>
      </c>
      <c r="J3032" s="487" t="s">
        <v>1129</v>
      </c>
    </row>
    <row r="3033" spans="1:10" ht="15" x14ac:dyDescent="0.2">
      <c r="A3033" s="486" t="s">
        <v>1128</v>
      </c>
      <c r="B3033" s="487" t="s">
        <v>1127</v>
      </c>
      <c r="C3033" s="488" t="s">
        <v>10500</v>
      </c>
      <c r="D3033" s="489" t="s">
        <v>10501</v>
      </c>
      <c r="E3033" s="487" t="s">
        <v>10502</v>
      </c>
      <c r="F3033" s="490">
        <v>81246</v>
      </c>
      <c r="G3033" s="489">
        <v>637.20000000000005</v>
      </c>
      <c r="H3033" s="489">
        <v>127.50471</v>
      </c>
      <c r="I3033" s="487" t="s">
        <v>1499</v>
      </c>
      <c r="J3033" s="487" t="s">
        <v>1129</v>
      </c>
    </row>
    <row r="3034" spans="1:10" ht="15" x14ac:dyDescent="0.2">
      <c r="A3034" s="486" t="s">
        <v>1128</v>
      </c>
      <c r="B3034" s="487" t="s">
        <v>1127</v>
      </c>
      <c r="C3034" s="488" t="s">
        <v>10503</v>
      </c>
      <c r="D3034" s="489" t="s">
        <v>10504</v>
      </c>
      <c r="E3034" s="487" t="s">
        <v>10505</v>
      </c>
      <c r="F3034" s="490">
        <v>66951</v>
      </c>
      <c r="G3034" s="489">
        <v>579.29999999999995</v>
      </c>
      <c r="H3034" s="489">
        <v>115.57223999999999</v>
      </c>
      <c r="I3034" s="487" t="s">
        <v>1499</v>
      </c>
      <c r="J3034" s="487" t="s">
        <v>1129</v>
      </c>
    </row>
    <row r="3035" spans="1:10" ht="15" x14ac:dyDescent="0.2">
      <c r="A3035" s="486" t="s">
        <v>1128</v>
      </c>
      <c r="B3035" s="487" t="s">
        <v>1127</v>
      </c>
      <c r="C3035" s="488" t="s">
        <v>10506</v>
      </c>
      <c r="D3035" s="489" t="s">
        <v>10507</v>
      </c>
      <c r="E3035" s="487" t="s">
        <v>10508</v>
      </c>
      <c r="F3035" s="490">
        <v>4640</v>
      </c>
      <c r="G3035" s="489">
        <v>68.5</v>
      </c>
      <c r="H3035" s="489">
        <v>67.737229999999997</v>
      </c>
      <c r="I3035" s="487" t="s">
        <v>1499</v>
      </c>
      <c r="J3035" s="487" t="s">
        <v>1129</v>
      </c>
    </row>
    <row r="3036" spans="1:10" ht="15" x14ac:dyDescent="0.2">
      <c r="A3036" s="486" t="s">
        <v>1128</v>
      </c>
      <c r="B3036" s="487" t="s">
        <v>1127</v>
      </c>
      <c r="C3036" s="488" t="s">
        <v>10509</v>
      </c>
      <c r="D3036" s="489" t="s">
        <v>10510</v>
      </c>
      <c r="E3036" s="487" t="s">
        <v>10511</v>
      </c>
      <c r="F3036" s="490">
        <v>89427</v>
      </c>
      <c r="G3036" s="489">
        <v>2250.3000000000002</v>
      </c>
      <c r="H3036" s="489">
        <v>39.740029999999997</v>
      </c>
      <c r="I3036" s="487" t="s">
        <v>1499</v>
      </c>
      <c r="J3036" s="487" t="s">
        <v>1129</v>
      </c>
    </row>
    <row r="3037" spans="1:10" ht="15" x14ac:dyDescent="0.2">
      <c r="A3037" s="486" t="s">
        <v>1128</v>
      </c>
      <c r="B3037" s="487" t="s">
        <v>1127</v>
      </c>
      <c r="C3037" s="488" t="s">
        <v>10512</v>
      </c>
      <c r="D3037" s="489" t="s">
        <v>10513</v>
      </c>
      <c r="E3037" s="487" t="s">
        <v>10514</v>
      </c>
      <c r="F3037" s="490">
        <v>209638</v>
      </c>
      <c r="G3037" s="489">
        <v>4808.2</v>
      </c>
      <c r="H3037" s="489">
        <v>43.600099999999998</v>
      </c>
      <c r="I3037" s="487" t="s">
        <v>1499</v>
      </c>
      <c r="J3037" s="487" t="s">
        <v>1129</v>
      </c>
    </row>
    <row r="3038" spans="1:10" ht="15" x14ac:dyDescent="0.2">
      <c r="A3038" s="486" t="s">
        <v>1128</v>
      </c>
      <c r="B3038" s="487" t="s">
        <v>1127</v>
      </c>
      <c r="C3038" s="488" t="s">
        <v>10515</v>
      </c>
      <c r="D3038" s="489" t="s">
        <v>10516</v>
      </c>
      <c r="E3038" s="487" t="s">
        <v>10517</v>
      </c>
      <c r="F3038" s="490">
        <v>462780</v>
      </c>
      <c r="G3038" s="489">
        <v>3896.3</v>
      </c>
      <c r="H3038" s="489">
        <v>118.77422</v>
      </c>
      <c r="I3038" s="487" t="s">
        <v>1499</v>
      </c>
      <c r="J3038" s="487" t="s">
        <v>1129</v>
      </c>
    </row>
    <row r="3039" spans="1:10" ht="15" x14ac:dyDescent="0.2">
      <c r="A3039" s="486" t="s">
        <v>1128</v>
      </c>
      <c r="B3039" s="487" t="s">
        <v>1127</v>
      </c>
      <c r="C3039" s="488" t="s">
        <v>10518</v>
      </c>
      <c r="D3039" s="489" t="s">
        <v>10519</v>
      </c>
      <c r="E3039" s="487" t="s">
        <v>10520</v>
      </c>
      <c r="F3039" s="490">
        <v>252417</v>
      </c>
      <c r="G3039" s="489">
        <v>2664.4</v>
      </c>
      <c r="H3039" s="489">
        <v>94.736900000000006</v>
      </c>
      <c r="I3039" s="487" t="s">
        <v>1499</v>
      </c>
      <c r="J3039" s="487" t="s">
        <v>1129</v>
      </c>
    </row>
    <row r="3040" spans="1:10" ht="15" x14ac:dyDescent="0.2">
      <c r="A3040" s="486" t="s">
        <v>1128</v>
      </c>
      <c r="B3040" s="487" t="s">
        <v>1127</v>
      </c>
      <c r="C3040" s="488" t="s">
        <v>10521</v>
      </c>
      <c r="D3040" s="489" t="s">
        <v>10522</v>
      </c>
      <c r="E3040" s="487" t="s">
        <v>10523</v>
      </c>
      <c r="F3040" s="490">
        <v>10760</v>
      </c>
      <c r="G3040" s="489">
        <v>104.3</v>
      </c>
      <c r="H3040" s="489">
        <v>103.16395</v>
      </c>
      <c r="I3040" s="487" t="s">
        <v>1499</v>
      </c>
      <c r="J3040" s="487" t="s">
        <v>1129</v>
      </c>
    </row>
    <row r="3041" spans="1:10" ht="15" x14ac:dyDescent="0.2">
      <c r="A3041" s="486" t="s">
        <v>1128</v>
      </c>
      <c r="B3041" s="487" t="s">
        <v>1127</v>
      </c>
      <c r="C3041" s="488" t="s">
        <v>10524</v>
      </c>
      <c r="D3041" s="489" t="s">
        <v>10525</v>
      </c>
      <c r="E3041" s="487" t="s">
        <v>10526</v>
      </c>
      <c r="F3041" s="490">
        <v>112545</v>
      </c>
      <c r="G3041" s="489">
        <v>1032.2</v>
      </c>
      <c r="H3041" s="489">
        <v>109.0341</v>
      </c>
      <c r="I3041" s="487" t="s">
        <v>1499</v>
      </c>
      <c r="J3041" s="487" t="s">
        <v>1129</v>
      </c>
    </row>
    <row r="3042" spans="1:10" ht="15" x14ac:dyDescent="0.2">
      <c r="A3042" s="486" t="s">
        <v>1128</v>
      </c>
      <c r="B3042" s="487" t="s">
        <v>1127</v>
      </c>
      <c r="C3042" s="488" t="s">
        <v>10527</v>
      </c>
      <c r="D3042" s="489" t="s">
        <v>10528</v>
      </c>
      <c r="E3042" s="487" t="s">
        <v>10529</v>
      </c>
      <c r="F3042" s="490">
        <v>672095</v>
      </c>
      <c r="G3042" s="489">
        <v>12405.3</v>
      </c>
      <c r="H3042" s="489">
        <v>54.178049999999999</v>
      </c>
      <c r="I3042" s="487" t="s">
        <v>1499</v>
      </c>
      <c r="J3042" s="487" t="s">
        <v>1129</v>
      </c>
    </row>
    <row r="3043" spans="1:10" ht="15" x14ac:dyDescent="0.2">
      <c r="A3043" s="486" t="s">
        <v>1128</v>
      </c>
      <c r="B3043" s="487" t="s">
        <v>1127</v>
      </c>
      <c r="C3043" s="488" t="s">
        <v>10530</v>
      </c>
      <c r="D3043" s="489" t="s">
        <v>10531</v>
      </c>
      <c r="E3043" s="487" t="s">
        <v>1127</v>
      </c>
      <c r="F3043" s="490">
        <v>290037</v>
      </c>
      <c r="G3043" s="489">
        <v>3638.1</v>
      </c>
      <c r="H3043" s="489">
        <v>79.722110000000001</v>
      </c>
      <c r="I3043" s="487" t="s">
        <v>1499</v>
      </c>
      <c r="J3043" s="487" t="s">
        <v>1129</v>
      </c>
    </row>
    <row r="3044" spans="1:10" ht="15" x14ac:dyDescent="0.2">
      <c r="A3044" s="486" t="s">
        <v>1128</v>
      </c>
      <c r="B3044" s="487" t="s">
        <v>1127</v>
      </c>
      <c r="C3044" s="488" t="s">
        <v>10532</v>
      </c>
      <c r="D3044" s="489" t="s">
        <v>10533</v>
      </c>
      <c r="E3044" s="487" t="s">
        <v>10534</v>
      </c>
      <c r="F3044" s="490">
        <v>33600</v>
      </c>
      <c r="G3044" s="489">
        <v>228.7</v>
      </c>
      <c r="H3044" s="489">
        <v>146.91736</v>
      </c>
      <c r="I3044" s="487" t="s">
        <v>1499</v>
      </c>
      <c r="J3044" s="487" t="s">
        <v>1129</v>
      </c>
    </row>
    <row r="3045" spans="1:10" ht="15" x14ac:dyDescent="0.2">
      <c r="A3045" s="486" t="s">
        <v>1128</v>
      </c>
      <c r="B3045" s="487" t="s">
        <v>1127</v>
      </c>
      <c r="C3045" s="488" t="s">
        <v>10535</v>
      </c>
      <c r="D3045" s="489" t="s">
        <v>10536</v>
      </c>
      <c r="E3045" s="487" t="s">
        <v>1263</v>
      </c>
      <c r="F3045" s="490">
        <v>9130</v>
      </c>
      <c r="G3045" s="489">
        <v>49.4</v>
      </c>
      <c r="H3045" s="489">
        <v>184.81781000000001</v>
      </c>
      <c r="I3045" s="487" t="s">
        <v>1499</v>
      </c>
      <c r="J3045" s="487" t="s">
        <v>1129</v>
      </c>
    </row>
    <row r="3046" spans="1:10" ht="15" x14ac:dyDescent="0.2">
      <c r="A3046" s="486" t="s">
        <v>1290</v>
      </c>
      <c r="B3046" s="487" t="s">
        <v>1289</v>
      </c>
      <c r="C3046" s="488" t="s">
        <v>10537</v>
      </c>
      <c r="D3046" s="489" t="s">
        <v>10538</v>
      </c>
      <c r="E3046" s="487" t="s">
        <v>10539</v>
      </c>
      <c r="F3046" s="490">
        <v>106218</v>
      </c>
      <c r="G3046" s="489">
        <v>1035.4000000000001</v>
      </c>
      <c r="H3046" s="489">
        <v>102.58644</v>
      </c>
      <c r="I3046" s="487" t="s">
        <v>1499</v>
      </c>
      <c r="J3046" s="487" t="s">
        <v>1291</v>
      </c>
    </row>
    <row r="3047" spans="1:10" ht="15" x14ac:dyDescent="0.2">
      <c r="A3047" s="486" t="s">
        <v>1290</v>
      </c>
      <c r="B3047" s="487" t="s">
        <v>1289</v>
      </c>
      <c r="C3047" s="488" t="s">
        <v>10540</v>
      </c>
      <c r="D3047" s="489" t="s">
        <v>10541</v>
      </c>
      <c r="E3047" s="487" t="s">
        <v>10542</v>
      </c>
      <c r="F3047" s="490">
        <v>97309</v>
      </c>
      <c r="G3047" s="489">
        <v>1209.8</v>
      </c>
      <c r="H3047" s="489">
        <v>80.433959999999999</v>
      </c>
      <c r="I3047" s="487" t="s">
        <v>1499</v>
      </c>
      <c r="J3047" s="487" t="s">
        <v>1291</v>
      </c>
    </row>
    <row r="3048" spans="1:10" ht="15" x14ac:dyDescent="0.2">
      <c r="A3048" s="486" t="s">
        <v>1290</v>
      </c>
      <c r="B3048" s="487" t="s">
        <v>1289</v>
      </c>
      <c r="C3048" s="488" t="s">
        <v>10543</v>
      </c>
      <c r="D3048" s="489" t="s">
        <v>10544</v>
      </c>
      <c r="E3048" s="487" t="s">
        <v>10545</v>
      </c>
      <c r="F3048" s="490">
        <v>4400</v>
      </c>
      <c r="G3048" s="489">
        <v>130.80000000000001</v>
      </c>
      <c r="H3048" s="489">
        <v>33.639139999999998</v>
      </c>
      <c r="I3048" s="487" t="s">
        <v>1499</v>
      </c>
      <c r="J3048" s="487" t="s">
        <v>1291</v>
      </c>
    </row>
    <row r="3049" spans="1:10" ht="15" x14ac:dyDescent="0.2">
      <c r="A3049" s="486" t="s">
        <v>1290</v>
      </c>
      <c r="B3049" s="487" t="s">
        <v>1289</v>
      </c>
      <c r="C3049" s="488" t="s">
        <v>10546</v>
      </c>
      <c r="D3049" s="489" t="s">
        <v>10547</v>
      </c>
      <c r="E3049" s="487" t="s">
        <v>2345</v>
      </c>
      <c r="F3049" s="490">
        <v>71500</v>
      </c>
      <c r="G3049" s="489">
        <v>496.8</v>
      </c>
      <c r="H3049" s="489">
        <v>143.9211</v>
      </c>
      <c r="I3049" s="487" t="s">
        <v>1499</v>
      </c>
      <c r="J3049" s="487" t="s">
        <v>1291</v>
      </c>
    </row>
    <row r="3050" spans="1:10" ht="15" x14ac:dyDescent="0.2">
      <c r="A3050" s="486" t="s">
        <v>1290</v>
      </c>
      <c r="B3050" s="487" t="s">
        <v>1289</v>
      </c>
      <c r="C3050" s="488" t="s">
        <v>10548</v>
      </c>
      <c r="D3050" s="489" t="s">
        <v>10549</v>
      </c>
      <c r="E3050" s="487" t="s">
        <v>10550</v>
      </c>
      <c r="F3050" s="490">
        <v>247500</v>
      </c>
      <c r="G3050" s="489">
        <v>3097.1</v>
      </c>
      <c r="H3050" s="489">
        <v>79.913470000000004</v>
      </c>
      <c r="I3050" s="487" t="s">
        <v>1499</v>
      </c>
      <c r="J3050" s="487" t="s">
        <v>1291</v>
      </c>
    </row>
    <row r="3051" spans="1:10" ht="15" x14ac:dyDescent="0.2">
      <c r="A3051" s="486" t="s">
        <v>1290</v>
      </c>
      <c r="B3051" s="487" t="s">
        <v>1289</v>
      </c>
      <c r="C3051" s="488" t="s">
        <v>10551</v>
      </c>
      <c r="D3051" s="489" t="s">
        <v>10552</v>
      </c>
      <c r="E3051" s="487" t="s">
        <v>10553</v>
      </c>
      <c r="F3051" s="490">
        <v>78250</v>
      </c>
      <c r="G3051" s="489">
        <v>972.2</v>
      </c>
      <c r="H3051" s="489">
        <v>80.487549999999999</v>
      </c>
      <c r="I3051" s="487" t="s">
        <v>1499</v>
      </c>
      <c r="J3051" s="487" t="s">
        <v>1291</v>
      </c>
    </row>
    <row r="3052" spans="1:10" ht="15" x14ac:dyDescent="0.2">
      <c r="A3052" s="486" t="s">
        <v>1290</v>
      </c>
      <c r="B3052" s="487" t="s">
        <v>1289</v>
      </c>
      <c r="C3052" s="488" t="s">
        <v>10554</v>
      </c>
      <c r="D3052" s="489" t="s">
        <v>10555</v>
      </c>
      <c r="E3052" s="487" t="s">
        <v>10556</v>
      </c>
      <c r="F3052" s="490">
        <v>15774</v>
      </c>
      <c r="G3052" s="489">
        <v>278.89999999999998</v>
      </c>
      <c r="H3052" s="489">
        <v>56.55791</v>
      </c>
      <c r="I3052" s="487" t="s">
        <v>1499</v>
      </c>
      <c r="J3052" s="487" t="s">
        <v>1291</v>
      </c>
    </row>
    <row r="3053" spans="1:10" ht="15" x14ac:dyDescent="0.2">
      <c r="A3053" s="486" t="s">
        <v>1290</v>
      </c>
      <c r="B3053" s="487" t="s">
        <v>1289</v>
      </c>
      <c r="C3053" s="488" t="s">
        <v>10557</v>
      </c>
      <c r="D3053" s="489" t="s">
        <v>10558</v>
      </c>
      <c r="E3053" s="487" t="s">
        <v>10559</v>
      </c>
      <c r="F3053" s="490">
        <v>754958</v>
      </c>
      <c r="G3053" s="489">
        <v>8890.1</v>
      </c>
      <c r="H3053" s="489">
        <v>84.921199999999999</v>
      </c>
      <c r="I3053" s="487" t="s">
        <v>1499</v>
      </c>
      <c r="J3053" s="487" t="s">
        <v>1291</v>
      </c>
    </row>
    <row r="3054" spans="1:10" ht="15" x14ac:dyDescent="0.2">
      <c r="A3054" s="486" t="s">
        <v>1290</v>
      </c>
      <c r="B3054" s="487" t="s">
        <v>1289</v>
      </c>
      <c r="C3054" s="488" t="s">
        <v>10560</v>
      </c>
      <c r="D3054" s="489" t="s">
        <v>10561</v>
      </c>
      <c r="E3054" s="487" t="s">
        <v>10562</v>
      </c>
      <c r="F3054" s="490">
        <v>165000</v>
      </c>
      <c r="G3054" s="489">
        <v>1130.0999999999999</v>
      </c>
      <c r="H3054" s="489">
        <v>146.00478000000001</v>
      </c>
      <c r="I3054" s="487" t="s">
        <v>1499</v>
      </c>
      <c r="J3054" s="487" t="s">
        <v>1291</v>
      </c>
    </row>
    <row r="3055" spans="1:10" ht="15" x14ac:dyDescent="0.2">
      <c r="A3055" s="486" t="s">
        <v>1290</v>
      </c>
      <c r="B3055" s="487" t="s">
        <v>1289</v>
      </c>
      <c r="C3055" s="488" t="s">
        <v>10563</v>
      </c>
      <c r="D3055" s="489" t="s">
        <v>10564</v>
      </c>
      <c r="E3055" s="487" t="s">
        <v>10565</v>
      </c>
      <c r="F3055" s="490">
        <v>33725</v>
      </c>
      <c r="G3055" s="489">
        <v>441.3</v>
      </c>
      <c r="H3055" s="489">
        <v>76.421940000000006</v>
      </c>
      <c r="I3055" s="487" t="s">
        <v>1499</v>
      </c>
      <c r="J3055" s="487" t="s">
        <v>1291</v>
      </c>
    </row>
    <row r="3056" spans="1:10" ht="15" x14ac:dyDescent="0.2">
      <c r="A3056" s="486" t="s">
        <v>1290</v>
      </c>
      <c r="B3056" s="487" t="s">
        <v>1289</v>
      </c>
      <c r="C3056" s="488" t="s">
        <v>10566</v>
      </c>
      <c r="D3056" s="489" t="s">
        <v>10567</v>
      </c>
      <c r="E3056" s="487" t="s">
        <v>10568</v>
      </c>
      <c r="F3056" s="490">
        <v>31485</v>
      </c>
      <c r="G3056" s="489">
        <v>395.4</v>
      </c>
      <c r="H3056" s="489">
        <v>79.628219999999999</v>
      </c>
      <c r="I3056" s="487" t="s">
        <v>1499</v>
      </c>
      <c r="J3056" s="487" t="s">
        <v>1291</v>
      </c>
    </row>
    <row r="3057" spans="1:10" ht="15" x14ac:dyDescent="0.2">
      <c r="A3057" s="486" t="s">
        <v>1290</v>
      </c>
      <c r="B3057" s="487" t="s">
        <v>1289</v>
      </c>
      <c r="C3057" s="488" t="s">
        <v>10569</v>
      </c>
      <c r="D3057" s="489" t="s">
        <v>10570</v>
      </c>
      <c r="E3057" s="487" t="s">
        <v>10571</v>
      </c>
      <c r="F3057" s="490">
        <v>217258</v>
      </c>
      <c r="G3057" s="489">
        <v>5749.1</v>
      </c>
      <c r="H3057" s="489">
        <v>37.789909999999999</v>
      </c>
      <c r="I3057" s="487" t="s">
        <v>1499</v>
      </c>
      <c r="J3057" s="487" t="s">
        <v>1291</v>
      </c>
    </row>
    <row r="3058" spans="1:10" ht="15" x14ac:dyDescent="0.2">
      <c r="A3058" s="486" t="s">
        <v>1290</v>
      </c>
      <c r="B3058" s="487" t="s">
        <v>1289</v>
      </c>
      <c r="C3058" s="488" t="s">
        <v>10572</v>
      </c>
      <c r="D3058" s="489" t="s">
        <v>10573</v>
      </c>
      <c r="E3058" s="487" t="s">
        <v>10574</v>
      </c>
      <c r="F3058" s="490">
        <v>185360</v>
      </c>
      <c r="G3058" s="489">
        <v>1823.9</v>
      </c>
      <c r="H3058" s="489">
        <v>101.62838000000001</v>
      </c>
      <c r="I3058" s="487" t="s">
        <v>1499</v>
      </c>
      <c r="J3058" s="487" t="s">
        <v>1291</v>
      </c>
    </row>
    <row r="3059" spans="1:10" ht="15" x14ac:dyDescent="0.2">
      <c r="A3059" s="486" t="s">
        <v>1290</v>
      </c>
      <c r="B3059" s="487" t="s">
        <v>1289</v>
      </c>
      <c r="C3059" s="488" t="s">
        <v>10575</v>
      </c>
      <c r="D3059" s="489" t="s">
        <v>10576</v>
      </c>
      <c r="E3059" s="487" t="s">
        <v>10577</v>
      </c>
      <c r="F3059" s="490">
        <v>5000</v>
      </c>
      <c r="G3059" s="489">
        <v>121.4</v>
      </c>
      <c r="H3059" s="489">
        <v>41.186160000000001</v>
      </c>
      <c r="I3059" s="487" t="s">
        <v>1499</v>
      </c>
      <c r="J3059" s="487" t="s">
        <v>1291</v>
      </c>
    </row>
    <row r="3060" spans="1:10" ht="15" x14ac:dyDescent="0.2">
      <c r="A3060" s="486" t="s">
        <v>1290</v>
      </c>
      <c r="B3060" s="487" t="s">
        <v>1289</v>
      </c>
      <c r="C3060" s="488" t="s">
        <v>10578</v>
      </c>
      <c r="D3060" s="489" t="s">
        <v>10579</v>
      </c>
      <c r="E3060" s="487" t="s">
        <v>10580</v>
      </c>
      <c r="F3060" s="490">
        <v>1800</v>
      </c>
      <c r="G3060" s="489">
        <v>103.8</v>
      </c>
      <c r="H3060" s="489">
        <v>17.34104</v>
      </c>
      <c r="I3060" s="487" t="s">
        <v>1499</v>
      </c>
      <c r="J3060" s="487" t="s">
        <v>1291</v>
      </c>
    </row>
    <row r="3061" spans="1:10" ht="15" x14ac:dyDescent="0.2">
      <c r="A3061" s="486" t="s">
        <v>1290</v>
      </c>
      <c r="B3061" s="487" t="s">
        <v>1289</v>
      </c>
      <c r="C3061" s="488" t="s">
        <v>10581</v>
      </c>
      <c r="D3061" s="489" t="s">
        <v>10582</v>
      </c>
      <c r="E3061" s="487" t="s">
        <v>10583</v>
      </c>
      <c r="F3061" s="490">
        <v>90700</v>
      </c>
      <c r="G3061" s="489">
        <v>1095.7</v>
      </c>
      <c r="H3061" s="489">
        <v>82.778130000000004</v>
      </c>
      <c r="I3061" s="487" t="s">
        <v>1499</v>
      </c>
      <c r="J3061" s="487" t="s">
        <v>1291</v>
      </c>
    </row>
    <row r="3062" spans="1:10" ht="15" x14ac:dyDescent="0.2">
      <c r="A3062" s="486" t="s">
        <v>1290</v>
      </c>
      <c r="B3062" s="487" t="s">
        <v>1289</v>
      </c>
      <c r="C3062" s="488" t="s">
        <v>10584</v>
      </c>
      <c r="D3062" s="489" t="s">
        <v>10585</v>
      </c>
      <c r="E3062" s="487" t="s">
        <v>10586</v>
      </c>
      <c r="F3062" s="490">
        <v>23405</v>
      </c>
      <c r="G3062" s="489">
        <v>391.4</v>
      </c>
      <c r="H3062" s="489">
        <v>59.798160000000003</v>
      </c>
      <c r="I3062" s="487" t="s">
        <v>1499</v>
      </c>
      <c r="J3062" s="487" t="s">
        <v>1291</v>
      </c>
    </row>
    <row r="3063" spans="1:10" ht="15" x14ac:dyDescent="0.2">
      <c r="A3063" s="486" t="s">
        <v>1290</v>
      </c>
      <c r="B3063" s="487" t="s">
        <v>1289</v>
      </c>
      <c r="C3063" s="488" t="s">
        <v>10587</v>
      </c>
      <c r="D3063" s="489" t="s">
        <v>10588</v>
      </c>
      <c r="E3063" s="487" t="s">
        <v>10589</v>
      </c>
      <c r="F3063" s="490">
        <v>36000</v>
      </c>
      <c r="G3063" s="489">
        <v>349.1</v>
      </c>
      <c r="H3063" s="489">
        <v>103.12231</v>
      </c>
      <c r="I3063" s="487" t="s">
        <v>1499</v>
      </c>
      <c r="J3063" s="487" t="s">
        <v>1291</v>
      </c>
    </row>
    <row r="3064" spans="1:10" ht="15" x14ac:dyDescent="0.2">
      <c r="A3064" s="486" t="s">
        <v>1290</v>
      </c>
      <c r="B3064" s="487" t="s">
        <v>1289</v>
      </c>
      <c r="C3064" s="488" t="s">
        <v>10590</v>
      </c>
      <c r="D3064" s="489" t="s">
        <v>10591</v>
      </c>
      <c r="E3064" s="487" t="s">
        <v>10592</v>
      </c>
      <c r="F3064" s="490">
        <v>104945</v>
      </c>
      <c r="G3064" s="489">
        <v>1329.2</v>
      </c>
      <c r="H3064" s="489">
        <v>78.953509999999994</v>
      </c>
      <c r="I3064" s="487" t="s">
        <v>1499</v>
      </c>
      <c r="J3064" s="487" t="s">
        <v>1291</v>
      </c>
    </row>
    <row r="3065" spans="1:10" ht="15" x14ac:dyDescent="0.2">
      <c r="A3065" s="486" t="s">
        <v>1290</v>
      </c>
      <c r="B3065" s="487" t="s">
        <v>1289</v>
      </c>
      <c r="C3065" s="488" t="s">
        <v>10593</v>
      </c>
      <c r="D3065" s="489" t="s">
        <v>10594</v>
      </c>
      <c r="E3065" s="487" t="s">
        <v>10595</v>
      </c>
      <c r="F3065" s="490">
        <v>74600</v>
      </c>
      <c r="G3065" s="489">
        <v>787.4</v>
      </c>
      <c r="H3065" s="489">
        <v>94.742189999999994</v>
      </c>
      <c r="I3065" s="487" t="s">
        <v>1499</v>
      </c>
      <c r="J3065" s="487" t="s">
        <v>1291</v>
      </c>
    </row>
    <row r="3066" spans="1:10" ht="15" x14ac:dyDescent="0.2">
      <c r="A3066" s="486" t="s">
        <v>1290</v>
      </c>
      <c r="B3066" s="487" t="s">
        <v>1289</v>
      </c>
      <c r="C3066" s="488" t="s">
        <v>10596</v>
      </c>
      <c r="D3066" s="489" t="s">
        <v>10597</v>
      </c>
      <c r="E3066" s="487" t="s">
        <v>10598</v>
      </c>
      <c r="F3066" s="490">
        <v>190000</v>
      </c>
      <c r="G3066" s="489">
        <v>2048.1</v>
      </c>
      <c r="H3066" s="489">
        <v>92.768910000000005</v>
      </c>
      <c r="I3066" s="487" t="s">
        <v>1499</v>
      </c>
      <c r="J3066" s="487" t="s">
        <v>1291</v>
      </c>
    </row>
    <row r="3067" spans="1:10" ht="15" x14ac:dyDescent="0.2">
      <c r="A3067" s="486" t="s">
        <v>1290</v>
      </c>
      <c r="B3067" s="487" t="s">
        <v>1289</v>
      </c>
      <c r="C3067" s="488" t="s">
        <v>10599</v>
      </c>
      <c r="D3067" s="489" t="s">
        <v>10600</v>
      </c>
      <c r="E3067" s="487" t="s">
        <v>1289</v>
      </c>
      <c r="F3067" s="490">
        <v>17250</v>
      </c>
      <c r="G3067" s="489">
        <v>311</v>
      </c>
      <c r="H3067" s="489">
        <v>55.466239999999999</v>
      </c>
      <c r="I3067" s="487" t="s">
        <v>1499</v>
      </c>
      <c r="J3067" s="487" t="s">
        <v>1291</v>
      </c>
    </row>
    <row r="3068" spans="1:10" ht="15" x14ac:dyDescent="0.2">
      <c r="A3068" s="486" t="s">
        <v>1290</v>
      </c>
      <c r="B3068" s="487" t="s">
        <v>1289</v>
      </c>
      <c r="C3068" s="488" t="s">
        <v>10601</v>
      </c>
      <c r="D3068" s="489" t="s">
        <v>10602</v>
      </c>
      <c r="E3068" s="487" t="s">
        <v>10603</v>
      </c>
      <c r="F3068" s="490">
        <v>71350</v>
      </c>
      <c r="G3068" s="489">
        <v>968.5</v>
      </c>
      <c r="H3068" s="489">
        <v>73.67062</v>
      </c>
      <c r="I3068" s="487" t="s">
        <v>1499</v>
      </c>
      <c r="J3068" s="487" t="s">
        <v>1291</v>
      </c>
    </row>
    <row r="3069" spans="1:10" ht="15" x14ac:dyDescent="0.2">
      <c r="A3069" s="486" t="s">
        <v>1290</v>
      </c>
      <c r="B3069" s="487" t="s">
        <v>1289</v>
      </c>
      <c r="C3069" s="488" t="s">
        <v>10604</v>
      </c>
      <c r="D3069" s="489" t="s">
        <v>10605</v>
      </c>
      <c r="E3069" s="487" t="s">
        <v>10606</v>
      </c>
      <c r="F3069" s="490">
        <v>45000</v>
      </c>
      <c r="G3069" s="489">
        <v>557.79999999999995</v>
      </c>
      <c r="H3069" s="489">
        <v>80.674080000000004</v>
      </c>
      <c r="I3069" s="487" t="s">
        <v>1499</v>
      </c>
      <c r="J3069" s="487" t="s">
        <v>1291</v>
      </c>
    </row>
    <row r="3070" spans="1:10" ht="15" x14ac:dyDescent="0.2">
      <c r="A3070" s="486" t="s">
        <v>1290</v>
      </c>
      <c r="B3070" s="487" t="s">
        <v>1289</v>
      </c>
      <c r="C3070" s="488" t="s">
        <v>10607</v>
      </c>
      <c r="D3070" s="489" t="s">
        <v>10608</v>
      </c>
      <c r="E3070" s="487" t="s">
        <v>10609</v>
      </c>
      <c r="F3070" s="490">
        <v>45170</v>
      </c>
      <c r="G3070" s="489">
        <v>899.1</v>
      </c>
      <c r="H3070" s="489">
        <v>50.239130000000003</v>
      </c>
      <c r="I3070" s="487" t="s">
        <v>1499</v>
      </c>
      <c r="J3070" s="487" t="s">
        <v>1291</v>
      </c>
    </row>
    <row r="3071" spans="1:10" ht="15" x14ac:dyDescent="0.2">
      <c r="A3071" s="486" t="s">
        <v>1290</v>
      </c>
      <c r="B3071" s="487" t="s">
        <v>1289</v>
      </c>
      <c r="C3071" s="488" t="s">
        <v>10610</v>
      </c>
      <c r="D3071" s="489" t="s">
        <v>10611</v>
      </c>
      <c r="E3071" s="487" t="s">
        <v>10612</v>
      </c>
      <c r="F3071" s="490">
        <v>28832</v>
      </c>
      <c r="G3071" s="489">
        <v>344.8</v>
      </c>
      <c r="H3071" s="489">
        <v>83.619489999999999</v>
      </c>
      <c r="I3071" s="487" t="s">
        <v>1499</v>
      </c>
      <c r="J3071" s="487" t="s">
        <v>1291</v>
      </c>
    </row>
    <row r="3072" spans="1:10" ht="15" x14ac:dyDescent="0.2">
      <c r="A3072" s="486" t="s">
        <v>1290</v>
      </c>
      <c r="B3072" s="487" t="s">
        <v>1289</v>
      </c>
      <c r="C3072" s="488" t="s">
        <v>10613</v>
      </c>
      <c r="D3072" s="489" t="s">
        <v>10614</v>
      </c>
      <c r="E3072" s="487" t="s">
        <v>10615</v>
      </c>
      <c r="F3072" s="490">
        <v>7400</v>
      </c>
      <c r="G3072" s="489">
        <v>231.4</v>
      </c>
      <c r="H3072" s="489">
        <v>31.97926</v>
      </c>
      <c r="I3072" s="487" t="s">
        <v>1499</v>
      </c>
      <c r="J3072" s="487" t="s">
        <v>1291</v>
      </c>
    </row>
    <row r="3073" spans="1:10" ht="15" x14ac:dyDescent="0.2">
      <c r="A3073" s="486" t="s">
        <v>1325</v>
      </c>
      <c r="B3073" s="487" t="s">
        <v>1324</v>
      </c>
      <c r="C3073" s="488" t="s">
        <v>10616</v>
      </c>
      <c r="D3073" s="489" t="s">
        <v>10617</v>
      </c>
      <c r="E3073" s="487" t="s">
        <v>10618</v>
      </c>
      <c r="F3073" s="490">
        <v>15500</v>
      </c>
      <c r="G3073" s="489">
        <v>220.2</v>
      </c>
      <c r="H3073" s="489">
        <v>70.390550000000005</v>
      </c>
      <c r="I3073" s="487" t="s">
        <v>1499</v>
      </c>
      <c r="J3073" s="487" t="s">
        <v>1326</v>
      </c>
    </row>
    <row r="3074" spans="1:10" ht="15" x14ac:dyDescent="0.2">
      <c r="A3074" s="486" t="s">
        <v>1325</v>
      </c>
      <c r="B3074" s="487" t="s">
        <v>1324</v>
      </c>
      <c r="C3074" s="488" t="s">
        <v>10619</v>
      </c>
      <c r="D3074" s="489" t="s">
        <v>10620</v>
      </c>
      <c r="E3074" s="487" t="s">
        <v>10621</v>
      </c>
      <c r="F3074" s="490">
        <v>45310</v>
      </c>
      <c r="G3074" s="489">
        <v>386.07</v>
      </c>
      <c r="H3074" s="489">
        <v>117.36214</v>
      </c>
      <c r="I3074" s="487" t="s">
        <v>1499</v>
      </c>
      <c r="J3074" s="487" t="s">
        <v>1326</v>
      </c>
    </row>
    <row r="3075" spans="1:10" ht="15" x14ac:dyDescent="0.2">
      <c r="A3075" s="486" t="s">
        <v>1325</v>
      </c>
      <c r="B3075" s="487" t="s">
        <v>1324</v>
      </c>
      <c r="C3075" s="488" t="s">
        <v>10622</v>
      </c>
      <c r="D3075" s="489" t="s">
        <v>10623</v>
      </c>
      <c r="E3075" s="487" t="s">
        <v>10624</v>
      </c>
      <c r="F3075" s="490">
        <v>6540</v>
      </c>
      <c r="G3075" s="489">
        <v>142.6</v>
      </c>
      <c r="H3075" s="489">
        <v>45.862549999999999</v>
      </c>
      <c r="I3075" s="487" t="s">
        <v>1499</v>
      </c>
      <c r="J3075" s="487" t="s">
        <v>1326</v>
      </c>
    </row>
    <row r="3076" spans="1:10" ht="15" x14ac:dyDescent="0.2">
      <c r="A3076" s="486" t="s">
        <v>1325</v>
      </c>
      <c r="B3076" s="487" t="s">
        <v>1324</v>
      </c>
      <c r="C3076" s="488" t="s">
        <v>10625</v>
      </c>
      <c r="D3076" s="489" t="s">
        <v>10626</v>
      </c>
      <c r="E3076" s="487" t="s">
        <v>10627</v>
      </c>
      <c r="F3076" s="490">
        <v>31216</v>
      </c>
      <c r="G3076" s="489">
        <v>380.53</v>
      </c>
      <c r="H3076" s="489">
        <v>82.03295</v>
      </c>
      <c r="I3076" s="487" t="s">
        <v>1499</v>
      </c>
      <c r="J3076" s="487" t="s">
        <v>1326</v>
      </c>
    </row>
    <row r="3077" spans="1:10" ht="15" x14ac:dyDescent="0.2">
      <c r="A3077" s="486" t="s">
        <v>1325</v>
      </c>
      <c r="B3077" s="487" t="s">
        <v>1324</v>
      </c>
      <c r="C3077" s="488" t="s">
        <v>10628</v>
      </c>
      <c r="D3077" s="489" t="s">
        <v>10629</v>
      </c>
      <c r="E3077" s="487" t="s">
        <v>10630</v>
      </c>
      <c r="F3077" s="490">
        <v>9973</v>
      </c>
      <c r="G3077" s="489">
        <v>226.74</v>
      </c>
      <c r="H3077" s="489">
        <v>43.984299999999998</v>
      </c>
      <c r="I3077" s="487" t="s">
        <v>1499</v>
      </c>
      <c r="J3077" s="487" t="s">
        <v>1326</v>
      </c>
    </row>
    <row r="3078" spans="1:10" ht="15" x14ac:dyDescent="0.2">
      <c r="A3078" s="486" t="s">
        <v>1325</v>
      </c>
      <c r="B3078" s="487" t="s">
        <v>1324</v>
      </c>
      <c r="C3078" s="488" t="s">
        <v>10631</v>
      </c>
      <c r="D3078" s="489" t="s">
        <v>10632</v>
      </c>
      <c r="E3078" s="487" t="s">
        <v>10633</v>
      </c>
      <c r="F3078" s="490">
        <v>24545</v>
      </c>
      <c r="G3078" s="489">
        <v>358.79</v>
      </c>
      <c r="H3078" s="489">
        <v>68.410489999999996</v>
      </c>
      <c r="I3078" s="487" t="s">
        <v>1499</v>
      </c>
      <c r="J3078" s="487" t="s">
        <v>1326</v>
      </c>
    </row>
    <row r="3079" spans="1:10" ht="15" x14ac:dyDescent="0.2">
      <c r="A3079" s="486" t="s">
        <v>1325</v>
      </c>
      <c r="B3079" s="487" t="s">
        <v>1324</v>
      </c>
      <c r="C3079" s="488" t="s">
        <v>10634</v>
      </c>
      <c r="D3079" s="489" t="s">
        <v>10635</v>
      </c>
      <c r="E3079" s="487" t="s">
        <v>10636</v>
      </c>
      <c r="F3079" s="490">
        <v>20250</v>
      </c>
      <c r="G3079" s="489">
        <v>259.08999999999997</v>
      </c>
      <c r="H3079" s="489">
        <v>78.158169999999998</v>
      </c>
      <c r="I3079" s="487" t="s">
        <v>1499</v>
      </c>
      <c r="J3079" s="487" t="s">
        <v>1326</v>
      </c>
    </row>
    <row r="3080" spans="1:10" ht="15" x14ac:dyDescent="0.2">
      <c r="A3080" s="486" t="s">
        <v>1325</v>
      </c>
      <c r="B3080" s="487" t="s">
        <v>1324</v>
      </c>
      <c r="C3080" s="488" t="s">
        <v>10637</v>
      </c>
      <c r="D3080" s="489" t="s">
        <v>10638</v>
      </c>
      <c r="E3080" s="487" t="s">
        <v>10639</v>
      </c>
      <c r="F3080" s="490">
        <v>0</v>
      </c>
      <c r="G3080" s="489">
        <v>23.14</v>
      </c>
      <c r="H3080" s="489">
        <v>0</v>
      </c>
      <c r="I3080" s="487" t="s">
        <v>1593</v>
      </c>
      <c r="J3080" s="487" t="s">
        <v>1326</v>
      </c>
    </row>
    <row r="3081" spans="1:10" ht="15" x14ac:dyDescent="0.2">
      <c r="A3081" s="486" t="s">
        <v>1325</v>
      </c>
      <c r="B3081" s="487" t="s">
        <v>1324</v>
      </c>
      <c r="C3081" s="488" t="s">
        <v>10640</v>
      </c>
      <c r="D3081" s="489" t="s">
        <v>10641</v>
      </c>
      <c r="E3081" s="487" t="s">
        <v>10642</v>
      </c>
      <c r="F3081" s="490">
        <v>31000</v>
      </c>
      <c r="G3081" s="489">
        <v>255.46</v>
      </c>
      <c r="H3081" s="489">
        <v>121.34972</v>
      </c>
      <c r="I3081" s="487" t="s">
        <v>1499</v>
      </c>
      <c r="J3081" s="487" t="s">
        <v>1326</v>
      </c>
    </row>
    <row r="3082" spans="1:10" ht="15" x14ac:dyDescent="0.2">
      <c r="A3082" s="486" t="s">
        <v>1325</v>
      </c>
      <c r="B3082" s="487" t="s">
        <v>1324</v>
      </c>
      <c r="C3082" s="488" t="s">
        <v>10643</v>
      </c>
      <c r="D3082" s="489" t="s">
        <v>10644</v>
      </c>
      <c r="E3082" s="487" t="s">
        <v>10645</v>
      </c>
      <c r="F3082" s="490">
        <v>27621</v>
      </c>
      <c r="G3082" s="489">
        <v>712.82</v>
      </c>
      <c r="H3082" s="489">
        <v>38.748910000000002</v>
      </c>
      <c r="I3082" s="487" t="s">
        <v>1499</v>
      </c>
      <c r="J3082" s="487" t="s">
        <v>1326</v>
      </c>
    </row>
    <row r="3083" spans="1:10" ht="15" x14ac:dyDescent="0.2">
      <c r="A3083" s="486" t="s">
        <v>1325</v>
      </c>
      <c r="B3083" s="487" t="s">
        <v>1324</v>
      </c>
      <c r="C3083" s="488" t="s">
        <v>10646</v>
      </c>
      <c r="D3083" s="489" t="s">
        <v>10647</v>
      </c>
      <c r="E3083" s="487" t="s">
        <v>10648</v>
      </c>
      <c r="F3083" s="490">
        <v>55362</v>
      </c>
      <c r="G3083" s="489">
        <v>413.3</v>
      </c>
      <c r="H3083" s="489">
        <v>133.95113000000001</v>
      </c>
      <c r="I3083" s="487" t="s">
        <v>1499</v>
      </c>
      <c r="J3083" s="487" t="s">
        <v>1326</v>
      </c>
    </row>
    <row r="3084" spans="1:10" ht="15" x14ac:dyDescent="0.2">
      <c r="A3084" s="486" t="s">
        <v>1325</v>
      </c>
      <c r="B3084" s="487" t="s">
        <v>1324</v>
      </c>
      <c r="C3084" s="488" t="s">
        <v>10649</v>
      </c>
      <c r="D3084" s="489" t="s">
        <v>10650</v>
      </c>
      <c r="E3084" s="487" t="s">
        <v>10651</v>
      </c>
      <c r="F3084" s="490">
        <v>12500</v>
      </c>
      <c r="G3084" s="489">
        <v>312.27999999999997</v>
      </c>
      <c r="H3084" s="489">
        <v>40.028179999999999</v>
      </c>
      <c r="I3084" s="487" t="s">
        <v>1499</v>
      </c>
      <c r="J3084" s="487" t="s">
        <v>1326</v>
      </c>
    </row>
    <row r="3085" spans="1:10" ht="15" x14ac:dyDescent="0.2">
      <c r="A3085" s="486" t="s">
        <v>1325</v>
      </c>
      <c r="B3085" s="487" t="s">
        <v>1324</v>
      </c>
      <c r="C3085" s="488" t="s">
        <v>10652</v>
      </c>
      <c r="D3085" s="489" t="s">
        <v>10653</v>
      </c>
      <c r="E3085" s="487" t="s">
        <v>10654</v>
      </c>
      <c r="F3085" s="490">
        <v>170000</v>
      </c>
      <c r="G3085" s="489">
        <v>1654.88</v>
      </c>
      <c r="H3085" s="489">
        <v>102.72648</v>
      </c>
      <c r="I3085" s="487" t="s">
        <v>1499</v>
      </c>
      <c r="J3085" s="487" t="s">
        <v>1326</v>
      </c>
    </row>
    <row r="3086" spans="1:10" ht="15" x14ac:dyDescent="0.2">
      <c r="A3086" s="486" t="s">
        <v>1325</v>
      </c>
      <c r="B3086" s="487" t="s">
        <v>1324</v>
      </c>
      <c r="C3086" s="488" t="s">
        <v>10655</v>
      </c>
      <c r="D3086" s="489" t="s">
        <v>10656</v>
      </c>
      <c r="E3086" s="487" t="s">
        <v>8539</v>
      </c>
      <c r="F3086" s="490">
        <v>12250</v>
      </c>
      <c r="G3086" s="489">
        <v>198.47</v>
      </c>
      <c r="H3086" s="489">
        <v>61.722169999999998</v>
      </c>
      <c r="I3086" s="487" t="s">
        <v>1499</v>
      </c>
      <c r="J3086" s="487" t="s">
        <v>1326</v>
      </c>
    </row>
    <row r="3087" spans="1:10" ht="15" x14ac:dyDescent="0.2">
      <c r="A3087" s="486" t="s">
        <v>1325</v>
      </c>
      <c r="B3087" s="487" t="s">
        <v>1324</v>
      </c>
      <c r="C3087" s="488" t="s">
        <v>10657</v>
      </c>
      <c r="D3087" s="489" t="s">
        <v>10658</v>
      </c>
      <c r="E3087" s="487" t="s">
        <v>10659</v>
      </c>
      <c r="F3087" s="490">
        <v>136490</v>
      </c>
      <c r="G3087" s="489">
        <v>1482.79</v>
      </c>
      <c r="H3087" s="489">
        <v>92.049449999999993</v>
      </c>
      <c r="I3087" s="487" t="s">
        <v>1499</v>
      </c>
      <c r="J3087" s="487" t="s">
        <v>1326</v>
      </c>
    </row>
    <row r="3088" spans="1:10" ht="15" x14ac:dyDescent="0.2">
      <c r="A3088" s="486" t="s">
        <v>1325</v>
      </c>
      <c r="B3088" s="487" t="s">
        <v>1324</v>
      </c>
      <c r="C3088" s="488" t="s">
        <v>10660</v>
      </c>
      <c r="D3088" s="489" t="s">
        <v>10661</v>
      </c>
      <c r="E3088" s="487" t="s">
        <v>10662</v>
      </c>
      <c r="F3088" s="490">
        <v>82190</v>
      </c>
      <c r="G3088" s="489">
        <v>928.61</v>
      </c>
      <c r="H3088" s="489">
        <v>88.508629999999997</v>
      </c>
      <c r="I3088" s="487" t="s">
        <v>1499</v>
      </c>
      <c r="J3088" s="487" t="s">
        <v>1326</v>
      </c>
    </row>
    <row r="3089" spans="1:10" ht="15" x14ac:dyDescent="0.2">
      <c r="A3089" s="486" t="s">
        <v>1325</v>
      </c>
      <c r="B3089" s="487" t="s">
        <v>1324</v>
      </c>
      <c r="C3089" s="488" t="s">
        <v>10663</v>
      </c>
      <c r="D3089" s="489" t="s">
        <v>10664</v>
      </c>
      <c r="E3089" s="487" t="s">
        <v>10665</v>
      </c>
      <c r="F3089" s="490">
        <v>8400</v>
      </c>
      <c r="G3089" s="489">
        <v>243.17</v>
      </c>
      <c r="H3089" s="489">
        <v>34.543729999999996</v>
      </c>
      <c r="I3089" s="487" t="s">
        <v>1499</v>
      </c>
      <c r="J3089" s="487" t="s">
        <v>1326</v>
      </c>
    </row>
    <row r="3090" spans="1:10" ht="15" x14ac:dyDescent="0.2">
      <c r="A3090" s="486" t="s">
        <v>1325</v>
      </c>
      <c r="B3090" s="487" t="s">
        <v>1324</v>
      </c>
      <c r="C3090" s="488" t="s">
        <v>10666</v>
      </c>
      <c r="D3090" s="489" t="s">
        <v>10667</v>
      </c>
      <c r="E3090" s="487" t="s">
        <v>10668</v>
      </c>
      <c r="F3090" s="490">
        <v>116940</v>
      </c>
      <c r="G3090" s="489">
        <v>832.13</v>
      </c>
      <c r="H3090" s="489">
        <v>140.53093000000001</v>
      </c>
      <c r="I3090" s="487" t="s">
        <v>1499</v>
      </c>
      <c r="J3090" s="487" t="s">
        <v>1326</v>
      </c>
    </row>
    <row r="3091" spans="1:10" ht="15" x14ac:dyDescent="0.2">
      <c r="A3091" s="486" t="s">
        <v>1325</v>
      </c>
      <c r="B3091" s="487" t="s">
        <v>1324</v>
      </c>
      <c r="C3091" s="488" t="s">
        <v>10669</v>
      </c>
      <c r="D3091" s="489" t="s">
        <v>10670</v>
      </c>
      <c r="E3091" s="487" t="s">
        <v>10671</v>
      </c>
      <c r="F3091" s="490">
        <v>1080977</v>
      </c>
      <c r="G3091" s="489">
        <v>4984.42</v>
      </c>
      <c r="H3091" s="489">
        <v>216.87117000000001</v>
      </c>
      <c r="I3091" s="487" t="s">
        <v>1499</v>
      </c>
      <c r="J3091" s="487" t="s">
        <v>1326</v>
      </c>
    </row>
    <row r="3092" spans="1:10" ht="15" x14ac:dyDescent="0.2">
      <c r="A3092" s="486" t="s">
        <v>1325</v>
      </c>
      <c r="B3092" s="487" t="s">
        <v>1324</v>
      </c>
      <c r="C3092" s="488" t="s">
        <v>10672</v>
      </c>
      <c r="D3092" s="489" t="s">
        <v>10673</v>
      </c>
      <c r="E3092" s="487" t="s">
        <v>10674</v>
      </c>
      <c r="F3092" s="490">
        <v>51000</v>
      </c>
      <c r="G3092" s="489">
        <v>525.82000000000005</v>
      </c>
      <c r="H3092" s="489">
        <v>96.991370000000003</v>
      </c>
      <c r="I3092" s="487" t="s">
        <v>1499</v>
      </c>
      <c r="J3092" s="487" t="s">
        <v>1326</v>
      </c>
    </row>
    <row r="3093" spans="1:10" ht="15" x14ac:dyDescent="0.2">
      <c r="A3093" s="486" t="s">
        <v>1325</v>
      </c>
      <c r="B3093" s="487" t="s">
        <v>1324</v>
      </c>
      <c r="C3093" s="488" t="s">
        <v>10675</v>
      </c>
      <c r="D3093" s="489" t="s">
        <v>10676</v>
      </c>
      <c r="E3093" s="487" t="s">
        <v>10677</v>
      </c>
      <c r="F3093" s="490">
        <v>16000</v>
      </c>
      <c r="G3093" s="489">
        <v>426.97</v>
      </c>
      <c r="H3093" s="489">
        <v>37.47336</v>
      </c>
      <c r="I3093" s="487" t="s">
        <v>1499</v>
      </c>
      <c r="J3093" s="487" t="s">
        <v>1326</v>
      </c>
    </row>
    <row r="3094" spans="1:10" ht="15" x14ac:dyDescent="0.2">
      <c r="A3094" s="486" t="s">
        <v>1325</v>
      </c>
      <c r="B3094" s="487" t="s">
        <v>1324</v>
      </c>
      <c r="C3094" s="488" t="s">
        <v>10678</v>
      </c>
      <c r="D3094" s="489" t="s">
        <v>10679</v>
      </c>
      <c r="E3094" s="487" t="s">
        <v>10680</v>
      </c>
      <c r="F3094" s="490">
        <v>15500</v>
      </c>
      <c r="G3094" s="489">
        <v>167.72</v>
      </c>
      <c r="H3094" s="489">
        <v>92.415930000000003</v>
      </c>
      <c r="I3094" s="487" t="s">
        <v>1499</v>
      </c>
      <c r="J3094" s="487" t="s">
        <v>1326</v>
      </c>
    </row>
    <row r="3095" spans="1:10" ht="15" x14ac:dyDescent="0.2">
      <c r="A3095" s="486" t="s">
        <v>1325</v>
      </c>
      <c r="B3095" s="487" t="s">
        <v>1324</v>
      </c>
      <c r="C3095" s="488" t="s">
        <v>10681</v>
      </c>
      <c r="D3095" s="489" t="s">
        <v>10682</v>
      </c>
      <c r="E3095" s="487" t="s">
        <v>10683</v>
      </c>
      <c r="F3095" s="490">
        <v>80000</v>
      </c>
      <c r="G3095" s="489">
        <v>575.91</v>
      </c>
      <c r="H3095" s="489">
        <v>138.91059000000001</v>
      </c>
      <c r="I3095" s="487" t="s">
        <v>1499</v>
      </c>
      <c r="J3095" s="487" t="s">
        <v>1326</v>
      </c>
    </row>
    <row r="3096" spans="1:10" ht="15" x14ac:dyDescent="0.2">
      <c r="A3096" s="486" t="s">
        <v>1325</v>
      </c>
      <c r="B3096" s="487" t="s">
        <v>1324</v>
      </c>
      <c r="C3096" s="488" t="s">
        <v>10684</v>
      </c>
      <c r="D3096" s="489" t="s">
        <v>10685</v>
      </c>
      <c r="E3096" s="487" t="s">
        <v>10686</v>
      </c>
      <c r="F3096" s="490">
        <v>84120</v>
      </c>
      <c r="G3096" s="489">
        <v>874.56</v>
      </c>
      <c r="H3096" s="489">
        <v>96.185509999999994</v>
      </c>
      <c r="I3096" s="487" t="s">
        <v>1499</v>
      </c>
      <c r="J3096" s="487" t="s">
        <v>1326</v>
      </c>
    </row>
    <row r="3097" spans="1:10" ht="15" x14ac:dyDescent="0.2">
      <c r="A3097" s="486" t="s">
        <v>1325</v>
      </c>
      <c r="B3097" s="487" t="s">
        <v>1324</v>
      </c>
      <c r="C3097" s="488" t="s">
        <v>10687</v>
      </c>
      <c r="D3097" s="489" t="s">
        <v>10688</v>
      </c>
      <c r="E3097" s="487" t="s">
        <v>10689</v>
      </c>
      <c r="F3097" s="490">
        <v>13800</v>
      </c>
      <c r="G3097" s="489">
        <v>224.35</v>
      </c>
      <c r="H3097" s="489">
        <v>61.511029999999998</v>
      </c>
      <c r="I3097" s="487" t="s">
        <v>1499</v>
      </c>
      <c r="J3097" s="487" t="s">
        <v>1326</v>
      </c>
    </row>
    <row r="3098" spans="1:10" ht="15" x14ac:dyDescent="0.2">
      <c r="A3098" s="486" t="s">
        <v>1325</v>
      </c>
      <c r="B3098" s="487" t="s">
        <v>1324</v>
      </c>
      <c r="C3098" s="488" t="s">
        <v>10690</v>
      </c>
      <c r="D3098" s="489" t="s">
        <v>10691</v>
      </c>
      <c r="E3098" s="487" t="s">
        <v>10692</v>
      </c>
      <c r="F3098" s="490">
        <v>42374</v>
      </c>
      <c r="G3098" s="489">
        <v>687.65</v>
      </c>
      <c r="H3098" s="489">
        <v>61.621459999999999</v>
      </c>
      <c r="I3098" s="487" t="s">
        <v>1499</v>
      </c>
      <c r="J3098" s="487" t="s">
        <v>1326</v>
      </c>
    </row>
    <row r="3099" spans="1:10" ht="15" x14ac:dyDescent="0.2">
      <c r="A3099" s="486" t="s">
        <v>1325</v>
      </c>
      <c r="B3099" s="487" t="s">
        <v>1324</v>
      </c>
      <c r="C3099" s="488" t="s">
        <v>10693</v>
      </c>
      <c r="D3099" s="489" t="s">
        <v>10694</v>
      </c>
      <c r="E3099" s="487" t="s">
        <v>10695</v>
      </c>
      <c r="F3099" s="490">
        <v>23500</v>
      </c>
      <c r="G3099" s="489">
        <v>348.34</v>
      </c>
      <c r="H3099" s="489">
        <v>67.462819999999994</v>
      </c>
      <c r="I3099" s="487" t="s">
        <v>1499</v>
      </c>
      <c r="J3099" s="487" t="s">
        <v>1326</v>
      </c>
    </row>
    <row r="3100" spans="1:10" ht="15" x14ac:dyDescent="0.2">
      <c r="A3100" s="486" t="s">
        <v>1325</v>
      </c>
      <c r="B3100" s="487" t="s">
        <v>1324</v>
      </c>
      <c r="C3100" s="488" t="s">
        <v>10696</v>
      </c>
      <c r="D3100" s="489" t="s">
        <v>10697</v>
      </c>
      <c r="E3100" s="487" t="s">
        <v>10698</v>
      </c>
      <c r="F3100" s="490">
        <v>24637</v>
      </c>
      <c r="G3100" s="489">
        <v>233.12</v>
      </c>
      <c r="H3100" s="489">
        <v>105.68377</v>
      </c>
      <c r="I3100" s="487" t="s">
        <v>1499</v>
      </c>
      <c r="J3100" s="487" t="s">
        <v>1326</v>
      </c>
    </row>
    <row r="3101" spans="1:10" ht="15" x14ac:dyDescent="0.2">
      <c r="A3101" s="486" t="s">
        <v>1325</v>
      </c>
      <c r="B3101" s="487" t="s">
        <v>1324</v>
      </c>
      <c r="C3101" s="488" t="s">
        <v>10699</v>
      </c>
      <c r="D3101" s="489" t="s">
        <v>10700</v>
      </c>
      <c r="E3101" s="487" t="s">
        <v>10701</v>
      </c>
      <c r="F3101" s="490">
        <v>16750</v>
      </c>
      <c r="G3101" s="489">
        <v>199.56</v>
      </c>
      <c r="H3101" s="489">
        <v>83.934659999999994</v>
      </c>
      <c r="I3101" s="487" t="s">
        <v>1499</v>
      </c>
      <c r="J3101" s="487" t="s">
        <v>1326</v>
      </c>
    </row>
    <row r="3102" spans="1:10" ht="15" x14ac:dyDescent="0.2">
      <c r="A3102" s="486" t="s">
        <v>1325</v>
      </c>
      <c r="B3102" s="487" t="s">
        <v>1324</v>
      </c>
      <c r="C3102" s="488" t="s">
        <v>10702</v>
      </c>
      <c r="D3102" s="489" t="s">
        <v>10703</v>
      </c>
      <c r="E3102" s="487" t="s">
        <v>10704</v>
      </c>
      <c r="F3102" s="490">
        <v>12000</v>
      </c>
      <c r="G3102" s="489">
        <v>277.51</v>
      </c>
      <c r="H3102" s="489">
        <v>43.241680000000002</v>
      </c>
      <c r="I3102" s="487" t="s">
        <v>1499</v>
      </c>
      <c r="J3102" s="487" t="s">
        <v>1326</v>
      </c>
    </row>
    <row r="3103" spans="1:10" ht="15" x14ac:dyDescent="0.2">
      <c r="A3103" s="486" t="s">
        <v>1325</v>
      </c>
      <c r="B3103" s="487" t="s">
        <v>1324</v>
      </c>
      <c r="C3103" s="488" t="s">
        <v>10705</v>
      </c>
      <c r="D3103" s="489" t="s">
        <v>10706</v>
      </c>
      <c r="E3103" s="487" t="s">
        <v>10707</v>
      </c>
      <c r="F3103" s="490">
        <v>0</v>
      </c>
      <c r="G3103" s="489">
        <v>138.08000000000001</v>
      </c>
      <c r="H3103" s="489">
        <v>0</v>
      </c>
      <c r="I3103" s="487" t="s">
        <v>1593</v>
      </c>
      <c r="J3103" s="487" t="s">
        <v>1326</v>
      </c>
    </row>
    <row r="3104" spans="1:10" ht="15" x14ac:dyDescent="0.2">
      <c r="A3104" s="486" t="s">
        <v>1325</v>
      </c>
      <c r="B3104" s="487" t="s">
        <v>1324</v>
      </c>
      <c r="C3104" s="488" t="s">
        <v>10708</v>
      </c>
      <c r="D3104" s="489" t="s">
        <v>10709</v>
      </c>
      <c r="E3104" s="487" t="s">
        <v>10710</v>
      </c>
      <c r="F3104" s="490">
        <v>3750</v>
      </c>
      <c r="G3104" s="489">
        <v>128.41999999999999</v>
      </c>
      <c r="H3104" s="489">
        <v>29.201059999999998</v>
      </c>
      <c r="I3104" s="487" t="s">
        <v>1499</v>
      </c>
      <c r="J3104" s="487" t="s">
        <v>1326</v>
      </c>
    </row>
    <row r="3105" spans="1:10" ht="15" x14ac:dyDescent="0.2">
      <c r="A3105" s="486" t="s">
        <v>1325</v>
      </c>
      <c r="B3105" s="487" t="s">
        <v>1324</v>
      </c>
      <c r="C3105" s="488" t="s">
        <v>10711</v>
      </c>
      <c r="D3105" s="489" t="s">
        <v>10712</v>
      </c>
      <c r="E3105" s="487" t="s">
        <v>10713</v>
      </c>
      <c r="F3105" s="490">
        <v>30704</v>
      </c>
      <c r="G3105" s="489">
        <v>513.55999999999995</v>
      </c>
      <c r="H3105" s="489">
        <v>59.786589999999997</v>
      </c>
      <c r="I3105" s="487" t="s">
        <v>1499</v>
      </c>
      <c r="J3105" s="487" t="s">
        <v>1326</v>
      </c>
    </row>
    <row r="3106" spans="1:10" ht="15" x14ac:dyDescent="0.2">
      <c r="A3106" s="486" t="s">
        <v>1325</v>
      </c>
      <c r="B3106" s="487" t="s">
        <v>1324</v>
      </c>
      <c r="C3106" s="488" t="s">
        <v>10714</v>
      </c>
      <c r="D3106" s="489" t="s">
        <v>10715</v>
      </c>
      <c r="E3106" s="487" t="s">
        <v>10716</v>
      </c>
      <c r="F3106" s="490">
        <v>2500</v>
      </c>
      <c r="G3106" s="489">
        <v>111.39</v>
      </c>
      <c r="H3106" s="489">
        <v>22.443670000000001</v>
      </c>
      <c r="I3106" s="487" t="s">
        <v>1499</v>
      </c>
      <c r="J3106" s="487" t="s">
        <v>1326</v>
      </c>
    </row>
    <row r="3107" spans="1:10" ht="15" x14ac:dyDescent="0.2">
      <c r="A3107" s="486" t="s">
        <v>1325</v>
      </c>
      <c r="B3107" s="487" t="s">
        <v>1324</v>
      </c>
      <c r="C3107" s="488" t="s">
        <v>10717</v>
      </c>
      <c r="D3107" s="489" t="s">
        <v>10718</v>
      </c>
      <c r="E3107" s="487" t="s">
        <v>10719</v>
      </c>
      <c r="F3107" s="490">
        <v>30000</v>
      </c>
      <c r="G3107" s="489">
        <v>214.88</v>
      </c>
      <c r="H3107" s="489">
        <v>139.61281</v>
      </c>
      <c r="I3107" s="487" t="s">
        <v>1499</v>
      </c>
      <c r="J3107" s="487" t="s">
        <v>1326</v>
      </c>
    </row>
    <row r="3108" spans="1:10" ht="15" x14ac:dyDescent="0.2">
      <c r="A3108" s="486" t="s">
        <v>1325</v>
      </c>
      <c r="B3108" s="487" t="s">
        <v>1324</v>
      </c>
      <c r="C3108" s="488" t="s">
        <v>10720</v>
      </c>
      <c r="D3108" s="489" t="s">
        <v>10721</v>
      </c>
      <c r="E3108" s="487" t="s">
        <v>10722</v>
      </c>
      <c r="F3108" s="490">
        <v>34000</v>
      </c>
      <c r="G3108" s="489">
        <v>224.84</v>
      </c>
      <c r="H3108" s="489">
        <v>151.21863999999999</v>
      </c>
      <c r="I3108" s="487" t="s">
        <v>1499</v>
      </c>
      <c r="J3108" s="487" t="s">
        <v>1326</v>
      </c>
    </row>
    <row r="3109" spans="1:10" ht="15" x14ac:dyDescent="0.2">
      <c r="A3109" s="486" t="s">
        <v>1325</v>
      </c>
      <c r="B3109" s="487" t="s">
        <v>1324</v>
      </c>
      <c r="C3109" s="488" t="s">
        <v>10723</v>
      </c>
      <c r="D3109" s="489" t="s">
        <v>10724</v>
      </c>
      <c r="E3109" s="487" t="s">
        <v>10725</v>
      </c>
      <c r="F3109" s="490">
        <v>49000</v>
      </c>
      <c r="G3109" s="489">
        <v>750.95</v>
      </c>
      <c r="H3109" s="489">
        <v>65.250680000000003</v>
      </c>
      <c r="I3109" s="487" t="s">
        <v>1499</v>
      </c>
      <c r="J3109" s="487" t="s">
        <v>1326</v>
      </c>
    </row>
    <row r="3110" spans="1:10" ht="15" x14ac:dyDescent="0.2">
      <c r="A3110" s="486" t="s">
        <v>1325</v>
      </c>
      <c r="B3110" s="487" t="s">
        <v>1324</v>
      </c>
      <c r="C3110" s="488" t="s">
        <v>10726</v>
      </c>
      <c r="D3110" s="489" t="s">
        <v>10727</v>
      </c>
      <c r="E3110" s="487" t="s">
        <v>10728</v>
      </c>
      <c r="F3110" s="490">
        <v>66980</v>
      </c>
      <c r="G3110" s="489">
        <v>418.79</v>
      </c>
      <c r="H3110" s="489">
        <v>159.93696</v>
      </c>
      <c r="I3110" s="487" t="s">
        <v>1499</v>
      </c>
      <c r="J3110" s="487" t="s">
        <v>1326</v>
      </c>
    </row>
    <row r="3111" spans="1:10" ht="15" x14ac:dyDescent="0.2">
      <c r="A3111" s="486" t="s">
        <v>1325</v>
      </c>
      <c r="B3111" s="487" t="s">
        <v>1324</v>
      </c>
      <c r="C3111" s="488" t="s">
        <v>10729</v>
      </c>
      <c r="D3111" s="489" t="s">
        <v>10730</v>
      </c>
      <c r="E3111" s="487" t="s">
        <v>10731</v>
      </c>
      <c r="F3111" s="490">
        <v>12400</v>
      </c>
      <c r="G3111" s="489">
        <v>324.25</v>
      </c>
      <c r="H3111" s="489">
        <v>38.242100000000001</v>
      </c>
      <c r="I3111" s="487" t="s">
        <v>1499</v>
      </c>
      <c r="J3111" s="487" t="s">
        <v>1326</v>
      </c>
    </row>
    <row r="3112" spans="1:10" ht="15" x14ac:dyDescent="0.2">
      <c r="A3112" s="486" t="s">
        <v>1325</v>
      </c>
      <c r="B3112" s="487" t="s">
        <v>1324</v>
      </c>
      <c r="C3112" s="488" t="s">
        <v>10732</v>
      </c>
      <c r="D3112" s="489" t="s">
        <v>10733</v>
      </c>
      <c r="E3112" s="487" t="s">
        <v>10734</v>
      </c>
      <c r="F3112" s="490">
        <v>2500</v>
      </c>
      <c r="G3112" s="489">
        <v>94.56</v>
      </c>
      <c r="H3112" s="489">
        <v>26.43824</v>
      </c>
      <c r="I3112" s="487" t="s">
        <v>1499</v>
      </c>
      <c r="J3112" s="487" t="s">
        <v>1326</v>
      </c>
    </row>
    <row r="3113" spans="1:10" ht="15" x14ac:dyDescent="0.2">
      <c r="A3113" s="486" t="s">
        <v>1325</v>
      </c>
      <c r="B3113" s="487" t="s">
        <v>1324</v>
      </c>
      <c r="C3113" s="488" t="s">
        <v>10735</v>
      </c>
      <c r="D3113" s="489" t="s">
        <v>10736</v>
      </c>
      <c r="E3113" s="487" t="s">
        <v>10737</v>
      </c>
      <c r="F3113" s="490">
        <v>168000</v>
      </c>
      <c r="G3113" s="489">
        <v>1334.73</v>
      </c>
      <c r="H3113" s="489">
        <v>125.86815</v>
      </c>
      <c r="I3113" s="487" t="s">
        <v>1499</v>
      </c>
      <c r="J3113" s="487" t="s">
        <v>1326</v>
      </c>
    </row>
    <row r="3114" spans="1:10" ht="15" x14ac:dyDescent="0.2">
      <c r="A3114" s="486" t="s">
        <v>1325</v>
      </c>
      <c r="B3114" s="487" t="s">
        <v>1324</v>
      </c>
      <c r="C3114" s="488" t="s">
        <v>10738</v>
      </c>
      <c r="D3114" s="489" t="s">
        <v>10739</v>
      </c>
      <c r="E3114" s="487" t="s">
        <v>10740</v>
      </c>
      <c r="F3114" s="490">
        <v>15014</v>
      </c>
      <c r="G3114" s="489">
        <v>326.42</v>
      </c>
      <c r="H3114" s="489">
        <v>45.995959999999997</v>
      </c>
      <c r="I3114" s="487" t="s">
        <v>1499</v>
      </c>
      <c r="J3114" s="487" t="s">
        <v>1326</v>
      </c>
    </row>
    <row r="3115" spans="1:10" ht="15" x14ac:dyDescent="0.2">
      <c r="A3115" s="486" t="s">
        <v>1325</v>
      </c>
      <c r="B3115" s="487" t="s">
        <v>1324</v>
      </c>
      <c r="C3115" s="488" t="s">
        <v>10741</v>
      </c>
      <c r="D3115" s="489" t="s">
        <v>10742</v>
      </c>
      <c r="E3115" s="487" t="s">
        <v>10743</v>
      </c>
      <c r="F3115" s="490">
        <v>26654</v>
      </c>
      <c r="G3115" s="489">
        <v>310.47000000000003</v>
      </c>
      <c r="H3115" s="489">
        <v>85.850480000000005</v>
      </c>
      <c r="I3115" s="487" t="s">
        <v>1499</v>
      </c>
      <c r="J3115" s="487" t="s">
        <v>1326</v>
      </c>
    </row>
    <row r="3116" spans="1:10" ht="15" x14ac:dyDescent="0.2">
      <c r="A3116" s="486" t="s">
        <v>1325</v>
      </c>
      <c r="B3116" s="487" t="s">
        <v>1324</v>
      </c>
      <c r="C3116" s="488" t="s">
        <v>10744</v>
      </c>
      <c r="D3116" s="489" t="s">
        <v>10745</v>
      </c>
      <c r="E3116" s="487" t="s">
        <v>10746</v>
      </c>
      <c r="F3116" s="490">
        <v>1442316</v>
      </c>
      <c r="G3116" s="489">
        <v>7048.81</v>
      </c>
      <c r="H3116" s="489">
        <v>204.61837</v>
      </c>
      <c r="I3116" s="487" t="s">
        <v>1499</v>
      </c>
      <c r="J3116" s="487" t="s">
        <v>1326</v>
      </c>
    </row>
    <row r="3117" spans="1:10" ht="15" x14ac:dyDescent="0.2">
      <c r="A3117" s="486" t="s">
        <v>1325</v>
      </c>
      <c r="B3117" s="487" t="s">
        <v>1324</v>
      </c>
      <c r="C3117" s="488" t="s">
        <v>10747</v>
      </c>
      <c r="D3117" s="489" t="s">
        <v>10748</v>
      </c>
      <c r="E3117" s="487" t="s">
        <v>10749</v>
      </c>
      <c r="F3117" s="490">
        <v>15084</v>
      </c>
      <c r="G3117" s="489">
        <v>248.69</v>
      </c>
      <c r="H3117" s="489">
        <v>60.653829999999999</v>
      </c>
      <c r="I3117" s="487" t="s">
        <v>1499</v>
      </c>
      <c r="J3117" s="487" t="s">
        <v>1326</v>
      </c>
    </row>
    <row r="3118" spans="1:10" ht="15" x14ac:dyDescent="0.2">
      <c r="A3118" s="486" t="s">
        <v>1325</v>
      </c>
      <c r="B3118" s="487" t="s">
        <v>1324</v>
      </c>
      <c r="C3118" s="488" t="s">
        <v>10750</v>
      </c>
      <c r="D3118" s="489" t="s">
        <v>10751</v>
      </c>
      <c r="E3118" s="487" t="s">
        <v>10752</v>
      </c>
      <c r="F3118" s="490">
        <v>499900</v>
      </c>
      <c r="G3118" s="489">
        <v>3429.43</v>
      </c>
      <c r="H3118" s="489">
        <v>145.76766000000001</v>
      </c>
      <c r="I3118" s="487" t="s">
        <v>1499</v>
      </c>
      <c r="J3118" s="487" t="s">
        <v>1326</v>
      </c>
    </row>
    <row r="3119" spans="1:10" ht="15" x14ac:dyDescent="0.2">
      <c r="A3119" s="486" t="s">
        <v>1325</v>
      </c>
      <c r="B3119" s="487" t="s">
        <v>1324</v>
      </c>
      <c r="C3119" s="488" t="s">
        <v>10753</v>
      </c>
      <c r="D3119" s="489" t="s">
        <v>10754</v>
      </c>
      <c r="E3119" s="487" t="s">
        <v>10755</v>
      </c>
      <c r="F3119" s="490">
        <v>56030</v>
      </c>
      <c r="G3119" s="489">
        <v>723.56</v>
      </c>
      <c r="H3119" s="489">
        <v>77.43656</v>
      </c>
      <c r="I3119" s="487" t="s">
        <v>1499</v>
      </c>
      <c r="J3119" s="487" t="s">
        <v>1326</v>
      </c>
    </row>
    <row r="3120" spans="1:10" ht="15" x14ac:dyDescent="0.2">
      <c r="A3120" s="486" t="s">
        <v>1325</v>
      </c>
      <c r="B3120" s="487" t="s">
        <v>1324</v>
      </c>
      <c r="C3120" s="488" t="s">
        <v>10756</v>
      </c>
      <c r="D3120" s="489" t="s">
        <v>10757</v>
      </c>
      <c r="E3120" s="487" t="s">
        <v>10758</v>
      </c>
      <c r="F3120" s="490">
        <v>0</v>
      </c>
      <c r="G3120" s="489">
        <v>17.420000000000002</v>
      </c>
      <c r="H3120" s="489">
        <v>0</v>
      </c>
      <c r="I3120" s="487" t="s">
        <v>1593</v>
      </c>
      <c r="J3120" s="487" t="s">
        <v>1326</v>
      </c>
    </row>
    <row r="3121" spans="1:10" ht="15" x14ac:dyDescent="0.2">
      <c r="A3121" s="486" t="s">
        <v>1325</v>
      </c>
      <c r="B3121" s="487" t="s">
        <v>1324</v>
      </c>
      <c r="C3121" s="488" t="s">
        <v>10759</v>
      </c>
      <c r="D3121" s="489" t="s">
        <v>10760</v>
      </c>
      <c r="E3121" s="487" t="s">
        <v>10761</v>
      </c>
      <c r="F3121" s="490">
        <v>200000</v>
      </c>
      <c r="G3121" s="489">
        <v>2106.2600000000002</v>
      </c>
      <c r="H3121" s="489">
        <v>94.955039999999997</v>
      </c>
      <c r="I3121" s="487" t="s">
        <v>1499</v>
      </c>
      <c r="J3121" s="487" t="s">
        <v>1326</v>
      </c>
    </row>
    <row r="3122" spans="1:10" ht="15" x14ac:dyDescent="0.2">
      <c r="A3122" s="486" t="s">
        <v>1325</v>
      </c>
      <c r="B3122" s="487" t="s">
        <v>1324</v>
      </c>
      <c r="C3122" s="488" t="s">
        <v>10762</v>
      </c>
      <c r="D3122" s="489" t="s">
        <v>10763</v>
      </c>
      <c r="E3122" s="487" t="s">
        <v>10764</v>
      </c>
      <c r="F3122" s="490">
        <v>152482</v>
      </c>
      <c r="G3122" s="489">
        <v>1439.19</v>
      </c>
      <c r="H3122" s="489">
        <v>105.94987</v>
      </c>
      <c r="I3122" s="487" t="s">
        <v>1499</v>
      </c>
      <c r="J3122" s="487" t="s">
        <v>1326</v>
      </c>
    </row>
    <row r="3123" spans="1:10" ht="15" x14ac:dyDescent="0.2">
      <c r="A3123" s="486" t="s">
        <v>1325</v>
      </c>
      <c r="B3123" s="487" t="s">
        <v>1324</v>
      </c>
      <c r="C3123" s="488" t="s">
        <v>10765</v>
      </c>
      <c r="D3123" s="489" t="s">
        <v>10766</v>
      </c>
      <c r="E3123" s="487" t="s">
        <v>10767</v>
      </c>
      <c r="F3123" s="490">
        <v>7600</v>
      </c>
      <c r="G3123" s="489">
        <v>228.36</v>
      </c>
      <c r="H3123" s="489">
        <v>33.28078</v>
      </c>
      <c r="I3123" s="487" t="s">
        <v>1499</v>
      </c>
      <c r="J3123" s="487" t="s">
        <v>1326</v>
      </c>
    </row>
    <row r="3124" spans="1:10" ht="15" x14ac:dyDescent="0.2">
      <c r="A3124" s="486" t="s">
        <v>1325</v>
      </c>
      <c r="B3124" s="487" t="s">
        <v>1324</v>
      </c>
      <c r="C3124" s="488" t="s">
        <v>10768</v>
      </c>
      <c r="D3124" s="489" t="s">
        <v>10769</v>
      </c>
      <c r="E3124" s="487" t="s">
        <v>10770</v>
      </c>
      <c r="F3124" s="490">
        <v>12000</v>
      </c>
      <c r="G3124" s="489">
        <v>248.96</v>
      </c>
      <c r="H3124" s="489">
        <v>48.200510000000001</v>
      </c>
      <c r="I3124" s="487" t="s">
        <v>1499</v>
      </c>
      <c r="J3124" s="487" t="s">
        <v>1326</v>
      </c>
    </row>
    <row r="3125" spans="1:10" ht="15" x14ac:dyDescent="0.2">
      <c r="A3125" s="486" t="s">
        <v>1325</v>
      </c>
      <c r="B3125" s="487" t="s">
        <v>1324</v>
      </c>
      <c r="C3125" s="488" t="s">
        <v>10771</v>
      </c>
      <c r="D3125" s="489" t="s">
        <v>10772</v>
      </c>
      <c r="E3125" s="487" t="s">
        <v>10773</v>
      </c>
      <c r="F3125" s="490">
        <v>11000</v>
      </c>
      <c r="G3125" s="489">
        <v>188.45</v>
      </c>
      <c r="H3125" s="489">
        <v>58.370919999999998</v>
      </c>
      <c r="I3125" s="487" t="s">
        <v>1499</v>
      </c>
      <c r="J3125" s="487" t="s">
        <v>1326</v>
      </c>
    </row>
    <row r="3126" spans="1:10" ht="15" x14ac:dyDescent="0.2">
      <c r="A3126" s="486" t="s">
        <v>1325</v>
      </c>
      <c r="B3126" s="487" t="s">
        <v>1324</v>
      </c>
      <c r="C3126" s="488" t="s">
        <v>10774</v>
      </c>
      <c r="D3126" s="489" t="s">
        <v>10775</v>
      </c>
      <c r="E3126" s="487" t="s">
        <v>10776</v>
      </c>
      <c r="F3126" s="490">
        <v>3000</v>
      </c>
      <c r="G3126" s="489">
        <v>119.08</v>
      </c>
      <c r="H3126" s="489">
        <v>25.193149999999999</v>
      </c>
      <c r="I3126" s="487" t="s">
        <v>1499</v>
      </c>
      <c r="J3126" s="487" t="s">
        <v>1326</v>
      </c>
    </row>
    <row r="3127" spans="1:10" ht="15" x14ac:dyDescent="0.2">
      <c r="A3127" s="486" t="s">
        <v>1325</v>
      </c>
      <c r="B3127" s="487" t="s">
        <v>1324</v>
      </c>
      <c r="C3127" s="488" t="s">
        <v>10777</v>
      </c>
      <c r="D3127" s="489" t="s">
        <v>10778</v>
      </c>
      <c r="E3127" s="487" t="s">
        <v>10779</v>
      </c>
      <c r="F3127" s="490">
        <v>36864</v>
      </c>
      <c r="G3127" s="489">
        <v>256.16000000000003</v>
      </c>
      <c r="H3127" s="489">
        <v>143.91005999999999</v>
      </c>
      <c r="I3127" s="487" t="s">
        <v>1499</v>
      </c>
      <c r="J3127" s="487" t="s">
        <v>1326</v>
      </c>
    </row>
    <row r="3128" spans="1:10" ht="15" x14ac:dyDescent="0.2">
      <c r="A3128" s="486" t="s">
        <v>1325</v>
      </c>
      <c r="B3128" s="487" t="s">
        <v>1324</v>
      </c>
      <c r="C3128" s="488" t="s">
        <v>10780</v>
      </c>
      <c r="D3128" s="489" t="s">
        <v>10781</v>
      </c>
      <c r="E3128" s="487" t="s">
        <v>10782</v>
      </c>
      <c r="F3128" s="490">
        <v>22500</v>
      </c>
      <c r="G3128" s="489">
        <v>649.82000000000005</v>
      </c>
      <c r="H3128" s="489">
        <v>34.624969999999998</v>
      </c>
      <c r="I3128" s="487" t="s">
        <v>1499</v>
      </c>
      <c r="J3128" s="487" t="s">
        <v>1326</v>
      </c>
    </row>
    <row r="3129" spans="1:10" ht="15" x14ac:dyDescent="0.2">
      <c r="A3129" s="486" t="s">
        <v>1325</v>
      </c>
      <c r="B3129" s="487" t="s">
        <v>1324</v>
      </c>
      <c r="C3129" s="488" t="s">
        <v>10783</v>
      </c>
      <c r="D3129" s="489" t="s">
        <v>10784</v>
      </c>
      <c r="E3129" s="487" t="s">
        <v>10785</v>
      </c>
      <c r="F3129" s="490">
        <v>19455</v>
      </c>
      <c r="G3129" s="489">
        <v>399.63</v>
      </c>
      <c r="H3129" s="489">
        <v>48.68253</v>
      </c>
      <c r="I3129" s="487" t="s">
        <v>1499</v>
      </c>
      <c r="J3129" s="487" t="s">
        <v>1326</v>
      </c>
    </row>
    <row r="3130" spans="1:10" ht="15" x14ac:dyDescent="0.2">
      <c r="A3130" s="486" t="s">
        <v>619</v>
      </c>
      <c r="B3130" s="487" t="s">
        <v>618</v>
      </c>
      <c r="C3130" s="488" t="s">
        <v>10786</v>
      </c>
      <c r="D3130" s="489" t="s">
        <v>10787</v>
      </c>
      <c r="E3130" s="487" t="s">
        <v>10788</v>
      </c>
      <c r="F3130" s="490">
        <v>260263</v>
      </c>
      <c r="G3130" s="489">
        <v>5049.8</v>
      </c>
      <c r="H3130" s="489">
        <v>51.539270000000002</v>
      </c>
      <c r="I3130" s="487" t="s">
        <v>1499</v>
      </c>
      <c r="J3130" s="487" t="s">
        <v>620</v>
      </c>
    </row>
    <row r="3131" spans="1:10" ht="15" x14ac:dyDescent="0.2">
      <c r="A3131" s="486" t="s">
        <v>619</v>
      </c>
      <c r="B3131" s="487" t="s">
        <v>618</v>
      </c>
      <c r="C3131" s="488" t="s">
        <v>10789</v>
      </c>
      <c r="D3131" s="489" t="s">
        <v>10790</v>
      </c>
      <c r="E3131" s="487" t="s">
        <v>10791</v>
      </c>
      <c r="F3131" s="490">
        <v>96505</v>
      </c>
      <c r="G3131" s="489">
        <v>3523.3</v>
      </c>
      <c r="H3131" s="489">
        <v>27.390509999999999</v>
      </c>
      <c r="I3131" s="487" t="s">
        <v>1499</v>
      </c>
      <c r="J3131" s="487" t="s">
        <v>620</v>
      </c>
    </row>
    <row r="3132" spans="1:10" ht="15" x14ac:dyDescent="0.2">
      <c r="A3132" s="486" t="s">
        <v>619</v>
      </c>
      <c r="B3132" s="487" t="s">
        <v>618</v>
      </c>
      <c r="C3132" s="488" t="s">
        <v>10792</v>
      </c>
      <c r="D3132" s="489" t="s">
        <v>10793</v>
      </c>
      <c r="E3132" s="487" t="s">
        <v>4317</v>
      </c>
      <c r="F3132" s="490">
        <v>116965</v>
      </c>
      <c r="G3132" s="489">
        <v>3228.2</v>
      </c>
      <c r="H3132" s="489">
        <v>36.23227</v>
      </c>
      <c r="I3132" s="487" t="s">
        <v>1499</v>
      </c>
      <c r="J3132" s="487" t="s">
        <v>620</v>
      </c>
    </row>
    <row r="3133" spans="1:10" ht="15" x14ac:dyDescent="0.2">
      <c r="A3133" s="486" t="s">
        <v>619</v>
      </c>
      <c r="B3133" s="487" t="s">
        <v>618</v>
      </c>
      <c r="C3133" s="488" t="s">
        <v>10794</v>
      </c>
      <c r="D3133" s="489" t="s">
        <v>10795</v>
      </c>
      <c r="E3133" s="487" t="s">
        <v>10796</v>
      </c>
      <c r="F3133" s="490">
        <v>13423.58</v>
      </c>
      <c r="G3133" s="489">
        <v>707.2</v>
      </c>
      <c r="H3133" s="489">
        <v>18.981310000000001</v>
      </c>
      <c r="I3133" s="487" t="s">
        <v>1499</v>
      </c>
      <c r="J3133" s="487" t="s">
        <v>620</v>
      </c>
    </row>
    <row r="3134" spans="1:10" ht="15" x14ac:dyDescent="0.2">
      <c r="A3134" s="486" t="s">
        <v>619</v>
      </c>
      <c r="B3134" s="487" t="s">
        <v>618</v>
      </c>
      <c r="C3134" s="488" t="s">
        <v>10797</v>
      </c>
      <c r="D3134" s="489" t="s">
        <v>10798</v>
      </c>
      <c r="E3134" s="487" t="s">
        <v>10799</v>
      </c>
      <c r="F3134" s="490">
        <v>35700</v>
      </c>
      <c r="G3134" s="489">
        <v>2549.5</v>
      </c>
      <c r="H3134" s="489">
        <v>14.002750000000001</v>
      </c>
      <c r="I3134" s="487" t="s">
        <v>1499</v>
      </c>
      <c r="J3134" s="487" t="s">
        <v>620</v>
      </c>
    </row>
    <row r="3135" spans="1:10" ht="15" x14ac:dyDescent="0.2">
      <c r="A3135" s="486" t="s">
        <v>661</v>
      </c>
      <c r="B3135" s="487" t="s">
        <v>660</v>
      </c>
      <c r="C3135" s="488" t="s">
        <v>10800</v>
      </c>
      <c r="D3135" s="489" t="s">
        <v>10801</v>
      </c>
      <c r="E3135" s="487" t="s">
        <v>10802</v>
      </c>
      <c r="F3135" s="490">
        <v>700</v>
      </c>
      <c r="G3135" s="489">
        <v>77.930750000000003</v>
      </c>
      <c r="H3135" s="489">
        <v>8.9823299999999993</v>
      </c>
      <c r="I3135" s="487" t="s">
        <v>1499</v>
      </c>
      <c r="J3135" s="487" t="s">
        <v>662</v>
      </c>
    </row>
    <row r="3136" spans="1:10" ht="15" x14ac:dyDescent="0.2">
      <c r="A3136" s="486" t="s">
        <v>661</v>
      </c>
      <c r="B3136" s="487" t="s">
        <v>660</v>
      </c>
      <c r="C3136" s="488" t="s">
        <v>10803</v>
      </c>
      <c r="D3136" s="489" t="s">
        <v>10804</v>
      </c>
      <c r="E3136" s="487" t="s">
        <v>10805</v>
      </c>
      <c r="F3136" s="490">
        <v>1950</v>
      </c>
      <c r="G3136" s="489">
        <v>143.45196000000001</v>
      </c>
      <c r="H3136" s="489">
        <v>13.593400000000001</v>
      </c>
      <c r="I3136" s="487" t="s">
        <v>1499</v>
      </c>
      <c r="J3136" s="487" t="s">
        <v>662</v>
      </c>
    </row>
    <row r="3137" spans="1:10" ht="15" x14ac:dyDescent="0.2">
      <c r="A3137" s="486" t="s">
        <v>661</v>
      </c>
      <c r="B3137" s="487" t="s">
        <v>660</v>
      </c>
      <c r="C3137" s="488" t="s">
        <v>10806</v>
      </c>
      <c r="D3137" s="489" t="s">
        <v>10807</v>
      </c>
      <c r="E3137" s="487" t="s">
        <v>10808</v>
      </c>
      <c r="F3137" s="490">
        <v>29719</v>
      </c>
      <c r="G3137" s="489">
        <v>370.85133000000002</v>
      </c>
      <c r="H3137" s="489">
        <v>80.137230000000002</v>
      </c>
      <c r="I3137" s="487" t="s">
        <v>1499</v>
      </c>
      <c r="J3137" s="487" t="s">
        <v>662</v>
      </c>
    </row>
    <row r="3138" spans="1:10" ht="15" x14ac:dyDescent="0.2">
      <c r="A3138" s="486" t="s">
        <v>661</v>
      </c>
      <c r="B3138" s="487" t="s">
        <v>660</v>
      </c>
      <c r="C3138" s="488" t="s">
        <v>10809</v>
      </c>
      <c r="D3138" s="489" t="s">
        <v>10810</v>
      </c>
      <c r="E3138" s="487" t="s">
        <v>10811</v>
      </c>
      <c r="F3138" s="490">
        <v>0</v>
      </c>
      <c r="G3138" s="489">
        <v>70.816289999999995</v>
      </c>
      <c r="H3138" s="489">
        <v>0</v>
      </c>
      <c r="I3138" s="487" t="s">
        <v>1593</v>
      </c>
      <c r="J3138" s="487" t="s">
        <v>662</v>
      </c>
    </row>
    <row r="3139" spans="1:10" ht="15" x14ac:dyDescent="0.2">
      <c r="A3139" s="486" t="s">
        <v>661</v>
      </c>
      <c r="B3139" s="487" t="s">
        <v>660</v>
      </c>
      <c r="C3139" s="488" t="s">
        <v>10812</v>
      </c>
      <c r="D3139" s="489" t="s">
        <v>10813</v>
      </c>
      <c r="E3139" s="487" t="s">
        <v>10814</v>
      </c>
      <c r="F3139" s="490">
        <v>1800</v>
      </c>
      <c r="G3139" s="489">
        <v>66.893199999999993</v>
      </c>
      <c r="H3139" s="489">
        <v>26.908570000000001</v>
      </c>
      <c r="I3139" s="487" t="s">
        <v>1499</v>
      </c>
      <c r="J3139" s="487" t="s">
        <v>662</v>
      </c>
    </row>
    <row r="3140" spans="1:10" ht="15" x14ac:dyDescent="0.2">
      <c r="A3140" s="486" t="s">
        <v>661</v>
      </c>
      <c r="B3140" s="487" t="s">
        <v>660</v>
      </c>
      <c r="C3140" s="488" t="s">
        <v>10815</v>
      </c>
      <c r="D3140" s="489" t="s">
        <v>10816</v>
      </c>
      <c r="E3140" s="487" t="s">
        <v>10817</v>
      </c>
      <c r="F3140" s="490">
        <v>23770</v>
      </c>
      <c r="G3140" s="489">
        <v>328.86655000000002</v>
      </c>
      <c r="H3140" s="489">
        <v>72.278559999999999</v>
      </c>
      <c r="I3140" s="487" t="s">
        <v>1499</v>
      </c>
      <c r="J3140" s="487" t="s">
        <v>662</v>
      </c>
    </row>
    <row r="3141" spans="1:10" ht="15" x14ac:dyDescent="0.2">
      <c r="A3141" s="486" t="s">
        <v>661</v>
      </c>
      <c r="B3141" s="487" t="s">
        <v>660</v>
      </c>
      <c r="C3141" s="488" t="s">
        <v>10818</v>
      </c>
      <c r="D3141" s="489" t="s">
        <v>10819</v>
      </c>
      <c r="E3141" s="487" t="s">
        <v>3349</v>
      </c>
      <c r="F3141" s="490">
        <v>0</v>
      </c>
      <c r="G3141" s="489">
        <v>62.076569999999997</v>
      </c>
      <c r="H3141" s="489">
        <v>0</v>
      </c>
      <c r="I3141" s="487" t="s">
        <v>1593</v>
      </c>
      <c r="J3141" s="487" t="s">
        <v>662</v>
      </c>
    </row>
    <row r="3142" spans="1:10" ht="15" x14ac:dyDescent="0.2">
      <c r="A3142" s="486" t="s">
        <v>661</v>
      </c>
      <c r="B3142" s="487" t="s">
        <v>660</v>
      </c>
      <c r="C3142" s="488" t="s">
        <v>10820</v>
      </c>
      <c r="D3142" s="489" t="s">
        <v>10821</v>
      </c>
      <c r="E3142" s="487" t="s">
        <v>10822</v>
      </c>
      <c r="F3142" s="490">
        <v>400</v>
      </c>
      <c r="G3142" s="489">
        <v>32.807429999999997</v>
      </c>
      <c r="H3142" s="489">
        <v>12.192360000000001</v>
      </c>
      <c r="I3142" s="487" t="s">
        <v>1499</v>
      </c>
      <c r="J3142" s="487" t="s">
        <v>662</v>
      </c>
    </row>
    <row r="3143" spans="1:10" ht="15" x14ac:dyDescent="0.2">
      <c r="A3143" s="486" t="s">
        <v>661</v>
      </c>
      <c r="B3143" s="487" t="s">
        <v>660</v>
      </c>
      <c r="C3143" s="488" t="s">
        <v>10823</v>
      </c>
      <c r="D3143" s="489" t="s">
        <v>10824</v>
      </c>
      <c r="E3143" s="487" t="s">
        <v>10825</v>
      </c>
      <c r="F3143" s="490">
        <v>54000</v>
      </c>
      <c r="G3143" s="489">
        <v>520.07335999999998</v>
      </c>
      <c r="H3143" s="489">
        <v>103.83150999999999</v>
      </c>
      <c r="I3143" s="487" t="s">
        <v>1499</v>
      </c>
      <c r="J3143" s="487" t="s">
        <v>662</v>
      </c>
    </row>
    <row r="3144" spans="1:10" ht="15" x14ac:dyDescent="0.2">
      <c r="A3144" s="486" t="s">
        <v>661</v>
      </c>
      <c r="B3144" s="487" t="s">
        <v>660</v>
      </c>
      <c r="C3144" s="488" t="s">
        <v>10826</v>
      </c>
      <c r="D3144" s="489" t="s">
        <v>10827</v>
      </c>
      <c r="E3144" s="487" t="s">
        <v>10828</v>
      </c>
      <c r="F3144" s="490">
        <v>1100</v>
      </c>
      <c r="G3144" s="489">
        <v>158.0119</v>
      </c>
      <c r="H3144" s="489">
        <v>6.9615</v>
      </c>
      <c r="I3144" s="487" t="s">
        <v>1499</v>
      </c>
      <c r="J3144" s="487" t="s">
        <v>662</v>
      </c>
    </row>
    <row r="3145" spans="1:10" ht="15" x14ac:dyDescent="0.2">
      <c r="A3145" s="486" t="s">
        <v>661</v>
      </c>
      <c r="B3145" s="487" t="s">
        <v>660</v>
      </c>
      <c r="C3145" s="488" t="s">
        <v>10829</v>
      </c>
      <c r="D3145" s="489" t="s">
        <v>10830</v>
      </c>
      <c r="E3145" s="487" t="s">
        <v>388</v>
      </c>
      <c r="F3145" s="490">
        <v>0</v>
      </c>
      <c r="G3145" s="489">
        <v>87.713530000000006</v>
      </c>
      <c r="H3145" s="489">
        <v>0</v>
      </c>
      <c r="I3145" s="487" t="s">
        <v>1593</v>
      </c>
      <c r="J3145" s="487" t="s">
        <v>662</v>
      </c>
    </row>
    <row r="3146" spans="1:10" ht="15" x14ac:dyDescent="0.2">
      <c r="A3146" s="486" t="s">
        <v>661</v>
      </c>
      <c r="B3146" s="487" t="s">
        <v>660</v>
      </c>
      <c r="C3146" s="488" t="s">
        <v>10831</v>
      </c>
      <c r="D3146" s="489" t="s">
        <v>10832</v>
      </c>
      <c r="E3146" s="487" t="s">
        <v>3515</v>
      </c>
      <c r="F3146" s="490">
        <v>3200</v>
      </c>
      <c r="G3146" s="489">
        <v>124.87838000000001</v>
      </c>
      <c r="H3146" s="489">
        <v>25.624929999999999</v>
      </c>
      <c r="I3146" s="487" t="s">
        <v>1499</v>
      </c>
      <c r="J3146" s="487" t="s">
        <v>662</v>
      </c>
    </row>
    <row r="3147" spans="1:10" ht="15" x14ac:dyDescent="0.2">
      <c r="A3147" s="486" t="s">
        <v>661</v>
      </c>
      <c r="B3147" s="487" t="s">
        <v>660</v>
      </c>
      <c r="C3147" s="488" t="s">
        <v>10833</v>
      </c>
      <c r="D3147" s="489" t="s">
        <v>10834</v>
      </c>
      <c r="E3147" s="487" t="s">
        <v>10835</v>
      </c>
      <c r="F3147" s="490">
        <v>0</v>
      </c>
      <c r="G3147" s="489">
        <v>57.112299999999998</v>
      </c>
      <c r="H3147" s="489">
        <v>0</v>
      </c>
      <c r="I3147" s="487" t="s">
        <v>1593</v>
      </c>
      <c r="J3147" s="487" t="s">
        <v>662</v>
      </c>
    </row>
    <row r="3148" spans="1:10" ht="15" x14ac:dyDescent="0.2">
      <c r="A3148" s="486" t="s">
        <v>661</v>
      </c>
      <c r="B3148" s="487" t="s">
        <v>660</v>
      </c>
      <c r="C3148" s="488" t="s">
        <v>10836</v>
      </c>
      <c r="D3148" s="489" t="s">
        <v>10837</v>
      </c>
      <c r="E3148" s="487" t="s">
        <v>10838</v>
      </c>
      <c r="F3148" s="490">
        <v>1800</v>
      </c>
      <c r="G3148" s="489">
        <v>121.05383</v>
      </c>
      <c r="H3148" s="489">
        <v>14.86942</v>
      </c>
      <c r="I3148" s="487" t="s">
        <v>1499</v>
      </c>
      <c r="J3148" s="487" t="s">
        <v>662</v>
      </c>
    </row>
    <row r="3149" spans="1:10" ht="15" x14ac:dyDescent="0.2">
      <c r="A3149" s="486" t="s">
        <v>661</v>
      </c>
      <c r="B3149" s="487" t="s">
        <v>660</v>
      </c>
      <c r="C3149" s="488" t="s">
        <v>10839</v>
      </c>
      <c r="D3149" s="489" t="s">
        <v>10840</v>
      </c>
      <c r="E3149" s="487" t="s">
        <v>10841</v>
      </c>
      <c r="F3149" s="490">
        <v>6300</v>
      </c>
      <c r="G3149" s="489">
        <v>83.685509999999994</v>
      </c>
      <c r="H3149" s="489">
        <v>75.281850000000006</v>
      </c>
      <c r="I3149" s="487" t="s">
        <v>1499</v>
      </c>
      <c r="J3149" s="487" t="s">
        <v>662</v>
      </c>
    </row>
    <row r="3150" spans="1:10" ht="15" x14ac:dyDescent="0.2">
      <c r="A3150" s="486" t="s">
        <v>661</v>
      </c>
      <c r="B3150" s="487" t="s">
        <v>660</v>
      </c>
      <c r="C3150" s="488" t="s">
        <v>10842</v>
      </c>
      <c r="D3150" s="489" t="s">
        <v>10843</v>
      </c>
      <c r="E3150" s="487" t="s">
        <v>10844</v>
      </c>
      <c r="F3150" s="490">
        <v>19950</v>
      </c>
      <c r="G3150" s="489">
        <v>377.68675999999999</v>
      </c>
      <c r="H3150" s="489">
        <v>52.821550000000002</v>
      </c>
      <c r="I3150" s="487" t="s">
        <v>1499</v>
      </c>
      <c r="J3150" s="487" t="s">
        <v>662</v>
      </c>
    </row>
    <row r="3151" spans="1:10" ht="15" x14ac:dyDescent="0.2">
      <c r="A3151" s="486" t="s">
        <v>661</v>
      </c>
      <c r="B3151" s="487" t="s">
        <v>660</v>
      </c>
      <c r="C3151" s="488" t="s">
        <v>10845</v>
      </c>
      <c r="D3151" s="489" t="s">
        <v>10846</v>
      </c>
      <c r="E3151" s="487" t="s">
        <v>10847</v>
      </c>
      <c r="F3151" s="490">
        <v>22769</v>
      </c>
      <c r="G3151" s="489">
        <v>267.32603999999998</v>
      </c>
      <c r="H3151" s="489">
        <v>85.173150000000007</v>
      </c>
      <c r="I3151" s="487" t="s">
        <v>1499</v>
      </c>
      <c r="J3151" s="487" t="s">
        <v>662</v>
      </c>
    </row>
    <row r="3152" spans="1:10" ht="15" x14ac:dyDescent="0.2">
      <c r="A3152" s="486" t="s">
        <v>661</v>
      </c>
      <c r="B3152" s="487" t="s">
        <v>660</v>
      </c>
      <c r="C3152" s="488" t="s">
        <v>10848</v>
      </c>
      <c r="D3152" s="489" t="s">
        <v>10849</v>
      </c>
      <c r="E3152" s="487" t="s">
        <v>10850</v>
      </c>
      <c r="F3152" s="490">
        <v>132051.51</v>
      </c>
      <c r="G3152" s="489">
        <v>1172.5675000000001</v>
      </c>
      <c r="H3152" s="489">
        <v>112.61741000000001</v>
      </c>
      <c r="I3152" s="487" t="s">
        <v>1499</v>
      </c>
      <c r="J3152" s="487" t="s">
        <v>662</v>
      </c>
    </row>
    <row r="3153" spans="1:10" ht="15" x14ac:dyDescent="0.2">
      <c r="A3153" s="486" t="s">
        <v>661</v>
      </c>
      <c r="B3153" s="487" t="s">
        <v>660</v>
      </c>
      <c r="C3153" s="488" t="s">
        <v>10851</v>
      </c>
      <c r="D3153" s="489" t="s">
        <v>10852</v>
      </c>
      <c r="E3153" s="487" t="s">
        <v>10853</v>
      </c>
      <c r="F3153" s="490">
        <v>8880</v>
      </c>
      <c r="G3153" s="489">
        <v>168.14608999999999</v>
      </c>
      <c r="H3153" s="489">
        <v>52.811219999999999</v>
      </c>
      <c r="I3153" s="487" t="s">
        <v>1499</v>
      </c>
      <c r="J3153" s="487" t="s">
        <v>662</v>
      </c>
    </row>
    <row r="3154" spans="1:10" ht="15" x14ac:dyDescent="0.2">
      <c r="A3154" s="486" t="s">
        <v>661</v>
      </c>
      <c r="B3154" s="487" t="s">
        <v>660</v>
      </c>
      <c r="C3154" s="488" t="s">
        <v>10854</v>
      </c>
      <c r="D3154" s="489" t="s">
        <v>10855</v>
      </c>
      <c r="E3154" s="487" t="s">
        <v>10856</v>
      </c>
      <c r="F3154" s="490">
        <v>220926</v>
      </c>
      <c r="G3154" s="489">
        <v>1803.71315</v>
      </c>
      <c r="H3154" s="489">
        <v>122.48399999999999</v>
      </c>
      <c r="I3154" s="487" t="s">
        <v>1499</v>
      </c>
      <c r="J3154" s="487" t="s">
        <v>662</v>
      </c>
    </row>
    <row r="3155" spans="1:10" ht="15" x14ac:dyDescent="0.2">
      <c r="A3155" s="486" t="s">
        <v>661</v>
      </c>
      <c r="B3155" s="487" t="s">
        <v>660</v>
      </c>
      <c r="C3155" s="488" t="s">
        <v>10857</v>
      </c>
      <c r="D3155" s="489" t="s">
        <v>10858</v>
      </c>
      <c r="E3155" s="487" t="s">
        <v>10859</v>
      </c>
      <c r="F3155" s="490">
        <v>2010</v>
      </c>
      <c r="G3155" s="489">
        <v>120.41051</v>
      </c>
      <c r="H3155" s="489">
        <v>16.692889999999998</v>
      </c>
      <c r="I3155" s="487" t="s">
        <v>1499</v>
      </c>
      <c r="J3155" s="487" t="s">
        <v>662</v>
      </c>
    </row>
    <row r="3156" spans="1:10" ht="15" x14ac:dyDescent="0.2">
      <c r="A3156" s="486" t="s">
        <v>661</v>
      </c>
      <c r="B3156" s="487" t="s">
        <v>660</v>
      </c>
      <c r="C3156" s="488" t="s">
        <v>10860</v>
      </c>
      <c r="D3156" s="489" t="s">
        <v>10861</v>
      </c>
      <c r="E3156" s="487" t="s">
        <v>10862</v>
      </c>
      <c r="F3156" s="490">
        <v>7500</v>
      </c>
      <c r="G3156" s="489">
        <v>166.53749999999999</v>
      </c>
      <c r="H3156" s="489">
        <v>45.0349</v>
      </c>
      <c r="I3156" s="487" t="s">
        <v>1499</v>
      </c>
      <c r="J3156" s="487" t="s">
        <v>662</v>
      </c>
    </row>
    <row r="3157" spans="1:10" ht="15" x14ac:dyDescent="0.2">
      <c r="A3157" s="486" t="s">
        <v>661</v>
      </c>
      <c r="B3157" s="487" t="s">
        <v>660</v>
      </c>
      <c r="C3157" s="488" t="s">
        <v>10863</v>
      </c>
      <c r="D3157" s="489" t="s">
        <v>10864</v>
      </c>
      <c r="E3157" s="487" t="s">
        <v>10865</v>
      </c>
      <c r="F3157" s="490">
        <v>11800</v>
      </c>
      <c r="G3157" s="489">
        <v>214.61960999999999</v>
      </c>
      <c r="H3157" s="489">
        <v>54.981000000000002</v>
      </c>
      <c r="I3157" s="487" t="s">
        <v>1499</v>
      </c>
      <c r="J3157" s="487" t="s">
        <v>662</v>
      </c>
    </row>
    <row r="3158" spans="1:10" ht="15" x14ac:dyDescent="0.2">
      <c r="A3158" s="486" t="s">
        <v>661</v>
      </c>
      <c r="B3158" s="487" t="s">
        <v>660</v>
      </c>
      <c r="C3158" s="488" t="s">
        <v>10866</v>
      </c>
      <c r="D3158" s="489" t="s">
        <v>10867</v>
      </c>
      <c r="E3158" s="487" t="s">
        <v>10868</v>
      </c>
      <c r="F3158" s="490">
        <v>16426</v>
      </c>
      <c r="G3158" s="489">
        <v>452.33364999999998</v>
      </c>
      <c r="H3158" s="489">
        <v>36.313899999999997</v>
      </c>
      <c r="I3158" s="487" t="s">
        <v>1499</v>
      </c>
      <c r="J3158" s="487" t="s">
        <v>662</v>
      </c>
    </row>
    <row r="3159" spans="1:10" ht="15" x14ac:dyDescent="0.2">
      <c r="A3159" s="486" t="s">
        <v>661</v>
      </c>
      <c r="B3159" s="487" t="s">
        <v>660</v>
      </c>
      <c r="C3159" s="488" t="s">
        <v>10869</v>
      </c>
      <c r="D3159" s="489" t="s">
        <v>10870</v>
      </c>
      <c r="E3159" s="487" t="s">
        <v>10871</v>
      </c>
      <c r="F3159" s="490">
        <v>4065</v>
      </c>
      <c r="G3159" s="489">
        <v>95.94211</v>
      </c>
      <c r="H3159" s="489">
        <v>42.369300000000003</v>
      </c>
      <c r="I3159" s="487" t="s">
        <v>1499</v>
      </c>
      <c r="J3159" s="487" t="s">
        <v>662</v>
      </c>
    </row>
    <row r="3160" spans="1:10" ht="15" x14ac:dyDescent="0.2">
      <c r="A3160" s="486" t="s">
        <v>661</v>
      </c>
      <c r="B3160" s="487" t="s">
        <v>660</v>
      </c>
      <c r="C3160" s="488" t="s">
        <v>10872</v>
      </c>
      <c r="D3160" s="489" t="s">
        <v>10873</v>
      </c>
      <c r="E3160" s="487" t="s">
        <v>10874</v>
      </c>
      <c r="F3160" s="490">
        <v>153733</v>
      </c>
      <c r="G3160" s="489">
        <v>1523.0381400000001</v>
      </c>
      <c r="H3160" s="489">
        <v>100.93838</v>
      </c>
      <c r="I3160" s="487" t="s">
        <v>1499</v>
      </c>
      <c r="J3160" s="487" t="s">
        <v>662</v>
      </c>
    </row>
    <row r="3161" spans="1:10" ht="15" x14ac:dyDescent="0.2">
      <c r="A3161" s="486" t="s">
        <v>661</v>
      </c>
      <c r="B3161" s="487" t="s">
        <v>660</v>
      </c>
      <c r="C3161" s="488" t="s">
        <v>10875</v>
      </c>
      <c r="D3161" s="489" t="s">
        <v>10876</v>
      </c>
      <c r="E3161" s="487" t="s">
        <v>10877</v>
      </c>
      <c r="F3161" s="490">
        <v>1923000</v>
      </c>
      <c r="G3161" s="489">
        <v>7611.2154600000003</v>
      </c>
      <c r="H3161" s="489">
        <v>252.65347</v>
      </c>
      <c r="I3161" s="487" t="s">
        <v>1499</v>
      </c>
      <c r="J3161" s="487" t="s">
        <v>662</v>
      </c>
    </row>
    <row r="3162" spans="1:10" ht="15" x14ac:dyDescent="0.2">
      <c r="A3162" s="486" t="s">
        <v>661</v>
      </c>
      <c r="B3162" s="487" t="s">
        <v>660</v>
      </c>
      <c r="C3162" s="488" t="s">
        <v>10878</v>
      </c>
      <c r="D3162" s="489" t="s">
        <v>10879</v>
      </c>
      <c r="E3162" s="487" t="s">
        <v>10880</v>
      </c>
      <c r="F3162" s="490">
        <v>420</v>
      </c>
      <c r="G3162" s="489">
        <v>66.654960000000003</v>
      </c>
      <c r="H3162" s="489">
        <v>6.3011100000000004</v>
      </c>
      <c r="I3162" s="487" t="s">
        <v>1499</v>
      </c>
      <c r="J3162" s="487" t="s">
        <v>662</v>
      </c>
    </row>
    <row r="3163" spans="1:10" ht="15" x14ac:dyDescent="0.2">
      <c r="A3163" s="486" t="s">
        <v>661</v>
      </c>
      <c r="B3163" s="487" t="s">
        <v>660</v>
      </c>
      <c r="C3163" s="488" t="s">
        <v>10881</v>
      </c>
      <c r="D3163" s="489" t="s">
        <v>10882</v>
      </c>
      <c r="E3163" s="487" t="s">
        <v>10883</v>
      </c>
      <c r="F3163" s="490">
        <v>11973</v>
      </c>
      <c r="G3163" s="489">
        <v>237.84119999999999</v>
      </c>
      <c r="H3163" s="489">
        <v>50.340310000000002</v>
      </c>
      <c r="I3163" s="487" t="s">
        <v>1499</v>
      </c>
      <c r="J3163" s="487" t="s">
        <v>662</v>
      </c>
    </row>
    <row r="3164" spans="1:10" ht="15" x14ac:dyDescent="0.2">
      <c r="A3164" s="486" t="s">
        <v>661</v>
      </c>
      <c r="B3164" s="487" t="s">
        <v>660</v>
      </c>
      <c r="C3164" s="488" t="s">
        <v>10884</v>
      </c>
      <c r="D3164" s="489" t="s">
        <v>10885</v>
      </c>
      <c r="E3164" s="487" t="s">
        <v>10886</v>
      </c>
      <c r="F3164" s="490">
        <v>10250</v>
      </c>
      <c r="G3164" s="489">
        <v>196.83749</v>
      </c>
      <c r="H3164" s="489">
        <v>52.073410000000003</v>
      </c>
      <c r="I3164" s="487" t="s">
        <v>1499</v>
      </c>
      <c r="J3164" s="487" t="s">
        <v>662</v>
      </c>
    </row>
    <row r="3165" spans="1:10" ht="15" x14ac:dyDescent="0.2">
      <c r="A3165" s="486" t="s">
        <v>661</v>
      </c>
      <c r="B3165" s="487" t="s">
        <v>660</v>
      </c>
      <c r="C3165" s="488" t="s">
        <v>10887</v>
      </c>
      <c r="D3165" s="489" t="s">
        <v>10888</v>
      </c>
      <c r="E3165" s="487" t="s">
        <v>10889</v>
      </c>
      <c r="F3165" s="490">
        <v>5000</v>
      </c>
      <c r="G3165" s="489">
        <v>149.25251</v>
      </c>
      <c r="H3165" s="489">
        <v>33.50027</v>
      </c>
      <c r="I3165" s="487" t="s">
        <v>1499</v>
      </c>
      <c r="J3165" s="487" t="s">
        <v>662</v>
      </c>
    </row>
    <row r="3166" spans="1:10" ht="15" x14ac:dyDescent="0.2">
      <c r="A3166" s="486" t="s">
        <v>661</v>
      </c>
      <c r="B3166" s="487" t="s">
        <v>660</v>
      </c>
      <c r="C3166" s="488" t="s">
        <v>10890</v>
      </c>
      <c r="D3166" s="489" t="s">
        <v>10891</v>
      </c>
      <c r="E3166" s="487" t="s">
        <v>10892</v>
      </c>
      <c r="F3166" s="490">
        <v>0</v>
      </c>
      <c r="G3166" s="489">
        <v>74.295259999999999</v>
      </c>
      <c r="H3166" s="489">
        <v>0</v>
      </c>
      <c r="I3166" s="487" t="s">
        <v>1593</v>
      </c>
      <c r="J3166" s="487" t="s">
        <v>662</v>
      </c>
    </row>
    <row r="3167" spans="1:10" ht="15" x14ac:dyDescent="0.2">
      <c r="A3167" s="486" t="s">
        <v>661</v>
      </c>
      <c r="B3167" s="487" t="s">
        <v>660</v>
      </c>
      <c r="C3167" s="488" t="s">
        <v>10893</v>
      </c>
      <c r="D3167" s="489" t="s">
        <v>10894</v>
      </c>
      <c r="E3167" s="487" t="s">
        <v>10895</v>
      </c>
      <c r="F3167" s="490">
        <v>10240</v>
      </c>
      <c r="G3167" s="489">
        <v>190.55658</v>
      </c>
      <c r="H3167" s="489">
        <v>53.737319999999997</v>
      </c>
      <c r="I3167" s="487" t="s">
        <v>1499</v>
      </c>
      <c r="J3167" s="487" t="s">
        <v>662</v>
      </c>
    </row>
    <row r="3168" spans="1:10" ht="15" x14ac:dyDescent="0.2">
      <c r="A3168" s="486" t="s">
        <v>661</v>
      </c>
      <c r="B3168" s="487" t="s">
        <v>660</v>
      </c>
      <c r="C3168" s="488" t="s">
        <v>10896</v>
      </c>
      <c r="D3168" s="489" t="s">
        <v>10897</v>
      </c>
      <c r="E3168" s="487" t="s">
        <v>10898</v>
      </c>
      <c r="F3168" s="490">
        <v>2000</v>
      </c>
      <c r="G3168" s="489">
        <v>161.29821000000001</v>
      </c>
      <c r="H3168" s="489">
        <v>12.39939</v>
      </c>
      <c r="I3168" s="487" t="s">
        <v>1499</v>
      </c>
      <c r="J3168" s="487" t="s">
        <v>662</v>
      </c>
    </row>
    <row r="3169" spans="1:10" ht="15" x14ac:dyDescent="0.2">
      <c r="A3169" s="486" t="s">
        <v>661</v>
      </c>
      <c r="B3169" s="487" t="s">
        <v>660</v>
      </c>
      <c r="C3169" s="488" t="s">
        <v>10899</v>
      </c>
      <c r="D3169" s="489" t="s">
        <v>10900</v>
      </c>
      <c r="E3169" s="487" t="s">
        <v>10901</v>
      </c>
      <c r="F3169" s="490">
        <v>0</v>
      </c>
      <c r="G3169" s="489">
        <v>75.895750000000007</v>
      </c>
      <c r="H3169" s="489">
        <v>0</v>
      </c>
      <c r="I3169" s="487" t="s">
        <v>1593</v>
      </c>
      <c r="J3169" s="487" t="s">
        <v>662</v>
      </c>
    </row>
    <row r="3170" spans="1:10" ht="15" x14ac:dyDescent="0.2">
      <c r="A3170" s="486" t="s">
        <v>661</v>
      </c>
      <c r="B3170" s="487" t="s">
        <v>660</v>
      </c>
      <c r="C3170" s="488" t="s">
        <v>10902</v>
      </c>
      <c r="D3170" s="489" t="s">
        <v>10903</v>
      </c>
      <c r="E3170" s="487" t="s">
        <v>10904</v>
      </c>
      <c r="F3170" s="490">
        <v>750</v>
      </c>
      <c r="G3170" s="489">
        <v>73.846739999999997</v>
      </c>
      <c r="H3170" s="489">
        <v>10.156169999999999</v>
      </c>
      <c r="I3170" s="487" t="s">
        <v>1499</v>
      </c>
      <c r="J3170" s="487" t="s">
        <v>662</v>
      </c>
    </row>
    <row r="3171" spans="1:10" ht="15" x14ac:dyDescent="0.2">
      <c r="A3171" s="486" t="s">
        <v>661</v>
      </c>
      <c r="B3171" s="487" t="s">
        <v>660</v>
      </c>
      <c r="C3171" s="488" t="s">
        <v>10905</v>
      </c>
      <c r="D3171" s="489" t="s">
        <v>10906</v>
      </c>
      <c r="E3171" s="487" t="s">
        <v>10907</v>
      </c>
      <c r="F3171" s="490">
        <v>6200</v>
      </c>
      <c r="G3171" s="489">
        <v>72.704800000000006</v>
      </c>
      <c r="H3171" s="489">
        <v>85.276349999999994</v>
      </c>
      <c r="I3171" s="487" t="s">
        <v>1499</v>
      </c>
      <c r="J3171" s="487" t="s">
        <v>662</v>
      </c>
    </row>
    <row r="3172" spans="1:10" ht="15" x14ac:dyDescent="0.2">
      <c r="A3172" s="486" t="s">
        <v>661</v>
      </c>
      <c r="B3172" s="487" t="s">
        <v>660</v>
      </c>
      <c r="C3172" s="488" t="s">
        <v>10908</v>
      </c>
      <c r="D3172" s="489" t="s">
        <v>10909</v>
      </c>
      <c r="E3172" s="487" t="s">
        <v>10910</v>
      </c>
      <c r="F3172" s="490">
        <v>730</v>
      </c>
      <c r="G3172" s="489">
        <v>33.141379999999998</v>
      </c>
      <c r="H3172" s="489">
        <v>22.02684</v>
      </c>
      <c r="I3172" s="487" t="s">
        <v>1499</v>
      </c>
      <c r="J3172" s="487" t="s">
        <v>662</v>
      </c>
    </row>
    <row r="3173" spans="1:10" ht="15" x14ac:dyDescent="0.2">
      <c r="A3173" s="486" t="s">
        <v>661</v>
      </c>
      <c r="B3173" s="487" t="s">
        <v>660</v>
      </c>
      <c r="C3173" s="488" t="s">
        <v>10911</v>
      </c>
      <c r="D3173" s="489" t="s">
        <v>10912</v>
      </c>
      <c r="E3173" s="487" t="s">
        <v>10913</v>
      </c>
      <c r="F3173" s="490">
        <v>8180</v>
      </c>
      <c r="G3173" s="489">
        <v>158.48335</v>
      </c>
      <c r="H3173" s="489">
        <v>51.614260000000002</v>
      </c>
      <c r="I3173" s="487" t="s">
        <v>1499</v>
      </c>
      <c r="J3173" s="487" t="s">
        <v>662</v>
      </c>
    </row>
    <row r="3174" spans="1:10" ht="15" x14ac:dyDescent="0.2">
      <c r="A3174" s="486" t="s">
        <v>661</v>
      </c>
      <c r="B3174" s="487" t="s">
        <v>660</v>
      </c>
      <c r="C3174" s="488" t="s">
        <v>10914</v>
      </c>
      <c r="D3174" s="489" t="s">
        <v>10915</v>
      </c>
      <c r="E3174" s="487" t="s">
        <v>10916</v>
      </c>
      <c r="F3174" s="490">
        <v>13310</v>
      </c>
      <c r="G3174" s="489">
        <v>197.33239</v>
      </c>
      <c r="H3174" s="489">
        <v>67.449650000000005</v>
      </c>
      <c r="I3174" s="487" t="s">
        <v>1499</v>
      </c>
      <c r="J3174" s="487" t="s">
        <v>662</v>
      </c>
    </row>
    <row r="3175" spans="1:10" ht="15" x14ac:dyDescent="0.2">
      <c r="A3175" s="486" t="s">
        <v>661</v>
      </c>
      <c r="B3175" s="487" t="s">
        <v>660</v>
      </c>
      <c r="C3175" s="488" t="s">
        <v>10917</v>
      </c>
      <c r="D3175" s="489" t="s">
        <v>10918</v>
      </c>
      <c r="E3175" s="487" t="s">
        <v>10919</v>
      </c>
      <c r="F3175" s="490">
        <v>1000</v>
      </c>
      <c r="G3175" s="489">
        <v>55.668559999999999</v>
      </c>
      <c r="H3175" s="489">
        <v>17.963460000000001</v>
      </c>
      <c r="I3175" s="487" t="s">
        <v>1499</v>
      </c>
      <c r="J3175" s="487" t="s">
        <v>662</v>
      </c>
    </row>
    <row r="3176" spans="1:10" ht="15" x14ac:dyDescent="0.2">
      <c r="A3176" s="486" t="s">
        <v>661</v>
      </c>
      <c r="B3176" s="487" t="s">
        <v>660</v>
      </c>
      <c r="C3176" s="488" t="s">
        <v>10920</v>
      </c>
      <c r="D3176" s="489" t="s">
        <v>10921</v>
      </c>
      <c r="E3176" s="487" t="s">
        <v>10922</v>
      </c>
      <c r="F3176" s="490">
        <v>1800</v>
      </c>
      <c r="G3176" s="489">
        <v>86.755309999999994</v>
      </c>
      <c r="H3176" s="489">
        <v>20.748010000000001</v>
      </c>
      <c r="I3176" s="487" t="s">
        <v>1499</v>
      </c>
      <c r="J3176" s="487" t="s">
        <v>662</v>
      </c>
    </row>
    <row r="3177" spans="1:10" ht="15" x14ac:dyDescent="0.2">
      <c r="A3177" s="486" t="s">
        <v>661</v>
      </c>
      <c r="B3177" s="487" t="s">
        <v>660</v>
      </c>
      <c r="C3177" s="488" t="s">
        <v>10923</v>
      </c>
      <c r="D3177" s="489" t="s">
        <v>10924</v>
      </c>
      <c r="E3177" s="487" t="s">
        <v>10925</v>
      </c>
      <c r="F3177" s="490">
        <v>40000</v>
      </c>
      <c r="G3177" s="489">
        <v>280.24437999999998</v>
      </c>
      <c r="H3177" s="489">
        <v>142.73257000000001</v>
      </c>
      <c r="I3177" s="487" t="s">
        <v>1499</v>
      </c>
      <c r="J3177" s="487" t="s">
        <v>662</v>
      </c>
    </row>
    <row r="3178" spans="1:10" ht="15" x14ac:dyDescent="0.2">
      <c r="A3178" s="486" t="s">
        <v>661</v>
      </c>
      <c r="B3178" s="487" t="s">
        <v>660</v>
      </c>
      <c r="C3178" s="488" t="s">
        <v>10926</v>
      </c>
      <c r="D3178" s="489" t="s">
        <v>10927</v>
      </c>
      <c r="E3178" s="487" t="s">
        <v>10928</v>
      </c>
      <c r="F3178" s="490">
        <v>6280</v>
      </c>
      <c r="G3178" s="489">
        <v>73.832459999999998</v>
      </c>
      <c r="H3178" s="489">
        <v>85.05744</v>
      </c>
      <c r="I3178" s="487" t="s">
        <v>1499</v>
      </c>
      <c r="J3178" s="487" t="s">
        <v>662</v>
      </c>
    </row>
    <row r="3179" spans="1:10" ht="15" x14ac:dyDescent="0.2">
      <c r="A3179" s="486" t="s">
        <v>661</v>
      </c>
      <c r="B3179" s="487" t="s">
        <v>660</v>
      </c>
      <c r="C3179" s="488" t="s">
        <v>10929</v>
      </c>
      <c r="D3179" s="489" t="s">
        <v>10930</v>
      </c>
      <c r="E3179" s="487" t="s">
        <v>10931</v>
      </c>
      <c r="F3179" s="490">
        <v>8000</v>
      </c>
      <c r="G3179" s="489">
        <v>197.37125</v>
      </c>
      <c r="H3179" s="489">
        <v>40.53275</v>
      </c>
      <c r="I3179" s="487" t="s">
        <v>1499</v>
      </c>
      <c r="J3179" s="487" t="s">
        <v>662</v>
      </c>
    </row>
    <row r="3180" spans="1:10" ht="15" x14ac:dyDescent="0.2">
      <c r="A3180" s="486" t="s">
        <v>661</v>
      </c>
      <c r="B3180" s="487" t="s">
        <v>660</v>
      </c>
      <c r="C3180" s="488" t="s">
        <v>10932</v>
      </c>
      <c r="D3180" s="489" t="s">
        <v>10933</v>
      </c>
      <c r="E3180" s="487" t="s">
        <v>10934</v>
      </c>
      <c r="F3180" s="490">
        <v>17196</v>
      </c>
      <c r="G3180" s="489">
        <v>191.77175</v>
      </c>
      <c r="H3180" s="489">
        <v>89.6691</v>
      </c>
      <c r="I3180" s="487" t="s">
        <v>1499</v>
      </c>
      <c r="J3180" s="487" t="s">
        <v>662</v>
      </c>
    </row>
    <row r="3181" spans="1:10" ht="15" x14ac:dyDescent="0.2">
      <c r="A3181" s="486" t="s">
        <v>661</v>
      </c>
      <c r="B3181" s="487" t="s">
        <v>660</v>
      </c>
      <c r="C3181" s="488" t="s">
        <v>10935</v>
      </c>
      <c r="D3181" s="489" t="s">
        <v>10936</v>
      </c>
      <c r="E3181" s="487" t="s">
        <v>10937</v>
      </c>
      <c r="F3181" s="490">
        <v>16067</v>
      </c>
      <c r="G3181" s="489">
        <v>369.29133000000002</v>
      </c>
      <c r="H3181" s="489">
        <v>43.507660000000001</v>
      </c>
      <c r="I3181" s="487" t="s">
        <v>1499</v>
      </c>
      <c r="J3181" s="487" t="s">
        <v>662</v>
      </c>
    </row>
    <row r="3182" spans="1:10" ht="15" x14ac:dyDescent="0.2">
      <c r="A3182" s="486" t="s">
        <v>661</v>
      </c>
      <c r="B3182" s="487" t="s">
        <v>660</v>
      </c>
      <c r="C3182" s="488" t="s">
        <v>10938</v>
      </c>
      <c r="D3182" s="489" t="s">
        <v>10939</v>
      </c>
      <c r="E3182" s="487" t="s">
        <v>10940</v>
      </c>
      <c r="F3182" s="490">
        <v>0</v>
      </c>
      <c r="G3182" s="489">
        <v>70.697299999999998</v>
      </c>
      <c r="H3182" s="489">
        <v>0</v>
      </c>
      <c r="I3182" s="487" t="s">
        <v>1593</v>
      </c>
      <c r="J3182" s="487" t="s">
        <v>662</v>
      </c>
    </row>
    <row r="3183" spans="1:10" ht="15" x14ac:dyDescent="0.2">
      <c r="A3183" s="486" t="s">
        <v>661</v>
      </c>
      <c r="B3183" s="487" t="s">
        <v>660</v>
      </c>
      <c r="C3183" s="488" t="s">
        <v>10941</v>
      </c>
      <c r="D3183" s="489" t="s">
        <v>10942</v>
      </c>
      <c r="E3183" s="487" t="s">
        <v>10943</v>
      </c>
      <c r="F3183" s="490">
        <v>6000</v>
      </c>
      <c r="G3183" s="489">
        <v>130.32793000000001</v>
      </c>
      <c r="H3183" s="489">
        <v>46.037709999999997</v>
      </c>
      <c r="I3183" s="487" t="s">
        <v>1499</v>
      </c>
      <c r="J3183" s="487" t="s">
        <v>662</v>
      </c>
    </row>
    <row r="3184" spans="1:10" ht="15" x14ac:dyDescent="0.2">
      <c r="A3184" s="486" t="s">
        <v>661</v>
      </c>
      <c r="B3184" s="487" t="s">
        <v>660</v>
      </c>
      <c r="C3184" s="488" t="s">
        <v>10944</v>
      </c>
      <c r="D3184" s="489" t="s">
        <v>10945</v>
      </c>
      <c r="E3184" s="487" t="s">
        <v>10946</v>
      </c>
      <c r="F3184" s="490">
        <v>3186</v>
      </c>
      <c r="G3184" s="489">
        <v>121.51177</v>
      </c>
      <c r="H3184" s="489">
        <v>26.21968</v>
      </c>
      <c r="I3184" s="487" t="s">
        <v>1499</v>
      </c>
      <c r="J3184" s="487" t="s">
        <v>662</v>
      </c>
    </row>
    <row r="3185" spans="1:10" ht="15" x14ac:dyDescent="0.2">
      <c r="A3185" s="486" t="s">
        <v>661</v>
      </c>
      <c r="B3185" s="487" t="s">
        <v>660</v>
      </c>
      <c r="C3185" s="488" t="s">
        <v>10947</v>
      </c>
      <c r="D3185" s="489" t="s">
        <v>10948</v>
      </c>
      <c r="E3185" s="487" t="s">
        <v>10949</v>
      </c>
      <c r="F3185" s="490">
        <v>209640</v>
      </c>
      <c r="G3185" s="489">
        <v>1685.3562400000001</v>
      </c>
      <c r="H3185" s="489">
        <v>124.38912999999999</v>
      </c>
      <c r="I3185" s="487" t="s">
        <v>1499</v>
      </c>
      <c r="J3185" s="487" t="s">
        <v>662</v>
      </c>
    </row>
    <row r="3186" spans="1:10" ht="15" x14ac:dyDescent="0.2">
      <c r="A3186" s="486" t="s">
        <v>661</v>
      </c>
      <c r="B3186" s="487" t="s">
        <v>660</v>
      </c>
      <c r="C3186" s="488" t="s">
        <v>10950</v>
      </c>
      <c r="D3186" s="489" t="s">
        <v>10951</v>
      </c>
      <c r="E3186" s="487" t="s">
        <v>10952</v>
      </c>
      <c r="F3186" s="490">
        <v>0</v>
      </c>
      <c r="G3186" s="489">
        <v>88.134200000000007</v>
      </c>
      <c r="H3186" s="489">
        <v>0</v>
      </c>
      <c r="I3186" s="487" t="s">
        <v>1593</v>
      </c>
      <c r="J3186" s="487" t="s">
        <v>662</v>
      </c>
    </row>
    <row r="3187" spans="1:10" ht="15" x14ac:dyDescent="0.2">
      <c r="A3187" s="486" t="s">
        <v>661</v>
      </c>
      <c r="B3187" s="487" t="s">
        <v>660</v>
      </c>
      <c r="C3187" s="488" t="s">
        <v>10953</v>
      </c>
      <c r="D3187" s="489" t="s">
        <v>10954</v>
      </c>
      <c r="E3187" s="487" t="s">
        <v>10955</v>
      </c>
      <c r="F3187" s="490">
        <v>10550</v>
      </c>
      <c r="G3187" s="489">
        <v>211.7407</v>
      </c>
      <c r="H3187" s="489">
        <v>49.825090000000003</v>
      </c>
      <c r="I3187" s="487" t="s">
        <v>1499</v>
      </c>
      <c r="J3187" s="487" t="s">
        <v>662</v>
      </c>
    </row>
    <row r="3188" spans="1:10" ht="15" x14ac:dyDescent="0.2">
      <c r="A3188" s="486" t="s">
        <v>661</v>
      </c>
      <c r="B3188" s="487" t="s">
        <v>660</v>
      </c>
      <c r="C3188" s="488" t="s">
        <v>10956</v>
      </c>
      <c r="D3188" s="489" t="s">
        <v>10957</v>
      </c>
      <c r="E3188" s="487" t="s">
        <v>10958</v>
      </c>
      <c r="F3188" s="490">
        <v>4805</v>
      </c>
      <c r="G3188" s="489">
        <v>171.79778999999999</v>
      </c>
      <c r="H3188" s="489">
        <v>27.96893</v>
      </c>
      <c r="I3188" s="487" t="s">
        <v>1499</v>
      </c>
      <c r="J3188" s="487" t="s">
        <v>662</v>
      </c>
    </row>
    <row r="3189" spans="1:10" ht="15" x14ac:dyDescent="0.2">
      <c r="A3189" s="486" t="s">
        <v>661</v>
      </c>
      <c r="B3189" s="487" t="s">
        <v>660</v>
      </c>
      <c r="C3189" s="488" t="s">
        <v>10959</v>
      </c>
      <c r="D3189" s="489" t="s">
        <v>10960</v>
      </c>
      <c r="E3189" s="487" t="s">
        <v>10961</v>
      </c>
      <c r="F3189" s="490">
        <v>0</v>
      </c>
      <c r="G3189" s="489">
        <v>42.625</v>
      </c>
      <c r="H3189" s="489">
        <v>0</v>
      </c>
      <c r="I3189" s="487" t="s">
        <v>1593</v>
      </c>
      <c r="J3189" s="487" t="s">
        <v>662</v>
      </c>
    </row>
    <row r="3190" spans="1:10" ht="15" x14ac:dyDescent="0.2">
      <c r="A3190" s="486" t="s">
        <v>661</v>
      </c>
      <c r="B3190" s="487" t="s">
        <v>660</v>
      </c>
      <c r="C3190" s="488" t="s">
        <v>10962</v>
      </c>
      <c r="D3190" s="489" t="s">
        <v>10963</v>
      </c>
      <c r="E3190" s="487" t="s">
        <v>10964</v>
      </c>
      <c r="F3190" s="490">
        <v>3540</v>
      </c>
      <c r="G3190" s="489">
        <v>92.488069999999993</v>
      </c>
      <c r="H3190" s="489">
        <v>38.275210000000001</v>
      </c>
      <c r="I3190" s="487" t="s">
        <v>1499</v>
      </c>
      <c r="J3190" s="487" t="s">
        <v>662</v>
      </c>
    </row>
    <row r="3191" spans="1:10" ht="15" x14ac:dyDescent="0.2">
      <c r="A3191" s="486" t="s">
        <v>661</v>
      </c>
      <c r="B3191" s="487" t="s">
        <v>660</v>
      </c>
      <c r="C3191" s="488" t="s">
        <v>10965</v>
      </c>
      <c r="D3191" s="489" t="s">
        <v>10966</v>
      </c>
      <c r="E3191" s="487" t="s">
        <v>10967</v>
      </c>
      <c r="F3191" s="490">
        <v>0</v>
      </c>
      <c r="G3191" s="489">
        <v>117.47152</v>
      </c>
      <c r="H3191" s="489">
        <v>0</v>
      </c>
      <c r="I3191" s="487" t="s">
        <v>1593</v>
      </c>
      <c r="J3191" s="487" t="s">
        <v>662</v>
      </c>
    </row>
    <row r="3192" spans="1:10" ht="15" x14ac:dyDescent="0.2">
      <c r="A3192" s="486" t="s">
        <v>661</v>
      </c>
      <c r="B3192" s="487" t="s">
        <v>660</v>
      </c>
      <c r="C3192" s="488" t="s">
        <v>10968</v>
      </c>
      <c r="D3192" s="489" t="s">
        <v>10969</v>
      </c>
      <c r="E3192" s="487" t="s">
        <v>10970</v>
      </c>
      <c r="F3192" s="490">
        <v>3000</v>
      </c>
      <c r="G3192" s="489">
        <v>93.275750000000002</v>
      </c>
      <c r="H3192" s="489">
        <v>32.162700000000001</v>
      </c>
      <c r="I3192" s="487" t="s">
        <v>1499</v>
      </c>
      <c r="J3192" s="487" t="s">
        <v>662</v>
      </c>
    </row>
    <row r="3193" spans="1:10" ht="15" x14ac:dyDescent="0.2">
      <c r="A3193" s="486" t="s">
        <v>661</v>
      </c>
      <c r="B3193" s="487" t="s">
        <v>660</v>
      </c>
      <c r="C3193" s="488" t="s">
        <v>10971</v>
      </c>
      <c r="D3193" s="489" t="s">
        <v>10972</v>
      </c>
      <c r="E3193" s="487" t="s">
        <v>10973</v>
      </c>
      <c r="F3193" s="490">
        <v>35181</v>
      </c>
      <c r="G3193" s="489">
        <v>572.59293000000002</v>
      </c>
      <c r="H3193" s="489">
        <v>61.441549999999999</v>
      </c>
      <c r="I3193" s="487" t="s">
        <v>1499</v>
      </c>
      <c r="J3193" s="487" t="s">
        <v>662</v>
      </c>
    </row>
    <row r="3194" spans="1:10" ht="15" x14ac:dyDescent="0.2">
      <c r="A3194" s="486" t="s">
        <v>661</v>
      </c>
      <c r="B3194" s="487" t="s">
        <v>660</v>
      </c>
      <c r="C3194" s="488" t="s">
        <v>10974</v>
      </c>
      <c r="D3194" s="489" t="s">
        <v>10975</v>
      </c>
      <c r="E3194" s="487" t="s">
        <v>10976</v>
      </c>
      <c r="F3194" s="490">
        <v>27150</v>
      </c>
      <c r="G3194" s="489">
        <v>483.36185</v>
      </c>
      <c r="H3194" s="489">
        <v>56.1691</v>
      </c>
      <c r="I3194" s="487" t="s">
        <v>1499</v>
      </c>
      <c r="J3194" s="487" t="s">
        <v>662</v>
      </c>
    </row>
    <row r="3195" spans="1:10" ht="15" x14ac:dyDescent="0.2">
      <c r="A3195" s="486" t="s">
        <v>661</v>
      </c>
      <c r="B3195" s="487" t="s">
        <v>660</v>
      </c>
      <c r="C3195" s="488" t="s">
        <v>10977</v>
      </c>
      <c r="D3195" s="489" t="s">
        <v>10978</v>
      </c>
      <c r="E3195" s="487" t="s">
        <v>10979</v>
      </c>
      <c r="F3195" s="490">
        <v>5470</v>
      </c>
      <c r="G3195" s="489">
        <v>170.46636000000001</v>
      </c>
      <c r="H3195" s="489">
        <v>32.088439999999999</v>
      </c>
      <c r="I3195" s="487" t="s">
        <v>1499</v>
      </c>
      <c r="J3195" s="487" t="s">
        <v>662</v>
      </c>
    </row>
    <row r="3196" spans="1:10" ht="15" x14ac:dyDescent="0.2">
      <c r="A3196" s="486" t="s">
        <v>661</v>
      </c>
      <c r="B3196" s="487" t="s">
        <v>660</v>
      </c>
      <c r="C3196" s="488" t="s">
        <v>10980</v>
      </c>
      <c r="D3196" s="489" t="s">
        <v>10981</v>
      </c>
      <c r="E3196" s="487" t="s">
        <v>10982</v>
      </c>
      <c r="F3196" s="490">
        <v>238337</v>
      </c>
      <c r="G3196" s="489">
        <v>1718.4582499999999</v>
      </c>
      <c r="H3196" s="489">
        <v>138.69234</v>
      </c>
      <c r="I3196" s="487" t="s">
        <v>1499</v>
      </c>
      <c r="J3196" s="487" t="s">
        <v>662</v>
      </c>
    </row>
    <row r="3197" spans="1:10" ht="15" x14ac:dyDescent="0.2">
      <c r="A3197" s="486" t="s">
        <v>661</v>
      </c>
      <c r="B3197" s="487" t="s">
        <v>660</v>
      </c>
      <c r="C3197" s="488" t="s">
        <v>10983</v>
      </c>
      <c r="D3197" s="489" t="s">
        <v>10984</v>
      </c>
      <c r="E3197" s="487" t="s">
        <v>10985</v>
      </c>
      <c r="F3197" s="490">
        <v>10500</v>
      </c>
      <c r="G3197" s="489">
        <v>170.11263</v>
      </c>
      <c r="H3197" s="489">
        <v>61.72381</v>
      </c>
      <c r="I3197" s="487" t="s">
        <v>1499</v>
      </c>
      <c r="J3197" s="487" t="s">
        <v>662</v>
      </c>
    </row>
    <row r="3198" spans="1:10" ht="15" x14ac:dyDescent="0.2">
      <c r="A3198" s="486" t="s">
        <v>661</v>
      </c>
      <c r="B3198" s="487" t="s">
        <v>660</v>
      </c>
      <c r="C3198" s="488" t="s">
        <v>10986</v>
      </c>
      <c r="D3198" s="489" t="s">
        <v>10987</v>
      </c>
      <c r="E3198" s="487" t="s">
        <v>10988</v>
      </c>
      <c r="F3198" s="490">
        <v>3250</v>
      </c>
      <c r="G3198" s="489">
        <v>131.97771</v>
      </c>
      <c r="H3198" s="489">
        <v>24.62537</v>
      </c>
      <c r="I3198" s="487" t="s">
        <v>1499</v>
      </c>
      <c r="J3198" s="487" t="s">
        <v>662</v>
      </c>
    </row>
    <row r="3199" spans="1:10" ht="15" x14ac:dyDescent="0.2">
      <c r="A3199" s="486" t="s">
        <v>661</v>
      </c>
      <c r="B3199" s="487" t="s">
        <v>660</v>
      </c>
      <c r="C3199" s="488" t="s">
        <v>10989</v>
      </c>
      <c r="D3199" s="489" t="s">
        <v>10990</v>
      </c>
      <c r="E3199" s="487" t="s">
        <v>10991</v>
      </c>
      <c r="F3199" s="490">
        <v>21555</v>
      </c>
      <c r="G3199" s="489">
        <v>295.12718999999998</v>
      </c>
      <c r="H3199" s="489">
        <v>73.03631</v>
      </c>
      <c r="I3199" s="487" t="s">
        <v>1499</v>
      </c>
      <c r="J3199" s="487" t="s">
        <v>662</v>
      </c>
    </row>
    <row r="3200" spans="1:10" ht="15" x14ac:dyDescent="0.2">
      <c r="A3200" s="486" t="s">
        <v>661</v>
      </c>
      <c r="B3200" s="487" t="s">
        <v>660</v>
      </c>
      <c r="C3200" s="488" t="s">
        <v>10992</v>
      </c>
      <c r="D3200" s="489" t="s">
        <v>10993</v>
      </c>
      <c r="E3200" s="487" t="s">
        <v>10994</v>
      </c>
      <c r="F3200" s="490">
        <v>8750</v>
      </c>
      <c r="G3200" s="489">
        <v>177.54727</v>
      </c>
      <c r="H3200" s="489">
        <v>49.282649999999997</v>
      </c>
      <c r="I3200" s="487" t="s">
        <v>1499</v>
      </c>
      <c r="J3200" s="487" t="s">
        <v>662</v>
      </c>
    </row>
    <row r="3201" spans="1:10" ht="15" x14ac:dyDescent="0.2">
      <c r="A3201" s="486" t="s">
        <v>661</v>
      </c>
      <c r="B3201" s="487" t="s">
        <v>660</v>
      </c>
      <c r="C3201" s="488" t="s">
        <v>10995</v>
      </c>
      <c r="D3201" s="489" t="s">
        <v>10996</v>
      </c>
      <c r="E3201" s="487" t="s">
        <v>10997</v>
      </c>
      <c r="F3201" s="490">
        <v>10290</v>
      </c>
      <c r="G3201" s="489">
        <v>268.01362</v>
      </c>
      <c r="H3201" s="489">
        <v>38.393569999999997</v>
      </c>
      <c r="I3201" s="487" t="s">
        <v>1499</v>
      </c>
      <c r="J3201" s="487" t="s">
        <v>662</v>
      </c>
    </row>
    <row r="3202" spans="1:10" ht="15" x14ac:dyDescent="0.2">
      <c r="A3202" s="486" t="s">
        <v>661</v>
      </c>
      <c r="B3202" s="487" t="s">
        <v>660</v>
      </c>
      <c r="C3202" s="488" t="s">
        <v>10998</v>
      </c>
      <c r="D3202" s="489" t="s">
        <v>10999</v>
      </c>
      <c r="E3202" s="487" t="s">
        <v>11000</v>
      </c>
      <c r="F3202" s="490">
        <v>5406</v>
      </c>
      <c r="G3202" s="489">
        <v>126.13924</v>
      </c>
      <c r="H3202" s="489">
        <v>42.857399999999998</v>
      </c>
      <c r="I3202" s="487" t="s">
        <v>1499</v>
      </c>
      <c r="J3202" s="487" t="s">
        <v>662</v>
      </c>
    </row>
    <row r="3203" spans="1:10" ht="15" x14ac:dyDescent="0.2">
      <c r="A3203" s="486" t="s">
        <v>661</v>
      </c>
      <c r="B3203" s="487" t="s">
        <v>660</v>
      </c>
      <c r="C3203" s="488" t="s">
        <v>11001</v>
      </c>
      <c r="D3203" s="489" t="s">
        <v>11002</v>
      </c>
      <c r="E3203" s="487" t="s">
        <v>9405</v>
      </c>
      <c r="F3203" s="490">
        <v>45250</v>
      </c>
      <c r="G3203" s="489">
        <v>994.36950999999999</v>
      </c>
      <c r="H3203" s="489">
        <v>45.506219999999999</v>
      </c>
      <c r="I3203" s="487" t="s">
        <v>1499</v>
      </c>
      <c r="J3203" s="487" t="s">
        <v>662</v>
      </c>
    </row>
    <row r="3204" spans="1:10" ht="15" x14ac:dyDescent="0.2">
      <c r="A3204" s="486" t="s">
        <v>661</v>
      </c>
      <c r="B3204" s="487" t="s">
        <v>660</v>
      </c>
      <c r="C3204" s="488" t="s">
        <v>11003</v>
      </c>
      <c r="D3204" s="489" t="s">
        <v>11004</v>
      </c>
      <c r="E3204" s="487" t="s">
        <v>11005</v>
      </c>
      <c r="F3204" s="490">
        <v>303083.73</v>
      </c>
      <c r="G3204" s="489">
        <v>2279.7425400000002</v>
      </c>
      <c r="H3204" s="489">
        <v>132.94647000000001</v>
      </c>
      <c r="I3204" s="487" t="s">
        <v>1499</v>
      </c>
      <c r="J3204" s="487" t="s">
        <v>662</v>
      </c>
    </row>
    <row r="3205" spans="1:10" ht="15" x14ac:dyDescent="0.2">
      <c r="A3205" s="486" t="s">
        <v>661</v>
      </c>
      <c r="B3205" s="487" t="s">
        <v>660</v>
      </c>
      <c r="C3205" s="488" t="s">
        <v>11006</v>
      </c>
      <c r="D3205" s="489" t="s">
        <v>11007</v>
      </c>
      <c r="E3205" s="487" t="s">
        <v>11008</v>
      </c>
      <c r="F3205" s="490">
        <v>18922</v>
      </c>
      <c r="G3205" s="489">
        <v>248.05206000000001</v>
      </c>
      <c r="H3205" s="489">
        <v>76.28237</v>
      </c>
      <c r="I3205" s="487" t="s">
        <v>1499</v>
      </c>
      <c r="J3205" s="487" t="s">
        <v>662</v>
      </c>
    </row>
    <row r="3206" spans="1:10" ht="15" x14ac:dyDescent="0.2">
      <c r="A3206" s="486" t="s">
        <v>661</v>
      </c>
      <c r="B3206" s="487" t="s">
        <v>660</v>
      </c>
      <c r="C3206" s="488" t="s">
        <v>11009</v>
      </c>
      <c r="D3206" s="489" t="s">
        <v>11010</v>
      </c>
      <c r="E3206" s="487" t="s">
        <v>11011</v>
      </c>
      <c r="F3206" s="490">
        <v>7550</v>
      </c>
      <c r="G3206" s="489">
        <v>247.73663999999999</v>
      </c>
      <c r="H3206" s="489">
        <v>30.475909999999999</v>
      </c>
      <c r="I3206" s="487" t="s">
        <v>1499</v>
      </c>
      <c r="J3206" s="487" t="s">
        <v>662</v>
      </c>
    </row>
    <row r="3207" spans="1:10" ht="15" x14ac:dyDescent="0.2">
      <c r="A3207" s="486" t="s">
        <v>661</v>
      </c>
      <c r="B3207" s="487" t="s">
        <v>660</v>
      </c>
      <c r="C3207" s="488" t="s">
        <v>11012</v>
      </c>
      <c r="D3207" s="489" t="s">
        <v>11013</v>
      </c>
      <c r="E3207" s="487" t="s">
        <v>11014</v>
      </c>
      <c r="F3207" s="490">
        <v>100376</v>
      </c>
      <c r="G3207" s="489">
        <v>821.99550999999997</v>
      </c>
      <c r="H3207" s="489">
        <v>122.11259</v>
      </c>
      <c r="I3207" s="487" t="s">
        <v>1499</v>
      </c>
      <c r="J3207" s="487" t="s">
        <v>662</v>
      </c>
    </row>
    <row r="3208" spans="1:10" ht="15" x14ac:dyDescent="0.2">
      <c r="A3208" s="486" t="s">
        <v>661</v>
      </c>
      <c r="B3208" s="487" t="s">
        <v>660</v>
      </c>
      <c r="C3208" s="488" t="s">
        <v>11015</v>
      </c>
      <c r="D3208" s="489" t="s">
        <v>11016</v>
      </c>
      <c r="E3208" s="487" t="s">
        <v>11017</v>
      </c>
      <c r="F3208" s="490">
        <v>0</v>
      </c>
      <c r="G3208" s="489">
        <v>55.539000000000001</v>
      </c>
      <c r="H3208" s="489">
        <v>0</v>
      </c>
      <c r="I3208" s="487" t="s">
        <v>1593</v>
      </c>
      <c r="J3208" s="487" t="s">
        <v>662</v>
      </c>
    </row>
    <row r="3209" spans="1:10" ht="15" x14ac:dyDescent="0.2">
      <c r="A3209" s="486" t="s">
        <v>661</v>
      </c>
      <c r="B3209" s="487" t="s">
        <v>660</v>
      </c>
      <c r="C3209" s="488" t="s">
        <v>11018</v>
      </c>
      <c r="D3209" s="489" t="s">
        <v>11019</v>
      </c>
      <c r="E3209" s="487" t="s">
        <v>11020</v>
      </c>
      <c r="F3209" s="490">
        <v>9000</v>
      </c>
      <c r="G3209" s="489">
        <v>286.02922000000001</v>
      </c>
      <c r="H3209" s="489">
        <v>31.465319999999998</v>
      </c>
      <c r="I3209" s="487" t="s">
        <v>1499</v>
      </c>
      <c r="J3209" s="487" t="s">
        <v>662</v>
      </c>
    </row>
    <row r="3210" spans="1:10" ht="15" x14ac:dyDescent="0.2">
      <c r="A3210" s="486" t="s">
        <v>661</v>
      </c>
      <c r="B3210" s="487" t="s">
        <v>660</v>
      </c>
      <c r="C3210" s="488" t="s">
        <v>11021</v>
      </c>
      <c r="D3210" s="489" t="s">
        <v>11022</v>
      </c>
      <c r="E3210" s="487" t="s">
        <v>11023</v>
      </c>
      <c r="F3210" s="490">
        <v>0</v>
      </c>
      <c r="G3210" s="489">
        <v>23.963180000000001</v>
      </c>
      <c r="H3210" s="489">
        <v>0</v>
      </c>
      <c r="I3210" s="487" t="s">
        <v>1593</v>
      </c>
      <c r="J3210" s="487" t="s">
        <v>662</v>
      </c>
    </row>
    <row r="3211" spans="1:10" ht="15" x14ac:dyDescent="0.2">
      <c r="A3211" s="486" t="s">
        <v>661</v>
      </c>
      <c r="B3211" s="487" t="s">
        <v>660</v>
      </c>
      <c r="C3211" s="488" t="s">
        <v>11024</v>
      </c>
      <c r="D3211" s="489" t="s">
        <v>11025</v>
      </c>
      <c r="E3211" s="487" t="s">
        <v>11026</v>
      </c>
      <c r="F3211" s="490">
        <v>0</v>
      </c>
      <c r="G3211" s="489">
        <v>96.54683</v>
      </c>
      <c r="H3211" s="489">
        <v>0</v>
      </c>
      <c r="I3211" s="487" t="s">
        <v>1593</v>
      </c>
      <c r="J3211" s="487" t="s">
        <v>662</v>
      </c>
    </row>
    <row r="3212" spans="1:10" ht="15" x14ac:dyDescent="0.2">
      <c r="A3212" s="486" t="s">
        <v>661</v>
      </c>
      <c r="B3212" s="487" t="s">
        <v>660</v>
      </c>
      <c r="C3212" s="488" t="s">
        <v>11027</v>
      </c>
      <c r="D3212" s="489" t="s">
        <v>11028</v>
      </c>
      <c r="E3212" s="487" t="s">
        <v>11029</v>
      </c>
      <c r="F3212" s="490">
        <v>10000</v>
      </c>
      <c r="G3212" s="489">
        <v>245.72019</v>
      </c>
      <c r="H3212" s="489">
        <v>40.6967</v>
      </c>
      <c r="I3212" s="487" t="s">
        <v>1499</v>
      </c>
      <c r="J3212" s="487" t="s">
        <v>662</v>
      </c>
    </row>
    <row r="3213" spans="1:10" ht="15" x14ac:dyDescent="0.2">
      <c r="A3213" s="486" t="s">
        <v>661</v>
      </c>
      <c r="B3213" s="487" t="s">
        <v>660</v>
      </c>
      <c r="C3213" s="488" t="s">
        <v>11030</v>
      </c>
      <c r="D3213" s="489" t="s">
        <v>11031</v>
      </c>
      <c r="E3213" s="487" t="s">
        <v>1100</v>
      </c>
      <c r="F3213" s="490">
        <v>17142.509999999998</v>
      </c>
      <c r="G3213" s="489">
        <v>201.70337000000001</v>
      </c>
      <c r="H3213" s="489">
        <v>84.988709999999998</v>
      </c>
      <c r="I3213" s="487" t="s">
        <v>1499</v>
      </c>
      <c r="J3213" s="487" t="s">
        <v>662</v>
      </c>
    </row>
    <row r="3214" spans="1:10" ht="15" x14ac:dyDescent="0.2">
      <c r="A3214" s="486" t="s">
        <v>661</v>
      </c>
      <c r="B3214" s="487" t="s">
        <v>660</v>
      </c>
      <c r="C3214" s="488" t="s">
        <v>11032</v>
      </c>
      <c r="D3214" s="489" t="s">
        <v>11033</v>
      </c>
      <c r="E3214" s="487" t="s">
        <v>11034</v>
      </c>
      <c r="F3214" s="490">
        <v>23627</v>
      </c>
      <c r="G3214" s="489">
        <v>289.81943000000001</v>
      </c>
      <c r="H3214" s="489">
        <v>81.523169999999993</v>
      </c>
      <c r="I3214" s="487" t="s">
        <v>1499</v>
      </c>
      <c r="J3214" s="487" t="s">
        <v>662</v>
      </c>
    </row>
    <row r="3215" spans="1:10" ht="15" x14ac:dyDescent="0.2">
      <c r="A3215" s="486" t="s">
        <v>661</v>
      </c>
      <c r="B3215" s="487" t="s">
        <v>660</v>
      </c>
      <c r="C3215" s="488" t="s">
        <v>11035</v>
      </c>
      <c r="D3215" s="489" t="s">
        <v>11036</v>
      </c>
      <c r="E3215" s="487" t="s">
        <v>11037</v>
      </c>
      <c r="F3215" s="490">
        <v>5000</v>
      </c>
      <c r="G3215" s="489">
        <v>134.17195000000001</v>
      </c>
      <c r="H3215" s="489">
        <v>37.265610000000002</v>
      </c>
      <c r="I3215" s="487" t="s">
        <v>1499</v>
      </c>
      <c r="J3215" s="487" t="s">
        <v>662</v>
      </c>
    </row>
    <row r="3216" spans="1:10" ht="15" x14ac:dyDescent="0.2">
      <c r="A3216" s="486" t="s">
        <v>661</v>
      </c>
      <c r="B3216" s="487" t="s">
        <v>660</v>
      </c>
      <c r="C3216" s="488" t="s">
        <v>11038</v>
      </c>
      <c r="D3216" s="489" t="s">
        <v>11039</v>
      </c>
      <c r="E3216" s="487" t="s">
        <v>11040</v>
      </c>
      <c r="F3216" s="490">
        <v>7250</v>
      </c>
      <c r="G3216" s="489">
        <v>191.05795000000001</v>
      </c>
      <c r="H3216" s="489">
        <v>37.946599999999997</v>
      </c>
      <c r="I3216" s="487" t="s">
        <v>1499</v>
      </c>
      <c r="J3216" s="487" t="s">
        <v>662</v>
      </c>
    </row>
    <row r="3217" spans="1:10" ht="15" x14ac:dyDescent="0.2">
      <c r="A3217" s="486" t="s">
        <v>661</v>
      </c>
      <c r="B3217" s="487" t="s">
        <v>660</v>
      </c>
      <c r="C3217" s="488" t="s">
        <v>11041</v>
      </c>
      <c r="D3217" s="489" t="s">
        <v>11042</v>
      </c>
      <c r="E3217" s="487" t="s">
        <v>11043</v>
      </c>
      <c r="F3217" s="490">
        <v>0</v>
      </c>
      <c r="G3217" s="489">
        <v>56.842500000000001</v>
      </c>
      <c r="H3217" s="489">
        <v>0</v>
      </c>
      <c r="I3217" s="487" t="s">
        <v>1593</v>
      </c>
      <c r="J3217" s="487" t="s">
        <v>662</v>
      </c>
    </row>
    <row r="3218" spans="1:10" ht="15" x14ac:dyDescent="0.2">
      <c r="A3218" s="486" t="s">
        <v>661</v>
      </c>
      <c r="B3218" s="487" t="s">
        <v>660</v>
      </c>
      <c r="C3218" s="488" t="s">
        <v>11044</v>
      </c>
      <c r="D3218" s="489" t="s">
        <v>11045</v>
      </c>
      <c r="E3218" s="487" t="s">
        <v>11046</v>
      </c>
      <c r="F3218" s="490">
        <v>11500</v>
      </c>
      <c r="G3218" s="489">
        <v>211.96679</v>
      </c>
      <c r="H3218" s="489">
        <v>54.253779999999999</v>
      </c>
      <c r="I3218" s="487" t="s">
        <v>1499</v>
      </c>
      <c r="J3218" s="487" t="s">
        <v>662</v>
      </c>
    </row>
    <row r="3219" spans="1:10" ht="15" x14ac:dyDescent="0.2">
      <c r="A3219" s="486" t="s">
        <v>661</v>
      </c>
      <c r="B3219" s="487" t="s">
        <v>660</v>
      </c>
      <c r="C3219" s="488" t="s">
        <v>11047</v>
      </c>
      <c r="D3219" s="489" t="s">
        <v>11048</v>
      </c>
      <c r="E3219" s="487" t="s">
        <v>11049</v>
      </c>
      <c r="F3219" s="490">
        <v>10000</v>
      </c>
      <c r="G3219" s="489">
        <v>222.59199000000001</v>
      </c>
      <c r="H3219" s="489">
        <v>44.925249999999998</v>
      </c>
      <c r="I3219" s="487" t="s">
        <v>1499</v>
      </c>
      <c r="J3219" s="487" t="s">
        <v>662</v>
      </c>
    </row>
    <row r="3220" spans="1:10" ht="15" x14ac:dyDescent="0.2">
      <c r="A3220" s="486" t="s">
        <v>661</v>
      </c>
      <c r="B3220" s="487" t="s">
        <v>660</v>
      </c>
      <c r="C3220" s="488" t="s">
        <v>11050</v>
      </c>
      <c r="D3220" s="489" t="s">
        <v>11051</v>
      </c>
      <c r="E3220" s="487" t="s">
        <v>11052</v>
      </c>
      <c r="F3220" s="490">
        <v>0</v>
      </c>
      <c r="G3220" s="489">
        <v>47.475580000000001</v>
      </c>
      <c r="H3220" s="489">
        <v>0</v>
      </c>
      <c r="I3220" s="487" t="s">
        <v>1593</v>
      </c>
      <c r="J3220" s="487" t="s">
        <v>662</v>
      </c>
    </row>
    <row r="3221" spans="1:10" ht="15" x14ac:dyDescent="0.2">
      <c r="A3221" s="486" t="s">
        <v>661</v>
      </c>
      <c r="B3221" s="487" t="s">
        <v>660</v>
      </c>
      <c r="C3221" s="488" t="s">
        <v>11053</v>
      </c>
      <c r="D3221" s="489" t="s">
        <v>11054</v>
      </c>
      <c r="E3221" s="487" t="s">
        <v>8844</v>
      </c>
      <c r="F3221" s="490">
        <v>2500</v>
      </c>
      <c r="G3221" s="489">
        <v>200.55456000000001</v>
      </c>
      <c r="H3221" s="489">
        <v>12.465439999999999</v>
      </c>
      <c r="I3221" s="487" t="s">
        <v>1499</v>
      </c>
      <c r="J3221" s="487" t="s">
        <v>662</v>
      </c>
    </row>
    <row r="3222" spans="1:10" ht="15" x14ac:dyDescent="0.2">
      <c r="A3222" s="486" t="s">
        <v>661</v>
      </c>
      <c r="B3222" s="487" t="s">
        <v>660</v>
      </c>
      <c r="C3222" s="488" t="s">
        <v>11055</v>
      </c>
      <c r="D3222" s="489" t="s">
        <v>11056</v>
      </c>
      <c r="E3222" s="487" t="s">
        <v>11057</v>
      </c>
      <c r="F3222" s="490">
        <v>19988</v>
      </c>
      <c r="G3222" s="489">
        <v>213.00881999999999</v>
      </c>
      <c r="H3222" s="489">
        <v>93.836489999999998</v>
      </c>
      <c r="I3222" s="487" t="s">
        <v>1499</v>
      </c>
      <c r="J3222" s="487" t="s">
        <v>662</v>
      </c>
    </row>
    <row r="3223" spans="1:10" ht="15" x14ac:dyDescent="0.2">
      <c r="A3223" s="486" t="s">
        <v>661</v>
      </c>
      <c r="B3223" s="487" t="s">
        <v>660</v>
      </c>
      <c r="C3223" s="488" t="s">
        <v>11058</v>
      </c>
      <c r="D3223" s="489" t="s">
        <v>11059</v>
      </c>
      <c r="E3223" s="487" t="s">
        <v>11060</v>
      </c>
      <c r="F3223" s="490">
        <v>8075</v>
      </c>
      <c r="G3223" s="489">
        <v>169.49972</v>
      </c>
      <c r="H3223" s="489">
        <v>47.6402</v>
      </c>
      <c r="I3223" s="487" t="s">
        <v>1499</v>
      </c>
      <c r="J3223" s="487" t="s">
        <v>662</v>
      </c>
    </row>
    <row r="3224" spans="1:10" ht="15" x14ac:dyDescent="0.2">
      <c r="A3224" s="486" t="s">
        <v>661</v>
      </c>
      <c r="B3224" s="487" t="s">
        <v>660</v>
      </c>
      <c r="C3224" s="488" t="s">
        <v>11061</v>
      </c>
      <c r="D3224" s="489" t="s">
        <v>11062</v>
      </c>
      <c r="E3224" s="487" t="s">
        <v>4332</v>
      </c>
      <c r="F3224" s="490">
        <v>34000</v>
      </c>
      <c r="G3224" s="489">
        <v>660.89948000000004</v>
      </c>
      <c r="H3224" s="489">
        <v>51.445039999999999</v>
      </c>
      <c r="I3224" s="487" t="s">
        <v>1499</v>
      </c>
      <c r="J3224" s="487" t="s">
        <v>662</v>
      </c>
    </row>
    <row r="3225" spans="1:10" ht="15" x14ac:dyDescent="0.2">
      <c r="A3225" s="486" t="s">
        <v>661</v>
      </c>
      <c r="B3225" s="487" t="s">
        <v>660</v>
      </c>
      <c r="C3225" s="488" t="s">
        <v>11063</v>
      </c>
      <c r="D3225" s="489" t="s">
        <v>11064</v>
      </c>
      <c r="E3225" s="487" t="s">
        <v>11065</v>
      </c>
      <c r="F3225" s="490">
        <v>6300</v>
      </c>
      <c r="G3225" s="489">
        <v>570.34902</v>
      </c>
      <c r="H3225" s="489">
        <v>11.045870000000001</v>
      </c>
      <c r="I3225" s="487" t="s">
        <v>1499</v>
      </c>
      <c r="J3225" s="487" t="s">
        <v>662</v>
      </c>
    </row>
    <row r="3226" spans="1:10" ht="15" x14ac:dyDescent="0.2">
      <c r="A3226" s="486" t="s">
        <v>661</v>
      </c>
      <c r="B3226" s="487" t="s">
        <v>660</v>
      </c>
      <c r="C3226" s="488" t="s">
        <v>11066</v>
      </c>
      <c r="D3226" s="489" t="s">
        <v>11067</v>
      </c>
      <c r="E3226" s="487" t="s">
        <v>11068</v>
      </c>
      <c r="F3226" s="490">
        <v>134981</v>
      </c>
      <c r="G3226" s="489">
        <v>1909.557</v>
      </c>
      <c r="H3226" s="489">
        <v>70.687079999999995</v>
      </c>
      <c r="I3226" s="487" t="s">
        <v>1499</v>
      </c>
      <c r="J3226" s="487" t="s">
        <v>662</v>
      </c>
    </row>
    <row r="3227" spans="1:10" ht="15" x14ac:dyDescent="0.2">
      <c r="A3227" s="486" t="s">
        <v>661</v>
      </c>
      <c r="B3227" s="487" t="s">
        <v>660</v>
      </c>
      <c r="C3227" s="488" t="s">
        <v>11069</v>
      </c>
      <c r="D3227" s="489" t="s">
        <v>11070</v>
      </c>
      <c r="E3227" s="487" t="s">
        <v>11071</v>
      </c>
      <c r="F3227" s="490">
        <v>16000</v>
      </c>
      <c r="G3227" s="489">
        <v>169.74132</v>
      </c>
      <c r="H3227" s="489">
        <v>94.261080000000007</v>
      </c>
      <c r="I3227" s="487" t="s">
        <v>1499</v>
      </c>
      <c r="J3227" s="487" t="s">
        <v>662</v>
      </c>
    </row>
    <row r="3228" spans="1:10" ht="15" x14ac:dyDescent="0.2">
      <c r="A3228" s="486" t="s">
        <v>661</v>
      </c>
      <c r="B3228" s="487" t="s">
        <v>660</v>
      </c>
      <c r="C3228" s="488" t="s">
        <v>11072</v>
      </c>
      <c r="D3228" s="489" t="s">
        <v>11073</v>
      </c>
      <c r="E3228" s="487" t="s">
        <v>11074</v>
      </c>
      <c r="F3228" s="490">
        <v>237501</v>
      </c>
      <c r="G3228" s="489">
        <v>1215.2601099999999</v>
      </c>
      <c r="H3228" s="489">
        <v>195.43224000000001</v>
      </c>
      <c r="I3228" s="487" t="s">
        <v>1499</v>
      </c>
      <c r="J3228" s="487" t="s">
        <v>662</v>
      </c>
    </row>
    <row r="3229" spans="1:10" ht="15" x14ac:dyDescent="0.2">
      <c r="A3229" s="486" t="s">
        <v>661</v>
      </c>
      <c r="B3229" s="487" t="s">
        <v>660</v>
      </c>
      <c r="C3229" s="488" t="s">
        <v>11075</v>
      </c>
      <c r="D3229" s="489" t="s">
        <v>11076</v>
      </c>
      <c r="E3229" s="487" t="s">
        <v>11077</v>
      </c>
      <c r="F3229" s="490">
        <v>16400</v>
      </c>
      <c r="G3229" s="489">
        <v>288.10133999999999</v>
      </c>
      <c r="H3229" s="489">
        <v>56.924410000000002</v>
      </c>
      <c r="I3229" s="487" t="s">
        <v>1499</v>
      </c>
      <c r="J3229" s="487" t="s">
        <v>662</v>
      </c>
    </row>
    <row r="3230" spans="1:10" ht="15" x14ac:dyDescent="0.2">
      <c r="A3230" s="486" t="s">
        <v>661</v>
      </c>
      <c r="B3230" s="487" t="s">
        <v>660</v>
      </c>
      <c r="C3230" s="488" t="s">
        <v>11078</v>
      </c>
      <c r="D3230" s="489" t="s">
        <v>11079</v>
      </c>
      <c r="E3230" s="487" t="s">
        <v>11080</v>
      </c>
      <c r="F3230" s="490">
        <v>0</v>
      </c>
      <c r="G3230" s="489">
        <v>17.27</v>
      </c>
      <c r="H3230" s="489">
        <v>0</v>
      </c>
      <c r="I3230" s="487" t="s">
        <v>1593</v>
      </c>
      <c r="J3230" s="487" t="s">
        <v>662</v>
      </c>
    </row>
    <row r="3231" spans="1:10" ht="15" x14ac:dyDescent="0.2">
      <c r="A3231" s="486" t="s">
        <v>661</v>
      </c>
      <c r="B3231" s="487" t="s">
        <v>660</v>
      </c>
      <c r="C3231" s="488" t="s">
        <v>11081</v>
      </c>
      <c r="D3231" s="489" t="s">
        <v>11082</v>
      </c>
      <c r="E3231" s="487" t="s">
        <v>11083</v>
      </c>
      <c r="F3231" s="490">
        <v>7712</v>
      </c>
      <c r="G3231" s="489">
        <v>241.81403</v>
      </c>
      <c r="H3231" s="489">
        <v>31.89228</v>
      </c>
      <c r="I3231" s="487" t="s">
        <v>1499</v>
      </c>
      <c r="J3231" s="487" t="s">
        <v>662</v>
      </c>
    </row>
    <row r="3232" spans="1:10" ht="15" x14ac:dyDescent="0.2">
      <c r="A3232" s="486" t="s">
        <v>661</v>
      </c>
      <c r="B3232" s="487" t="s">
        <v>660</v>
      </c>
      <c r="C3232" s="488" t="s">
        <v>11084</v>
      </c>
      <c r="D3232" s="489" t="s">
        <v>11085</v>
      </c>
      <c r="E3232" s="487" t="s">
        <v>11086</v>
      </c>
      <c r="F3232" s="490">
        <v>484669</v>
      </c>
      <c r="G3232" s="489">
        <v>2753.81288</v>
      </c>
      <c r="H3232" s="489">
        <v>175.99924999999999</v>
      </c>
      <c r="I3232" s="487" t="s">
        <v>1499</v>
      </c>
      <c r="J3232" s="487" t="s">
        <v>662</v>
      </c>
    </row>
    <row r="3233" spans="1:10" ht="15" x14ac:dyDescent="0.2">
      <c r="A3233" s="486" t="s">
        <v>661</v>
      </c>
      <c r="B3233" s="487" t="s">
        <v>660</v>
      </c>
      <c r="C3233" s="488" t="s">
        <v>11087</v>
      </c>
      <c r="D3233" s="489" t="s">
        <v>11088</v>
      </c>
      <c r="E3233" s="487" t="s">
        <v>11089</v>
      </c>
      <c r="F3233" s="490">
        <v>4000</v>
      </c>
      <c r="G3233" s="489">
        <v>210.36758</v>
      </c>
      <c r="H3233" s="489">
        <v>19.014340000000001</v>
      </c>
      <c r="I3233" s="487" t="s">
        <v>1499</v>
      </c>
      <c r="J3233" s="487" t="s">
        <v>662</v>
      </c>
    </row>
    <row r="3234" spans="1:10" ht="15" x14ac:dyDescent="0.2">
      <c r="A3234" s="486" t="s">
        <v>661</v>
      </c>
      <c r="B3234" s="487" t="s">
        <v>660</v>
      </c>
      <c r="C3234" s="488" t="s">
        <v>11090</v>
      </c>
      <c r="D3234" s="489" t="s">
        <v>11091</v>
      </c>
      <c r="E3234" s="487" t="s">
        <v>11092</v>
      </c>
      <c r="F3234" s="490">
        <v>10500</v>
      </c>
      <c r="G3234" s="489">
        <v>152.08906999999999</v>
      </c>
      <c r="H3234" s="489">
        <v>69.038489999999996</v>
      </c>
      <c r="I3234" s="487" t="s">
        <v>1499</v>
      </c>
      <c r="J3234" s="487" t="s">
        <v>662</v>
      </c>
    </row>
    <row r="3235" spans="1:10" ht="15" x14ac:dyDescent="0.2">
      <c r="A3235" s="486" t="s">
        <v>661</v>
      </c>
      <c r="B3235" s="487" t="s">
        <v>660</v>
      </c>
      <c r="C3235" s="488" t="s">
        <v>11093</v>
      </c>
      <c r="D3235" s="489" t="s">
        <v>11094</v>
      </c>
      <c r="E3235" s="487" t="s">
        <v>11095</v>
      </c>
      <c r="F3235" s="490">
        <v>0</v>
      </c>
      <c r="G3235" s="489">
        <v>58.113480000000003</v>
      </c>
      <c r="H3235" s="489">
        <v>0</v>
      </c>
      <c r="I3235" s="487" t="s">
        <v>1593</v>
      </c>
      <c r="J3235" s="487" t="s">
        <v>662</v>
      </c>
    </row>
    <row r="3236" spans="1:10" ht="15" x14ac:dyDescent="0.2">
      <c r="A3236" s="486" t="s">
        <v>661</v>
      </c>
      <c r="B3236" s="487" t="s">
        <v>660</v>
      </c>
      <c r="C3236" s="488" t="s">
        <v>11096</v>
      </c>
      <c r="D3236" s="489" t="s">
        <v>11097</v>
      </c>
      <c r="E3236" s="487" t="s">
        <v>11098</v>
      </c>
      <c r="F3236" s="490">
        <v>110022</v>
      </c>
      <c r="G3236" s="489">
        <v>761.19259</v>
      </c>
      <c r="H3236" s="489">
        <v>144.53898000000001</v>
      </c>
      <c r="I3236" s="487" t="s">
        <v>1499</v>
      </c>
      <c r="J3236" s="487" t="s">
        <v>662</v>
      </c>
    </row>
    <row r="3237" spans="1:10" ht="15" x14ac:dyDescent="0.2">
      <c r="A3237" s="486" t="s">
        <v>661</v>
      </c>
      <c r="B3237" s="487" t="s">
        <v>660</v>
      </c>
      <c r="C3237" s="488" t="s">
        <v>11099</v>
      </c>
      <c r="D3237" s="489" t="s">
        <v>11100</v>
      </c>
      <c r="E3237" s="487" t="s">
        <v>11101</v>
      </c>
      <c r="F3237" s="490">
        <v>8670</v>
      </c>
      <c r="G3237" s="489">
        <v>141.86115000000001</v>
      </c>
      <c r="H3237" s="489">
        <v>61.116100000000003</v>
      </c>
      <c r="I3237" s="487" t="s">
        <v>1499</v>
      </c>
      <c r="J3237" s="487" t="s">
        <v>662</v>
      </c>
    </row>
    <row r="3238" spans="1:10" ht="15" x14ac:dyDescent="0.2">
      <c r="A3238" s="486" t="s">
        <v>661</v>
      </c>
      <c r="B3238" s="487" t="s">
        <v>660</v>
      </c>
      <c r="C3238" s="488" t="s">
        <v>11102</v>
      </c>
      <c r="D3238" s="489" t="s">
        <v>11103</v>
      </c>
      <c r="E3238" s="487" t="s">
        <v>11104</v>
      </c>
      <c r="F3238" s="490">
        <v>0</v>
      </c>
      <c r="G3238" s="489">
        <v>146.58180999999999</v>
      </c>
      <c r="H3238" s="489">
        <v>0</v>
      </c>
      <c r="I3238" s="487" t="s">
        <v>1593</v>
      </c>
      <c r="J3238" s="487" t="s">
        <v>662</v>
      </c>
    </row>
    <row r="3239" spans="1:10" ht="15" x14ac:dyDescent="0.2">
      <c r="A3239" s="486" t="s">
        <v>661</v>
      </c>
      <c r="B3239" s="487" t="s">
        <v>660</v>
      </c>
      <c r="C3239" s="488" t="s">
        <v>11105</v>
      </c>
      <c r="D3239" s="489" t="s">
        <v>11106</v>
      </c>
      <c r="E3239" s="487" t="s">
        <v>11107</v>
      </c>
      <c r="F3239" s="490">
        <v>16150</v>
      </c>
      <c r="G3239" s="489">
        <v>226.48657</v>
      </c>
      <c r="H3239" s="489">
        <v>71.306659999999994</v>
      </c>
      <c r="I3239" s="487" t="s">
        <v>1499</v>
      </c>
      <c r="J3239" s="487" t="s">
        <v>662</v>
      </c>
    </row>
    <row r="3240" spans="1:10" ht="15" x14ac:dyDescent="0.2">
      <c r="A3240" s="486" t="s">
        <v>661</v>
      </c>
      <c r="B3240" s="487" t="s">
        <v>660</v>
      </c>
      <c r="C3240" s="488" t="s">
        <v>11108</v>
      </c>
      <c r="D3240" s="489" t="s">
        <v>11109</v>
      </c>
      <c r="E3240" s="487" t="s">
        <v>11110</v>
      </c>
      <c r="F3240" s="490">
        <v>5465</v>
      </c>
      <c r="G3240" s="489">
        <v>116.09139</v>
      </c>
      <c r="H3240" s="489">
        <v>47.074979999999996</v>
      </c>
      <c r="I3240" s="487" t="s">
        <v>1499</v>
      </c>
      <c r="J3240" s="487" t="s">
        <v>662</v>
      </c>
    </row>
    <row r="3241" spans="1:10" ht="15" x14ac:dyDescent="0.2">
      <c r="A3241" s="486" t="s">
        <v>661</v>
      </c>
      <c r="B3241" s="487" t="s">
        <v>660</v>
      </c>
      <c r="C3241" s="488" t="s">
        <v>11111</v>
      </c>
      <c r="D3241" s="489" t="s">
        <v>11112</v>
      </c>
      <c r="E3241" s="487" t="s">
        <v>11113</v>
      </c>
      <c r="F3241" s="490">
        <v>0</v>
      </c>
      <c r="G3241" s="489">
        <v>69.739689999999996</v>
      </c>
      <c r="H3241" s="489">
        <v>0</v>
      </c>
      <c r="I3241" s="487" t="s">
        <v>1593</v>
      </c>
      <c r="J3241" s="487" t="s">
        <v>662</v>
      </c>
    </row>
    <row r="3242" spans="1:10" ht="15" x14ac:dyDescent="0.2">
      <c r="A3242" s="486" t="s">
        <v>661</v>
      </c>
      <c r="B3242" s="487" t="s">
        <v>660</v>
      </c>
      <c r="C3242" s="488" t="s">
        <v>11114</v>
      </c>
      <c r="D3242" s="489" t="s">
        <v>11115</v>
      </c>
      <c r="E3242" s="487" t="s">
        <v>11116</v>
      </c>
      <c r="F3242" s="490">
        <v>7065</v>
      </c>
      <c r="G3242" s="489">
        <v>89.341340000000002</v>
      </c>
      <c r="H3242" s="489">
        <v>79.078739999999996</v>
      </c>
      <c r="I3242" s="487" t="s">
        <v>1499</v>
      </c>
      <c r="J3242" s="487" t="s">
        <v>662</v>
      </c>
    </row>
    <row r="3243" spans="1:10" ht="15" x14ac:dyDescent="0.2">
      <c r="A3243" s="486" t="s">
        <v>661</v>
      </c>
      <c r="B3243" s="487" t="s">
        <v>660</v>
      </c>
      <c r="C3243" s="488" t="s">
        <v>11117</v>
      </c>
      <c r="D3243" s="489" t="s">
        <v>11118</v>
      </c>
      <c r="E3243" s="487" t="s">
        <v>11119</v>
      </c>
      <c r="F3243" s="490">
        <v>29500</v>
      </c>
      <c r="G3243" s="489">
        <v>475.01431000000002</v>
      </c>
      <c r="H3243" s="489">
        <v>62.103389999999997</v>
      </c>
      <c r="I3243" s="487" t="s">
        <v>1499</v>
      </c>
      <c r="J3243" s="487" t="s">
        <v>662</v>
      </c>
    </row>
    <row r="3244" spans="1:10" ht="15" x14ac:dyDescent="0.2">
      <c r="A3244" s="486" t="s">
        <v>661</v>
      </c>
      <c r="B3244" s="487" t="s">
        <v>660</v>
      </c>
      <c r="C3244" s="488" t="s">
        <v>11120</v>
      </c>
      <c r="D3244" s="489" t="s">
        <v>11121</v>
      </c>
      <c r="E3244" s="487" t="s">
        <v>11122</v>
      </c>
      <c r="F3244" s="490">
        <v>0</v>
      </c>
      <c r="G3244" s="489">
        <v>119.57</v>
      </c>
      <c r="H3244" s="489">
        <v>0</v>
      </c>
      <c r="I3244" s="487" t="s">
        <v>1593</v>
      </c>
      <c r="J3244" s="487" t="s">
        <v>662</v>
      </c>
    </row>
    <row r="3245" spans="1:10" ht="15" x14ac:dyDescent="0.2">
      <c r="A3245" s="486" t="s">
        <v>661</v>
      </c>
      <c r="B3245" s="487" t="s">
        <v>660</v>
      </c>
      <c r="C3245" s="488" t="s">
        <v>11123</v>
      </c>
      <c r="D3245" s="489" t="s">
        <v>11124</v>
      </c>
      <c r="E3245" s="487" t="s">
        <v>11125</v>
      </c>
      <c r="F3245" s="490">
        <v>0</v>
      </c>
      <c r="G3245" s="489">
        <v>68.628360000000001</v>
      </c>
      <c r="H3245" s="489">
        <v>0</v>
      </c>
      <c r="I3245" s="487" t="s">
        <v>1593</v>
      </c>
      <c r="J3245" s="487" t="s">
        <v>662</v>
      </c>
    </row>
    <row r="3246" spans="1:10" ht="15" x14ac:dyDescent="0.2">
      <c r="A3246" s="486" t="s">
        <v>661</v>
      </c>
      <c r="B3246" s="487" t="s">
        <v>660</v>
      </c>
      <c r="C3246" s="488" t="s">
        <v>11126</v>
      </c>
      <c r="D3246" s="489" t="s">
        <v>11127</v>
      </c>
      <c r="E3246" s="487" t="s">
        <v>11128</v>
      </c>
      <c r="F3246" s="490">
        <v>1750</v>
      </c>
      <c r="G3246" s="489">
        <v>105.74395</v>
      </c>
      <c r="H3246" s="489">
        <v>16.549410000000002</v>
      </c>
      <c r="I3246" s="487" t="s">
        <v>1499</v>
      </c>
      <c r="J3246" s="487" t="s">
        <v>662</v>
      </c>
    </row>
    <row r="3247" spans="1:10" ht="15" x14ac:dyDescent="0.2">
      <c r="A3247" s="486" t="s">
        <v>661</v>
      </c>
      <c r="B3247" s="487" t="s">
        <v>660</v>
      </c>
      <c r="C3247" s="488" t="s">
        <v>11129</v>
      </c>
      <c r="D3247" s="489" t="s">
        <v>11130</v>
      </c>
      <c r="E3247" s="487" t="s">
        <v>11131</v>
      </c>
      <c r="F3247" s="490">
        <v>7100</v>
      </c>
      <c r="G3247" s="489">
        <v>289.53913999999997</v>
      </c>
      <c r="H3247" s="489">
        <v>24.521730000000002</v>
      </c>
      <c r="I3247" s="487" t="s">
        <v>1499</v>
      </c>
      <c r="J3247" s="487" t="s">
        <v>662</v>
      </c>
    </row>
    <row r="3248" spans="1:10" ht="15" x14ac:dyDescent="0.2">
      <c r="A3248" s="486" t="s">
        <v>661</v>
      </c>
      <c r="B3248" s="487" t="s">
        <v>660</v>
      </c>
      <c r="C3248" s="488" t="s">
        <v>11132</v>
      </c>
      <c r="D3248" s="489" t="s">
        <v>11133</v>
      </c>
      <c r="E3248" s="487" t="s">
        <v>11134</v>
      </c>
      <c r="F3248" s="490">
        <v>0</v>
      </c>
      <c r="G3248" s="489">
        <v>52.739690000000003</v>
      </c>
      <c r="H3248" s="489">
        <v>0</v>
      </c>
      <c r="I3248" s="487" t="s">
        <v>1593</v>
      </c>
      <c r="J3248" s="487" t="s">
        <v>662</v>
      </c>
    </row>
    <row r="3249" spans="1:10" ht="15" x14ac:dyDescent="0.2">
      <c r="A3249" s="486" t="s">
        <v>661</v>
      </c>
      <c r="B3249" s="487" t="s">
        <v>660</v>
      </c>
      <c r="C3249" s="488" t="s">
        <v>11135</v>
      </c>
      <c r="D3249" s="489" t="s">
        <v>11136</v>
      </c>
      <c r="E3249" s="487" t="s">
        <v>11137</v>
      </c>
      <c r="F3249" s="490">
        <v>7940</v>
      </c>
      <c r="G3249" s="489">
        <v>145.81062</v>
      </c>
      <c r="H3249" s="489">
        <v>54.454189999999997</v>
      </c>
      <c r="I3249" s="487" t="s">
        <v>1499</v>
      </c>
      <c r="J3249" s="487" t="s">
        <v>662</v>
      </c>
    </row>
    <row r="3250" spans="1:10" ht="15" x14ac:dyDescent="0.2">
      <c r="A3250" s="486" t="s">
        <v>795</v>
      </c>
      <c r="B3250" s="487" t="s">
        <v>794</v>
      </c>
      <c r="C3250" s="488" t="s">
        <v>11138</v>
      </c>
      <c r="D3250" s="489" t="s">
        <v>11139</v>
      </c>
      <c r="E3250" s="487" t="s">
        <v>11140</v>
      </c>
      <c r="F3250" s="490">
        <v>10736</v>
      </c>
      <c r="G3250" s="489">
        <v>240.78</v>
      </c>
      <c r="H3250" s="489">
        <v>44.588419999999999</v>
      </c>
      <c r="I3250" s="487" t="s">
        <v>1499</v>
      </c>
      <c r="J3250" s="487" t="s">
        <v>796</v>
      </c>
    </row>
    <row r="3251" spans="1:10" ht="15" x14ac:dyDescent="0.2">
      <c r="A3251" s="486" t="s">
        <v>795</v>
      </c>
      <c r="B3251" s="487" t="s">
        <v>794</v>
      </c>
      <c r="C3251" s="488" t="s">
        <v>11141</v>
      </c>
      <c r="D3251" s="489" t="s">
        <v>11142</v>
      </c>
      <c r="E3251" s="487" t="s">
        <v>11143</v>
      </c>
      <c r="F3251" s="490">
        <v>18326</v>
      </c>
      <c r="G3251" s="489">
        <v>672.27</v>
      </c>
      <c r="H3251" s="489">
        <v>27.259879999999999</v>
      </c>
      <c r="I3251" s="487" t="s">
        <v>1499</v>
      </c>
      <c r="J3251" s="487" t="s">
        <v>796</v>
      </c>
    </row>
    <row r="3252" spans="1:10" ht="15" x14ac:dyDescent="0.2">
      <c r="A3252" s="486" t="s">
        <v>795</v>
      </c>
      <c r="B3252" s="487" t="s">
        <v>794</v>
      </c>
      <c r="C3252" s="488" t="s">
        <v>11144</v>
      </c>
      <c r="D3252" s="489" t="s">
        <v>11145</v>
      </c>
      <c r="E3252" s="487" t="s">
        <v>11146</v>
      </c>
      <c r="F3252" s="490">
        <v>19661</v>
      </c>
      <c r="G3252" s="489">
        <v>286.61</v>
      </c>
      <c r="H3252" s="489">
        <v>68.598439999999997</v>
      </c>
      <c r="I3252" s="487" t="s">
        <v>1499</v>
      </c>
      <c r="J3252" s="487" t="s">
        <v>796</v>
      </c>
    </row>
    <row r="3253" spans="1:10" ht="15" x14ac:dyDescent="0.2">
      <c r="A3253" s="486" t="s">
        <v>795</v>
      </c>
      <c r="B3253" s="487" t="s">
        <v>794</v>
      </c>
      <c r="C3253" s="488" t="s">
        <v>11147</v>
      </c>
      <c r="D3253" s="489" t="s">
        <v>11148</v>
      </c>
      <c r="E3253" s="487" t="s">
        <v>11149</v>
      </c>
      <c r="F3253" s="490">
        <v>4760</v>
      </c>
      <c r="G3253" s="489">
        <v>113.53</v>
      </c>
      <c r="H3253" s="489">
        <v>41.927239999999998</v>
      </c>
      <c r="I3253" s="487" t="s">
        <v>1499</v>
      </c>
      <c r="J3253" s="487" t="s">
        <v>796</v>
      </c>
    </row>
    <row r="3254" spans="1:10" ht="15" x14ac:dyDescent="0.2">
      <c r="A3254" s="486" t="s">
        <v>795</v>
      </c>
      <c r="B3254" s="487" t="s">
        <v>794</v>
      </c>
      <c r="C3254" s="488" t="s">
        <v>11150</v>
      </c>
      <c r="D3254" s="489" t="s">
        <v>11151</v>
      </c>
      <c r="E3254" s="487" t="s">
        <v>11152</v>
      </c>
      <c r="F3254" s="490">
        <v>8617</v>
      </c>
      <c r="G3254" s="489">
        <v>182.71</v>
      </c>
      <c r="H3254" s="489">
        <v>47.162170000000003</v>
      </c>
      <c r="I3254" s="487" t="s">
        <v>1499</v>
      </c>
      <c r="J3254" s="487" t="s">
        <v>796</v>
      </c>
    </row>
    <row r="3255" spans="1:10" ht="15" x14ac:dyDescent="0.2">
      <c r="A3255" s="486" t="s">
        <v>795</v>
      </c>
      <c r="B3255" s="487" t="s">
        <v>794</v>
      </c>
      <c r="C3255" s="488" t="s">
        <v>11153</v>
      </c>
      <c r="D3255" s="489" t="s">
        <v>11154</v>
      </c>
      <c r="E3255" s="487" t="s">
        <v>11155</v>
      </c>
      <c r="F3255" s="490">
        <v>13455</v>
      </c>
      <c r="G3255" s="489">
        <v>285.89</v>
      </c>
      <c r="H3255" s="489">
        <v>47.063560000000003</v>
      </c>
      <c r="I3255" s="487" t="s">
        <v>1499</v>
      </c>
      <c r="J3255" s="487" t="s">
        <v>796</v>
      </c>
    </row>
    <row r="3256" spans="1:10" ht="15" x14ac:dyDescent="0.2">
      <c r="A3256" s="486" t="s">
        <v>795</v>
      </c>
      <c r="B3256" s="487" t="s">
        <v>794</v>
      </c>
      <c r="C3256" s="488" t="s">
        <v>11156</v>
      </c>
      <c r="D3256" s="489" t="s">
        <v>11157</v>
      </c>
      <c r="E3256" s="487" t="s">
        <v>11158</v>
      </c>
      <c r="F3256" s="490">
        <v>545596</v>
      </c>
      <c r="G3256" s="489">
        <v>2541.04</v>
      </c>
      <c r="H3256" s="489">
        <v>214.71366</v>
      </c>
      <c r="I3256" s="487" t="s">
        <v>1499</v>
      </c>
      <c r="J3256" s="487" t="s">
        <v>796</v>
      </c>
    </row>
    <row r="3257" spans="1:10" ht="15" x14ac:dyDescent="0.2">
      <c r="A3257" s="486" t="s">
        <v>795</v>
      </c>
      <c r="B3257" s="487" t="s">
        <v>794</v>
      </c>
      <c r="C3257" s="488" t="s">
        <v>11159</v>
      </c>
      <c r="D3257" s="489" t="s">
        <v>11160</v>
      </c>
      <c r="E3257" s="487" t="s">
        <v>11161</v>
      </c>
      <c r="F3257" s="490">
        <v>560000</v>
      </c>
      <c r="G3257" s="489">
        <v>3146.32</v>
      </c>
      <c r="H3257" s="489">
        <v>177.98571000000001</v>
      </c>
      <c r="I3257" s="487" t="s">
        <v>1499</v>
      </c>
      <c r="J3257" s="487" t="s">
        <v>796</v>
      </c>
    </row>
    <row r="3258" spans="1:10" ht="15" x14ac:dyDescent="0.2">
      <c r="A3258" s="486" t="s">
        <v>795</v>
      </c>
      <c r="B3258" s="487" t="s">
        <v>794</v>
      </c>
      <c r="C3258" s="488" t="s">
        <v>11162</v>
      </c>
      <c r="D3258" s="489" t="s">
        <v>11163</v>
      </c>
      <c r="E3258" s="487" t="s">
        <v>11164</v>
      </c>
      <c r="F3258" s="490">
        <v>9928</v>
      </c>
      <c r="G3258" s="489">
        <v>308.61</v>
      </c>
      <c r="H3258" s="489">
        <v>32.170050000000003</v>
      </c>
      <c r="I3258" s="487" t="s">
        <v>1499</v>
      </c>
      <c r="J3258" s="487" t="s">
        <v>796</v>
      </c>
    </row>
    <row r="3259" spans="1:10" ht="15" x14ac:dyDescent="0.2">
      <c r="A3259" s="486" t="s">
        <v>795</v>
      </c>
      <c r="B3259" s="487" t="s">
        <v>794</v>
      </c>
      <c r="C3259" s="488" t="s">
        <v>11165</v>
      </c>
      <c r="D3259" s="489" t="s">
        <v>11166</v>
      </c>
      <c r="E3259" s="487" t="s">
        <v>11167</v>
      </c>
      <c r="F3259" s="490">
        <v>69926</v>
      </c>
      <c r="G3259" s="489">
        <v>1073.04</v>
      </c>
      <c r="H3259" s="489">
        <v>65.166259999999994</v>
      </c>
      <c r="I3259" s="487" t="s">
        <v>1499</v>
      </c>
      <c r="J3259" s="487" t="s">
        <v>796</v>
      </c>
    </row>
    <row r="3260" spans="1:10" ht="15" x14ac:dyDescent="0.2">
      <c r="A3260" s="486" t="s">
        <v>795</v>
      </c>
      <c r="B3260" s="487" t="s">
        <v>794</v>
      </c>
      <c r="C3260" s="488" t="s">
        <v>11168</v>
      </c>
      <c r="D3260" s="489" t="s">
        <v>11169</v>
      </c>
      <c r="E3260" s="487" t="s">
        <v>11170</v>
      </c>
      <c r="F3260" s="490">
        <v>35000</v>
      </c>
      <c r="G3260" s="489">
        <v>533.34</v>
      </c>
      <c r="H3260" s="489">
        <v>65.624179999999996</v>
      </c>
      <c r="I3260" s="487" t="s">
        <v>1499</v>
      </c>
      <c r="J3260" s="487" t="s">
        <v>796</v>
      </c>
    </row>
    <row r="3261" spans="1:10" ht="15" x14ac:dyDescent="0.2">
      <c r="A3261" s="486" t="s">
        <v>795</v>
      </c>
      <c r="B3261" s="487" t="s">
        <v>794</v>
      </c>
      <c r="C3261" s="488" t="s">
        <v>11171</v>
      </c>
      <c r="D3261" s="489" t="s">
        <v>11172</v>
      </c>
      <c r="E3261" s="487" t="s">
        <v>11173</v>
      </c>
      <c r="F3261" s="490">
        <v>8036</v>
      </c>
      <c r="G3261" s="489">
        <v>191.05</v>
      </c>
      <c r="H3261" s="489">
        <v>42.062289999999997</v>
      </c>
      <c r="I3261" s="487" t="s">
        <v>1499</v>
      </c>
      <c r="J3261" s="487" t="s">
        <v>796</v>
      </c>
    </row>
    <row r="3262" spans="1:10" ht="15" x14ac:dyDescent="0.2">
      <c r="A3262" s="486" t="s">
        <v>795</v>
      </c>
      <c r="B3262" s="487" t="s">
        <v>794</v>
      </c>
      <c r="C3262" s="488" t="s">
        <v>11174</v>
      </c>
      <c r="D3262" s="489" t="s">
        <v>11175</v>
      </c>
      <c r="E3262" s="487" t="s">
        <v>11176</v>
      </c>
      <c r="F3262" s="490">
        <v>6200</v>
      </c>
      <c r="G3262" s="489">
        <v>132.68</v>
      </c>
      <c r="H3262" s="489">
        <v>46.728969999999997</v>
      </c>
      <c r="I3262" s="487" t="s">
        <v>1499</v>
      </c>
      <c r="J3262" s="487" t="s">
        <v>796</v>
      </c>
    </row>
    <row r="3263" spans="1:10" ht="15" x14ac:dyDescent="0.2">
      <c r="A3263" s="486" t="s">
        <v>795</v>
      </c>
      <c r="B3263" s="487" t="s">
        <v>794</v>
      </c>
      <c r="C3263" s="488" t="s">
        <v>11177</v>
      </c>
      <c r="D3263" s="489" t="s">
        <v>11178</v>
      </c>
      <c r="E3263" s="487" t="s">
        <v>11179</v>
      </c>
      <c r="F3263" s="490">
        <v>11346</v>
      </c>
      <c r="G3263" s="489">
        <v>389.83</v>
      </c>
      <c r="H3263" s="489">
        <v>29.104990000000001</v>
      </c>
      <c r="I3263" s="487" t="s">
        <v>1499</v>
      </c>
      <c r="J3263" s="487" t="s">
        <v>796</v>
      </c>
    </row>
    <row r="3264" spans="1:10" ht="15" x14ac:dyDescent="0.2">
      <c r="A3264" s="486" t="s">
        <v>795</v>
      </c>
      <c r="B3264" s="487" t="s">
        <v>794</v>
      </c>
      <c r="C3264" s="488" t="s">
        <v>11180</v>
      </c>
      <c r="D3264" s="489" t="s">
        <v>11181</v>
      </c>
      <c r="E3264" s="487" t="s">
        <v>11182</v>
      </c>
      <c r="F3264" s="490">
        <v>9243</v>
      </c>
      <c r="G3264" s="489">
        <v>254.3</v>
      </c>
      <c r="H3264" s="489">
        <v>36.346829999999997</v>
      </c>
      <c r="I3264" s="487" t="s">
        <v>1499</v>
      </c>
      <c r="J3264" s="487" t="s">
        <v>796</v>
      </c>
    </row>
    <row r="3265" spans="1:10" ht="15" x14ac:dyDescent="0.2">
      <c r="A3265" s="486" t="s">
        <v>795</v>
      </c>
      <c r="B3265" s="487" t="s">
        <v>794</v>
      </c>
      <c r="C3265" s="488" t="s">
        <v>11183</v>
      </c>
      <c r="D3265" s="489" t="s">
        <v>11184</v>
      </c>
      <c r="E3265" s="487" t="s">
        <v>11185</v>
      </c>
      <c r="F3265" s="490">
        <v>25196</v>
      </c>
      <c r="G3265" s="489">
        <v>444.07</v>
      </c>
      <c r="H3265" s="489">
        <v>56.738799999999998</v>
      </c>
      <c r="I3265" s="487" t="s">
        <v>1499</v>
      </c>
      <c r="J3265" s="487" t="s">
        <v>796</v>
      </c>
    </row>
    <row r="3266" spans="1:10" ht="15" x14ac:dyDescent="0.2">
      <c r="A3266" s="486" t="s">
        <v>795</v>
      </c>
      <c r="B3266" s="487" t="s">
        <v>794</v>
      </c>
      <c r="C3266" s="488" t="s">
        <v>11186</v>
      </c>
      <c r="D3266" s="489" t="s">
        <v>11187</v>
      </c>
      <c r="E3266" s="487" t="s">
        <v>11188</v>
      </c>
      <c r="F3266" s="490">
        <v>7255</v>
      </c>
      <c r="G3266" s="489">
        <v>138.09</v>
      </c>
      <c r="H3266" s="489">
        <v>52.538200000000003</v>
      </c>
      <c r="I3266" s="487" t="s">
        <v>1499</v>
      </c>
      <c r="J3266" s="487" t="s">
        <v>796</v>
      </c>
    </row>
    <row r="3267" spans="1:10" ht="15" x14ac:dyDescent="0.2">
      <c r="A3267" s="486" t="s">
        <v>795</v>
      </c>
      <c r="B3267" s="487" t="s">
        <v>794</v>
      </c>
      <c r="C3267" s="488" t="s">
        <v>11189</v>
      </c>
      <c r="D3267" s="489" t="s">
        <v>11190</v>
      </c>
      <c r="E3267" s="487" t="s">
        <v>11191</v>
      </c>
      <c r="F3267" s="490">
        <v>45383</v>
      </c>
      <c r="G3267" s="489">
        <v>464.8</v>
      </c>
      <c r="H3267" s="489">
        <v>97.639849999999996</v>
      </c>
      <c r="I3267" s="487" t="s">
        <v>1499</v>
      </c>
      <c r="J3267" s="487" t="s">
        <v>796</v>
      </c>
    </row>
    <row r="3268" spans="1:10" ht="15" x14ac:dyDescent="0.2">
      <c r="A3268" s="486" t="s">
        <v>795</v>
      </c>
      <c r="B3268" s="487" t="s">
        <v>794</v>
      </c>
      <c r="C3268" s="488" t="s">
        <v>11192</v>
      </c>
      <c r="D3268" s="489" t="s">
        <v>11193</v>
      </c>
      <c r="E3268" s="487" t="s">
        <v>11194</v>
      </c>
      <c r="F3268" s="490">
        <v>34235</v>
      </c>
      <c r="G3268" s="489">
        <v>654.20000000000005</v>
      </c>
      <c r="H3268" s="489">
        <v>52.331090000000003</v>
      </c>
      <c r="I3268" s="487" t="s">
        <v>1499</v>
      </c>
      <c r="J3268" s="487" t="s">
        <v>796</v>
      </c>
    </row>
    <row r="3269" spans="1:10" ht="15" x14ac:dyDescent="0.2">
      <c r="A3269" s="486" t="s">
        <v>795</v>
      </c>
      <c r="B3269" s="487" t="s">
        <v>794</v>
      </c>
      <c r="C3269" s="488" t="s">
        <v>11195</v>
      </c>
      <c r="D3269" s="489" t="s">
        <v>11196</v>
      </c>
      <c r="E3269" s="487" t="s">
        <v>11197</v>
      </c>
      <c r="F3269" s="490">
        <v>29150</v>
      </c>
      <c r="G3269" s="489">
        <v>746.6</v>
      </c>
      <c r="H3269" s="489">
        <v>39.043660000000003</v>
      </c>
      <c r="I3269" s="487" t="s">
        <v>1499</v>
      </c>
      <c r="J3269" s="487" t="s">
        <v>796</v>
      </c>
    </row>
    <row r="3270" spans="1:10" ht="15" x14ac:dyDescent="0.2">
      <c r="A3270" s="486" t="s">
        <v>795</v>
      </c>
      <c r="B3270" s="487" t="s">
        <v>794</v>
      </c>
      <c r="C3270" s="488" t="s">
        <v>11198</v>
      </c>
      <c r="D3270" s="489" t="s">
        <v>11199</v>
      </c>
      <c r="E3270" s="487" t="s">
        <v>11200</v>
      </c>
      <c r="F3270" s="490">
        <v>781018</v>
      </c>
      <c r="G3270" s="489">
        <v>3585.38</v>
      </c>
      <c r="H3270" s="489">
        <v>217.83409</v>
      </c>
      <c r="I3270" s="487" t="s">
        <v>1499</v>
      </c>
      <c r="J3270" s="487" t="s">
        <v>796</v>
      </c>
    </row>
    <row r="3271" spans="1:10" ht="15" x14ac:dyDescent="0.2">
      <c r="A3271" s="486" t="s">
        <v>795</v>
      </c>
      <c r="B3271" s="487" t="s">
        <v>794</v>
      </c>
      <c r="C3271" s="488" t="s">
        <v>11201</v>
      </c>
      <c r="D3271" s="489" t="s">
        <v>11202</v>
      </c>
      <c r="E3271" s="487" t="s">
        <v>11203</v>
      </c>
      <c r="F3271" s="490">
        <v>141924</v>
      </c>
      <c r="G3271" s="489">
        <v>888.22</v>
      </c>
      <c r="H3271" s="489">
        <v>159.78474</v>
      </c>
      <c r="I3271" s="487" t="s">
        <v>1499</v>
      </c>
      <c r="J3271" s="487" t="s">
        <v>796</v>
      </c>
    </row>
    <row r="3272" spans="1:10" ht="15" x14ac:dyDescent="0.2">
      <c r="A3272" s="486" t="s">
        <v>795</v>
      </c>
      <c r="B3272" s="487" t="s">
        <v>794</v>
      </c>
      <c r="C3272" s="488" t="s">
        <v>11204</v>
      </c>
      <c r="D3272" s="489" t="s">
        <v>11205</v>
      </c>
      <c r="E3272" s="487" t="s">
        <v>11206</v>
      </c>
      <c r="F3272" s="490">
        <v>500150</v>
      </c>
      <c r="G3272" s="489">
        <v>2502.08</v>
      </c>
      <c r="H3272" s="489">
        <v>199.89368999999999</v>
      </c>
      <c r="I3272" s="487" t="s">
        <v>1499</v>
      </c>
      <c r="J3272" s="487" t="s">
        <v>796</v>
      </c>
    </row>
    <row r="3273" spans="1:10" ht="15" x14ac:dyDescent="0.2">
      <c r="A3273" s="486" t="s">
        <v>795</v>
      </c>
      <c r="B3273" s="487" t="s">
        <v>794</v>
      </c>
      <c r="C3273" s="488" t="s">
        <v>11207</v>
      </c>
      <c r="D3273" s="489" t="s">
        <v>11208</v>
      </c>
      <c r="E3273" s="487" t="s">
        <v>11209</v>
      </c>
      <c r="F3273" s="490">
        <v>32000</v>
      </c>
      <c r="G3273" s="489">
        <v>427.61</v>
      </c>
      <c r="H3273" s="489">
        <v>74.834549999999993</v>
      </c>
      <c r="I3273" s="487" t="s">
        <v>1499</v>
      </c>
      <c r="J3273" s="487" t="s">
        <v>796</v>
      </c>
    </row>
    <row r="3274" spans="1:10" ht="15" x14ac:dyDescent="0.2">
      <c r="A3274" s="486" t="s">
        <v>795</v>
      </c>
      <c r="B3274" s="487" t="s">
        <v>794</v>
      </c>
      <c r="C3274" s="488" t="s">
        <v>11210</v>
      </c>
      <c r="D3274" s="489" t="s">
        <v>11211</v>
      </c>
      <c r="E3274" s="487" t="s">
        <v>11212</v>
      </c>
      <c r="F3274" s="490">
        <v>44036</v>
      </c>
      <c r="G3274" s="489">
        <v>612.57000000000005</v>
      </c>
      <c r="H3274" s="489">
        <v>71.887289999999993</v>
      </c>
      <c r="I3274" s="487" t="s">
        <v>1499</v>
      </c>
      <c r="J3274" s="487" t="s">
        <v>796</v>
      </c>
    </row>
    <row r="3275" spans="1:10" ht="15" x14ac:dyDescent="0.2">
      <c r="A3275" s="486" t="s">
        <v>795</v>
      </c>
      <c r="B3275" s="487" t="s">
        <v>794</v>
      </c>
      <c r="C3275" s="488" t="s">
        <v>11213</v>
      </c>
      <c r="D3275" s="489" t="s">
        <v>11214</v>
      </c>
      <c r="E3275" s="487" t="s">
        <v>11215</v>
      </c>
      <c r="F3275" s="490">
        <v>0</v>
      </c>
      <c r="G3275" s="489">
        <v>97.03</v>
      </c>
      <c r="H3275" s="489">
        <v>0</v>
      </c>
      <c r="I3275" s="487" t="s">
        <v>1593</v>
      </c>
      <c r="J3275" s="487" t="s">
        <v>796</v>
      </c>
    </row>
    <row r="3276" spans="1:10" ht="15" x14ac:dyDescent="0.2">
      <c r="A3276" s="486" t="s">
        <v>795</v>
      </c>
      <c r="B3276" s="487" t="s">
        <v>794</v>
      </c>
      <c r="C3276" s="488" t="s">
        <v>11216</v>
      </c>
      <c r="D3276" s="489" t="s">
        <v>11217</v>
      </c>
      <c r="E3276" s="487" t="s">
        <v>11218</v>
      </c>
      <c r="F3276" s="490">
        <v>7000</v>
      </c>
      <c r="G3276" s="489">
        <v>157.69</v>
      </c>
      <c r="H3276" s="489">
        <v>44.390889999999999</v>
      </c>
      <c r="I3276" s="487" t="s">
        <v>1499</v>
      </c>
      <c r="J3276" s="487" t="s">
        <v>796</v>
      </c>
    </row>
    <row r="3277" spans="1:10" ht="15" x14ac:dyDescent="0.2">
      <c r="A3277" s="486" t="s">
        <v>795</v>
      </c>
      <c r="B3277" s="487" t="s">
        <v>794</v>
      </c>
      <c r="C3277" s="488" t="s">
        <v>11219</v>
      </c>
      <c r="D3277" s="489" t="s">
        <v>11220</v>
      </c>
      <c r="E3277" s="487" t="s">
        <v>11221</v>
      </c>
      <c r="F3277" s="490">
        <v>14250</v>
      </c>
      <c r="G3277" s="489">
        <v>395.14</v>
      </c>
      <c r="H3277" s="489">
        <v>36.06317</v>
      </c>
      <c r="I3277" s="487" t="s">
        <v>1499</v>
      </c>
      <c r="J3277" s="487" t="s">
        <v>796</v>
      </c>
    </row>
    <row r="3278" spans="1:10" ht="15" x14ac:dyDescent="0.2">
      <c r="A3278" s="486" t="s">
        <v>795</v>
      </c>
      <c r="B3278" s="487" t="s">
        <v>794</v>
      </c>
      <c r="C3278" s="488" t="s">
        <v>11222</v>
      </c>
      <c r="D3278" s="489" t="s">
        <v>11223</v>
      </c>
      <c r="E3278" s="487" t="s">
        <v>11224</v>
      </c>
      <c r="F3278" s="490">
        <v>25000</v>
      </c>
      <c r="G3278" s="489">
        <v>467.39</v>
      </c>
      <c r="H3278" s="489">
        <v>53.488520000000001</v>
      </c>
      <c r="I3278" s="487" t="s">
        <v>1499</v>
      </c>
      <c r="J3278" s="487" t="s">
        <v>796</v>
      </c>
    </row>
    <row r="3279" spans="1:10" ht="15" x14ac:dyDescent="0.2">
      <c r="A3279" s="486" t="s">
        <v>795</v>
      </c>
      <c r="B3279" s="487" t="s">
        <v>794</v>
      </c>
      <c r="C3279" s="488" t="s">
        <v>11225</v>
      </c>
      <c r="D3279" s="489" t="s">
        <v>11226</v>
      </c>
      <c r="E3279" s="487" t="s">
        <v>11227</v>
      </c>
      <c r="F3279" s="490">
        <v>6482</v>
      </c>
      <c r="G3279" s="489">
        <v>129.59</v>
      </c>
      <c r="H3279" s="489">
        <v>50.019289999999998</v>
      </c>
      <c r="I3279" s="487" t="s">
        <v>1499</v>
      </c>
      <c r="J3279" s="487" t="s">
        <v>796</v>
      </c>
    </row>
    <row r="3280" spans="1:10" ht="15" x14ac:dyDescent="0.2">
      <c r="A3280" s="486" t="s">
        <v>795</v>
      </c>
      <c r="B3280" s="487" t="s">
        <v>794</v>
      </c>
      <c r="C3280" s="488" t="s">
        <v>11228</v>
      </c>
      <c r="D3280" s="489" t="s">
        <v>11229</v>
      </c>
      <c r="E3280" s="487" t="s">
        <v>11230</v>
      </c>
      <c r="F3280" s="490">
        <v>68510</v>
      </c>
      <c r="G3280" s="489">
        <v>948.46</v>
      </c>
      <c r="H3280" s="489">
        <v>72.232879999999994</v>
      </c>
      <c r="I3280" s="487" t="s">
        <v>1499</v>
      </c>
      <c r="J3280" s="487" t="s">
        <v>796</v>
      </c>
    </row>
    <row r="3281" spans="1:10" ht="15" x14ac:dyDescent="0.2">
      <c r="A3281" s="486" t="s">
        <v>795</v>
      </c>
      <c r="B3281" s="487" t="s">
        <v>794</v>
      </c>
      <c r="C3281" s="488" t="s">
        <v>11231</v>
      </c>
      <c r="D3281" s="489" t="s">
        <v>11232</v>
      </c>
      <c r="E3281" s="487" t="s">
        <v>11233</v>
      </c>
      <c r="F3281" s="490">
        <v>31818</v>
      </c>
      <c r="G3281" s="489">
        <v>624.59</v>
      </c>
      <c r="H3281" s="489">
        <v>50.942219999999999</v>
      </c>
      <c r="I3281" s="487" t="s">
        <v>1499</v>
      </c>
      <c r="J3281" s="487" t="s">
        <v>796</v>
      </c>
    </row>
    <row r="3282" spans="1:10" ht="15" x14ac:dyDescent="0.2">
      <c r="A3282" s="486" t="s">
        <v>795</v>
      </c>
      <c r="B3282" s="487" t="s">
        <v>794</v>
      </c>
      <c r="C3282" s="488" t="s">
        <v>11234</v>
      </c>
      <c r="D3282" s="489" t="s">
        <v>11235</v>
      </c>
      <c r="E3282" s="487" t="s">
        <v>11236</v>
      </c>
      <c r="F3282" s="490">
        <v>9953</v>
      </c>
      <c r="G3282" s="489">
        <v>325.88</v>
      </c>
      <c r="H3282" s="489">
        <v>30.541920000000001</v>
      </c>
      <c r="I3282" s="487" t="s">
        <v>1499</v>
      </c>
      <c r="J3282" s="487" t="s">
        <v>796</v>
      </c>
    </row>
    <row r="3283" spans="1:10" ht="15" x14ac:dyDescent="0.2">
      <c r="A3283" s="486" t="s">
        <v>795</v>
      </c>
      <c r="B3283" s="487" t="s">
        <v>794</v>
      </c>
      <c r="C3283" s="488" t="s">
        <v>11237</v>
      </c>
      <c r="D3283" s="489" t="s">
        <v>11238</v>
      </c>
      <c r="E3283" s="487" t="s">
        <v>11239</v>
      </c>
      <c r="F3283" s="490">
        <v>17500</v>
      </c>
      <c r="G3283" s="489">
        <v>134.06</v>
      </c>
      <c r="H3283" s="489">
        <v>130.53855999999999</v>
      </c>
      <c r="I3283" s="487" t="s">
        <v>1499</v>
      </c>
      <c r="J3283" s="487" t="s">
        <v>796</v>
      </c>
    </row>
    <row r="3284" spans="1:10" ht="15" x14ac:dyDescent="0.2">
      <c r="A3284" s="486" t="s">
        <v>795</v>
      </c>
      <c r="B3284" s="487" t="s">
        <v>794</v>
      </c>
      <c r="C3284" s="488" t="s">
        <v>11240</v>
      </c>
      <c r="D3284" s="489" t="s">
        <v>11241</v>
      </c>
      <c r="E3284" s="487" t="s">
        <v>11242</v>
      </c>
      <c r="F3284" s="490">
        <v>7145</v>
      </c>
      <c r="G3284" s="489">
        <v>221.21</v>
      </c>
      <c r="H3284" s="489">
        <v>32.299619999999997</v>
      </c>
      <c r="I3284" s="487" t="s">
        <v>1499</v>
      </c>
      <c r="J3284" s="487" t="s">
        <v>796</v>
      </c>
    </row>
    <row r="3285" spans="1:10" ht="15" x14ac:dyDescent="0.2">
      <c r="A3285" s="486" t="s">
        <v>795</v>
      </c>
      <c r="B3285" s="487" t="s">
        <v>794</v>
      </c>
      <c r="C3285" s="488" t="s">
        <v>11243</v>
      </c>
      <c r="D3285" s="489" t="s">
        <v>11244</v>
      </c>
      <c r="E3285" s="487" t="s">
        <v>11245</v>
      </c>
      <c r="F3285" s="490">
        <v>9315</v>
      </c>
      <c r="G3285" s="489">
        <v>270.13</v>
      </c>
      <c r="H3285" s="489">
        <v>34.483400000000003</v>
      </c>
      <c r="I3285" s="487" t="s">
        <v>1499</v>
      </c>
      <c r="J3285" s="487" t="s">
        <v>796</v>
      </c>
    </row>
    <row r="3286" spans="1:10" ht="15" x14ac:dyDescent="0.2">
      <c r="A3286" s="486" t="s">
        <v>795</v>
      </c>
      <c r="B3286" s="487" t="s">
        <v>794</v>
      </c>
      <c r="C3286" s="488" t="s">
        <v>11246</v>
      </c>
      <c r="D3286" s="489" t="s">
        <v>11247</v>
      </c>
      <c r="E3286" s="487" t="s">
        <v>11248</v>
      </c>
      <c r="F3286" s="490">
        <v>129486</v>
      </c>
      <c r="G3286" s="489">
        <v>2079.21</v>
      </c>
      <c r="H3286" s="489">
        <v>62.276539999999997</v>
      </c>
      <c r="I3286" s="487" t="s">
        <v>1499</v>
      </c>
      <c r="J3286" s="487" t="s">
        <v>796</v>
      </c>
    </row>
    <row r="3287" spans="1:10" ht="15" x14ac:dyDescent="0.2">
      <c r="A3287" s="486" t="s">
        <v>795</v>
      </c>
      <c r="B3287" s="487" t="s">
        <v>794</v>
      </c>
      <c r="C3287" s="488" t="s">
        <v>11249</v>
      </c>
      <c r="D3287" s="489" t="s">
        <v>11250</v>
      </c>
      <c r="E3287" s="487" t="s">
        <v>11251</v>
      </c>
      <c r="F3287" s="490">
        <v>5000</v>
      </c>
      <c r="G3287" s="489">
        <v>132.94</v>
      </c>
      <c r="H3287" s="489">
        <v>37.610950000000003</v>
      </c>
      <c r="I3287" s="487" t="s">
        <v>1499</v>
      </c>
      <c r="J3287" s="487" t="s">
        <v>796</v>
      </c>
    </row>
    <row r="3288" spans="1:10" ht="15" x14ac:dyDescent="0.2">
      <c r="A3288" s="486" t="s">
        <v>795</v>
      </c>
      <c r="B3288" s="487" t="s">
        <v>794</v>
      </c>
      <c r="C3288" s="488" t="s">
        <v>11252</v>
      </c>
      <c r="D3288" s="489" t="s">
        <v>11253</v>
      </c>
      <c r="E3288" s="487" t="s">
        <v>11254</v>
      </c>
      <c r="F3288" s="490">
        <v>229357</v>
      </c>
      <c r="G3288" s="489">
        <v>3564.31</v>
      </c>
      <c r="H3288" s="489">
        <v>64.348219999999998</v>
      </c>
      <c r="I3288" s="487" t="s">
        <v>1499</v>
      </c>
      <c r="J3288" s="487" t="s">
        <v>796</v>
      </c>
    </row>
    <row r="3289" spans="1:10" ht="15" x14ac:dyDescent="0.2">
      <c r="A3289" s="486" t="s">
        <v>795</v>
      </c>
      <c r="B3289" s="487" t="s">
        <v>794</v>
      </c>
      <c r="C3289" s="488" t="s">
        <v>11255</v>
      </c>
      <c r="D3289" s="489" t="s">
        <v>11256</v>
      </c>
      <c r="E3289" s="487" t="s">
        <v>11257</v>
      </c>
      <c r="F3289" s="490">
        <v>39000</v>
      </c>
      <c r="G3289" s="489">
        <v>725.11</v>
      </c>
      <c r="H3289" s="489">
        <v>53.784939999999999</v>
      </c>
      <c r="I3289" s="487" t="s">
        <v>1499</v>
      </c>
      <c r="J3289" s="487" t="s">
        <v>796</v>
      </c>
    </row>
    <row r="3290" spans="1:10" ht="15" x14ac:dyDescent="0.2">
      <c r="A3290" s="486" t="s">
        <v>795</v>
      </c>
      <c r="B3290" s="487" t="s">
        <v>794</v>
      </c>
      <c r="C3290" s="488" t="s">
        <v>11258</v>
      </c>
      <c r="D3290" s="489" t="s">
        <v>11259</v>
      </c>
      <c r="E3290" s="487" t="s">
        <v>11260</v>
      </c>
      <c r="F3290" s="490">
        <v>27582</v>
      </c>
      <c r="G3290" s="489">
        <v>531.98</v>
      </c>
      <c r="H3290" s="489">
        <v>51.847810000000003</v>
      </c>
      <c r="I3290" s="487" t="s">
        <v>1499</v>
      </c>
      <c r="J3290" s="487" t="s">
        <v>796</v>
      </c>
    </row>
    <row r="3291" spans="1:10" ht="15" x14ac:dyDescent="0.2">
      <c r="A3291" s="486" t="s">
        <v>811</v>
      </c>
      <c r="B3291" s="487" t="s">
        <v>810</v>
      </c>
      <c r="C3291" s="488" t="s">
        <v>11261</v>
      </c>
      <c r="D3291" s="489" t="s">
        <v>11262</v>
      </c>
      <c r="E3291" s="487" t="s">
        <v>11263</v>
      </c>
      <c r="F3291" s="490">
        <v>294195</v>
      </c>
      <c r="G3291" s="489">
        <v>6676.8</v>
      </c>
      <c r="H3291" s="489">
        <v>44.062280000000001</v>
      </c>
      <c r="I3291" s="487" t="s">
        <v>1499</v>
      </c>
      <c r="J3291" s="487" t="s">
        <v>812</v>
      </c>
    </row>
    <row r="3292" spans="1:10" ht="15" x14ac:dyDescent="0.2">
      <c r="A3292" s="486" t="s">
        <v>1255</v>
      </c>
      <c r="B3292" s="487" t="s">
        <v>1254</v>
      </c>
      <c r="C3292" s="488" t="s">
        <v>11264</v>
      </c>
      <c r="D3292" s="489" t="s">
        <v>11265</v>
      </c>
      <c r="E3292" s="487" t="s">
        <v>11266</v>
      </c>
      <c r="F3292" s="490">
        <v>0</v>
      </c>
      <c r="G3292" s="489">
        <v>50.74</v>
      </c>
      <c r="H3292" s="489">
        <v>0</v>
      </c>
      <c r="I3292" s="487" t="s">
        <v>1593</v>
      </c>
      <c r="J3292" s="487" t="s">
        <v>1256</v>
      </c>
    </row>
    <row r="3293" spans="1:10" ht="15" x14ac:dyDescent="0.2">
      <c r="A3293" s="486" t="s">
        <v>1255</v>
      </c>
      <c r="B3293" s="487" t="s">
        <v>1254</v>
      </c>
      <c r="C3293" s="488" t="s">
        <v>11267</v>
      </c>
      <c r="D3293" s="489" t="s">
        <v>11268</v>
      </c>
      <c r="E3293" s="487" t="s">
        <v>11269</v>
      </c>
      <c r="F3293" s="490">
        <v>11136</v>
      </c>
      <c r="G3293" s="489">
        <v>368.49</v>
      </c>
      <c r="H3293" s="489">
        <v>30.22063</v>
      </c>
      <c r="I3293" s="487" t="s">
        <v>1499</v>
      </c>
      <c r="J3293" s="487" t="s">
        <v>1256</v>
      </c>
    </row>
    <row r="3294" spans="1:10" ht="15" x14ac:dyDescent="0.2">
      <c r="A3294" s="486" t="s">
        <v>1255</v>
      </c>
      <c r="B3294" s="487" t="s">
        <v>1254</v>
      </c>
      <c r="C3294" s="488" t="s">
        <v>11270</v>
      </c>
      <c r="D3294" s="489" t="s">
        <v>11271</v>
      </c>
      <c r="E3294" s="487" t="s">
        <v>11272</v>
      </c>
      <c r="F3294" s="490">
        <v>5020</v>
      </c>
      <c r="G3294" s="489">
        <v>228.79</v>
      </c>
      <c r="H3294" s="489">
        <v>21.941520000000001</v>
      </c>
      <c r="I3294" s="487" t="s">
        <v>1499</v>
      </c>
      <c r="J3294" s="487" t="s">
        <v>1256</v>
      </c>
    </row>
    <row r="3295" spans="1:10" ht="15" x14ac:dyDescent="0.2">
      <c r="A3295" s="486" t="s">
        <v>1255</v>
      </c>
      <c r="B3295" s="487" t="s">
        <v>1254</v>
      </c>
      <c r="C3295" s="488" t="s">
        <v>11273</v>
      </c>
      <c r="D3295" s="489" t="s">
        <v>11274</v>
      </c>
      <c r="E3295" s="487" t="s">
        <v>11275</v>
      </c>
      <c r="F3295" s="490">
        <v>192778</v>
      </c>
      <c r="G3295" s="489">
        <v>930.23</v>
      </c>
      <c r="H3295" s="489">
        <v>207.23692</v>
      </c>
      <c r="I3295" s="487" t="s">
        <v>1499</v>
      </c>
      <c r="J3295" s="487" t="s">
        <v>1256</v>
      </c>
    </row>
    <row r="3296" spans="1:10" ht="15" x14ac:dyDescent="0.2">
      <c r="A3296" s="486" t="s">
        <v>1255</v>
      </c>
      <c r="B3296" s="487" t="s">
        <v>1254</v>
      </c>
      <c r="C3296" s="488" t="s">
        <v>11276</v>
      </c>
      <c r="D3296" s="489" t="s">
        <v>11277</v>
      </c>
      <c r="E3296" s="487" t="s">
        <v>11278</v>
      </c>
      <c r="F3296" s="490">
        <v>106375</v>
      </c>
      <c r="G3296" s="489">
        <v>1130.52</v>
      </c>
      <c r="H3296" s="489">
        <v>94.093869999999995</v>
      </c>
      <c r="I3296" s="487" t="s">
        <v>1499</v>
      </c>
      <c r="J3296" s="487" t="s">
        <v>1256</v>
      </c>
    </row>
    <row r="3297" spans="1:10" ht="15" x14ac:dyDescent="0.2">
      <c r="A3297" s="486" t="s">
        <v>1255</v>
      </c>
      <c r="B3297" s="487" t="s">
        <v>1254</v>
      </c>
      <c r="C3297" s="488" t="s">
        <v>11279</v>
      </c>
      <c r="D3297" s="489" t="s">
        <v>11280</v>
      </c>
      <c r="E3297" s="487" t="s">
        <v>11281</v>
      </c>
      <c r="F3297" s="490">
        <v>62000</v>
      </c>
      <c r="G3297" s="489">
        <v>730.4</v>
      </c>
      <c r="H3297" s="489">
        <v>84.884990000000002</v>
      </c>
      <c r="I3297" s="487" t="s">
        <v>1499</v>
      </c>
      <c r="J3297" s="487" t="s">
        <v>1256</v>
      </c>
    </row>
    <row r="3298" spans="1:10" ht="15" x14ac:dyDescent="0.2">
      <c r="A3298" s="486" t="s">
        <v>1255</v>
      </c>
      <c r="B3298" s="487" t="s">
        <v>1254</v>
      </c>
      <c r="C3298" s="488" t="s">
        <v>11282</v>
      </c>
      <c r="D3298" s="489" t="s">
        <v>11283</v>
      </c>
      <c r="E3298" s="487" t="s">
        <v>11284</v>
      </c>
      <c r="F3298" s="490">
        <v>16540</v>
      </c>
      <c r="G3298" s="489">
        <v>166.62</v>
      </c>
      <c r="H3298" s="489">
        <v>99.267790000000005</v>
      </c>
      <c r="I3298" s="487" t="s">
        <v>1499</v>
      </c>
      <c r="J3298" s="487" t="s">
        <v>1256</v>
      </c>
    </row>
    <row r="3299" spans="1:10" ht="15" x14ac:dyDescent="0.2">
      <c r="A3299" s="486" t="s">
        <v>1255</v>
      </c>
      <c r="B3299" s="487" t="s">
        <v>1254</v>
      </c>
      <c r="C3299" s="488" t="s">
        <v>11285</v>
      </c>
      <c r="D3299" s="489" t="s">
        <v>11286</v>
      </c>
      <c r="E3299" s="487" t="s">
        <v>11287</v>
      </c>
      <c r="F3299" s="490">
        <v>345533</v>
      </c>
      <c r="G3299" s="489">
        <v>2167.16</v>
      </c>
      <c r="H3299" s="489">
        <v>159.44047</v>
      </c>
      <c r="I3299" s="487" t="s">
        <v>1499</v>
      </c>
      <c r="J3299" s="487" t="s">
        <v>1256</v>
      </c>
    </row>
    <row r="3300" spans="1:10" ht="15" x14ac:dyDescent="0.2">
      <c r="A3300" s="486" t="s">
        <v>1255</v>
      </c>
      <c r="B3300" s="487" t="s">
        <v>1254</v>
      </c>
      <c r="C3300" s="488" t="s">
        <v>11288</v>
      </c>
      <c r="D3300" s="489" t="s">
        <v>11289</v>
      </c>
      <c r="E3300" s="487" t="s">
        <v>11290</v>
      </c>
      <c r="F3300" s="490">
        <v>333710</v>
      </c>
      <c r="G3300" s="489">
        <v>3402.55</v>
      </c>
      <c r="H3300" s="489">
        <v>98.076440000000005</v>
      </c>
      <c r="I3300" s="487" t="s">
        <v>1499</v>
      </c>
      <c r="J3300" s="487" t="s">
        <v>1256</v>
      </c>
    </row>
    <row r="3301" spans="1:10" ht="15" x14ac:dyDescent="0.2">
      <c r="A3301" s="486" t="s">
        <v>1255</v>
      </c>
      <c r="B3301" s="487" t="s">
        <v>1254</v>
      </c>
      <c r="C3301" s="488" t="s">
        <v>11291</v>
      </c>
      <c r="D3301" s="489" t="s">
        <v>11292</v>
      </c>
      <c r="E3301" s="487" t="s">
        <v>11293</v>
      </c>
      <c r="F3301" s="490">
        <v>225712</v>
      </c>
      <c r="G3301" s="489">
        <v>2500.56</v>
      </c>
      <c r="H3301" s="489">
        <v>90.264579999999995</v>
      </c>
      <c r="I3301" s="487" t="s">
        <v>1499</v>
      </c>
      <c r="J3301" s="487" t="s">
        <v>1256</v>
      </c>
    </row>
    <row r="3302" spans="1:10" ht="15" x14ac:dyDescent="0.2">
      <c r="A3302" s="486" t="s">
        <v>1255</v>
      </c>
      <c r="B3302" s="487" t="s">
        <v>1254</v>
      </c>
      <c r="C3302" s="488" t="s">
        <v>11294</v>
      </c>
      <c r="D3302" s="489" t="s">
        <v>11295</v>
      </c>
      <c r="E3302" s="487" t="s">
        <v>11296</v>
      </c>
      <c r="F3302" s="490">
        <v>19370</v>
      </c>
      <c r="G3302" s="489">
        <v>366.06</v>
      </c>
      <c r="H3302" s="489">
        <v>52.914819999999999</v>
      </c>
      <c r="I3302" s="487" t="s">
        <v>1499</v>
      </c>
      <c r="J3302" s="487" t="s">
        <v>1256</v>
      </c>
    </row>
    <row r="3303" spans="1:10" ht="15" x14ac:dyDescent="0.2">
      <c r="A3303" s="486" t="s">
        <v>1255</v>
      </c>
      <c r="B3303" s="487" t="s">
        <v>1254</v>
      </c>
      <c r="C3303" s="488" t="s">
        <v>11297</v>
      </c>
      <c r="D3303" s="489" t="s">
        <v>11298</v>
      </c>
      <c r="E3303" s="487" t="s">
        <v>11299</v>
      </c>
      <c r="F3303" s="490">
        <v>11115</v>
      </c>
      <c r="G3303" s="489">
        <v>246.79</v>
      </c>
      <c r="H3303" s="489">
        <v>45.038290000000003</v>
      </c>
      <c r="I3303" s="487" t="s">
        <v>1499</v>
      </c>
      <c r="J3303" s="487" t="s">
        <v>1256</v>
      </c>
    </row>
    <row r="3304" spans="1:10" ht="15" x14ac:dyDescent="0.2">
      <c r="A3304" s="486" t="s">
        <v>1255</v>
      </c>
      <c r="B3304" s="487" t="s">
        <v>1254</v>
      </c>
      <c r="C3304" s="488" t="s">
        <v>11300</v>
      </c>
      <c r="D3304" s="489" t="s">
        <v>11301</v>
      </c>
      <c r="E3304" s="487" t="s">
        <v>11302</v>
      </c>
      <c r="F3304" s="490">
        <v>550000</v>
      </c>
      <c r="G3304" s="489">
        <v>2464.27</v>
      </c>
      <c r="H3304" s="489">
        <v>223.18983</v>
      </c>
      <c r="I3304" s="487" t="s">
        <v>1499</v>
      </c>
      <c r="J3304" s="487" t="s">
        <v>1256</v>
      </c>
    </row>
    <row r="3305" spans="1:10" ht="15" x14ac:dyDescent="0.2">
      <c r="A3305" s="486" t="s">
        <v>1255</v>
      </c>
      <c r="B3305" s="487" t="s">
        <v>1254</v>
      </c>
      <c r="C3305" s="488" t="s">
        <v>11303</v>
      </c>
      <c r="D3305" s="489" t="s">
        <v>11304</v>
      </c>
      <c r="E3305" s="487" t="s">
        <v>11305</v>
      </c>
      <c r="F3305" s="490">
        <v>5000</v>
      </c>
      <c r="G3305" s="489">
        <v>629.69000000000005</v>
      </c>
      <c r="H3305" s="489">
        <v>7.9404199999999996</v>
      </c>
      <c r="I3305" s="487" t="s">
        <v>1499</v>
      </c>
      <c r="J3305" s="487" t="s">
        <v>1256</v>
      </c>
    </row>
    <row r="3306" spans="1:10" ht="15" x14ac:dyDescent="0.2">
      <c r="A3306" s="486" t="s">
        <v>1255</v>
      </c>
      <c r="B3306" s="487" t="s">
        <v>1254</v>
      </c>
      <c r="C3306" s="488" t="s">
        <v>11306</v>
      </c>
      <c r="D3306" s="489" t="s">
        <v>11307</v>
      </c>
      <c r="E3306" s="487" t="s">
        <v>11308</v>
      </c>
      <c r="F3306" s="490">
        <v>2472</v>
      </c>
      <c r="G3306" s="489">
        <v>94.82</v>
      </c>
      <c r="H3306" s="489">
        <v>26.070450000000001</v>
      </c>
      <c r="I3306" s="487" t="s">
        <v>1499</v>
      </c>
      <c r="J3306" s="487" t="s">
        <v>1256</v>
      </c>
    </row>
    <row r="3307" spans="1:10" ht="15" x14ac:dyDescent="0.2">
      <c r="A3307" s="486" t="s">
        <v>1255</v>
      </c>
      <c r="B3307" s="487" t="s">
        <v>1254</v>
      </c>
      <c r="C3307" s="488" t="s">
        <v>11309</v>
      </c>
      <c r="D3307" s="489" t="s">
        <v>11310</v>
      </c>
      <c r="E3307" s="487" t="s">
        <v>11311</v>
      </c>
      <c r="F3307" s="490">
        <v>24570</v>
      </c>
      <c r="G3307" s="489">
        <v>546.04999999999995</v>
      </c>
      <c r="H3307" s="489">
        <v>44.99588</v>
      </c>
      <c r="I3307" s="487" t="s">
        <v>1499</v>
      </c>
      <c r="J3307" s="487" t="s">
        <v>1256</v>
      </c>
    </row>
    <row r="3308" spans="1:10" ht="15" x14ac:dyDescent="0.2">
      <c r="A3308" s="486" t="s">
        <v>1255</v>
      </c>
      <c r="B3308" s="487" t="s">
        <v>1254</v>
      </c>
      <c r="C3308" s="488" t="s">
        <v>11312</v>
      </c>
      <c r="D3308" s="489" t="s">
        <v>11313</v>
      </c>
      <c r="E3308" s="487" t="s">
        <v>11314</v>
      </c>
      <c r="F3308" s="490">
        <v>17407</v>
      </c>
      <c r="G3308" s="489">
        <v>290.83999999999997</v>
      </c>
      <c r="H3308" s="489">
        <v>59.85078</v>
      </c>
      <c r="I3308" s="487" t="s">
        <v>1499</v>
      </c>
      <c r="J3308" s="487" t="s">
        <v>1256</v>
      </c>
    </row>
    <row r="3309" spans="1:10" ht="15" x14ac:dyDescent="0.2">
      <c r="A3309" s="486" t="s">
        <v>1255</v>
      </c>
      <c r="B3309" s="487" t="s">
        <v>1254</v>
      </c>
      <c r="C3309" s="488" t="s">
        <v>11315</v>
      </c>
      <c r="D3309" s="489" t="s">
        <v>11316</v>
      </c>
      <c r="E3309" s="487" t="s">
        <v>11317</v>
      </c>
      <c r="F3309" s="490">
        <v>1100</v>
      </c>
      <c r="G3309" s="489">
        <v>75.98</v>
      </c>
      <c r="H3309" s="489">
        <v>14.47749</v>
      </c>
      <c r="I3309" s="487" t="s">
        <v>1499</v>
      </c>
      <c r="J3309" s="487" t="s">
        <v>1256</v>
      </c>
    </row>
    <row r="3310" spans="1:10" ht="15" x14ac:dyDescent="0.2">
      <c r="A3310" s="486" t="s">
        <v>1255</v>
      </c>
      <c r="B3310" s="487" t="s">
        <v>1254</v>
      </c>
      <c r="C3310" s="488" t="s">
        <v>11318</v>
      </c>
      <c r="D3310" s="489" t="s">
        <v>11319</v>
      </c>
      <c r="E3310" s="487" t="s">
        <v>11320</v>
      </c>
      <c r="F3310" s="490">
        <v>12485</v>
      </c>
      <c r="G3310" s="489">
        <v>359.17</v>
      </c>
      <c r="H3310" s="489">
        <v>34.7607</v>
      </c>
      <c r="I3310" s="487" t="s">
        <v>1499</v>
      </c>
      <c r="J3310" s="487" t="s">
        <v>1256</v>
      </c>
    </row>
    <row r="3311" spans="1:10" ht="15" x14ac:dyDescent="0.2">
      <c r="A3311" s="486" t="s">
        <v>1255</v>
      </c>
      <c r="B3311" s="487" t="s">
        <v>1254</v>
      </c>
      <c r="C3311" s="488" t="s">
        <v>11321</v>
      </c>
      <c r="D3311" s="489" t="s">
        <v>11322</v>
      </c>
      <c r="E3311" s="487" t="s">
        <v>11323</v>
      </c>
      <c r="F3311" s="490">
        <v>32400</v>
      </c>
      <c r="G3311" s="489">
        <v>397.86</v>
      </c>
      <c r="H3311" s="489">
        <v>81.435680000000005</v>
      </c>
      <c r="I3311" s="487" t="s">
        <v>1499</v>
      </c>
      <c r="J3311" s="487" t="s">
        <v>1256</v>
      </c>
    </row>
    <row r="3312" spans="1:10" ht="15" x14ac:dyDescent="0.2">
      <c r="A3312" s="486" t="s">
        <v>1255</v>
      </c>
      <c r="B3312" s="487" t="s">
        <v>1254</v>
      </c>
      <c r="C3312" s="488" t="s">
        <v>11324</v>
      </c>
      <c r="D3312" s="489" t="s">
        <v>11325</v>
      </c>
      <c r="E3312" s="487" t="s">
        <v>11326</v>
      </c>
      <c r="F3312" s="490">
        <v>56106</v>
      </c>
      <c r="G3312" s="489">
        <v>1476.49</v>
      </c>
      <c r="H3312" s="489">
        <v>37.999580000000002</v>
      </c>
      <c r="I3312" s="487" t="s">
        <v>1499</v>
      </c>
      <c r="J3312" s="487" t="s">
        <v>1256</v>
      </c>
    </row>
    <row r="3313" spans="1:10" ht="15" x14ac:dyDescent="0.2">
      <c r="A3313" s="486" t="s">
        <v>1255</v>
      </c>
      <c r="B3313" s="487" t="s">
        <v>1254</v>
      </c>
      <c r="C3313" s="488" t="s">
        <v>11327</v>
      </c>
      <c r="D3313" s="489" t="s">
        <v>11328</v>
      </c>
      <c r="E3313" s="487" t="s">
        <v>11329</v>
      </c>
      <c r="F3313" s="490">
        <v>5720</v>
      </c>
      <c r="G3313" s="489">
        <v>115.15</v>
      </c>
      <c r="H3313" s="489">
        <v>49.674340000000001</v>
      </c>
      <c r="I3313" s="487" t="s">
        <v>1499</v>
      </c>
      <c r="J3313" s="487" t="s">
        <v>1256</v>
      </c>
    </row>
    <row r="3314" spans="1:10" ht="15" x14ac:dyDescent="0.2">
      <c r="A3314" s="486" t="s">
        <v>1255</v>
      </c>
      <c r="B3314" s="487" t="s">
        <v>1254</v>
      </c>
      <c r="C3314" s="488" t="s">
        <v>11330</v>
      </c>
      <c r="D3314" s="489" t="s">
        <v>11331</v>
      </c>
      <c r="E3314" s="487" t="s">
        <v>11332</v>
      </c>
      <c r="F3314" s="490">
        <v>11700</v>
      </c>
      <c r="G3314" s="489">
        <v>152.63</v>
      </c>
      <c r="H3314" s="489">
        <v>76.655969999999996</v>
      </c>
      <c r="I3314" s="487" t="s">
        <v>1499</v>
      </c>
      <c r="J3314" s="487" t="s">
        <v>1256</v>
      </c>
    </row>
    <row r="3315" spans="1:10" ht="15" x14ac:dyDescent="0.2">
      <c r="A3315" s="486" t="s">
        <v>1255</v>
      </c>
      <c r="B3315" s="487" t="s">
        <v>1254</v>
      </c>
      <c r="C3315" s="488" t="s">
        <v>11333</v>
      </c>
      <c r="D3315" s="489" t="s">
        <v>11334</v>
      </c>
      <c r="E3315" s="487" t="s">
        <v>11335</v>
      </c>
      <c r="F3315" s="490">
        <v>9020</v>
      </c>
      <c r="G3315" s="489">
        <v>312.08</v>
      </c>
      <c r="H3315" s="489">
        <v>28.902850000000001</v>
      </c>
      <c r="I3315" s="487" t="s">
        <v>1499</v>
      </c>
      <c r="J3315" s="487" t="s">
        <v>1256</v>
      </c>
    </row>
    <row r="3316" spans="1:10" ht="15" x14ac:dyDescent="0.2">
      <c r="A3316" s="486" t="s">
        <v>1255</v>
      </c>
      <c r="B3316" s="487" t="s">
        <v>1254</v>
      </c>
      <c r="C3316" s="488" t="s">
        <v>11336</v>
      </c>
      <c r="D3316" s="489" t="s">
        <v>11337</v>
      </c>
      <c r="E3316" s="487" t="s">
        <v>8610</v>
      </c>
      <c r="F3316" s="490">
        <v>53130</v>
      </c>
      <c r="G3316" s="489">
        <v>426.37</v>
      </c>
      <c r="H3316" s="489">
        <v>124.61008</v>
      </c>
      <c r="I3316" s="487" t="s">
        <v>1499</v>
      </c>
      <c r="J3316" s="487" t="s">
        <v>1256</v>
      </c>
    </row>
    <row r="3317" spans="1:10" ht="15" x14ac:dyDescent="0.2">
      <c r="A3317" s="486" t="s">
        <v>1255</v>
      </c>
      <c r="B3317" s="487" t="s">
        <v>1254</v>
      </c>
      <c r="C3317" s="488" t="s">
        <v>11338</v>
      </c>
      <c r="D3317" s="489" t="s">
        <v>11339</v>
      </c>
      <c r="E3317" s="487" t="s">
        <v>6337</v>
      </c>
      <c r="F3317" s="490">
        <v>46805</v>
      </c>
      <c r="G3317" s="489">
        <v>373.87</v>
      </c>
      <c r="H3317" s="489">
        <v>125.19056999999999</v>
      </c>
      <c r="I3317" s="487" t="s">
        <v>1499</v>
      </c>
      <c r="J3317" s="487" t="s">
        <v>1256</v>
      </c>
    </row>
    <row r="3318" spans="1:10" ht="15" x14ac:dyDescent="0.2">
      <c r="A3318" s="486" t="s">
        <v>1255</v>
      </c>
      <c r="B3318" s="487" t="s">
        <v>1254</v>
      </c>
      <c r="C3318" s="488" t="s">
        <v>11340</v>
      </c>
      <c r="D3318" s="489" t="s">
        <v>11341</v>
      </c>
      <c r="E3318" s="487" t="s">
        <v>11342</v>
      </c>
      <c r="F3318" s="490">
        <v>65505</v>
      </c>
      <c r="G3318" s="489">
        <v>987.81</v>
      </c>
      <c r="H3318" s="489">
        <v>66.313360000000003</v>
      </c>
      <c r="I3318" s="487" t="s">
        <v>1499</v>
      </c>
      <c r="J3318" s="487" t="s">
        <v>1256</v>
      </c>
    </row>
    <row r="3319" spans="1:10" ht="15" x14ac:dyDescent="0.2">
      <c r="A3319" s="486" t="s">
        <v>1255</v>
      </c>
      <c r="B3319" s="487" t="s">
        <v>1254</v>
      </c>
      <c r="C3319" s="488" t="s">
        <v>11343</v>
      </c>
      <c r="D3319" s="489" t="s">
        <v>11344</v>
      </c>
      <c r="E3319" s="487" t="s">
        <v>1798</v>
      </c>
      <c r="F3319" s="490">
        <v>135992</v>
      </c>
      <c r="G3319" s="489">
        <v>582.22</v>
      </c>
      <c r="H3319" s="489">
        <v>233.57494</v>
      </c>
      <c r="I3319" s="487" t="s">
        <v>1499</v>
      </c>
      <c r="J3319" s="487" t="s">
        <v>1256</v>
      </c>
    </row>
    <row r="3320" spans="1:10" ht="15" x14ac:dyDescent="0.2">
      <c r="A3320" s="486" t="s">
        <v>1255</v>
      </c>
      <c r="B3320" s="487" t="s">
        <v>1254</v>
      </c>
      <c r="C3320" s="488" t="s">
        <v>11345</v>
      </c>
      <c r="D3320" s="489" t="s">
        <v>11346</v>
      </c>
      <c r="E3320" s="487" t="s">
        <v>11347</v>
      </c>
      <c r="F3320" s="490">
        <v>40322</v>
      </c>
      <c r="G3320" s="489">
        <v>673.28</v>
      </c>
      <c r="H3320" s="489">
        <v>59.8889</v>
      </c>
      <c r="I3320" s="487" t="s">
        <v>1499</v>
      </c>
      <c r="J3320" s="487" t="s">
        <v>1256</v>
      </c>
    </row>
    <row r="3321" spans="1:10" ht="15" x14ac:dyDescent="0.2">
      <c r="A3321" s="486" t="s">
        <v>1255</v>
      </c>
      <c r="B3321" s="487" t="s">
        <v>1254</v>
      </c>
      <c r="C3321" s="488" t="s">
        <v>11348</v>
      </c>
      <c r="D3321" s="489" t="s">
        <v>11349</v>
      </c>
      <c r="E3321" s="487" t="s">
        <v>11350</v>
      </c>
      <c r="F3321" s="490">
        <v>5000</v>
      </c>
      <c r="G3321" s="489">
        <v>144.72</v>
      </c>
      <c r="H3321" s="489">
        <v>34.549469999999999</v>
      </c>
      <c r="I3321" s="487" t="s">
        <v>1499</v>
      </c>
      <c r="J3321" s="487" t="s">
        <v>1256</v>
      </c>
    </row>
    <row r="3322" spans="1:10" ht="15" x14ac:dyDescent="0.2">
      <c r="A3322" s="486" t="s">
        <v>1255</v>
      </c>
      <c r="B3322" s="487" t="s">
        <v>1254</v>
      </c>
      <c r="C3322" s="488" t="s">
        <v>11351</v>
      </c>
      <c r="D3322" s="489" t="s">
        <v>11352</v>
      </c>
      <c r="E3322" s="487" t="s">
        <v>11353</v>
      </c>
      <c r="F3322" s="490">
        <v>264282</v>
      </c>
      <c r="G3322" s="489">
        <v>2616.79</v>
      </c>
      <c r="H3322" s="489">
        <v>100.99473</v>
      </c>
      <c r="I3322" s="487" t="s">
        <v>1499</v>
      </c>
      <c r="J3322" s="487" t="s">
        <v>1256</v>
      </c>
    </row>
    <row r="3323" spans="1:10" ht="15" x14ac:dyDescent="0.2">
      <c r="A3323" s="486" t="s">
        <v>1255</v>
      </c>
      <c r="B3323" s="487" t="s">
        <v>1254</v>
      </c>
      <c r="C3323" s="488" t="s">
        <v>11354</v>
      </c>
      <c r="D3323" s="489" t="s">
        <v>11355</v>
      </c>
      <c r="E3323" s="487" t="s">
        <v>11356</v>
      </c>
      <c r="F3323" s="490">
        <v>12696</v>
      </c>
      <c r="G3323" s="489">
        <v>198.44</v>
      </c>
      <c r="H3323" s="489">
        <v>63.979039999999998</v>
      </c>
      <c r="I3323" s="487" t="s">
        <v>1499</v>
      </c>
      <c r="J3323" s="487" t="s">
        <v>1256</v>
      </c>
    </row>
    <row r="3324" spans="1:10" ht="15" x14ac:dyDescent="0.2">
      <c r="A3324" s="486" t="s">
        <v>1255</v>
      </c>
      <c r="B3324" s="487" t="s">
        <v>1254</v>
      </c>
      <c r="C3324" s="488" t="s">
        <v>11357</v>
      </c>
      <c r="D3324" s="489" t="s">
        <v>11358</v>
      </c>
      <c r="E3324" s="487" t="s">
        <v>11359</v>
      </c>
      <c r="F3324" s="490">
        <v>7500</v>
      </c>
      <c r="G3324" s="489">
        <v>83.87</v>
      </c>
      <c r="H3324" s="489">
        <v>89.424109999999999</v>
      </c>
      <c r="I3324" s="487" t="s">
        <v>1499</v>
      </c>
      <c r="J3324" s="487" t="s">
        <v>1256</v>
      </c>
    </row>
    <row r="3325" spans="1:10" ht="15" x14ac:dyDescent="0.2">
      <c r="A3325" s="486" t="s">
        <v>1255</v>
      </c>
      <c r="B3325" s="487" t="s">
        <v>1254</v>
      </c>
      <c r="C3325" s="488" t="s">
        <v>11360</v>
      </c>
      <c r="D3325" s="489" t="s">
        <v>11361</v>
      </c>
      <c r="E3325" s="487" t="s">
        <v>11362</v>
      </c>
      <c r="F3325" s="490">
        <v>491059</v>
      </c>
      <c r="G3325" s="489">
        <v>2176.65</v>
      </c>
      <c r="H3325" s="489">
        <v>225.60310999999999</v>
      </c>
      <c r="I3325" s="487" t="s">
        <v>1499</v>
      </c>
      <c r="J3325" s="487" t="s">
        <v>1256</v>
      </c>
    </row>
    <row r="3326" spans="1:10" ht="15" x14ac:dyDescent="0.2">
      <c r="A3326" s="486" t="s">
        <v>1255</v>
      </c>
      <c r="B3326" s="487" t="s">
        <v>1254</v>
      </c>
      <c r="C3326" s="488" t="s">
        <v>11363</v>
      </c>
      <c r="D3326" s="489" t="s">
        <v>11364</v>
      </c>
      <c r="E3326" s="487" t="s">
        <v>11365</v>
      </c>
      <c r="F3326" s="490">
        <v>21730</v>
      </c>
      <c r="G3326" s="489">
        <v>402.26</v>
      </c>
      <c r="H3326" s="489">
        <v>54.01979</v>
      </c>
      <c r="I3326" s="487" t="s">
        <v>1499</v>
      </c>
      <c r="J3326" s="487" t="s">
        <v>1256</v>
      </c>
    </row>
    <row r="3327" spans="1:10" ht="15" x14ac:dyDescent="0.2">
      <c r="A3327" s="486" t="s">
        <v>1255</v>
      </c>
      <c r="B3327" s="487" t="s">
        <v>1254</v>
      </c>
      <c r="C3327" s="488" t="s">
        <v>11366</v>
      </c>
      <c r="D3327" s="489" t="s">
        <v>11367</v>
      </c>
      <c r="E3327" s="487" t="s">
        <v>11368</v>
      </c>
      <c r="F3327" s="490">
        <v>12000</v>
      </c>
      <c r="G3327" s="489">
        <v>172.32</v>
      </c>
      <c r="H3327" s="489">
        <v>69.637879999999996</v>
      </c>
      <c r="I3327" s="487" t="s">
        <v>1499</v>
      </c>
      <c r="J3327" s="487" t="s">
        <v>1256</v>
      </c>
    </row>
    <row r="3328" spans="1:10" ht="15" x14ac:dyDescent="0.2">
      <c r="A3328" s="486" t="s">
        <v>1255</v>
      </c>
      <c r="B3328" s="487" t="s">
        <v>1254</v>
      </c>
      <c r="C3328" s="488" t="s">
        <v>11369</v>
      </c>
      <c r="D3328" s="489" t="s">
        <v>11370</v>
      </c>
      <c r="E3328" s="487" t="s">
        <v>11371</v>
      </c>
      <c r="F3328" s="490">
        <v>0</v>
      </c>
      <c r="G3328" s="489">
        <v>22.76</v>
      </c>
      <c r="H3328" s="489">
        <v>0</v>
      </c>
      <c r="I3328" s="487" t="s">
        <v>1593</v>
      </c>
      <c r="J3328" s="487" t="s">
        <v>1256</v>
      </c>
    </row>
    <row r="3329" spans="1:10" ht="15" x14ac:dyDescent="0.2">
      <c r="A3329" s="486" t="s">
        <v>1255</v>
      </c>
      <c r="B3329" s="487" t="s">
        <v>1254</v>
      </c>
      <c r="C3329" s="488" t="s">
        <v>11372</v>
      </c>
      <c r="D3329" s="489" t="s">
        <v>11373</v>
      </c>
      <c r="E3329" s="487" t="s">
        <v>11374</v>
      </c>
      <c r="F3329" s="490">
        <v>146800</v>
      </c>
      <c r="G3329" s="489">
        <v>1886.31</v>
      </c>
      <c r="H3329" s="489">
        <v>77.823899999999995</v>
      </c>
      <c r="I3329" s="487" t="s">
        <v>1499</v>
      </c>
      <c r="J3329" s="487" t="s">
        <v>1256</v>
      </c>
    </row>
    <row r="3330" spans="1:10" ht="15" x14ac:dyDescent="0.2">
      <c r="A3330" s="486" t="s">
        <v>1255</v>
      </c>
      <c r="B3330" s="487" t="s">
        <v>1254</v>
      </c>
      <c r="C3330" s="488" t="s">
        <v>11375</v>
      </c>
      <c r="D3330" s="489" t="s">
        <v>11376</v>
      </c>
      <c r="E3330" s="487" t="s">
        <v>11377</v>
      </c>
      <c r="F3330" s="490">
        <v>6250</v>
      </c>
      <c r="G3330" s="489">
        <v>134.85</v>
      </c>
      <c r="H3330" s="489">
        <v>46.347790000000003</v>
      </c>
      <c r="I3330" s="487" t="s">
        <v>1499</v>
      </c>
      <c r="J3330" s="487" t="s">
        <v>1256</v>
      </c>
    </row>
    <row r="3331" spans="1:10" ht="15" x14ac:dyDescent="0.2">
      <c r="A3331" s="486" t="s">
        <v>1255</v>
      </c>
      <c r="B3331" s="487" t="s">
        <v>1254</v>
      </c>
      <c r="C3331" s="488" t="s">
        <v>11378</v>
      </c>
      <c r="D3331" s="489" t="s">
        <v>11379</v>
      </c>
      <c r="E3331" s="487" t="s">
        <v>11380</v>
      </c>
      <c r="F3331" s="490">
        <v>17850</v>
      </c>
      <c r="G3331" s="489">
        <v>561.17999999999995</v>
      </c>
      <c r="H3331" s="489">
        <v>31.807980000000001</v>
      </c>
      <c r="I3331" s="487" t="s">
        <v>1499</v>
      </c>
      <c r="J3331" s="487" t="s">
        <v>1256</v>
      </c>
    </row>
    <row r="3332" spans="1:10" ht="15" x14ac:dyDescent="0.2">
      <c r="A3332" s="486" t="s">
        <v>1255</v>
      </c>
      <c r="B3332" s="487" t="s">
        <v>1254</v>
      </c>
      <c r="C3332" s="488" t="s">
        <v>11381</v>
      </c>
      <c r="D3332" s="489" t="s">
        <v>11382</v>
      </c>
      <c r="E3332" s="487" t="s">
        <v>11383</v>
      </c>
      <c r="F3332" s="490">
        <v>164050</v>
      </c>
      <c r="G3332" s="489">
        <v>2043.74</v>
      </c>
      <c r="H3332" s="489">
        <v>80.269509999999997</v>
      </c>
      <c r="I3332" s="487" t="s">
        <v>1499</v>
      </c>
      <c r="J3332" s="487" t="s">
        <v>1256</v>
      </c>
    </row>
    <row r="3333" spans="1:10" ht="15" x14ac:dyDescent="0.2">
      <c r="A3333" s="486" t="s">
        <v>1255</v>
      </c>
      <c r="B3333" s="487" t="s">
        <v>1254</v>
      </c>
      <c r="C3333" s="488" t="s">
        <v>11384</v>
      </c>
      <c r="D3333" s="489" t="s">
        <v>11385</v>
      </c>
      <c r="E3333" s="487" t="s">
        <v>11386</v>
      </c>
      <c r="F3333" s="490">
        <v>70670</v>
      </c>
      <c r="G3333" s="489">
        <v>475.66</v>
      </c>
      <c r="H3333" s="489">
        <v>148.57250999999999</v>
      </c>
      <c r="I3333" s="487" t="s">
        <v>1499</v>
      </c>
      <c r="J3333" s="487" t="s">
        <v>1256</v>
      </c>
    </row>
    <row r="3334" spans="1:10" ht="15" x14ac:dyDescent="0.2">
      <c r="A3334" s="486" t="s">
        <v>1255</v>
      </c>
      <c r="B3334" s="487" t="s">
        <v>1254</v>
      </c>
      <c r="C3334" s="488" t="s">
        <v>11387</v>
      </c>
      <c r="D3334" s="489" t="s">
        <v>11388</v>
      </c>
      <c r="E3334" s="487" t="s">
        <v>11389</v>
      </c>
      <c r="F3334" s="490">
        <v>16326</v>
      </c>
      <c r="G3334" s="489">
        <v>257.42</v>
      </c>
      <c r="H3334" s="489">
        <v>63.42165</v>
      </c>
      <c r="I3334" s="487" t="s">
        <v>1499</v>
      </c>
      <c r="J3334" s="487" t="s">
        <v>1256</v>
      </c>
    </row>
    <row r="3335" spans="1:10" ht="15" x14ac:dyDescent="0.2">
      <c r="A3335" s="486" t="s">
        <v>1255</v>
      </c>
      <c r="B3335" s="487" t="s">
        <v>1254</v>
      </c>
      <c r="C3335" s="488" t="s">
        <v>11390</v>
      </c>
      <c r="D3335" s="489" t="s">
        <v>11391</v>
      </c>
      <c r="E3335" s="487" t="s">
        <v>11392</v>
      </c>
      <c r="F3335" s="490">
        <v>10413</v>
      </c>
      <c r="G3335" s="489">
        <v>216.88</v>
      </c>
      <c r="H3335" s="489">
        <v>48.012729999999998</v>
      </c>
      <c r="I3335" s="487" t="s">
        <v>1499</v>
      </c>
      <c r="J3335" s="487" t="s">
        <v>1256</v>
      </c>
    </row>
    <row r="3336" spans="1:10" ht="15" x14ac:dyDescent="0.2">
      <c r="A3336" s="486" t="s">
        <v>1255</v>
      </c>
      <c r="B3336" s="487" t="s">
        <v>1254</v>
      </c>
      <c r="C3336" s="488" t="s">
        <v>11393</v>
      </c>
      <c r="D3336" s="489" t="s">
        <v>11394</v>
      </c>
      <c r="E3336" s="487" t="s">
        <v>11395</v>
      </c>
      <c r="F3336" s="490">
        <v>410133</v>
      </c>
      <c r="G3336" s="489">
        <v>2319.52</v>
      </c>
      <c r="H3336" s="489">
        <v>176.81805</v>
      </c>
      <c r="I3336" s="487" t="s">
        <v>1499</v>
      </c>
      <c r="J3336" s="487" t="s">
        <v>1256</v>
      </c>
    </row>
    <row r="3337" spans="1:10" ht="15" x14ac:dyDescent="0.2">
      <c r="A3337" s="486" t="s">
        <v>1255</v>
      </c>
      <c r="B3337" s="487" t="s">
        <v>1254</v>
      </c>
      <c r="C3337" s="488" t="s">
        <v>11396</v>
      </c>
      <c r="D3337" s="489" t="s">
        <v>11397</v>
      </c>
      <c r="E3337" s="487" t="s">
        <v>1254</v>
      </c>
      <c r="F3337" s="490">
        <v>1072385</v>
      </c>
      <c r="G3337" s="489">
        <v>4398.18</v>
      </c>
      <c r="H3337" s="489">
        <v>243.82472000000001</v>
      </c>
      <c r="I3337" s="487" t="s">
        <v>1499</v>
      </c>
      <c r="J3337" s="487" t="s">
        <v>1256</v>
      </c>
    </row>
    <row r="3338" spans="1:10" ht="15" x14ac:dyDescent="0.2">
      <c r="A3338" s="486" t="s">
        <v>1255</v>
      </c>
      <c r="B3338" s="487" t="s">
        <v>1254</v>
      </c>
      <c r="C3338" s="488" t="s">
        <v>11398</v>
      </c>
      <c r="D3338" s="489" t="s">
        <v>11399</v>
      </c>
      <c r="E3338" s="487" t="s">
        <v>11400</v>
      </c>
      <c r="F3338" s="490">
        <v>34062</v>
      </c>
      <c r="G3338" s="489">
        <v>549.67999999999995</v>
      </c>
      <c r="H3338" s="489">
        <v>61.96696</v>
      </c>
      <c r="I3338" s="487" t="s">
        <v>1499</v>
      </c>
      <c r="J3338" s="487" t="s">
        <v>1256</v>
      </c>
    </row>
    <row r="3339" spans="1:10" ht="15" x14ac:dyDescent="0.2">
      <c r="A3339" s="486" t="s">
        <v>1255</v>
      </c>
      <c r="B3339" s="487" t="s">
        <v>1254</v>
      </c>
      <c r="C3339" s="488" t="s">
        <v>11401</v>
      </c>
      <c r="D3339" s="489" t="s">
        <v>11402</v>
      </c>
      <c r="E3339" s="487" t="s">
        <v>11403</v>
      </c>
      <c r="F3339" s="490">
        <v>50000</v>
      </c>
      <c r="G3339" s="489">
        <v>1224.57</v>
      </c>
      <c r="H3339" s="489">
        <v>40.830660000000002</v>
      </c>
      <c r="I3339" s="487" t="s">
        <v>1499</v>
      </c>
      <c r="J3339" s="487" t="s">
        <v>1256</v>
      </c>
    </row>
    <row r="3340" spans="1:10" ht="15" x14ac:dyDescent="0.2">
      <c r="A3340" s="486" t="s">
        <v>1255</v>
      </c>
      <c r="B3340" s="487" t="s">
        <v>1254</v>
      </c>
      <c r="C3340" s="488" t="s">
        <v>11404</v>
      </c>
      <c r="D3340" s="489" t="s">
        <v>11405</v>
      </c>
      <c r="E3340" s="487" t="s">
        <v>11406</v>
      </c>
      <c r="F3340" s="490">
        <v>44030</v>
      </c>
      <c r="G3340" s="489">
        <v>486.58</v>
      </c>
      <c r="H3340" s="489">
        <v>90.488720000000001</v>
      </c>
      <c r="I3340" s="487" t="s">
        <v>1499</v>
      </c>
      <c r="J3340" s="487" t="s">
        <v>1256</v>
      </c>
    </row>
    <row r="3341" spans="1:10" ht="15" x14ac:dyDescent="0.2">
      <c r="A3341" s="486" t="s">
        <v>1255</v>
      </c>
      <c r="B3341" s="487" t="s">
        <v>1254</v>
      </c>
      <c r="C3341" s="488" t="s">
        <v>11407</v>
      </c>
      <c r="D3341" s="489" t="s">
        <v>11408</v>
      </c>
      <c r="E3341" s="487" t="s">
        <v>11409</v>
      </c>
      <c r="F3341" s="490">
        <v>17800</v>
      </c>
      <c r="G3341" s="489">
        <v>384.16</v>
      </c>
      <c r="H3341" s="489">
        <v>46.334859999999999</v>
      </c>
      <c r="I3341" s="487" t="s">
        <v>1499</v>
      </c>
      <c r="J3341" s="487" t="s">
        <v>1256</v>
      </c>
    </row>
    <row r="3342" spans="1:10" ht="15" x14ac:dyDescent="0.2">
      <c r="A3342" s="486" t="s">
        <v>1255</v>
      </c>
      <c r="B3342" s="487" t="s">
        <v>1254</v>
      </c>
      <c r="C3342" s="488" t="s">
        <v>11410</v>
      </c>
      <c r="D3342" s="489" t="s">
        <v>11411</v>
      </c>
      <c r="E3342" s="487" t="s">
        <v>11412</v>
      </c>
      <c r="F3342" s="490">
        <v>24780</v>
      </c>
      <c r="G3342" s="489">
        <v>603.95000000000005</v>
      </c>
      <c r="H3342" s="489">
        <v>41.029890000000002</v>
      </c>
      <c r="I3342" s="487" t="s">
        <v>1499</v>
      </c>
      <c r="J3342" s="487" t="s">
        <v>1256</v>
      </c>
    </row>
    <row r="3343" spans="1:10" ht="15" x14ac:dyDescent="0.2">
      <c r="A3343" s="486" t="s">
        <v>1255</v>
      </c>
      <c r="B3343" s="487" t="s">
        <v>1254</v>
      </c>
      <c r="C3343" s="488" t="s">
        <v>11413</v>
      </c>
      <c r="D3343" s="489" t="s">
        <v>11414</v>
      </c>
      <c r="E3343" s="487" t="s">
        <v>11415</v>
      </c>
      <c r="F3343" s="490">
        <v>526688</v>
      </c>
      <c r="G3343" s="489">
        <v>2141.2399999999998</v>
      </c>
      <c r="H3343" s="489">
        <v>245.97336000000001</v>
      </c>
      <c r="I3343" s="487" t="s">
        <v>1499</v>
      </c>
      <c r="J3343" s="487" t="s">
        <v>1256</v>
      </c>
    </row>
    <row r="3344" spans="1:10" ht="15" x14ac:dyDescent="0.2">
      <c r="A3344" s="486" t="s">
        <v>1255</v>
      </c>
      <c r="B3344" s="487" t="s">
        <v>1254</v>
      </c>
      <c r="C3344" s="488" t="s">
        <v>11416</v>
      </c>
      <c r="D3344" s="489" t="s">
        <v>11417</v>
      </c>
      <c r="E3344" s="487" t="s">
        <v>11418</v>
      </c>
      <c r="F3344" s="490">
        <v>55620</v>
      </c>
      <c r="G3344" s="489">
        <v>1051.95</v>
      </c>
      <c r="H3344" s="489">
        <v>52.873240000000003</v>
      </c>
      <c r="I3344" s="487" t="s">
        <v>1499</v>
      </c>
      <c r="J3344" s="487" t="s">
        <v>1256</v>
      </c>
    </row>
    <row r="3345" spans="1:10" ht="15" x14ac:dyDescent="0.2">
      <c r="A3345" s="486" t="s">
        <v>1255</v>
      </c>
      <c r="B3345" s="487" t="s">
        <v>1254</v>
      </c>
      <c r="C3345" s="488" t="s">
        <v>11419</v>
      </c>
      <c r="D3345" s="489" t="s">
        <v>11420</v>
      </c>
      <c r="E3345" s="487" t="s">
        <v>11421</v>
      </c>
      <c r="F3345" s="490">
        <v>68185</v>
      </c>
      <c r="G3345" s="489">
        <v>960.81</v>
      </c>
      <c r="H3345" s="489">
        <v>70.966160000000002</v>
      </c>
      <c r="I3345" s="487" t="s">
        <v>1499</v>
      </c>
      <c r="J3345" s="487" t="s">
        <v>1256</v>
      </c>
    </row>
    <row r="3346" spans="1:10" ht="15" x14ac:dyDescent="0.2">
      <c r="A3346" s="486" t="s">
        <v>1296</v>
      </c>
      <c r="B3346" s="487" t="s">
        <v>1295</v>
      </c>
      <c r="C3346" s="488" t="s">
        <v>11422</v>
      </c>
      <c r="D3346" s="489" t="s">
        <v>11423</v>
      </c>
      <c r="E3346" s="487" t="s">
        <v>11424</v>
      </c>
      <c r="F3346" s="490">
        <v>20950</v>
      </c>
      <c r="G3346" s="489">
        <v>446.69</v>
      </c>
      <c r="H3346" s="489">
        <v>46.900539999999999</v>
      </c>
      <c r="I3346" s="487" t="s">
        <v>1499</v>
      </c>
      <c r="J3346" s="487" t="s">
        <v>1297</v>
      </c>
    </row>
    <row r="3347" spans="1:10" ht="15" x14ac:dyDescent="0.2">
      <c r="A3347" s="486" t="s">
        <v>1296</v>
      </c>
      <c r="B3347" s="487" t="s">
        <v>1295</v>
      </c>
      <c r="C3347" s="488" t="s">
        <v>11425</v>
      </c>
      <c r="D3347" s="489" t="s">
        <v>11426</v>
      </c>
      <c r="E3347" s="487" t="s">
        <v>11427</v>
      </c>
      <c r="F3347" s="490">
        <v>87560</v>
      </c>
      <c r="G3347" s="489">
        <v>675.8</v>
      </c>
      <c r="H3347" s="489">
        <v>129.56496000000001</v>
      </c>
      <c r="I3347" s="487" t="s">
        <v>1499</v>
      </c>
      <c r="J3347" s="487" t="s">
        <v>1297</v>
      </c>
    </row>
    <row r="3348" spans="1:10" ht="15" x14ac:dyDescent="0.2">
      <c r="A3348" s="486" t="s">
        <v>1296</v>
      </c>
      <c r="B3348" s="487" t="s">
        <v>1295</v>
      </c>
      <c r="C3348" s="488" t="s">
        <v>11428</v>
      </c>
      <c r="D3348" s="489" t="s">
        <v>11429</v>
      </c>
      <c r="E3348" s="487" t="s">
        <v>11430</v>
      </c>
      <c r="F3348" s="490">
        <v>6300</v>
      </c>
      <c r="G3348" s="489">
        <v>264.88</v>
      </c>
      <c r="H3348" s="489">
        <v>23.78436</v>
      </c>
      <c r="I3348" s="487" t="s">
        <v>1499</v>
      </c>
      <c r="J3348" s="487" t="s">
        <v>1297</v>
      </c>
    </row>
    <row r="3349" spans="1:10" ht="15" x14ac:dyDescent="0.2">
      <c r="A3349" s="486" t="s">
        <v>1296</v>
      </c>
      <c r="B3349" s="487" t="s">
        <v>1295</v>
      </c>
      <c r="C3349" s="488" t="s">
        <v>11431</v>
      </c>
      <c r="D3349" s="489" t="s">
        <v>11432</v>
      </c>
      <c r="E3349" s="487" t="s">
        <v>11433</v>
      </c>
      <c r="F3349" s="490">
        <v>15150</v>
      </c>
      <c r="G3349" s="489">
        <v>809.62</v>
      </c>
      <c r="H3349" s="489">
        <v>18.712479999999999</v>
      </c>
      <c r="I3349" s="487" t="s">
        <v>1499</v>
      </c>
      <c r="J3349" s="487" t="s">
        <v>1297</v>
      </c>
    </row>
    <row r="3350" spans="1:10" ht="15" x14ac:dyDescent="0.2">
      <c r="A3350" s="486" t="s">
        <v>1296</v>
      </c>
      <c r="B3350" s="487" t="s">
        <v>1295</v>
      </c>
      <c r="C3350" s="488" t="s">
        <v>11434</v>
      </c>
      <c r="D3350" s="489" t="s">
        <v>11435</v>
      </c>
      <c r="E3350" s="487" t="s">
        <v>11436</v>
      </c>
      <c r="F3350" s="490">
        <v>522700</v>
      </c>
      <c r="G3350" s="489">
        <v>5428.22</v>
      </c>
      <c r="H3350" s="489">
        <v>96.293080000000003</v>
      </c>
      <c r="I3350" s="487" t="s">
        <v>1499</v>
      </c>
      <c r="J3350" s="487" t="s">
        <v>1297</v>
      </c>
    </row>
    <row r="3351" spans="1:10" ht="15" x14ac:dyDescent="0.2">
      <c r="A3351" s="486" t="s">
        <v>1296</v>
      </c>
      <c r="B3351" s="487" t="s">
        <v>1295</v>
      </c>
      <c r="C3351" s="488" t="s">
        <v>11437</v>
      </c>
      <c r="D3351" s="489" t="s">
        <v>11438</v>
      </c>
      <c r="E3351" s="487" t="s">
        <v>11439</v>
      </c>
      <c r="F3351" s="490">
        <v>3665</v>
      </c>
      <c r="G3351" s="489">
        <v>136.72999999999999</v>
      </c>
      <c r="H3351" s="489">
        <v>26.804649999999999</v>
      </c>
      <c r="I3351" s="487" t="s">
        <v>1499</v>
      </c>
      <c r="J3351" s="487" t="s">
        <v>1297</v>
      </c>
    </row>
    <row r="3352" spans="1:10" ht="15" x14ac:dyDescent="0.2">
      <c r="A3352" s="486" t="s">
        <v>1296</v>
      </c>
      <c r="B3352" s="487" t="s">
        <v>1295</v>
      </c>
      <c r="C3352" s="488" t="s">
        <v>11440</v>
      </c>
      <c r="D3352" s="489" t="s">
        <v>11441</v>
      </c>
      <c r="E3352" s="487" t="s">
        <v>11442</v>
      </c>
      <c r="F3352" s="490">
        <v>333900</v>
      </c>
      <c r="G3352" s="489">
        <v>3371.37</v>
      </c>
      <c r="H3352" s="489">
        <v>99.039860000000004</v>
      </c>
      <c r="I3352" s="487" t="s">
        <v>1499</v>
      </c>
      <c r="J3352" s="487" t="s">
        <v>1297</v>
      </c>
    </row>
    <row r="3353" spans="1:10" ht="15" x14ac:dyDescent="0.2">
      <c r="A3353" s="486" t="s">
        <v>1296</v>
      </c>
      <c r="B3353" s="487" t="s">
        <v>1295</v>
      </c>
      <c r="C3353" s="488" t="s">
        <v>11443</v>
      </c>
      <c r="D3353" s="489" t="s">
        <v>11444</v>
      </c>
      <c r="E3353" s="487" t="s">
        <v>2815</v>
      </c>
      <c r="F3353" s="490">
        <v>9750</v>
      </c>
      <c r="G3353" s="489">
        <v>174.59</v>
      </c>
      <c r="H3353" s="489">
        <v>55.845120000000001</v>
      </c>
      <c r="I3353" s="487" t="s">
        <v>1499</v>
      </c>
      <c r="J3353" s="487" t="s">
        <v>1297</v>
      </c>
    </row>
    <row r="3354" spans="1:10" ht="15" x14ac:dyDescent="0.2">
      <c r="A3354" s="486" t="s">
        <v>1296</v>
      </c>
      <c r="B3354" s="487" t="s">
        <v>1295</v>
      </c>
      <c r="C3354" s="488" t="s">
        <v>11445</v>
      </c>
      <c r="D3354" s="489" t="s">
        <v>11446</v>
      </c>
      <c r="E3354" s="487" t="s">
        <v>11447</v>
      </c>
      <c r="F3354" s="490">
        <v>4500</v>
      </c>
      <c r="G3354" s="489">
        <v>58.91</v>
      </c>
      <c r="H3354" s="489">
        <v>76.387709999999998</v>
      </c>
      <c r="I3354" s="487" t="s">
        <v>1499</v>
      </c>
      <c r="J3354" s="487" t="s">
        <v>1297</v>
      </c>
    </row>
    <row r="3355" spans="1:10" ht="15" x14ac:dyDescent="0.2">
      <c r="A3355" s="486" t="s">
        <v>1296</v>
      </c>
      <c r="B3355" s="487" t="s">
        <v>1295</v>
      </c>
      <c r="C3355" s="488" t="s">
        <v>11448</v>
      </c>
      <c r="D3355" s="489" t="s">
        <v>11449</v>
      </c>
      <c r="E3355" s="487" t="s">
        <v>11450</v>
      </c>
      <c r="F3355" s="490">
        <v>265800</v>
      </c>
      <c r="G3355" s="489">
        <v>4243.24</v>
      </c>
      <c r="H3355" s="489">
        <v>62.640810000000002</v>
      </c>
      <c r="I3355" s="487" t="s">
        <v>1499</v>
      </c>
      <c r="J3355" s="487" t="s">
        <v>1297</v>
      </c>
    </row>
    <row r="3356" spans="1:10" ht="15" x14ac:dyDescent="0.2">
      <c r="A3356" s="486" t="s">
        <v>1296</v>
      </c>
      <c r="B3356" s="487" t="s">
        <v>1295</v>
      </c>
      <c r="C3356" s="488" t="s">
        <v>11451</v>
      </c>
      <c r="D3356" s="489" t="s">
        <v>11452</v>
      </c>
      <c r="E3356" s="487" t="s">
        <v>11453</v>
      </c>
      <c r="F3356" s="490">
        <v>9713</v>
      </c>
      <c r="G3356" s="489">
        <v>426.66</v>
      </c>
      <c r="H3356" s="489">
        <v>22.7652</v>
      </c>
      <c r="I3356" s="487" t="s">
        <v>1499</v>
      </c>
      <c r="J3356" s="487" t="s">
        <v>1297</v>
      </c>
    </row>
    <row r="3357" spans="1:10" ht="15" x14ac:dyDescent="0.2">
      <c r="A3357" s="486" t="s">
        <v>1296</v>
      </c>
      <c r="B3357" s="487" t="s">
        <v>1295</v>
      </c>
      <c r="C3357" s="488" t="s">
        <v>11454</v>
      </c>
      <c r="D3357" s="489" t="s">
        <v>11455</v>
      </c>
      <c r="E3357" s="487" t="s">
        <v>11456</v>
      </c>
      <c r="F3357" s="490">
        <v>6500</v>
      </c>
      <c r="G3357" s="489">
        <v>284.75</v>
      </c>
      <c r="H3357" s="489">
        <v>22.82704</v>
      </c>
      <c r="I3357" s="487" t="s">
        <v>1499</v>
      </c>
      <c r="J3357" s="487" t="s">
        <v>1297</v>
      </c>
    </row>
    <row r="3358" spans="1:10" ht="15" x14ac:dyDescent="0.2">
      <c r="A3358" s="486" t="s">
        <v>1296</v>
      </c>
      <c r="B3358" s="487" t="s">
        <v>1295</v>
      </c>
      <c r="C3358" s="488" t="s">
        <v>11457</v>
      </c>
      <c r="D3358" s="489" t="s">
        <v>11458</v>
      </c>
      <c r="E3358" s="487" t="s">
        <v>11459</v>
      </c>
      <c r="F3358" s="490">
        <v>18700</v>
      </c>
      <c r="G3358" s="489">
        <v>241.97</v>
      </c>
      <c r="H3358" s="489">
        <v>77.282309999999995</v>
      </c>
      <c r="I3358" s="487" t="s">
        <v>1499</v>
      </c>
      <c r="J3358" s="487" t="s">
        <v>1297</v>
      </c>
    </row>
    <row r="3359" spans="1:10" ht="15" x14ac:dyDescent="0.2">
      <c r="A3359" s="486" t="s">
        <v>1296</v>
      </c>
      <c r="B3359" s="487" t="s">
        <v>1295</v>
      </c>
      <c r="C3359" s="488" t="s">
        <v>11460</v>
      </c>
      <c r="D3359" s="489" t="s">
        <v>11461</v>
      </c>
      <c r="E3359" s="487" t="s">
        <v>11462</v>
      </c>
      <c r="F3359" s="490">
        <v>3730</v>
      </c>
      <c r="G3359" s="489">
        <v>120.95</v>
      </c>
      <c r="H3359" s="489">
        <v>30.839189999999999</v>
      </c>
      <c r="I3359" s="487" t="s">
        <v>1499</v>
      </c>
      <c r="J3359" s="487" t="s">
        <v>1297</v>
      </c>
    </row>
    <row r="3360" spans="1:10" ht="15" x14ac:dyDescent="0.2">
      <c r="A3360" s="486" t="s">
        <v>1296</v>
      </c>
      <c r="B3360" s="487" t="s">
        <v>1295</v>
      </c>
      <c r="C3360" s="488" t="s">
        <v>11463</v>
      </c>
      <c r="D3360" s="489" t="s">
        <v>11464</v>
      </c>
      <c r="E3360" s="487" t="s">
        <v>11465</v>
      </c>
      <c r="F3360" s="490">
        <v>3500</v>
      </c>
      <c r="G3360" s="489">
        <v>77.36</v>
      </c>
      <c r="H3360" s="489">
        <v>45.243020000000001</v>
      </c>
      <c r="I3360" s="487" t="s">
        <v>1499</v>
      </c>
      <c r="J3360" s="487" t="s">
        <v>1297</v>
      </c>
    </row>
    <row r="3361" spans="1:10" ht="15" x14ac:dyDescent="0.2">
      <c r="A3361" s="486" t="s">
        <v>1296</v>
      </c>
      <c r="B3361" s="487" t="s">
        <v>1295</v>
      </c>
      <c r="C3361" s="488" t="s">
        <v>11466</v>
      </c>
      <c r="D3361" s="489" t="s">
        <v>11467</v>
      </c>
      <c r="E3361" s="487" t="s">
        <v>11468</v>
      </c>
      <c r="F3361" s="490">
        <v>19943</v>
      </c>
      <c r="G3361" s="489">
        <v>632.07000000000005</v>
      </c>
      <c r="H3361" s="489">
        <v>31.55189</v>
      </c>
      <c r="I3361" s="487" t="s">
        <v>1499</v>
      </c>
      <c r="J3361" s="487" t="s">
        <v>1297</v>
      </c>
    </row>
    <row r="3362" spans="1:10" ht="15" x14ac:dyDescent="0.2">
      <c r="A3362" s="486" t="s">
        <v>1296</v>
      </c>
      <c r="B3362" s="487" t="s">
        <v>1295</v>
      </c>
      <c r="C3362" s="488" t="s">
        <v>11469</v>
      </c>
      <c r="D3362" s="489" t="s">
        <v>11470</v>
      </c>
      <c r="E3362" s="487" t="s">
        <v>11471</v>
      </c>
      <c r="F3362" s="490">
        <v>770</v>
      </c>
      <c r="G3362" s="489">
        <v>48.91</v>
      </c>
      <c r="H3362" s="489">
        <v>15.7432</v>
      </c>
      <c r="I3362" s="487" t="s">
        <v>1499</v>
      </c>
      <c r="J3362" s="487" t="s">
        <v>1297</v>
      </c>
    </row>
    <row r="3363" spans="1:10" ht="15" x14ac:dyDescent="0.2">
      <c r="A3363" s="486" t="s">
        <v>1296</v>
      </c>
      <c r="B3363" s="487" t="s">
        <v>1295</v>
      </c>
      <c r="C3363" s="488" t="s">
        <v>11472</v>
      </c>
      <c r="D3363" s="489" t="s">
        <v>11473</v>
      </c>
      <c r="E3363" s="487" t="s">
        <v>11474</v>
      </c>
      <c r="F3363" s="490">
        <v>12058</v>
      </c>
      <c r="G3363" s="489">
        <v>263</v>
      </c>
      <c r="H3363" s="489">
        <v>45.847909999999999</v>
      </c>
      <c r="I3363" s="487" t="s">
        <v>1499</v>
      </c>
      <c r="J3363" s="487" t="s">
        <v>1297</v>
      </c>
    </row>
    <row r="3364" spans="1:10" ht="15" x14ac:dyDescent="0.2">
      <c r="A3364" s="486" t="s">
        <v>1296</v>
      </c>
      <c r="B3364" s="487" t="s">
        <v>1295</v>
      </c>
      <c r="C3364" s="488" t="s">
        <v>11475</v>
      </c>
      <c r="D3364" s="489" t="s">
        <v>11476</v>
      </c>
      <c r="E3364" s="487" t="s">
        <v>11477</v>
      </c>
      <c r="F3364" s="490">
        <v>1660</v>
      </c>
      <c r="G3364" s="489">
        <v>65.510000000000005</v>
      </c>
      <c r="H3364" s="489">
        <v>25.339639999999999</v>
      </c>
      <c r="I3364" s="487" t="s">
        <v>1499</v>
      </c>
      <c r="J3364" s="487" t="s">
        <v>1297</v>
      </c>
    </row>
    <row r="3365" spans="1:10" ht="15" x14ac:dyDescent="0.2">
      <c r="A3365" s="486" t="s">
        <v>1296</v>
      </c>
      <c r="B3365" s="487" t="s">
        <v>1295</v>
      </c>
      <c r="C3365" s="488" t="s">
        <v>11478</v>
      </c>
      <c r="D3365" s="489" t="s">
        <v>11479</v>
      </c>
      <c r="E3365" s="487" t="s">
        <v>11480</v>
      </c>
      <c r="F3365" s="490">
        <v>0</v>
      </c>
      <c r="G3365" s="489">
        <v>101.81</v>
      </c>
      <c r="H3365" s="489">
        <v>0</v>
      </c>
      <c r="I3365" s="487" t="s">
        <v>1593</v>
      </c>
      <c r="J3365" s="487" t="s">
        <v>1297</v>
      </c>
    </row>
    <row r="3366" spans="1:10" ht="15" x14ac:dyDescent="0.2">
      <c r="A3366" s="486" t="s">
        <v>1296</v>
      </c>
      <c r="B3366" s="487" t="s">
        <v>1295</v>
      </c>
      <c r="C3366" s="488" t="s">
        <v>11481</v>
      </c>
      <c r="D3366" s="489" t="s">
        <v>11482</v>
      </c>
      <c r="E3366" s="487" t="s">
        <v>11483</v>
      </c>
      <c r="F3366" s="490">
        <v>54000</v>
      </c>
      <c r="G3366" s="489">
        <v>880.81</v>
      </c>
      <c r="H3366" s="489">
        <v>61.307209999999998</v>
      </c>
      <c r="I3366" s="487" t="s">
        <v>1499</v>
      </c>
      <c r="J3366" s="487" t="s">
        <v>1297</v>
      </c>
    </row>
    <row r="3367" spans="1:10" ht="15" x14ac:dyDescent="0.2">
      <c r="A3367" s="486" t="s">
        <v>1296</v>
      </c>
      <c r="B3367" s="487" t="s">
        <v>1295</v>
      </c>
      <c r="C3367" s="488" t="s">
        <v>11484</v>
      </c>
      <c r="D3367" s="489" t="s">
        <v>11485</v>
      </c>
      <c r="E3367" s="487" t="s">
        <v>11486</v>
      </c>
      <c r="F3367" s="490">
        <v>60320</v>
      </c>
      <c r="G3367" s="489">
        <v>1005.4</v>
      </c>
      <c r="H3367" s="489">
        <v>59.996020000000001</v>
      </c>
      <c r="I3367" s="487" t="s">
        <v>1499</v>
      </c>
      <c r="J3367" s="487" t="s">
        <v>1297</v>
      </c>
    </row>
    <row r="3368" spans="1:10" ht="15" x14ac:dyDescent="0.2">
      <c r="A3368" s="486" t="s">
        <v>1296</v>
      </c>
      <c r="B3368" s="487" t="s">
        <v>1295</v>
      </c>
      <c r="C3368" s="488" t="s">
        <v>11487</v>
      </c>
      <c r="D3368" s="489" t="s">
        <v>11488</v>
      </c>
      <c r="E3368" s="487" t="s">
        <v>11489</v>
      </c>
      <c r="F3368" s="490">
        <v>21000</v>
      </c>
      <c r="G3368" s="489">
        <v>1121.72</v>
      </c>
      <c r="H3368" s="489">
        <v>18.721250000000001</v>
      </c>
      <c r="I3368" s="487" t="s">
        <v>1499</v>
      </c>
      <c r="J3368" s="487" t="s">
        <v>1297</v>
      </c>
    </row>
    <row r="3369" spans="1:10" ht="15" x14ac:dyDescent="0.2">
      <c r="A3369" s="486" t="s">
        <v>1296</v>
      </c>
      <c r="B3369" s="487" t="s">
        <v>1295</v>
      </c>
      <c r="C3369" s="488" t="s">
        <v>11490</v>
      </c>
      <c r="D3369" s="489" t="s">
        <v>11491</v>
      </c>
      <c r="E3369" s="487" t="s">
        <v>8661</v>
      </c>
      <c r="F3369" s="490">
        <v>6415</v>
      </c>
      <c r="G3369" s="489">
        <v>209.47</v>
      </c>
      <c r="H3369" s="489">
        <v>30.62491</v>
      </c>
      <c r="I3369" s="487" t="s">
        <v>1499</v>
      </c>
      <c r="J3369" s="487" t="s">
        <v>1297</v>
      </c>
    </row>
    <row r="3370" spans="1:10" ht="15" x14ac:dyDescent="0.2">
      <c r="A3370" s="486" t="s">
        <v>1296</v>
      </c>
      <c r="B3370" s="487" t="s">
        <v>1295</v>
      </c>
      <c r="C3370" s="488" t="s">
        <v>11492</v>
      </c>
      <c r="D3370" s="489" t="s">
        <v>11493</v>
      </c>
      <c r="E3370" s="487" t="s">
        <v>6636</v>
      </c>
      <c r="F3370" s="490">
        <v>32030</v>
      </c>
      <c r="G3370" s="489">
        <v>891.37</v>
      </c>
      <c r="H3370" s="489">
        <v>35.933450000000001</v>
      </c>
      <c r="I3370" s="487" t="s">
        <v>1499</v>
      </c>
      <c r="J3370" s="487" t="s">
        <v>1297</v>
      </c>
    </row>
    <row r="3371" spans="1:10" ht="15" x14ac:dyDescent="0.2">
      <c r="A3371" s="486" t="s">
        <v>1296</v>
      </c>
      <c r="B3371" s="487" t="s">
        <v>1295</v>
      </c>
      <c r="C3371" s="488" t="s">
        <v>11494</v>
      </c>
      <c r="D3371" s="489" t="s">
        <v>11495</v>
      </c>
      <c r="E3371" s="487" t="s">
        <v>11496</v>
      </c>
      <c r="F3371" s="490">
        <v>8420</v>
      </c>
      <c r="G3371" s="489">
        <v>267.57</v>
      </c>
      <c r="H3371" s="489">
        <v>31.468399999999999</v>
      </c>
      <c r="I3371" s="487" t="s">
        <v>1499</v>
      </c>
      <c r="J3371" s="487" t="s">
        <v>1297</v>
      </c>
    </row>
    <row r="3372" spans="1:10" ht="15" x14ac:dyDescent="0.2">
      <c r="A3372" s="486" t="s">
        <v>1296</v>
      </c>
      <c r="B3372" s="487" t="s">
        <v>1295</v>
      </c>
      <c r="C3372" s="488" t="s">
        <v>11497</v>
      </c>
      <c r="D3372" s="489" t="s">
        <v>11498</v>
      </c>
      <c r="E3372" s="487" t="s">
        <v>11499</v>
      </c>
      <c r="F3372" s="490">
        <v>15348</v>
      </c>
      <c r="G3372" s="489">
        <v>255.79</v>
      </c>
      <c r="H3372" s="489">
        <v>60.00235</v>
      </c>
      <c r="I3372" s="487" t="s">
        <v>1499</v>
      </c>
      <c r="J3372" s="487" t="s">
        <v>1297</v>
      </c>
    </row>
    <row r="3373" spans="1:10" ht="15" x14ac:dyDescent="0.2">
      <c r="A3373" s="486" t="s">
        <v>1296</v>
      </c>
      <c r="B3373" s="487" t="s">
        <v>1295</v>
      </c>
      <c r="C3373" s="488" t="s">
        <v>11500</v>
      </c>
      <c r="D3373" s="489" t="s">
        <v>11501</v>
      </c>
      <c r="E3373" s="487" t="s">
        <v>11502</v>
      </c>
      <c r="F3373" s="490">
        <v>228230</v>
      </c>
      <c r="G3373" s="489">
        <v>1398.45</v>
      </c>
      <c r="H3373" s="489">
        <v>163.20212000000001</v>
      </c>
      <c r="I3373" s="487" t="s">
        <v>1499</v>
      </c>
      <c r="J3373" s="487" t="s">
        <v>1297</v>
      </c>
    </row>
    <row r="3374" spans="1:10" ht="15" x14ac:dyDescent="0.2">
      <c r="A3374" s="486" t="s">
        <v>1296</v>
      </c>
      <c r="B3374" s="487" t="s">
        <v>1295</v>
      </c>
      <c r="C3374" s="488" t="s">
        <v>11503</v>
      </c>
      <c r="D3374" s="489" t="s">
        <v>11504</v>
      </c>
      <c r="E3374" s="487" t="s">
        <v>11505</v>
      </c>
      <c r="F3374" s="490">
        <v>15000</v>
      </c>
      <c r="G3374" s="489">
        <v>294.42</v>
      </c>
      <c r="H3374" s="489">
        <v>50.947629999999997</v>
      </c>
      <c r="I3374" s="487" t="s">
        <v>1499</v>
      </c>
      <c r="J3374" s="487" t="s">
        <v>1297</v>
      </c>
    </row>
    <row r="3375" spans="1:10" ht="15" x14ac:dyDescent="0.2">
      <c r="A3375" s="486" t="s">
        <v>1296</v>
      </c>
      <c r="B3375" s="487" t="s">
        <v>1295</v>
      </c>
      <c r="C3375" s="488" t="s">
        <v>11506</v>
      </c>
      <c r="D3375" s="489" t="s">
        <v>11507</v>
      </c>
      <c r="E3375" s="487" t="s">
        <v>11508</v>
      </c>
      <c r="F3375" s="490">
        <v>500</v>
      </c>
      <c r="G3375" s="489">
        <v>100.19</v>
      </c>
      <c r="H3375" s="489">
        <v>4.9905200000000001</v>
      </c>
      <c r="I3375" s="487" t="s">
        <v>1499</v>
      </c>
      <c r="J3375" s="487" t="s">
        <v>1297</v>
      </c>
    </row>
    <row r="3376" spans="1:10" ht="15" x14ac:dyDescent="0.2">
      <c r="A3376" s="486" t="s">
        <v>1296</v>
      </c>
      <c r="B3376" s="487" t="s">
        <v>1295</v>
      </c>
      <c r="C3376" s="488" t="s">
        <v>11509</v>
      </c>
      <c r="D3376" s="489" t="s">
        <v>11510</v>
      </c>
      <c r="E3376" s="487" t="s">
        <v>11511</v>
      </c>
      <c r="F3376" s="490">
        <v>0</v>
      </c>
      <c r="G3376" s="489">
        <v>56.31</v>
      </c>
      <c r="H3376" s="489">
        <v>0</v>
      </c>
      <c r="I3376" s="487" t="s">
        <v>1593</v>
      </c>
      <c r="J3376" s="487" t="s">
        <v>1297</v>
      </c>
    </row>
    <row r="3377" spans="1:10" ht="15" x14ac:dyDescent="0.2">
      <c r="A3377" s="486" t="s">
        <v>1296</v>
      </c>
      <c r="B3377" s="487" t="s">
        <v>1295</v>
      </c>
      <c r="C3377" s="488" t="s">
        <v>11512</v>
      </c>
      <c r="D3377" s="489" t="s">
        <v>11513</v>
      </c>
      <c r="E3377" s="487" t="s">
        <v>2313</v>
      </c>
      <c r="F3377" s="490">
        <v>9000</v>
      </c>
      <c r="G3377" s="489">
        <v>232.35</v>
      </c>
      <c r="H3377" s="489">
        <v>38.734670000000001</v>
      </c>
      <c r="I3377" s="487" t="s">
        <v>1499</v>
      </c>
      <c r="J3377" s="487" t="s">
        <v>1297</v>
      </c>
    </row>
    <row r="3378" spans="1:10" ht="15" x14ac:dyDescent="0.2">
      <c r="A3378" s="486" t="s">
        <v>1296</v>
      </c>
      <c r="B3378" s="487" t="s">
        <v>1295</v>
      </c>
      <c r="C3378" s="488" t="s">
        <v>11514</v>
      </c>
      <c r="D3378" s="489" t="s">
        <v>11515</v>
      </c>
      <c r="E3378" s="487" t="s">
        <v>11516</v>
      </c>
      <c r="F3378" s="490">
        <v>27610</v>
      </c>
      <c r="G3378" s="489">
        <v>1117.83</v>
      </c>
      <c r="H3378" s="489">
        <v>24.699639999999999</v>
      </c>
      <c r="I3378" s="487" t="s">
        <v>1499</v>
      </c>
      <c r="J3378" s="487" t="s">
        <v>1297</v>
      </c>
    </row>
    <row r="3379" spans="1:10" ht="15" x14ac:dyDescent="0.2">
      <c r="A3379" s="486" t="s">
        <v>1296</v>
      </c>
      <c r="B3379" s="487" t="s">
        <v>1295</v>
      </c>
      <c r="C3379" s="488" t="s">
        <v>11517</v>
      </c>
      <c r="D3379" s="489" t="s">
        <v>11518</v>
      </c>
      <c r="E3379" s="487" t="s">
        <v>11519</v>
      </c>
      <c r="F3379" s="490">
        <v>500</v>
      </c>
      <c r="G3379" s="489">
        <v>128.06</v>
      </c>
      <c r="H3379" s="489">
        <v>3.90442</v>
      </c>
      <c r="I3379" s="487" t="s">
        <v>1499</v>
      </c>
      <c r="J3379" s="487" t="s">
        <v>1297</v>
      </c>
    </row>
    <row r="3380" spans="1:10" ht="15" x14ac:dyDescent="0.2">
      <c r="A3380" s="486" t="s">
        <v>1296</v>
      </c>
      <c r="B3380" s="487" t="s">
        <v>1295</v>
      </c>
      <c r="C3380" s="488" t="s">
        <v>11520</v>
      </c>
      <c r="D3380" s="489" t="s">
        <v>11521</v>
      </c>
      <c r="E3380" s="487" t="s">
        <v>11522</v>
      </c>
      <c r="F3380" s="490">
        <v>15110</v>
      </c>
      <c r="G3380" s="489">
        <v>572.44000000000005</v>
      </c>
      <c r="H3380" s="489">
        <v>26.395779999999998</v>
      </c>
      <c r="I3380" s="487" t="s">
        <v>1499</v>
      </c>
      <c r="J3380" s="487" t="s">
        <v>1297</v>
      </c>
    </row>
    <row r="3381" spans="1:10" ht="15" x14ac:dyDescent="0.2">
      <c r="A3381" s="486" t="s">
        <v>1296</v>
      </c>
      <c r="B3381" s="487" t="s">
        <v>1295</v>
      </c>
      <c r="C3381" s="488" t="s">
        <v>11523</v>
      </c>
      <c r="D3381" s="489" t="s">
        <v>11524</v>
      </c>
      <c r="E3381" s="487" t="s">
        <v>6714</v>
      </c>
      <c r="F3381" s="490">
        <v>5450</v>
      </c>
      <c r="G3381" s="489">
        <v>185.61</v>
      </c>
      <c r="H3381" s="489">
        <v>29.362639999999999</v>
      </c>
      <c r="I3381" s="487" t="s">
        <v>1499</v>
      </c>
      <c r="J3381" s="487" t="s">
        <v>1297</v>
      </c>
    </row>
    <row r="3382" spans="1:10" ht="15" x14ac:dyDescent="0.2">
      <c r="A3382" s="486" t="s">
        <v>1296</v>
      </c>
      <c r="B3382" s="487" t="s">
        <v>1295</v>
      </c>
      <c r="C3382" s="488" t="s">
        <v>11525</v>
      </c>
      <c r="D3382" s="489" t="s">
        <v>11526</v>
      </c>
      <c r="E3382" s="487" t="s">
        <v>10304</v>
      </c>
      <c r="F3382" s="490">
        <v>7500</v>
      </c>
      <c r="G3382" s="489">
        <v>153.94999999999999</v>
      </c>
      <c r="H3382" s="489">
        <v>48.717120000000001</v>
      </c>
      <c r="I3382" s="487" t="s">
        <v>1499</v>
      </c>
      <c r="J3382" s="487" t="s">
        <v>1297</v>
      </c>
    </row>
    <row r="3383" spans="1:10" ht="15" x14ac:dyDescent="0.2">
      <c r="A3383" s="486" t="s">
        <v>1296</v>
      </c>
      <c r="B3383" s="487" t="s">
        <v>1295</v>
      </c>
      <c r="C3383" s="488" t="s">
        <v>11527</v>
      </c>
      <c r="D3383" s="489" t="s">
        <v>11528</v>
      </c>
      <c r="E3383" s="487" t="s">
        <v>7775</v>
      </c>
      <c r="F3383" s="490">
        <v>4980</v>
      </c>
      <c r="G3383" s="489">
        <v>233.5</v>
      </c>
      <c r="H3383" s="489">
        <v>21.32762</v>
      </c>
      <c r="I3383" s="487" t="s">
        <v>1499</v>
      </c>
      <c r="J3383" s="487" t="s">
        <v>1297</v>
      </c>
    </row>
    <row r="3384" spans="1:10" ht="15" x14ac:dyDescent="0.2">
      <c r="A3384" s="486" t="s">
        <v>1296</v>
      </c>
      <c r="B3384" s="487" t="s">
        <v>1295</v>
      </c>
      <c r="C3384" s="488" t="s">
        <v>11529</v>
      </c>
      <c r="D3384" s="489" t="s">
        <v>11530</v>
      </c>
      <c r="E3384" s="487" t="s">
        <v>11531</v>
      </c>
      <c r="F3384" s="490">
        <v>35000</v>
      </c>
      <c r="G3384" s="489">
        <v>434.38</v>
      </c>
      <c r="H3384" s="489">
        <v>80.574610000000007</v>
      </c>
      <c r="I3384" s="487" t="s">
        <v>1499</v>
      </c>
      <c r="J3384" s="487" t="s">
        <v>1297</v>
      </c>
    </row>
    <row r="3385" spans="1:10" ht="15" x14ac:dyDescent="0.2">
      <c r="A3385" s="486" t="s">
        <v>1296</v>
      </c>
      <c r="B3385" s="487" t="s">
        <v>1295</v>
      </c>
      <c r="C3385" s="488" t="s">
        <v>11532</v>
      </c>
      <c r="D3385" s="489" t="s">
        <v>11533</v>
      </c>
      <c r="E3385" s="487" t="s">
        <v>11534</v>
      </c>
      <c r="F3385" s="490">
        <v>0</v>
      </c>
      <c r="G3385" s="489">
        <v>67.86</v>
      </c>
      <c r="H3385" s="489">
        <v>0</v>
      </c>
      <c r="I3385" s="487" t="s">
        <v>1593</v>
      </c>
      <c r="J3385" s="487" t="s">
        <v>1297</v>
      </c>
    </row>
    <row r="3386" spans="1:10" ht="15" x14ac:dyDescent="0.2">
      <c r="A3386" s="486" t="s">
        <v>1296</v>
      </c>
      <c r="B3386" s="487" t="s">
        <v>1295</v>
      </c>
      <c r="C3386" s="488" t="s">
        <v>11535</v>
      </c>
      <c r="D3386" s="489" t="s">
        <v>11536</v>
      </c>
      <c r="E3386" s="487" t="s">
        <v>11537</v>
      </c>
      <c r="F3386" s="490">
        <v>18180</v>
      </c>
      <c r="G3386" s="489">
        <v>229.89</v>
      </c>
      <c r="H3386" s="489">
        <v>79.081299999999999</v>
      </c>
      <c r="I3386" s="487" t="s">
        <v>1499</v>
      </c>
      <c r="J3386" s="487" t="s">
        <v>1297</v>
      </c>
    </row>
    <row r="3387" spans="1:10" ht="15" x14ac:dyDescent="0.2">
      <c r="A3387" s="486" t="s">
        <v>1296</v>
      </c>
      <c r="B3387" s="487" t="s">
        <v>1295</v>
      </c>
      <c r="C3387" s="488" t="s">
        <v>11538</v>
      </c>
      <c r="D3387" s="489" t="s">
        <v>11539</v>
      </c>
      <c r="E3387" s="487" t="s">
        <v>1295</v>
      </c>
      <c r="F3387" s="490">
        <v>531567</v>
      </c>
      <c r="G3387" s="489">
        <v>3642.09</v>
      </c>
      <c r="H3387" s="489">
        <v>145.95108999999999</v>
      </c>
      <c r="I3387" s="487" t="s">
        <v>1499</v>
      </c>
      <c r="J3387" s="487" t="s">
        <v>1297</v>
      </c>
    </row>
    <row r="3388" spans="1:10" ht="15" x14ac:dyDescent="0.2">
      <c r="A3388" s="486" t="s">
        <v>1296</v>
      </c>
      <c r="B3388" s="487" t="s">
        <v>1295</v>
      </c>
      <c r="C3388" s="488" t="s">
        <v>11540</v>
      </c>
      <c r="D3388" s="489" t="s">
        <v>11541</v>
      </c>
      <c r="E3388" s="487" t="s">
        <v>11542</v>
      </c>
      <c r="F3388" s="490">
        <v>9000</v>
      </c>
      <c r="G3388" s="489">
        <v>194.88</v>
      </c>
      <c r="H3388" s="489">
        <v>46.182270000000003</v>
      </c>
      <c r="I3388" s="487" t="s">
        <v>1499</v>
      </c>
      <c r="J3388" s="487" t="s">
        <v>1297</v>
      </c>
    </row>
    <row r="3389" spans="1:10" ht="15" x14ac:dyDescent="0.2">
      <c r="A3389" s="486" t="s">
        <v>1296</v>
      </c>
      <c r="B3389" s="487" t="s">
        <v>1295</v>
      </c>
      <c r="C3389" s="488" t="s">
        <v>11543</v>
      </c>
      <c r="D3389" s="489" t="s">
        <v>11544</v>
      </c>
      <c r="E3389" s="487" t="s">
        <v>2283</v>
      </c>
      <c r="F3389" s="490">
        <v>14700</v>
      </c>
      <c r="G3389" s="489">
        <v>312.51</v>
      </c>
      <c r="H3389" s="489">
        <v>47.038490000000003</v>
      </c>
      <c r="I3389" s="487" t="s">
        <v>1499</v>
      </c>
      <c r="J3389" s="487" t="s">
        <v>1297</v>
      </c>
    </row>
    <row r="3390" spans="1:10" ht="15" x14ac:dyDescent="0.2">
      <c r="A3390" s="486" t="s">
        <v>1296</v>
      </c>
      <c r="B3390" s="487" t="s">
        <v>1295</v>
      </c>
      <c r="C3390" s="488" t="s">
        <v>11545</v>
      </c>
      <c r="D3390" s="489" t="s">
        <v>11546</v>
      </c>
      <c r="E3390" s="487" t="s">
        <v>11547</v>
      </c>
      <c r="F3390" s="490">
        <v>25000</v>
      </c>
      <c r="G3390" s="489">
        <v>616.53</v>
      </c>
      <c r="H3390" s="489">
        <v>40.549529999999997</v>
      </c>
      <c r="I3390" s="487" t="s">
        <v>1499</v>
      </c>
      <c r="J3390" s="487" t="s">
        <v>1297</v>
      </c>
    </row>
    <row r="3391" spans="1:10" ht="15" x14ac:dyDescent="0.2">
      <c r="A3391" s="486" t="s">
        <v>1296</v>
      </c>
      <c r="B3391" s="487" t="s">
        <v>1295</v>
      </c>
      <c r="C3391" s="488" t="s">
        <v>11548</v>
      </c>
      <c r="D3391" s="489" t="s">
        <v>11549</v>
      </c>
      <c r="E3391" s="487" t="s">
        <v>11550</v>
      </c>
      <c r="F3391" s="490">
        <v>39250</v>
      </c>
      <c r="G3391" s="489">
        <v>829.87</v>
      </c>
      <c r="H3391" s="489">
        <v>47.296559999999999</v>
      </c>
      <c r="I3391" s="487" t="s">
        <v>1499</v>
      </c>
      <c r="J3391" s="487" t="s">
        <v>1297</v>
      </c>
    </row>
    <row r="3392" spans="1:10" ht="15" x14ac:dyDescent="0.2">
      <c r="A3392" s="486" t="s">
        <v>1296</v>
      </c>
      <c r="B3392" s="487" t="s">
        <v>1295</v>
      </c>
      <c r="C3392" s="488" t="s">
        <v>11551</v>
      </c>
      <c r="D3392" s="489" t="s">
        <v>11552</v>
      </c>
      <c r="E3392" s="487" t="s">
        <v>11553</v>
      </c>
      <c r="F3392" s="490">
        <v>7000</v>
      </c>
      <c r="G3392" s="489">
        <v>260.29000000000002</v>
      </c>
      <c r="H3392" s="489">
        <v>26.893080000000001</v>
      </c>
      <c r="I3392" s="487" t="s">
        <v>1499</v>
      </c>
      <c r="J3392" s="487" t="s">
        <v>1297</v>
      </c>
    </row>
    <row r="3393" spans="1:10" ht="15" x14ac:dyDescent="0.2">
      <c r="A3393" s="486" t="s">
        <v>1296</v>
      </c>
      <c r="B3393" s="487" t="s">
        <v>1295</v>
      </c>
      <c r="C3393" s="488" t="s">
        <v>11554</v>
      </c>
      <c r="D3393" s="489" t="s">
        <v>11555</v>
      </c>
      <c r="E3393" s="487" t="s">
        <v>11556</v>
      </c>
      <c r="F3393" s="490">
        <v>63500</v>
      </c>
      <c r="G3393" s="489">
        <v>1396.32</v>
      </c>
      <c r="H3393" s="489">
        <v>45.476680000000002</v>
      </c>
      <c r="I3393" s="487" t="s">
        <v>1499</v>
      </c>
      <c r="J3393" s="487" t="s">
        <v>1297</v>
      </c>
    </row>
    <row r="3394" spans="1:10" ht="15" x14ac:dyDescent="0.2">
      <c r="A3394" s="486" t="s">
        <v>1296</v>
      </c>
      <c r="B3394" s="487" t="s">
        <v>1295</v>
      </c>
      <c r="C3394" s="488" t="s">
        <v>11557</v>
      </c>
      <c r="D3394" s="489" t="s">
        <v>11558</v>
      </c>
      <c r="E3394" s="487" t="s">
        <v>11559</v>
      </c>
      <c r="F3394" s="490">
        <v>278000</v>
      </c>
      <c r="G3394" s="489">
        <v>2375.52</v>
      </c>
      <c r="H3394" s="489">
        <v>117.02701</v>
      </c>
      <c r="I3394" s="487" t="s">
        <v>1499</v>
      </c>
      <c r="J3394" s="487" t="s">
        <v>1297</v>
      </c>
    </row>
    <row r="3395" spans="1:10" ht="15" x14ac:dyDescent="0.2">
      <c r="A3395" s="486" t="s">
        <v>1296</v>
      </c>
      <c r="B3395" s="487" t="s">
        <v>1295</v>
      </c>
      <c r="C3395" s="488" t="s">
        <v>11560</v>
      </c>
      <c r="D3395" s="489" t="s">
        <v>11561</v>
      </c>
      <c r="E3395" s="487" t="s">
        <v>11562</v>
      </c>
      <c r="F3395" s="490">
        <v>39880</v>
      </c>
      <c r="G3395" s="489">
        <v>1378.52</v>
      </c>
      <c r="H3395" s="489">
        <v>28.929580000000001</v>
      </c>
      <c r="I3395" s="487" t="s">
        <v>1499</v>
      </c>
      <c r="J3395" s="487" t="s">
        <v>1297</v>
      </c>
    </row>
    <row r="3396" spans="1:10" ht="15" x14ac:dyDescent="0.2">
      <c r="A3396" s="486" t="s">
        <v>1296</v>
      </c>
      <c r="B3396" s="487" t="s">
        <v>1295</v>
      </c>
      <c r="C3396" s="488" t="s">
        <v>11563</v>
      </c>
      <c r="D3396" s="489" t="s">
        <v>11564</v>
      </c>
      <c r="E3396" s="487" t="s">
        <v>11565</v>
      </c>
      <c r="F3396" s="490">
        <v>7200</v>
      </c>
      <c r="G3396" s="489">
        <v>67.930000000000007</v>
      </c>
      <c r="H3396" s="489">
        <v>105.99146</v>
      </c>
      <c r="I3396" s="487" t="s">
        <v>1499</v>
      </c>
      <c r="J3396" s="487" t="s">
        <v>1297</v>
      </c>
    </row>
    <row r="3397" spans="1:10" ht="15" x14ac:dyDescent="0.2">
      <c r="A3397" s="486" t="s">
        <v>409</v>
      </c>
      <c r="B3397" s="487" t="s">
        <v>408</v>
      </c>
      <c r="C3397" s="488" t="s">
        <v>11566</v>
      </c>
      <c r="D3397" s="489" t="s">
        <v>11567</v>
      </c>
      <c r="E3397" s="487" t="s">
        <v>11568</v>
      </c>
      <c r="F3397" s="490">
        <v>39500</v>
      </c>
      <c r="G3397" s="489">
        <v>717.8</v>
      </c>
      <c r="H3397" s="489">
        <v>55.029260000000001</v>
      </c>
      <c r="I3397" s="487" t="s">
        <v>1499</v>
      </c>
      <c r="J3397" s="487" t="s">
        <v>410</v>
      </c>
    </row>
    <row r="3398" spans="1:10" ht="15" x14ac:dyDescent="0.2">
      <c r="A3398" s="486" t="s">
        <v>409</v>
      </c>
      <c r="B3398" s="487" t="s">
        <v>408</v>
      </c>
      <c r="C3398" s="488" t="s">
        <v>11569</v>
      </c>
      <c r="D3398" s="489" t="s">
        <v>11570</v>
      </c>
      <c r="E3398" s="487" t="s">
        <v>11571</v>
      </c>
      <c r="F3398" s="490">
        <v>5200</v>
      </c>
      <c r="G3398" s="489">
        <v>108.8</v>
      </c>
      <c r="H3398" s="489">
        <v>47.794119999999999</v>
      </c>
      <c r="I3398" s="487" t="s">
        <v>1499</v>
      </c>
      <c r="J3398" s="487" t="s">
        <v>410</v>
      </c>
    </row>
    <row r="3399" spans="1:10" ht="15" x14ac:dyDescent="0.2">
      <c r="A3399" s="486" t="s">
        <v>409</v>
      </c>
      <c r="B3399" s="487" t="s">
        <v>408</v>
      </c>
      <c r="C3399" s="488" t="s">
        <v>11572</v>
      </c>
      <c r="D3399" s="489" t="s">
        <v>11573</v>
      </c>
      <c r="E3399" s="487" t="s">
        <v>11574</v>
      </c>
      <c r="F3399" s="490">
        <v>58000</v>
      </c>
      <c r="G3399" s="489">
        <v>1075.3</v>
      </c>
      <c r="H3399" s="489">
        <v>53.93844</v>
      </c>
      <c r="I3399" s="487" t="s">
        <v>1499</v>
      </c>
      <c r="J3399" s="487" t="s">
        <v>410</v>
      </c>
    </row>
    <row r="3400" spans="1:10" ht="15" x14ac:dyDescent="0.2">
      <c r="A3400" s="486" t="s">
        <v>409</v>
      </c>
      <c r="B3400" s="487" t="s">
        <v>408</v>
      </c>
      <c r="C3400" s="488" t="s">
        <v>11575</v>
      </c>
      <c r="D3400" s="489" t="s">
        <v>11576</v>
      </c>
      <c r="E3400" s="487" t="s">
        <v>6501</v>
      </c>
      <c r="F3400" s="490">
        <v>0</v>
      </c>
      <c r="G3400" s="489">
        <v>54</v>
      </c>
      <c r="H3400" s="489">
        <v>0</v>
      </c>
      <c r="I3400" s="487" t="s">
        <v>1593</v>
      </c>
      <c r="J3400" s="487" t="s">
        <v>410</v>
      </c>
    </row>
    <row r="3401" spans="1:10" ht="15" x14ac:dyDescent="0.2">
      <c r="A3401" s="486" t="s">
        <v>409</v>
      </c>
      <c r="B3401" s="487" t="s">
        <v>408</v>
      </c>
      <c r="C3401" s="488" t="s">
        <v>11577</v>
      </c>
      <c r="D3401" s="489" t="s">
        <v>11578</v>
      </c>
      <c r="E3401" s="487" t="s">
        <v>11579</v>
      </c>
      <c r="F3401" s="490">
        <v>99208</v>
      </c>
      <c r="G3401" s="489">
        <v>2255.6999999999998</v>
      </c>
      <c r="H3401" s="489">
        <v>43.981029999999997</v>
      </c>
      <c r="I3401" s="487" t="s">
        <v>1499</v>
      </c>
      <c r="J3401" s="487" t="s">
        <v>410</v>
      </c>
    </row>
    <row r="3402" spans="1:10" ht="15" x14ac:dyDescent="0.2">
      <c r="A3402" s="486" t="s">
        <v>409</v>
      </c>
      <c r="B3402" s="487" t="s">
        <v>408</v>
      </c>
      <c r="C3402" s="488" t="s">
        <v>11580</v>
      </c>
      <c r="D3402" s="489" t="s">
        <v>11581</v>
      </c>
      <c r="E3402" s="487" t="s">
        <v>11582</v>
      </c>
      <c r="F3402" s="490">
        <v>22735</v>
      </c>
      <c r="G3402" s="489">
        <v>598.29999999999995</v>
      </c>
      <c r="H3402" s="489">
        <v>37.99933</v>
      </c>
      <c r="I3402" s="487" t="s">
        <v>1499</v>
      </c>
      <c r="J3402" s="487" t="s">
        <v>410</v>
      </c>
    </row>
    <row r="3403" spans="1:10" ht="15" x14ac:dyDescent="0.2">
      <c r="A3403" s="486" t="s">
        <v>409</v>
      </c>
      <c r="B3403" s="487" t="s">
        <v>408</v>
      </c>
      <c r="C3403" s="488" t="s">
        <v>11583</v>
      </c>
      <c r="D3403" s="489" t="s">
        <v>11584</v>
      </c>
      <c r="E3403" s="487" t="s">
        <v>11585</v>
      </c>
      <c r="F3403" s="490">
        <v>4120</v>
      </c>
      <c r="G3403" s="489">
        <v>111.2</v>
      </c>
      <c r="H3403" s="489">
        <v>37.050359999999998</v>
      </c>
      <c r="I3403" s="487" t="s">
        <v>1499</v>
      </c>
      <c r="J3403" s="487" t="s">
        <v>410</v>
      </c>
    </row>
    <row r="3404" spans="1:10" ht="15" x14ac:dyDescent="0.2">
      <c r="A3404" s="486" t="s">
        <v>409</v>
      </c>
      <c r="B3404" s="487" t="s">
        <v>408</v>
      </c>
      <c r="C3404" s="488" t="s">
        <v>11586</v>
      </c>
      <c r="D3404" s="489" t="s">
        <v>11587</v>
      </c>
      <c r="E3404" s="487" t="s">
        <v>11588</v>
      </c>
      <c r="F3404" s="490">
        <v>38450</v>
      </c>
      <c r="G3404" s="489">
        <v>3132</v>
      </c>
      <c r="H3404" s="489">
        <v>12.2765</v>
      </c>
      <c r="I3404" s="487" t="s">
        <v>1499</v>
      </c>
      <c r="J3404" s="487" t="s">
        <v>410</v>
      </c>
    </row>
    <row r="3405" spans="1:10" ht="15" x14ac:dyDescent="0.2">
      <c r="A3405" s="486" t="s">
        <v>409</v>
      </c>
      <c r="B3405" s="487" t="s">
        <v>408</v>
      </c>
      <c r="C3405" s="488" t="s">
        <v>11589</v>
      </c>
      <c r="D3405" s="489" t="s">
        <v>11590</v>
      </c>
      <c r="E3405" s="487" t="s">
        <v>11591</v>
      </c>
      <c r="F3405" s="490">
        <v>9518</v>
      </c>
      <c r="G3405" s="489">
        <v>263.7</v>
      </c>
      <c r="H3405" s="489">
        <v>36.094050000000003</v>
      </c>
      <c r="I3405" s="487" t="s">
        <v>1499</v>
      </c>
      <c r="J3405" s="487" t="s">
        <v>410</v>
      </c>
    </row>
    <row r="3406" spans="1:10" ht="15" x14ac:dyDescent="0.2">
      <c r="A3406" s="486" t="s">
        <v>409</v>
      </c>
      <c r="B3406" s="487" t="s">
        <v>408</v>
      </c>
      <c r="C3406" s="488" t="s">
        <v>11592</v>
      </c>
      <c r="D3406" s="489" t="s">
        <v>11593</v>
      </c>
      <c r="E3406" s="487" t="s">
        <v>11594</v>
      </c>
      <c r="F3406" s="490">
        <v>0</v>
      </c>
      <c r="G3406" s="489">
        <v>0</v>
      </c>
      <c r="H3406" s="489">
        <v>0</v>
      </c>
      <c r="I3406" s="487" t="s">
        <v>2465</v>
      </c>
      <c r="J3406" s="487" t="s">
        <v>410</v>
      </c>
    </row>
    <row r="3407" spans="1:10" ht="15" x14ac:dyDescent="0.2">
      <c r="A3407" s="486" t="s">
        <v>409</v>
      </c>
      <c r="B3407" s="487" t="s">
        <v>408</v>
      </c>
      <c r="C3407" s="488" t="s">
        <v>11595</v>
      </c>
      <c r="D3407" s="489" t="s">
        <v>11596</v>
      </c>
      <c r="E3407" s="487" t="s">
        <v>11597</v>
      </c>
      <c r="F3407" s="490">
        <v>20000</v>
      </c>
      <c r="G3407" s="489">
        <v>1416.1</v>
      </c>
      <c r="H3407" s="489">
        <v>14.1233</v>
      </c>
      <c r="I3407" s="487" t="s">
        <v>1499</v>
      </c>
      <c r="J3407" s="487" t="s">
        <v>410</v>
      </c>
    </row>
    <row r="3408" spans="1:10" ht="15" x14ac:dyDescent="0.2">
      <c r="A3408" s="486" t="s">
        <v>409</v>
      </c>
      <c r="B3408" s="487" t="s">
        <v>408</v>
      </c>
      <c r="C3408" s="488" t="s">
        <v>11598</v>
      </c>
      <c r="D3408" s="489" t="s">
        <v>11599</v>
      </c>
      <c r="E3408" s="487" t="s">
        <v>11600</v>
      </c>
      <c r="F3408" s="490">
        <v>44550</v>
      </c>
      <c r="G3408" s="489">
        <v>1387.5</v>
      </c>
      <c r="H3408" s="489">
        <v>32.108110000000003</v>
      </c>
      <c r="I3408" s="487" t="s">
        <v>1499</v>
      </c>
      <c r="J3408" s="487" t="s">
        <v>410</v>
      </c>
    </row>
    <row r="3409" spans="1:10" ht="15" x14ac:dyDescent="0.2">
      <c r="A3409" s="486" t="s">
        <v>409</v>
      </c>
      <c r="B3409" s="487" t="s">
        <v>408</v>
      </c>
      <c r="C3409" s="488" t="s">
        <v>11601</v>
      </c>
      <c r="D3409" s="489" t="s">
        <v>11602</v>
      </c>
      <c r="E3409" s="487" t="s">
        <v>11603</v>
      </c>
      <c r="F3409" s="490">
        <v>20873</v>
      </c>
      <c r="G3409" s="489">
        <v>452.7</v>
      </c>
      <c r="H3409" s="489">
        <v>46.107799999999997</v>
      </c>
      <c r="I3409" s="487" t="s">
        <v>1499</v>
      </c>
      <c r="J3409" s="487" t="s">
        <v>410</v>
      </c>
    </row>
    <row r="3410" spans="1:10" ht="15" x14ac:dyDescent="0.2">
      <c r="A3410" s="486" t="s">
        <v>409</v>
      </c>
      <c r="B3410" s="487" t="s">
        <v>408</v>
      </c>
      <c r="C3410" s="488" t="s">
        <v>11604</v>
      </c>
      <c r="D3410" s="489" t="s">
        <v>11605</v>
      </c>
      <c r="E3410" s="487" t="s">
        <v>11606</v>
      </c>
      <c r="F3410" s="490">
        <v>11773</v>
      </c>
      <c r="G3410" s="489">
        <v>146</v>
      </c>
      <c r="H3410" s="489">
        <v>80.636989999999997</v>
      </c>
      <c r="I3410" s="487" t="s">
        <v>1499</v>
      </c>
      <c r="J3410" s="487" t="s">
        <v>410</v>
      </c>
    </row>
    <row r="3411" spans="1:10" ht="15" x14ac:dyDescent="0.2">
      <c r="A3411" s="486" t="s">
        <v>409</v>
      </c>
      <c r="B3411" s="487" t="s">
        <v>408</v>
      </c>
      <c r="C3411" s="488" t="s">
        <v>11607</v>
      </c>
      <c r="D3411" s="489" t="s">
        <v>11608</v>
      </c>
      <c r="E3411" s="487" t="s">
        <v>11609</v>
      </c>
      <c r="F3411" s="490">
        <v>0</v>
      </c>
      <c r="G3411" s="489">
        <v>45.7</v>
      </c>
      <c r="H3411" s="489">
        <v>0</v>
      </c>
      <c r="I3411" s="487" t="s">
        <v>1593</v>
      </c>
      <c r="J3411" s="487" t="s">
        <v>410</v>
      </c>
    </row>
    <row r="3412" spans="1:10" ht="15" x14ac:dyDescent="0.2">
      <c r="A3412" s="486" t="s">
        <v>409</v>
      </c>
      <c r="B3412" s="487" t="s">
        <v>408</v>
      </c>
      <c r="C3412" s="488" t="s">
        <v>11610</v>
      </c>
      <c r="D3412" s="489" t="s">
        <v>11611</v>
      </c>
      <c r="E3412" s="487" t="s">
        <v>11612</v>
      </c>
      <c r="F3412" s="490">
        <v>7324</v>
      </c>
      <c r="G3412" s="489">
        <v>198.4</v>
      </c>
      <c r="H3412" s="489">
        <v>36.915320000000001</v>
      </c>
      <c r="I3412" s="487" t="s">
        <v>1499</v>
      </c>
      <c r="J3412" s="487" t="s">
        <v>410</v>
      </c>
    </row>
    <row r="3413" spans="1:10" ht="15" x14ac:dyDescent="0.2">
      <c r="A3413" s="486" t="s">
        <v>409</v>
      </c>
      <c r="B3413" s="487" t="s">
        <v>408</v>
      </c>
      <c r="C3413" s="488" t="s">
        <v>11613</v>
      </c>
      <c r="D3413" s="489" t="s">
        <v>11614</v>
      </c>
      <c r="E3413" s="487" t="s">
        <v>11615</v>
      </c>
      <c r="F3413" s="490">
        <v>3032</v>
      </c>
      <c r="G3413" s="489">
        <v>70.900000000000006</v>
      </c>
      <c r="H3413" s="489">
        <v>42.76446</v>
      </c>
      <c r="I3413" s="487" t="s">
        <v>1499</v>
      </c>
      <c r="J3413" s="487" t="s">
        <v>410</v>
      </c>
    </row>
    <row r="3414" spans="1:10" ht="15" x14ac:dyDescent="0.2">
      <c r="A3414" s="486" t="s">
        <v>409</v>
      </c>
      <c r="B3414" s="487" t="s">
        <v>408</v>
      </c>
      <c r="C3414" s="488" t="s">
        <v>11616</v>
      </c>
      <c r="D3414" s="489" t="s">
        <v>11617</v>
      </c>
      <c r="E3414" s="487" t="s">
        <v>11618</v>
      </c>
      <c r="F3414" s="490">
        <v>0</v>
      </c>
      <c r="G3414" s="489">
        <v>129.4</v>
      </c>
      <c r="H3414" s="489">
        <v>0</v>
      </c>
      <c r="I3414" s="487" t="s">
        <v>1593</v>
      </c>
      <c r="J3414" s="487" t="s">
        <v>410</v>
      </c>
    </row>
    <row r="3415" spans="1:10" ht="15" x14ac:dyDescent="0.2">
      <c r="A3415" s="486" t="s">
        <v>409</v>
      </c>
      <c r="B3415" s="487" t="s">
        <v>408</v>
      </c>
      <c r="C3415" s="488" t="s">
        <v>11619</v>
      </c>
      <c r="D3415" s="489" t="s">
        <v>11620</v>
      </c>
      <c r="E3415" s="487" t="s">
        <v>11621</v>
      </c>
      <c r="F3415" s="490">
        <v>26271</v>
      </c>
      <c r="G3415" s="489">
        <v>781.6</v>
      </c>
      <c r="H3415" s="489">
        <v>33.611820000000002</v>
      </c>
      <c r="I3415" s="487" t="s">
        <v>1499</v>
      </c>
      <c r="J3415" s="487" t="s">
        <v>410</v>
      </c>
    </row>
    <row r="3416" spans="1:10" ht="15" x14ac:dyDescent="0.2">
      <c r="A3416" s="486" t="s">
        <v>409</v>
      </c>
      <c r="B3416" s="487" t="s">
        <v>408</v>
      </c>
      <c r="C3416" s="488" t="s">
        <v>11622</v>
      </c>
      <c r="D3416" s="489" t="s">
        <v>11623</v>
      </c>
      <c r="E3416" s="487" t="s">
        <v>11624</v>
      </c>
      <c r="F3416" s="490">
        <v>14200</v>
      </c>
      <c r="G3416" s="489">
        <v>245</v>
      </c>
      <c r="H3416" s="489">
        <v>57.959180000000003</v>
      </c>
      <c r="I3416" s="487" t="s">
        <v>1499</v>
      </c>
      <c r="J3416" s="487" t="s">
        <v>410</v>
      </c>
    </row>
    <row r="3417" spans="1:10" ht="15" x14ac:dyDescent="0.2">
      <c r="A3417" s="486" t="s">
        <v>409</v>
      </c>
      <c r="B3417" s="487" t="s">
        <v>408</v>
      </c>
      <c r="C3417" s="488" t="s">
        <v>11625</v>
      </c>
      <c r="D3417" s="489" t="s">
        <v>11626</v>
      </c>
      <c r="E3417" s="487" t="s">
        <v>11627</v>
      </c>
      <c r="F3417" s="490">
        <v>102076</v>
      </c>
      <c r="G3417" s="489">
        <v>1333.4</v>
      </c>
      <c r="H3417" s="489">
        <v>76.553169999999994</v>
      </c>
      <c r="I3417" s="487" t="s">
        <v>1499</v>
      </c>
      <c r="J3417" s="487" t="s">
        <v>410</v>
      </c>
    </row>
    <row r="3418" spans="1:10" ht="15" x14ac:dyDescent="0.2">
      <c r="A3418" s="486" t="s">
        <v>409</v>
      </c>
      <c r="B3418" s="487" t="s">
        <v>408</v>
      </c>
      <c r="C3418" s="488" t="s">
        <v>11628</v>
      </c>
      <c r="D3418" s="489" t="s">
        <v>11629</v>
      </c>
      <c r="E3418" s="487" t="s">
        <v>11630</v>
      </c>
      <c r="F3418" s="490">
        <v>10600</v>
      </c>
      <c r="G3418" s="489">
        <v>167.6</v>
      </c>
      <c r="H3418" s="489">
        <v>63.245820000000002</v>
      </c>
      <c r="I3418" s="487" t="s">
        <v>1499</v>
      </c>
      <c r="J3418" s="487" t="s">
        <v>410</v>
      </c>
    </row>
    <row r="3419" spans="1:10" ht="15" x14ac:dyDescent="0.2">
      <c r="A3419" s="486" t="s">
        <v>409</v>
      </c>
      <c r="B3419" s="487" t="s">
        <v>408</v>
      </c>
      <c r="C3419" s="488" t="s">
        <v>11631</v>
      </c>
      <c r="D3419" s="489" t="s">
        <v>11632</v>
      </c>
      <c r="E3419" s="487" t="s">
        <v>11633</v>
      </c>
      <c r="F3419" s="490">
        <v>0</v>
      </c>
      <c r="G3419" s="489">
        <v>71.900000000000006</v>
      </c>
      <c r="H3419" s="489">
        <v>0</v>
      </c>
      <c r="I3419" s="487" t="s">
        <v>1593</v>
      </c>
      <c r="J3419" s="487" t="s">
        <v>410</v>
      </c>
    </row>
    <row r="3420" spans="1:10" ht="15" x14ac:dyDescent="0.2">
      <c r="A3420" s="486" t="s">
        <v>409</v>
      </c>
      <c r="B3420" s="487" t="s">
        <v>408</v>
      </c>
      <c r="C3420" s="488" t="s">
        <v>11634</v>
      </c>
      <c r="D3420" s="489" t="s">
        <v>11635</v>
      </c>
      <c r="E3420" s="487" t="s">
        <v>11636</v>
      </c>
      <c r="F3420" s="490">
        <v>12735</v>
      </c>
      <c r="G3420" s="489">
        <v>319.5</v>
      </c>
      <c r="H3420" s="489">
        <v>39.85915</v>
      </c>
      <c r="I3420" s="487" t="s">
        <v>1499</v>
      </c>
      <c r="J3420" s="487" t="s">
        <v>410</v>
      </c>
    </row>
    <row r="3421" spans="1:10" ht="15" x14ac:dyDescent="0.2">
      <c r="A3421" s="486" t="s">
        <v>409</v>
      </c>
      <c r="B3421" s="487" t="s">
        <v>408</v>
      </c>
      <c r="C3421" s="488" t="s">
        <v>11637</v>
      </c>
      <c r="D3421" s="489" t="s">
        <v>11638</v>
      </c>
      <c r="E3421" s="487" t="s">
        <v>11639</v>
      </c>
      <c r="F3421" s="490">
        <v>14500</v>
      </c>
      <c r="G3421" s="489">
        <v>188.3</v>
      </c>
      <c r="H3421" s="489">
        <v>77.004779999999997</v>
      </c>
      <c r="I3421" s="487" t="s">
        <v>1499</v>
      </c>
      <c r="J3421" s="487" t="s">
        <v>410</v>
      </c>
    </row>
    <row r="3422" spans="1:10" ht="15" x14ac:dyDescent="0.2">
      <c r="A3422" s="486" t="s">
        <v>409</v>
      </c>
      <c r="B3422" s="487" t="s">
        <v>408</v>
      </c>
      <c r="C3422" s="488" t="s">
        <v>11640</v>
      </c>
      <c r="D3422" s="489" t="s">
        <v>11641</v>
      </c>
      <c r="E3422" s="487" t="s">
        <v>11642</v>
      </c>
      <c r="F3422" s="490">
        <v>16721</v>
      </c>
      <c r="G3422" s="489">
        <v>184.8</v>
      </c>
      <c r="H3422" s="489">
        <v>90.4816</v>
      </c>
      <c r="I3422" s="487" t="s">
        <v>1499</v>
      </c>
      <c r="J3422" s="487" t="s">
        <v>410</v>
      </c>
    </row>
    <row r="3423" spans="1:10" ht="15" x14ac:dyDescent="0.2">
      <c r="A3423" s="486" t="s">
        <v>409</v>
      </c>
      <c r="B3423" s="487" t="s">
        <v>408</v>
      </c>
      <c r="C3423" s="488" t="s">
        <v>11643</v>
      </c>
      <c r="D3423" s="489" t="s">
        <v>11644</v>
      </c>
      <c r="E3423" s="487" t="s">
        <v>11212</v>
      </c>
      <c r="F3423" s="490">
        <v>13614</v>
      </c>
      <c r="G3423" s="489">
        <v>267.10000000000002</v>
      </c>
      <c r="H3423" s="489">
        <v>50.969670000000001</v>
      </c>
      <c r="I3423" s="487" t="s">
        <v>1499</v>
      </c>
      <c r="J3423" s="487" t="s">
        <v>410</v>
      </c>
    </row>
    <row r="3424" spans="1:10" ht="15" x14ac:dyDescent="0.2">
      <c r="A3424" s="486" t="s">
        <v>409</v>
      </c>
      <c r="B3424" s="487" t="s">
        <v>408</v>
      </c>
      <c r="C3424" s="488" t="s">
        <v>11645</v>
      </c>
      <c r="D3424" s="489" t="s">
        <v>11646</v>
      </c>
      <c r="E3424" s="487" t="s">
        <v>11647</v>
      </c>
      <c r="F3424" s="490">
        <v>6500</v>
      </c>
      <c r="G3424" s="489">
        <v>142</v>
      </c>
      <c r="H3424" s="489">
        <v>45.774650000000001</v>
      </c>
      <c r="I3424" s="487" t="s">
        <v>1499</v>
      </c>
      <c r="J3424" s="487" t="s">
        <v>410</v>
      </c>
    </row>
    <row r="3425" spans="1:10" ht="15" x14ac:dyDescent="0.2">
      <c r="A3425" s="486" t="s">
        <v>409</v>
      </c>
      <c r="B3425" s="487" t="s">
        <v>408</v>
      </c>
      <c r="C3425" s="488" t="s">
        <v>11648</v>
      </c>
      <c r="D3425" s="489" t="s">
        <v>11649</v>
      </c>
      <c r="E3425" s="487" t="s">
        <v>11650</v>
      </c>
      <c r="F3425" s="490">
        <v>16880</v>
      </c>
      <c r="G3425" s="489">
        <v>403.3</v>
      </c>
      <c r="H3425" s="489">
        <v>41.854700000000001</v>
      </c>
      <c r="I3425" s="487" t="s">
        <v>1499</v>
      </c>
      <c r="J3425" s="487" t="s">
        <v>410</v>
      </c>
    </row>
    <row r="3426" spans="1:10" ht="15" x14ac:dyDescent="0.2">
      <c r="A3426" s="486" t="s">
        <v>409</v>
      </c>
      <c r="B3426" s="487" t="s">
        <v>408</v>
      </c>
      <c r="C3426" s="488" t="s">
        <v>11651</v>
      </c>
      <c r="D3426" s="489" t="s">
        <v>11652</v>
      </c>
      <c r="E3426" s="487" t="s">
        <v>11653</v>
      </c>
      <c r="F3426" s="490">
        <v>0</v>
      </c>
      <c r="G3426" s="489">
        <v>0</v>
      </c>
      <c r="H3426" s="489">
        <v>0</v>
      </c>
      <c r="I3426" s="487" t="s">
        <v>2465</v>
      </c>
      <c r="J3426" s="487" t="s">
        <v>410</v>
      </c>
    </row>
    <row r="3427" spans="1:10" ht="15" x14ac:dyDescent="0.2">
      <c r="A3427" s="486" t="s">
        <v>409</v>
      </c>
      <c r="B3427" s="487" t="s">
        <v>408</v>
      </c>
      <c r="C3427" s="488" t="s">
        <v>11654</v>
      </c>
      <c r="D3427" s="489" t="s">
        <v>11655</v>
      </c>
      <c r="E3427" s="487" t="s">
        <v>11656</v>
      </c>
      <c r="F3427" s="490">
        <v>147077</v>
      </c>
      <c r="G3427" s="489">
        <v>2516.1</v>
      </c>
      <c r="H3427" s="489">
        <v>58.454349999999998</v>
      </c>
      <c r="I3427" s="487" t="s">
        <v>2465</v>
      </c>
      <c r="J3427" s="487" t="s">
        <v>410</v>
      </c>
    </row>
    <row r="3428" spans="1:10" ht="15" x14ac:dyDescent="0.2">
      <c r="A3428" s="486" t="s">
        <v>409</v>
      </c>
      <c r="B3428" s="487" t="s">
        <v>408</v>
      </c>
      <c r="C3428" s="488" t="s">
        <v>11657</v>
      </c>
      <c r="D3428" s="489" t="s">
        <v>11658</v>
      </c>
      <c r="E3428" s="487" t="s">
        <v>11659</v>
      </c>
      <c r="F3428" s="490">
        <v>265071</v>
      </c>
      <c r="G3428" s="489">
        <v>3281.7</v>
      </c>
      <c r="H3428" s="489">
        <v>80.772469999999998</v>
      </c>
      <c r="I3428" s="487" t="s">
        <v>1499</v>
      </c>
      <c r="J3428" s="487" t="s">
        <v>410</v>
      </c>
    </row>
    <row r="3429" spans="1:10" ht="15" x14ac:dyDescent="0.2">
      <c r="A3429" s="486" t="s">
        <v>409</v>
      </c>
      <c r="B3429" s="487" t="s">
        <v>408</v>
      </c>
      <c r="C3429" s="488" t="s">
        <v>11660</v>
      </c>
      <c r="D3429" s="489" t="s">
        <v>11661</v>
      </c>
      <c r="E3429" s="487" t="s">
        <v>11662</v>
      </c>
      <c r="F3429" s="490">
        <v>90907</v>
      </c>
      <c r="G3429" s="489">
        <v>1987.7</v>
      </c>
      <c r="H3429" s="489">
        <v>45.734769999999997</v>
      </c>
      <c r="I3429" s="487" t="s">
        <v>1499</v>
      </c>
      <c r="J3429" s="487" t="s">
        <v>410</v>
      </c>
    </row>
    <row r="3430" spans="1:10" ht="15" x14ac:dyDescent="0.2">
      <c r="A3430" s="486" t="s">
        <v>409</v>
      </c>
      <c r="B3430" s="487" t="s">
        <v>408</v>
      </c>
      <c r="C3430" s="488" t="s">
        <v>11663</v>
      </c>
      <c r="D3430" s="489" t="s">
        <v>11664</v>
      </c>
      <c r="E3430" s="487" t="s">
        <v>11665</v>
      </c>
      <c r="F3430" s="490">
        <v>100800</v>
      </c>
      <c r="G3430" s="489">
        <v>1249.5</v>
      </c>
      <c r="H3430" s="489">
        <v>80.672269999999997</v>
      </c>
      <c r="I3430" s="487" t="s">
        <v>1499</v>
      </c>
      <c r="J3430" s="487" t="s">
        <v>410</v>
      </c>
    </row>
    <row r="3431" spans="1:10" ht="15" x14ac:dyDescent="0.2">
      <c r="A3431" s="486" t="s">
        <v>409</v>
      </c>
      <c r="B3431" s="487" t="s">
        <v>408</v>
      </c>
      <c r="C3431" s="488" t="s">
        <v>11666</v>
      </c>
      <c r="D3431" s="489" t="s">
        <v>11667</v>
      </c>
      <c r="E3431" s="487" t="s">
        <v>11668</v>
      </c>
      <c r="F3431" s="490">
        <v>1300</v>
      </c>
      <c r="G3431" s="489">
        <v>28.1</v>
      </c>
      <c r="H3431" s="489">
        <v>46.263350000000003</v>
      </c>
      <c r="I3431" s="487" t="s">
        <v>1499</v>
      </c>
      <c r="J3431" s="487" t="s">
        <v>410</v>
      </c>
    </row>
    <row r="3432" spans="1:10" ht="15" x14ac:dyDescent="0.2">
      <c r="A3432" s="486" t="s">
        <v>409</v>
      </c>
      <c r="B3432" s="487" t="s">
        <v>408</v>
      </c>
      <c r="C3432" s="488" t="s">
        <v>11669</v>
      </c>
      <c r="D3432" s="489" t="s">
        <v>11670</v>
      </c>
      <c r="E3432" s="487" t="s">
        <v>11671</v>
      </c>
      <c r="F3432" s="490">
        <v>11576</v>
      </c>
      <c r="G3432" s="489">
        <v>245.1</v>
      </c>
      <c r="H3432" s="489">
        <v>47.229700000000001</v>
      </c>
      <c r="I3432" s="487" t="s">
        <v>2465</v>
      </c>
      <c r="J3432" s="487" t="s">
        <v>410</v>
      </c>
    </row>
    <row r="3433" spans="1:10" ht="15" x14ac:dyDescent="0.2">
      <c r="A3433" s="486" t="s">
        <v>409</v>
      </c>
      <c r="B3433" s="487" t="s">
        <v>408</v>
      </c>
      <c r="C3433" s="488" t="s">
        <v>11672</v>
      </c>
      <c r="D3433" s="489" t="s">
        <v>11673</v>
      </c>
      <c r="E3433" s="487" t="s">
        <v>11674</v>
      </c>
      <c r="F3433" s="490">
        <v>38008</v>
      </c>
      <c r="G3433" s="489">
        <v>2101</v>
      </c>
      <c r="H3433" s="489">
        <v>18.090430000000001</v>
      </c>
      <c r="I3433" s="487" t="s">
        <v>1499</v>
      </c>
      <c r="J3433" s="487" t="s">
        <v>410</v>
      </c>
    </row>
    <row r="3434" spans="1:10" ht="15" x14ac:dyDescent="0.2">
      <c r="A3434" s="486" t="s">
        <v>409</v>
      </c>
      <c r="B3434" s="487" t="s">
        <v>408</v>
      </c>
      <c r="C3434" s="488" t="s">
        <v>11675</v>
      </c>
      <c r="D3434" s="489" t="s">
        <v>11676</v>
      </c>
      <c r="E3434" s="487" t="s">
        <v>11677</v>
      </c>
      <c r="F3434" s="490">
        <v>47850</v>
      </c>
      <c r="G3434" s="489">
        <v>971.9</v>
      </c>
      <c r="H3434" s="489">
        <v>49.233460000000001</v>
      </c>
      <c r="I3434" s="487" t="s">
        <v>1499</v>
      </c>
      <c r="J3434" s="487" t="s">
        <v>410</v>
      </c>
    </row>
    <row r="3435" spans="1:10" ht="15" x14ac:dyDescent="0.2">
      <c r="A3435" s="486" t="s">
        <v>409</v>
      </c>
      <c r="B3435" s="487" t="s">
        <v>408</v>
      </c>
      <c r="C3435" s="488" t="s">
        <v>11678</v>
      </c>
      <c r="D3435" s="489" t="s">
        <v>11679</v>
      </c>
      <c r="E3435" s="487" t="s">
        <v>11680</v>
      </c>
      <c r="F3435" s="490">
        <v>90000</v>
      </c>
      <c r="G3435" s="489">
        <v>790.7</v>
      </c>
      <c r="H3435" s="489">
        <v>113.82319</v>
      </c>
      <c r="I3435" s="487" t="s">
        <v>1499</v>
      </c>
      <c r="J3435" s="487" t="s">
        <v>410</v>
      </c>
    </row>
    <row r="3436" spans="1:10" ht="15" x14ac:dyDescent="0.2">
      <c r="A3436" s="486" t="s">
        <v>409</v>
      </c>
      <c r="B3436" s="487" t="s">
        <v>408</v>
      </c>
      <c r="C3436" s="488" t="s">
        <v>11681</v>
      </c>
      <c r="D3436" s="489" t="s">
        <v>11682</v>
      </c>
      <c r="E3436" s="487" t="s">
        <v>11683</v>
      </c>
      <c r="F3436" s="490">
        <v>36000</v>
      </c>
      <c r="G3436" s="489">
        <v>442.4</v>
      </c>
      <c r="H3436" s="489">
        <v>81.374319999999997</v>
      </c>
      <c r="I3436" s="487" t="s">
        <v>1499</v>
      </c>
      <c r="J3436" s="487" t="s">
        <v>410</v>
      </c>
    </row>
    <row r="3437" spans="1:10" ht="15" x14ac:dyDescent="0.2">
      <c r="A3437" s="486" t="s">
        <v>409</v>
      </c>
      <c r="B3437" s="487" t="s">
        <v>408</v>
      </c>
      <c r="C3437" s="488" t="s">
        <v>11684</v>
      </c>
      <c r="D3437" s="489" t="s">
        <v>11685</v>
      </c>
      <c r="E3437" s="487" t="s">
        <v>11686</v>
      </c>
      <c r="F3437" s="490">
        <v>51087</v>
      </c>
      <c r="G3437" s="489">
        <v>681.3</v>
      </c>
      <c r="H3437" s="489">
        <v>74.984589999999997</v>
      </c>
      <c r="I3437" s="487" t="s">
        <v>1499</v>
      </c>
      <c r="J3437" s="487" t="s">
        <v>410</v>
      </c>
    </row>
    <row r="3438" spans="1:10" ht="15" x14ac:dyDescent="0.2">
      <c r="A3438" s="486" t="s">
        <v>409</v>
      </c>
      <c r="B3438" s="487" t="s">
        <v>408</v>
      </c>
      <c r="C3438" s="488" t="s">
        <v>11687</v>
      </c>
      <c r="D3438" s="489" t="s">
        <v>11688</v>
      </c>
      <c r="E3438" s="487" t="s">
        <v>11689</v>
      </c>
      <c r="F3438" s="490">
        <v>1200</v>
      </c>
      <c r="G3438" s="489">
        <v>107.2</v>
      </c>
      <c r="H3438" s="489">
        <v>11.19403</v>
      </c>
      <c r="I3438" s="487" t="s">
        <v>1499</v>
      </c>
      <c r="J3438" s="487" t="s">
        <v>410</v>
      </c>
    </row>
    <row r="3439" spans="1:10" ht="15" x14ac:dyDescent="0.2">
      <c r="A3439" s="486" t="s">
        <v>409</v>
      </c>
      <c r="B3439" s="487" t="s">
        <v>408</v>
      </c>
      <c r="C3439" s="488" t="s">
        <v>11690</v>
      </c>
      <c r="D3439" s="489" t="s">
        <v>11691</v>
      </c>
      <c r="E3439" s="487" t="s">
        <v>11692</v>
      </c>
      <c r="F3439" s="490">
        <v>4300</v>
      </c>
      <c r="G3439" s="489">
        <v>146.69999999999999</v>
      </c>
      <c r="H3439" s="489">
        <v>29.311520000000002</v>
      </c>
      <c r="I3439" s="487" t="s">
        <v>1499</v>
      </c>
      <c r="J3439" s="487" t="s">
        <v>410</v>
      </c>
    </row>
    <row r="3440" spans="1:10" ht="15" x14ac:dyDescent="0.2">
      <c r="A3440" s="486" t="s">
        <v>409</v>
      </c>
      <c r="B3440" s="487" t="s">
        <v>408</v>
      </c>
      <c r="C3440" s="488" t="s">
        <v>11693</v>
      </c>
      <c r="D3440" s="489" t="s">
        <v>11694</v>
      </c>
      <c r="E3440" s="487" t="s">
        <v>11695</v>
      </c>
      <c r="F3440" s="490">
        <v>1600</v>
      </c>
      <c r="G3440" s="489">
        <v>44.7</v>
      </c>
      <c r="H3440" s="489">
        <v>35.794179999999997</v>
      </c>
      <c r="I3440" s="487" t="s">
        <v>1499</v>
      </c>
      <c r="J3440" s="487" t="s">
        <v>410</v>
      </c>
    </row>
    <row r="3441" spans="1:10" ht="15" x14ac:dyDescent="0.2">
      <c r="A3441" s="486" t="s">
        <v>409</v>
      </c>
      <c r="B3441" s="487" t="s">
        <v>408</v>
      </c>
      <c r="C3441" s="488" t="s">
        <v>11696</v>
      </c>
      <c r="D3441" s="489" t="s">
        <v>11697</v>
      </c>
      <c r="E3441" s="487" t="s">
        <v>11698</v>
      </c>
      <c r="F3441" s="490">
        <v>216906</v>
      </c>
      <c r="G3441" s="489">
        <v>4259.2</v>
      </c>
      <c r="H3441" s="489">
        <v>50.926470000000002</v>
      </c>
      <c r="I3441" s="487" t="s">
        <v>1499</v>
      </c>
      <c r="J3441" s="487" t="s">
        <v>410</v>
      </c>
    </row>
    <row r="3442" spans="1:10" ht="15" x14ac:dyDescent="0.2">
      <c r="A3442" s="486" t="s">
        <v>409</v>
      </c>
      <c r="B3442" s="487" t="s">
        <v>408</v>
      </c>
      <c r="C3442" s="488" t="s">
        <v>11699</v>
      </c>
      <c r="D3442" s="489" t="s">
        <v>11700</v>
      </c>
      <c r="E3442" s="487" t="s">
        <v>11701</v>
      </c>
      <c r="F3442" s="490">
        <v>0</v>
      </c>
      <c r="G3442" s="489">
        <v>46.6</v>
      </c>
      <c r="H3442" s="489">
        <v>0</v>
      </c>
      <c r="I3442" s="487" t="s">
        <v>1593</v>
      </c>
      <c r="J3442" s="487" t="s">
        <v>410</v>
      </c>
    </row>
    <row r="3443" spans="1:10" ht="15" x14ac:dyDescent="0.2">
      <c r="A3443" s="486" t="s">
        <v>409</v>
      </c>
      <c r="B3443" s="487" t="s">
        <v>408</v>
      </c>
      <c r="C3443" s="488" t="s">
        <v>11702</v>
      </c>
      <c r="D3443" s="489" t="s">
        <v>11703</v>
      </c>
      <c r="E3443" s="487" t="s">
        <v>11704</v>
      </c>
      <c r="F3443" s="490">
        <v>24000</v>
      </c>
      <c r="G3443" s="489">
        <v>381.2</v>
      </c>
      <c r="H3443" s="489">
        <v>62.95908</v>
      </c>
      <c r="I3443" s="487" t="s">
        <v>1499</v>
      </c>
      <c r="J3443" s="487" t="s">
        <v>410</v>
      </c>
    </row>
    <row r="3444" spans="1:10" ht="15" x14ac:dyDescent="0.2">
      <c r="A3444" s="486" t="s">
        <v>409</v>
      </c>
      <c r="B3444" s="487" t="s">
        <v>408</v>
      </c>
      <c r="C3444" s="488" t="s">
        <v>11705</v>
      </c>
      <c r="D3444" s="489" t="s">
        <v>11706</v>
      </c>
      <c r="E3444" s="487" t="s">
        <v>11707</v>
      </c>
      <c r="F3444" s="490">
        <v>2400</v>
      </c>
      <c r="G3444" s="489">
        <v>60.6</v>
      </c>
      <c r="H3444" s="489">
        <v>39.603960000000001</v>
      </c>
      <c r="I3444" s="487" t="s">
        <v>2465</v>
      </c>
      <c r="J3444" s="487" t="s">
        <v>410</v>
      </c>
    </row>
    <row r="3445" spans="1:10" ht="15" x14ac:dyDescent="0.2">
      <c r="A3445" s="486" t="s">
        <v>409</v>
      </c>
      <c r="B3445" s="487" t="s">
        <v>408</v>
      </c>
      <c r="C3445" s="488" t="s">
        <v>11708</v>
      </c>
      <c r="D3445" s="489" t="s">
        <v>11709</v>
      </c>
      <c r="E3445" s="487" t="s">
        <v>11710</v>
      </c>
      <c r="F3445" s="490">
        <v>0</v>
      </c>
      <c r="G3445" s="489">
        <v>0</v>
      </c>
      <c r="H3445" s="489">
        <v>0</v>
      </c>
      <c r="I3445" s="487" t="s">
        <v>2465</v>
      </c>
      <c r="J3445" s="487" t="s">
        <v>410</v>
      </c>
    </row>
    <row r="3446" spans="1:10" ht="15" x14ac:dyDescent="0.2">
      <c r="A3446" s="486" t="s">
        <v>409</v>
      </c>
      <c r="B3446" s="487" t="s">
        <v>408</v>
      </c>
      <c r="C3446" s="488" t="s">
        <v>11711</v>
      </c>
      <c r="D3446" s="489" t="s">
        <v>11712</v>
      </c>
      <c r="E3446" s="487" t="s">
        <v>1650</v>
      </c>
      <c r="F3446" s="490">
        <v>185700</v>
      </c>
      <c r="G3446" s="489">
        <v>2165.9</v>
      </c>
      <c r="H3446" s="489">
        <v>85.738029999999995</v>
      </c>
      <c r="I3446" s="487" t="s">
        <v>1499</v>
      </c>
      <c r="J3446" s="487" t="s">
        <v>410</v>
      </c>
    </row>
    <row r="3447" spans="1:10" ht="15" x14ac:dyDescent="0.2">
      <c r="A3447" s="486" t="s">
        <v>409</v>
      </c>
      <c r="B3447" s="487" t="s">
        <v>408</v>
      </c>
      <c r="C3447" s="488" t="s">
        <v>11713</v>
      </c>
      <c r="D3447" s="489" t="s">
        <v>11714</v>
      </c>
      <c r="E3447" s="487" t="s">
        <v>11715</v>
      </c>
      <c r="F3447" s="490">
        <v>0</v>
      </c>
      <c r="G3447" s="489">
        <v>42.5</v>
      </c>
      <c r="H3447" s="489">
        <v>0</v>
      </c>
      <c r="I3447" s="487" t="s">
        <v>1593</v>
      </c>
      <c r="J3447" s="487" t="s">
        <v>410</v>
      </c>
    </row>
    <row r="3448" spans="1:10" ht="15" x14ac:dyDescent="0.2">
      <c r="A3448" s="486" t="s">
        <v>409</v>
      </c>
      <c r="B3448" s="487" t="s">
        <v>408</v>
      </c>
      <c r="C3448" s="488" t="s">
        <v>11716</v>
      </c>
      <c r="D3448" s="489" t="s">
        <v>11717</v>
      </c>
      <c r="E3448" s="487" t="s">
        <v>11718</v>
      </c>
      <c r="F3448" s="490">
        <v>7476</v>
      </c>
      <c r="G3448" s="489">
        <v>307.10000000000002</v>
      </c>
      <c r="H3448" s="489">
        <v>24.343859999999999</v>
      </c>
      <c r="I3448" s="487" t="s">
        <v>1499</v>
      </c>
      <c r="J3448" s="487" t="s">
        <v>410</v>
      </c>
    </row>
    <row r="3449" spans="1:10" ht="15" x14ac:dyDescent="0.2">
      <c r="A3449" s="486" t="s">
        <v>409</v>
      </c>
      <c r="B3449" s="487" t="s">
        <v>408</v>
      </c>
      <c r="C3449" s="488" t="s">
        <v>11719</v>
      </c>
      <c r="D3449" s="489" t="s">
        <v>11720</v>
      </c>
      <c r="E3449" s="487" t="s">
        <v>11721</v>
      </c>
      <c r="F3449" s="490">
        <v>41181</v>
      </c>
      <c r="G3449" s="489">
        <v>974.9</v>
      </c>
      <c r="H3449" s="489">
        <v>42.241259999999997</v>
      </c>
      <c r="I3449" s="487" t="s">
        <v>1499</v>
      </c>
      <c r="J3449" s="487" t="s">
        <v>410</v>
      </c>
    </row>
    <row r="3450" spans="1:10" ht="15" x14ac:dyDescent="0.2">
      <c r="A3450" s="486" t="s">
        <v>732</v>
      </c>
      <c r="B3450" s="487" t="s">
        <v>731</v>
      </c>
      <c r="C3450" s="488" t="s">
        <v>11722</v>
      </c>
      <c r="D3450" s="489" t="s">
        <v>11723</v>
      </c>
      <c r="E3450" s="487" t="s">
        <v>11724</v>
      </c>
      <c r="F3450" s="490">
        <v>890180</v>
      </c>
      <c r="G3450" s="489">
        <v>7609.03</v>
      </c>
      <c r="H3450" s="489">
        <v>116.98994</v>
      </c>
      <c r="I3450" s="487" t="s">
        <v>1499</v>
      </c>
      <c r="J3450" s="487" t="s">
        <v>733</v>
      </c>
    </row>
    <row r="3451" spans="1:10" ht="15" x14ac:dyDescent="0.2">
      <c r="A3451" s="486" t="s">
        <v>732</v>
      </c>
      <c r="B3451" s="487" t="s">
        <v>731</v>
      </c>
      <c r="C3451" s="488" t="s">
        <v>11725</v>
      </c>
      <c r="D3451" s="489" t="s">
        <v>11726</v>
      </c>
      <c r="E3451" s="487" t="s">
        <v>11727</v>
      </c>
      <c r="F3451" s="490">
        <v>20262</v>
      </c>
      <c r="G3451" s="489">
        <v>331.94</v>
      </c>
      <c r="H3451" s="489">
        <v>61.041150000000002</v>
      </c>
      <c r="I3451" s="487" t="s">
        <v>1499</v>
      </c>
      <c r="J3451" s="487" t="s">
        <v>733</v>
      </c>
    </row>
    <row r="3452" spans="1:10" ht="15" x14ac:dyDescent="0.2">
      <c r="A3452" s="486" t="s">
        <v>732</v>
      </c>
      <c r="B3452" s="487" t="s">
        <v>731</v>
      </c>
      <c r="C3452" s="488" t="s">
        <v>11728</v>
      </c>
      <c r="D3452" s="489" t="s">
        <v>11729</v>
      </c>
      <c r="E3452" s="487" t="s">
        <v>11730</v>
      </c>
      <c r="F3452" s="490">
        <v>64349</v>
      </c>
      <c r="G3452" s="489">
        <v>561.24</v>
      </c>
      <c r="H3452" s="489">
        <v>114.65505</v>
      </c>
      <c r="I3452" s="487" t="s">
        <v>1499</v>
      </c>
      <c r="J3452" s="487" t="s">
        <v>733</v>
      </c>
    </row>
    <row r="3453" spans="1:10" ht="15" x14ac:dyDescent="0.2">
      <c r="A3453" s="486" t="s">
        <v>732</v>
      </c>
      <c r="B3453" s="487" t="s">
        <v>731</v>
      </c>
      <c r="C3453" s="488" t="s">
        <v>11731</v>
      </c>
      <c r="D3453" s="489" t="s">
        <v>11732</v>
      </c>
      <c r="E3453" s="487" t="s">
        <v>11733</v>
      </c>
      <c r="F3453" s="490">
        <v>14560</v>
      </c>
      <c r="G3453" s="489">
        <v>291.35000000000002</v>
      </c>
      <c r="H3453" s="489">
        <v>49.974260000000001</v>
      </c>
      <c r="I3453" s="487" t="s">
        <v>1499</v>
      </c>
      <c r="J3453" s="487" t="s">
        <v>733</v>
      </c>
    </row>
    <row r="3454" spans="1:10" ht="15" x14ac:dyDescent="0.2">
      <c r="A3454" s="486" t="s">
        <v>732</v>
      </c>
      <c r="B3454" s="487" t="s">
        <v>731</v>
      </c>
      <c r="C3454" s="488" t="s">
        <v>11734</v>
      </c>
      <c r="D3454" s="489" t="s">
        <v>11735</v>
      </c>
      <c r="E3454" s="487" t="s">
        <v>11736</v>
      </c>
      <c r="F3454" s="490">
        <v>94000</v>
      </c>
      <c r="G3454" s="489">
        <v>1007.93</v>
      </c>
      <c r="H3454" s="489">
        <v>93.260440000000003</v>
      </c>
      <c r="I3454" s="487" t="s">
        <v>1499</v>
      </c>
      <c r="J3454" s="487" t="s">
        <v>733</v>
      </c>
    </row>
    <row r="3455" spans="1:10" ht="15" x14ac:dyDescent="0.2">
      <c r="A3455" s="486" t="s">
        <v>732</v>
      </c>
      <c r="B3455" s="487" t="s">
        <v>731</v>
      </c>
      <c r="C3455" s="488" t="s">
        <v>11737</v>
      </c>
      <c r="D3455" s="489" t="s">
        <v>11738</v>
      </c>
      <c r="E3455" s="487" t="s">
        <v>11739</v>
      </c>
      <c r="F3455" s="490">
        <v>449576</v>
      </c>
      <c r="G3455" s="489">
        <v>4405.2</v>
      </c>
      <c r="H3455" s="489">
        <v>102.05575</v>
      </c>
      <c r="I3455" s="487" t="s">
        <v>1499</v>
      </c>
      <c r="J3455" s="487" t="s">
        <v>733</v>
      </c>
    </row>
    <row r="3456" spans="1:10" ht="15" x14ac:dyDescent="0.2">
      <c r="A3456" s="486" t="s">
        <v>732</v>
      </c>
      <c r="B3456" s="487" t="s">
        <v>731</v>
      </c>
      <c r="C3456" s="488" t="s">
        <v>11740</v>
      </c>
      <c r="D3456" s="489" t="s">
        <v>11741</v>
      </c>
      <c r="E3456" s="487" t="s">
        <v>11742</v>
      </c>
      <c r="F3456" s="490">
        <v>24500</v>
      </c>
      <c r="G3456" s="489">
        <v>376.71</v>
      </c>
      <c r="H3456" s="489">
        <v>65.036770000000004</v>
      </c>
      <c r="I3456" s="487" t="s">
        <v>1499</v>
      </c>
      <c r="J3456" s="487" t="s">
        <v>733</v>
      </c>
    </row>
    <row r="3457" spans="1:10" ht="15" x14ac:dyDescent="0.2">
      <c r="A3457" s="486" t="s">
        <v>732</v>
      </c>
      <c r="B3457" s="487" t="s">
        <v>731</v>
      </c>
      <c r="C3457" s="488" t="s">
        <v>11743</v>
      </c>
      <c r="D3457" s="489" t="s">
        <v>11744</v>
      </c>
      <c r="E3457" s="487" t="s">
        <v>11745</v>
      </c>
      <c r="F3457" s="490">
        <v>19690</v>
      </c>
      <c r="G3457" s="489">
        <v>267.11</v>
      </c>
      <c r="H3457" s="489">
        <v>73.714950000000002</v>
      </c>
      <c r="I3457" s="487" t="s">
        <v>1499</v>
      </c>
      <c r="J3457" s="487" t="s">
        <v>733</v>
      </c>
    </row>
    <row r="3458" spans="1:10" ht="15" x14ac:dyDescent="0.2">
      <c r="A3458" s="486" t="s">
        <v>732</v>
      </c>
      <c r="B3458" s="487" t="s">
        <v>731</v>
      </c>
      <c r="C3458" s="488" t="s">
        <v>11746</v>
      </c>
      <c r="D3458" s="489" t="s">
        <v>11747</v>
      </c>
      <c r="E3458" s="487" t="s">
        <v>11748</v>
      </c>
      <c r="F3458" s="490">
        <v>230000</v>
      </c>
      <c r="G3458" s="489">
        <v>2302.59</v>
      </c>
      <c r="H3458" s="489">
        <v>99.887519999999995</v>
      </c>
      <c r="I3458" s="487" t="s">
        <v>1499</v>
      </c>
      <c r="J3458" s="487" t="s">
        <v>733</v>
      </c>
    </row>
    <row r="3459" spans="1:10" ht="15" x14ac:dyDescent="0.2">
      <c r="A3459" s="486" t="s">
        <v>732</v>
      </c>
      <c r="B3459" s="487" t="s">
        <v>731</v>
      </c>
      <c r="C3459" s="488" t="s">
        <v>11749</v>
      </c>
      <c r="D3459" s="489" t="s">
        <v>11750</v>
      </c>
      <c r="E3459" s="487" t="s">
        <v>11751</v>
      </c>
      <c r="F3459" s="490">
        <v>0</v>
      </c>
      <c r="G3459" s="489">
        <v>76.290000000000006</v>
      </c>
      <c r="H3459" s="489">
        <v>0</v>
      </c>
      <c r="I3459" s="487" t="s">
        <v>1593</v>
      </c>
      <c r="J3459" s="487" t="s">
        <v>733</v>
      </c>
    </row>
    <row r="3460" spans="1:10" ht="15" x14ac:dyDescent="0.2">
      <c r="A3460" s="486" t="s">
        <v>732</v>
      </c>
      <c r="B3460" s="487" t="s">
        <v>731</v>
      </c>
      <c r="C3460" s="488" t="s">
        <v>11752</v>
      </c>
      <c r="D3460" s="489" t="s">
        <v>11753</v>
      </c>
      <c r="E3460" s="487" t="s">
        <v>11754</v>
      </c>
      <c r="F3460" s="490">
        <v>34526</v>
      </c>
      <c r="G3460" s="489">
        <v>576.41999999999996</v>
      </c>
      <c r="H3460" s="489">
        <v>59.897300000000001</v>
      </c>
      <c r="I3460" s="487" t="s">
        <v>1499</v>
      </c>
      <c r="J3460" s="487" t="s">
        <v>733</v>
      </c>
    </row>
    <row r="3461" spans="1:10" ht="15" x14ac:dyDescent="0.2">
      <c r="A3461" s="486" t="s">
        <v>732</v>
      </c>
      <c r="B3461" s="487" t="s">
        <v>731</v>
      </c>
      <c r="C3461" s="488" t="s">
        <v>11755</v>
      </c>
      <c r="D3461" s="489" t="s">
        <v>11756</v>
      </c>
      <c r="E3461" s="487" t="s">
        <v>11757</v>
      </c>
      <c r="F3461" s="490">
        <v>6107.11</v>
      </c>
      <c r="G3461" s="489">
        <v>98.25</v>
      </c>
      <c r="H3461" s="489">
        <v>62.158880000000003</v>
      </c>
      <c r="I3461" s="487" t="s">
        <v>1499</v>
      </c>
      <c r="J3461" s="487" t="s">
        <v>733</v>
      </c>
    </row>
    <row r="3462" spans="1:10" ht="15" x14ac:dyDescent="0.2">
      <c r="A3462" s="486" t="s">
        <v>732</v>
      </c>
      <c r="B3462" s="487" t="s">
        <v>731</v>
      </c>
      <c r="C3462" s="488" t="s">
        <v>11758</v>
      </c>
      <c r="D3462" s="489" t="s">
        <v>11759</v>
      </c>
      <c r="E3462" s="487" t="s">
        <v>7148</v>
      </c>
      <c r="F3462" s="490">
        <v>15000</v>
      </c>
      <c r="G3462" s="489">
        <v>365.27</v>
      </c>
      <c r="H3462" s="489">
        <v>41.065510000000003</v>
      </c>
      <c r="I3462" s="487" t="s">
        <v>1499</v>
      </c>
      <c r="J3462" s="487" t="s">
        <v>733</v>
      </c>
    </row>
    <row r="3463" spans="1:10" ht="15" x14ac:dyDescent="0.2">
      <c r="A3463" s="486" t="s">
        <v>732</v>
      </c>
      <c r="B3463" s="487" t="s">
        <v>731</v>
      </c>
      <c r="C3463" s="488" t="s">
        <v>11760</v>
      </c>
      <c r="D3463" s="489" t="s">
        <v>11761</v>
      </c>
      <c r="E3463" s="487" t="s">
        <v>11762</v>
      </c>
      <c r="F3463" s="490">
        <v>192200</v>
      </c>
      <c r="G3463" s="489">
        <v>2135.6999999999998</v>
      </c>
      <c r="H3463" s="489">
        <v>89.99391</v>
      </c>
      <c r="I3463" s="487" t="s">
        <v>1499</v>
      </c>
      <c r="J3463" s="487" t="s">
        <v>733</v>
      </c>
    </row>
    <row r="3464" spans="1:10" ht="15" x14ac:dyDescent="0.2">
      <c r="A3464" s="486" t="s">
        <v>732</v>
      </c>
      <c r="B3464" s="487" t="s">
        <v>731</v>
      </c>
      <c r="C3464" s="488" t="s">
        <v>11763</v>
      </c>
      <c r="D3464" s="489" t="s">
        <v>11764</v>
      </c>
      <c r="E3464" s="487" t="s">
        <v>11765</v>
      </c>
      <c r="F3464" s="490">
        <v>35591</v>
      </c>
      <c r="G3464" s="489">
        <v>478.77</v>
      </c>
      <c r="H3464" s="489">
        <v>74.338409999999996</v>
      </c>
      <c r="I3464" s="487" t="s">
        <v>1499</v>
      </c>
      <c r="J3464" s="487" t="s">
        <v>733</v>
      </c>
    </row>
    <row r="3465" spans="1:10" ht="15" x14ac:dyDescent="0.2">
      <c r="A3465" s="486" t="s">
        <v>732</v>
      </c>
      <c r="B3465" s="487" t="s">
        <v>731</v>
      </c>
      <c r="C3465" s="488" t="s">
        <v>11766</v>
      </c>
      <c r="D3465" s="489" t="s">
        <v>11767</v>
      </c>
      <c r="E3465" s="487" t="s">
        <v>11768</v>
      </c>
      <c r="F3465" s="490">
        <v>34400</v>
      </c>
      <c r="G3465" s="489">
        <v>402.4</v>
      </c>
      <c r="H3465" s="489">
        <v>85.487080000000006</v>
      </c>
      <c r="I3465" s="487" t="s">
        <v>1499</v>
      </c>
      <c r="J3465" s="487" t="s">
        <v>733</v>
      </c>
    </row>
    <row r="3466" spans="1:10" ht="15" x14ac:dyDescent="0.2">
      <c r="A3466" s="486" t="s">
        <v>732</v>
      </c>
      <c r="B3466" s="487" t="s">
        <v>731</v>
      </c>
      <c r="C3466" s="488" t="s">
        <v>11769</v>
      </c>
      <c r="D3466" s="489" t="s">
        <v>11770</v>
      </c>
      <c r="E3466" s="487" t="s">
        <v>11771</v>
      </c>
      <c r="F3466" s="490">
        <v>127358</v>
      </c>
      <c r="G3466" s="489">
        <v>1330.7</v>
      </c>
      <c r="H3466" s="489">
        <v>95.707520000000002</v>
      </c>
      <c r="I3466" s="487" t="s">
        <v>1499</v>
      </c>
      <c r="J3466" s="487" t="s">
        <v>733</v>
      </c>
    </row>
    <row r="3467" spans="1:10" ht="15" x14ac:dyDescent="0.2">
      <c r="A3467" s="486" t="s">
        <v>732</v>
      </c>
      <c r="B3467" s="487" t="s">
        <v>731</v>
      </c>
      <c r="C3467" s="488" t="s">
        <v>11772</v>
      </c>
      <c r="D3467" s="489" t="s">
        <v>11773</v>
      </c>
      <c r="E3467" s="487" t="s">
        <v>4782</v>
      </c>
      <c r="F3467" s="490">
        <v>25000</v>
      </c>
      <c r="G3467" s="489">
        <v>336.82</v>
      </c>
      <c r="H3467" s="489">
        <v>74.223619999999997</v>
      </c>
      <c r="I3467" s="487" t="s">
        <v>1499</v>
      </c>
      <c r="J3467" s="487" t="s">
        <v>733</v>
      </c>
    </row>
    <row r="3468" spans="1:10" ht="15" x14ac:dyDescent="0.2">
      <c r="A3468" s="486" t="s">
        <v>732</v>
      </c>
      <c r="B3468" s="487" t="s">
        <v>731</v>
      </c>
      <c r="C3468" s="488" t="s">
        <v>11774</v>
      </c>
      <c r="D3468" s="489" t="s">
        <v>11775</v>
      </c>
      <c r="E3468" s="487" t="s">
        <v>11776</v>
      </c>
      <c r="F3468" s="490">
        <v>17500</v>
      </c>
      <c r="G3468" s="489">
        <v>272.77999999999997</v>
      </c>
      <c r="H3468" s="489">
        <v>64.154259999999994</v>
      </c>
      <c r="I3468" s="487" t="s">
        <v>1499</v>
      </c>
      <c r="J3468" s="487" t="s">
        <v>733</v>
      </c>
    </row>
    <row r="3469" spans="1:10" ht="15" x14ac:dyDescent="0.2">
      <c r="A3469" s="486" t="s">
        <v>732</v>
      </c>
      <c r="B3469" s="487" t="s">
        <v>731</v>
      </c>
      <c r="C3469" s="488" t="s">
        <v>11777</v>
      </c>
      <c r="D3469" s="489" t="s">
        <v>11778</v>
      </c>
      <c r="E3469" s="487" t="s">
        <v>11779</v>
      </c>
      <c r="F3469" s="490">
        <v>176500</v>
      </c>
      <c r="G3469" s="489">
        <v>2689.65</v>
      </c>
      <c r="H3469" s="489">
        <v>65.621920000000003</v>
      </c>
      <c r="I3469" s="487" t="s">
        <v>1499</v>
      </c>
      <c r="J3469" s="487" t="s">
        <v>733</v>
      </c>
    </row>
    <row r="3470" spans="1:10" ht="15" x14ac:dyDescent="0.2">
      <c r="A3470" s="486" t="s">
        <v>732</v>
      </c>
      <c r="B3470" s="487" t="s">
        <v>731</v>
      </c>
      <c r="C3470" s="488" t="s">
        <v>11780</v>
      </c>
      <c r="D3470" s="489" t="s">
        <v>11781</v>
      </c>
      <c r="E3470" s="487" t="s">
        <v>11782</v>
      </c>
      <c r="F3470" s="490">
        <v>510903</v>
      </c>
      <c r="G3470" s="489">
        <v>5153.2</v>
      </c>
      <c r="H3470" s="489">
        <v>99.142859999999999</v>
      </c>
      <c r="I3470" s="487" t="s">
        <v>1499</v>
      </c>
      <c r="J3470" s="487" t="s">
        <v>733</v>
      </c>
    </row>
    <row r="3471" spans="1:10" ht="15" x14ac:dyDescent="0.2">
      <c r="A3471" s="486" t="s">
        <v>732</v>
      </c>
      <c r="B3471" s="487" t="s">
        <v>731</v>
      </c>
      <c r="C3471" s="488" t="s">
        <v>11783</v>
      </c>
      <c r="D3471" s="489" t="s">
        <v>11784</v>
      </c>
      <c r="E3471" s="487" t="s">
        <v>4552</v>
      </c>
      <c r="F3471" s="490">
        <v>29240</v>
      </c>
      <c r="G3471" s="489">
        <v>295.64</v>
      </c>
      <c r="H3471" s="489">
        <v>98.904070000000004</v>
      </c>
      <c r="I3471" s="487" t="s">
        <v>1499</v>
      </c>
      <c r="J3471" s="487" t="s">
        <v>733</v>
      </c>
    </row>
    <row r="3472" spans="1:10" ht="15" x14ac:dyDescent="0.2">
      <c r="A3472" s="486" t="s">
        <v>732</v>
      </c>
      <c r="B3472" s="487" t="s">
        <v>731</v>
      </c>
      <c r="C3472" s="488" t="s">
        <v>11785</v>
      </c>
      <c r="D3472" s="489" t="s">
        <v>11786</v>
      </c>
      <c r="E3472" s="487" t="s">
        <v>11787</v>
      </c>
      <c r="F3472" s="490">
        <v>6426</v>
      </c>
      <c r="G3472" s="489">
        <v>144.47</v>
      </c>
      <c r="H3472" s="489">
        <v>44.479819999999997</v>
      </c>
      <c r="I3472" s="487" t="s">
        <v>1499</v>
      </c>
      <c r="J3472" s="487" t="s">
        <v>733</v>
      </c>
    </row>
    <row r="3473" spans="1:10" ht="15" x14ac:dyDescent="0.2">
      <c r="A3473" s="486" t="s">
        <v>732</v>
      </c>
      <c r="B3473" s="487" t="s">
        <v>731</v>
      </c>
      <c r="C3473" s="488" t="s">
        <v>11788</v>
      </c>
      <c r="D3473" s="489" t="s">
        <v>11789</v>
      </c>
      <c r="E3473" s="487" t="s">
        <v>11790</v>
      </c>
      <c r="F3473" s="490">
        <v>2000</v>
      </c>
      <c r="G3473" s="489">
        <v>96.76</v>
      </c>
      <c r="H3473" s="489">
        <v>20.669699999999999</v>
      </c>
      <c r="I3473" s="487" t="s">
        <v>1499</v>
      </c>
      <c r="J3473" s="487" t="s">
        <v>733</v>
      </c>
    </row>
    <row r="3474" spans="1:10" ht="15" x14ac:dyDescent="0.2">
      <c r="A3474" s="486" t="s">
        <v>732</v>
      </c>
      <c r="B3474" s="487" t="s">
        <v>731</v>
      </c>
      <c r="C3474" s="488" t="s">
        <v>11791</v>
      </c>
      <c r="D3474" s="489" t="s">
        <v>11792</v>
      </c>
      <c r="E3474" s="487" t="s">
        <v>11793</v>
      </c>
      <c r="F3474" s="490">
        <v>56000</v>
      </c>
      <c r="G3474" s="489">
        <v>1065.3800000000001</v>
      </c>
      <c r="H3474" s="489">
        <v>52.563400000000001</v>
      </c>
      <c r="I3474" s="487" t="s">
        <v>1499</v>
      </c>
      <c r="J3474" s="487" t="s">
        <v>733</v>
      </c>
    </row>
    <row r="3475" spans="1:10" ht="15" x14ac:dyDescent="0.2">
      <c r="A3475" s="486" t="s">
        <v>732</v>
      </c>
      <c r="B3475" s="487" t="s">
        <v>731</v>
      </c>
      <c r="C3475" s="488" t="s">
        <v>11794</v>
      </c>
      <c r="D3475" s="489" t="s">
        <v>11795</v>
      </c>
      <c r="E3475" s="487" t="s">
        <v>11796</v>
      </c>
      <c r="F3475" s="490">
        <v>270623</v>
      </c>
      <c r="G3475" s="489">
        <v>2696.07</v>
      </c>
      <c r="H3475" s="489">
        <v>100.37684</v>
      </c>
      <c r="I3475" s="487" t="s">
        <v>1499</v>
      </c>
      <c r="J3475" s="487" t="s">
        <v>733</v>
      </c>
    </row>
    <row r="3476" spans="1:10" ht="15" x14ac:dyDescent="0.2">
      <c r="A3476" s="486" t="s">
        <v>732</v>
      </c>
      <c r="B3476" s="487" t="s">
        <v>731</v>
      </c>
      <c r="C3476" s="488" t="s">
        <v>11797</v>
      </c>
      <c r="D3476" s="489" t="s">
        <v>11798</v>
      </c>
      <c r="E3476" s="487" t="s">
        <v>11799</v>
      </c>
      <c r="F3476" s="490">
        <v>87300</v>
      </c>
      <c r="G3476" s="489">
        <v>1511.88</v>
      </c>
      <c r="H3476" s="489">
        <v>57.74268</v>
      </c>
      <c r="I3476" s="487" t="s">
        <v>1499</v>
      </c>
      <c r="J3476" s="487" t="s">
        <v>733</v>
      </c>
    </row>
    <row r="3477" spans="1:10" ht="15" x14ac:dyDescent="0.2">
      <c r="A3477" s="486" t="s">
        <v>732</v>
      </c>
      <c r="B3477" s="487" t="s">
        <v>731</v>
      </c>
      <c r="C3477" s="488" t="s">
        <v>11800</v>
      </c>
      <c r="D3477" s="489" t="s">
        <v>11801</v>
      </c>
      <c r="E3477" s="487" t="s">
        <v>11802</v>
      </c>
      <c r="F3477" s="490">
        <v>850</v>
      </c>
      <c r="G3477" s="489">
        <v>122.87</v>
      </c>
      <c r="H3477" s="489">
        <v>6.9178800000000003</v>
      </c>
      <c r="I3477" s="487" t="s">
        <v>1499</v>
      </c>
      <c r="J3477" s="487" t="s">
        <v>733</v>
      </c>
    </row>
    <row r="3478" spans="1:10" ht="15" x14ac:dyDescent="0.2">
      <c r="A3478" s="486" t="s">
        <v>732</v>
      </c>
      <c r="B3478" s="487" t="s">
        <v>731</v>
      </c>
      <c r="C3478" s="488" t="s">
        <v>11803</v>
      </c>
      <c r="D3478" s="489" t="s">
        <v>11804</v>
      </c>
      <c r="E3478" s="487" t="s">
        <v>11805</v>
      </c>
      <c r="F3478" s="490">
        <v>1214956</v>
      </c>
      <c r="G3478" s="489">
        <v>5832.02</v>
      </c>
      <c r="H3478" s="489">
        <v>208.32507000000001</v>
      </c>
      <c r="I3478" s="487" t="s">
        <v>1499</v>
      </c>
      <c r="J3478" s="487" t="s">
        <v>733</v>
      </c>
    </row>
    <row r="3479" spans="1:10" ht="15" x14ac:dyDescent="0.2">
      <c r="A3479" s="486" t="s">
        <v>732</v>
      </c>
      <c r="B3479" s="487" t="s">
        <v>731</v>
      </c>
      <c r="C3479" s="488" t="s">
        <v>11806</v>
      </c>
      <c r="D3479" s="489" t="s">
        <v>11807</v>
      </c>
      <c r="E3479" s="487" t="s">
        <v>11808</v>
      </c>
      <c r="F3479" s="490">
        <v>62000</v>
      </c>
      <c r="G3479" s="489">
        <v>856.13</v>
      </c>
      <c r="H3479" s="489">
        <v>72.418909999999997</v>
      </c>
      <c r="I3479" s="487" t="s">
        <v>1499</v>
      </c>
      <c r="J3479" s="487" t="s">
        <v>733</v>
      </c>
    </row>
    <row r="3480" spans="1:10" ht="15" x14ac:dyDescent="0.2">
      <c r="A3480" s="486" t="s">
        <v>732</v>
      </c>
      <c r="B3480" s="487" t="s">
        <v>731</v>
      </c>
      <c r="C3480" s="488" t="s">
        <v>11809</v>
      </c>
      <c r="D3480" s="489" t="s">
        <v>11810</v>
      </c>
      <c r="E3480" s="487" t="s">
        <v>11811</v>
      </c>
      <c r="F3480" s="490">
        <v>158945</v>
      </c>
      <c r="G3480" s="489">
        <v>1521.06</v>
      </c>
      <c r="H3480" s="489">
        <v>104.49621</v>
      </c>
      <c r="I3480" s="487" t="s">
        <v>1499</v>
      </c>
      <c r="J3480" s="487" t="s">
        <v>733</v>
      </c>
    </row>
    <row r="3481" spans="1:10" ht="15" x14ac:dyDescent="0.2">
      <c r="A3481" s="486" t="s">
        <v>732</v>
      </c>
      <c r="B3481" s="487" t="s">
        <v>731</v>
      </c>
      <c r="C3481" s="488" t="s">
        <v>11812</v>
      </c>
      <c r="D3481" s="489" t="s">
        <v>11813</v>
      </c>
      <c r="E3481" s="487" t="s">
        <v>11814</v>
      </c>
      <c r="F3481" s="490">
        <v>68615</v>
      </c>
      <c r="G3481" s="489">
        <v>652.26</v>
      </c>
      <c r="H3481" s="489">
        <v>105.19578</v>
      </c>
      <c r="I3481" s="487" t="s">
        <v>1499</v>
      </c>
      <c r="J3481" s="487" t="s">
        <v>733</v>
      </c>
    </row>
    <row r="3482" spans="1:10" ht="15" x14ac:dyDescent="0.2">
      <c r="A3482" s="486" t="s">
        <v>732</v>
      </c>
      <c r="B3482" s="487" t="s">
        <v>731</v>
      </c>
      <c r="C3482" s="488" t="s">
        <v>11815</v>
      </c>
      <c r="D3482" s="489" t="s">
        <v>11816</v>
      </c>
      <c r="E3482" s="487" t="s">
        <v>11817</v>
      </c>
      <c r="F3482" s="490">
        <v>13500</v>
      </c>
      <c r="G3482" s="489">
        <v>235.68</v>
      </c>
      <c r="H3482" s="489">
        <v>57.281059999999997</v>
      </c>
      <c r="I3482" s="487" t="s">
        <v>1499</v>
      </c>
      <c r="J3482" s="487" t="s">
        <v>733</v>
      </c>
    </row>
    <row r="3483" spans="1:10" ht="15" x14ac:dyDescent="0.2">
      <c r="A3483" s="486" t="s">
        <v>732</v>
      </c>
      <c r="B3483" s="487" t="s">
        <v>731</v>
      </c>
      <c r="C3483" s="488" t="s">
        <v>11818</v>
      </c>
      <c r="D3483" s="489" t="s">
        <v>11819</v>
      </c>
      <c r="E3483" s="487" t="s">
        <v>11820</v>
      </c>
      <c r="F3483" s="490">
        <v>47250</v>
      </c>
      <c r="G3483" s="489">
        <v>472.51</v>
      </c>
      <c r="H3483" s="489">
        <v>99.997879999999995</v>
      </c>
      <c r="I3483" s="487" t="s">
        <v>1499</v>
      </c>
      <c r="J3483" s="487" t="s">
        <v>733</v>
      </c>
    </row>
    <row r="3484" spans="1:10" ht="15" x14ac:dyDescent="0.2">
      <c r="A3484" s="486" t="s">
        <v>732</v>
      </c>
      <c r="B3484" s="487" t="s">
        <v>731</v>
      </c>
      <c r="C3484" s="488" t="s">
        <v>11821</v>
      </c>
      <c r="D3484" s="489" t="s">
        <v>11822</v>
      </c>
      <c r="E3484" s="487" t="s">
        <v>11823</v>
      </c>
      <c r="F3484" s="490">
        <v>46000</v>
      </c>
      <c r="G3484" s="489">
        <v>520.67999999999995</v>
      </c>
      <c r="H3484" s="489">
        <v>88.346010000000007</v>
      </c>
      <c r="I3484" s="487" t="s">
        <v>1499</v>
      </c>
      <c r="J3484" s="487" t="s">
        <v>733</v>
      </c>
    </row>
    <row r="3485" spans="1:10" ht="15" x14ac:dyDescent="0.2">
      <c r="A3485" s="486" t="s">
        <v>732</v>
      </c>
      <c r="B3485" s="487" t="s">
        <v>731</v>
      </c>
      <c r="C3485" s="488" t="s">
        <v>11824</v>
      </c>
      <c r="D3485" s="489" t="s">
        <v>11825</v>
      </c>
      <c r="E3485" s="487" t="s">
        <v>1254</v>
      </c>
      <c r="F3485" s="490">
        <v>19278</v>
      </c>
      <c r="G3485" s="489">
        <v>182.77</v>
      </c>
      <c r="H3485" s="489">
        <v>105.47683000000001</v>
      </c>
      <c r="I3485" s="487" t="s">
        <v>1499</v>
      </c>
      <c r="J3485" s="487" t="s">
        <v>733</v>
      </c>
    </row>
    <row r="3486" spans="1:10" ht="15" x14ac:dyDescent="0.2">
      <c r="A3486" s="486" t="s">
        <v>732</v>
      </c>
      <c r="B3486" s="487" t="s">
        <v>731</v>
      </c>
      <c r="C3486" s="488" t="s">
        <v>11826</v>
      </c>
      <c r="D3486" s="489" t="s">
        <v>11827</v>
      </c>
      <c r="E3486" s="487" t="s">
        <v>11828</v>
      </c>
      <c r="F3486" s="490">
        <v>0</v>
      </c>
      <c r="G3486" s="489">
        <v>79.680000000000007</v>
      </c>
      <c r="H3486" s="489">
        <v>0</v>
      </c>
      <c r="I3486" s="487" t="s">
        <v>1593</v>
      </c>
      <c r="J3486" s="487" t="s">
        <v>733</v>
      </c>
    </row>
    <row r="3487" spans="1:10" ht="15" x14ac:dyDescent="0.2">
      <c r="A3487" s="486" t="s">
        <v>732</v>
      </c>
      <c r="B3487" s="487" t="s">
        <v>731</v>
      </c>
      <c r="C3487" s="488" t="s">
        <v>11829</v>
      </c>
      <c r="D3487" s="489" t="s">
        <v>11830</v>
      </c>
      <c r="E3487" s="487" t="s">
        <v>11831</v>
      </c>
      <c r="F3487" s="490">
        <v>543874</v>
      </c>
      <c r="G3487" s="489">
        <v>5145.45</v>
      </c>
      <c r="H3487" s="489">
        <v>105.69999</v>
      </c>
      <c r="I3487" s="487" t="s">
        <v>1499</v>
      </c>
      <c r="J3487" s="487" t="s">
        <v>733</v>
      </c>
    </row>
    <row r="3488" spans="1:10" ht="15" x14ac:dyDescent="0.2">
      <c r="A3488" s="486" t="s">
        <v>732</v>
      </c>
      <c r="B3488" s="487" t="s">
        <v>731</v>
      </c>
      <c r="C3488" s="488" t="s">
        <v>11832</v>
      </c>
      <c r="D3488" s="489" t="s">
        <v>11833</v>
      </c>
      <c r="E3488" s="487" t="s">
        <v>11834</v>
      </c>
      <c r="F3488" s="490">
        <v>3500</v>
      </c>
      <c r="G3488" s="489">
        <v>124.43</v>
      </c>
      <c r="H3488" s="489">
        <v>28.128260000000001</v>
      </c>
      <c r="I3488" s="487" t="s">
        <v>1499</v>
      </c>
      <c r="J3488" s="487" t="s">
        <v>733</v>
      </c>
    </row>
    <row r="3489" spans="1:10" ht="15" x14ac:dyDescent="0.2">
      <c r="A3489" s="486" t="s">
        <v>732</v>
      </c>
      <c r="B3489" s="487" t="s">
        <v>731</v>
      </c>
      <c r="C3489" s="488" t="s">
        <v>11835</v>
      </c>
      <c r="D3489" s="489" t="s">
        <v>11836</v>
      </c>
      <c r="E3489" s="487" t="s">
        <v>11837</v>
      </c>
      <c r="F3489" s="490">
        <v>18004</v>
      </c>
      <c r="G3489" s="489">
        <v>198.24</v>
      </c>
      <c r="H3489" s="489">
        <v>90.819209999999998</v>
      </c>
      <c r="I3489" s="487" t="s">
        <v>1499</v>
      </c>
      <c r="J3489" s="487" t="s">
        <v>733</v>
      </c>
    </row>
    <row r="3490" spans="1:10" ht="15" x14ac:dyDescent="0.2">
      <c r="A3490" s="486" t="s">
        <v>761</v>
      </c>
      <c r="B3490" s="487" t="s">
        <v>760</v>
      </c>
      <c r="C3490" s="488" t="s">
        <v>11838</v>
      </c>
      <c r="D3490" s="489" t="s">
        <v>11839</v>
      </c>
      <c r="E3490" s="487" t="s">
        <v>11840</v>
      </c>
      <c r="F3490" s="490">
        <v>69888.89</v>
      </c>
      <c r="G3490" s="489">
        <v>732.13</v>
      </c>
      <c r="H3490" s="489">
        <v>95.459670000000003</v>
      </c>
      <c r="I3490" s="487" t="s">
        <v>1499</v>
      </c>
      <c r="J3490" s="487" t="s">
        <v>762</v>
      </c>
    </row>
    <row r="3491" spans="1:10" ht="15" x14ac:dyDescent="0.2">
      <c r="A3491" s="486" t="s">
        <v>761</v>
      </c>
      <c r="B3491" s="487" t="s">
        <v>760</v>
      </c>
      <c r="C3491" s="488" t="s">
        <v>11841</v>
      </c>
      <c r="D3491" s="489" t="s">
        <v>11842</v>
      </c>
      <c r="E3491" s="487" t="s">
        <v>11843</v>
      </c>
      <c r="F3491" s="490">
        <v>416689.93</v>
      </c>
      <c r="G3491" s="489">
        <v>3566.94</v>
      </c>
      <c r="H3491" s="489">
        <v>116.82</v>
      </c>
      <c r="I3491" s="487" t="s">
        <v>1499</v>
      </c>
      <c r="J3491" s="487" t="s">
        <v>762</v>
      </c>
    </row>
    <row r="3492" spans="1:10" ht="15" x14ac:dyDescent="0.2">
      <c r="A3492" s="486" t="s">
        <v>761</v>
      </c>
      <c r="B3492" s="487" t="s">
        <v>760</v>
      </c>
      <c r="C3492" s="488" t="s">
        <v>11844</v>
      </c>
      <c r="D3492" s="489" t="s">
        <v>11845</v>
      </c>
      <c r="E3492" s="487" t="s">
        <v>11846</v>
      </c>
      <c r="F3492" s="490">
        <v>441428.83</v>
      </c>
      <c r="G3492" s="489">
        <v>3459.2</v>
      </c>
      <c r="H3492" s="489">
        <v>127.61009</v>
      </c>
      <c r="I3492" s="487" t="s">
        <v>1499</v>
      </c>
      <c r="J3492" s="487" t="s">
        <v>762</v>
      </c>
    </row>
    <row r="3493" spans="1:10" ht="15" x14ac:dyDescent="0.2">
      <c r="A3493" s="486" t="s">
        <v>761</v>
      </c>
      <c r="B3493" s="487" t="s">
        <v>760</v>
      </c>
      <c r="C3493" s="488" t="s">
        <v>11847</v>
      </c>
      <c r="D3493" s="489" t="s">
        <v>11848</v>
      </c>
      <c r="E3493" s="487" t="s">
        <v>11849</v>
      </c>
      <c r="F3493" s="490">
        <v>289398.02</v>
      </c>
      <c r="G3493" s="489">
        <v>2909.69</v>
      </c>
      <c r="H3493" s="489">
        <v>99.460089999999994</v>
      </c>
      <c r="I3493" s="487" t="s">
        <v>1499</v>
      </c>
      <c r="J3493" s="487" t="s">
        <v>762</v>
      </c>
    </row>
    <row r="3494" spans="1:10" ht="15" x14ac:dyDescent="0.2">
      <c r="A3494" s="486" t="s">
        <v>761</v>
      </c>
      <c r="B3494" s="487" t="s">
        <v>760</v>
      </c>
      <c r="C3494" s="488" t="s">
        <v>11850</v>
      </c>
      <c r="D3494" s="489" t="s">
        <v>11851</v>
      </c>
      <c r="E3494" s="487" t="s">
        <v>11852</v>
      </c>
      <c r="F3494" s="490">
        <v>602703.59</v>
      </c>
      <c r="G3494" s="489">
        <v>9122.2000000000007</v>
      </c>
      <c r="H3494" s="489">
        <v>66.069980000000001</v>
      </c>
      <c r="I3494" s="487" t="s">
        <v>1499</v>
      </c>
      <c r="J3494" s="487" t="s">
        <v>762</v>
      </c>
    </row>
    <row r="3495" spans="1:10" ht="15" x14ac:dyDescent="0.2">
      <c r="A3495" s="486" t="s">
        <v>761</v>
      </c>
      <c r="B3495" s="487" t="s">
        <v>760</v>
      </c>
      <c r="C3495" s="488" t="s">
        <v>11853</v>
      </c>
      <c r="D3495" s="489" t="s">
        <v>11854</v>
      </c>
      <c r="E3495" s="487" t="s">
        <v>11855</v>
      </c>
      <c r="F3495" s="490">
        <v>632716.46</v>
      </c>
      <c r="G3495" s="489">
        <v>4536.58</v>
      </c>
      <c r="H3495" s="489">
        <v>139.46992</v>
      </c>
      <c r="I3495" s="487" t="s">
        <v>1499</v>
      </c>
      <c r="J3495" s="487" t="s">
        <v>762</v>
      </c>
    </row>
    <row r="3496" spans="1:10" ht="15" x14ac:dyDescent="0.2">
      <c r="A3496" s="486" t="s">
        <v>761</v>
      </c>
      <c r="B3496" s="487" t="s">
        <v>760</v>
      </c>
      <c r="C3496" s="488" t="s">
        <v>11856</v>
      </c>
      <c r="D3496" s="489" t="s">
        <v>11857</v>
      </c>
      <c r="E3496" s="487" t="s">
        <v>11858</v>
      </c>
      <c r="F3496" s="490">
        <v>366250.42</v>
      </c>
      <c r="G3496" s="489">
        <v>1933.23</v>
      </c>
      <c r="H3496" s="489">
        <v>189.45</v>
      </c>
      <c r="I3496" s="487" t="s">
        <v>1499</v>
      </c>
      <c r="J3496" s="487" t="s">
        <v>762</v>
      </c>
    </row>
    <row r="3497" spans="1:10" ht="15" x14ac:dyDescent="0.2">
      <c r="A3497" s="486" t="s">
        <v>761</v>
      </c>
      <c r="B3497" s="487" t="s">
        <v>760</v>
      </c>
      <c r="C3497" s="488" t="s">
        <v>11859</v>
      </c>
      <c r="D3497" s="489" t="s">
        <v>11860</v>
      </c>
      <c r="E3497" s="487" t="s">
        <v>11861</v>
      </c>
      <c r="F3497" s="490">
        <v>1047559.37</v>
      </c>
      <c r="G3497" s="489">
        <v>7985.06</v>
      </c>
      <c r="H3497" s="489">
        <v>131.18992</v>
      </c>
      <c r="I3497" s="487" t="s">
        <v>1499</v>
      </c>
      <c r="J3497" s="487" t="s">
        <v>762</v>
      </c>
    </row>
    <row r="3498" spans="1:10" ht="15" x14ac:dyDescent="0.2">
      <c r="A3498" s="486" t="s">
        <v>761</v>
      </c>
      <c r="B3498" s="487" t="s">
        <v>760</v>
      </c>
      <c r="C3498" s="488" t="s">
        <v>11862</v>
      </c>
      <c r="D3498" s="489" t="s">
        <v>11863</v>
      </c>
      <c r="E3498" s="487" t="s">
        <v>11864</v>
      </c>
      <c r="F3498" s="490">
        <v>417818.51</v>
      </c>
      <c r="G3498" s="489">
        <v>2321.09</v>
      </c>
      <c r="H3498" s="489">
        <v>180.00961000000001</v>
      </c>
      <c r="I3498" s="487" t="s">
        <v>1499</v>
      </c>
      <c r="J3498" s="487" t="s">
        <v>762</v>
      </c>
    </row>
    <row r="3499" spans="1:10" ht="15" x14ac:dyDescent="0.2">
      <c r="A3499" s="486" t="s">
        <v>761</v>
      </c>
      <c r="B3499" s="487" t="s">
        <v>760</v>
      </c>
      <c r="C3499" s="488" t="s">
        <v>11865</v>
      </c>
      <c r="D3499" s="489" t="s">
        <v>11866</v>
      </c>
      <c r="E3499" s="487" t="s">
        <v>11867</v>
      </c>
      <c r="F3499" s="490">
        <v>623471.07999999996</v>
      </c>
      <c r="G3499" s="489">
        <v>4684.58</v>
      </c>
      <c r="H3499" s="489">
        <v>133.09007</v>
      </c>
      <c r="I3499" s="487" t="s">
        <v>1499</v>
      </c>
      <c r="J3499" s="487" t="s">
        <v>762</v>
      </c>
    </row>
    <row r="3500" spans="1:10" ht="15" x14ac:dyDescent="0.2">
      <c r="A3500" s="486" t="s">
        <v>761</v>
      </c>
      <c r="B3500" s="487" t="s">
        <v>760</v>
      </c>
      <c r="C3500" s="488" t="s">
        <v>11868</v>
      </c>
      <c r="D3500" s="489" t="s">
        <v>11869</v>
      </c>
      <c r="E3500" s="487" t="s">
        <v>11870</v>
      </c>
      <c r="F3500" s="490">
        <v>119993.17</v>
      </c>
      <c r="G3500" s="489">
        <v>2350.04</v>
      </c>
      <c r="H3500" s="489">
        <v>51.060049999999997</v>
      </c>
      <c r="I3500" s="487" t="s">
        <v>1499</v>
      </c>
      <c r="J3500" s="487" t="s">
        <v>762</v>
      </c>
    </row>
    <row r="3501" spans="1:10" ht="15" x14ac:dyDescent="0.2">
      <c r="A3501" s="486" t="s">
        <v>761</v>
      </c>
      <c r="B3501" s="487" t="s">
        <v>760</v>
      </c>
      <c r="C3501" s="488" t="s">
        <v>11871</v>
      </c>
      <c r="D3501" s="489" t="s">
        <v>11872</v>
      </c>
      <c r="E3501" s="487" t="s">
        <v>11873</v>
      </c>
      <c r="F3501" s="490">
        <v>463525.74</v>
      </c>
      <c r="G3501" s="489">
        <v>5975.58</v>
      </c>
      <c r="H3501" s="489">
        <v>77.569999999999993</v>
      </c>
      <c r="I3501" s="487" t="s">
        <v>1499</v>
      </c>
      <c r="J3501" s="487" t="s">
        <v>762</v>
      </c>
    </row>
    <row r="3502" spans="1:10" ht="15" x14ac:dyDescent="0.2">
      <c r="A3502" s="486" t="s">
        <v>852</v>
      </c>
      <c r="B3502" s="487" t="s">
        <v>851</v>
      </c>
      <c r="C3502" s="488" t="s">
        <v>11874</v>
      </c>
      <c r="D3502" s="489" t="s">
        <v>11875</v>
      </c>
      <c r="E3502" s="487" t="s">
        <v>11876</v>
      </c>
      <c r="F3502" s="490">
        <v>285000</v>
      </c>
      <c r="G3502" s="489">
        <v>2321.09</v>
      </c>
      <c r="H3502" s="489">
        <v>122.78713999999999</v>
      </c>
      <c r="I3502" s="487" t="s">
        <v>1499</v>
      </c>
      <c r="J3502" s="487" t="s">
        <v>853</v>
      </c>
    </row>
    <row r="3503" spans="1:10" ht="15" x14ac:dyDescent="0.2">
      <c r="A3503" s="486" t="s">
        <v>852</v>
      </c>
      <c r="B3503" s="487" t="s">
        <v>851</v>
      </c>
      <c r="C3503" s="488" t="s">
        <v>11877</v>
      </c>
      <c r="D3503" s="489" t="s">
        <v>11878</v>
      </c>
      <c r="E3503" s="487" t="s">
        <v>11879</v>
      </c>
      <c r="F3503" s="490">
        <v>1750</v>
      </c>
      <c r="G3503" s="489">
        <v>113.97</v>
      </c>
      <c r="H3503" s="489">
        <v>15.35492</v>
      </c>
      <c r="I3503" s="487" t="s">
        <v>1499</v>
      </c>
      <c r="J3503" s="487" t="s">
        <v>853</v>
      </c>
    </row>
    <row r="3504" spans="1:10" ht="15" x14ac:dyDescent="0.2">
      <c r="A3504" s="486" t="s">
        <v>852</v>
      </c>
      <c r="B3504" s="487" t="s">
        <v>851</v>
      </c>
      <c r="C3504" s="488" t="s">
        <v>11880</v>
      </c>
      <c r="D3504" s="489" t="s">
        <v>11881</v>
      </c>
      <c r="E3504" s="487" t="s">
        <v>11882</v>
      </c>
      <c r="F3504" s="490">
        <v>255689</v>
      </c>
      <c r="G3504" s="489">
        <v>4109.6499999999996</v>
      </c>
      <c r="H3504" s="489">
        <v>62.216729999999998</v>
      </c>
      <c r="I3504" s="487" t="s">
        <v>1499</v>
      </c>
      <c r="J3504" s="487" t="s">
        <v>853</v>
      </c>
    </row>
    <row r="3505" spans="1:10" ht="15" x14ac:dyDescent="0.2">
      <c r="A3505" s="486" t="s">
        <v>852</v>
      </c>
      <c r="B3505" s="487" t="s">
        <v>851</v>
      </c>
      <c r="C3505" s="488" t="s">
        <v>11883</v>
      </c>
      <c r="D3505" s="489" t="s">
        <v>11884</v>
      </c>
      <c r="E3505" s="487" t="s">
        <v>11885</v>
      </c>
      <c r="F3505" s="490">
        <v>91155</v>
      </c>
      <c r="G3505" s="489">
        <v>903.22</v>
      </c>
      <c r="H3505" s="489">
        <v>100.92225999999999</v>
      </c>
      <c r="I3505" s="487" t="s">
        <v>1499</v>
      </c>
      <c r="J3505" s="487" t="s">
        <v>853</v>
      </c>
    </row>
    <row r="3506" spans="1:10" ht="15" x14ac:dyDescent="0.2">
      <c r="A3506" s="486" t="s">
        <v>852</v>
      </c>
      <c r="B3506" s="487" t="s">
        <v>851</v>
      </c>
      <c r="C3506" s="488" t="s">
        <v>11886</v>
      </c>
      <c r="D3506" s="489" t="s">
        <v>11887</v>
      </c>
      <c r="E3506" s="487" t="s">
        <v>11888</v>
      </c>
      <c r="F3506" s="490">
        <v>197019.46</v>
      </c>
      <c r="G3506" s="489">
        <v>2005.92</v>
      </c>
      <c r="H3506" s="489">
        <v>98.218999999999994</v>
      </c>
      <c r="I3506" s="487" t="s">
        <v>1499</v>
      </c>
      <c r="J3506" s="487" t="s">
        <v>853</v>
      </c>
    </row>
    <row r="3507" spans="1:10" ht="15" x14ac:dyDescent="0.2">
      <c r="A3507" s="486" t="s">
        <v>852</v>
      </c>
      <c r="B3507" s="487" t="s">
        <v>851</v>
      </c>
      <c r="C3507" s="488" t="s">
        <v>11889</v>
      </c>
      <c r="D3507" s="489" t="s">
        <v>11890</v>
      </c>
      <c r="E3507" s="487" t="s">
        <v>11891</v>
      </c>
      <c r="F3507" s="490">
        <v>14332.19</v>
      </c>
      <c r="G3507" s="489">
        <v>184.69</v>
      </c>
      <c r="H3507" s="489">
        <v>77.601330000000004</v>
      </c>
      <c r="I3507" s="487" t="s">
        <v>1499</v>
      </c>
      <c r="J3507" s="487" t="s">
        <v>853</v>
      </c>
    </row>
    <row r="3508" spans="1:10" ht="15" x14ac:dyDescent="0.2">
      <c r="A3508" s="486" t="s">
        <v>852</v>
      </c>
      <c r="B3508" s="487" t="s">
        <v>851</v>
      </c>
      <c r="C3508" s="488" t="s">
        <v>11892</v>
      </c>
      <c r="D3508" s="489" t="s">
        <v>11893</v>
      </c>
      <c r="E3508" s="487" t="s">
        <v>11894</v>
      </c>
      <c r="F3508" s="490">
        <v>164400</v>
      </c>
      <c r="G3508" s="489">
        <v>2048.27</v>
      </c>
      <c r="H3508" s="489">
        <v>80.262860000000003</v>
      </c>
      <c r="I3508" s="487" t="s">
        <v>1499</v>
      </c>
      <c r="J3508" s="487" t="s">
        <v>853</v>
      </c>
    </row>
    <row r="3509" spans="1:10" ht="15" x14ac:dyDescent="0.2">
      <c r="A3509" s="486" t="s">
        <v>852</v>
      </c>
      <c r="B3509" s="487" t="s">
        <v>851</v>
      </c>
      <c r="C3509" s="488" t="s">
        <v>11895</v>
      </c>
      <c r="D3509" s="489" t="s">
        <v>11896</v>
      </c>
      <c r="E3509" s="487" t="s">
        <v>11897</v>
      </c>
      <c r="F3509" s="490">
        <v>87603</v>
      </c>
      <c r="G3509" s="489">
        <v>785.98</v>
      </c>
      <c r="H3509" s="489">
        <v>111.45703</v>
      </c>
      <c r="I3509" s="487" t="s">
        <v>1499</v>
      </c>
      <c r="J3509" s="487" t="s">
        <v>853</v>
      </c>
    </row>
    <row r="3510" spans="1:10" ht="15" x14ac:dyDescent="0.2">
      <c r="A3510" s="486" t="s">
        <v>852</v>
      </c>
      <c r="B3510" s="487" t="s">
        <v>851</v>
      </c>
      <c r="C3510" s="488" t="s">
        <v>11898</v>
      </c>
      <c r="D3510" s="489" t="s">
        <v>11899</v>
      </c>
      <c r="E3510" s="487" t="s">
        <v>11900</v>
      </c>
      <c r="F3510" s="490">
        <v>37556</v>
      </c>
      <c r="G3510" s="489">
        <v>522.04</v>
      </c>
      <c r="H3510" s="489">
        <v>71.940849999999998</v>
      </c>
      <c r="I3510" s="487" t="s">
        <v>1499</v>
      </c>
      <c r="J3510" s="487" t="s">
        <v>853</v>
      </c>
    </row>
    <row r="3511" spans="1:10" ht="15" x14ac:dyDescent="0.2">
      <c r="A3511" s="486" t="s">
        <v>852</v>
      </c>
      <c r="B3511" s="487" t="s">
        <v>851</v>
      </c>
      <c r="C3511" s="488" t="s">
        <v>11901</v>
      </c>
      <c r="D3511" s="489" t="s">
        <v>11902</v>
      </c>
      <c r="E3511" s="487" t="s">
        <v>11903</v>
      </c>
      <c r="F3511" s="490">
        <v>1435992</v>
      </c>
      <c r="G3511" s="489">
        <v>10939.27</v>
      </c>
      <c r="H3511" s="489">
        <v>131.26945000000001</v>
      </c>
      <c r="I3511" s="487" t="s">
        <v>1499</v>
      </c>
      <c r="J3511" s="487" t="s">
        <v>853</v>
      </c>
    </row>
    <row r="3512" spans="1:10" ht="15" x14ac:dyDescent="0.2">
      <c r="A3512" s="486" t="s">
        <v>852</v>
      </c>
      <c r="B3512" s="487" t="s">
        <v>851</v>
      </c>
      <c r="C3512" s="488" t="s">
        <v>11904</v>
      </c>
      <c r="D3512" s="489" t="s">
        <v>11905</v>
      </c>
      <c r="E3512" s="487" t="s">
        <v>11906</v>
      </c>
      <c r="F3512" s="490">
        <v>8497</v>
      </c>
      <c r="G3512" s="489">
        <v>132.22</v>
      </c>
      <c r="H3512" s="489">
        <v>64.264110000000002</v>
      </c>
      <c r="I3512" s="487" t="s">
        <v>1499</v>
      </c>
      <c r="J3512" s="487" t="s">
        <v>853</v>
      </c>
    </row>
    <row r="3513" spans="1:10" ht="15" x14ac:dyDescent="0.2">
      <c r="A3513" s="486" t="s">
        <v>852</v>
      </c>
      <c r="B3513" s="487" t="s">
        <v>851</v>
      </c>
      <c r="C3513" s="488" t="s">
        <v>11907</v>
      </c>
      <c r="D3513" s="489" t="s">
        <v>11908</v>
      </c>
      <c r="E3513" s="487" t="s">
        <v>11909</v>
      </c>
      <c r="F3513" s="490">
        <v>504056</v>
      </c>
      <c r="G3513" s="489">
        <v>2754.01</v>
      </c>
      <c r="H3513" s="489">
        <v>183.02620999999999</v>
      </c>
      <c r="I3513" s="487" t="s">
        <v>1499</v>
      </c>
      <c r="J3513" s="487" t="s">
        <v>853</v>
      </c>
    </row>
    <row r="3514" spans="1:10" ht="15" x14ac:dyDescent="0.2">
      <c r="A3514" s="486" t="s">
        <v>852</v>
      </c>
      <c r="B3514" s="487" t="s">
        <v>851</v>
      </c>
      <c r="C3514" s="488" t="s">
        <v>11910</v>
      </c>
      <c r="D3514" s="489" t="s">
        <v>11911</v>
      </c>
      <c r="E3514" s="487" t="s">
        <v>11912</v>
      </c>
      <c r="F3514" s="490">
        <v>16000</v>
      </c>
      <c r="G3514" s="489">
        <v>259.38</v>
      </c>
      <c r="H3514" s="489">
        <v>61.685560000000002</v>
      </c>
      <c r="I3514" s="487" t="s">
        <v>1499</v>
      </c>
      <c r="J3514" s="487" t="s">
        <v>853</v>
      </c>
    </row>
    <row r="3515" spans="1:10" ht="15" x14ac:dyDescent="0.2">
      <c r="A3515" s="486" t="s">
        <v>852</v>
      </c>
      <c r="B3515" s="487" t="s">
        <v>851</v>
      </c>
      <c r="C3515" s="488" t="s">
        <v>11913</v>
      </c>
      <c r="D3515" s="489" t="s">
        <v>11914</v>
      </c>
      <c r="E3515" s="487" t="s">
        <v>11915</v>
      </c>
      <c r="F3515" s="490">
        <v>540115</v>
      </c>
      <c r="G3515" s="489">
        <v>4232.24</v>
      </c>
      <c r="H3515" s="489">
        <v>127.61918</v>
      </c>
      <c r="I3515" s="487" t="s">
        <v>1499</v>
      </c>
      <c r="J3515" s="487" t="s">
        <v>853</v>
      </c>
    </row>
    <row r="3516" spans="1:10" ht="15" x14ac:dyDescent="0.2">
      <c r="A3516" s="486" t="s">
        <v>852</v>
      </c>
      <c r="B3516" s="487" t="s">
        <v>851</v>
      </c>
      <c r="C3516" s="488" t="s">
        <v>11916</v>
      </c>
      <c r="D3516" s="489" t="s">
        <v>11917</v>
      </c>
      <c r="E3516" s="487" t="s">
        <v>11918</v>
      </c>
      <c r="F3516" s="490">
        <v>26709.119999999999</v>
      </c>
      <c r="G3516" s="489">
        <v>244.21</v>
      </c>
      <c r="H3516" s="489">
        <v>109.36948</v>
      </c>
      <c r="I3516" s="487" t="s">
        <v>1499</v>
      </c>
      <c r="J3516" s="487" t="s">
        <v>853</v>
      </c>
    </row>
    <row r="3517" spans="1:10" ht="15" x14ac:dyDescent="0.2">
      <c r="A3517" s="486" t="s">
        <v>852</v>
      </c>
      <c r="B3517" s="487" t="s">
        <v>851</v>
      </c>
      <c r="C3517" s="488" t="s">
        <v>11919</v>
      </c>
      <c r="D3517" s="489" t="s">
        <v>11920</v>
      </c>
      <c r="E3517" s="487" t="s">
        <v>11921</v>
      </c>
      <c r="F3517" s="490">
        <v>15569</v>
      </c>
      <c r="G3517" s="489">
        <v>329.51</v>
      </c>
      <c r="H3517" s="489">
        <v>47.248950000000001</v>
      </c>
      <c r="I3517" s="487" t="s">
        <v>1499</v>
      </c>
      <c r="J3517" s="487" t="s">
        <v>853</v>
      </c>
    </row>
    <row r="3518" spans="1:10" ht="15" x14ac:dyDescent="0.2">
      <c r="A3518" s="486" t="s">
        <v>852</v>
      </c>
      <c r="B3518" s="487" t="s">
        <v>851</v>
      </c>
      <c r="C3518" s="488" t="s">
        <v>11922</v>
      </c>
      <c r="D3518" s="489" t="s">
        <v>11923</v>
      </c>
      <c r="E3518" s="487" t="s">
        <v>11924</v>
      </c>
      <c r="F3518" s="490">
        <v>243566</v>
      </c>
      <c r="G3518" s="489">
        <v>2392.9</v>
      </c>
      <c r="H3518" s="489">
        <v>101.78695</v>
      </c>
      <c r="I3518" s="487" t="s">
        <v>1499</v>
      </c>
      <c r="J3518" s="487" t="s">
        <v>853</v>
      </c>
    </row>
    <row r="3519" spans="1:10" ht="15" x14ac:dyDescent="0.2">
      <c r="A3519" s="486" t="s">
        <v>852</v>
      </c>
      <c r="B3519" s="487" t="s">
        <v>851</v>
      </c>
      <c r="C3519" s="488" t="s">
        <v>11925</v>
      </c>
      <c r="D3519" s="489" t="s">
        <v>11926</v>
      </c>
      <c r="E3519" s="487" t="s">
        <v>11927</v>
      </c>
      <c r="F3519" s="490">
        <v>34711</v>
      </c>
      <c r="G3519" s="489">
        <v>284.38</v>
      </c>
      <c r="H3519" s="489">
        <v>122.05851</v>
      </c>
      <c r="I3519" s="487" t="s">
        <v>1499</v>
      </c>
      <c r="J3519" s="487" t="s">
        <v>853</v>
      </c>
    </row>
    <row r="3520" spans="1:10" ht="15" x14ac:dyDescent="0.2">
      <c r="A3520" s="486" t="s">
        <v>852</v>
      </c>
      <c r="B3520" s="487" t="s">
        <v>851</v>
      </c>
      <c r="C3520" s="488" t="s">
        <v>11928</v>
      </c>
      <c r="D3520" s="489" t="s">
        <v>11929</v>
      </c>
      <c r="E3520" s="487" t="s">
        <v>11930</v>
      </c>
      <c r="F3520" s="490">
        <v>26023.3</v>
      </c>
      <c r="G3520" s="489">
        <v>314.52999999999997</v>
      </c>
      <c r="H3520" s="489">
        <v>82.737099999999998</v>
      </c>
      <c r="I3520" s="487" t="s">
        <v>1499</v>
      </c>
      <c r="J3520" s="487" t="s">
        <v>853</v>
      </c>
    </row>
    <row r="3521" spans="1:10" ht="15" x14ac:dyDescent="0.2">
      <c r="A3521" s="486" t="s">
        <v>852</v>
      </c>
      <c r="B3521" s="487" t="s">
        <v>851</v>
      </c>
      <c r="C3521" s="488" t="s">
        <v>11931</v>
      </c>
      <c r="D3521" s="489" t="s">
        <v>11932</v>
      </c>
      <c r="E3521" s="487" t="s">
        <v>11933</v>
      </c>
      <c r="F3521" s="490">
        <v>33299</v>
      </c>
      <c r="G3521" s="489">
        <v>342.7</v>
      </c>
      <c r="H3521" s="489">
        <v>97.166619999999995</v>
      </c>
      <c r="I3521" s="487" t="s">
        <v>1499</v>
      </c>
      <c r="J3521" s="487" t="s">
        <v>853</v>
      </c>
    </row>
    <row r="3522" spans="1:10" ht="15" x14ac:dyDescent="0.2">
      <c r="A3522" s="486" t="s">
        <v>852</v>
      </c>
      <c r="B3522" s="487" t="s">
        <v>851</v>
      </c>
      <c r="C3522" s="488" t="s">
        <v>11934</v>
      </c>
      <c r="D3522" s="489" t="s">
        <v>11935</v>
      </c>
      <c r="E3522" s="487" t="s">
        <v>11936</v>
      </c>
      <c r="F3522" s="490">
        <v>629358</v>
      </c>
      <c r="G3522" s="489">
        <v>7851.98</v>
      </c>
      <c r="H3522" s="489">
        <v>80.152780000000007</v>
      </c>
      <c r="I3522" s="487" t="s">
        <v>1499</v>
      </c>
      <c r="J3522" s="487" t="s">
        <v>853</v>
      </c>
    </row>
    <row r="3523" spans="1:10" ht="15" x14ac:dyDescent="0.2">
      <c r="A3523" s="486" t="s">
        <v>1004</v>
      </c>
      <c r="B3523" s="487" t="s">
        <v>1003</v>
      </c>
      <c r="C3523" s="488" t="s">
        <v>11937</v>
      </c>
      <c r="D3523" s="489" t="s">
        <v>11938</v>
      </c>
      <c r="E3523" s="487" t="s">
        <v>11939</v>
      </c>
      <c r="F3523" s="490">
        <v>58325</v>
      </c>
      <c r="G3523" s="489">
        <v>952.2</v>
      </c>
      <c r="H3523" s="489">
        <v>61.252890000000001</v>
      </c>
      <c r="I3523" s="487" t="s">
        <v>1499</v>
      </c>
      <c r="J3523" s="487" t="s">
        <v>1005</v>
      </c>
    </row>
    <row r="3524" spans="1:10" ht="15" x14ac:dyDescent="0.2">
      <c r="A3524" s="486" t="s">
        <v>1004</v>
      </c>
      <c r="B3524" s="487" t="s">
        <v>1003</v>
      </c>
      <c r="C3524" s="488" t="s">
        <v>11940</v>
      </c>
      <c r="D3524" s="489" t="s">
        <v>11941</v>
      </c>
      <c r="E3524" s="487" t="s">
        <v>11942</v>
      </c>
      <c r="F3524" s="490">
        <v>19469</v>
      </c>
      <c r="G3524" s="489">
        <v>541.6</v>
      </c>
      <c r="H3524" s="489">
        <v>35.947189999999999</v>
      </c>
      <c r="I3524" s="487" t="s">
        <v>1499</v>
      </c>
      <c r="J3524" s="487" t="s">
        <v>1005</v>
      </c>
    </row>
    <row r="3525" spans="1:10" ht="15" x14ac:dyDescent="0.2">
      <c r="A3525" s="486" t="s">
        <v>1004</v>
      </c>
      <c r="B3525" s="487" t="s">
        <v>1003</v>
      </c>
      <c r="C3525" s="488" t="s">
        <v>11943</v>
      </c>
      <c r="D3525" s="489" t="s">
        <v>11944</v>
      </c>
      <c r="E3525" s="487" t="s">
        <v>11945</v>
      </c>
      <c r="F3525" s="490">
        <v>38000</v>
      </c>
      <c r="G3525" s="489">
        <v>1094.5</v>
      </c>
      <c r="H3525" s="489">
        <v>34.719050000000003</v>
      </c>
      <c r="I3525" s="487" t="s">
        <v>1499</v>
      </c>
      <c r="J3525" s="487" t="s">
        <v>1005</v>
      </c>
    </row>
    <row r="3526" spans="1:10" ht="15" x14ac:dyDescent="0.2">
      <c r="A3526" s="486" t="s">
        <v>1004</v>
      </c>
      <c r="B3526" s="487" t="s">
        <v>1003</v>
      </c>
      <c r="C3526" s="488" t="s">
        <v>11946</v>
      </c>
      <c r="D3526" s="489" t="s">
        <v>11947</v>
      </c>
      <c r="E3526" s="487" t="s">
        <v>11948</v>
      </c>
      <c r="F3526" s="490">
        <v>11000</v>
      </c>
      <c r="G3526" s="489">
        <v>347.4</v>
      </c>
      <c r="H3526" s="489">
        <v>31.663789999999999</v>
      </c>
      <c r="I3526" s="487" t="s">
        <v>1499</v>
      </c>
      <c r="J3526" s="487" t="s">
        <v>1005</v>
      </c>
    </row>
    <row r="3527" spans="1:10" ht="15" x14ac:dyDescent="0.2">
      <c r="A3527" s="486" t="s">
        <v>1004</v>
      </c>
      <c r="B3527" s="487" t="s">
        <v>1003</v>
      </c>
      <c r="C3527" s="488" t="s">
        <v>11949</v>
      </c>
      <c r="D3527" s="489" t="s">
        <v>11950</v>
      </c>
      <c r="E3527" s="487" t="s">
        <v>11951</v>
      </c>
      <c r="F3527" s="490">
        <v>227728</v>
      </c>
      <c r="G3527" s="489">
        <v>1864.5</v>
      </c>
      <c r="H3527" s="489">
        <v>122.13891</v>
      </c>
      <c r="I3527" s="487" t="s">
        <v>1499</v>
      </c>
      <c r="J3527" s="487" t="s">
        <v>1005</v>
      </c>
    </row>
    <row r="3528" spans="1:10" ht="15" x14ac:dyDescent="0.2">
      <c r="A3528" s="486" t="s">
        <v>1004</v>
      </c>
      <c r="B3528" s="487" t="s">
        <v>1003</v>
      </c>
      <c r="C3528" s="488" t="s">
        <v>11952</v>
      </c>
      <c r="D3528" s="489" t="s">
        <v>11953</v>
      </c>
      <c r="E3528" s="487" t="s">
        <v>11954</v>
      </c>
      <c r="F3528" s="490">
        <v>5566</v>
      </c>
      <c r="G3528" s="489">
        <v>189.4</v>
      </c>
      <c r="H3528" s="489">
        <v>29.387540000000001</v>
      </c>
      <c r="I3528" s="487" t="s">
        <v>1499</v>
      </c>
      <c r="J3528" s="487" t="s">
        <v>1005</v>
      </c>
    </row>
    <row r="3529" spans="1:10" ht="15" x14ac:dyDescent="0.2">
      <c r="A3529" s="486" t="s">
        <v>1004</v>
      </c>
      <c r="B3529" s="487" t="s">
        <v>1003</v>
      </c>
      <c r="C3529" s="488" t="s">
        <v>11955</v>
      </c>
      <c r="D3529" s="489" t="s">
        <v>11956</v>
      </c>
      <c r="E3529" s="487" t="s">
        <v>11957</v>
      </c>
      <c r="F3529" s="490">
        <v>151992</v>
      </c>
      <c r="G3529" s="489">
        <v>1969.8</v>
      </c>
      <c r="H3529" s="489">
        <v>77.16113</v>
      </c>
      <c r="I3529" s="487" t="s">
        <v>1499</v>
      </c>
      <c r="J3529" s="487" t="s">
        <v>1005</v>
      </c>
    </row>
    <row r="3530" spans="1:10" ht="15" x14ac:dyDescent="0.2">
      <c r="A3530" s="486" t="s">
        <v>1004</v>
      </c>
      <c r="B3530" s="487" t="s">
        <v>1003</v>
      </c>
      <c r="C3530" s="488" t="s">
        <v>11958</v>
      </c>
      <c r="D3530" s="489" t="s">
        <v>11959</v>
      </c>
      <c r="E3530" s="487" t="s">
        <v>11960</v>
      </c>
      <c r="F3530" s="490">
        <v>23464</v>
      </c>
      <c r="G3530" s="489">
        <v>830.5</v>
      </c>
      <c r="H3530" s="489">
        <v>28.252859999999998</v>
      </c>
      <c r="I3530" s="487" t="s">
        <v>1499</v>
      </c>
      <c r="J3530" s="487" t="s">
        <v>1005</v>
      </c>
    </row>
    <row r="3531" spans="1:10" ht="15" x14ac:dyDescent="0.2">
      <c r="A3531" s="486" t="s">
        <v>1004</v>
      </c>
      <c r="B3531" s="487" t="s">
        <v>1003</v>
      </c>
      <c r="C3531" s="488" t="s">
        <v>11961</v>
      </c>
      <c r="D3531" s="489" t="s">
        <v>11962</v>
      </c>
      <c r="E3531" s="487" t="s">
        <v>11963</v>
      </c>
      <c r="F3531" s="490">
        <v>28365</v>
      </c>
      <c r="G3531" s="489">
        <v>1236.9000000000001</v>
      </c>
      <c r="H3531" s="489">
        <v>22.93233</v>
      </c>
      <c r="I3531" s="487" t="s">
        <v>1499</v>
      </c>
      <c r="J3531" s="487" t="s">
        <v>1005</v>
      </c>
    </row>
    <row r="3532" spans="1:10" ht="15" x14ac:dyDescent="0.2">
      <c r="A3532" s="486" t="s">
        <v>1004</v>
      </c>
      <c r="B3532" s="487" t="s">
        <v>1003</v>
      </c>
      <c r="C3532" s="488" t="s">
        <v>11964</v>
      </c>
      <c r="D3532" s="489" t="s">
        <v>11965</v>
      </c>
      <c r="E3532" s="487" t="s">
        <v>11966</v>
      </c>
      <c r="F3532" s="490">
        <v>12012</v>
      </c>
      <c r="G3532" s="489">
        <v>252.1</v>
      </c>
      <c r="H3532" s="489">
        <v>47.647759999999998</v>
      </c>
      <c r="I3532" s="487" t="s">
        <v>1499</v>
      </c>
      <c r="J3532" s="487" t="s">
        <v>1005</v>
      </c>
    </row>
    <row r="3533" spans="1:10" ht="15" x14ac:dyDescent="0.2">
      <c r="A3533" s="486" t="s">
        <v>1004</v>
      </c>
      <c r="B3533" s="487" t="s">
        <v>1003</v>
      </c>
      <c r="C3533" s="488" t="s">
        <v>11967</v>
      </c>
      <c r="D3533" s="489" t="s">
        <v>11968</v>
      </c>
      <c r="E3533" s="487" t="s">
        <v>11969</v>
      </c>
      <c r="F3533" s="490">
        <v>6767</v>
      </c>
      <c r="G3533" s="489">
        <v>162</v>
      </c>
      <c r="H3533" s="489">
        <v>41.771599999999999</v>
      </c>
      <c r="I3533" s="487" t="s">
        <v>1499</v>
      </c>
      <c r="J3533" s="487" t="s">
        <v>1005</v>
      </c>
    </row>
    <row r="3534" spans="1:10" ht="15" x14ac:dyDescent="0.2">
      <c r="A3534" s="486" t="s">
        <v>1004</v>
      </c>
      <c r="B3534" s="487" t="s">
        <v>1003</v>
      </c>
      <c r="C3534" s="488" t="s">
        <v>11970</v>
      </c>
      <c r="D3534" s="489" t="s">
        <v>11971</v>
      </c>
      <c r="E3534" s="487" t="s">
        <v>11972</v>
      </c>
      <c r="F3534" s="490">
        <v>17500</v>
      </c>
      <c r="G3534" s="489">
        <v>389.6</v>
      </c>
      <c r="H3534" s="489">
        <v>44.917859999999997</v>
      </c>
      <c r="I3534" s="487" t="s">
        <v>1499</v>
      </c>
      <c r="J3534" s="487" t="s">
        <v>1005</v>
      </c>
    </row>
    <row r="3535" spans="1:10" ht="15" x14ac:dyDescent="0.2">
      <c r="A3535" s="486" t="s">
        <v>1004</v>
      </c>
      <c r="B3535" s="487" t="s">
        <v>1003</v>
      </c>
      <c r="C3535" s="488" t="s">
        <v>11973</v>
      </c>
      <c r="D3535" s="489" t="s">
        <v>11974</v>
      </c>
      <c r="E3535" s="487" t="s">
        <v>11975</v>
      </c>
      <c r="F3535" s="490">
        <v>28500</v>
      </c>
      <c r="G3535" s="489">
        <v>650.70000000000005</v>
      </c>
      <c r="H3535" s="489">
        <v>43.798990000000003</v>
      </c>
      <c r="I3535" s="487" t="s">
        <v>1499</v>
      </c>
      <c r="J3535" s="487" t="s">
        <v>1005</v>
      </c>
    </row>
    <row r="3536" spans="1:10" ht="15" x14ac:dyDescent="0.2">
      <c r="A3536" s="486" t="s">
        <v>1004</v>
      </c>
      <c r="B3536" s="487" t="s">
        <v>1003</v>
      </c>
      <c r="C3536" s="488" t="s">
        <v>11976</v>
      </c>
      <c r="D3536" s="489" t="s">
        <v>11977</v>
      </c>
      <c r="E3536" s="487" t="s">
        <v>11978</v>
      </c>
      <c r="F3536" s="490">
        <v>0</v>
      </c>
      <c r="G3536" s="489">
        <v>121.4</v>
      </c>
      <c r="H3536" s="489">
        <v>0</v>
      </c>
      <c r="I3536" s="487" t="s">
        <v>1593</v>
      </c>
      <c r="J3536" s="487" t="s">
        <v>1005</v>
      </c>
    </row>
    <row r="3537" spans="1:10" ht="15" x14ac:dyDescent="0.2">
      <c r="A3537" s="486" t="s">
        <v>1004</v>
      </c>
      <c r="B3537" s="487" t="s">
        <v>1003</v>
      </c>
      <c r="C3537" s="488" t="s">
        <v>11979</v>
      </c>
      <c r="D3537" s="489" t="s">
        <v>11980</v>
      </c>
      <c r="E3537" s="487" t="s">
        <v>2393</v>
      </c>
      <c r="F3537" s="490">
        <v>783159</v>
      </c>
      <c r="G3537" s="489">
        <v>4625.6000000000004</v>
      </c>
      <c r="H3537" s="489">
        <v>169.30971</v>
      </c>
      <c r="I3537" s="487" t="s">
        <v>1499</v>
      </c>
      <c r="J3537" s="487" t="s">
        <v>1005</v>
      </c>
    </row>
    <row r="3538" spans="1:10" ht="15" x14ac:dyDescent="0.2">
      <c r="A3538" s="486" t="s">
        <v>1004</v>
      </c>
      <c r="B3538" s="487" t="s">
        <v>1003</v>
      </c>
      <c r="C3538" s="488" t="s">
        <v>11981</v>
      </c>
      <c r="D3538" s="489" t="s">
        <v>11982</v>
      </c>
      <c r="E3538" s="487" t="s">
        <v>11983</v>
      </c>
      <c r="F3538" s="490">
        <v>370987</v>
      </c>
      <c r="G3538" s="489">
        <v>2576.9</v>
      </c>
      <c r="H3538" s="489">
        <v>143.96638999999999</v>
      </c>
      <c r="I3538" s="487" t="s">
        <v>1499</v>
      </c>
      <c r="J3538" s="487" t="s">
        <v>1005</v>
      </c>
    </row>
    <row r="3539" spans="1:10" ht="15" x14ac:dyDescent="0.2">
      <c r="A3539" s="486" t="s">
        <v>1004</v>
      </c>
      <c r="B3539" s="487" t="s">
        <v>1003</v>
      </c>
      <c r="C3539" s="488" t="s">
        <v>11984</v>
      </c>
      <c r="D3539" s="489" t="s">
        <v>11985</v>
      </c>
      <c r="E3539" s="487" t="s">
        <v>11986</v>
      </c>
      <c r="F3539" s="490">
        <v>13778</v>
      </c>
      <c r="G3539" s="489">
        <v>230.2</v>
      </c>
      <c r="H3539" s="489">
        <v>59.8523</v>
      </c>
      <c r="I3539" s="487" t="s">
        <v>1499</v>
      </c>
      <c r="J3539" s="487" t="s">
        <v>1005</v>
      </c>
    </row>
    <row r="3540" spans="1:10" ht="15" x14ac:dyDescent="0.2">
      <c r="A3540" s="486" t="s">
        <v>1004</v>
      </c>
      <c r="B3540" s="487" t="s">
        <v>1003</v>
      </c>
      <c r="C3540" s="488" t="s">
        <v>11987</v>
      </c>
      <c r="D3540" s="489" t="s">
        <v>11988</v>
      </c>
      <c r="E3540" s="487" t="s">
        <v>4042</v>
      </c>
      <c r="F3540" s="490">
        <v>14100</v>
      </c>
      <c r="G3540" s="489">
        <v>269.5</v>
      </c>
      <c r="H3540" s="489">
        <v>52.319110000000002</v>
      </c>
      <c r="I3540" s="487" t="s">
        <v>1499</v>
      </c>
      <c r="J3540" s="487" t="s">
        <v>1005</v>
      </c>
    </row>
    <row r="3541" spans="1:10" ht="15" x14ac:dyDescent="0.2">
      <c r="A3541" s="486" t="s">
        <v>1004</v>
      </c>
      <c r="B3541" s="487" t="s">
        <v>1003</v>
      </c>
      <c r="C3541" s="488" t="s">
        <v>11989</v>
      </c>
      <c r="D3541" s="489" t="s">
        <v>11990</v>
      </c>
      <c r="E3541" s="487" t="s">
        <v>11991</v>
      </c>
      <c r="F3541" s="490">
        <v>184000</v>
      </c>
      <c r="G3541" s="489">
        <v>2472.1</v>
      </c>
      <c r="H3541" s="489">
        <v>74.43065</v>
      </c>
      <c r="I3541" s="487" t="s">
        <v>1499</v>
      </c>
      <c r="J3541" s="487" t="s">
        <v>1005</v>
      </c>
    </row>
    <row r="3542" spans="1:10" ht="15" x14ac:dyDescent="0.2">
      <c r="A3542" s="486" t="s">
        <v>1004</v>
      </c>
      <c r="B3542" s="487" t="s">
        <v>1003</v>
      </c>
      <c r="C3542" s="488" t="s">
        <v>11992</v>
      </c>
      <c r="D3542" s="489" t="s">
        <v>11993</v>
      </c>
      <c r="E3542" s="487" t="s">
        <v>2182</v>
      </c>
      <c r="F3542" s="490">
        <v>16400</v>
      </c>
      <c r="G3542" s="489">
        <v>533.9</v>
      </c>
      <c r="H3542" s="489">
        <v>30.717359999999999</v>
      </c>
      <c r="I3542" s="487" t="s">
        <v>1499</v>
      </c>
      <c r="J3542" s="487" t="s">
        <v>1005</v>
      </c>
    </row>
    <row r="3543" spans="1:10" ht="15" x14ac:dyDescent="0.2">
      <c r="A3543" s="486" t="s">
        <v>1004</v>
      </c>
      <c r="B3543" s="487" t="s">
        <v>1003</v>
      </c>
      <c r="C3543" s="488" t="s">
        <v>11994</v>
      </c>
      <c r="D3543" s="489" t="s">
        <v>11995</v>
      </c>
      <c r="E3543" s="487" t="s">
        <v>11996</v>
      </c>
      <c r="F3543" s="490">
        <v>1220121</v>
      </c>
      <c r="G3543" s="489">
        <v>7511.6</v>
      </c>
      <c r="H3543" s="489">
        <v>162.43156999999999</v>
      </c>
      <c r="I3543" s="487" t="s">
        <v>1499</v>
      </c>
      <c r="J3543" s="487" t="s">
        <v>1005</v>
      </c>
    </row>
    <row r="3544" spans="1:10" ht="15" x14ac:dyDescent="0.2">
      <c r="A3544" s="486" t="s">
        <v>1004</v>
      </c>
      <c r="B3544" s="487" t="s">
        <v>1003</v>
      </c>
      <c r="C3544" s="488" t="s">
        <v>11997</v>
      </c>
      <c r="D3544" s="489" t="s">
        <v>11998</v>
      </c>
      <c r="E3544" s="487" t="s">
        <v>11999</v>
      </c>
      <c r="F3544" s="490">
        <v>1102662</v>
      </c>
      <c r="G3544" s="489">
        <v>7716.4</v>
      </c>
      <c r="H3544" s="489">
        <v>142.89850000000001</v>
      </c>
      <c r="I3544" s="487" t="s">
        <v>1499</v>
      </c>
      <c r="J3544" s="487" t="s">
        <v>1005</v>
      </c>
    </row>
    <row r="3545" spans="1:10" ht="15" x14ac:dyDescent="0.2">
      <c r="A3545" s="486" t="s">
        <v>1004</v>
      </c>
      <c r="B3545" s="487" t="s">
        <v>1003</v>
      </c>
      <c r="C3545" s="488" t="s">
        <v>12000</v>
      </c>
      <c r="D3545" s="489" t="s">
        <v>12001</v>
      </c>
      <c r="E3545" s="487" t="s">
        <v>12002</v>
      </c>
      <c r="F3545" s="490">
        <v>125000</v>
      </c>
      <c r="G3545" s="489">
        <v>1507.8</v>
      </c>
      <c r="H3545" s="489">
        <v>82.902240000000006</v>
      </c>
      <c r="I3545" s="487" t="s">
        <v>1499</v>
      </c>
      <c r="J3545" s="487" t="s">
        <v>1005</v>
      </c>
    </row>
    <row r="3546" spans="1:10" ht="15" x14ac:dyDescent="0.2">
      <c r="A3546" s="486" t="s">
        <v>1004</v>
      </c>
      <c r="B3546" s="487" t="s">
        <v>1003</v>
      </c>
      <c r="C3546" s="488" t="s">
        <v>12003</v>
      </c>
      <c r="D3546" s="489" t="s">
        <v>12004</v>
      </c>
      <c r="E3546" s="487" t="s">
        <v>12005</v>
      </c>
      <c r="F3546" s="490">
        <v>347884</v>
      </c>
      <c r="G3546" s="489">
        <v>2073.1999999999998</v>
      </c>
      <c r="H3546" s="489">
        <v>167.8005</v>
      </c>
      <c r="I3546" s="487" t="s">
        <v>1499</v>
      </c>
      <c r="J3546" s="487" t="s">
        <v>1005</v>
      </c>
    </row>
    <row r="3547" spans="1:10" ht="15" x14ac:dyDescent="0.2">
      <c r="A3547" s="486" t="s">
        <v>1004</v>
      </c>
      <c r="B3547" s="487" t="s">
        <v>1003</v>
      </c>
      <c r="C3547" s="488" t="s">
        <v>12006</v>
      </c>
      <c r="D3547" s="489" t="s">
        <v>12007</v>
      </c>
      <c r="E3547" s="487" t="s">
        <v>12008</v>
      </c>
      <c r="F3547" s="490">
        <v>11725</v>
      </c>
      <c r="G3547" s="489">
        <v>197.9</v>
      </c>
      <c r="H3547" s="489">
        <v>59.24709</v>
      </c>
      <c r="I3547" s="487" t="s">
        <v>1499</v>
      </c>
      <c r="J3547" s="487" t="s">
        <v>1005</v>
      </c>
    </row>
    <row r="3548" spans="1:10" ht="15" x14ac:dyDescent="0.2">
      <c r="A3548" s="486" t="s">
        <v>1004</v>
      </c>
      <c r="B3548" s="487" t="s">
        <v>1003</v>
      </c>
      <c r="C3548" s="488" t="s">
        <v>12009</v>
      </c>
      <c r="D3548" s="489" t="s">
        <v>12010</v>
      </c>
      <c r="E3548" s="487" t="s">
        <v>12011</v>
      </c>
      <c r="F3548" s="490">
        <v>239400</v>
      </c>
      <c r="G3548" s="489">
        <v>3031.5</v>
      </c>
      <c r="H3548" s="489">
        <v>78.97081</v>
      </c>
      <c r="I3548" s="487" t="s">
        <v>1499</v>
      </c>
      <c r="J3548" s="487" t="s">
        <v>1005</v>
      </c>
    </row>
    <row r="3549" spans="1:10" ht="15" x14ac:dyDescent="0.2">
      <c r="A3549" s="486" t="s">
        <v>1004</v>
      </c>
      <c r="B3549" s="487" t="s">
        <v>1003</v>
      </c>
      <c r="C3549" s="488" t="s">
        <v>12012</v>
      </c>
      <c r="D3549" s="489" t="s">
        <v>12013</v>
      </c>
      <c r="E3549" s="487" t="s">
        <v>12014</v>
      </c>
      <c r="F3549" s="490">
        <v>16700</v>
      </c>
      <c r="G3549" s="489">
        <v>384</v>
      </c>
      <c r="H3549" s="489">
        <v>43.489579999999997</v>
      </c>
      <c r="I3549" s="487" t="s">
        <v>1499</v>
      </c>
      <c r="J3549" s="487" t="s">
        <v>1005</v>
      </c>
    </row>
    <row r="3550" spans="1:10" ht="15" x14ac:dyDescent="0.2">
      <c r="A3550" s="486" t="s">
        <v>1004</v>
      </c>
      <c r="B3550" s="487" t="s">
        <v>1003</v>
      </c>
      <c r="C3550" s="488" t="s">
        <v>12015</v>
      </c>
      <c r="D3550" s="489" t="s">
        <v>12016</v>
      </c>
      <c r="E3550" s="487" t="s">
        <v>12017</v>
      </c>
      <c r="F3550" s="490">
        <v>36134</v>
      </c>
      <c r="G3550" s="489">
        <v>837.4</v>
      </c>
      <c r="H3550" s="489">
        <v>43.150230000000001</v>
      </c>
      <c r="I3550" s="487" t="s">
        <v>1499</v>
      </c>
      <c r="J3550" s="487" t="s">
        <v>1005</v>
      </c>
    </row>
    <row r="3551" spans="1:10" ht="15" x14ac:dyDescent="0.2">
      <c r="A3551" s="486" t="s">
        <v>1004</v>
      </c>
      <c r="B3551" s="487" t="s">
        <v>1003</v>
      </c>
      <c r="C3551" s="488" t="s">
        <v>12018</v>
      </c>
      <c r="D3551" s="489" t="s">
        <v>12019</v>
      </c>
      <c r="E3551" s="487" t="s">
        <v>12020</v>
      </c>
      <c r="F3551" s="490">
        <v>1450227</v>
      </c>
      <c r="G3551" s="489">
        <v>10741</v>
      </c>
      <c r="H3551" s="489">
        <v>135.01787999999999</v>
      </c>
      <c r="I3551" s="487" t="s">
        <v>1499</v>
      </c>
      <c r="J3551" s="487" t="s">
        <v>1005</v>
      </c>
    </row>
    <row r="3552" spans="1:10" ht="15" x14ac:dyDescent="0.2">
      <c r="A3552" s="486" t="s">
        <v>1004</v>
      </c>
      <c r="B3552" s="487" t="s">
        <v>1003</v>
      </c>
      <c r="C3552" s="488" t="s">
        <v>12021</v>
      </c>
      <c r="D3552" s="489" t="s">
        <v>12022</v>
      </c>
      <c r="E3552" s="487" t="s">
        <v>12023</v>
      </c>
      <c r="F3552" s="490">
        <v>683620</v>
      </c>
      <c r="G3552" s="489">
        <v>5507.3</v>
      </c>
      <c r="H3552" s="489">
        <v>124.12979</v>
      </c>
      <c r="I3552" s="487" t="s">
        <v>1499</v>
      </c>
      <c r="J3552" s="487" t="s">
        <v>1005</v>
      </c>
    </row>
    <row r="3553" spans="1:10" ht="15" x14ac:dyDescent="0.2">
      <c r="A3553" s="486" t="s">
        <v>1004</v>
      </c>
      <c r="B3553" s="487" t="s">
        <v>1003</v>
      </c>
      <c r="C3553" s="488" t="s">
        <v>12024</v>
      </c>
      <c r="D3553" s="489" t="s">
        <v>12025</v>
      </c>
      <c r="E3553" s="487" t="s">
        <v>12026</v>
      </c>
      <c r="F3553" s="490">
        <v>15202</v>
      </c>
      <c r="G3553" s="489">
        <v>167.8</v>
      </c>
      <c r="H3553" s="489">
        <v>90.595950000000002</v>
      </c>
      <c r="I3553" s="487" t="s">
        <v>1499</v>
      </c>
      <c r="J3553" s="487" t="s">
        <v>1005</v>
      </c>
    </row>
    <row r="3554" spans="1:10" ht="15" x14ac:dyDescent="0.2">
      <c r="A3554" s="486" t="s">
        <v>1004</v>
      </c>
      <c r="B3554" s="487" t="s">
        <v>1003</v>
      </c>
      <c r="C3554" s="488" t="s">
        <v>12027</v>
      </c>
      <c r="D3554" s="489" t="s">
        <v>12028</v>
      </c>
      <c r="E3554" s="487" t="s">
        <v>12029</v>
      </c>
      <c r="F3554" s="490">
        <v>10490</v>
      </c>
      <c r="G3554" s="489">
        <v>302.10000000000002</v>
      </c>
      <c r="H3554" s="489">
        <v>34.723599999999998</v>
      </c>
      <c r="I3554" s="487" t="s">
        <v>1499</v>
      </c>
      <c r="J3554" s="487" t="s">
        <v>1005</v>
      </c>
    </row>
    <row r="3555" spans="1:10" ht="15" x14ac:dyDescent="0.2">
      <c r="A3555" s="486" t="s">
        <v>1004</v>
      </c>
      <c r="B3555" s="487" t="s">
        <v>1003</v>
      </c>
      <c r="C3555" s="488" t="s">
        <v>12030</v>
      </c>
      <c r="D3555" s="489" t="s">
        <v>12031</v>
      </c>
      <c r="E3555" s="487" t="s">
        <v>12032</v>
      </c>
      <c r="F3555" s="490">
        <v>37800</v>
      </c>
      <c r="G3555" s="489">
        <v>406.7</v>
      </c>
      <c r="H3555" s="489">
        <v>92.943200000000004</v>
      </c>
      <c r="I3555" s="487" t="s">
        <v>1499</v>
      </c>
      <c r="J3555" s="487" t="s">
        <v>1005</v>
      </c>
    </row>
    <row r="3556" spans="1:10" ht="15" x14ac:dyDescent="0.2">
      <c r="A3556" s="486" t="s">
        <v>1004</v>
      </c>
      <c r="B3556" s="487" t="s">
        <v>1003</v>
      </c>
      <c r="C3556" s="488" t="s">
        <v>12033</v>
      </c>
      <c r="D3556" s="489" t="s">
        <v>12034</v>
      </c>
      <c r="E3556" s="487" t="s">
        <v>12035</v>
      </c>
      <c r="F3556" s="490">
        <v>113354</v>
      </c>
      <c r="G3556" s="489">
        <v>1752.6</v>
      </c>
      <c r="H3556" s="489">
        <v>64.677620000000005</v>
      </c>
      <c r="I3556" s="487" t="s">
        <v>1499</v>
      </c>
      <c r="J3556" s="487" t="s">
        <v>1005</v>
      </c>
    </row>
    <row r="3557" spans="1:10" ht="15" x14ac:dyDescent="0.2">
      <c r="A3557" s="486" t="s">
        <v>1004</v>
      </c>
      <c r="B3557" s="487" t="s">
        <v>1003</v>
      </c>
      <c r="C3557" s="488" t="s">
        <v>12036</v>
      </c>
      <c r="D3557" s="489" t="s">
        <v>12037</v>
      </c>
      <c r="E3557" s="487" t="s">
        <v>12038</v>
      </c>
      <c r="F3557" s="490">
        <v>1695975</v>
      </c>
      <c r="G3557" s="489">
        <v>9542.7999999999993</v>
      </c>
      <c r="H3557" s="489">
        <v>177.72300000000001</v>
      </c>
      <c r="I3557" s="487" t="s">
        <v>1499</v>
      </c>
      <c r="J3557" s="487" t="s">
        <v>1005</v>
      </c>
    </row>
    <row r="3558" spans="1:10" ht="15" x14ac:dyDescent="0.2">
      <c r="A3558" s="486" t="s">
        <v>1004</v>
      </c>
      <c r="B3558" s="487" t="s">
        <v>1003</v>
      </c>
      <c r="C3558" s="488" t="s">
        <v>12039</v>
      </c>
      <c r="D3558" s="489" t="s">
        <v>12040</v>
      </c>
      <c r="E3558" s="487" t="s">
        <v>12041</v>
      </c>
      <c r="F3558" s="490">
        <v>2200</v>
      </c>
      <c r="G3558" s="489">
        <v>107.1</v>
      </c>
      <c r="H3558" s="489">
        <v>20.541550000000001</v>
      </c>
      <c r="I3558" s="487" t="s">
        <v>1499</v>
      </c>
      <c r="J3558" s="487" t="s">
        <v>1005</v>
      </c>
    </row>
    <row r="3559" spans="1:10" ht="15" x14ac:dyDescent="0.2">
      <c r="A3559" s="486" t="s">
        <v>1004</v>
      </c>
      <c r="B3559" s="487" t="s">
        <v>1003</v>
      </c>
      <c r="C3559" s="488" t="s">
        <v>12042</v>
      </c>
      <c r="D3559" s="489" t="s">
        <v>12043</v>
      </c>
      <c r="E3559" s="487" t="s">
        <v>12044</v>
      </c>
      <c r="F3559" s="490">
        <v>10970</v>
      </c>
      <c r="G3559" s="489">
        <v>257</v>
      </c>
      <c r="H3559" s="489">
        <v>42.684820000000002</v>
      </c>
      <c r="I3559" s="487" t="s">
        <v>1499</v>
      </c>
      <c r="J3559" s="487" t="s">
        <v>1005</v>
      </c>
    </row>
    <row r="3560" spans="1:10" ht="15" x14ac:dyDescent="0.2">
      <c r="A3560" s="486" t="s">
        <v>1293</v>
      </c>
      <c r="B3560" s="487" t="s">
        <v>1292</v>
      </c>
      <c r="C3560" s="488" t="s">
        <v>12045</v>
      </c>
      <c r="D3560" s="489" t="s">
        <v>12046</v>
      </c>
      <c r="E3560" s="487" t="s">
        <v>12047</v>
      </c>
      <c r="F3560" s="490">
        <v>46280</v>
      </c>
      <c r="G3560" s="489">
        <v>646</v>
      </c>
      <c r="H3560" s="489">
        <v>71.640870000000007</v>
      </c>
      <c r="I3560" s="487" t="s">
        <v>1499</v>
      </c>
      <c r="J3560" s="487" t="s">
        <v>1294</v>
      </c>
    </row>
    <row r="3561" spans="1:10" ht="15" x14ac:dyDescent="0.2">
      <c r="A3561" s="486" t="s">
        <v>1293</v>
      </c>
      <c r="B3561" s="487" t="s">
        <v>1292</v>
      </c>
      <c r="C3561" s="488" t="s">
        <v>12048</v>
      </c>
      <c r="D3561" s="489" t="s">
        <v>12049</v>
      </c>
      <c r="E3561" s="487" t="s">
        <v>12050</v>
      </c>
      <c r="F3561" s="490">
        <v>46855</v>
      </c>
      <c r="G3561" s="489">
        <v>935</v>
      </c>
      <c r="H3561" s="489">
        <v>50.112299999999998</v>
      </c>
      <c r="I3561" s="487" t="s">
        <v>1499</v>
      </c>
      <c r="J3561" s="487" t="s">
        <v>1294</v>
      </c>
    </row>
    <row r="3562" spans="1:10" ht="15" x14ac:dyDescent="0.2">
      <c r="A3562" s="486" t="s">
        <v>1293</v>
      </c>
      <c r="B3562" s="487" t="s">
        <v>1292</v>
      </c>
      <c r="C3562" s="488" t="s">
        <v>12051</v>
      </c>
      <c r="D3562" s="489" t="s">
        <v>12052</v>
      </c>
      <c r="E3562" s="487" t="s">
        <v>12053</v>
      </c>
      <c r="F3562" s="490">
        <v>28000</v>
      </c>
      <c r="G3562" s="489">
        <v>574</v>
      </c>
      <c r="H3562" s="489">
        <v>48.78049</v>
      </c>
      <c r="I3562" s="487" t="s">
        <v>1499</v>
      </c>
      <c r="J3562" s="487" t="s">
        <v>1294</v>
      </c>
    </row>
    <row r="3563" spans="1:10" ht="15" x14ac:dyDescent="0.2">
      <c r="A3563" s="486" t="s">
        <v>1293</v>
      </c>
      <c r="B3563" s="487" t="s">
        <v>1292</v>
      </c>
      <c r="C3563" s="488" t="s">
        <v>12054</v>
      </c>
      <c r="D3563" s="489" t="s">
        <v>12055</v>
      </c>
      <c r="E3563" s="487" t="s">
        <v>12056</v>
      </c>
      <c r="F3563" s="490">
        <v>591494</v>
      </c>
      <c r="G3563" s="489">
        <v>17361</v>
      </c>
      <c r="H3563" s="489">
        <v>34.070270000000001</v>
      </c>
      <c r="I3563" s="487" t="s">
        <v>1499</v>
      </c>
      <c r="J3563" s="487" t="s">
        <v>1294</v>
      </c>
    </row>
    <row r="3564" spans="1:10" ht="15" x14ac:dyDescent="0.2">
      <c r="A3564" s="486" t="s">
        <v>1293</v>
      </c>
      <c r="B3564" s="487" t="s">
        <v>1292</v>
      </c>
      <c r="C3564" s="488" t="s">
        <v>12057</v>
      </c>
      <c r="D3564" s="489" t="s">
        <v>12058</v>
      </c>
      <c r="E3564" s="487" t="s">
        <v>12059</v>
      </c>
      <c r="F3564" s="490">
        <v>19000</v>
      </c>
      <c r="G3564" s="489">
        <v>280</v>
      </c>
      <c r="H3564" s="489">
        <v>67.857140000000001</v>
      </c>
      <c r="I3564" s="487" t="s">
        <v>1499</v>
      </c>
      <c r="J3564" s="487" t="s">
        <v>1294</v>
      </c>
    </row>
    <row r="3565" spans="1:10" ht="15" x14ac:dyDescent="0.2">
      <c r="A3565" s="486" t="s">
        <v>1293</v>
      </c>
      <c r="B3565" s="487" t="s">
        <v>1292</v>
      </c>
      <c r="C3565" s="488" t="s">
        <v>12060</v>
      </c>
      <c r="D3565" s="489" t="s">
        <v>12061</v>
      </c>
      <c r="E3565" s="487" t="s">
        <v>3349</v>
      </c>
      <c r="F3565" s="490">
        <v>0</v>
      </c>
      <c r="G3565" s="489">
        <v>43</v>
      </c>
      <c r="H3565" s="489">
        <v>0</v>
      </c>
      <c r="I3565" s="487" t="s">
        <v>1593</v>
      </c>
      <c r="J3565" s="487" t="s">
        <v>1294</v>
      </c>
    </row>
    <row r="3566" spans="1:10" ht="15" x14ac:dyDescent="0.2">
      <c r="A3566" s="486" t="s">
        <v>1293</v>
      </c>
      <c r="B3566" s="487" t="s">
        <v>1292</v>
      </c>
      <c r="C3566" s="488" t="s">
        <v>12062</v>
      </c>
      <c r="D3566" s="489" t="s">
        <v>12063</v>
      </c>
      <c r="E3566" s="487" t="s">
        <v>12064</v>
      </c>
      <c r="F3566" s="490">
        <v>13648</v>
      </c>
      <c r="G3566" s="489">
        <v>560</v>
      </c>
      <c r="H3566" s="489">
        <v>24.37143</v>
      </c>
      <c r="I3566" s="487" t="s">
        <v>1499</v>
      </c>
      <c r="J3566" s="487" t="s">
        <v>1294</v>
      </c>
    </row>
    <row r="3567" spans="1:10" ht="15" x14ac:dyDescent="0.2">
      <c r="A3567" s="486" t="s">
        <v>1293</v>
      </c>
      <c r="B3567" s="487" t="s">
        <v>1292</v>
      </c>
      <c r="C3567" s="488" t="s">
        <v>12065</v>
      </c>
      <c r="D3567" s="489" t="s">
        <v>12066</v>
      </c>
      <c r="E3567" s="487" t="s">
        <v>12067</v>
      </c>
      <c r="F3567" s="490">
        <v>39868</v>
      </c>
      <c r="G3567" s="489">
        <v>414</v>
      </c>
      <c r="H3567" s="489">
        <v>96.299520000000001</v>
      </c>
      <c r="I3567" s="487" t="s">
        <v>1499</v>
      </c>
      <c r="J3567" s="487" t="s">
        <v>1294</v>
      </c>
    </row>
    <row r="3568" spans="1:10" ht="15" x14ac:dyDescent="0.2">
      <c r="A3568" s="486" t="s">
        <v>1293</v>
      </c>
      <c r="B3568" s="487" t="s">
        <v>1292</v>
      </c>
      <c r="C3568" s="488" t="s">
        <v>12068</v>
      </c>
      <c r="D3568" s="489" t="s">
        <v>12069</v>
      </c>
      <c r="E3568" s="487" t="s">
        <v>12070</v>
      </c>
      <c r="F3568" s="490">
        <v>0</v>
      </c>
      <c r="G3568" s="489">
        <v>24</v>
      </c>
      <c r="H3568" s="489">
        <v>0</v>
      </c>
      <c r="I3568" s="487" t="s">
        <v>1593</v>
      </c>
      <c r="J3568" s="487" t="s">
        <v>1294</v>
      </c>
    </row>
    <row r="3569" spans="1:10" ht="15" x14ac:dyDescent="0.2">
      <c r="A3569" s="486" t="s">
        <v>1293</v>
      </c>
      <c r="B3569" s="487" t="s">
        <v>1292</v>
      </c>
      <c r="C3569" s="488" t="s">
        <v>12071</v>
      </c>
      <c r="D3569" s="489" t="s">
        <v>12072</v>
      </c>
      <c r="E3569" s="487" t="s">
        <v>12073</v>
      </c>
      <c r="F3569" s="490">
        <v>24100</v>
      </c>
      <c r="G3569" s="489">
        <v>374</v>
      </c>
      <c r="H3569" s="489">
        <v>64.438500000000005</v>
      </c>
      <c r="I3569" s="487" t="s">
        <v>1499</v>
      </c>
      <c r="J3569" s="487" t="s">
        <v>1294</v>
      </c>
    </row>
    <row r="3570" spans="1:10" ht="15" x14ac:dyDescent="0.2">
      <c r="A3570" s="486" t="s">
        <v>1293</v>
      </c>
      <c r="B3570" s="487" t="s">
        <v>1292</v>
      </c>
      <c r="C3570" s="488" t="s">
        <v>12074</v>
      </c>
      <c r="D3570" s="489" t="s">
        <v>12075</v>
      </c>
      <c r="E3570" s="487" t="s">
        <v>2627</v>
      </c>
      <c r="F3570" s="490">
        <v>33500</v>
      </c>
      <c r="G3570" s="489">
        <v>569</v>
      </c>
      <c r="H3570" s="489">
        <v>58.875219999999999</v>
      </c>
      <c r="I3570" s="487" t="s">
        <v>1499</v>
      </c>
      <c r="J3570" s="487" t="s">
        <v>1294</v>
      </c>
    </row>
    <row r="3571" spans="1:10" ht="15" x14ac:dyDescent="0.2">
      <c r="A3571" s="486" t="s">
        <v>1293</v>
      </c>
      <c r="B3571" s="487" t="s">
        <v>1292</v>
      </c>
      <c r="C3571" s="488" t="s">
        <v>12076</v>
      </c>
      <c r="D3571" s="489" t="s">
        <v>12077</v>
      </c>
      <c r="E3571" s="487" t="s">
        <v>12078</v>
      </c>
      <c r="F3571" s="490">
        <v>3000</v>
      </c>
      <c r="G3571" s="489">
        <v>63</v>
      </c>
      <c r="H3571" s="489">
        <v>47.619050000000001</v>
      </c>
      <c r="I3571" s="487" t="s">
        <v>1499</v>
      </c>
      <c r="J3571" s="487" t="s">
        <v>1294</v>
      </c>
    </row>
    <row r="3572" spans="1:10" ht="15" x14ac:dyDescent="0.2">
      <c r="A3572" s="486" t="s">
        <v>1293</v>
      </c>
      <c r="B3572" s="487" t="s">
        <v>1292</v>
      </c>
      <c r="C3572" s="488" t="s">
        <v>12079</v>
      </c>
      <c r="D3572" s="489" t="s">
        <v>12080</v>
      </c>
      <c r="E3572" s="487" t="s">
        <v>12081</v>
      </c>
      <c r="F3572" s="490">
        <v>40000</v>
      </c>
      <c r="G3572" s="489">
        <v>869</v>
      </c>
      <c r="H3572" s="489">
        <v>46.029919999999997</v>
      </c>
      <c r="I3572" s="487" t="s">
        <v>1499</v>
      </c>
      <c r="J3572" s="487" t="s">
        <v>1294</v>
      </c>
    </row>
    <row r="3573" spans="1:10" ht="15" x14ac:dyDescent="0.2">
      <c r="A3573" s="486" t="s">
        <v>1293</v>
      </c>
      <c r="B3573" s="487" t="s">
        <v>1292</v>
      </c>
      <c r="C3573" s="488" t="s">
        <v>12082</v>
      </c>
      <c r="D3573" s="489" t="s">
        <v>12083</v>
      </c>
      <c r="E3573" s="487" t="s">
        <v>12084</v>
      </c>
      <c r="F3573" s="490">
        <v>41516</v>
      </c>
      <c r="G3573" s="489">
        <v>539</v>
      </c>
      <c r="H3573" s="489">
        <v>77.024119999999996</v>
      </c>
      <c r="I3573" s="487" t="s">
        <v>1499</v>
      </c>
      <c r="J3573" s="487" t="s">
        <v>1294</v>
      </c>
    </row>
    <row r="3574" spans="1:10" ht="15" x14ac:dyDescent="0.2">
      <c r="A3574" s="486" t="s">
        <v>1293</v>
      </c>
      <c r="B3574" s="487" t="s">
        <v>1292</v>
      </c>
      <c r="C3574" s="488" t="s">
        <v>12085</v>
      </c>
      <c r="D3574" s="489" t="s">
        <v>12086</v>
      </c>
      <c r="E3574" s="487" t="s">
        <v>12087</v>
      </c>
      <c r="F3574" s="490">
        <v>37500</v>
      </c>
      <c r="G3574" s="489">
        <v>735</v>
      </c>
      <c r="H3574" s="489">
        <v>51.020409999999998</v>
      </c>
      <c r="I3574" s="487" t="s">
        <v>1499</v>
      </c>
      <c r="J3574" s="487" t="s">
        <v>1294</v>
      </c>
    </row>
    <row r="3575" spans="1:10" ht="15" x14ac:dyDescent="0.2">
      <c r="A3575" s="486" t="s">
        <v>1293</v>
      </c>
      <c r="B3575" s="487" t="s">
        <v>1292</v>
      </c>
      <c r="C3575" s="488" t="s">
        <v>12088</v>
      </c>
      <c r="D3575" s="489" t="s">
        <v>12089</v>
      </c>
      <c r="E3575" s="487" t="s">
        <v>12090</v>
      </c>
      <c r="F3575" s="490">
        <v>3850</v>
      </c>
      <c r="G3575" s="489">
        <v>93</v>
      </c>
      <c r="H3575" s="489">
        <v>41.397849999999998</v>
      </c>
      <c r="I3575" s="487" t="s">
        <v>1499</v>
      </c>
      <c r="J3575" s="487" t="s">
        <v>1294</v>
      </c>
    </row>
    <row r="3576" spans="1:10" ht="15" x14ac:dyDescent="0.2">
      <c r="A3576" s="486" t="s">
        <v>1293</v>
      </c>
      <c r="B3576" s="487" t="s">
        <v>1292</v>
      </c>
      <c r="C3576" s="488" t="s">
        <v>12091</v>
      </c>
      <c r="D3576" s="489" t="s">
        <v>12092</v>
      </c>
      <c r="E3576" s="487" t="s">
        <v>12093</v>
      </c>
      <c r="F3576" s="490">
        <v>4435</v>
      </c>
      <c r="G3576" s="489">
        <v>100</v>
      </c>
      <c r="H3576" s="489">
        <v>44.35</v>
      </c>
      <c r="I3576" s="487" t="s">
        <v>1499</v>
      </c>
      <c r="J3576" s="487" t="s">
        <v>1294</v>
      </c>
    </row>
    <row r="3577" spans="1:10" ht="15" x14ac:dyDescent="0.2">
      <c r="A3577" s="486" t="s">
        <v>1293</v>
      </c>
      <c r="B3577" s="487" t="s">
        <v>1292</v>
      </c>
      <c r="C3577" s="488" t="s">
        <v>12094</v>
      </c>
      <c r="D3577" s="489" t="s">
        <v>12095</v>
      </c>
      <c r="E3577" s="487" t="s">
        <v>12096</v>
      </c>
      <c r="F3577" s="490">
        <v>11270</v>
      </c>
      <c r="G3577" s="489">
        <v>260</v>
      </c>
      <c r="H3577" s="489">
        <v>43.346150000000002</v>
      </c>
      <c r="I3577" s="487" t="s">
        <v>1499</v>
      </c>
      <c r="J3577" s="487" t="s">
        <v>1294</v>
      </c>
    </row>
    <row r="3578" spans="1:10" ht="15" x14ac:dyDescent="0.2">
      <c r="A3578" s="486" t="s">
        <v>1293</v>
      </c>
      <c r="B3578" s="487" t="s">
        <v>1292</v>
      </c>
      <c r="C3578" s="488" t="s">
        <v>12097</v>
      </c>
      <c r="D3578" s="489" t="s">
        <v>12098</v>
      </c>
      <c r="E3578" s="487" t="s">
        <v>12099</v>
      </c>
      <c r="F3578" s="490">
        <v>0</v>
      </c>
      <c r="G3578" s="489">
        <v>48</v>
      </c>
      <c r="H3578" s="489">
        <v>0</v>
      </c>
      <c r="I3578" s="487" t="s">
        <v>1593</v>
      </c>
      <c r="J3578" s="487" t="s">
        <v>1294</v>
      </c>
    </row>
    <row r="3579" spans="1:10" ht="15" x14ac:dyDescent="0.2">
      <c r="A3579" s="486" t="s">
        <v>1293</v>
      </c>
      <c r="B3579" s="487" t="s">
        <v>1292</v>
      </c>
      <c r="C3579" s="488" t="s">
        <v>12100</v>
      </c>
      <c r="D3579" s="489" t="s">
        <v>12101</v>
      </c>
      <c r="E3579" s="487" t="s">
        <v>10346</v>
      </c>
      <c r="F3579" s="490">
        <v>11000</v>
      </c>
      <c r="G3579" s="489">
        <v>141</v>
      </c>
      <c r="H3579" s="489">
        <v>78.014179999999996</v>
      </c>
      <c r="I3579" s="487" t="s">
        <v>1499</v>
      </c>
      <c r="J3579" s="487" t="s">
        <v>1294</v>
      </c>
    </row>
    <row r="3580" spans="1:10" ht="15" x14ac:dyDescent="0.2">
      <c r="A3580" s="486" t="s">
        <v>1293</v>
      </c>
      <c r="B3580" s="487" t="s">
        <v>1292</v>
      </c>
      <c r="C3580" s="488" t="s">
        <v>12102</v>
      </c>
      <c r="D3580" s="489" t="s">
        <v>12103</v>
      </c>
      <c r="E3580" s="487" t="s">
        <v>12104</v>
      </c>
      <c r="F3580" s="490">
        <v>33060</v>
      </c>
      <c r="G3580" s="489">
        <v>417</v>
      </c>
      <c r="H3580" s="489">
        <v>79.28058</v>
      </c>
      <c r="I3580" s="487" t="s">
        <v>1499</v>
      </c>
      <c r="J3580" s="487" t="s">
        <v>1294</v>
      </c>
    </row>
    <row r="3581" spans="1:10" ht="15" x14ac:dyDescent="0.2">
      <c r="A3581" s="486" t="s">
        <v>1293</v>
      </c>
      <c r="B3581" s="487" t="s">
        <v>1292</v>
      </c>
      <c r="C3581" s="488" t="s">
        <v>12105</v>
      </c>
      <c r="D3581" s="489" t="s">
        <v>12106</v>
      </c>
      <c r="E3581" s="487" t="s">
        <v>12107</v>
      </c>
      <c r="F3581" s="490">
        <v>10000</v>
      </c>
      <c r="G3581" s="489">
        <v>264</v>
      </c>
      <c r="H3581" s="489">
        <v>37.878790000000002</v>
      </c>
      <c r="I3581" s="487" t="s">
        <v>1499</v>
      </c>
      <c r="J3581" s="487" t="s">
        <v>1294</v>
      </c>
    </row>
    <row r="3582" spans="1:10" ht="15" x14ac:dyDescent="0.2">
      <c r="A3582" s="486" t="s">
        <v>1293</v>
      </c>
      <c r="B3582" s="487" t="s">
        <v>1292</v>
      </c>
      <c r="C3582" s="488" t="s">
        <v>12108</v>
      </c>
      <c r="D3582" s="489" t="s">
        <v>12109</v>
      </c>
      <c r="E3582" s="487" t="s">
        <v>12110</v>
      </c>
      <c r="F3582" s="490">
        <v>21000</v>
      </c>
      <c r="G3582" s="489">
        <v>253</v>
      </c>
      <c r="H3582" s="489">
        <v>83.003950000000003</v>
      </c>
      <c r="I3582" s="487" t="s">
        <v>1499</v>
      </c>
      <c r="J3582" s="487" t="s">
        <v>1294</v>
      </c>
    </row>
    <row r="3583" spans="1:10" ht="15" x14ac:dyDescent="0.2">
      <c r="A3583" s="486" t="s">
        <v>1293</v>
      </c>
      <c r="B3583" s="487" t="s">
        <v>1292</v>
      </c>
      <c r="C3583" s="488" t="s">
        <v>12111</v>
      </c>
      <c r="D3583" s="489" t="s">
        <v>12112</v>
      </c>
      <c r="E3583" s="487" t="s">
        <v>12113</v>
      </c>
      <c r="F3583" s="490">
        <v>21000</v>
      </c>
      <c r="G3583" s="489">
        <v>391</v>
      </c>
      <c r="H3583" s="489">
        <v>53.708440000000003</v>
      </c>
      <c r="I3583" s="487" t="s">
        <v>1499</v>
      </c>
      <c r="J3583" s="487" t="s">
        <v>1294</v>
      </c>
    </row>
    <row r="3584" spans="1:10" ht="15" x14ac:dyDescent="0.2">
      <c r="A3584" s="486" t="s">
        <v>1293</v>
      </c>
      <c r="B3584" s="487" t="s">
        <v>1292</v>
      </c>
      <c r="C3584" s="488" t="s">
        <v>12114</v>
      </c>
      <c r="D3584" s="489" t="s">
        <v>12115</v>
      </c>
      <c r="E3584" s="487" t="s">
        <v>12116</v>
      </c>
      <c r="F3584" s="490">
        <v>10500</v>
      </c>
      <c r="G3584" s="489">
        <v>172</v>
      </c>
      <c r="H3584" s="489">
        <v>61.046509999999998</v>
      </c>
      <c r="I3584" s="487" t="s">
        <v>1499</v>
      </c>
      <c r="J3584" s="487" t="s">
        <v>1294</v>
      </c>
    </row>
    <row r="3585" spans="1:10" ht="15" x14ac:dyDescent="0.2">
      <c r="A3585" s="486" t="s">
        <v>1293</v>
      </c>
      <c r="B3585" s="487" t="s">
        <v>1292</v>
      </c>
      <c r="C3585" s="488" t="s">
        <v>12117</v>
      </c>
      <c r="D3585" s="489" t="s">
        <v>12118</v>
      </c>
      <c r="E3585" s="487" t="s">
        <v>12119</v>
      </c>
      <c r="F3585" s="490">
        <v>69870</v>
      </c>
      <c r="G3585" s="489">
        <v>744</v>
      </c>
      <c r="H3585" s="489">
        <v>93.911289999999994</v>
      </c>
      <c r="I3585" s="487" t="s">
        <v>1499</v>
      </c>
      <c r="J3585" s="487" t="s">
        <v>1294</v>
      </c>
    </row>
    <row r="3586" spans="1:10" ht="15" x14ac:dyDescent="0.2">
      <c r="A3586" s="486" t="s">
        <v>1293</v>
      </c>
      <c r="B3586" s="487" t="s">
        <v>1292</v>
      </c>
      <c r="C3586" s="488" t="s">
        <v>12120</v>
      </c>
      <c r="D3586" s="489" t="s">
        <v>12121</v>
      </c>
      <c r="E3586" s="487" t="s">
        <v>12122</v>
      </c>
      <c r="F3586" s="490">
        <v>0</v>
      </c>
      <c r="G3586" s="489">
        <v>72</v>
      </c>
      <c r="H3586" s="489">
        <v>0</v>
      </c>
      <c r="I3586" s="487" t="s">
        <v>1593</v>
      </c>
      <c r="J3586" s="487" t="s">
        <v>1294</v>
      </c>
    </row>
    <row r="3587" spans="1:10" ht="15" x14ac:dyDescent="0.2">
      <c r="A3587" s="486" t="s">
        <v>1293</v>
      </c>
      <c r="B3587" s="487" t="s">
        <v>1292</v>
      </c>
      <c r="C3587" s="488" t="s">
        <v>12123</v>
      </c>
      <c r="D3587" s="489" t="s">
        <v>12124</v>
      </c>
      <c r="E3587" s="487" t="s">
        <v>12125</v>
      </c>
      <c r="F3587" s="490">
        <v>0</v>
      </c>
      <c r="G3587" s="489">
        <v>25</v>
      </c>
      <c r="H3587" s="489">
        <v>0</v>
      </c>
      <c r="I3587" s="487" t="s">
        <v>1593</v>
      </c>
      <c r="J3587" s="487" t="s">
        <v>1294</v>
      </c>
    </row>
    <row r="3588" spans="1:10" ht="15" x14ac:dyDescent="0.2">
      <c r="A3588" s="486" t="s">
        <v>1293</v>
      </c>
      <c r="B3588" s="487" t="s">
        <v>1292</v>
      </c>
      <c r="C3588" s="488" t="s">
        <v>12126</v>
      </c>
      <c r="D3588" s="489" t="s">
        <v>12127</v>
      </c>
      <c r="E3588" s="487" t="s">
        <v>12128</v>
      </c>
      <c r="F3588" s="490">
        <v>0</v>
      </c>
      <c r="G3588" s="489">
        <v>41</v>
      </c>
      <c r="H3588" s="489">
        <v>0</v>
      </c>
      <c r="I3588" s="487" t="s">
        <v>1593</v>
      </c>
      <c r="J3588" s="487" t="s">
        <v>1294</v>
      </c>
    </row>
    <row r="3589" spans="1:10" ht="15" x14ac:dyDescent="0.2">
      <c r="A3589" s="486" t="s">
        <v>1293</v>
      </c>
      <c r="B3589" s="487" t="s">
        <v>1292</v>
      </c>
      <c r="C3589" s="488" t="s">
        <v>12129</v>
      </c>
      <c r="D3589" s="489" t="s">
        <v>12130</v>
      </c>
      <c r="E3589" s="487" t="s">
        <v>12131</v>
      </c>
      <c r="F3589" s="490">
        <v>28320</v>
      </c>
      <c r="G3589" s="489">
        <v>376</v>
      </c>
      <c r="H3589" s="489">
        <v>75.319149999999993</v>
      </c>
      <c r="I3589" s="487" t="s">
        <v>1499</v>
      </c>
      <c r="J3589" s="487" t="s">
        <v>1294</v>
      </c>
    </row>
    <row r="3590" spans="1:10" ht="15" x14ac:dyDescent="0.2">
      <c r="A3590" s="486" t="s">
        <v>1293</v>
      </c>
      <c r="B3590" s="487" t="s">
        <v>1292</v>
      </c>
      <c r="C3590" s="488" t="s">
        <v>12132</v>
      </c>
      <c r="D3590" s="489" t="s">
        <v>12133</v>
      </c>
      <c r="E3590" s="487" t="s">
        <v>12134</v>
      </c>
      <c r="F3590" s="490">
        <v>25534</v>
      </c>
      <c r="G3590" s="489">
        <v>351</v>
      </c>
      <c r="H3590" s="489">
        <v>72.746440000000007</v>
      </c>
      <c r="I3590" s="487" t="s">
        <v>1499</v>
      </c>
      <c r="J3590" s="487" t="s">
        <v>1294</v>
      </c>
    </row>
    <row r="3591" spans="1:10" ht="15" x14ac:dyDescent="0.2">
      <c r="A3591" s="486" t="s">
        <v>1293</v>
      </c>
      <c r="B3591" s="487" t="s">
        <v>1292</v>
      </c>
      <c r="C3591" s="488" t="s">
        <v>12135</v>
      </c>
      <c r="D3591" s="489" t="s">
        <v>12136</v>
      </c>
      <c r="E3591" s="487" t="s">
        <v>12137</v>
      </c>
      <c r="F3591" s="490">
        <v>9900</v>
      </c>
      <c r="G3591" s="489">
        <v>219</v>
      </c>
      <c r="H3591" s="489">
        <v>45.205480000000001</v>
      </c>
      <c r="I3591" s="487" t="s">
        <v>1499</v>
      </c>
      <c r="J3591" s="487" t="s">
        <v>1294</v>
      </c>
    </row>
    <row r="3592" spans="1:10" ht="15" x14ac:dyDescent="0.2">
      <c r="A3592" s="486" t="s">
        <v>1293</v>
      </c>
      <c r="B3592" s="487" t="s">
        <v>1292</v>
      </c>
      <c r="C3592" s="488" t="s">
        <v>12138</v>
      </c>
      <c r="D3592" s="489" t="s">
        <v>12139</v>
      </c>
      <c r="E3592" s="487" t="s">
        <v>12140</v>
      </c>
      <c r="F3592" s="490">
        <v>4000</v>
      </c>
      <c r="G3592" s="489">
        <v>133</v>
      </c>
      <c r="H3592" s="489">
        <v>30.075189999999999</v>
      </c>
      <c r="I3592" s="487" t="s">
        <v>1499</v>
      </c>
      <c r="J3592" s="487" t="s">
        <v>1294</v>
      </c>
    </row>
    <row r="3593" spans="1:10" ht="15" x14ac:dyDescent="0.2">
      <c r="A3593" s="486" t="s">
        <v>1293</v>
      </c>
      <c r="B3593" s="487" t="s">
        <v>1292</v>
      </c>
      <c r="C3593" s="488" t="s">
        <v>12141</v>
      </c>
      <c r="D3593" s="489" t="s">
        <v>12142</v>
      </c>
      <c r="E3593" s="487" t="s">
        <v>12143</v>
      </c>
      <c r="F3593" s="490">
        <v>21500</v>
      </c>
      <c r="G3593" s="489">
        <v>460</v>
      </c>
      <c r="H3593" s="489">
        <v>46.739130000000003</v>
      </c>
      <c r="I3593" s="487" t="s">
        <v>1499</v>
      </c>
      <c r="J3593" s="487" t="s">
        <v>1294</v>
      </c>
    </row>
    <row r="3594" spans="1:10" ht="15" x14ac:dyDescent="0.2">
      <c r="A3594" s="486" t="s">
        <v>1293</v>
      </c>
      <c r="B3594" s="487" t="s">
        <v>1292</v>
      </c>
      <c r="C3594" s="488" t="s">
        <v>12144</v>
      </c>
      <c r="D3594" s="489" t="s">
        <v>12145</v>
      </c>
      <c r="E3594" s="487" t="s">
        <v>12146</v>
      </c>
      <c r="F3594" s="490">
        <v>8800</v>
      </c>
      <c r="G3594" s="489">
        <v>141</v>
      </c>
      <c r="H3594" s="489">
        <v>62.411349999999999</v>
      </c>
      <c r="I3594" s="487" t="s">
        <v>1499</v>
      </c>
      <c r="J3594" s="487" t="s">
        <v>1294</v>
      </c>
    </row>
    <row r="3595" spans="1:10" ht="15" x14ac:dyDescent="0.2">
      <c r="A3595" s="486" t="s">
        <v>1293</v>
      </c>
      <c r="B3595" s="487" t="s">
        <v>1292</v>
      </c>
      <c r="C3595" s="488" t="s">
        <v>12147</v>
      </c>
      <c r="D3595" s="489" t="s">
        <v>12148</v>
      </c>
      <c r="E3595" s="487" t="s">
        <v>12149</v>
      </c>
      <c r="F3595" s="490">
        <v>9000</v>
      </c>
      <c r="G3595" s="489">
        <v>154</v>
      </c>
      <c r="H3595" s="489">
        <v>58.441560000000003</v>
      </c>
      <c r="I3595" s="487" t="s">
        <v>1499</v>
      </c>
      <c r="J3595" s="487" t="s">
        <v>1294</v>
      </c>
    </row>
    <row r="3596" spans="1:10" ht="15" x14ac:dyDescent="0.2">
      <c r="A3596" s="486" t="s">
        <v>1293</v>
      </c>
      <c r="B3596" s="487" t="s">
        <v>1292</v>
      </c>
      <c r="C3596" s="488" t="s">
        <v>12150</v>
      </c>
      <c r="D3596" s="489" t="s">
        <v>12151</v>
      </c>
      <c r="E3596" s="487" t="s">
        <v>12152</v>
      </c>
      <c r="F3596" s="490">
        <v>43350</v>
      </c>
      <c r="G3596" s="489">
        <v>419</v>
      </c>
      <c r="H3596" s="489">
        <v>103.46062000000001</v>
      </c>
      <c r="I3596" s="487" t="s">
        <v>1499</v>
      </c>
      <c r="J3596" s="487" t="s">
        <v>1294</v>
      </c>
    </row>
    <row r="3597" spans="1:10" ht="15" x14ac:dyDescent="0.2">
      <c r="A3597" s="486" t="s">
        <v>1293</v>
      </c>
      <c r="B3597" s="487" t="s">
        <v>1292</v>
      </c>
      <c r="C3597" s="488" t="s">
        <v>12153</v>
      </c>
      <c r="D3597" s="489" t="s">
        <v>12154</v>
      </c>
      <c r="E3597" s="487" t="s">
        <v>12155</v>
      </c>
      <c r="F3597" s="490">
        <v>195000</v>
      </c>
      <c r="G3597" s="489">
        <v>2604</v>
      </c>
      <c r="H3597" s="489">
        <v>74.884789999999995</v>
      </c>
      <c r="I3597" s="487" t="s">
        <v>1499</v>
      </c>
      <c r="J3597" s="487" t="s">
        <v>1294</v>
      </c>
    </row>
    <row r="3598" spans="1:10" ht="15" x14ac:dyDescent="0.2">
      <c r="A3598" s="486" t="s">
        <v>1293</v>
      </c>
      <c r="B3598" s="487" t="s">
        <v>1292</v>
      </c>
      <c r="C3598" s="488" t="s">
        <v>12156</v>
      </c>
      <c r="D3598" s="489" t="s">
        <v>12157</v>
      </c>
      <c r="E3598" s="487" t="s">
        <v>12158</v>
      </c>
      <c r="F3598" s="490">
        <v>73000</v>
      </c>
      <c r="G3598" s="489">
        <v>2713</v>
      </c>
      <c r="H3598" s="489">
        <v>26.90748</v>
      </c>
      <c r="I3598" s="487" t="s">
        <v>1499</v>
      </c>
      <c r="J3598" s="487" t="s">
        <v>1294</v>
      </c>
    </row>
    <row r="3599" spans="1:10" ht="15" x14ac:dyDescent="0.2">
      <c r="A3599" s="486" t="s">
        <v>1293</v>
      </c>
      <c r="B3599" s="487" t="s">
        <v>1292</v>
      </c>
      <c r="C3599" s="488" t="s">
        <v>12159</v>
      </c>
      <c r="D3599" s="489" t="s">
        <v>12160</v>
      </c>
      <c r="E3599" s="487" t="s">
        <v>12161</v>
      </c>
      <c r="F3599" s="490">
        <v>49000</v>
      </c>
      <c r="G3599" s="489">
        <v>815</v>
      </c>
      <c r="H3599" s="489">
        <v>60.122700000000002</v>
      </c>
      <c r="I3599" s="487" t="s">
        <v>1499</v>
      </c>
      <c r="J3599" s="487" t="s">
        <v>1294</v>
      </c>
    </row>
    <row r="3600" spans="1:10" ht="15" x14ac:dyDescent="0.2">
      <c r="A3600" s="486" t="s">
        <v>1293</v>
      </c>
      <c r="B3600" s="487" t="s">
        <v>1292</v>
      </c>
      <c r="C3600" s="488" t="s">
        <v>12162</v>
      </c>
      <c r="D3600" s="489" t="s">
        <v>12163</v>
      </c>
      <c r="E3600" s="487" t="s">
        <v>12164</v>
      </c>
      <c r="F3600" s="490">
        <v>19000</v>
      </c>
      <c r="G3600" s="489">
        <v>352</v>
      </c>
      <c r="H3600" s="489">
        <v>53.977269999999997</v>
      </c>
      <c r="I3600" s="487" t="s">
        <v>1499</v>
      </c>
      <c r="J3600" s="487" t="s">
        <v>1294</v>
      </c>
    </row>
    <row r="3601" spans="1:10" ht="15" x14ac:dyDescent="0.2">
      <c r="A3601" s="486" t="s">
        <v>1293</v>
      </c>
      <c r="B3601" s="487" t="s">
        <v>1292</v>
      </c>
      <c r="C3601" s="488" t="s">
        <v>12165</v>
      </c>
      <c r="D3601" s="489" t="s">
        <v>12166</v>
      </c>
      <c r="E3601" s="487" t="s">
        <v>12167</v>
      </c>
      <c r="F3601" s="490">
        <v>12000</v>
      </c>
      <c r="G3601" s="489">
        <v>177</v>
      </c>
      <c r="H3601" s="489">
        <v>67.796610000000001</v>
      </c>
      <c r="I3601" s="487" t="s">
        <v>1499</v>
      </c>
      <c r="J3601" s="487" t="s">
        <v>1294</v>
      </c>
    </row>
    <row r="3602" spans="1:10" ht="15" x14ac:dyDescent="0.2">
      <c r="A3602" s="486" t="s">
        <v>1293</v>
      </c>
      <c r="B3602" s="487" t="s">
        <v>1292</v>
      </c>
      <c r="C3602" s="488" t="s">
        <v>12168</v>
      </c>
      <c r="D3602" s="489" t="s">
        <v>12169</v>
      </c>
      <c r="E3602" s="487" t="s">
        <v>12170</v>
      </c>
      <c r="F3602" s="490">
        <v>3150</v>
      </c>
      <c r="G3602" s="489">
        <v>78</v>
      </c>
      <c r="H3602" s="489">
        <v>40.384619999999998</v>
      </c>
      <c r="I3602" s="487" t="s">
        <v>1499</v>
      </c>
      <c r="J3602" s="487" t="s">
        <v>1294</v>
      </c>
    </row>
    <row r="3603" spans="1:10" ht="15" x14ac:dyDescent="0.2">
      <c r="A3603" s="486" t="s">
        <v>1293</v>
      </c>
      <c r="B3603" s="487" t="s">
        <v>1292</v>
      </c>
      <c r="C3603" s="488" t="s">
        <v>12171</v>
      </c>
      <c r="D3603" s="489" t="s">
        <v>12172</v>
      </c>
      <c r="E3603" s="487" t="s">
        <v>12173</v>
      </c>
      <c r="F3603" s="490">
        <v>519499</v>
      </c>
      <c r="G3603" s="489">
        <v>8380</v>
      </c>
      <c r="H3603" s="489">
        <v>61.992719999999998</v>
      </c>
      <c r="I3603" s="487" t="s">
        <v>1499</v>
      </c>
      <c r="J3603" s="487" t="s">
        <v>1294</v>
      </c>
    </row>
    <row r="3604" spans="1:10" ht="15" x14ac:dyDescent="0.2">
      <c r="A3604" s="486" t="s">
        <v>1293</v>
      </c>
      <c r="B3604" s="487" t="s">
        <v>1292</v>
      </c>
      <c r="C3604" s="488" t="s">
        <v>12174</v>
      </c>
      <c r="D3604" s="489" t="s">
        <v>12175</v>
      </c>
      <c r="E3604" s="487" t="s">
        <v>12176</v>
      </c>
      <c r="F3604" s="490">
        <v>12000</v>
      </c>
      <c r="G3604" s="489">
        <v>351</v>
      </c>
      <c r="H3604" s="489">
        <v>34.188029999999998</v>
      </c>
      <c r="I3604" s="487" t="s">
        <v>1499</v>
      </c>
      <c r="J3604" s="487" t="s">
        <v>1294</v>
      </c>
    </row>
    <row r="3605" spans="1:10" ht="15" x14ac:dyDescent="0.2">
      <c r="A3605" s="486" t="s">
        <v>1293</v>
      </c>
      <c r="B3605" s="487" t="s">
        <v>1292</v>
      </c>
      <c r="C3605" s="488" t="s">
        <v>12177</v>
      </c>
      <c r="D3605" s="489" t="s">
        <v>12178</v>
      </c>
      <c r="E3605" s="487" t="s">
        <v>12179</v>
      </c>
      <c r="F3605" s="490">
        <v>32000</v>
      </c>
      <c r="G3605" s="489">
        <v>513</v>
      </c>
      <c r="H3605" s="489">
        <v>62.378169999999997</v>
      </c>
      <c r="I3605" s="487" t="s">
        <v>1499</v>
      </c>
      <c r="J3605" s="487" t="s">
        <v>1294</v>
      </c>
    </row>
    <row r="3606" spans="1:10" ht="15" x14ac:dyDescent="0.2">
      <c r="A3606" s="486" t="s">
        <v>1293</v>
      </c>
      <c r="B3606" s="487" t="s">
        <v>1292</v>
      </c>
      <c r="C3606" s="488" t="s">
        <v>12180</v>
      </c>
      <c r="D3606" s="489" t="s">
        <v>12181</v>
      </c>
      <c r="E3606" s="487" t="s">
        <v>12182</v>
      </c>
      <c r="F3606" s="490">
        <v>4807</v>
      </c>
      <c r="G3606" s="489">
        <v>153</v>
      </c>
      <c r="H3606" s="489">
        <v>31.418299999999999</v>
      </c>
      <c r="I3606" s="487" t="s">
        <v>1499</v>
      </c>
      <c r="J3606" s="487" t="s">
        <v>1294</v>
      </c>
    </row>
    <row r="3607" spans="1:10" ht="15" x14ac:dyDescent="0.2">
      <c r="A3607" s="486" t="s">
        <v>1293</v>
      </c>
      <c r="B3607" s="487" t="s">
        <v>1292</v>
      </c>
      <c r="C3607" s="488" t="s">
        <v>12183</v>
      </c>
      <c r="D3607" s="489" t="s">
        <v>12184</v>
      </c>
      <c r="E3607" s="487" t="s">
        <v>12185</v>
      </c>
      <c r="F3607" s="490">
        <v>22288</v>
      </c>
      <c r="G3607" s="489">
        <v>344</v>
      </c>
      <c r="H3607" s="489">
        <v>64.790700000000001</v>
      </c>
      <c r="I3607" s="487" t="s">
        <v>1499</v>
      </c>
      <c r="J3607" s="487" t="s">
        <v>1294</v>
      </c>
    </row>
    <row r="3608" spans="1:10" ht="15" x14ac:dyDescent="0.2">
      <c r="A3608" s="486" t="s">
        <v>1293</v>
      </c>
      <c r="B3608" s="487" t="s">
        <v>1292</v>
      </c>
      <c r="C3608" s="488" t="s">
        <v>12186</v>
      </c>
      <c r="D3608" s="489" t="s">
        <v>12187</v>
      </c>
      <c r="E3608" s="487" t="s">
        <v>12188</v>
      </c>
      <c r="F3608" s="490">
        <v>18000</v>
      </c>
      <c r="G3608" s="489">
        <v>307</v>
      </c>
      <c r="H3608" s="489">
        <v>58.631920000000001</v>
      </c>
      <c r="I3608" s="487" t="s">
        <v>1499</v>
      </c>
      <c r="J3608" s="487" t="s">
        <v>1294</v>
      </c>
    </row>
    <row r="3609" spans="1:10" ht="15" x14ac:dyDescent="0.2">
      <c r="A3609" s="486" t="s">
        <v>1293</v>
      </c>
      <c r="B3609" s="487" t="s">
        <v>1292</v>
      </c>
      <c r="C3609" s="488" t="s">
        <v>12189</v>
      </c>
      <c r="D3609" s="489" t="s">
        <v>12190</v>
      </c>
      <c r="E3609" s="487" t="s">
        <v>12191</v>
      </c>
      <c r="F3609" s="490">
        <v>17500</v>
      </c>
      <c r="G3609" s="489">
        <v>292</v>
      </c>
      <c r="H3609" s="489">
        <v>59.931510000000003</v>
      </c>
      <c r="I3609" s="487" t="s">
        <v>1499</v>
      </c>
      <c r="J3609" s="487" t="s">
        <v>1294</v>
      </c>
    </row>
    <row r="3610" spans="1:10" ht="15" x14ac:dyDescent="0.2">
      <c r="A3610" s="486" t="s">
        <v>1293</v>
      </c>
      <c r="B3610" s="487" t="s">
        <v>1292</v>
      </c>
      <c r="C3610" s="488" t="s">
        <v>12192</v>
      </c>
      <c r="D3610" s="489" t="s">
        <v>12193</v>
      </c>
      <c r="E3610" s="487" t="s">
        <v>12194</v>
      </c>
      <c r="F3610" s="490">
        <v>42042</v>
      </c>
      <c r="G3610" s="489">
        <v>646</v>
      </c>
      <c r="H3610" s="489">
        <v>65.080500000000001</v>
      </c>
      <c r="I3610" s="487" t="s">
        <v>1499</v>
      </c>
      <c r="J3610" s="487" t="s">
        <v>1294</v>
      </c>
    </row>
    <row r="3611" spans="1:10" ht="15" x14ac:dyDescent="0.2">
      <c r="A3611" s="486" t="s">
        <v>1293</v>
      </c>
      <c r="B3611" s="487" t="s">
        <v>1292</v>
      </c>
      <c r="C3611" s="488" t="s">
        <v>12195</v>
      </c>
      <c r="D3611" s="489" t="s">
        <v>12196</v>
      </c>
      <c r="E3611" s="487" t="s">
        <v>12197</v>
      </c>
      <c r="F3611" s="490">
        <v>40000</v>
      </c>
      <c r="G3611" s="489">
        <v>2990</v>
      </c>
      <c r="H3611" s="489">
        <v>13.377929999999999</v>
      </c>
      <c r="I3611" s="487" t="s">
        <v>1499</v>
      </c>
      <c r="J3611" s="487" t="s">
        <v>1294</v>
      </c>
    </row>
    <row r="3612" spans="1:10" ht="15" x14ac:dyDescent="0.2">
      <c r="A3612" s="486" t="s">
        <v>1293</v>
      </c>
      <c r="B3612" s="487" t="s">
        <v>1292</v>
      </c>
      <c r="C3612" s="488" t="s">
        <v>12198</v>
      </c>
      <c r="D3612" s="489" t="s">
        <v>12199</v>
      </c>
      <c r="E3612" s="487" t="s">
        <v>12200</v>
      </c>
      <c r="F3612" s="490">
        <v>17000</v>
      </c>
      <c r="G3612" s="489">
        <v>285</v>
      </c>
      <c r="H3612" s="489">
        <v>59.649120000000003</v>
      </c>
      <c r="I3612" s="487" t="s">
        <v>1499</v>
      </c>
      <c r="J3612" s="487" t="s">
        <v>1294</v>
      </c>
    </row>
    <row r="3613" spans="1:10" ht="15" x14ac:dyDescent="0.2">
      <c r="A3613" s="486" t="s">
        <v>1293</v>
      </c>
      <c r="B3613" s="487" t="s">
        <v>1292</v>
      </c>
      <c r="C3613" s="488" t="s">
        <v>12201</v>
      </c>
      <c r="D3613" s="489" t="s">
        <v>12202</v>
      </c>
      <c r="E3613" s="487" t="s">
        <v>1641</v>
      </c>
      <c r="F3613" s="490">
        <v>85789</v>
      </c>
      <c r="G3613" s="489">
        <v>1578</v>
      </c>
      <c r="H3613" s="489">
        <v>54.365650000000002</v>
      </c>
      <c r="I3613" s="487" t="s">
        <v>1499</v>
      </c>
      <c r="J3613" s="487" t="s">
        <v>1294</v>
      </c>
    </row>
    <row r="3614" spans="1:10" ht="15" x14ac:dyDescent="0.2">
      <c r="A3614" s="486" t="s">
        <v>1293</v>
      </c>
      <c r="B3614" s="487" t="s">
        <v>1292</v>
      </c>
      <c r="C3614" s="488" t="s">
        <v>12203</v>
      </c>
      <c r="D3614" s="489" t="s">
        <v>12204</v>
      </c>
      <c r="E3614" s="487" t="s">
        <v>12205</v>
      </c>
      <c r="F3614" s="490">
        <v>20000</v>
      </c>
      <c r="G3614" s="489">
        <v>312</v>
      </c>
      <c r="H3614" s="489">
        <v>64.102559999999997</v>
      </c>
      <c r="I3614" s="487" t="s">
        <v>1499</v>
      </c>
      <c r="J3614" s="487" t="s">
        <v>1294</v>
      </c>
    </row>
    <row r="3615" spans="1:10" ht="15" x14ac:dyDescent="0.2">
      <c r="A3615" s="486" t="s">
        <v>1293</v>
      </c>
      <c r="B3615" s="487" t="s">
        <v>1292</v>
      </c>
      <c r="C3615" s="488" t="s">
        <v>12206</v>
      </c>
      <c r="D3615" s="489" t="s">
        <v>12207</v>
      </c>
      <c r="E3615" s="487" t="s">
        <v>12208</v>
      </c>
      <c r="F3615" s="490">
        <v>12000</v>
      </c>
      <c r="G3615" s="489">
        <v>257</v>
      </c>
      <c r="H3615" s="489">
        <v>46.692610000000002</v>
      </c>
      <c r="I3615" s="487" t="s">
        <v>1499</v>
      </c>
      <c r="J3615" s="487" t="s">
        <v>1294</v>
      </c>
    </row>
    <row r="3616" spans="1:10" ht="15" x14ac:dyDescent="0.2">
      <c r="A3616" s="486" t="s">
        <v>1393</v>
      </c>
      <c r="B3616" s="487" t="s">
        <v>1392</v>
      </c>
      <c r="C3616" s="488" t="s">
        <v>12209</v>
      </c>
      <c r="D3616" s="489" t="s">
        <v>12210</v>
      </c>
      <c r="E3616" s="487" t="s">
        <v>12211</v>
      </c>
      <c r="F3616" s="490">
        <v>60405</v>
      </c>
      <c r="G3616" s="489">
        <v>981.1</v>
      </c>
      <c r="H3616" s="489">
        <v>61.568649999999998</v>
      </c>
      <c r="I3616" s="487" t="s">
        <v>1499</v>
      </c>
      <c r="J3616" s="487" t="s">
        <v>1394</v>
      </c>
    </row>
    <row r="3617" spans="1:10" ht="15" x14ac:dyDescent="0.2">
      <c r="A3617" s="486" t="s">
        <v>1393</v>
      </c>
      <c r="B3617" s="487" t="s">
        <v>1392</v>
      </c>
      <c r="C3617" s="488" t="s">
        <v>12212</v>
      </c>
      <c r="D3617" s="489" t="s">
        <v>12213</v>
      </c>
      <c r="E3617" s="487" t="s">
        <v>12214</v>
      </c>
      <c r="F3617" s="490">
        <v>0</v>
      </c>
      <c r="G3617" s="489">
        <v>59.9</v>
      </c>
      <c r="H3617" s="489">
        <v>0</v>
      </c>
      <c r="I3617" s="487" t="s">
        <v>1593</v>
      </c>
      <c r="J3617" s="487" t="s">
        <v>1394</v>
      </c>
    </row>
    <row r="3618" spans="1:10" ht="15" x14ac:dyDescent="0.2">
      <c r="A3618" s="486" t="s">
        <v>1393</v>
      </c>
      <c r="B3618" s="487" t="s">
        <v>1392</v>
      </c>
      <c r="C3618" s="488" t="s">
        <v>12215</v>
      </c>
      <c r="D3618" s="489" t="s">
        <v>12216</v>
      </c>
      <c r="E3618" s="487" t="s">
        <v>12217</v>
      </c>
      <c r="F3618" s="490">
        <v>11000</v>
      </c>
      <c r="G3618" s="489">
        <v>183.7</v>
      </c>
      <c r="H3618" s="489">
        <v>59.880240000000001</v>
      </c>
      <c r="I3618" s="487" t="s">
        <v>1499</v>
      </c>
      <c r="J3618" s="487" t="s">
        <v>1394</v>
      </c>
    </row>
    <row r="3619" spans="1:10" ht="15" x14ac:dyDescent="0.2">
      <c r="A3619" s="486" t="s">
        <v>1393</v>
      </c>
      <c r="B3619" s="487" t="s">
        <v>1392</v>
      </c>
      <c r="C3619" s="488" t="s">
        <v>12218</v>
      </c>
      <c r="D3619" s="489" t="s">
        <v>12219</v>
      </c>
      <c r="E3619" s="487" t="s">
        <v>12220</v>
      </c>
      <c r="F3619" s="490">
        <v>10000</v>
      </c>
      <c r="G3619" s="489">
        <v>213.9</v>
      </c>
      <c r="H3619" s="489">
        <v>46.750819999999997</v>
      </c>
      <c r="I3619" s="487" t="s">
        <v>1499</v>
      </c>
      <c r="J3619" s="487" t="s">
        <v>1394</v>
      </c>
    </row>
    <row r="3620" spans="1:10" ht="15" x14ac:dyDescent="0.2">
      <c r="A3620" s="486" t="s">
        <v>1393</v>
      </c>
      <c r="B3620" s="487" t="s">
        <v>1392</v>
      </c>
      <c r="C3620" s="488" t="s">
        <v>12221</v>
      </c>
      <c r="D3620" s="489" t="s">
        <v>12222</v>
      </c>
      <c r="E3620" s="487" t="s">
        <v>12223</v>
      </c>
      <c r="F3620" s="490">
        <v>626437</v>
      </c>
      <c r="G3620" s="489">
        <v>3064.2</v>
      </c>
      <c r="H3620" s="489">
        <v>204.43736999999999</v>
      </c>
      <c r="I3620" s="487" t="s">
        <v>1499</v>
      </c>
      <c r="J3620" s="487" t="s">
        <v>1394</v>
      </c>
    </row>
    <row r="3621" spans="1:10" ht="15" x14ac:dyDescent="0.2">
      <c r="A3621" s="486" t="s">
        <v>1393</v>
      </c>
      <c r="B3621" s="487" t="s">
        <v>1392</v>
      </c>
      <c r="C3621" s="488" t="s">
        <v>12224</v>
      </c>
      <c r="D3621" s="489" t="s">
        <v>12225</v>
      </c>
      <c r="E3621" s="487" t="s">
        <v>12226</v>
      </c>
      <c r="F3621" s="490">
        <v>26378</v>
      </c>
      <c r="G3621" s="489">
        <v>333.9</v>
      </c>
      <c r="H3621" s="489">
        <v>78.999700000000004</v>
      </c>
      <c r="I3621" s="487" t="s">
        <v>1499</v>
      </c>
      <c r="J3621" s="487" t="s">
        <v>1394</v>
      </c>
    </row>
    <row r="3622" spans="1:10" ht="15" x14ac:dyDescent="0.2">
      <c r="A3622" s="486" t="s">
        <v>1393</v>
      </c>
      <c r="B3622" s="487" t="s">
        <v>1392</v>
      </c>
      <c r="C3622" s="488" t="s">
        <v>12227</v>
      </c>
      <c r="D3622" s="489" t="s">
        <v>12228</v>
      </c>
      <c r="E3622" s="487" t="s">
        <v>12229</v>
      </c>
      <c r="F3622" s="490">
        <v>9042</v>
      </c>
      <c r="G3622" s="489">
        <v>224.5</v>
      </c>
      <c r="H3622" s="489">
        <v>40.27617</v>
      </c>
      <c r="I3622" s="487" t="s">
        <v>1499</v>
      </c>
      <c r="J3622" s="487" t="s">
        <v>1394</v>
      </c>
    </row>
    <row r="3623" spans="1:10" ht="15" x14ac:dyDescent="0.2">
      <c r="A3623" s="486" t="s">
        <v>1393</v>
      </c>
      <c r="B3623" s="487" t="s">
        <v>1392</v>
      </c>
      <c r="C3623" s="488" t="s">
        <v>12230</v>
      </c>
      <c r="D3623" s="489" t="s">
        <v>12231</v>
      </c>
      <c r="E3623" s="487" t="s">
        <v>12232</v>
      </c>
      <c r="F3623" s="490">
        <v>30700</v>
      </c>
      <c r="G3623" s="489">
        <v>326.60000000000002</v>
      </c>
      <c r="H3623" s="489">
        <v>93.998779999999996</v>
      </c>
      <c r="I3623" s="487" t="s">
        <v>1499</v>
      </c>
      <c r="J3623" s="487" t="s">
        <v>1394</v>
      </c>
    </row>
    <row r="3624" spans="1:10" ht="15" x14ac:dyDescent="0.2">
      <c r="A3624" s="486" t="s">
        <v>1393</v>
      </c>
      <c r="B3624" s="487" t="s">
        <v>1392</v>
      </c>
      <c r="C3624" s="488" t="s">
        <v>12233</v>
      </c>
      <c r="D3624" s="489" t="s">
        <v>12234</v>
      </c>
      <c r="E3624" s="487" t="s">
        <v>12235</v>
      </c>
      <c r="F3624" s="490">
        <v>0</v>
      </c>
      <c r="G3624" s="489">
        <v>64.099999999999994</v>
      </c>
      <c r="H3624" s="489">
        <v>0</v>
      </c>
      <c r="I3624" s="487" t="s">
        <v>1593</v>
      </c>
      <c r="J3624" s="487" t="s">
        <v>1394</v>
      </c>
    </row>
    <row r="3625" spans="1:10" ht="15" x14ac:dyDescent="0.2">
      <c r="A3625" s="486" t="s">
        <v>1393</v>
      </c>
      <c r="B3625" s="487" t="s">
        <v>1392</v>
      </c>
      <c r="C3625" s="488" t="s">
        <v>12236</v>
      </c>
      <c r="D3625" s="489" t="s">
        <v>12237</v>
      </c>
      <c r="E3625" s="487" t="s">
        <v>12238</v>
      </c>
      <c r="F3625" s="490">
        <v>247736</v>
      </c>
      <c r="G3625" s="489">
        <v>1693.2</v>
      </c>
      <c r="H3625" s="489">
        <v>146.31231</v>
      </c>
      <c r="I3625" s="487" t="s">
        <v>1499</v>
      </c>
      <c r="J3625" s="487" t="s">
        <v>1394</v>
      </c>
    </row>
    <row r="3626" spans="1:10" ht="15" x14ac:dyDescent="0.2">
      <c r="A3626" s="486" t="s">
        <v>1393</v>
      </c>
      <c r="B3626" s="487" t="s">
        <v>1392</v>
      </c>
      <c r="C3626" s="488" t="s">
        <v>12239</v>
      </c>
      <c r="D3626" s="489" t="s">
        <v>12240</v>
      </c>
      <c r="E3626" s="487" t="s">
        <v>12241</v>
      </c>
      <c r="F3626" s="490">
        <v>73253</v>
      </c>
      <c r="G3626" s="489">
        <v>900.4</v>
      </c>
      <c r="H3626" s="489">
        <v>81.356059999999999</v>
      </c>
      <c r="I3626" s="487" t="s">
        <v>1499</v>
      </c>
      <c r="J3626" s="487" t="s">
        <v>1394</v>
      </c>
    </row>
    <row r="3627" spans="1:10" ht="15" x14ac:dyDescent="0.2">
      <c r="A3627" s="486" t="s">
        <v>1393</v>
      </c>
      <c r="B3627" s="487" t="s">
        <v>1392</v>
      </c>
      <c r="C3627" s="488" t="s">
        <v>12242</v>
      </c>
      <c r="D3627" s="489" t="s">
        <v>12243</v>
      </c>
      <c r="E3627" s="487" t="s">
        <v>12244</v>
      </c>
      <c r="F3627" s="490">
        <v>22000</v>
      </c>
      <c r="G3627" s="489">
        <v>426.3</v>
      </c>
      <c r="H3627" s="489">
        <v>51.606850000000001</v>
      </c>
      <c r="I3627" s="487" t="s">
        <v>1499</v>
      </c>
      <c r="J3627" s="487" t="s">
        <v>1394</v>
      </c>
    </row>
    <row r="3628" spans="1:10" ht="15" x14ac:dyDescent="0.2">
      <c r="A3628" s="486" t="s">
        <v>1393</v>
      </c>
      <c r="B3628" s="487" t="s">
        <v>1392</v>
      </c>
      <c r="C3628" s="488" t="s">
        <v>12245</v>
      </c>
      <c r="D3628" s="489" t="s">
        <v>12246</v>
      </c>
      <c r="E3628" s="487" t="s">
        <v>666</v>
      </c>
      <c r="F3628" s="490">
        <v>21000</v>
      </c>
      <c r="G3628" s="489">
        <v>227.1</v>
      </c>
      <c r="H3628" s="489">
        <v>92.470280000000002</v>
      </c>
      <c r="I3628" s="487" t="s">
        <v>1499</v>
      </c>
      <c r="J3628" s="487" t="s">
        <v>1394</v>
      </c>
    </row>
    <row r="3629" spans="1:10" ht="15" x14ac:dyDescent="0.2">
      <c r="A3629" s="486" t="s">
        <v>1393</v>
      </c>
      <c r="B3629" s="487" t="s">
        <v>1392</v>
      </c>
      <c r="C3629" s="488" t="s">
        <v>12247</v>
      </c>
      <c r="D3629" s="489" t="s">
        <v>12248</v>
      </c>
      <c r="E3629" s="487" t="s">
        <v>12249</v>
      </c>
      <c r="F3629" s="490">
        <v>90134</v>
      </c>
      <c r="G3629" s="489">
        <v>684.9</v>
      </c>
      <c r="H3629" s="489">
        <v>131.60168999999999</v>
      </c>
      <c r="I3629" s="487" t="s">
        <v>1499</v>
      </c>
      <c r="J3629" s="487" t="s">
        <v>1394</v>
      </c>
    </row>
    <row r="3630" spans="1:10" ht="15" x14ac:dyDescent="0.2">
      <c r="A3630" s="486" t="s">
        <v>1393</v>
      </c>
      <c r="B3630" s="487" t="s">
        <v>1392</v>
      </c>
      <c r="C3630" s="488" t="s">
        <v>12250</v>
      </c>
      <c r="D3630" s="489" t="s">
        <v>12251</v>
      </c>
      <c r="E3630" s="487" t="s">
        <v>12252</v>
      </c>
      <c r="F3630" s="490">
        <v>650026</v>
      </c>
      <c r="G3630" s="489">
        <v>2795.9</v>
      </c>
      <c r="H3630" s="489">
        <v>232.49258</v>
      </c>
      <c r="I3630" s="487" t="s">
        <v>1499</v>
      </c>
      <c r="J3630" s="487" t="s">
        <v>1394</v>
      </c>
    </row>
    <row r="3631" spans="1:10" ht="15" x14ac:dyDescent="0.2">
      <c r="A3631" s="486" t="s">
        <v>1393</v>
      </c>
      <c r="B3631" s="487" t="s">
        <v>1392</v>
      </c>
      <c r="C3631" s="488" t="s">
        <v>12253</v>
      </c>
      <c r="D3631" s="489" t="s">
        <v>12254</v>
      </c>
      <c r="E3631" s="487" t="s">
        <v>12255</v>
      </c>
      <c r="F3631" s="490">
        <v>45000</v>
      </c>
      <c r="G3631" s="489">
        <v>353.4</v>
      </c>
      <c r="H3631" s="489">
        <v>127.33447</v>
      </c>
      <c r="I3631" s="487" t="s">
        <v>1499</v>
      </c>
      <c r="J3631" s="487" t="s">
        <v>1394</v>
      </c>
    </row>
    <row r="3632" spans="1:10" ht="15" x14ac:dyDescent="0.2">
      <c r="A3632" s="486" t="s">
        <v>1393</v>
      </c>
      <c r="B3632" s="487" t="s">
        <v>1392</v>
      </c>
      <c r="C3632" s="488" t="s">
        <v>12256</v>
      </c>
      <c r="D3632" s="489" t="s">
        <v>12257</v>
      </c>
      <c r="E3632" s="487" t="s">
        <v>12258</v>
      </c>
      <c r="F3632" s="490">
        <v>42000</v>
      </c>
      <c r="G3632" s="489">
        <v>491.7</v>
      </c>
      <c r="H3632" s="489">
        <v>85.417940000000002</v>
      </c>
      <c r="I3632" s="487" t="s">
        <v>1499</v>
      </c>
      <c r="J3632" s="487" t="s">
        <v>1394</v>
      </c>
    </row>
    <row r="3633" spans="1:10" ht="15" x14ac:dyDescent="0.2">
      <c r="A3633" s="486" t="s">
        <v>1393</v>
      </c>
      <c r="B3633" s="487" t="s">
        <v>1392</v>
      </c>
      <c r="C3633" s="488" t="s">
        <v>12259</v>
      </c>
      <c r="D3633" s="489" t="s">
        <v>12260</v>
      </c>
      <c r="E3633" s="487" t="s">
        <v>12261</v>
      </c>
      <c r="F3633" s="490">
        <v>675</v>
      </c>
      <c r="G3633" s="489">
        <v>141.80000000000001</v>
      </c>
      <c r="H3633" s="489">
        <v>4.76023</v>
      </c>
      <c r="I3633" s="487" t="s">
        <v>1499</v>
      </c>
      <c r="J3633" s="487" t="s">
        <v>1394</v>
      </c>
    </row>
    <row r="3634" spans="1:10" ht="15" x14ac:dyDescent="0.2">
      <c r="A3634" s="486" t="s">
        <v>1393</v>
      </c>
      <c r="B3634" s="487" t="s">
        <v>1392</v>
      </c>
      <c r="C3634" s="488" t="s">
        <v>12262</v>
      </c>
      <c r="D3634" s="489" t="s">
        <v>12263</v>
      </c>
      <c r="E3634" s="487" t="s">
        <v>12264</v>
      </c>
      <c r="F3634" s="490">
        <v>56295</v>
      </c>
      <c r="G3634" s="489">
        <v>517.79999999999995</v>
      </c>
      <c r="H3634" s="489">
        <v>108.71957999999999</v>
      </c>
      <c r="I3634" s="487" t="s">
        <v>1499</v>
      </c>
      <c r="J3634" s="487" t="s">
        <v>1394</v>
      </c>
    </row>
    <row r="3635" spans="1:10" ht="15" x14ac:dyDescent="0.2">
      <c r="A3635" s="486" t="s">
        <v>1393</v>
      </c>
      <c r="B3635" s="487" t="s">
        <v>1392</v>
      </c>
      <c r="C3635" s="488" t="s">
        <v>12265</v>
      </c>
      <c r="D3635" s="489" t="s">
        <v>12266</v>
      </c>
      <c r="E3635" s="487" t="s">
        <v>12267</v>
      </c>
      <c r="F3635" s="490">
        <v>89940</v>
      </c>
      <c r="G3635" s="489">
        <v>879.2</v>
      </c>
      <c r="H3635" s="489">
        <v>102.29754</v>
      </c>
      <c r="I3635" s="487" t="s">
        <v>1499</v>
      </c>
      <c r="J3635" s="487" t="s">
        <v>1394</v>
      </c>
    </row>
    <row r="3636" spans="1:10" ht="15" x14ac:dyDescent="0.2">
      <c r="A3636" s="486" t="s">
        <v>1393</v>
      </c>
      <c r="B3636" s="487" t="s">
        <v>1392</v>
      </c>
      <c r="C3636" s="488" t="s">
        <v>12268</v>
      </c>
      <c r="D3636" s="489" t="s">
        <v>12269</v>
      </c>
      <c r="E3636" s="487" t="s">
        <v>12270</v>
      </c>
      <c r="F3636" s="490">
        <v>40000</v>
      </c>
      <c r="G3636" s="489">
        <v>456.8</v>
      </c>
      <c r="H3636" s="489">
        <v>87.565669999999997</v>
      </c>
      <c r="I3636" s="487" t="s">
        <v>1499</v>
      </c>
      <c r="J3636" s="487" t="s">
        <v>1394</v>
      </c>
    </row>
    <row r="3637" spans="1:10" ht="15" x14ac:dyDescent="0.2">
      <c r="A3637" s="486" t="s">
        <v>1393</v>
      </c>
      <c r="B3637" s="487" t="s">
        <v>1392</v>
      </c>
      <c r="C3637" s="488" t="s">
        <v>12271</v>
      </c>
      <c r="D3637" s="489" t="s">
        <v>12272</v>
      </c>
      <c r="E3637" s="487" t="s">
        <v>12273</v>
      </c>
      <c r="F3637" s="490">
        <v>6225</v>
      </c>
      <c r="G3637" s="489">
        <v>130.69999999999999</v>
      </c>
      <c r="H3637" s="489">
        <v>47.628160000000001</v>
      </c>
      <c r="I3637" s="487" t="s">
        <v>1499</v>
      </c>
      <c r="J3637" s="487" t="s">
        <v>1394</v>
      </c>
    </row>
    <row r="3638" spans="1:10" ht="15" x14ac:dyDescent="0.2">
      <c r="A3638" s="486" t="s">
        <v>1393</v>
      </c>
      <c r="B3638" s="487" t="s">
        <v>1392</v>
      </c>
      <c r="C3638" s="488" t="s">
        <v>12274</v>
      </c>
      <c r="D3638" s="489" t="s">
        <v>12275</v>
      </c>
      <c r="E3638" s="487" t="s">
        <v>12276</v>
      </c>
      <c r="F3638" s="490">
        <v>34044</v>
      </c>
      <c r="G3638" s="489">
        <v>753.3</v>
      </c>
      <c r="H3638" s="489">
        <v>45.193150000000003</v>
      </c>
      <c r="I3638" s="487" t="s">
        <v>1499</v>
      </c>
      <c r="J3638" s="487" t="s">
        <v>1394</v>
      </c>
    </row>
    <row r="3639" spans="1:10" ht="15" x14ac:dyDescent="0.2">
      <c r="A3639" s="486" t="s">
        <v>1393</v>
      </c>
      <c r="B3639" s="487" t="s">
        <v>1392</v>
      </c>
      <c r="C3639" s="488" t="s">
        <v>12277</v>
      </c>
      <c r="D3639" s="489" t="s">
        <v>12278</v>
      </c>
      <c r="E3639" s="487" t="s">
        <v>12279</v>
      </c>
      <c r="F3639" s="490">
        <v>6500</v>
      </c>
      <c r="G3639" s="489">
        <v>138.69999999999999</v>
      </c>
      <c r="H3639" s="489">
        <v>46.863729999999997</v>
      </c>
      <c r="I3639" s="487" t="s">
        <v>1499</v>
      </c>
      <c r="J3639" s="487" t="s">
        <v>1394</v>
      </c>
    </row>
    <row r="3640" spans="1:10" ht="15" x14ac:dyDescent="0.2">
      <c r="A3640" s="486" t="s">
        <v>1393</v>
      </c>
      <c r="B3640" s="487" t="s">
        <v>1392</v>
      </c>
      <c r="C3640" s="488" t="s">
        <v>12280</v>
      </c>
      <c r="D3640" s="489" t="s">
        <v>12281</v>
      </c>
      <c r="E3640" s="487" t="s">
        <v>12282</v>
      </c>
      <c r="F3640" s="490">
        <v>210503</v>
      </c>
      <c r="G3640" s="489">
        <v>2002.9</v>
      </c>
      <c r="H3640" s="489">
        <v>105.09911</v>
      </c>
      <c r="I3640" s="487" t="s">
        <v>1499</v>
      </c>
      <c r="J3640" s="487" t="s">
        <v>1394</v>
      </c>
    </row>
    <row r="3641" spans="1:10" ht="15" x14ac:dyDescent="0.2">
      <c r="A3641" s="486" t="s">
        <v>1393</v>
      </c>
      <c r="B3641" s="487" t="s">
        <v>1392</v>
      </c>
      <c r="C3641" s="488" t="s">
        <v>12283</v>
      </c>
      <c r="D3641" s="489" t="s">
        <v>12284</v>
      </c>
      <c r="E3641" s="487" t="s">
        <v>12285</v>
      </c>
      <c r="F3641" s="490">
        <v>133660</v>
      </c>
      <c r="G3641" s="489">
        <v>1529.6</v>
      </c>
      <c r="H3641" s="489">
        <v>87.382320000000007</v>
      </c>
      <c r="I3641" s="487" t="s">
        <v>1499</v>
      </c>
      <c r="J3641" s="487" t="s">
        <v>1394</v>
      </c>
    </row>
    <row r="3642" spans="1:10" ht="15" x14ac:dyDescent="0.2">
      <c r="A3642" s="486" t="s">
        <v>1393</v>
      </c>
      <c r="B3642" s="487" t="s">
        <v>1392</v>
      </c>
      <c r="C3642" s="488" t="s">
        <v>12286</v>
      </c>
      <c r="D3642" s="489" t="s">
        <v>12287</v>
      </c>
      <c r="E3642" s="487" t="s">
        <v>12288</v>
      </c>
      <c r="F3642" s="490">
        <v>64000</v>
      </c>
      <c r="G3642" s="489">
        <v>694.7</v>
      </c>
      <c r="H3642" s="489">
        <v>92.126099999999994</v>
      </c>
      <c r="I3642" s="487" t="s">
        <v>1499</v>
      </c>
      <c r="J3642" s="487" t="s">
        <v>1394</v>
      </c>
    </row>
    <row r="3643" spans="1:10" ht="15" x14ac:dyDescent="0.2">
      <c r="A3643" s="486" t="s">
        <v>1393</v>
      </c>
      <c r="B3643" s="487" t="s">
        <v>1392</v>
      </c>
      <c r="C3643" s="488" t="s">
        <v>12289</v>
      </c>
      <c r="D3643" s="489" t="s">
        <v>12290</v>
      </c>
      <c r="E3643" s="487" t="s">
        <v>12291</v>
      </c>
      <c r="F3643" s="490">
        <v>360000</v>
      </c>
      <c r="G3643" s="489">
        <v>2417.5</v>
      </c>
      <c r="H3643" s="489">
        <v>148.91417000000001</v>
      </c>
      <c r="I3643" s="487" t="s">
        <v>1499</v>
      </c>
      <c r="J3643" s="487" t="s">
        <v>1394</v>
      </c>
    </row>
    <row r="3644" spans="1:10" ht="15" x14ac:dyDescent="0.2">
      <c r="A3644" s="486" t="s">
        <v>1393</v>
      </c>
      <c r="B3644" s="487" t="s">
        <v>1392</v>
      </c>
      <c r="C3644" s="488" t="s">
        <v>12292</v>
      </c>
      <c r="D3644" s="489" t="s">
        <v>12293</v>
      </c>
      <c r="E3644" s="487" t="s">
        <v>12294</v>
      </c>
      <c r="F3644" s="490">
        <v>160000</v>
      </c>
      <c r="G3644" s="489">
        <v>1178.9000000000001</v>
      </c>
      <c r="H3644" s="489">
        <v>135.71974</v>
      </c>
      <c r="I3644" s="487" t="s">
        <v>1499</v>
      </c>
      <c r="J3644" s="487" t="s">
        <v>1394</v>
      </c>
    </row>
    <row r="3645" spans="1:10" ht="15" x14ac:dyDescent="0.2">
      <c r="A3645" s="486" t="s">
        <v>1393</v>
      </c>
      <c r="B3645" s="487" t="s">
        <v>1392</v>
      </c>
      <c r="C3645" s="488" t="s">
        <v>12295</v>
      </c>
      <c r="D3645" s="489" t="s">
        <v>12296</v>
      </c>
      <c r="E3645" s="487" t="s">
        <v>12297</v>
      </c>
      <c r="F3645" s="490">
        <v>5508</v>
      </c>
      <c r="G3645" s="489">
        <v>134.1</v>
      </c>
      <c r="H3645" s="489">
        <v>41.073830000000001</v>
      </c>
      <c r="I3645" s="487" t="s">
        <v>1499</v>
      </c>
      <c r="J3645" s="487" t="s">
        <v>1394</v>
      </c>
    </row>
    <row r="3646" spans="1:10" ht="15" x14ac:dyDescent="0.2">
      <c r="A3646" s="486" t="s">
        <v>1393</v>
      </c>
      <c r="B3646" s="487" t="s">
        <v>1392</v>
      </c>
      <c r="C3646" s="488" t="s">
        <v>12298</v>
      </c>
      <c r="D3646" s="489" t="s">
        <v>12299</v>
      </c>
      <c r="E3646" s="487" t="s">
        <v>12300</v>
      </c>
      <c r="F3646" s="490">
        <v>15000</v>
      </c>
      <c r="G3646" s="489">
        <v>274.2</v>
      </c>
      <c r="H3646" s="489">
        <v>54.704599999999999</v>
      </c>
      <c r="I3646" s="487" t="s">
        <v>1499</v>
      </c>
      <c r="J3646" s="487" t="s">
        <v>1394</v>
      </c>
    </row>
    <row r="3647" spans="1:10" ht="15" x14ac:dyDescent="0.2">
      <c r="A3647" s="486" t="s">
        <v>1393</v>
      </c>
      <c r="B3647" s="487" t="s">
        <v>1392</v>
      </c>
      <c r="C3647" s="488" t="s">
        <v>12301</v>
      </c>
      <c r="D3647" s="489" t="s">
        <v>12302</v>
      </c>
      <c r="E3647" s="487" t="s">
        <v>12303</v>
      </c>
      <c r="F3647" s="490">
        <v>45857</v>
      </c>
      <c r="G3647" s="489">
        <v>785.2</v>
      </c>
      <c r="H3647" s="489">
        <v>58.401679999999999</v>
      </c>
      <c r="I3647" s="487" t="s">
        <v>1499</v>
      </c>
      <c r="J3647" s="487" t="s">
        <v>1394</v>
      </c>
    </row>
    <row r="3648" spans="1:10" ht="15" x14ac:dyDescent="0.2">
      <c r="A3648" s="486" t="s">
        <v>1393</v>
      </c>
      <c r="B3648" s="487" t="s">
        <v>1392</v>
      </c>
      <c r="C3648" s="488" t="s">
        <v>12304</v>
      </c>
      <c r="D3648" s="489" t="s">
        <v>12305</v>
      </c>
      <c r="E3648" s="487" t="s">
        <v>12306</v>
      </c>
      <c r="F3648" s="490">
        <v>44210</v>
      </c>
      <c r="G3648" s="489">
        <v>724.7</v>
      </c>
      <c r="H3648" s="489">
        <v>61.004550000000002</v>
      </c>
      <c r="I3648" s="487" t="s">
        <v>1499</v>
      </c>
      <c r="J3648" s="487" t="s">
        <v>1394</v>
      </c>
    </row>
    <row r="3649" spans="1:10" ht="15" x14ac:dyDescent="0.2">
      <c r="A3649" s="486" t="s">
        <v>1393</v>
      </c>
      <c r="B3649" s="487" t="s">
        <v>1392</v>
      </c>
      <c r="C3649" s="488" t="s">
        <v>12307</v>
      </c>
      <c r="D3649" s="489" t="s">
        <v>12308</v>
      </c>
      <c r="E3649" s="487" t="s">
        <v>12309</v>
      </c>
      <c r="F3649" s="490">
        <v>48552</v>
      </c>
      <c r="G3649" s="489">
        <v>408</v>
      </c>
      <c r="H3649" s="489">
        <v>119</v>
      </c>
      <c r="I3649" s="487" t="s">
        <v>1499</v>
      </c>
      <c r="J3649" s="487" t="s">
        <v>1394</v>
      </c>
    </row>
    <row r="3650" spans="1:10" ht="15" x14ac:dyDescent="0.2">
      <c r="A3650" s="486" t="s">
        <v>1393</v>
      </c>
      <c r="B3650" s="487" t="s">
        <v>1392</v>
      </c>
      <c r="C3650" s="488" t="s">
        <v>12310</v>
      </c>
      <c r="D3650" s="489" t="s">
        <v>12311</v>
      </c>
      <c r="E3650" s="487" t="s">
        <v>12312</v>
      </c>
      <c r="F3650" s="490">
        <v>232580</v>
      </c>
      <c r="G3650" s="489">
        <v>1899.1</v>
      </c>
      <c r="H3650" s="489">
        <v>122.46854</v>
      </c>
      <c r="I3650" s="487" t="s">
        <v>1499</v>
      </c>
      <c r="J3650" s="487" t="s">
        <v>1394</v>
      </c>
    </row>
    <row r="3651" spans="1:10" ht="15" x14ac:dyDescent="0.2">
      <c r="A3651" s="486" t="s">
        <v>1393</v>
      </c>
      <c r="B3651" s="487" t="s">
        <v>1392</v>
      </c>
      <c r="C3651" s="488" t="s">
        <v>12313</v>
      </c>
      <c r="D3651" s="489" t="s">
        <v>12314</v>
      </c>
      <c r="E3651" s="487" t="s">
        <v>12315</v>
      </c>
      <c r="F3651" s="490">
        <v>41314</v>
      </c>
      <c r="G3651" s="489">
        <v>852.2</v>
      </c>
      <c r="H3651" s="489">
        <v>48.479230000000001</v>
      </c>
      <c r="I3651" s="487" t="s">
        <v>1499</v>
      </c>
      <c r="J3651" s="487" t="s">
        <v>1394</v>
      </c>
    </row>
    <row r="3652" spans="1:10" ht="15" x14ac:dyDescent="0.2">
      <c r="A3652" s="486" t="s">
        <v>1393</v>
      </c>
      <c r="B3652" s="487" t="s">
        <v>1392</v>
      </c>
      <c r="C3652" s="488" t="s">
        <v>12316</v>
      </c>
      <c r="D3652" s="489" t="s">
        <v>12317</v>
      </c>
      <c r="E3652" s="487" t="s">
        <v>12318</v>
      </c>
      <c r="F3652" s="490">
        <v>113794</v>
      </c>
      <c r="G3652" s="489">
        <v>1288.7</v>
      </c>
      <c r="H3652" s="489">
        <v>88.301389999999998</v>
      </c>
      <c r="I3652" s="487" t="s">
        <v>1499</v>
      </c>
      <c r="J3652" s="487" t="s">
        <v>1394</v>
      </c>
    </row>
    <row r="3653" spans="1:10" ht="15" x14ac:dyDescent="0.2">
      <c r="A3653" s="486" t="s">
        <v>1393</v>
      </c>
      <c r="B3653" s="487" t="s">
        <v>1392</v>
      </c>
      <c r="C3653" s="488" t="s">
        <v>12319</v>
      </c>
      <c r="D3653" s="489" t="s">
        <v>12320</v>
      </c>
      <c r="E3653" s="487" t="s">
        <v>12321</v>
      </c>
      <c r="F3653" s="490">
        <v>20000</v>
      </c>
      <c r="G3653" s="489">
        <v>276.10000000000002</v>
      </c>
      <c r="H3653" s="489">
        <v>72.437520000000006</v>
      </c>
      <c r="I3653" s="487" t="s">
        <v>1499</v>
      </c>
      <c r="J3653" s="487" t="s">
        <v>1394</v>
      </c>
    </row>
    <row r="3654" spans="1:10" ht="15" x14ac:dyDescent="0.2">
      <c r="A3654" s="486" t="s">
        <v>1393</v>
      </c>
      <c r="B3654" s="487" t="s">
        <v>1392</v>
      </c>
      <c r="C3654" s="488" t="s">
        <v>12322</v>
      </c>
      <c r="D3654" s="489" t="s">
        <v>12323</v>
      </c>
      <c r="E3654" s="487" t="s">
        <v>12324</v>
      </c>
      <c r="F3654" s="490">
        <v>22608</v>
      </c>
      <c r="G3654" s="489">
        <v>322.7</v>
      </c>
      <c r="H3654" s="489">
        <v>70.058880000000002</v>
      </c>
      <c r="I3654" s="487" t="s">
        <v>1499</v>
      </c>
      <c r="J3654" s="487" t="s">
        <v>1394</v>
      </c>
    </row>
    <row r="3655" spans="1:10" ht="15" x14ac:dyDescent="0.2">
      <c r="A3655" s="486" t="s">
        <v>1393</v>
      </c>
      <c r="B3655" s="487" t="s">
        <v>1392</v>
      </c>
      <c r="C3655" s="488" t="s">
        <v>12325</v>
      </c>
      <c r="D3655" s="489" t="s">
        <v>12326</v>
      </c>
      <c r="E3655" s="487" t="s">
        <v>12327</v>
      </c>
      <c r="F3655" s="490">
        <v>260203</v>
      </c>
      <c r="G3655" s="489">
        <v>1495.7</v>
      </c>
      <c r="H3655" s="489">
        <v>173.96736999999999</v>
      </c>
      <c r="I3655" s="487" t="s">
        <v>1499</v>
      </c>
      <c r="J3655" s="487" t="s">
        <v>1394</v>
      </c>
    </row>
    <row r="3656" spans="1:10" ht="15" x14ac:dyDescent="0.2">
      <c r="A3656" s="486" t="s">
        <v>1393</v>
      </c>
      <c r="B3656" s="487" t="s">
        <v>1392</v>
      </c>
      <c r="C3656" s="488" t="s">
        <v>12328</v>
      </c>
      <c r="D3656" s="489" t="s">
        <v>12329</v>
      </c>
      <c r="E3656" s="487" t="s">
        <v>12330</v>
      </c>
      <c r="F3656" s="490">
        <v>4439</v>
      </c>
      <c r="G3656" s="489">
        <v>120.2</v>
      </c>
      <c r="H3656" s="489">
        <v>36.930120000000002</v>
      </c>
      <c r="I3656" s="487" t="s">
        <v>1499</v>
      </c>
      <c r="J3656" s="487" t="s">
        <v>1394</v>
      </c>
    </row>
    <row r="3657" spans="1:10" ht="15" x14ac:dyDescent="0.2">
      <c r="A3657" s="486" t="s">
        <v>1393</v>
      </c>
      <c r="B3657" s="487" t="s">
        <v>1392</v>
      </c>
      <c r="C3657" s="488" t="s">
        <v>12331</v>
      </c>
      <c r="D3657" s="489" t="s">
        <v>12332</v>
      </c>
      <c r="E3657" s="487" t="s">
        <v>2595</v>
      </c>
      <c r="F3657" s="490">
        <v>137334</v>
      </c>
      <c r="G3657" s="489">
        <v>759.1</v>
      </c>
      <c r="H3657" s="489">
        <v>180.91687999999999</v>
      </c>
      <c r="I3657" s="487" t="s">
        <v>1499</v>
      </c>
      <c r="J3657" s="487" t="s">
        <v>1394</v>
      </c>
    </row>
    <row r="3658" spans="1:10" ht="15" x14ac:dyDescent="0.2">
      <c r="A3658" s="486" t="s">
        <v>1393</v>
      </c>
      <c r="B3658" s="487" t="s">
        <v>1392</v>
      </c>
      <c r="C3658" s="488" t="s">
        <v>12333</v>
      </c>
      <c r="D3658" s="489" t="s">
        <v>12334</v>
      </c>
      <c r="E3658" s="487" t="s">
        <v>12335</v>
      </c>
      <c r="F3658" s="490">
        <v>34000</v>
      </c>
      <c r="G3658" s="489">
        <v>381.3</v>
      </c>
      <c r="H3658" s="489">
        <v>89.168629999999993</v>
      </c>
      <c r="I3658" s="487" t="s">
        <v>1499</v>
      </c>
      <c r="J3658" s="487" t="s">
        <v>1394</v>
      </c>
    </row>
    <row r="3659" spans="1:10" ht="15" x14ac:dyDescent="0.2">
      <c r="A3659" s="486" t="s">
        <v>1393</v>
      </c>
      <c r="B3659" s="487" t="s">
        <v>1392</v>
      </c>
      <c r="C3659" s="488" t="s">
        <v>12336</v>
      </c>
      <c r="D3659" s="489" t="s">
        <v>12337</v>
      </c>
      <c r="E3659" s="487" t="s">
        <v>12338</v>
      </c>
      <c r="F3659" s="490">
        <v>2100</v>
      </c>
      <c r="G3659" s="489">
        <v>120.2</v>
      </c>
      <c r="H3659" s="489">
        <v>17.470880000000001</v>
      </c>
      <c r="I3659" s="487" t="s">
        <v>1499</v>
      </c>
      <c r="J3659" s="487" t="s">
        <v>1394</v>
      </c>
    </row>
    <row r="3660" spans="1:10" ht="15" x14ac:dyDescent="0.2">
      <c r="A3660" s="486" t="s">
        <v>1393</v>
      </c>
      <c r="B3660" s="487" t="s">
        <v>1392</v>
      </c>
      <c r="C3660" s="488" t="s">
        <v>12339</v>
      </c>
      <c r="D3660" s="489" t="s">
        <v>12340</v>
      </c>
      <c r="E3660" s="487" t="s">
        <v>12341</v>
      </c>
      <c r="F3660" s="490">
        <v>40500</v>
      </c>
      <c r="G3660" s="489">
        <v>404.8</v>
      </c>
      <c r="H3660" s="489">
        <v>100.04940999999999</v>
      </c>
      <c r="I3660" s="487" t="s">
        <v>1499</v>
      </c>
      <c r="J3660" s="487" t="s">
        <v>1394</v>
      </c>
    </row>
    <row r="3661" spans="1:10" ht="15" x14ac:dyDescent="0.2">
      <c r="A3661" s="486" t="s">
        <v>1393</v>
      </c>
      <c r="B3661" s="487" t="s">
        <v>1392</v>
      </c>
      <c r="C3661" s="488" t="s">
        <v>12342</v>
      </c>
      <c r="D3661" s="489" t="s">
        <v>12343</v>
      </c>
      <c r="E3661" s="487" t="s">
        <v>12344</v>
      </c>
      <c r="F3661" s="490">
        <v>301659</v>
      </c>
      <c r="G3661" s="489">
        <v>3040.7</v>
      </c>
      <c r="H3661" s="489">
        <v>99.207089999999994</v>
      </c>
      <c r="I3661" s="487" t="s">
        <v>1499</v>
      </c>
      <c r="J3661" s="487" t="s">
        <v>1394</v>
      </c>
    </row>
    <row r="3662" spans="1:10" ht="15" x14ac:dyDescent="0.2">
      <c r="A3662" s="486" t="s">
        <v>1393</v>
      </c>
      <c r="B3662" s="487" t="s">
        <v>1392</v>
      </c>
      <c r="C3662" s="488" t="s">
        <v>12345</v>
      </c>
      <c r="D3662" s="489" t="s">
        <v>12346</v>
      </c>
      <c r="E3662" s="487" t="s">
        <v>12347</v>
      </c>
      <c r="F3662" s="490">
        <v>380010</v>
      </c>
      <c r="G3662" s="489">
        <v>1948.9</v>
      </c>
      <c r="H3662" s="489">
        <v>194.98692</v>
      </c>
      <c r="I3662" s="487" t="s">
        <v>1499</v>
      </c>
      <c r="J3662" s="487" t="s">
        <v>1394</v>
      </c>
    </row>
    <row r="3663" spans="1:10" ht="15" x14ac:dyDescent="0.2">
      <c r="A3663" s="486" t="s">
        <v>1393</v>
      </c>
      <c r="B3663" s="487" t="s">
        <v>1392</v>
      </c>
      <c r="C3663" s="488" t="s">
        <v>12348</v>
      </c>
      <c r="D3663" s="489" t="s">
        <v>12349</v>
      </c>
      <c r="E3663" s="487" t="s">
        <v>12350</v>
      </c>
      <c r="F3663" s="490">
        <v>40000</v>
      </c>
      <c r="G3663" s="489">
        <v>641.29999999999995</v>
      </c>
      <c r="H3663" s="489">
        <v>62.3733</v>
      </c>
      <c r="I3663" s="487" t="s">
        <v>1499</v>
      </c>
      <c r="J3663" s="487" t="s">
        <v>1394</v>
      </c>
    </row>
    <row r="3664" spans="1:10" ht="15" x14ac:dyDescent="0.2">
      <c r="A3664" s="486" t="s">
        <v>871</v>
      </c>
      <c r="B3664" s="487" t="s">
        <v>870</v>
      </c>
      <c r="C3664" s="488" t="s">
        <v>12351</v>
      </c>
      <c r="D3664" s="489" t="s">
        <v>12352</v>
      </c>
      <c r="E3664" s="487" t="s">
        <v>12353</v>
      </c>
      <c r="F3664" s="490">
        <v>10200</v>
      </c>
      <c r="G3664" s="489">
        <v>167.44</v>
      </c>
      <c r="H3664" s="489">
        <v>60.917340000000003</v>
      </c>
      <c r="I3664" s="487" t="s">
        <v>2465</v>
      </c>
      <c r="J3664" s="487" t="s">
        <v>872</v>
      </c>
    </row>
    <row r="3665" spans="1:10" ht="15" x14ac:dyDescent="0.2">
      <c r="A3665" s="486" t="s">
        <v>871</v>
      </c>
      <c r="B3665" s="487" t="s">
        <v>870</v>
      </c>
      <c r="C3665" s="488" t="s">
        <v>12354</v>
      </c>
      <c r="D3665" s="489" t="s">
        <v>12355</v>
      </c>
      <c r="E3665" s="487" t="s">
        <v>12356</v>
      </c>
      <c r="F3665" s="490">
        <v>50</v>
      </c>
      <c r="G3665" s="489">
        <v>38.950000000000003</v>
      </c>
      <c r="H3665" s="489">
        <v>1.2837000000000001</v>
      </c>
      <c r="I3665" s="487" t="s">
        <v>1499</v>
      </c>
      <c r="J3665" s="487" t="s">
        <v>872</v>
      </c>
    </row>
    <row r="3666" spans="1:10" ht="15" x14ac:dyDescent="0.2">
      <c r="A3666" s="486" t="s">
        <v>871</v>
      </c>
      <c r="B3666" s="487" t="s">
        <v>870</v>
      </c>
      <c r="C3666" s="488" t="s">
        <v>12357</v>
      </c>
      <c r="D3666" s="489" t="s">
        <v>12358</v>
      </c>
      <c r="E3666" s="487" t="s">
        <v>12359</v>
      </c>
      <c r="F3666" s="490">
        <v>11000</v>
      </c>
      <c r="G3666" s="489">
        <v>178.2</v>
      </c>
      <c r="H3666" s="489">
        <v>61.728400000000001</v>
      </c>
      <c r="I3666" s="487" t="s">
        <v>2465</v>
      </c>
      <c r="J3666" s="487" t="s">
        <v>872</v>
      </c>
    </row>
    <row r="3667" spans="1:10" ht="15" x14ac:dyDescent="0.2">
      <c r="A3667" s="486" t="s">
        <v>871</v>
      </c>
      <c r="B3667" s="487" t="s">
        <v>870</v>
      </c>
      <c r="C3667" s="488" t="s">
        <v>12360</v>
      </c>
      <c r="D3667" s="489" t="s">
        <v>12361</v>
      </c>
      <c r="E3667" s="487" t="s">
        <v>12362</v>
      </c>
      <c r="F3667" s="490">
        <v>10000</v>
      </c>
      <c r="G3667" s="489">
        <v>312.99</v>
      </c>
      <c r="H3667" s="489">
        <v>31.9499</v>
      </c>
      <c r="I3667" s="487" t="s">
        <v>2465</v>
      </c>
      <c r="J3667" s="487" t="s">
        <v>872</v>
      </c>
    </row>
    <row r="3668" spans="1:10" ht="15" x14ac:dyDescent="0.2">
      <c r="A3668" s="486" t="s">
        <v>871</v>
      </c>
      <c r="B3668" s="487" t="s">
        <v>870</v>
      </c>
      <c r="C3668" s="488" t="s">
        <v>12363</v>
      </c>
      <c r="D3668" s="489" t="s">
        <v>12364</v>
      </c>
      <c r="E3668" s="487" t="s">
        <v>12365</v>
      </c>
      <c r="F3668" s="490">
        <v>6500</v>
      </c>
      <c r="G3668" s="489">
        <v>280.16000000000003</v>
      </c>
      <c r="H3668" s="489">
        <v>23.201029999999999</v>
      </c>
      <c r="I3668" s="487" t="s">
        <v>1499</v>
      </c>
      <c r="J3668" s="487" t="s">
        <v>872</v>
      </c>
    </row>
    <row r="3669" spans="1:10" ht="15" x14ac:dyDescent="0.2">
      <c r="A3669" s="486" t="s">
        <v>871</v>
      </c>
      <c r="B3669" s="487" t="s">
        <v>870</v>
      </c>
      <c r="C3669" s="488" t="s">
        <v>12366</v>
      </c>
      <c r="D3669" s="489" t="s">
        <v>12367</v>
      </c>
      <c r="E3669" s="487" t="s">
        <v>12368</v>
      </c>
      <c r="F3669" s="490">
        <v>18778</v>
      </c>
      <c r="G3669" s="489">
        <v>258.89999999999998</v>
      </c>
      <c r="H3669" s="489">
        <v>72.529929999999993</v>
      </c>
      <c r="I3669" s="487" t="s">
        <v>1499</v>
      </c>
      <c r="J3669" s="487" t="s">
        <v>872</v>
      </c>
    </row>
    <row r="3670" spans="1:10" ht="15" x14ac:dyDescent="0.2">
      <c r="A3670" s="486" t="s">
        <v>871</v>
      </c>
      <c r="B3670" s="487" t="s">
        <v>870</v>
      </c>
      <c r="C3670" s="488" t="s">
        <v>12369</v>
      </c>
      <c r="D3670" s="489" t="s">
        <v>12370</v>
      </c>
      <c r="E3670" s="487" t="s">
        <v>12371</v>
      </c>
      <c r="F3670" s="490">
        <v>10500</v>
      </c>
      <c r="G3670" s="489">
        <v>128.82</v>
      </c>
      <c r="H3670" s="489">
        <v>81.509079999999997</v>
      </c>
      <c r="I3670" s="487" t="s">
        <v>1499</v>
      </c>
      <c r="J3670" s="487" t="s">
        <v>872</v>
      </c>
    </row>
    <row r="3671" spans="1:10" ht="15" x14ac:dyDescent="0.2">
      <c r="A3671" s="486" t="s">
        <v>871</v>
      </c>
      <c r="B3671" s="487" t="s">
        <v>870</v>
      </c>
      <c r="C3671" s="488" t="s">
        <v>12372</v>
      </c>
      <c r="D3671" s="489" t="s">
        <v>12373</v>
      </c>
      <c r="E3671" s="487" t="s">
        <v>12374</v>
      </c>
      <c r="F3671" s="490">
        <v>14695</v>
      </c>
      <c r="G3671" s="489">
        <v>220.88</v>
      </c>
      <c r="H3671" s="489">
        <v>66.529340000000005</v>
      </c>
      <c r="I3671" s="487" t="s">
        <v>1499</v>
      </c>
      <c r="J3671" s="487" t="s">
        <v>872</v>
      </c>
    </row>
    <row r="3672" spans="1:10" ht="15" x14ac:dyDescent="0.2">
      <c r="A3672" s="486" t="s">
        <v>871</v>
      </c>
      <c r="B3672" s="487" t="s">
        <v>870</v>
      </c>
      <c r="C3672" s="488" t="s">
        <v>12375</v>
      </c>
      <c r="D3672" s="489" t="s">
        <v>12376</v>
      </c>
      <c r="E3672" s="487" t="s">
        <v>12377</v>
      </c>
      <c r="F3672" s="490">
        <v>7200</v>
      </c>
      <c r="G3672" s="489">
        <v>115.6</v>
      </c>
      <c r="H3672" s="489">
        <v>62.283740000000002</v>
      </c>
      <c r="I3672" s="487" t="s">
        <v>1499</v>
      </c>
      <c r="J3672" s="487" t="s">
        <v>872</v>
      </c>
    </row>
    <row r="3673" spans="1:10" ht="15" x14ac:dyDescent="0.2">
      <c r="A3673" s="486" t="s">
        <v>871</v>
      </c>
      <c r="B3673" s="487" t="s">
        <v>870</v>
      </c>
      <c r="C3673" s="488" t="s">
        <v>12378</v>
      </c>
      <c r="D3673" s="489" t="s">
        <v>12379</v>
      </c>
      <c r="E3673" s="487" t="s">
        <v>12380</v>
      </c>
      <c r="F3673" s="490">
        <v>0</v>
      </c>
      <c r="G3673" s="489">
        <v>0</v>
      </c>
      <c r="H3673" s="489">
        <v>0</v>
      </c>
      <c r="I3673" s="487" t="s">
        <v>2465</v>
      </c>
      <c r="J3673" s="487" t="s">
        <v>872</v>
      </c>
    </row>
    <row r="3674" spans="1:10" ht="15" x14ac:dyDescent="0.2">
      <c r="A3674" s="486" t="s">
        <v>871</v>
      </c>
      <c r="B3674" s="487" t="s">
        <v>870</v>
      </c>
      <c r="C3674" s="488" t="s">
        <v>12381</v>
      </c>
      <c r="D3674" s="489" t="s">
        <v>12382</v>
      </c>
      <c r="E3674" s="487" t="s">
        <v>12383</v>
      </c>
      <c r="F3674" s="490">
        <v>14070</v>
      </c>
      <c r="G3674" s="489">
        <v>175.09</v>
      </c>
      <c r="H3674" s="489">
        <v>80.358670000000004</v>
      </c>
      <c r="I3674" s="487" t="s">
        <v>1499</v>
      </c>
      <c r="J3674" s="487" t="s">
        <v>872</v>
      </c>
    </row>
    <row r="3675" spans="1:10" ht="15" x14ac:dyDescent="0.2">
      <c r="A3675" s="486" t="s">
        <v>871</v>
      </c>
      <c r="B3675" s="487" t="s">
        <v>870</v>
      </c>
      <c r="C3675" s="488" t="s">
        <v>12384</v>
      </c>
      <c r="D3675" s="489" t="s">
        <v>12385</v>
      </c>
      <c r="E3675" s="487" t="s">
        <v>12386</v>
      </c>
      <c r="F3675" s="490">
        <v>0</v>
      </c>
      <c r="G3675" s="489">
        <v>0</v>
      </c>
      <c r="H3675" s="489">
        <v>0</v>
      </c>
      <c r="I3675" s="487" t="s">
        <v>2465</v>
      </c>
      <c r="J3675" s="487" t="s">
        <v>872</v>
      </c>
    </row>
    <row r="3676" spans="1:10" ht="15" x14ac:dyDescent="0.2">
      <c r="A3676" s="486" t="s">
        <v>871</v>
      </c>
      <c r="B3676" s="487" t="s">
        <v>870</v>
      </c>
      <c r="C3676" s="488" t="s">
        <v>12387</v>
      </c>
      <c r="D3676" s="489" t="s">
        <v>12388</v>
      </c>
      <c r="E3676" s="487" t="s">
        <v>12389</v>
      </c>
      <c r="F3676" s="490">
        <v>21673</v>
      </c>
      <c r="G3676" s="489">
        <v>301.76</v>
      </c>
      <c r="H3676" s="489">
        <v>71.821979999999996</v>
      </c>
      <c r="I3676" s="487" t="s">
        <v>2465</v>
      </c>
      <c r="J3676" s="487" t="s">
        <v>872</v>
      </c>
    </row>
    <row r="3677" spans="1:10" ht="15" x14ac:dyDescent="0.2">
      <c r="A3677" s="486" t="s">
        <v>871</v>
      </c>
      <c r="B3677" s="487" t="s">
        <v>870</v>
      </c>
      <c r="C3677" s="488" t="s">
        <v>12390</v>
      </c>
      <c r="D3677" s="489" t="s">
        <v>12391</v>
      </c>
      <c r="E3677" s="487" t="s">
        <v>12392</v>
      </c>
      <c r="F3677" s="490">
        <v>99400</v>
      </c>
      <c r="G3677" s="489">
        <v>981.12</v>
      </c>
      <c r="H3677" s="489">
        <v>101.31279000000001</v>
      </c>
      <c r="I3677" s="487" t="s">
        <v>2465</v>
      </c>
      <c r="J3677" s="487" t="s">
        <v>872</v>
      </c>
    </row>
    <row r="3678" spans="1:10" ht="15" x14ac:dyDescent="0.2">
      <c r="A3678" s="486" t="s">
        <v>871</v>
      </c>
      <c r="B3678" s="487" t="s">
        <v>870</v>
      </c>
      <c r="C3678" s="488" t="s">
        <v>12393</v>
      </c>
      <c r="D3678" s="489" t="s">
        <v>12394</v>
      </c>
      <c r="E3678" s="487" t="s">
        <v>12395</v>
      </c>
      <c r="F3678" s="490">
        <v>60000</v>
      </c>
      <c r="G3678" s="489">
        <v>1318.67</v>
      </c>
      <c r="H3678" s="489">
        <v>45.500390000000003</v>
      </c>
      <c r="I3678" s="487" t="s">
        <v>1499</v>
      </c>
      <c r="J3678" s="487" t="s">
        <v>872</v>
      </c>
    </row>
    <row r="3679" spans="1:10" ht="15" x14ac:dyDescent="0.2">
      <c r="A3679" s="486" t="s">
        <v>871</v>
      </c>
      <c r="B3679" s="487" t="s">
        <v>870</v>
      </c>
      <c r="C3679" s="488" t="s">
        <v>12396</v>
      </c>
      <c r="D3679" s="489" t="s">
        <v>12397</v>
      </c>
      <c r="E3679" s="487" t="s">
        <v>12398</v>
      </c>
      <c r="F3679" s="490">
        <v>3000</v>
      </c>
      <c r="G3679" s="489">
        <v>136.49</v>
      </c>
      <c r="H3679" s="489">
        <v>21.97963</v>
      </c>
      <c r="I3679" s="487" t="s">
        <v>1499</v>
      </c>
      <c r="J3679" s="487" t="s">
        <v>872</v>
      </c>
    </row>
    <row r="3680" spans="1:10" ht="15" x14ac:dyDescent="0.2">
      <c r="A3680" s="486" t="s">
        <v>871</v>
      </c>
      <c r="B3680" s="487" t="s">
        <v>870</v>
      </c>
      <c r="C3680" s="488" t="s">
        <v>12399</v>
      </c>
      <c r="D3680" s="489" t="s">
        <v>12400</v>
      </c>
      <c r="E3680" s="487" t="s">
        <v>12401</v>
      </c>
      <c r="F3680" s="490">
        <v>26000</v>
      </c>
      <c r="G3680" s="489">
        <v>339.81</v>
      </c>
      <c r="H3680" s="489">
        <v>76.513350000000003</v>
      </c>
      <c r="I3680" s="487" t="s">
        <v>1499</v>
      </c>
      <c r="J3680" s="487" t="s">
        <v>872</v>
      </c>
    </row>
    <row r="3681" spans="1:10" ht="15" x14ac:dyDescent="0.2">
      <c r="A3681" s="486" t="s">
        <v>871</v>
      </c>
      <c r="B3681" s="487" t="s">
        <v>870</v>
      </c>
      <c r="C3681" s="488" t="s">
        <v>12402</v>
      </c>
      <c r="D3681" s="489" t="s">
        <v>12403</v>
      </c>
      <c r="E3681" s="487" t="s">
        <v>12404</v>
      </c>
      <c r="F3681" s="490">
        <v>11000</v>
      </c>
      <c r="G3681" s="489">
        <v>208.11</v>
      </c>
      <c r="H3681" s="489">
        <v>52.856659999999998</v>
      </c>
      <c r="I3681" s="487" t="s">
        <v>2465</v>
      </c>
      <c r="J3681" s="487" t="s">
        <v>872</v>
      </c>
    </row>
    <row r="3682" spans="1:10" ht="15" x14ac:dyDescent="0.2">
      <c r="A3682" s="486" t="s">
        <v>871</v>
      </c>
      <c r="B3682" s="487" t="s">
        <v>870</v>
      </c>
      <c r="C3682" s="488" t="s">
        <v>12405</v>
      </c>
      <c r="D3682" s="489" t="s">
        <v>12406</v>
      </c>
      <c r="E3682" s="487" t="s">
        <v>12407</v>
      </c>
      <c r="F3682" s="490">
        <v>0</v>
      </c>
      <c r="G3682" s="489">
        <v>0</v>
      </c>
      <c r="H3682" s="489">
        <v>0</v>
      </c>
      <c r="I3682" s="487" t="s">
        <v>2465</v>
      </c>
      <c r="J3682" s="487" t="s">
        <v>872</v>
      </c>
    </row>
    <row r="3683" spans="1:10" ht="15" x14ac:dyDescent="0.2">
      <c r="A3683" s="486" t="s">
        <v>871</v>
      </c>
      <c r="B3683" s="487" t="s">
        <v>870</v>
      </c>
      <c r="C3683" s="488" t="s">
        <v>12408</v>
      </c>
      <c r="D3683" s="489" t="s">
        <v>12409</v>
      </c>
      <c r="E3683" s="487" t="s">
        <v>12410</v>
      </c>
      <c r="F3683" s="490">
        <v>20500</v>
      </c>
      <c r="G3683" s="489">
        <v>506.67</v>
      </c>
      <c r="H3683" s="489">
        <v>40.460259999999998</v>
      </c>
      <c r="I3683" s="487" t="s">
        <v>1499</v>
      </c>
      <c r="J3683" s="487" t="s">
        <v>872</v>
      </c>
    </row>
    <row r="3684" spans="1:10" ht="15" x14ac:dyDescent="0.2">
      <c r="A3684" s="486" t="s">
        <v>871</v>
      </c>
      <c r="B3684" s="487" t="s">
        <v>870</v>
      </c>
      <c r="C3684" s="488" t="s">
        <v>12411</v>
      </c>
      <c r="D3684" s="489" t="s">
        <v>12412</v>
      </c>
      <c r="E3684" s="487" t="s">
        <v>12413</v>
      </c>
      <c r="F3684" s="490">
        <v>0</v>
      </c>
      <c r="G3684" s="489">
        <v>0</v>
      </c>
      <c r="H3684" s="489">
        <v>0</v>
      </c>
      <c r="I3684" s="487" t="s">
        <v>2465</v>
      </c>
      <c r="J3684" s="487" t="s">
        <v>872</v>
      </c>
    </row>
    <row r="3685" spans="1:10" ht="15" x14ac:dyDescent="0.2">
      <c r="A3685" s="486" t="s">
        <v>871</v>
      </c>
      <c r="B3685" s="487" t="s">
        <v>870</v>
      </c>
      <c r="C3685" s="488" t="s">
        <v>12414</v>
      </c>
      <c r="D3685" s="489" t="s">
        <v>12415</v>
      </c>
      <c r="E3685" s="487" t="s">
        <v>12416</v>
      </c>
      <c r="F3685" s="490">
        <v>25000</v>
      </c>
      <c r="G3685" s="489">
        <v>407.9</v>
      </c>
      <c r="H3685" s="489">
        <v>61.289529999999999</v>
      </c>
      <c r="I3685" s="487" t="s">
        <v>2465</v>
      </c>
      <c r="J3685" s="487" t="s">
        <v>872</v>
      </c>
    </row>
    <row r="3686" spans="1:10" ht="15" x14ac:dyDescent="0.2">
      <c r="A3686" s="486" t="s">
        <v>871</v>
      </c>
      <c r="B3686" s="487" t="s">
        <v>870</v>
      </c>
      <c r="C3686" s="488" t="s">
        <v>12417</v>
      </c>
      <c r="D3686" s="489" t="s">
        <v>12418</v>
      </c>
      <c r="E3686" s="487" t="s">
        <v>12419</v>
      </c>
      <c r="F3686" s="490">
        <v>14550</v>
      </c>
      <c r="G3686" s="489">
        <v>252.04</v>
      </c>
      <c r="H3686" s="489">
        <v>57.728929999999998</v>
      </c>
      <c r="I3686" s="487" t="s">
        <v>2465</v>
      </c>
      <c r="J3686" s="487" t="s">
        <v>872</v>
      </c>
    </row>
    <row r="3687" spans="1:10" ht="15" x14ac:dyDescent="0.2">
      <c r="A3687" s="486" t="s">
        <v>871</v>
      </c>
      <c r="B3687" s="487" t="s">
        <v>870</v>
      </c>
      <c r="C3687" s="488" t="s">
        <v>12420</v>
      </c>
      <c r="D3687" s="489" t="s">
        <v>12421</v>
      </c>
      <c r="E3687" s="487" t="s">
        <v>12422</v>
      </c>
      <c r="F3687" s="490">
        <v>0</v>
      </c>
      <c r="G3687" s="489">
        <v>0</v>
      </c>
      <c r="H3687" s="489">
        <v>0</v>
      </c>
      <c r="I3687" s="487" t="s">
        <v>2465</v>
      </c>
      <c r="J3687" s="487" t="s">
        <v>872</v>
      </c>
    </row>
    <row r="3688" spans="1:10" ht="15" x14ac:dyDescent="0.2">
      <c r="A3688" s="486" t="s">
        <v>871</v>
      </c>
      <c r="B3688" s="487" t="s">
        <v>870</v>
      </c>
      <c r="C3688" s="488" t="s">
        <v>12423</v>
      </c>
      <c r="D3688" s="489" t="s">
        <v>12424</v>
      </c>
      <c r="E3688" s="487" t="s">
        <v>12425</v>
      </c>
      <c r="F3688" s="490">
        <v>9000</v>
      </c>
      <c r="G3688" s="489">
        <v>163.93</v>
      </c>
      <c r="H3688" s="489">
        <v>54.901479999999999</v>
      </c>
      <c r="I3688" s="487" t="s">
        <v>2465</v>
      </c>
      <c r="J3688" s="487" t="s">
        <v>872</v>
      </c>
    </row>
    <row r="3689" spans="1:10" ht="15" x14ac:dyDescent="0.2">
      <c r="A3689" s="486" t="s">
        <v>871</v>
      </c>
      <c r="B3689" s="487" t="s">
        <v>870</v>
      </c>
      <c r="C3689" s="488" t="s">
        <v>12426</v>
      </c>
      <c r="D3689" s="489" t="s">
        <v>12427</v>
      </c>
      <c r="E3689" s="487" t="s">
        <v>12428</v>
      </c>
      <c r="F3689" s="490">
        <v>0</v>
      </c>
      <c r="G3689" s="489">
        <v>0</v>
      </c>
      <c r="H3689" s="489">
        <v>0</v>
      </c>
      <c r="I3689" s="487" t="s">
        <v>2465</v>
      </c>
      <c r="J3689" s="487" t="s">
        <v>872</v>
      </c>
    </row>
    <row r="3690" spans="1:10" ht="15" x14ac:dyDescent="0.2">
      <c r="A3690" s="486" t="s">
        <v>871</v>
      </c>
      <c r="B3690" s="487" t="s">
        <v>870</v>
      </c>
      <c r="C3690" s="488" t="s">
        <v>12429</v>
      </c>
      <c r="D3690" s="489" t="s">
        <v>12430</v>
      </c>
      <c r="E3690" s="487" t="s">
        <v>12431</v>
      </c>
      <c r="F3690" s="490">
        <v>13220</v>
      </c>
      <c r="G3690" s="489">
        <v>422.66</v>
      </c>
      <c r="H3690" s="489">
        <v>31.278099999999998</v>
      </c>
      <c r="I3690" s="487" t="s">
        <v>1499</v>
      </c>
      <c r="J3690" s="487" t="s">
        <v>872</v>
      </c>
    </row>
    <row r="3691" spans="1:10" ht="15" x14ac:dyDescent="0.2">
      <c r="A3691" s="486" t="s">
        <v>871</v>
      </c>
      <c r="B3691" s="487" t="s">
        <v>870</v>
      </c>
      <c r="C3691" s="488" t="s">
        <v>12432</v>
      </c>
      <c r="D3691" s="489" t="s">
        <v>12433</v>
      </c>
      <c r="E3691" s="487" t="s">
        <v>12434</v>
      </c>
      <c r="F3691" s="490">
        <v>0</v>
      </c>
      <c r="G3691" s="489">
        <v>0</v>
      </c>
      <c r="H3691" s="489">
        <v>0</v>
      </c>
      <c r="I3691" s="487" t="s">
        <v>2465</v>
      </c>
      <c r="J3691" s="487" t="s">
        <v>872</v>
      </c>
    </row>
    <row r="3692" spans="1:10" ht="15" x14ac:dyDescent="0.2">
      <c r="A3692" s="486" t="s">
        <v>871</v>
      </c>
      <c r="B3692" s="487" t="s">
        <v>870</v>
      </c>
      <c r="C3692" s="488" t="s">
        <v>12435</v>
      </c>
      <c r="D3692" s="489" t="s">
        <v>12436</v>
      </c>
      <c r="E3692" s="487" t="s">
        <v>12437</v>
      </c>
      <c r="F3692" s="490">
        <v>12500</v>
      </c>
      <c r="G3692" s="489">
        <v>422.99</v>
      </c>
      <c r="H3692" s="489">
        <v>29.55153</v>
      </c>
      <c r="I3692" s="487" t="s">
        <v>1499</v>
      </c>
      <c r="J3692" s="487" t="s">
        <v>872</v>
      </c>
    </row>
    <row r="3693" spans="1:10" ht="15" x14ac:dyDescent="0.2">
      <c r="A3693" s="486" t="s">
        <v>871</v>
      </c>
      <c r="B3693" s="487" t="s">
        <v>870</v>
      </c>
      <c r="C3693" s="488" t="s">
        <v>12438</v>
      </c>
      <c r="D3693" s="489" t="s">
        <v>12439</v>
      </c>
      <c r="E3693" s="487" t="s">
        <v>12440</v>
      </c>
      <c r="F3693" s="490">
        <v>11500</v>
      </c>
      <c r="G3693" s="489">
        <v>119.98</v>
      </c>
      <c r="H3693" s="489">
        <v>95.849310000000003</v>
      </c>
      <c r="I3693" s="487" t="s">
        <v>1499</v>
      </c>
      <c r="J3693" s="487" t="s">
        <v>872</v>
      </c>
    </row>
    <row r="3694" spans="1:10" ht="15" x14ac:dyDescent="0.2">
      <c r="A3694" s="486" t="s">
        <v>871</v>
      </c>
      <c r="B3694" s="487" t="s">
        <v>870</v>
      </c>
      <c r="C3694" s="488" t="s">
        <v>12441</v>
      </c>
      <c r="D3694" s="489" t="s">
        <v>12442</v>
      </c>
      <c r="E3694" s="487" t="s">
        <v>12443</v>
      </c>
      <c r="F3694" s="490">
        <v>15500</v>
      </c>
      <c r="G3694" s="489">
        <v>524.11</v>
      </c>
      <c r="H3694" s="489">
        <v>29.57394</v>
      </c>
      <c r="I3694" s="487" t="s">
        <v>2465</v>
      </c>
      <c r="J3694" s="487" t="s">
        <v>872</v>
      </c>
    </row>
    <row r="3695" spans="1:10" ht="15" x14ac:dyDescent="0.2">
      <c r="A3695" s="486" t="s">
        <v>871</v>
      </c>
      <c r="B3695" s="487" t="s">
        <v>870</v>
      </c>
      <c r="C3695" s="488" t="s">
        <v>12444</v>
      </c>
      <c r="D3695" s="489" t="s">
        <v>12445</v>
      </c>
      <c r="E3695" s="487" t="s">
        <v>12446</v>
      </c>
      <c r="F3695" s="490">
        <v>5220</v>
      </c>
      <c r="G3695" s="489">
        <v>164.93</v>
      </c>
      <c r="H3695" s="489">
        <v>31.649789999999999</v>
      </c>
      <c r="I3695" s="487" t="s">
        <v>2465</v>
      </c>
      <c r="J3695" s="487" t="s">
        <v>872</v>
      </c>
    </row>
    <row r="3696" spans="1:10" ht="15" x14ac:dyDescent="0.2">
      <c r="A3696" s="486" t="s">
        <v>871</v>
      </c>
      <c r="B3696" s="487" t="s">
        <v>870</v>
      </c>
      <c r="C3696" s="488" t="s">
        <v>12447</v>
      </c>
      <c r="D3696" s="489" t="s">
        <v>12448</v>
      </c>
      <c r="E3696" s="487" t="s">
        <v>12449</v>
      </c>
      <c r="F3696" s="490">
        <v>0</v>
      </c>
      <c r="G3696" s="489">
        <v>0</v>
      </c>
      <c r="H3696" s="489">
        <v>0</v>
      </c>
      <c r="I3696" s="487" t="s">
        <v>2465</v>
      </c>
      <c r="J3696" s="487" t="s">
        <v>872</v>
      </c>
    </row>
    <row r="3697" spans="1:10" ht="15" x14ac:dyDescent="0.2">
      <c r="A3697" s="486" t="s">
        <v>871</v>
      </c>
      <c r="B3697" s="487" t="s">
        <v>870</v>
      </c>
      <c r="C3697" s="488" t="s">
        <v>12450</v>
      </c>
      <c r="D3697" s="489" t="s">
        <v>12451</v>
      </c>
      <c r="E3697" s="487" t="s">
        <v>12452</v>
      </c>
      <c r="F3697" s="490">
        <v>5500</v>
      </c>
      <c r="G3697" s="489">
        <v>99.68</v>
      </c>
      <c r="H3697" s="489">
        <v>55.176569999999998</v>
      </c>
      <c r="I3697" s="487" t="s">
        <v>2465</v>
      </c>
      <c r="J3697" s="487" t="s">
        <v>872</v>
      </c>
    </row>
    <row r="3698" spans="1:10" ht="15" x14ac:dyDescent="0.2">
      <c r="A3698" s="486" t="s">
        <v>871</v>
      </c>
      <c r="B3698" s="487" t="s">
        <v>870</v>
      </c>
      <c r="C3698" s="488" t="s">
        <v>12453</v>
      </c>
      <c r="D3698" s="489" t="s">
        <v>12454</v>
      </c>
      <c r="E3698" s="487" t="s">
        <v>12455</v>
      </c>
      <c r="F3698" s="490">
        <v>11500</v>
      </c>
      <c r="G3698" s="489">
        <v>340.7</v>
      </c>
      <c r="H3698" s="489">
        <v>33.754040000000003</v>
      </c>
      <c r="I3698" s="487" t="s">
        <v>1499</v>
      </c>
      <c r="J3698" s="487" t="s">
        <v>872</v>
      </c>
    </row>
    <row r="3699" spans="1:10" ht="15" x14ac:dyDescent="0.2">
      <c r="A3699" s="486" t="s">
        <v>871</v>
      </c>
      <c r="B3699" s="487" t="s">
        <v>870</v>
      </c>
      <c r="C3699" s="488" t="s">
        <v>12456</v>
      </c>
      <c r="D3699" s="489" t="s">
        <v>12457</v>
      </c>
      <c r="E3699" s="487" t="s">
        <v>12458</v>
      </c>
      <c r="F3699" s="490">
        <v>296744</v>
      </c>
      <c r="G3699" s="489">
        <v>1449.72</v>
      </c>
      <c r="H3699" s="489">
        <v>204.69056</v>
      </c>
      <c r="I3699" s="487" t="s">
        <v>1499</v>
      </c>
      <c r="J3699" s="487" t="s">
        <v>872</v>
      </c>
    </row>
    <row r="3700" spans="1:10" ht="15" x14ac:dyDescent="0.2">
      <c r="A3700" s="486" t="s">
        <v>871</v>
      </c>
      <c r="B3700" s="487" t="s">
        <v>870</v>
      </c>
      <c r="C3700" s="488" t="s">
        <v>12459</v>
      </c>
      <c r="D3700" s="489" t="s">
        <v>12460</v>
      </c>
      <c r="E3700" s="487" t="s">
        <v>12461</v>
      </c>
      <c r="F3700" s="490">
        <v>0</v>
      </c>
      <c r="G3700" s="489">
        <v>0</v>
      </c>
      <c r="H3700" s="489">
        <v>0</v>
      </c>
      <c r="I3700" s="487" t="s">
        <v>2465</v>
      </c>
      <c r="J3700" s="487" t="s">
        <v>872</v>
      </c>
    </row>
    <row r="3701" spans="1:10" ht="15" x14ac:dyDescent="0.2">
      <c r="A3701" s="486" t="s">
        <v>871</v>
      </c>
      <c r="B3701" s="487" t="s">
        <v>870</v>
      </c>
      <c r="C3701" s="488" t="s">
        <v>12462</v>
      </c>
      <c r="D3701" s="489" t="s">
        <v>12463</v>
      </c>
      <c r="E3701" s="487" t="s">
        <v>12464</v>
      </c>
      <c r="F3701" s="490">
        <v>21893</v>
      </c>
      <c r="G3701" s="489">
        <v>776.38</v>
      </c>
      <c r="H3701" s="489">
        <v>28.198820000000001</v>
      </c>
      <c r="I3701" s="487" t="s">
        <v>1499</v>
      </c>
      <c r="J3701" s="487" t="s">
        <v>872</v>
      </c>
    </row>
    <row r="3702" spans="1:10" ht="15" x14ac:dyDescent="0.2">
      <c r="A3702" s="486" t="s">
        <v>871</v>
      </c>
      <c r="B3702" s="487" t="s">
        <v>870</v>
      </c>
      <c r="C3702" s="488" t="s">
        <v>12465</v>
      </c>
      <c r="D3702" s="489" t="s">
        <v>12466</v>
      </c>
      <c r="E3702" s="487" t="s">
        <v>12467</v>
      </c>
      <c r="F3702" s="490">
        <v>0</v>
      </c>
      <c r="G3702" s="489">
        <v>0</v>
      </c>
      <c r="H3702" s="489">
        <v>0</v>
      </c>
      <c r="I3702" s="487" t="s">
        <v>2465</v>
      </c>
      <c r="J3702" s="487" t="s">
        <v>872</v>
      </c>
    </row>
    <row r="3703" spans="1:10" ht="15" x14ac:dyDescent="0.2">
      <c r="A3703" s="486" t="s">
        <v>871</v>
      </c>
      <c r="B3703" s="487" t="s">
        <v>870</v>
      </c>
      <c r="C3703" s="488" t="s">
        <v>12468</v>
      </c>
      <c r="D3703" s="489" t="s">
        <v>12469</v>
      </c>
      <c r="E3703" s="487" t="s">
        <v>12470</v>
      </c>
      <c r="F3703" s="490">
        <v>0</v>
      </c>
      <c r="G3703" s="489">
        <v>0</v>
      </c>
      <c r="H3703" s="489">
        <v>0</v>
      </c>
      <c r="I3703" s="487" t="s">
        <v>2465</v>
      </c>
      <c r="J3703" s="487" t="s">
        <v>872</v>
      </c>
    </row>
    <row r="3704" spans="1:10" ht="15" x14ac:dyDescent="0.2">
      <c r="A3704" s="486" t="s">
        <v>871</v>
      </c>
      <c r="B3704" s="487" t="s">
        <v>870</v>
      </c>
      <c r="C3704" s="488" t="s">
        <v>12471</v>
      </c>
      <c r="D3704" s="489" t="s">
        <v>12472</v>
      </c>
      <c r="E3704" s="487" t="s">
        <v>12473</v>
      </c>
      <c r="F3704" s="490">
        <v>0</v>
      </c>
      <c r="G3704" s="489">
        <v>0</v>
      </c>
      <c r="H3704" s="489">
        <v>0</v>
      </c>
      <c r="I3704" s="487" t="s">
        <v>2465</v>
      </c>
      <c r="J3704" s="487" t="s">
        <v>872</v>
      </c>
    </row>
    <row r="3705" spans="1:10" ht="15" x14ac:dyDescent="0.2">
      <c r="A3705" s="486" t="s">
        <v>871</v>
      </c>
      <c r="B3705" s="487" t="s">
        <v>870</v>
      </c>
      <c r="C3705" s="488" t="s">
        <v>12474</v>
      </c>
      <c r="D3705" s="489" t="s">
        <v>12475</v>
      </c>
      <c r="E3705" s="487" t="s">
        <v>12476</v>
      </c>
      <c r="F3705" s="490">
        <v>13400</v>
      </c>
      <c r="G3705" s="489">
        <v>226.98</v>
      </c>
      <c r="H3705" s="489">
        <v>59.03604</v>
      </c>
      <c r="I3705" s="487" t="s">
        <v>2465</v>
      </c>
      <c r="J3705" s="487" t="s">
        <v>872</v>
      </c>
    </row>
    <row r="3706" spans="1:10" ht="15" x14ac:dyDescent="0.2">
      <c r="A3706" s="486" t="s">
        <v>871</v>
      </c>
      <c r="B3706" s="487" t="s">
        <v>870</v>
      </c>
      <c r="C3706" s="488" t="s">
        <v>12477</v>
      </c>
      <c r="D3706" s="489" t="s">
        <v>12478</v>
      </c>
      <c r="E3706" s="487" t="s">
        <v>12479</v>
      </c>
      <c r="F3706" s="490">
        <v>0</v>
      </c>
      <c r="G3706" s="489">
        <v>0</v>
      </c>
      <c r="H3706" s="489">
        <v>0</v>
      </c>
      <c r="I3706" s="487" t="s">
        <v>2465</v>
      </c>
      <c r="J3706" s="487" t="s">
        <v>872</v>
      </c>
    </row>
    <row r="3707" spans="1:10" ht="15" x14ac:dyDescent="0.2">
      <c r="A3707" s="486" t="s">
        <v>871</v>
      </c>
      <c r="B3707" s="487" t="s">
        <v>870</v>
      </c>
      <c r="C3707" s="488" t="s">
        <v>12480</v>
      </c>
      <c r="D3707" s="489" t="s">
        <v>12481</v>
      </c>
      <c r="E3707" s="487" t="s">
        <v>12482</v>
      </c>
      <c r="F3707" s="490">
        <v>26595</v>
      </c>
      <c r="G3707" s="489">
        <v>414.34</v>
      </c>
      <c r="H3707" s="489">
        <v>64.186419999999998</v>
      </c>
      <c r="I3707" s="487" t="s">
        <v>2465</v>
      </c>
      <c r="J3707" s="487" t="s">
        <v>872</v>
      </c>
    </row>
    <row r="3708" spans="1:10" ht="15" x14ac:dyDescent="0.2">
      <c r="A3708" s="486" t="s">
        <v>871</v>
      </c>
      <c r="B3708" s="487" t="s">
        <v>870</v>
      </c>
      <c r="C3708" s="488" t="s">
        <v>12483</v>
      </c>
      <c r="D3708" s="489" t="s">
        <v>12484</v>
      </c>
      <c r="E3708" s="487" t="s">
        <v>12485</v>
      </c>
      <c r="F3708" s="490">
        <v>0</v>
      </c>
      <c r="G3708" s="489">
        <v>0</v>
      </c>
      <c r="H3708" s="489">
        <v>0</v>
      </c>
      <c r="I3708" s="487" t="s">
        <v>2465</v>
      </c>
      <c r="J3708" s="487" t="s">
        <v>872</v>
      </c>
    </row>
    <row r="3709" spans="1:10" ht="15" x14ac:dyDescent="0.2">
      <c r="A3709" s="486" t="s">
        <v>871</v>
      </c>
      <c r="B3709" s="487" t="s">
        <v>870</v>
      </c>
      <c r="C3709" s="488" t="s">
        <v>12486</v>
      </c>
      <c r="D3709" s="489" t="s">
        <v>12487</v>
      </c>
      <c r="E3709" s="487" t="s">
        <v>12488</v>
      </c>
      <c r="F3709" s="490">
        <v>22800</v>
      </c>
      <c r="G3709" s="489">
        <v>565.82000000000005</v>
      </c>
      <c r="H3709" s="489">
        <v>40.295499999999997</v>
      </c>
      <c r="I3709" s="487" t="s">
        <v>1499</v>
      </c>
      <c r="J3709" s="487" t="s">
        <v>872</v>
      </c>
    </row>
    <row r="3710" spans="1:10" ht="15" x14ac:dyDescent="0.2">
      <c r="A3710" s="486" t="s">
        <v>871</v>
      </c>
      <c r="B3710" s="487" t="s">
        <v>870</v>
      </c>
      <c r="C3710" s="488" t="s">
        <v>12489</v>
      </c>
      <c r="D3710" s="489" t="s">
        <v>12490</v>
      </c>
      <c r="E3710" s="487" t="s">
        <v>12491</v>
      </c>
      <c r="F3710" s="490">
        <v>12000</v>
      </c>
      <c r="G3710" s="489">
        <v>276.62</v>
      </c>
      <c r="H3710" s="489">
        <v>43.380809999999997</v>
      </c>
      <c r="I3710" s="487" t="s">
        <v>1499</v>
      </c>
      <c r="J3710" s="487" t="s">
        <v>872</v>
      </c>
    </row>
    <row r="3711" spans="1:10" ht="15" x14ac:dyDescent="0.2">
      <c r="A3711" s="486" t="s">
        <v>871</v>
      </c>
      <c r="B3711" s="487" t="s">
        <v>870</v>
      </c>
      <c r="C3711" s="488" t="s">
        <v>12492</v>
      </c>
      <c r="D3711" s="489" t="s">
        <v>12493</v>
      </c>
      <c r="E3711" s="487" t="s">
        <v>12494</v>
      </c>
      <c r="F3711" s="490">
        <v>0</v>
      </c>
      <c r="G3711" s="489">
        <v>0</v>
      </c>
      <c r="H3711" s="489">
        <v>0</v>
      </c>
      <c r="I3711" s="487" t="s">
        <v>2465</v>
      </c>
      <c r="J3711" s="487" t="s">
        <v>872</v>
      </c>
    </row>
    <row r="3712" spans="1:10" ht="15" x14ac:dyDescent="0.2">
      <c r="A3712" s="486" t="s">
        <v>871</v>
      </c>
      <c r="B3712" s="487" t="s">
        <v>870</v>
      </c>
      <c r="C3712" s="488" t="s">
        <v>12495</v>
      </c>
      <c r="D3712" s="489" t="s">
        <v>12496</v>
      </c>
      <c r="E3712" s="487" t="s">
        <v>12497</v>
      </c>
      <c r="F3712" s="490">
        <v>0</v>
      </c>
      <c r="G3712" s="489">
        <v>0</v>
      </c>
      <c r="H3712" s="489">
        <v>0</v>
      </c>
      <c r="I3712" s="487" t="s">
        <v>2465</v>
      </c>
      <c r="J3712" s="487" t="s">
        <v>872</v>
      </c>
    </row>
    <row r="3713" spans="1:10" ht="15" x14ac:dyDescent="0.2">
      <c r="A3713" s="486" t="s">
        <v>871</v>
      </c>
      <c r="B3713" s="487" t="s">
        <v>870</v>
      </c>
      <c r="C3713" s="488" t="s">
        <v>12498</v>
      </c>
      <c r="D3713" s="489" t="s">
        <v>12499</v>
      </c>
      <c r="E3713" s="487" t="s">
        <v>12500</v>
      </c>
      <c r="F3713" s="490">
        <v>171100</v>
      </c>
      <c r="G3713" s="489">
        <v>1192.58</v>
      </c>
      <c r="H3713" s="489">
        <v>143.47046</v>
      </c>
      <c r="I3713" s="487" t="s">
        <v>1499</v>
      </c>
      <c r="J3713" s="487" t="s">
        <v>872</v>
      </c>
    </row>
    <row r="3714" spans="1:10" ht="15" x14ac:dyDescent="0.2">
      <c r="A3714" s="486" t="s">
        <v>871</v>
      </c>
      <c r="B3714" s="487" t="s">
        <v>870</v>
      </c>
      <c r="C3714" s="488" t="s">
        <v>12501</v>
      </c>
      <c r="D3714" s="489" t="s">
        <v>12502</v>
      </c>
      <c r="E3714" s="487" t="s">
        <v>12503</v>
      </c>
      <c r="F3714" s="490">
        <v>0</v>
      </c>
      <c r="G3714" s="489">
        <v>0</v>
      </c>
      <c r="H3714" s="489">
        <v>0</v>
      </c>
      <c r="I3714" s="487" t="s">
        <v>2465</v>
      </c>
      <c r="J3714" s="487" t="s">
        <v>872</v>
      </c>
    </row>
    <row r="3715" spans="1:10" ht="15" x14ac:dyDescent="0.2">
      <c r="A3715" s="486" t="s">
        <v>871</v>
      </c>
      <c r="B3715" s="487" t="s">
        <v>870</v>
      </c>
      <c r="C3715" s="488" t="s">
        <v>12504</v>
      </c>
      <c r="D3715" s="489" t="s">
        <v>12505</v>
      </c>
      <c r="E3715" s="487" t="s">
        <v>12506</v>
      </c>
      <c r="F3715" s="490">
        <v>70000</v>
      </c>
      <c r="G3715" s="489">
        <v>861.66</v>
      </c>
      <c r="H3715" s="489">
        <v>81.23854</v>
      </c>
      <c r="I3715" s="487" t="s">
        <v>2465</v>
      </c>
      <c r="J3715" s="487" t="s">
        <v>872</v>
      </c>
    </row>
    <row r="3716" spans="1:10" ht="15" x14ac:dyDescent="0.2">
      <c r="A3716" s="486" t="s">
        <v>871</v>
      </c>
      <c r="B3716" s="487" t="s">
        <v>870</v>
      </c>
      <c r="C3716" s="488" t="s">
        <v>12507</v>
      </c>
      <c r="D3716" s="489" t="s">
        <v>12508</v>
      </c>
      <c r="E3716" s="487" t="s">
        <v>12509</v>
      </c>
      <c r="F3716" s="490">
        <v>0</v>
      </c>
      <c r="G3716" s="489">
        <v>0</v>
      </c>
      <c r="H3716" s="489">
        <v>0</v>
      </c>
      <c r="I3716" s="487" t="s">
        <v>2465</v>
      </c>
      <c r="J3716" s="487" t="s">
        <v>872</v>
      </c>
    </row>
    <row r="3717" spans="1:10" ht="15" x14ac:dyDescent="0.2">
      <c r="A3717" s="486" t="s">
        <v>871</v>
      </c>
      <c r="B3717" s="487" t="s">
        <v>870</v>
      </c>
      <c r="C3717" s="488" t="s">
        <v>12510</v>
      </c>
      <c r="D3717" s="489" t="s">
        <v>12511</v>
      </c>
      <c r="E3717" s="487" t="s">
        <v>12512</v>
      </c>
      <c r="F3717" s="490">
        <v>47459</v>
      </c>
      <c r="G3717" s="489">
        <v>666.73</v>
      </c>
      <c r="H3717" s="489">
        <v>71.181740000000005</v>
      </c>
      <c r="I3717" s="487" t="s">
        <v>1499</v>
      </c>
      <c r="J3717" s="487" t="s">
        <v>872</v>
      </c>
    </row>
    <row r="3718" spans="1:10" ht="15" x14ac:dyDescent="0.2">
      <c r="A3718" s="486" t="s">
        <v>871</v>
      </c>
      <c r="B3718" s="487" t="s">
        <v>870</v>
      </c>
      <c r="C3718" s="488" t="s">
        <v>12513</v>
      </c>
      <c r="D3718" s="489" t="s">
        <v>12514</v>
      </c>
      <c r="E3718" s="487" t="s">
        <v>12515</v>
      </c>
      <c r="F3718" s="490">
        <v>31000</v>
      </c>
      <c r="G3718" s="489">
        <v>377.13</v>
      </c>
      <c r="H3718" s="489">
        <v>82.199770000000001</v>
      </c>
      <c r="I3718" s="487" t="s">
        <v>2465</v>
      </c>
      <c r="J3718" s="487" t="s">
        <v>872</v>
      </c>
    </row>
    <row r="3719" spans="1:10" ht="15" x14ac:dyDescent="0.2">
      <c r="A3719" s="486" t="s">
        <v>871</v>
      </c>
      <c r="B3719" s="487" t="s">
        <v>870</v>
      </c>
      <c r="C3719" s="488" t="s">
        <v>12516</v>
      </c>
      <c r="D3719" s="489" t="s">
        <v>12517</v>
      </c>
      <c r="E3719" s="487" t="s">
        <v>12518</v>
      </c>
      <c r="F3719" s="490">
        <v>15055</v>
      </c>
      <c r="G3719" s="489">
        <v>211.08</v>
      </c>
      <c r="H3719" s="489">
        <v>71.323670000000007</v>
      </c>
      <c r="I3719" s="487" t="s">
        <v>1499</v>
      </c>
      <c r="J3719" s="487" t="s">
        <v>872</v>
      </c>
    </row>
    <row r="3720" spans="1:10" ht="15" x14ac:dyDescent="0.2">
      <c r="A3720" s="486" t="s">
        <v>871</v>
      </c>
      <c r="B3720" s="487" t="s">
        <v>870</v>
      </c>
      <c r="C3720" s="488" t="s">
        <v>12519</v>
      </c>
      <c r="D3720" s="489" t="s">
        <v>12520</v>
      </c>
      <c r="E3720" s="487" t="s">
        <v>12521</v>
      </c>
      <c r="F3720" s="490">
        <v>0</v>
      </c>
      <c r="G3720" s="489">
        <v>0</v>
      </c>
      <c r="H3720" s="489">
        <v>0</v>
      </c>
      <c r="I3720" s="487" t="s">
        <v>2465</v>
      </c>
      <c r="J3720" s="487" t="s">
        <v>872</v>
      </c>
    </row>
    <row r="3721" spans="1:10" ht="15" x14ac:dyDescent="0.2">
      <c r="A3721" s="486" t="s">
        <v>871</v>
      </c>
      <c r="B3721" s="487" t="s">
        <v>870</v>
      </c>
      <c r="C3721" s="488" t="s">
        <v>12522</v>
      </c>
      <c r="D3721" s="489" t="s">
        <v>12523</v>
      </c>
      <c r="E3721" s="487" t="s">
        <v>12524</v>
      </c>
      <c r="F3721" s="490">
        <v>33000</v>
      </c>
      <c r="G3721" s="489">
        <v>316.57</v>
      </c>
      <c r="H3721" s="489">
        <v>104.24235</v>
      </c>
      <c r="I3721" s="487" t="s">
        <v>1499</v>
      </c>
      <c r="J3721" s="487" t="s">
        <v>872</v>
      </c>
    </row>
    <row r="3722" spans="1:10" ht="15" x14ac:dyDescent="0.2">
      <c r="A3722" s="486" t="s">
        <v>871</v>
      </c>
      <c r="B3722" s="487" t="s">
        <v>870</v>
      </c>
      <c r="C3722" s="488" t="s">
        <v>12525</v>
      </c>
      <c r="D3722" s="489" t="s">
        <v>12526</v>
      </c>
      <c r="E3722" s="487" t="s">
        <v>12527</v>
      </c>
      <c r="F3722" s="490">
        <v>11000</v>
      </c>
      <c r="G3722" s="489">
        <v>141.86000000000001</v>
      </c>
      <c r="H3722" s="489">
        <v>77.541240000000002</v>
      </c>
      <c r="I3722" s="487" t="s">
        <v>1499</v>
      </c>
      <c r="J3722" s="487" t="s">
        <v>872</v>
      </c>
    </row>
    <row r="3723" spans="1:10" ht="15" x14ac:dyDescent="0.2">
      <c r="A3723" s="486" t="s">
        <v>871</v>
      </c>
      <c r="B3723" s="487" t="s">
        <v>870</v>
      </c>
      <c r="C3723" s="488" t="s">
        <v>12528</v>
      </c>
      <c r="D3723" s="489" t="s">
        <v>12529</v>
      </c>
      <c r="E3723" s="487" t="s">
        <v>12530</v>
      </c>
      <c r="F3723" s="490">
        <v>0</v>
      </c>
      <c r="G3723" s="489">
        <v>9.65</v>
      </c>
      <c r="H3723" s="489">
        <v>0</v>
      </c>
      <c r="I3723" s="487" t="s">
        <v>1593</v>
      </c>
      <c r="J3723" s="487" t="s">
        <v>872</v>
      </c>
    </row>
    <row r="3724" spans="1:10" ht="15" x14ac:dyDescent="0.2">
      <c r="A3724" s="486" t="s">
        <v>871</v>
      </c>
      <c r="B3724" s="487" t="s">
        <v>870</v>
      </c>
      <c r="C3724" s="488" t="s">
        <v>12531</v>
      </c>
      <c r="D3724" s="489" t="s">
        <v>12532</v>
      </c>
      <c r="E3724" s="487" t="s">
        <v>12533</v>
      </c>
      <c r="F3724" s="490">
        <v>0</v>
      </c>
      <c r="G3724" s="489">
        <v>0</v>
      </c>
      <c r="H3724" s="489">
        <v>0</v>
      </c>
      <c r="I3724" s="487" t="s">
        <v>2465</v>
      </c>
      <c r="J3724" s="487" t="s">
        <v>872</v>
      </c>
    </row>
    <row r="3725" spans="1:10" ht="15" x14ac:dyDescent="0.2">
      <c r="A3725" s="486" t="s">
        <v>871</v>
      </c>
      <c r="B3725" s="487" t="s">
        <v>870</v>
      </c>
      <c r="C3725" s="488" t="s">
        <v>12534</v>
      </c>
      <c r="D3725" s="489" t="s">
        <v>12535</v>
      </c>
      <c r="E3725" s="487" t="s">
        <v>12536</v>
      </c>
      <c r="F3725" s="490">
        <v>0</v>
      </c>
      <c r="G3725" s="489">
        <v>0</v>
      </c>
      <c r="H3725" s="489">
        <v>0</v>
      </c>
      <c r="I3725" s="487" t="s">
        <v>2465</v>
      </c>
      <c r="J3725" s="487" t="s">
        <v>872</v>
      </c>
    </row>
    <row r="3726" spans="1:10" ht="15" x14ac:dyDescent="0.2">
      <c r="A3726" s="486" t="s">
        <v>871</v>
      </c>
      <c r="B3726" s="487" t="s">
        <v>870</v>
      </c>
      <c r="C3726" s="488" t="s">
        <v>12537</v>
      </c>
      <c r="D3726" s="489" t="s">
        <v>12538</v>
      </c>
      <c r="E3726" s="487" t="s">
        <v>12539</v>
      </c>
      <c r="F3726" s="490">
        <v>23568</v>
      </c>
      <c r="G3726" s="489">
        <v>323.02</v>
      </c>
      <c r="H3726" s="489">
        <v>72.961429999999993</v>
      </c>
      <c r="I3726" s="487" t="s">
        <v>2465</v>
      </c>
      <c r="J3726" s="487" t="s">
        <v>872</v>
      </c>
    </row>
    <row r="3727" spans="1:10" ht="15" x14ac:dyDescent="0.2">
      <c r="A3727" s="486" t="s">
        <v>871</v>
      </c>
      <c r="B3727" s="487" t="s">
        <v>870</v>
      </c>
      <c r="C3727" s="488" t="s">
        <v>12540</v>
      </c>
      <c r="D3727" s="489" t="s">
        <v>12541</v>
      </c>
      <c r="E3727" s="487" t="s">
        <v>12542</v>
      </c>
      <c r="F3727" s="490">
        <v>6500</v>
      </c>
      <c r="G3727" s="489">
        <v>187.58</v>
      </c>
      <c r="H3727" s="489">
        <v>34.651879999999998</v>
      </c>
      <c r="I3727" s="487" t="s">
        <v>1499</v>
      </c>
      <c r="J3727" s="487" t="s">
        <v>872</v>
      </c>
    </row>
    <row r="3728" spans="1:10" ht="15" x14ac:dyDescent="0.2">
      <c r="A3728" s="486" t="s">
        <v>871</v>
      </c>
      <c r="B3728" s="487" t="s">
        <v>870</v>
      </c>
      <c r="C3728" s="488" t="s">
        <v>12543</v>
      </c>
      <c r="D3728" s="489" t="s">
        <v>12544</v>
      </c>
      <c r="E3728" s="487" t="s">
        <v>12545</v>
      </c>
      <c r="F3728" s="490">
        <v>0</v>
      </c>
      <c r="G3728" s="489">
        <v>0</v>
      </c>
      <c r="H3728" s="489">
        <v>0</v>
      </c>
      <c r="I3728" s="487" t="s">
        <v>2465</v>
      </c>
      <c r="J3728" s="487" t="s">
        <v>872</v>
      </c>
    </row>
    <row r="3729" spans="1:10" ht="15" x14ac:dyDescent="0.2">
      <c r="A3729" s="486" t="s">
        <v>871</v>
      </c>
      <c r="B3729" s="487" t="s">
        <v>870</v>
      </c>
      <c r="C3729" s="488" t="s">
        <v>12546</v>
      </c>
      <c r="D3729" s="489" t="s">
        <v>12547</v>
      </c>
      <c r="E3729" s="487" t="s">
        <v>12548</v>
      </c>
      <c r="F3729" s="490">
        <v>0</v>
      </c>
      <c r="G3729" s="489">
        <v>0</v>
      </c>
      <c r="H3729" s="489">
        <v>0</v>
      </c>
      <c r="I3729" s="487" t="s">
        <v>2465</v>
      </c>
      <c r="J3729" s="487" t="s">
        <v>872</v>
      </c>
    </row>
    <row r="3730" spans="1:10" ht="15" x14ac:dyDescent="0.2">
      <c r="A3730" s="486" t="s">
        <v>871</v>
      </c>
      <c r="B3730" s="487" t="s">
        <v>870</v>
      </c>
      <c r="C3730" s="488" t="s">
        <v>12549</v>
      </c>
      <c r="D3730" s="489" t="s">
        <v>12550</v>
      </c>
      <c r="E3730" s="487" t="s">
        <v>12551</v>
      </c>
      <c r="F3730" s="490">
        <v>42000</v>
      </c>
      <c r="G3730" s="489">
        <v>247.73</v>
      </c>
      <c r="H3730" s="489">
        <v>169.53942000000001</v>
      </c>
      <c r="I3730" s="487" t="s">
        <v>1499</v>
      </c>
      <c r="J3730" s="487" t="s">
        <v>872</v>
      </c>
    </row>
    <row r="3731" spans="1:10" ht="15" x14ac:dyDescent="0.2">
      <c r="A3731" s="486" t="s">
        <v>871</v>
      </c>
      <c r="B3731" s="487" t="s">
        <v>870</v>
      </c>
      <c r="C3731" s="488" t="s">
        <v>12552</v>
      </c>
      <c r="D3731" s="489" t="s">
        <v>12553</v>
      </c>
      <c r="E3731" s="487" t="s">
        <v>12554</v>
      </c>
      <c r="F3731" s="490">
        <v>25000</v>
      </c>
      <c r="G3731" s="489">
        <v>531.21</v>
      </c>
      <c r="H3731" s="489">
        <v>47.062370000000001</v>
      </c>
      <c r="I3731" s="487" t="s">
        <v>2465</v>
      </c>
      <c r="J3731" s="487" t="s">
        <v>872</v>
      </c>
    </row>
    <row r="3732" spans="1:10" ht="15" x14ac:dyDescent="0.2">
      <c r="A3732" s="486" t="s">
        <v>871</v>
      </c>
      <c r="B3732" s="487" t="s">
        <v>870</v>
      </c>
      <c r="C3732" s="488" t="s">
        <v>12555</v>
      </c>
      <c r="D3732" s="489" t="s">
        <v>12556</v>
      </c>
      <c r="E3732" s="487" t="s">
        <v>12557</v>
      </c>
      <c r="F3732" s="490">
        <v>7300</v>
      </c>
      <c r="G3732" s="489">
        <v>151.69999999999999</v>
      </c>
      <c r="H3732" s="489">
        <v>48.121290000000002</v>
      </c>
      <c r="I3732" s="487" t="s">
        <v>2465</v>
      </c>
      <c r="J3732" s="487" t="s">
        <v>872</v>
      </c>
    </row>
    <row r="3733" spans="1:10" ht="15" x14ac:dyDescent="0.2">
      <c r="A3733" s="486" t="s">
        <v>871</v>
      </c>
      <c r="B3733" s="487" t="s">
        <v>870</v>
      </c>
      <c r="C3733" s="488" t="s">
        <v>12558</v>
      </c>
      <c r="D3733" s="489" t="s">
        <v>12559</v>
      </c>
      <c r="E3733" s="487" t="s">
        <v>12560</v>
      </c>
      <c r="F3733" s="490">
        <v>13383</v>
      </c>
      <c r="G3733" s="489">
        <v>199.83</v>
      </c>
      <c r="H3733" s="489">
        <v>66.97193</v>
      </c>
      <c r="I3733" s="487" t="s">
        <v>1499</v>
      </c>
      <c r="J3733" s="487" t="s">
        <v>872</v>
      </c>
    </row>
    <row r="3734" spans="1:10" ht="15" x14ac:dyDescent="0.2">
      <c r="A3734" s="486" t="s">
        <v>871</v>
      </c>
      <c r="B3734" s="487" t="s">
        <v>870</v>
      </c>
      <c r="C3734" s="488" t="s">
        <v>12561</v>
      </c>
      <c r="D3734" s="489" t="s">
        <v>12562</v>
      </c>
      <c r="E3734" s="487" t="s">
        <v>12563</v>
      </c>
      <c r="F3734" s="490">
        <v>10000</v>
      </c>
      <c r="G3734" s="489">
        <v>392.49</v>
      </c>
      <c r="H3734" s="489">
        <v>25.478359999999999</v>
      </c>
      <c r="I3734" s="487" t="s">
        <v>2465</v>
      </c>
      <c r="J3734" s="487" t="s">
        <v>872</v>
      </c>
    </row>
    <row r="3735" spans="1:10" ht="15" x14ac:dyDescent="0.2">
      <c r="A3735" s="486" t="s">
        <v>871</v>
      </c>
      <c r="B3735" s="487" t="s">
        <v>870</v>
      </c>
      <c r="C3735" s="488" t="s">
        <v>12564</v>
      </c>
      <c r="D3735" s="489" t="s">
        <v>12565</v>
      </c>
      <c r="E3735" s="487" t="s">
        <v>12566</v>
      </c>
      <c r="F3735" s="490">
        <v>0</v>
      </c>
      <c r="G3735" s="489">
        <v>0</v>
      </c>
      <c r="H3735" s="489">
        <v>0</v>
      </c>
      <c r="I3735" s="487" t="s">
        <v>2465</v>
      </c>
      <c r="J3735" s="487" t="s">
        <v>872</v>
      </c>
    </row>
    <row r="3736" spans="1:10" ht="15" x14ac:dyDescent="0.2">
      <c r="A3736" s="486" t="s">
        <v>871</v>
      </c>
      <c r="B3736" s="487" t="s">
        <v>870</v>
      </c>
      <c r="C3736" s="488" t="s">
        <v>12567</v>
      </c>
      <c r="D3736" s="489" t="s">
        <v>12568</v>
      </c>
      <c r="E3736" s="487" t="s">
        <v>12569</v>
      </c>
      <c r="F3736" s="490">
        <v>0</v>
      </c>
      <c r="G3736" s="489">
        <v>0</v>
      </c>
      <c r="H3736" s="489">
        <v>0</v>
      </c>
      <c r="I3736" s="487" t="s">
        <v>2465</v>
      </c>
      <c r="J3736" s="487" t="s">
        <v>872</v>
      </c>
    </row>
    <row r="3737" spans="1:10" ht="15" x14ac:dyDescent="0.2">
      <c r="A3737" s="486" t="s">
        <v>871</v>
      </c>
      <c r="B3737" s="487" t="s">
        <v>870</v>
      </c>
      <c r="C3737" s="488" t="s">
        <v>12570</v>
      </c>
      <c r="D3737" s="489" t="s">
        <v>12571</v>
      </c>
      <c r="E3737" s="487" t="s">
        <v>12572</v>
      </c>
      <c r="F3737" s="490">
        <v>0</v>
      </c>
      <c r="G3737" s="489">
        <v>0</v>
      </c>
      <c r="H3737" s="489">
        <v>0</v>
      </c>
      <c r="I3737" s="487" t="s">
        <v>2465</v>
      </c>
      <c r="J3737" s="487" t="s">
        <v>872</v>
      </c>
    </row>
    <row r="3738" spans="1:10" ht="15" x14ac:dyDescent="0.2">
      <c r="A3738" s="486" t="s">
        <v>871</v>
      </c>
      <c r="B3738" s="487" t="s">
        <v>870</v>
      </c>
      <c r="C3738" s="488" t="s">
        <v>12573</v>
      </c>
      <c r="D3738" s="489" t="s">
        <v>12574</v>
      </c>
      <c r="E3738" s="487" t="s">
        <v>12575</v>
      </c>
      <c r="F3738" s="490">
        <v>0</v>
      </c>
      <c r="G3738" s="489">
        <v>0</v>
      </c>
      <c r="H3738" s="489">
        <v>0</v>
      </c>
      <c r="I3738" s="487" t="s">
        <v>2465</v>
      </c>
      <c r="J3738" s="487" t="s">
        <v>872</v>
      </c>
    </row>
    <row r="3739" spans="1:10" ht="15" x14ac:dyDescent="0.2">
      <c r="A3739" s="486" t="s">
        <v>871</v>
      </c>
      <c r="B3739" s="487" t="s">
        <v>870</v>
      </c>
      <c r="C3739" s="488" t="s">
        <v>12576</v>
      </c>
      <c r="D3739" s="489" t="s">
        <v>12577</v>
      </c>
      <c r="E3739" s="487" t="s">
        <v>12578</v>
      </c>
      <c r="F3739" s="490">
        <v>53829</v>
      </c>
      <c r="G3739" s="489">
        <v>466.66</v>
      </c>
      <c r="H3739" s="489">
        <v>115.34950000000001</v>
      </c>
      <c r="I3739" s="487" t="s">
        <v>2465</v>
      </c>
      <c r="J3739" s="487" t="s">
        <v>872</v>
      </c>
    </row>
    <row r="3740" spans="1:10" ht="15" x14ac:dyDescent="0.2">
      <c r="A3740" s="486" t="s">
        <v>871</v>
      </c>
      <c r="B3740" s="487" t="s">
        <v>870</v>
      </c>
      <c r="C3740" s="488" t="s">
        <v>12579</v>
      </c>
      <c r="D3740" s="489" t="s">
        <v>12580</v>
      </c>
      <c r="E3740" s="487" t="s">
        <v>12581</v>
      </c>
      <c r="F3740" s="490">
        <v>0</v>
      </c>
      <c r="G3740" s="489">
        <v>0</v>
      </c>
      <c r="H3740" s="489">
        <v>0</v>
      </c>
      <c r="I3740" s="487" t="s">
        <v>2465</v>
      </c>
      <c r="J3740" s="487" t="s">
        <v>872</v>
      </c>
    </row>
    <row r="3741" spans="1:10" ht="15" x14ac:dyDescent="0.2">
      <c r="A3741" s="486" t="s">
        <v>871</v>
      </c>
      <c r="B3741" s="487" t="s">
        <v>870</v>
      </c>
      <c r="C3741" s="488" t="s">
        <v>12582</v>
      </c>
      <c r="D3741" s="489" t="s">
        <v>12583</v>
      </c>
      <c r="E3741" s="487" t="s">
        <v>12584</v>
      </c>
      <c r="F3741" s="490">
        <v>0</v>
      </c>
      <c r="G3741" s="489">
        <v>0</v>
      </c>
      <c r="H3741" s="489">
        <v>0</v>
      </c>
      <c r="I3741" s="487" t="s">
        <v>2465</v>
      </c>
      <c r="J3741" s="487" t="s">
        <v>872</v>
      </c>
    </row>
    <row r="3742" spans="1:10" ht="15" x14ac:dyDescent="0.2">
      <c r="A3742" s="486" t="s">
        <v>871</v>
      </c>
      <c r="B3742" s="487" t="s">
        <v>870</v>
      </c>
      <c r="C3742" s="488" t="s">
        <v>12585</v>
      </c>
      <c r="D3742" s="489" t="s">
        <v>12586</v>
      </c>
      <c r="E3742" s="487" t="s">
        <v>12587</v>
      </c>
      <c r="F3742" s="490">
        <v>0</v>
      </c>
      <c r="G3742" s="489">
        <v>0</v>
      </c>
      <c r="H3742" s="489">
        <v>0</v>
      </c>
      <c r="I3742" s="487" t="s">
        <v>2465</v>
      </c>
      <c r="J3742" s="487" t="s">
        <v>872</v>
      </c>
    </row>
    <row r="3743" spans="1:10" ht="15" x14ac:dyDescent="0.2">
      <c r="A3743" s="486" t="s">
        <v>871</v>
      </c>
      <c r="B3743" s="487" t="s">
        <v>870</v>
      </c>
      <c r="C3743" s="488" t="s">
        <v>12588</v>
      </c>
      <c r="D3743" s="489" t="s">
        <v>12589</v>
      </c>
      <c r="E3743" s="487" t="s">
        <v>12590</v>
      </c>
      <c r="F3743" s="490">
        <v>0</v>
      </c>
      <c r="G3743" s="489">
        <v>0</v>
      </c>
      <c r="H3743" s="489">
        <v>0</v>
      </c>
      <c r="I3743" s="487" t="s">
        <v>2465</v>
      </c>
      <c r="J3743" s="487" t="s">
        <v>872</v>
      </c>
    </row>
    <row r="3744" spans="1:10" ht="15" x14ac:dyDescent="0.2">
      <c r="A3744" s="486" t="s">
        <v>871</v>
      </c>
      <c r="B3744" s="487" t="s">
        <v>870</v>
      </c>
      <c r="C3744" s="488" t="s">
        <v>12591</v>
      </c>
      <c r="D3744" s="489" t="s">
        <v>12592</v>
      </c>
      <c r="E3744" s="487" t="s">
        <v>12593</v>
      </c>
      <c r="F3744" s="490">
        <v>40285</v>
      </c>
      <c r="G3744" s="489">
        <v>461.76</v>
      </c>
      <c r="H3744" s="489">
        <v>87.242289999999997</v>
      </c>
      <c r="I3744" s="487" t="s">
        <v>1499</v>
      </c>
      <c r="J3744" s="487" t="s">
        <v>872</v>
      </c>
    </row>
    <row r="3745" spans="1:10" ht="15" x14ac:dyDescent="0.2">
      <c r="A3745" s="486" t="s">
        <v>871</v>
      </c>
      <c r="B3745" s="487" t="s">
        <v>870</v>
      </c>
      <c r="C3745" s="488" t="s">
        <v>12594</v>
      </c>
      <c r="D3745" s="489" t="s">
        <v>12595</v>
      </c>
      <c r="E3745" s="487" t="s">
        <v>12596</v>
      </c>
      <c r="F3745" s="490">
        <v>0</v>
      </c>
      <c r="G3745" s="489">
        <v>0</v>
      </c>
      <c r="H3745" s="489">
        <v>0</v>
      </c>
      <c r="I3745" s="487" t="s">
        <v>2465</v>
      </c>
      <c r="J3745" s="487" t="s">
        <v>872</v>
      </c>
    </row>
    <row r="3746" spans="1:10" ht="15" x14ac:dyDescent="0.2">
      <c r="A3746" s="486" t="s">
        <v>871</v>
      </c>
      <c r="B3746" s="487" t="s">
        <v>870</v>
      </c>
      <c r="C3746" s="488" t="s">
        <v>12597</v>
      </c>
      <c r="D3746" s="489" t="s">
        <v>12598</v>
      </c>
      <c r="E3746" s="487" t="s">
        <v>12599</v>
      </c>
      <c r="F3746" s="490">
        <v>0</v>
      </c>
      <c r="G3746" s="489">
        <v>0</v>
      </c>
      <c r="H3746" s="489">
        <v>0</v>
      </c>
      <c r="I3746" s="487" t="s">
        <v>2465</v>
      </c>
      <c r="J3746" s="487" t="s">
        <v>872</v>
      </c>
    </row>
    <row r="3747" spans="1:10" ht="15" x14ac:dyDescent="0.2">
      <c r="A3747" s="486" t="s">
        <v>871</v>
      </c>
      <c r="B3747" s="487" t="s">
        <v>870</v>
      </c>
      <c r="C3747" s="488" t="s">
        <v>12600</v>
      </c>
      <c r="D3747" s="489" t="s">
        <v>12601</v>
      </c>
      <c r="E3747" s="487" t="s">
        <v>12602</v>
      </c>
      <c r="F3747" s="490">
        <v>23649</v>
      </c>
      <c r="G3747" s="489">
        <v>207.48</v>
      </c>
      <c r="H3747" s="489">
        <v>113.98206999999999</v>
      </c>
      <c r="I3747" s="487" t="s">
        <v>1499</v>
      </c>
      <c r="J3747" s="487" t="s">
        <v>872</v>
      </c>
    </row>
    <row r="3748" spans="1:10" ht="15" x14ac:dyDescent="0.2">
      <c r="A3748" s="486" t="s">
        <v>871</v>
      </c>
      <c r="B3748" s="487" t="s">
        <v>870</v>
      </c>
      <c r="C3748" s="488" t="s">
        <v>12603</v>
      </c>
      <c r="D3748" s="489" t="s">
        <v>12604</v>
      </c>
      <c r="E3748" s="487" t="s">
        <v>12605</v>
      </c>
      <c r="F3748" s="490">
        <v>9900</v>
      </c>
      <c r="G3748" s="489">
        <v>287.54000000000002</v>
      </c>
      <c r="H3748" s="489">
        <v>34.429989999999997</v>
      </c>
      <c r="I3748" s="487" t="s">
        <v>2465</v>
      </c>
      <c r="J3748" s="487" t="s">
        <v>872</v>
      </c>
    </row>
    <row r="3749" spans="1:10" ht="15" x14ac:dyDescent="0.2">
      <c r="A3749" s="486" t="s">
        <v>871</v>
      </c>
      <c r="B3749" s="487" t="s">
        <v>870</v>
      </c>
      <c r="C3749" s="488" t="s">
        <v>12606</v>
      </c>
      <c r="D3749" s="489" t="s">
        <v>12607</v>
      </c>
      <c r="E3749" s="487" t="s">
        <v>12608</v>
      </c>
      <c r="F3749" s="490">
        <v>0</v>
      </c>
      <c r="G3749" s="489">
        <v>0</v>
      </c>
      <c r="H3749" s="489">
        <v>0</v>
      </c>
      <c r="I3749" s="487" t="s">
        <v>2465</v>
      </c>
      <c r="J3749" s="487" t="s">
        <v>872</v>
      </c>
    </row>
    <row r="3750" spans="1:10" ht="15" x14ac:dyDescent="0.2">
      <c r="A3750" s="486" t="s">
        <v>871</v>
      </c>
      <c r="B3750" s="487" t="s">
        <v>870</v>
      </c>
      <c r="C3750" s="488" t="s">
        <v>12609</v>
      </c>
      <c r="D3750" s="489" t="s">
        <v>12610</v>
      </c>
      <c r="E3750" s="487" t="s">
        <v>12611</v>
      </c>
      <c r="F3750" s="490">
        <v>0</v>
      </c>
      <c r="G3750" s="489">
        <v>0</v>
      </c>
      <c r="H3750" s="489">
        <v>0</v>
      </c>
      <c r="I3750" s="487" t="s">
        <v>2465</v>
      </c>
      <c r="J3750" s="487" t="s">
        <v>872</v>
      </c>
    </row>
    <row r="3751" spans="1:10" ht="15" x14ac:dyDescent="0.2">
      <c r="A3751" s="486" t="s">
        <v>871</v>
      </c>
      <c r="B3751" s="487" t="s">
        <v>870</v>
      </c>
      <c r="C3751" s="488" t="s">
        <v>12612</v>
      </c>
      <c r="D3751" s="489" t="s">
        <v>12613</v>
      </c>
      <c r="E3751" s="487" t="s">
        <v>12614</v>
      </c>
      <c r="F3751" s="490">
        <v>22000</v>
      </c>
      <c r="G3751" s="489">
        <v>307.52</v>
      </c>
      <c r="H3751" s="489">
        <v>71.540059999999997</v>
      </c>
      <c r="I3751" s="487" t="s">
        <v>1499</v>
      </c>
      <c r="J3751" s="487" t="s">
        <v>872</v>
      </c>
    </row>
    <row r="3752" spans="1:10" ht="15" x14ac:dyDescent="0.2">
      <c r="A3752" s="486" t="s">
        <v>871</v>
      </c>
      <c r="B3752" s="487" t="s">
        <v>870</v>
      </c>
      <c r="C3752" s="488" t="s">
        <v>12615</v>
      </c>
      <c r="D3752" s="489" t="s">
        <v>12616</v>
      </c>
      <c r="E3752" s="487" t="s">
        <v>12617</v>
      </c>
      <c r="F3752" s="490">
        <v>0</v>
      </c>
      <c r="G3752" s="489">
        <v>25.53</v>
      </c>
      <c r="H3752" s="489">
        <v>0</v>
      </c>
      <c r="I3752" s="487" t="s">
        <v>1593</v>
      </c>
      <c r="J3752" s="487" t="s">
        <v>872</v>
      </c>
    </row>
    <row r="3753" spans="1:10" ht="15" x14ac:dyDescent="0.2">
      <c r="A3753" s="486" t="s">
        <v>871</v>
      </c>
      <c r="B3753" s="487" t="s">
        <v>870</v>
      </c>
      <c r="C3753" s="488" t="s">
        <v>12618</v>
      </c>
      <c r="D3753" s="489" t="s">
        <v>12619</v>
      </c>
      <c r="E3753" s="487" t="s">
        <v>12620</v>
      </c>
      <c r="F3753" s="490">
        <v>0</v>
      </c>
      <c r="G3753" s="489">
        <v>0</v>
      </c>
      <c r="H3753" s="489">
        <v>0</v>
      </c>
      <c r="I3753" s="487" t="s">
        <v>2465</v>
      </c>
      <c r="J3753" s="487" t="s">
        <v>872</v>
      </c>
    </row>
    <row r="3754" spans="1:10" ht="15" x14ac:dyDescent="0.2">
      <c r="A3754" s="486" t="s">
        <v>871</v>
      </c>
      <c r="B3754" s="487" t="s">
        <v>870</v>
      </c>
      <c r="C3754" s="488" t="s">
        <v>12621</v>
      </c>
      <c r="D3754" s="489" t="s">
        <v>12622</v>
      </c>
      <c r="E3754" s="487" t="s">
        <v>12623</v>
      </c>
      <c r="F3754" s="490">
        <v>6000</v>
      </c>
      <c r="G3754" s="489">
        <v>213.32</v>
      </c>
      <c r="H3754" s="489">
        <v>28.126760000000001</v>
      </c>
      <c r="I3754" s="487" t="s">
        <v>2465</v>
      </c>
      <c r="J3754" s="487" t="s">
        <v>872</v>
      </c>
    </row>
    <row r="3755" spans="1:10" ht="15" x14ac:dyDescent="0.2">
      <c r="A3755" s="486" t="s">
        <v>871</v>
      </c>
      <c r="B3755" s="487" t="s">
        <v>870</v>
      </c>
      <c r="C3755" s="488" t="s">
        <v>12624</v>
      </c>
      <c r="D3755" s="489" t="s">
        <v>12625</v>
      </c>
      <c r="E3755" s="487" t="s">
        <v>12626</v>
      </c>
      <c r="F3755" s="490">
        <v>0</v>
      </c>
      <c r="G3755" s="489">
        <v>0</v>
      </c>
      <c r="H3755" s="489">
        <v>0</v>
      </c>
      <c r="I3755" s="487" t="s">
        <v>2465</v>
      </c>
      <c r="J3755" s="487" t="s">
        <v>872</v>
      </c>
    </row>
    <row r="3756" spans="1:10" ht="15" x14ac:dyDescent="0.2">
      <c r="A3756" s="486" t="s">
        <v>871</v>
      </c>
      <c r="B3756" s="487" t="s">
        <v>870</v>
      </c>
      <c r="C3756" s="488" t="s">
        <v>12627</v>
      </c>
      <c r="D3756" s="489" t="s">
        <v>12628</v>
      </c>
      <c r="E3756" s="487" t="s">
        <v>12629</v>
      </c>
      <c r="F3756" s="490">
        <v>0</v>
      </c>
      <c r="G3756" s="489">
        <v>0</v>
      </c>
      <c r="H3756" s="489">
        <v>0</v>
      </c>
      <c r="I3756" s="487" t="s">
        <v>2465</v>
      </c>
      <c r="J3756" s="487" t="s">
        <v>872</v>
      </c>
    </row>
    <row r="3757" spans="1:10" ht="15" x14ac:dyDescent="0.2">
      <c r="A3757" s="486" t="s">
        <v>871</v>
      </c>
      <c r="B3757" s="487" t="s">
        <v>870</v>
      </c>
      <c r="C3757" s="488" t="s">
        <v>12630</v>
      </c>
      <c r="D3757" s="489" t="s">
        <v>12631</v>
      </c>
      <c r="E3757" s="487" t="s">
        <v>12632</v>
      </c>
      <c r="F3757" s="490">
        <v>1087991</v>
      </c>
      <c r="G3757" s="489">
        <v>16539.919999999998</v>
      </c>
      <c r="H3757" s="489">
        <v>65.779700000000005</v>
      </c>
      <c r="I3757" s="487" t="s">
        <v>1499</v>
      </c>
      <c r="J3757" s="487" t="s">
        <v>872</v>
      </c>
    </row>
    <row r="3758" spans="1:10" ht="15" x14ac:dyDescent="0.2">
      <c r="A3758" s="486" t="s">
        <v>871</v>
      </c>
      <c r="B3758" s="487" t="s">
        <v>870</v>
      </c>
      <c r="C3758" s="488" t="s">
        <v>12633</v>
      </c>
      <c r="D3758" s="489" t="s">
        <v>12634</v>
      </c>
      <c r="E3758" s="487" t="s">
        <v>12635</v>
      </c>
      <c r="F3758" s="490">
        <v>21000</v>
      </c>
      <c r="G3758" s="489">
        <v>199.76</v>
      </c>
      <c r="H3758" s="489">
        <v>105.12615</v>
      </c>
      <c r="I3758" s="487" t="s">
        <v>1499</v>
      </c>
      <c r="J3758" s="487" t="s">
        <v>872</v>
      </c>
    </row>
    <row r="3759" spans="1:10" ht="15" x14ac:dyDescent="0.2">
      <c r="A3759" s="486" t="s">
        <v>871</v>
      </c>
      <c r="B3759" s="487" t="s">
        <v>870</v>
      </c>
      <c r="C3759" s="488" t="s">
        <v>12636</v>
      </c>
      <c r="D3759" s="489" t="s">
        <v>12637</v>
      </c>
      <c r="E3759" s="487" t="s">
        <v>12638</v>
      </c>
      <c r="F3759" s="490">
        <v>28200</v>
      </c>
      <c r="G3759" s="489">
        <v>1309.95</v>
      </c>
      <c r="H3759" s="489">
        <v>21.527539999999998</v>
      </c>
      <c r="I3759" s="487" t="s">
        <v>1499</v>
      </c>
      <c r="J3759" s="487" t="s">
        <v>872</v>
      </c>
    </row>
    <row r="3760" spans="1:10" ht="15" x14ac:dyDescent="0.2">
      <c r="A3760" s="486" t="s">
        <v>871</v>
      </c>
      <c r="B3760" s="487" t="s">
        <v>870</v>
      </c>
      <c r="C3760" s="488" t="s">
        <v>12639</v>
      </c>
      <c r="D3760" s="489" t="s">
        <v>12640</v>
      </c>
      <c r="E3760" s="487" t="s">
        <v>12641</v>
      </c>
      <c r="F3760" s="490">
        <v>2500</v>
      </c>
      <c r="G3760" s="489">
        <v>138.59</v>
      </c>
      <c r="H3760" s="489">
        <v>18.038820000000001</v>
      </c>
      <c r="I3760" s="487" t="s">
        <v>1499</v>
      </c>
      <c r="J3760" s="487" t="s">
        <v>872</v>
      </c>
    </row>
    <row r="3761" spans="1:10" ht="15" x14ac:dyDescent="0.2">
      <c r="A3761" s="486" t="s">
        <v>871</v>
      </c>
      <c r="B3761" s="487" t="s">
        <v>870</v>
      </c>
      <c r="C3761" s="488" t="s">
        <v>12642</v>
      </c>
      <c r="D3761" s="489" t="s">
        <v>12643</v>
      </c>
      <c r="E3761" s="487" t="s">
        <v>12644</v>
      </c>
      <c r="F3761" s="490">
        <v>16000</v>
      </c>
      <c r="G3761" s="489">
        <v>148.35</v>
      </c>
      <c r="H3761" s="489">
        <v>107.85305</v>
      </c>
      <c r="I3761" s="487" t="s">
        <v>2465</v>
      </c>
      <c r="J3761" s="487" t="s">
        <v>872</v>
      </c>
    </row>
    <row r="3762" spans="1:10" ht="15" x14ac:dyDescent="0.2">
      <c r="A3762" s="486" t="s">
        <v>871</v>
      </c>
      <c r="B3762" s="487" t="s">
        <v>870</v>
      </c>
      <c r="C3762" s="488" t="s">
        <v>12645</v>
      </c>
      <c r="D3762" s="489" t="s">
        <v>12646</v>
      </c>
      <c r="E3762" s="487" t="s">
        <v>12647</v>
      </c>
      <c r="F3762" s="490">
        <v>10500</v>
      </c>
      <c r="G3762" s="489">
        <v>161.69</v>
      </c>
      <c r="H3762" s="489">
        <v>64.939080000000004</v>
      </c>
      <c r="I3762" s="487" t="s">
        <v>2465</v>
      </c>
      <c r="J3762" s="487" t="s">
        <v>872</v>
      </c>
    </row>
    <row r="3763" spans="1:10" ht="15" x14ac:dyDescent="0.2">
      <c r="A3763" s="486" t="s">
        <v>871</v>
      </c>
      <c r="B3763" s="487" t="s">
        <v>870</v>
      </c>
      <c r="C3763" s="488" t="s">
        <v>12648</v>
      </c>
      <c r="D3763" s="489" t="s">
        <v>12649</v>
      </c>
      <c r="E3763" s="487" t="s">
        <v>12650</v>
      </c>
      <c r="F3763" s="490">
        <v>22696</v>
      </c>
      <c r="G3763" s="489">
        <v>300.75</v>
      </c>
      <c r="H3763" s="489">
        <v>75.464669999999998</v>
      </c>
      <c r="I3763" s="487" t="s">
        <v>2465</v>
      </c>
      <c r="J3763" s="487" t="s">
        <v>872</v>
      </c>
    </row>
    <row r="3764" spans="1:10" ht="15" x14ac:dyDescent="0.2">
      <c r="A3764" s="486" t="s">
        <v>871</v>
      </c>
      <c r="B3764" s="487" t="s">
        <v>870</v>
      </c>
      <c r="C3764" s="488" t="s">
        <v>12651</v>
      </c>
      <c r="D3764" s="489" t="s">
        <v>12652</v>
      </c>
      <c r="E3764" s="487" t="s">
        <v>4543</v>
      </c>
      <c r="F3764" s="490">
        <v>850</v>
      </c>
      <c r="G3764" s="489">
        <v>48.82</v>
      </c>
      <c r="H3764" s="489">
        <v>17.410900000000002</v>
      </c>
      <c r="I3764" s="487" t="s">
        <v>1499</v>
      </c>
      <c r="J3764" s="487" t="s">
        <v>872</v>
      </c>
    </row>
    <row r="3765" spans="1:10" ht="15" x14ac:dyDescent="0.2">
      <c r="A3765" s="486" t="s">
        <v>871</v>
      </c>
      <c r="B3765" s="487" t="s">
        <v>870</v>
      </c>
      <c r="C3765" s="488" t="s">
        <v>12653</v>
      </c>
      <c r="D3765" s="489" t="s">
        <v>12654</v>
      </c>
      <c r="E3765" s="487" t="s">
        <v>12655</v>
      </c>
      <c r="F3765" s="490">
        <v>0</v>
      </c>
      <c r="G3765" s="489">
        <v>0</v>
      </c>
      <c r="H3765" s="489">
        <v>0</v>
      </c>
      <c r="I3765" s="487" t="s">
        <v>2465</v>
      </c>
      <c r="J3765" s="487" t="s">
        <v>872</v>
      </c>
    </row>
    <row r="3766" spans="1:10" ht="15" x14ac:dyDescent="0.2">
      <c r="A3766" s="486" t="s">
        <v>871</v>
      </c>
      <c r="B3766" s="487" t="s">
        <v>870</v>
      </c>
      <c r="C3766" s="488" t="s">
        <v>12656</v>
      </c>
      <c r="D3766" s="489" t="s">
        <v>12657</v>
      </c>
      <c r="E3766" s="487" t="s">
        <v>12658</v>
      </c>
      <c r="F3766" s="490">
        <v>0</v>
      </c>
      <c r="G3766" s="489">
        <v>0</v>
      </c>
      <c r="H3766" s="489">
        <v>0</v>
      </c>
      <c r="I3766" s="487" t="s">
        <v>2465</v>
      </c>
      <c r="J3766" s="487" t="s">
        <v>872</v>
      </c>
    </row>
    <row r="3767" spans="1:10" ht="15" x14ac:dyDescent="0.2">
      <c r="A3767" s="486" t="s">
        <v>871</v>
      </c>
      <c r="B3767" s="487" t="s">
        <v>870</v>
      </c>
      <c r="C3767" s="488" t="s">
        <v>12659</v>
      </c>
      <c r="D3767" s="489" t="s">
        <v>12660</v>
      </c>
      <c r="E3767" s="487" t="s">
        <v>12661</v>
      </c>
      <c r="F3767" s="490">
        <v>9250</v>
      </c>
      <c r="G3767" s="489">
        <v>126.07</v>
      </c>
      <c r="H3767" s="489">
        <v>73.371939999999995</v>
      </c>
      <c r="I3767" s="487" t="s">
        <v>1499</v>
      </c>
      <c r="J3767" s="487" t="s">
        <v>872</v>
      </c>
    </row>
    <row r="3768" spans="1:10" ht="15" x14ac:dyDescent="0.2">
      <c r="A3768" s="486" t="s">
        <v>871</v>
      </c>
      <c r="B3768" s="487" t="s">
        <v>870</v>
      </c>
      <c r="C3768" s="488" t="s">
        <v>12662</v>
      </c>
      <c r="D3768" s="489" t="s">
        <v>12663</v>
      </c>
      <c r="E3768" s="487" t="s">
        <v>12664</v>
      </c>
      <c r="F3768" s="490">
        <v>21000</v>
      </c>
      <c r="G3768" s="489">
        <v>202.24</v>
      </c>
      <c r="H3768" s="489">
        <v>103.83703</v>
      </c>
      <c r="I3768" s="487" t="s">
        <v>2465</v>
      </c>
      <c r="J3768" s="487" t="s">
        <v>872</v>
      </c>
    </row>
    <row r="3769" spans="1:10" ht="15" x14ac:dyDescent="0.2">
      <c r="A3769" s="486" t="s">
        <v>871</v>
      </c>
      <c r="B3769" s="487" t="s">
        <v>870</v>
      </c>
      <c r="C3769" s="488" t="s">
        <v>12665</v>
      </c>
      <c r="D3769" s="489" t="s">
        <v>12666</v>
      </c>
      <c r="E3769" s="487" t="s">
        <v>12667</v>
      </c>
      <c r="F3769" s="490">
        <v>12000</v>
      </c>
      <c r="G3769" s="489">
        <v>225.48</v>
      </c>
      <c r="H3769" s="489">
        <v>53.219799999999999</v>
      </c>
      <c r="I3769" s="487" t="s">
        <v>1499</v>
      </c>
      <c r="J3769" s="487" t="s">
        <v>872</v>
      </c>
    </row>
    <row r="3770" spans="1:10" ht="15" x14ac:dyDescent="0.2">
      <c r="A3770" s="486" t="s">
        <v>871</v>
      </c>
      <c r="B3770" s="487" t="s">
        <v>870</v>
      </c>
      <c r="C3770" s="488" t="s">
        <v>12668</v>
      </c>
      <c r="D3770" s="489" t="s">
        <v>12669</v>
      </c>
      <c r="E3770" s="487" t="s">
        <v>12670</v>
      </c>
      <c r="F3770" s="490">
        <v>8400</v>
      </c>
      <c r="G3770" s="489">
        <v>142.13999999999999</v>
      </c>
      <c r="H3770" s="489">
        <v>59.096670000000003</v>
      </c>
      <c r="I3770" s="487" t="s">
        <v>1499</v>
      </c>
      <c r="J3770" s="487" t="s">
        <v>872</v>
      </c>
    </row>
    <row r="3771" spans="1:10" ht="15" x14ac:dyDescent="0.2">
      <c r="A3771" s="486" t="s">
        <v>871</v>
      </c>
      <c r="B3771" s="487" t="s">
        <v>870</v>
      </c>
      <c r="C3771" s="488" t="s">
        <v>12671</v>
      </c>
      <c r="D3771" s="489" t="s">
        <v>12672</v>
      </c>
      <c r="E3771" s="487" t="s">
        <v>12673</v>
      </c>
      <c r="F3771" s="490">
        <v>0</v>
      </c>
      <c r="G3771" s="489">
        <v>0</v>
      </c>
      <c r="H3771" s="489">
        <v>0</v>
      </c>
      <c r="I3771" s="487" t="s">
        <v>2465</v>
      </c>
      <c r="J3771" s="487" t="s">
        <v>872</v>
      </c>
    </row>
    <row r="3772" spans="1:10" ht="15" x14ac:dyDescent="0.2">
      <c r="A3772" s="486" t="s">
        <v>871</v>
      </c>
      <c r="B3772" s="487" t="s">
        <v>870</v>
      </c>
      <c r="C3772" s="488" t="s">
        <v>12674</v>
      </c>
      <c r="D3772" s="489" t="s">
        <v>12675</v>
      </c>
      <c r="E3772" s="487" t="s">
        <v>12676</v>
      </c>
      <c r="F3772" s="490">
        <v>26500</v>
      </c>
      <c r="G3772" s="489">
        <v>536.69000000000005</v>
      </c>
      <c r="H3772" s="489">
        <v>49.376739999999998</v>
      </c>
      <c r="I3772" s="487" t="s">
        <v>1499</v>
      </c>
      <c r="J3772" s="487" t="s">
        <v>872</v>
      </c>
    </row>
    <row r="3773" spans="1:10" ht="15" x14ac:dyDescent="0.2">
      <c r="A3773" s="486" t="s">
        <v>871</v>
      </c>
      <c r="B3773" s="487" t="s">
        <v>870</v>
      </c>
      <c r="C3773" s="488" t="s">
        <v>12677</v>
      </c>
      <c r="D3773" s="489" t="s">
        <v>12678</v>
      </c>
      <c r="E3773" s="487" t="s">
        <v>12679</v>
      </c>
      <c r="F3773" s="490">
        <v>33686</v>
      </c>
      <c r="G3773" s="489">
        <v>578.53</v>
      </c>
      <c r="H3773" s="489">
        <v>58.226889999999997</v>
      </c>
      <c r="I3773" s="487" t="s">
        <v>2465</v>
      </c>
      <c r="J3773" s="487" t="s">
        <v>872</v>
      </c>
    </row>
    <row r="3774" spans="1:10" ht="15" x14ac:dyDescent="0.2">
      <c r="A3774" s="486" t="s">
        <v>871</v>
      </c>
      <c r="B3774" s="487" t="s">
        <v>870</v>
      </c>
      <c r="C3774" s="488" t="s">
        <v>12680</v>
      </c>
      <c r="D3774" s="489" t="s">
        <v>12681</v>
      </c>
      <c r="E3774" s="487" t="s">
        <v>12682</v>
      </c>
      <c r="F3774" s="490">
        <v>134000</v>
      </c>
      <c r="G3774" s="489">
        <v>922.63</v>
      </c>
      <c r="H3774" s="489">
        <v>145.23698999999999</v>
      </c>
      <c r="I3774" s="487" t="s">
        <v>1499</v>
      </c>
      <c r="J3774" s="487" t="s">
        <v>872</v>
      </c>
    </row>
    <row r="3775" spans="1:10" ht="15" x14ac:dyDescent="0.2">
      <c r="A3775" s="486" t="s">
        <v>871</v>
      </c>
      <c r="B3775" s="487" t="s">
        <v>870</v>
      </c>
      <c r="C3775" s="488" t="s">
        <v>12683</v>
      </c>
      <c r="D3775" s="489" t="s">
        <v>12684</v>
      </c>
      <c r="E3775" s="487" t="s">
        <v>12685</v>
      </c>
      <c r="F3775" s="490">
        <v>9000</v>
      </c>
      <c r="G3775" s="489">
        <v>234.69</v>
      </c>
      <c r="H3775" s="489">
        <v>38.348460000000003</v>
      </c>
      <c r="I3775" s="487" t="s">
        <v>2465</v>
      </c>
      <c r="J3775" s="487" t="s">
        <v>872</v>
      </c>
    </row>
    <row r="3776" spans="1:10" ht="15" x14ac:dyDescent="0.2">
      <c r="A3776" s="486" t="s">
        <v>871</v>
      </c>
      <c r="B3776" s="487" t="s">
        <v>870</v>
      </c>
      <c r="C3776" s="488" t="s">
        <v>12686</v>
      </c>
      <c r="D3776" s="489" t="s">
        <v>12687</v>
      </c>
      <c r="E3776" s="487" t="s">
        <v>12688</v>
      </c>
      <c r="F3776" s="490">
        <v>13198.66</v>
      </c>
      <c r="G3776" s="489">
        <v>275.5</v>
      </c>
      <c r="H3776" s="489">
        <v>47.90802</v>
      </c>
      <c r="I3776" s="487" t="s">
        <v>2465</v>
      </c>
      <c r="J3776" s="487" t="s">
        <v>872</v>
      </c>
    </row>
    <row r="3777" spans="1:10" ht="15" x14ac:dyDescent="0.2">
      <c r="A3777" s="486" t="s">
        <v>871</v>
      </c>
      <c r="B3777" s="487" t="s">
        <v>870</v>
      </c>
      <c r="C3777" s="488" t="s">
        <v>12689</v>
      </c>
      <c r="D3777" s="489" t="s">
        <v>12690</v>
      </c>
      <c r="E3777" s="487" t="s">
        <v>12691</v>
      </c>
      <c r="F3777" s="490">
        <v>0</v>
      </c>
      <c r="G3777" s="489">
        <v>0</v>
      </c>
      <c r="H3777" s="489">
        <v>0</v>
      </c>
      <c r="I3777" s="487" t="s">
        <v>2465</v>
      </c>
      <c r="J3777" s="487" t="s">
        <v>872</v>
      </c>
    </row>
    <row r="3778" spans="1:10" ht="15" x14ac:dyDescent="0.2">
      <c r="A3778" s="486" t="s">
        <v>871</v>
      </c>
      <c r="B3778" s="487" t="s">
        <v>870</v>
      </c>
      <c r="C3778" s="488" t="s">
        <v>12692</v>
      </c>
      <c r="D3778" s="489" t="s">
        <v>12693</v>
      </c>
      <c r="E3778" s="487" t="s">
        <v>12694</v>
      </c>
      <c r="F3778" s="490">
        <v>0</v>
      </c>
      <c r="G3778" s="489">
        <v>0</v>
      </c>
      <c r="H3778" s="489">
        <v>0</v>
      </c>
      <c r="I3778" s="487" t="s">
        <v>2465</v>
      </c>
      <c r="J3778" s="487" t="s">
        <v>872</v>
      </c>
    </row>
    <row r="3779" spans="1:10" ht="15" x14ac:dyDescent="0.2">
      <c r="A3779" s="486" t="s">
        <v>871</v>
      </c>
      <c r="B3779" s="487" t="s">
        <v>870</v>
      </c>
      <c r="C3779" s="488" t="s">
        <v>12695</v>
      </c>
      <c r="D3779" s="489" t="s">
        <v>12696</v>
      </c>
      <c r="E3779" s="487" t="s">
        <v>12697</v>
      </c>
      <c r="F3779" s="490">
        <v>0</v>
      </c>
      <c r="G3779" s="489">
        <v>0</v>
      </c>
      <c r="H3779" s="489">
        <v>0</v>
      </c>
      <c r="I3779" s="487" t="s">
        <v>2465</v>
      </c>
      <c r="J3779" s="487" t="s">
        <v>872</v>
      </c>
    </row>
    <row r="3780" spans="1:10" ht="15" x14ac:dyDescent="0.2">
      <c r="A3780" s="486" t="s">
        <v>871</v>
      </c>
      <c r="B3780" s="487" t="s">
        <v>870</v>
      </c>
      <c r="C3780" s="488" t="s">
        <v>12698</v>
      </c>
      <c r="D3780" s="489" t="s">
        <v>12699</v>
      </c>
      <c r="E3780" s="487" t="s">
        <v>12700</v>
      </c>
      <c r="F3780" s="490">
        <v>23000</v>
      </c>
      <c r="G3780" s="489">
        <v>374.41</v>
      </c>
      <c r="H3780" s="489">
        <v>61.42998</v>
      </c>
      <c r="I3780" s="487" t="s">
        <v>1499</v>
      </c>
      <c r="J3780" s="487" t="s">
        <v>872</v>
      </c>
    </row>
    <row r="3781" spans="1:10" ht="15" x14ac:dyDescent="0.2">
      <c r="A3781" s="486" t="s">
        <v>871</v>
      </c>
      <c r="B3781" s="487" t="s">
        <v>870</v>
      </c>
      <c r="C3781" s="488" t="s">
        <v>12701</v>
      </c>
      <c r="D3781" s="489" t="s">
        <v>12702</v>
      </c>
      <c r="E3781" s="487" t="s">
        <v>12703</v>
      </c>
      <c r="F3781" s="490">
        <v>734622</v>
      </c>
      <c r="G3781" s="489">
        <v>3696.97</v>
      </c>
      <c r="H3781" s="489">
        <v>198.70921000000001</v>
      </c>
      <c r="I3781" s="487" t="s">
        <v>1499</v>
      </c>
      <c r="J3781" s="487" t="s">
        <v>872</v>
      </c>
    </row>
    <row r="3782" spans="1:10" ht="15" x14ac:dyDescent="0.2">
      <c r="A3782" s="486" t="s">
        <v>871</v>
      </c>
      <c r="B3782" s="487" t="s">
        <v>870</v>
      </c>
      <c r="C3782" s="488" t="s">
        <v>12704</v>
      </c>
      <c r="D3782" s="489" t="s">
        <v>12705</v>
      </c>
      <c r="E3782" s="487" t="s">
        <v>12706</v>
      </c>
      <c r="F3782" s="490">
        <v>0</v>
      </c>
      <c r="G3782" s="489">
        <v>0</v>
      </c>
      <c r="H3782" s="489">
        <v>0</v>
      </c>
      <c r="I3782" s="487" t="s">
        <v>2465</v>
      </c>
      <c r="J3782" s="487" t="s">
        <v>872</v>
      </c>
    </row>
    <row r="3783" spans="1:10" ht="15" x14ac:dyDescent="0.2">
      <c r="A3783" s="486" t="s">
        <v>871</v>
      </c>
      <c r="B3783" s="487" t="s">
        <v>870</v>
      </c>
      <c r="C3783" s="488" t="s">
        <v>12707</v>
      </c>
      <c r="D3783" s="489" t="s">
        <v>12708</v>
      </c>
      <c r="E3783" s="487" t="s">
        <v>12709</v>
      </c>
      <c r="F3783" s="490">
        <v>45357</v>
      </c>
      <c r="G3783" s="489">
        <v>472.92</v>
      </c>
      <c r="H3783" s="489">
        <v>95.9084</v>
      </c>
      <c r="I3783" s="487" t="s">
        <v>2465</v>
      </c>
      <c r="J3783" s="487" t="s">
        <v>872</v>
      </c>
    </row>
    <row r="3784" spans="1:10" ht="15" x14ac:dyDescent="0.2">
      <c r="A3784" s="486" t="s">
        <v>871</v>
      </c>
      <c r="B3784" s="487" t="s">
        <v>870</v>
      </c>
      <c r="C3784" s="488" t="s">
        <v>12710</v>
      </c>
      <c r="D3784" s="489" t="s">
        <v>12711</v>
      </c>
      <c r="E3784" s="487" t="s">
        <v>12712</v>
      </c>
      <c r="F3784" s="490">
        <v>736175</v>
      </c>
      <c r="G3784" s="489">
        <v>3681.18</v>
      </c>
      <c r="H3784" s="489">
        <v>199.98343</v>
      </c>
      <c r="I3784" s="487" t="s">
        <v>1499</v>
      </c>
      <c r="J3784" s="487" t="s">
        <v>872</v>
      </c>
    </row>
    <row r="3785" spans="1:10" ht="15" x14ac:dyDescent="0.2">
      <c r="A3785" s="486" t="s">
        <v>871</v>
      </c>
      <c r="B3785" s="487" t="s">
        <v>870</v>
      </c>
      <c r="C3785" s="488" t="s">
        <v>12713</v>
      </c>
      <c r="D3785" s="489" t="s">
        <v>12714</v>
      </c>
      <c r="E3785" s="487" t="s">
        <v>12715</v>
      </c>
      <c r="F3785" s="490">
        <v>0</v>
      </c>
      <c r="G3785" s="489">
        <v>0</v>
      </c>
      <c r="H3785" s="489">
        <v>0</v>
      </c>
      <c r="I3785" s="487" t="s">
        <v>2465</v>
      </c>
      <c r="J3785" s="487" t="s">
        <v>872</v>
      </c>
    </row>
    <row r="3786" spans="1:10" ht="15" x14ac:dyDescent="0.2">
      <c r="A3786" s="486" t="s">
        <v>871</v>
      </c>
      <c r="B3786" s="487" t="s">
        <v>870</v>
      </c>
      <c r="C3786" s="488" t="s">
        <v>12716</v>
      </c>
      <c r="D3786" s="489" t="s">
        <v>12717</v>
      </c>
      <c r="E3786" s="487" t="s">
        <v>12718</v>
      </c>
      <c r="F3786" s="490">
        <v>0</v>
      </c>
      <c r="G3786" s="489">
        <v>0</v>
      </c>
      <c r="H3786" s="489">
        <v>0</v>
      </c>
      <c r="I3786" s="487" t="s">
        <v>2465</v>
      </c>
      <c r="J3786" s="487" t="s">
        <v>872</v>
      </c>
    </row>
    <row r="3787" spans="1:10" ht="15" x14ac:dyDescent="0.2">
      <c r="A3787" s="486" t="s">
        <v>871</v>
      </c>
      <c r="B3787" s="487" t="s">
        <v>870</v>
      </c>
      <c r="C3787" s="488" t="s">
        <v>12719</v>
      </c>
      <c r="D3787" s="489" t="s">
        <v>12720</v>
      </c>
      <c r="E3787" s="487" t="s">
        <v>12721</v>
      </c>
      <c r="F3787" s="490">
        <v>0</v>
      </c>
      <c r="G3787" s="489">
        <v>0</v>
      </c>
      <c r="H3787" s="489">
        <v>0</v>
      </c>
      <c r="I3787" s="487" t="s">
        <v>2465</v>
      </c>
      <c r="J3787" s="487" t="s">
        <v>872</v>
      </c>
    </row>
    <row r="3788" spans="1:10" ht="15" x14ac:dyDescent="0.2">
      <c r="A3788" s="486" t="s">
        <v>871</v>
      </c>
      <c r="B3788" s="487" t="s">
        <v>870</v>
      </c>
      <c r="C3788" s="488" t="s">
        <v>12722</v>
      </c>
      <c r="D3788" s="489" t="s">
        <v>12723</v>
      </c>
      <c r="E3788" s="487" t="s">
        <v>12724</v>
      </c>
      <c r="F3788" s="490">
        <v>14400</v>
      </c>
      <c r="G3788" s="489">
        <v>551.91</v>
      </c>
      <c r="H3788" s="489">
        <v>26.09121</v>
      </c>
      <c r="I3788" s="487" t="s">
        <v>1499</v>
      </c>
      <c r="J3788" s="487" t="s">
        <v>872</v>
      </c>
    </row>
    <row r="3789" spans="1:10" ht="15" x14ac:dyDescent="0.2">
      <c r="A3789" s="486" t="s">
        <v>871</v>
      </c>
      <c r="B3789" s="487" t="s">
        <v>870</v>
      </c>
      <c r="C3789" s="488" t="s">
        <v>12725</v>
      </c>
      <c r="D3789" s="489" t="s">
        <v>12726</v>
      </c>
      <c r="E3789" s="487" t="s">
        <v>12727</v>
      </c>
      <c r="F3789" s="490">
        <v>8000</v>
      </c>
      <c r="G3789" s="489">
        <v>109.62</v>
      </c>
      <c r="H3789" s="489">
        <v>72.979380000000006</v>
      </c>
      <c r="I3789" s="487" t="s">
        <v>1499</v>
      </c>
      <c r="J3789" s="487" t="s">
        <v>872</v>
      </c>
    </row>
    <row r="3790" spans="1:10" ht="15" x14ac:dyDescent="0.2">
      <c r="A3790" s="486" t="s">
        <v>871</v>
      </c>
      <c r="B3790" s="487" t="s">
        <v>870</v>
      </c>
      <c r="C3790" s="488" t="s">
        <v>12728</v>
      </c>
      <c r="D3790" s="489" t="s">
        <v>12729</v>
      </c>
      <c r="E3790" s="487" t="s">
        <v>12730</v>
      </c>
      <c r="F3790" s="490">
        <v>0</v>
      </c>
      <c r="G3790" s="489">
        <v>0</v>
      </c>
      <c r="H3790" s="489">
        <v>0</v>
      </c>
      <c r="I3790" s="487" t="s">
        <v>2465</v>
      </c>
      <c r="J3790" s="487" t="s">
        <v>872</v>
      </c>
    </row>
    <row r="3791" spans="1:10" ht="15" x14ac:dyDescent="0.2">
      <c r="A3791" s="486" t="s">
        <v>871</v>
      </c>
      <c r="B3791" s="487" t="s">
        <v>870</v>
      </c>
      <c r="C3791" s="488" t="s">
        <v>12731</v>
      </c>
      <c r="D3791" s="489" t="s">
        <v>12732</v>
      </c>
      <c r="E3791" s="487" t="s">
        <v>12733</v>
      </c>
      <c r="F3791" s="490">
        <v>16424</v>
      </c>
      <c r="G3791" s="489">
        <v>187.37</v>
      </c>
      <c r="H3791" s="489">
        <v>87.655439999999999</v>
      </c>
      <c r="I3791" s="487" t="s">
        <v>1499</v>
      </c>
      <c r="J3791" s="487" t="s">
        <v>872</v>
      </c>
    </row>
    <row r="3792" spans="1:10" ht="15" x14ac:dyDescent="0.2">
      <c r="A3792" s="486" t="s">
        <v>871</v>
      </c>
      <c r="B3792" s="487" t="s">
        <v>870</v>
      </c>
      <c r="C3792" s="488" t="s">
        <v>12734</v>
      </c>
      <c r="D3792" s="489" t="s">
        <v>12735</v>
      </c>
      <c r="E3792" s="487" t="s">
        <v>12736</v>
      </c>
      <c r="F3792" s="490">
        <v>0</v>
      </c>
      <c r="G3792" s="489">
        <v>0</v>
      </c>
      <c r="H3792" s="489">
        <v>0</v>
      </c>
      <c r="I3792" s="487" t="s">
        <v>2465</v>
      </c>
      <c r="J3792" s="487" t="s">
        <v>872</v>
      </c>
    </row>
    <row r="3793" spans="1:10" ht="15" x14ac:dyDescent="0.2">
      <c r="A3793" s="486" t="s">
        <v>871</v>
      </c>
      <c r="B3793" s="487" t="s">
        <v>870</v>
      </c>
      <c r="C3793" s="488" t="s">
        <v>12737</v>
      </c>
      <c r="D3793" s="489" t="s">
        <v>12738</v>
      </c>
      <c r="E3793" s="487" t="s">
        <v>12739</v>
      </c>
      <c r="F3793" s="490">
        <v>0</v>
      </c>
      <c r="G3793" s="489">
        <v>0</v>
      </c>
      <c r="H3793" s="489">
        <v>0</v>
      </c>
      <c r="I3793" s="487" t="s">
        <v>2465</v>
      </c>
      <c r="J3793" s="487" t="s">
        <v>872</v>
      </c>
    </row>
    <row r="3794" spans="1:10" ht="15" x14ac:dyDescent="0.2">
      <c r="A3794" s="486" t="s">
        <v>871</v>
      </c>
      <c r="B3794" s="487" t="s">
        <v>870</v>
      </c>
      <c r="C3794" s="488" t="s">
        <v>12740</v>
      </c>
      <c r="D3794" s="489" t="s">
        <v>12741</v>
      </c>
      <c r="E3794" s="487" t="s">
        <v>12742</v>
      </c>
      <c r="F3794" s="490">
        <v>0</v>
      </c>
      <c r="G3794" s="489">
        <v>0</v>
      </c>
      <c r="H3794" s="489">
        <v>0</v>
      </c>
      <c r="I3794" s="487" t="s">
        <v>2465</v>
      </c>
      <c r="J3794" s="487" t="s">
        <v>872</v>
      </c>
    </row>
    <row r="3795" spans="1:10" ht="15" x14ac:dyDescent="0.2">
      <c r="A3795" s="486" t="s">
        <v>871</v>
      </c>
      <c r="B3795" s="487" t="s">
        <v>870</v>
      </c>
      <c r="C3795" s="488" t="s">
        <v>12743</v>
      </c>
      <c r="D3795" s="489" t="s">
        <v>12744</v>
      </c>
      <c r="E3795" s="487" t="s">
        <v>12745</v>
      </c>
      <c r="F3795" s="490">
        <v>0</v>
      </c>
      <c r="G3795" s="489">
        <v>0</v>
      </c>
      <c r="H3795" s="489">
        <v>0</v>
      </c>
      <c r="I3795" s="487" t="s">
        <v>2465</v>
      </c>
      <c r="J3795" s="487" t="s">
        <v>872</v>
      </c>
    </row>
    <row r="3796" spans="1:10" ht="15" x14ac:dyDescent="0.2">
      <c r="A3796" s="486" t="s">
        <v>871</v>
      </c>
      <c r="B3796" s="487" t="s">
        <v>870</v>
      </c>
      <c r="C3796" s="488" t="s">
        <v>12746</v>
      </c>
      <c r="D3796" s="489" t="s">
        <v>12747</v>
      </c>
      <c r="E3796" s="487" t="s">
        <v>12748</v>
      </c>
      <c r="F3796" s="490">
        <v>22500</v>
      </c>
      <c r="G3796" s="489">
        <v>545.32000000000005</v>
      </c>
      <c r="H3796" s="489">
        <v>41.260179999999998</v>
      </c>
      <c r="I3796" s="487" t="s">
        <v>1499</v>
      </c>
      <c r="J3796" s="487" t="s">
        <v>872</v>
      </c>
    </row>
    <row r="3797" spans="1:10" ht="15" x14ac:dyDescent="0.2">
      <c r="A3797" s="486" t="s">
        <v>871</v>
      </c>
      <c r="B3797" s="487" t="s">
        <v>870</v>
      </c>
      <c r="C3797" s="488" t="s">
        <v>12749</v>
      </c>
      <c r="D3797" s="489" t="s">
        <v>12750</v>
      </c>
      <c r="E3797" s="487" t="s">
        <v>12751</v>
      </c>
      <c r="F3797" s="490">
        <v>0</v>
      </c>
      <c r="G3797" s="489">
        <v>0</v>
      </c>
      <c r="H3797" s="489">
        <v>0</v>
      </c>
      <c r="I3797" s="487" t="s">
        <v>2465</v>
      </c>
      <c r="J3797" s="487" t="s">
        <v>872</v>
      </c>
    </row>
    <row r="3798" spans="1:10" ht="15" x14ac:dyDescent="0.2">
      <c r="A3798" s="486" t="s">
        <v>871</v>
      </c>
      <c r="B3798" s="487" t="s">
        <v>870</v>
      </c>
      <c r="C3798" s="488" t="s">
        <v>12752</v>
      </c>
      <c r="D3798" s="489" t="s">
        <v>12753</v>
      </c>
      <c r="E3798" s="487" t="s">
        <v>12754</v>
      </c>
      <c r="F3798" s="490">
        <v>0</v>
      </c>
      <c r="G3798" s="489">
        <v>0</v>
      </c>
      <c r="H3798" s="489">
        <v>0</v>
      </c>
      <c r="I3798" s="487" t="s">
        <v>2465</v>
      </c>
      <c r="J3798" s="487" t="s">
        <v>872</v>
      </c>
    </row>
    <row r="3799" spans="1:10" ht="15" x14ac:dyDescent="0.2">
      <c r="A3799" s="486" t="s">
        <v>871</v>
      </c>
      <c r="B3799" s="487" t="s">
        <v>870</v>
      </c>
      <c r="C3799" s="488" t="s">
        <v>12755</v>
      </c>
      <c r="D3799" s="489" t="s">
        <v>12756</v>
      </c>
      <c r="E3799" s="487" t="s">
        <v>12757</v>
      </c>
      <c r="F3799" s="490">
        <v>12000</v>
      </c>
      <c r="G3799" s="489">
        <v>291.5</v>
      </c>
      <c r="H3799" s="489">
        <v>41.166379999999997</v>
      </c>
      <c r="I3799" s="487" t="s">
        <v>2465</v>
      </c>
      <c r="J3799" s="487" t="s">
        <v>872</v>
      </c>
    </row>
    <row r="3800" spans="1:10" ht="15" x14ac:dyDescent="0.2">
      <c r="A3800" s="486" t="s">
        <v>871</v>
      </c>
      <c r="B3800" s="487" t="s">
        <v>870</v>
      </c>
      <c r="C3800" s="488" t="s">
        <v>12758</v>
      </c>
      <c r="D3800" s="489" t="s">
        <v>12759</v>
      </c>
      <c r="E3800" s="487" t="s">
        <v>12760</v>
      </c>
      <c r="F3800" s="490">
        <v>17165</v>
      </c>
      <c r="G3800" s="489">
        <v>422.23</v>
      </c>
      <c r="H3800" s="489">
        <v>40.653199999999998</v>
      </c>
      <c r="I3800" s="487" t="s">
        <v>2465</v>
      </c>
      <c r="J3800" s="487" t="s">
        <v>872</v>
      </c>
    </row>
    <row r="3801" spans="1:10" ht="15" x14ac:dyDescent="0.2">
      <c r="A3801" s="486" t="s">
        <v>871</v>
      </c>
      <c r="B3801" s="487" t="s">
        <v>870</v>
      </c>
      <c r="C3801" s="488" t="s">
        <v>12761</v>
      </c>
      <c r="D3801" s="489" t="s">
        <v>12762</v>
      </c>
      <c r="E3801" s="487" t="s">
        <v>12763</v>
      </c>
      <c r="F3801" s="490">
        <v>17000</v>
      </c>
      <c r="G3801" s="489">
        <v>593.14</v>
      </c>
      <c r="H3801" s="489">
        <v>28.661020000000001</v>
      </c>
      <c r="I3801" s="487" t="s">
        <v>1499</v>
      </c>
      <c r="J3801" s="487" t="s">
        <v>872</v>
      </c>
    </row>
    <row r="3802" spans="1:10" ht="15" x14ac:dyDescent="0.2">
      <c r="A3802" s="486" t="s">
        <v>871</v>
      </c>
      <c r="B3802" s="487" t="s">
        <v>870</v>
      </c>
      <c r="C3802" s="488" t="s">
        <v>12764</v>
      </c>
      <c r="D3802" s="489" t="s">
        <v>12765</v>
      </c>
      <c r="E3802" s="487" t="s">
        <v>12766</v>
      </c>
      <c r="F3802" s="490">
        <v>0</v>
      </c>
      <c r="G3802" s="489">
        <v>0</v>
      </c>
      <c r="H3802" s="489">
        <v>0</v>
      </c>
      <c r="I3802" s="487" t="s">
        <v>2465</v>
      </c>
      <c r="J3802" s="487" t="s">
        <v>872</v>
      </c>
    </row>
    <row r="3803" spans="1:10" ht="15" x14ac:dyDescent="0.2">
      <c r="A3803" s="486" t="s">
        <v>871</v>
      </c>
      <c r="B3803" s="487" t="s">
        <v>870</v>
      </c>
      <c r="C3803" s="488" t="s">
        <v>12767</v>
      </c>
      <c r="D3803" s="489" t="s">
        <v>12768</v>
      </c>
      <c r="E3803" s="487" t="s">
        <v>12769</v>
      </c>
      <c r="F3803" s="490">
        <v>0</v>
      </c>
      <c r="G3803" s="489">
        <v>0</v>
      </c>
      <c r="H3803" s="489">
        <v>0</v>
      </c>
      <c r="I3803" s="487" t="s">
        <v>2465</v>
      </c>
      <c r="J3803" s="487" t="s">
        <v>872</v>
      </c>
    </row>
    <row r="3804" spans="1:10" ht="15" x14ac:dyDescent="0.2">
      <c r="A3804" s="486" t="s">
        <v>871</v>
      </c>
      <c r="B3804" s="487" t="s">
        <v>870</v>
      </c>
      <c r="C3804" s="488" t="s">
        <v>12770</v>
      </c>
      <c r="D3804" s="489" t="s">
        <v>12771</v>
      </c>
      <c r="E3804" s="487" t="s">
        <v>12772</v>
      </c>
      <c r="F3804" s="490">
        <v>0</v>
      </c>
      <c r="G3804" s="489">
        <v>0</v>
      </c>
      <c r="H3804" s="489">
        <v>0</v>
      </c>
      <c r="I3804" s="487" t="s">
        <v>2465</v>
      </c>
      <c r="J3804" s="487" t="s">
        <v>872</v>
      </c>
    </row>
    <row r="3805" spans="1:10" ht="15" x14ac:dyDescent="0.2">
      <c r="A3805" s="486" t="s">
        <v>871</v>
      </c>
      <c r="B3805" s="487" t="s">
        <v>870</v>
      </c>
      <c r="C3805" s="488" t="s">
        <v>12773</v>
      </c>
      <c r="D3805" s="489" t="s">
        <v>12774</v>
      </c>
      <c r="E3805" s="487" t="s">
        <v>12775</v>
      </c>
      <c r="F3805" s="490">
        <v>22500</v>
      </c>
      <c r="G3805" s="489">
        <v>392.42</v>
      </c>
      <c r="H3805" s="489">
        <v>57.336530000000003</v>
      </c>
      <c r="I3805" s="487" t="s">
        <v>2465</v>
      </c>
      <c r="J3805" s="487" t="s">
        <v>872</v>
      </c>
    </row>
    <row r="3806" spans="1:10" ht="15" x14ac:dyDescent="0.2">
      <c r="A3806" s="486" t="s">
        <v>871</v>
      </c>
      <c r="B3806" s="487" t="s">
        <v>870</v>
      </c>
      <c r="C3806" s="488" t="s">
        <v>12776</v>
      </c>
      <c r="D3806" s="489" t="s">
        <v>12777</v>
      </c>
      <c r="E3806" s="487" t="s">
        <v>12778</v>
      </c>
      <c r="F3806" s="490">
        <v>25000</v>
      </c>
      <c r="G3806" s="489">
        <v>318.02</v>
      </c>
      <c r="H3806" s="489">
        <v>78.611410000000006</v>
      </c>
      <c r="I3806" s="487" t="s">
        <v>1499</v>
      </c>
      <c r="J3806" s="487" t="s">
        <v>872</v>
      </c>
    </row>
    <row r="3807" spans="1:10" ht="15" x14ac:dyDescent="0.2">
      <c r="A3807" s="486" t="s">
        <v>871</v>
      </c>
      <c r="B3807" s="487" t="s">
        <v>870</v>
      </c>
      <c r="C3807" s="488" t="s">
        <v>12779</v>
      </c>
      <c r="D3807" s="489" t="s">
        <v>12780</v>
      </c>
      <c r="E3807" s="487" t="s">
        <v>12781</v>
      </c>
      <c r="F3807" s="490">
        <v>23600</v>
      </c>
      <c r="G3807" s="489">
        <v>462.75</v>
      </c>
      <c r="H3807" s="489">
        <v>50.999459999999999</v>
      </c>
      <c r="I3807" s="487" t="s">
        <v>1499</v>
      </c>
      <c r="J3807" s="487" t="s">
        <v>872</v>
      </c>
    </row>
    <row r="3808" spans="1:10" ht="15" x14ac:dyDescent="0.2">
      <c r="A3808" s="486" t="s">
        <v>871</v>
      </c>
      <c r="B3808" s="487" t="s">
        <v>870</v>
      </c>
      <c r="C3808" s="488" t="s">
        <v>12782</v>
      </c>
      <c r="D3808" s="489" t="s">
        <v>12783</v>
      </c>
      <c r="E3808" s="487" t="s">
        <v>12784</v>
      </c>
      <c r="F3808" s="490">
        <v>0</v>
      </c>
      <c r="G3808" s="489">
        <v>0</v>
      </c>
      <c r="H3808" s="489">
        <v>0</v>
      </c>
      <c r="I3808" s="487" t="s">
        <v>2465</v>
      </c>
      <c r="J3808" s="487" t="s">
        <v>872</v>
      </c>
    </row>
    <row r="3809" spans="1:10" ht="15" x14ac:dyDescent="0.2">
      <c r="A3809" s="486" t="s">
        <v>871</v>
      </c>
      <c r="B3809" s="487" t="s">
        <v>870</v>
      </c>
      <c r="C3809" s="488" t="s">
        <v>12785</v>
      </c>
      <c r="D3809" s="489" t="s">
        <v>12786</v>
      </c>
      <c r="E3809" s="487" t="s">
        <v>12787</v>
      </c>
      <c r="F3809" s="490">
        <v>0</v>
      </c>
      <c r="G3809" s="489">
        <v>0</v>
      </c>
      <c r="H3809" s="489">
        <v>0</v>
      </c>
      <c r="I3809" s="487" t="s">
        <v>2465</v>
      </c>
      <c r="J3809" s="487" t="s">
        <v>872</v>
      </c>
    </row>
    <row r="3810" spans="1:10" ht="15" x14ac:dyDescent="0.2">
      <c r="A3810" s="486" t="s">
        <v>871</v>
      </c>
      <c r="B3810" s="487" t="s">
        <v>870</v>
      </c>
      <c r="C3810" s="488" t="s">
        <v>12788</v>
      </c>
      <c r="D3810" s="489" t="s">
        <v>12789</v>
      </c>
      <c r="E3810" s="487" t="s">
        <v>12790</v>
      </c>
      <c r="F3810" s="490">
        <v>80000</v>
      </c>
      <c r="G3810" s="489">
        <v>575.24</v>
      </c>
      <c r="H3810" s="489">
        <v>139.07239000000001</v>
      </c>
      <c r="I3810" s="487" t="s">
        <v>1499</v>
      </c>
      <c r="J3810" s="487" t="s">
        <v>872</v>
      </c>
    </row>
    <row r="3811" spans="1:10" ht="15" x14ac:dyDescent="0.2">
      <c r="A3811" s="486" t="s">
        <v>871</v>
      </c>
      <c r="B3811" s="487" t="s">
        <v>870</v>
      </c>
      <c r="C3811" s="488" t="s">
        <v>12791</v>
      </c>
      <c r="D3811" s="489" t="s">
        <v>12792</v>
      </c>
      <c r="E3811" s="487" t="s">
        <v>12793</v>
      </c>
      <c r="F3811" s="490">
        <v>9500</v>
      </c>
      <c r="G3811" s="489">
        <v>185.51</v>
      </c>
      <c r="H3811" s="489">
        <v>51.210180000000001</v>
      </c>
      <c r="I3811" s="487" t="s">
        <v>1499</v>
      </c>
      <c r="J3811" s="487" t="s">
        <v>872</v>
      </c>
    </row>
    <row r="3812" spans="1:10" ht="15" x14ac:dyDescent="0.2">
      <c r="A3812" s="486" t="s">
        <v>871</v>
      </c>
      <c r="B3812" s="487" t="s">
        <v>870</v>
      </c>
      <c r="C3812" s="488" t="s">
        <v>12794</v>
      </c>
      <c r="D3812" s="489" t="s">
        <v>12795</v>
      </c>
      <c r="E3812" s="487" t="s">
        <v>12796</v>
      </c>
      <c r="F3812" s="490">
        <v>18049</v>
      </c>
      <c r="G3812" s="489">
        <v>164.84</v>
      </c>
      <c r="H3812" s="489">
        <v>109.49405</v>
      </c>
      <c r="I3812" s="487" t="s">
        <v>1499</v>
      </c>
      <c r="J3812" s="487" t="s">
        <v>872</v>
      </c>
    </row>
    <row r="3813" spans="1:10" ht="15" x14ac:dyDescent="0.2">
      <c r="A3813" s="486" t="s">
        <v>871</v>
      </c>
      <c r="B3813" s="487" t="s">
        <v>870</v>
      </c>
      <c r="C3813" s="488" t="s">
        <v>12797</v>
      </c>
      <c r="D3813" s="489" t="s">
        <v>12798</v>
      </c>
      <c r="E3813" s="487" t="s">
        <v>12799</v>
      </c>
      <c r="F3813" s="490">
        <v>0</v>
      </c>
      <c r="G3813" s="489">
        <v>0</v>
      </c>
      <c r="H3813" s="489">
        <v>0</v>
      </c>
      <c r="I3813" s="487" t="s">
        <v>2465</v>
      </c>
      <c r="J3813" s="487" t="s">
        <v>872</v>
      </c>
    </row>
    <row r="3814" spans="1:10" ht="15" x14ac:dyDescent="0.2">
      <c r="A3814" s="486" t="s">
        <v>871</v>
      </c>
      <c r="B3814" s="487" t="s">
        <v>870</v>
      </c>
      <c r="C3814" s="488" t="s">
        <v>12800</v>
      </c>
      <c r="D3814" s="489" t="s">
        <v>12801</v>
      </c>
      <c r="E3814" s="487" t="s">
        <v>12802</v>
      </c>
      <c r="F3814" s="490">
        <v>5000</v>
      </c>
      <c r="G3814" s="489">
        <v>199.9</v>
      </c>
      <c r="H3814" s="489">
        <v>25.012509999999999</v>
      </c>
      <c r="I3814" s="487" t="s">
        <v>2465</v>
      </c>
      <c r="J3814" s="487" t="s">
        <v>872</v>
      </c>
    </row>
    <row r="3815" spans="1:10" ht="15" x14ac:dyDescent="0.2">
      <c r="A3815" s="486" t="s">
        <v>871</v>
      </c>
      <c r="B3815" s="487" t="s">
        <v>870</v>
      </c>
      <c r="C3815" s="488" t="s">
        <v>12803</v>
      </c>
      <c r="D3815" s="489" t="s">
        <v>12804</v>
      </c>
      <c r="E3815" s="487" t="s">
        <v>12805</v>
      </c>
      <c r="F3815" s="490">
        <v>0</v>
      </c>
      <c r="G3815" s="489">
        <v>0</v>
      </c>
      <c r="H3815" s="489">
        <v>0</v>
      </c>
      <c r="I3815" s="487" t="s">
        <v>2465</v>
      </c>
      <c r="J3815" s="487" t="s">
        <v>872</v>
      </c>
    </row>
    <row r="3816" spans="1:10" ht="15" x14ac:dyDescent="0.2">
      <c r="A3816" s="486" t="s">
        <v>871</v>
      </c>
      <c r="B3816" s="487" t="s">
        <v>870</v>
      </c>
      <c r="C3816" s="488" t="s">
        <v>12806</v>
      </c>
      <c r="D3816" s="489" t="s">
        <v>12807</v>
      </c>
      <c r="E3816" s="487" t="s">
        <v>12808</v>
      </c>
      <c r="F3816" s="490">
        <v>11000</v>
      </c>
      <c r="G3816" s="489">
        <v>81.48</v>
      </c>
      <c r="H3816" s="489">
        <v>135.00245000000001</v>
      </c>
      <c r="I3816" s="487" t="s">
        <v>1499</v>
      </c>
      <c r="J3816" s="487" t="s">
        <v>872</v>
      </c>
    </row>
    <row r="3817" spans="1:10" ht="15" x14ac:dyDescent="0.2">
      <c r="A3817" s="486" t="s">
        <v>871</v>
      </c>
      <c r="B3817" s="487" t="s">
        <v>870</v>
      </c>
      <c r="C3817" s="488" t="s">
        <v>12809</v>
      </c>
      <c r="D3817" s="489" t="s">
        <v>12810</v>
      </c>
      <c r="E3817" s="487" t="s">
        <v>12811</v>
      </c>
      <c r="F3817" s="490">
        <v>0</v>
      </c>
      <c r="G3817" s="489">
        <v>0</v>
      </c>
      <c r="H3817" s="489">
        <v>0</v>
      </c>
      <c r="I3817" s="487" t="s">
        <v>2465</v>
      </c>
      <c r="J3817" s="487" t="s">
        <v>872</v>
      </c>
    </row>
    <row r="3818" spans="1:10" ht="15" x14ac:dyDescent="0.2">
      <c r="A3818" s="486" t="s">
        <v>871</v>
      </c>
      <c r="B3818" s="487" t="s">
        <v>870</v>
      </c>
      <c r="C3818" s="488" t="s">
        <v>12812</v>
      </c>
      <c r="D3818" s="489" t="s">
        <v>12813</v>
      </c>
      <c r="E3818" s="487" t="s">
        <v>12814</v>
      </c>
      <c r="F3818" s="490">
        <v>0</v>
      </c>
      <c r="G3818" s="489">
        <v>0</v>
      </c>
      <c r="H3818" s="489">
        <v>0</v>
      </c>
      <c r="I3818" s="487" t="s">
        <v>2465</v>
      </c>
      <c r="J3818" s="487" t="s">
        <v>872</v>
      </c>
    </row>
    <row r="3819" spans="1:10" ht="15" x14ac:dyDescent="0.2">
      <c r="A3819" s="486" t="s">
        <v>871</v>
      </c>
      <c r="B3819" s="487" t="s">
        <v>870</v>
      </c>
      <c r="C3819" s="488" t="s">
        <v>12815</v>
      </c>
      <c r="D3819" s="489" t="s">
        <v>12816</v>
      </c>
      <c r="E3819" s="487" t="s">
        <v>12817</v>
      </c>
      <c r="F3819" s="490">
        <v>23000</v>
      </c>
      <c r="G3819" s="489">
        <v>353.43</v>
      </c>
      <c r="H3819" s="489">
        <v>65.076539999999994</v>
      </c>
      <c r="I3819" s="487" t="s">
        <v>1499</v>
      </c>
      <c r="J3819" s="487" t="s">
        <v>872</v>
      </c>
    </row>
    <row r="3820" spans="1:10" ht="15" x14ac:dyDescent="0.2">
      <c r="A3820" s="486" t="s">
        <v>871</v>
      </c>
      <c r="B3820" s="487" t="s">
        <v>870</v>
      </c>
      <c r="C3820" s="488" t="s">
        <v>12818</v>
      </c>
      <c r="D3820" s="489" t="s">
        <v>12819</v>
      </c>
      <c r="E3820" s="487" t="s">
        <v>12820</v>
      </c>
      <c r="F3820" s="490">
        <v>6750</v>
      </c>
      <c r="G3820" s="489">
        <v>435.58</v>
      </c>
      <c r="H3820" s="489">
        <v>15.49658</v>
      </c>
      <c r="I3820" s="487" t="s">
        <v>1499</v>
      </c>
      <c r="J3820" s="487" t="s">
        <v>872</v>
      </c>
    </row>
    <row r="3821" spans="1:10" ht="15" x14ac:dyDescent="0.2">
      <c r="A3821" s="486" t="s">
        <v>871</v>
      </c>
      <c r="B3821" s="487" t="s">
        <v>870</v>
      </c>
      <c r="C3821" s="488" t="s">
        <v>12821</v>
      </c>
      <c r="D3821" s="489" t="s">
        <v>12822</v>
      </c>
      <c r="E3821" s="487" t="s">
        <v>12823</v>
      </c>
      <c r="F3821" s="490">
        <v>5100</v>
      </c>
      <c r="G3821" s="489">
        <v>230.95</v>
      </c>
      <c r="H3821" s="489">
        <v>22.082699999999999</v>
      </c>
      <c r="I3821" s="487" t="s">
        <v>2465</v>
      </c>
      <c r="J3821" s="487" t="s">
        <v>872</v>
      </c>
    </row>
    <row r="3822" spans="1:10" ht="15" x14ac:dyDescent="0.2">
      <c r="A3822" s="486" t="s">
        <v>871</v>
      </c>
      <c r="B3822" s="487" t="s">
        <v>870</v>
      </c>
      <c r="C3822" s="488" t="s">
        <v>12824</v>
      </c>
      <c r="D3822" s="489" t="s">
        <v>12825</v>
      </c>
      <c r="E3822" s="487" t="s">
        <v>12826</v>
      </c>
      <c r="F3822" s="490">
        <v>8500</v>
      </c>
      <c r="G3822" s="489">
        <v>300.97000000000003</v>
      </c>
      <c r="H3822" s="489">
        <v>28.24202</v>
      </c>
      <c r="I3822" s="487" t="s">
        <v>1499</v>
      </c>
      <c r="J3822" s="487" t="s">
        <v>872</v>
      </c>
    </row>
    <row r="3823" spans="1:10" ht="15" x14ac:dyDescent="0.2">
      <c r="A3823" s="486" t="s">
        <v>871</v>
      </c>
      <c r="B3823" s="487" t="s">
        <v>870</v>
      </c>
      <c r="C3823" s="488" t="s">
        <v>12827</v>
      </c>
      <c r="D3823" s="489" t="s">
        <v>12828</v>
      </c>
      <c r="E3823" s="487" t="s">
        <v>12829</v>
      </c>
      <c r="F3823" s="490">
        <v>11350</v>
      </c>
      <c r="G3823" s="489">
        <v>311.27</v>
      </c>
      <c r="H3823" s="489">
        <v>36.463520000000003</v>
      </c>
      <c r="I3823" s="487" t="s">
        <v>1499</v>
      </c>
      <c r="J3823" s="487" t="s">
        <v>872</v>
      </c>
    </row>
    <row r="3824" spans="1:10" ht="15" x14ac:dyDescent="0.2">
      <c r="A3824" s="486" t="s">
        <v>871</v>
      </c>
      <c r="B3824" s="487" t="s">
        <v>870</v>
      </c>
      <c r="C3824" s="488" t="s">
        <v>12830</v>
      </c>
      <c r="D3824" s="489" t="s">
        <v>12831</v>
      </c>
      <c r="E3824" s="487" t="s">
        <v>12832</v>
      </c>
      <c r="F3824" s="490">
        <v>0</v>
      </c>
      <c r="G3824" s="489">
        <v>0</v>
      </c>
      <c r="H3824" s="489">
        <v>0</v>
      </c>
      <c r="I3824" s="487" t="s">
        <v>2465</v>
      </c>
      <c r="J3824" s="487" t="s">
        <v>872</v>
      </c>
    </row>
    <row r="3825" spans="1:10" ht="15" x14ac:dyDescent="0.2">
      <c r="A3825" s="486" t="s">
        <v>871</v>
      </c>
      <c r="B3825" s="487" t="s">
        <v>870</v>
      </c>
      <c r="C3825" s="488" t="s">
        <v>12833</v>
      </c>
      <c r="D3825" s="489" t="s">
        <v>12834</v>
      </c>
      <c r="E3825" s="487" t="s">
        <v>12835</v>
      </c>
      <c r="F3825" s="490">
        <v>0</v>
      </c>
      <c r="G3825" s="489">
        <v>0</v>
      </c>
      <c r="H3825" s="489">
        <v>0</v>
      </c>
      <c r="I3825" s="487" t="s">
        <v>2465</v>
      </c>
      <c r="J3825" s="487" t="s">
        <v>872</v>
      </c>
    </row>
    <row r="3826" spans="1:10" ht="15" x14ac:dyDescent="0.2">
      <c r="A3826" s="486" t="s">
        <v>871</v>
      </c>
      <c r="B3826" s="487" t="s">
        <v>870</v>
      </c>
      <c r="C3826" s="488" t="s">
        <v>12836</v>
      </c>
      <c r="D3826" s="489" t="s">
        <v>12837</v>
      </c>
      <c r="E3826" s="487" t="s">
        <v>12838</v>
      </c>
      <c r="F3826" s="490">
        <v>0</v>
      </c>
      <c r="G3826" s="489">
        <v>0</v>
      </c>
      <c r="H3826" s="489">
        <v>0</v>
      </c>
      <c r="I3826" s="487" t="s">
        <v>2465</v>
      </c>
      <c r="J3826" s="487" t="s">
        <v>872</v>
      </c>
    </row>
    <row r="3827" spans="1:10" ht="15" x14ac:dyDescent="0.2">
      <c r="A3827" s="486" t="s">
        <v>871</v>
      </c>
      <c r="B3827" s="487" t="s">
        <v>870</v>
      </c>
      <c r="C3827" s="488" t="s">
        <v>12839</v>
      </c>
      <c r="D3827" s="489" t="s">
        <v>12840</v>
      </c>
      <c r="E3827" s="487" t="s">
        <v>12841</v>
      </c>
      <c r="F3827" s="490">
        <v>0</v>
      </c>
      <c r="G3827" s="489">
        <v>0</v>
      </c>
      <c r="H3827" s="489">
        <v>0</v>
      </c>
      <c r="I3827" s="487" t="s">
        <v>2465</v>
      </c>
      <c r="J3827" s="487" t="s">
        <v>872</v>
      </c>
    </row>
    <row r="3828" spans="1:10" ht="15" x14ac:dyDescent="0.2">
      <c r="A3828" s="486" t="s">
        <v>871</v>
      </c>
      <c r="B3828" s="487" t="s">
        <v>870</v>
      </c>
      <c r="C3828" s="488" t="s">
        <v>12842</v>
      </c>
      <c r="D3828" s="489" t="s">
        <v>12843</v>
      </c>
      <c r="E3828" s="487" t="s">
        <v>12844</v>
      </c>
      <c r="F3828" s="490">
        <v>0</v>
      </c>
      <c r="G3828" s="489">
        <v>0</v>
      </c>
      <c r="H3828" s="489">
        <v>0</v>
      </c>
      <c r="I3828" s="487" t="s">
        <v>2465</v>
      </c>
      <c r="J3828" s="487" t="s">
        <v>872</v>
      </c>
    </row>
    <row r="3829" spans="1:10" ht="15" x14ac:dyDescent="0.2">
      <c r="A3829" s="486" t="s">
        <v>871</v>
      </c>
      <c r="B3829" s="487" t="s">
        <v>870</v>
      </c>
      <c r="C3829" s="488" t="s">
        <v>12845</v>
      </c>
      <c r="D3829" s="489" t="s">
        <v>12846</v>
      </c>
      <c r="E3829" s="487" t="s">
        <v>12847</v>
      </c>
      <c r="F3829" s="490">
        <v>18500</v>
      </c>
      <c r="G3829" s="489">
        <v>265.17</v>
      </c>
      <c r="H3829" s="489">
        <v>69.766559999999998</v>
      </c>
      <c r="I3829" s="487" t="s">
        <v>2465</v>
      </c>
      <c r="J3829" s="487" t="s">
        <v>872</v>
      </c>
    </row>
    <row r="3830" spans="1:10" ht="15" x14ac:dyDescent="0.2">
      <c r="A3830" s="486" t="s">
        <v>871</v>
      </c>
      <c r="B3830" s="487" t="s">
        <v>870</v>
      </c>
      <c r="C3830" s="488" t="s">
        <v>12848</v>
      </c>
      <c r="D3830" s="489" t="s">
        <v>12849</v>
      </c>
      <c r="E3830" s="487" t="s">
        <v>12850</v>
      </c>
      <c r="F3830" s="490">
        <v>9200</v>
      </c>
      <c r="G3830" s="489">
        <v>179.74</v>
      </c>
      <c r="H3830" s="489">
        <v>51.185049999999997</v>
      </c>
      <c r="I3830" s="487" t="s">
        <v>1499</v>
      </c>
      <c r="J3830" s="487" t="s">
        <v>872</v>
      </c>
    </row>
    <row r="3831" spans="1:10" ht="15" x14ac:dyDescent="0.2">
      <c r="A3831" s="486" t="s">
        <v>871</v>
      </c>
      <c r="B3831" s="487" t="s">
        <v>870</v>
      </c>
      <c r="C3831" s="488" t="s">
        <v>12851</v>
      </c>
      <c r="D3831" s="489" t="s">
        <v>12852</v>
      </c>
      <c r="E3831" s="487" t="s">
        <v>12853</v>
      </c>
      <c r="F3831" s="490">
        <v>37565.35</v>
      </c>
      <c r="G3831" s="489">
        <v>397.13</v>
      </c>
      <c r="H3831" s="489">
        <v>94.592070000000007</v>
      </c>
      <c r="I3831" s="487" t="s">
        <v>1499</v>
      </c>
      <c r="J3831" s="487" t="s">
        <v>872</v>
      </c>
    </row>
    <row r="3832" spans="1:10" ht="15" x14ac:dyDescent="0.2">
      <c r="A3832" s="486" t="s">
        <v>871</v>
      </c>
      <c r="B3832" s="487" t="s">
        <v>870</v>
      </c>
      <c r="C3832" s="488" t="s">
        <v>12854</v>
      </c>
      <c r="D3832" s="489" t="s">
        <v>12855</v>
      </c>
      <c r="E3832" s="487" t="s">
        <v>12856</v>
      </c>
      <c r="F3832" s="490">
        <v>39000</v>
      </c>
      <c r="G3832" s="489">
        <v>480.05</v>
      </c>
      <c r="H3832" s="489">
        <v>81.241540000000001</v>
      </c>
      <c r="I3832" s="487" t="s">
        <v>1499</v>
      </c>
      <c r="J3832" s="487" t="s">
        <v>872</v>
      </c>
    </row>
    <row r="3833" spans="1:10" ht="15" x14ac:dyDescent="0.2">
      <c r="A3833" s="486" t="s">
        <v>871</v>
      </c>
      <c r="B3833" s="487" t="s">
        <v>870</v>
      </c>
      <c r="C3833" s="488" t="s">
        <v>12857</v>
      </c>
      <c r="D3833" s="489" t="s">
        <v>12858</v>
      </c>
      <c r="E3833" s="487" t="s">
        <v>12859</v>
      </c>
      <c r="F3833" s="490">
        <v>22000</v>
      </c>
      <c r="G3833" s="489">
        <v>199.26</v>
      </c>
      <c r="H3833" s="489">
        <v>110.40851000000001</v>
      </c>
      <c r="I3833" s="487" t="s">
        <v>2465</v>
      </c>
      <c r="J3833" s="487" t="s">
        <v>872</v>
      </c>
    </row>
    <row r="3834" spans="1:10" ht="15" x14ac:dyDescent="0.2">
      <c r="A3834" s="486" t="s">
        <v>871</v>
      </c>
      <c r="B3834" s="487" t="s">
        <v>870</v>
      </c>
      <c r="C3834" s="488" t="s">
        <v>12860</v>
      </c>
      <c r="D3834" s="489" t="s">
        <v>12861</v>
      </c>
      <c r="E3834" s="487" t="s">
        <v>12862</v>
      </c>
      <c r="F3834" s="490">
        <v>0</v>
      </c>
      <c r="G3834" s="489">
        <v>0</v>
      </c>
      <c r="H3834" s="489">
        <v>0</v>
      </c>
      <c r="I3834" s="487" t="s">
        <v>2465</v>
      </c>
      <c r="J3834" s="487" t="s">
        <v>872</v>
      </c>
    </row>
    <row r="3835" spans="1:10" ht="15" x14ac:dyDescent="0.2">
      <c r="A3835" s="486" t="s">
        <v>871</v>
      </c>
      <c r="B3835" s="487" t="s">
        <v>870</v>
      </c>
      <c r="C3835" s="488" t="s">
        <v>12863</v>
      </c>
      <c r="D3835" s="489" t="s">
        <v>12864</v>
      </c>
      <c r="E3835" s="487" t="s">
        <v>12865</v>
      </c>
      <c r="F3835" s="490">
        <v>21660</v>
      </c>
      <c r="G3835" s="489">
        <v>386.14</v>
      </c>
      <c r="H3835" s="489">
        <v>56.093640000000001</v>
      </c>
      <c r="I3835" s="487" t="s">
        <v>1499</v>
      </c>
      <c r="J3835" s="487" t="s">
        <v>872</v>
      </c>
    </row>
    <row r="3836" spans="1:10" ht="15" x14ac:dyDescent="0.2">
      <c r="A3836" s="486" t="s">
        <v>871</v>
      </c>
      <c r="B3836" s="487" t="s">
        <v>870</v>
      </c>
      <c r="C3836" s="488" t="s">
        <v>12866</v>
      </c>
      <c r="D3836" s="489" t="s">
        <v>12867</v>
      </c>
      <c r="E3836" s="487" t="s">
        <v>12868</v>
      </c>
      <c r="F3836" s="490">
        <v>18400</v>
      </c>
      <c r="G3836" s="489">
        <v>205.1</v>
      </c>
      <c r="H3836" s="489">
        <v>89.712339999999998</v>
      </c>
      <c r="I3836" s="487" t="s">
        <v>1499</v>
      </c>
      <c r="J3836" s="487" t="s">
        <v>872</v>
      </c>
    </row>
    <row r="3837" spans="1:10" ht="15" x14ac:dyDescent="0.2">
      <c r="A3837" s="486" t="s">
        <v>871</v>
      </c>
      <c r="B3837" s="487" t="s">
        <v>870</v>
      </c>
      <c r="C3837" s="488" t="s">
        <v>12869</v>
      </c>
      <c r="D3837" s="489" t="s">
        <v>12870</v>
      </c>
      <c r="E3837" s="487" t="s">
        <v>12871</v>
      </c>
      <c r="F3837" s="490">
        <v>4850</v>
      </c>
      <c r="G3837" s="489">
        <v>147.15</v>
      </c>
      <c r="H3837" s="489">
        <v>32.959569999999999</v>
      </c>
      <c r="I3837" s="487" t="s">
        <v>1499</v>
      </c>
      <c r="J3837" s="487" t="s">
        <v>872</v>
      </c>
    </row>
    <row r="3838" spans="1:10" ht="15" x14ac:dyDescent="0.2">
      <c r="A3838" s="486" t="s">
        <v>871</v>
      </c>
      <c r="B3838" s="487" t="s">
        <v>870</v>
      </c>
      <c r="C3838" s="488" t="s">
        <v>12872</v>
      </c>
      <c r="D3838" s="489" t="s">
        <v>12873</v>
      </c>
      <c r="E3838" s="487" t="s">
        <v>12874</v>
      </c>
      <c r="F3838" s="490">
        <v>0</v>
      </c>
      <c r="G3838" s="489">
        <v>0</v>
      </c>
      <c r="H3838" s="489">
        <v>0</v>
      </c>
      <c r="I3838" s="487" t="s">
        <v>2465</v>
      </c>
      <c r="J3838" s="487" t="s">
        <v>872</v>
      </c>
    </row>
    <row r="3839" spans="1:10" ht="15" x14ac:dyDescent="0.2">
      <c r="A3839" s="486" t="s">
        <v>871</v>
      </c>
      <c r="B3839" s="487" t="s">
        <v>870</v>
      </c>
      <c r="C3839" s="488" t="s">
        <v>12875</v>
      </c>
      <c r="D3839" s="489" t="s">
        <v>12876</v>
      </c>
      <c r="E3839" s="487" t="s">
        <v>12877</v>
      </c>
      <c r="F3839" s="490">
        <v>10380</v>
      </c>
      <c r="G3839" s="489">
        <v>232.82</v>
      </c>
      <c r="H3839" s="489">
        <v>44.583799999999997</v>
      </c>
      <c r="I3839" s="487" t="s">
        <v>2465</v>
      </c>
      <c r="J3839" s="487" t="s">
        <v>872</v>
      </c>
    </row>
    <row r="3840" spans="1:10" ht="15" x14ac:dyDescent="0.2">
      <c r="A3840" s="486" t="s">
        <v>871</v>
      </c>
      <c r="B3840" s="487" t="s">
        <v>870</v>
      </c>
      <c r="C3840" s="488" t="s">
        <v>12878</v>
      </c>
      <c r="D3840" s="489" t="s">
        <v>12879</v>
      </c>
      <c r="E3840" s="487" t="s">
        <v>12880</v>
      </c>
      <c r="F3840" s="490">
        <v>0</v>
      </c>
      <c r="G3840" s="489">
        <v>0</v>
      </c>
      <c r="H3840" s="489">
        <v>0</v>
      </c>
      <c r="I3840" s="487" t="s">
        <v>2465</v>
      </c>
      <c r="J3840" s="487" t="s">
        <v>872</v>
      </c>
    </row>
    <row r="3841" spans="1:10" ht="15" x14ac:dyDescent="0.2">
      <c r="A3841" s="486" t="s">
        <v>871</v>
      </c>
      <c r="B3841" s="487" t="s">
        <v>870</v>
      </c>
      <c r="C3841" s="488" t="s">
        <v>12881</v>
      </c>
      <c r="D3841" s="489" t="s">
        <v>12882</v>
      </c>
      <c r="E3841" s="487" t="s">
        <v>12883</v>
      </c>
      <c r="F3841" s="490">
        <v>0</v>
      </c>
      <c r="G3841" s="489">
        <v>0</v>
      </c>
      <c r="H3841" s="489">
        <v>0</v>
      </c>
      <c r="I3841" s="487" t="s">
        <v>2465</v>
      </c>
      <c r="J3841" s="487" t="s">
        <v>872</v>
      </c>
    </row>
    <row r="3842" spans="1:10" ht="15" x14ac:dyDescent="0.2">
      <c r="A3842" s="486" t="s">
        <v>871</v>
      </c>
      <c r="B3842" s="487" t="s">
        <v>870</v>
      </c>
      <c r="C3842" s="488" t="s">
        <v>12884</v>
      </c>
      <c r="D3842" s="489" t="s">
        <v>12885</v>
      </c>
      <c r="E3842" s="487" t="s">
        <v>12886</v>
      </c>
      <c r="F3842" s="490">
        <v>0</v>
      </c>
      <c r="G3842" s="489">
        <v>0</v>
      </c>
      <c r="H3842" s="489">
        <v>0</v>
      </c>
      <c r="I3842" s="487" t="s">
        <v>2465</v>
      </c>
      <c r="J3842" s="487" t="s">
        <v>872</v>
      </c>
    </row>
    <row r="3843" spans="1:10" ht="15" x14ac:dyDescent="0.2">
      <c r="A3843" s="486" t="s">
        <v>871</v>
      </c>
      <c r="B3843" s="487" t="s">
        <v>870</v>
      </c>
      <c r="C3843" s="488" t="s">
        <v>12887</v>
      </c>
      <c r="D3843" s="489" t="s">
        <v>12888</v>
      </c>
      <c r="E3843" s="487" t="s">
        <v>12889</v>
      </c>
      <c r="F3843" s="490">
        <v>10500</v>
      </c>
      <c r="G3843" s="489">
        <v>118.54</v>
      </c>
      <c r="H3843" s="489">
        <v>88.577699999999993</v>
      </c>
      <c r="I3843" s="487" t="s">
        <v>1499</v>
      </c>
      <c r="J3843" s="487" t="s">
        <v>872</v>
      </c>
    </row>
    <row r="3844" spans="1:10" ht="15" x14ac:dyDescent="0.2">
      <c r="A3844" s="486" t="s">
        <v>871</v>
      </c>
      <c r="B3844" s="487" t="s">
        <v>870</v>
      </c>
      <c r="C3844" s="488" t="s">
        <v>12890</v>
      </c>
      <c r="D3844" s="489" t="s">
        <v>12891</v>
      </c>
      <c r="E3844" s="487" t="s">
        <v>12892</v>
      </c>
      <c r="F3844" s="490">
        <v>16400</v>
      </c>
      <c r="G3844" s="489">
        <v>141.91999999999999</v>
      </c>
      <c r="H3844" s="489">
        <v>115.55806</v>
      </c>
      <c r="I3844" s="487" t="s">
        <v>1499</v>
      </c>
      <c r="J3844" s="487" t="s">
        <v>872</v>
      </c>
    </row>
    <row r="3845" spans="1:10" ht="15" x14ac:dyDescent="0.2">
      <c r="A3845" s="486" t="s">
        <v>871</v>
      </c>
      <c r="B3845" s="487" t="s">
        <v>870</v>
      </c>
      <c r="C3845" s="488" t="s">
        <v>12893</v>
      </c>
      <c r="D3845" s="489" t="s">
        <v>12894</v>
      </c>
      <c r="E3845" s="487" t="s">
        <v>12895</v>
      </c>
      <c r="F3845" s="490">
        <v>0</v>
      </c>
      <c r="G3845" s="489">
        <v>0</v>
      </c>
      <c r="H3845" s="489">
        <v>0</v>
      </c>
      <c r="I3845" s="487" t="s">
        <v>2465</v>
      </c>
      <c r="J3845" s="487" t="s">
        <v>872</v>
      </c>
    </row>
    <row r="3846" spans="1:10" ht="15" x14ac:dyDescent="0.2">
      <c r="A3846" s="486" t="s">
        <v>871</v>
      </c>
      <c r="B3846" s="487" t="s">
        <v>870</v>
      </c>
      <c r="C3846" s="488" t="s">
        <v>12896</v>
      </c>
      <c r="D3846" s="489" t="s">
        <v>12897</v>
      </c>
      <c r="E3846" s="487" t="s">
        <v>12898</v>
      </c>
      <c r="F3846" s="490">
        <v>633200</v>
      </c>
      <c r="G3846" s="489">
        <v>4246.53</v>
      </c>
      <c r="H3846" s="489">
        <v>149.10998000000001</v>
      </c>
      <c r="I3846" s="487" t="s">
        <v>1499</v>
      </c>
      <c r="J3846" s="487" t="s">
        <v>872</v>
      </c>
    </row>
    <row r="3847" spans="1:10" ht="15" x14ac:dyDescent="0.2">
      <c r="A3847" s="486" t="s">
        <v>871</v>
      </c>
      <c r="B3847" s="487" t="s">
        <v>870</v>
      </c>
      <c r="C3847" s="488" t="s">
        <v>12899</v>
      </c>
      <c r="D3847" s="489" t="s">
        <v>12900</v>
      </c>
      <c r="E3847" s="487" t="s">
        <v>12901</v>
      </c>
      <c r="F3847" s="490">
        <v>0</v>
      </c>
      <c r="G3847" s="489">
        <v>0</v>
      </c>
      <c r="H3847" s="489">
        <v>0</v>
      </c>
      <c r="I3847" s="487" t="s">
        <v>2465</v>
      </c>
      <c r="J3847" s="487" t="s">
        <v>872</v>
      </c>
    </row>
    <row r="3848" spans="1:10" ht="15" x14ac:dyDescent="0.2">
      <c r="A3848" s="486" t="s">
        <v>871</v>
      </c>
      <c r="B3848" s="487" t="s">
        <v>870</v>
      </c>
      <c r="C3848" s="488" t="s">
        <v>12902</v>
      </c>
      <c r="D3848" s="489" t="s">
        <v>12903</v>
      </c>
      <c r="E3848" s="487" t="s">
        <v>12904</v>
      </c>
      <c r="F3848" s="490">
        <v>0</v>
      </c>
      <c r="G3848" s="489">
        <v>0</v>
      </c>
      <c r="H3848" s="489">
        <v>0</v>
      </c>
      <c r="I3848" s="487" t="s">
        <v>2465</v>
      </c>
      <c r="J3848" s="487" t="s">
        <v>872</v>
      </c>
    </row>
    <row r="3849" spans="1:10" ht="15" x14ac:dyDescent="0.2">
      <c r="A3849" s="486" t="s">
        <v>871</v>
      </c>
      <c r="B3849" s="487" t="s">
        <v>870</v>
      </c>
      <c r="C3849" s="488" t="s">
        <v>12905</v>
      </c>
      <c r="D3849" s="489" t="s">
        <v>12906</v>
      </c>
      <c r="E3849" s="487" t="s">
        <v>12907</v>
      </c>
      <c r="F3849" s="490">
        <v>14500</v>
      </c>
      <c r="G3849" s="489">
        <v>130.35</v>
      </c>
      <c r="H3849" s="489">
        <v>111.23896999999999</v>
      </c>
      <c r="I3849" s="487" t="s">
        <v>1499</v>
      </c>
      <c r="J3849" s="487" t="s">
        <v>872</v>
      </c>
    </row>
    <row r="3850" spans="1:10" ht="15" x14ac:dyDescent="0.2">
      <c r="A3850" s="486" t="s">
        <v>871</v>
      </c>
      <c r="B3850" s="487" t="s">
        <v>870</v>
      </c>
      <c r="C3850" s="488" t="s">
        <v>12908</v>
      </c>
      <c r="D3850" s="489" t="s">
        <v>12909</v>
      </c>
      <c r="E3850" s="487" t="s">
        <v>12910</v>
      </c>
      <c r="F3850" s="490">
        <v>40000</v>
      </c>
      <c r="G3850" s="489">
        <v>337.35</v>
      </c>
      <c r="H3850" s="489">
        <v>118.57122</v>
      </c>
      <c r="I3850" s="487" t="s">
        <v>1499</v>
      </c>
      <c r="J3850" s="487" t="s">
        <v>872</v>
      </c>
    </row>
    <row r="3851" spans="1:10" ht="15" x14ac:dyDescent="0.2">
      <c r="A3851" s="486" t="s">
        <v>871</v>
      </c>
      <c r="B3851" s="487" t="s">
        <v>870</v>
      </c>
      <c r="C3851" s="488" t="s">
        <v>12911</v>
      </c>
      <c r="D3851" s="489" t="s">
        <v>12912</v>
      </c>
      <c r="E3851" s="487" t="s">
        <v>12913</v>
      </c>
      <c r="F3851" s="490">
        <v>0</v>
      </c>
      <c r="G3851" s="489">
        <v>0</v>
      </c>
      <c r="H3851" s="489">
        <v>0</v>
      </c>
      <c r="I3851" s="487" t="s">
        <v>2465</v>
      </c>
      <c r="J3851" s="487" t="s">
        <v>872</v>
      </c>
    </row>
    <row r="3852" spans="1:10" ht="15" x14ac:dyDescent="0.2">
      <c r="A3852" s="486" t="s">
        <v>871</v>
      </c>
      <c r="B3852" s="487" t="s">
        <v>870</v>
      </c>
      <c r="C3852" s="488" t="s">
        <v>12914</v>
      </c>
      <c r="D3852" s="489" t="s">
        <v>12915</v>
      </c>
      <c r="E3852" s="487" t="s">
        <v>12916</v>
      </c>
      <c r="F3852" s="490">
        <v>0</v>
      </c>
      <c r="G3852" s="489">
        <v>0</v>
      </c>
      <c r="H3852" s="489">
        <v>0</v>
      </c>
      <c r="I3852" s="487" t="s">
        <v>2465</v>
      </c>
      <c r="J3852" s="487" t="s">
        <v>872</v>
      </c>
    </row>
    <row r="3853" spans="1:10" ht="15" x14ac:dyDescent="0.2">
      <c r="A3853" s="486" t="s">
        <v>871</v>
      </c>
      <c r="B3853" s="487" t="s">
        <v>870</v>
      </c>
      <c r="C3853" s="488" t="s">
        <v>12917</v>
      </c>
      <c r="D3853" s="489" t="s">
        <v>12918</v>
      </c>
      <c r="E3853" s="487" t="s">
        <v>12919</v>
      </c>
      <c r="F3853" s="490">
        <v>0</v>
      </c>
      <c r="G3853" s="489">
        <v>0</v>
      </c>
      <c r="H3853" s="489">
        <v>0</v>
      </c>
      <c r="I3853" s="487" t="s">
        <v>2465</v>
      </c>
      <c r="J3853" s="487" t="s">
        <v>872</v>
      </c>
    </row>
    <row r="3854" spans="1:10" ht="15" x14ac:dyDescent="0.2">
      <c r="A3854" s="486" t="s">
        <v>871</v>
      </c>
      <c r="B3854" s="487" t="s">
        <v>870</v>
      </c>
      <c r="C3854" s="488" t="s">
        <v>12920</v>
      </c>
      <c r="D3854" s="489" t="s">
        <v>12921</v>
      </c>
      <c r="E3854" s="487" t="s">
        <v>12922</v>
      </c>
      <c r="F3854" s="490">
        <v>10000</v>
      </c>
      <c r="G3854" s="489">
        <v>192.38</v>
      </c>
      <c r="H3854" s="489">
        <v>51.980460000000001</v>
      </c>
      <c r="I3854" s="487" t="s">
        <v>1499</v>
      </c>
      <c r="J3854" s="487" t="s">
        <v>872</v>
      </c>
    </row>
    <row r="3855" spans="1:10" ht="15" x14ac:dyDescent="0.2">
      <c r="A3855" s="486" t="s">
        <v>871</v>
      </c>
      <c r="B3855" s="487" t="s">
        <v>870</v>
      </c>
      <c r="C3855" s="488" t="s">
        <v>12923</v>
      </c>
      <c r="D3855" s="489" t="s">
        <v>12924</v>
      </c>
      <c r="E3855" s="487" t="s">
        <v>12925</v>
      </c>
      <c r="F3855" s="490">
        <v>0</v>
      </c>
      <c r="G3855" s="489">
        <v>0</v>
      </c>
      <c r="H3855" s="489">
        <v>0</v>
      </c>
      <c r="I3855" s="487" t="s">
        <v>2465</v>
      </c>
      <c r="J3855" s="487" t="s">
        <v>872</v>
      </c>
    </row>
    <row r="3856" spans="1:10" ht="15" x14ac:dyDescent="0.2">
      <c r="A3856" s="486" t="s">
        <v>871</v>
      </c>
      <c r="B3856" s="487" t="s">
        <v>870</v>
      </c>
      <c r="C3856" s="488" t="s">
        <v>12926</v>
      </c>
      <c r="D3856" s="489" t="s">
        <v>12927</v>
      </c>
      <c r="E3856" s="487" t="s">
        <v>12928</v>
      </c>
      <c r="F3856" s="490">
        <v>9800</v>
      </c>
      <c r="G3856" s="489">
        <v>150.41999999999999</v>
      </c>
      <c r="H3856" s="489">
        <v>65.150909999999996</v>
      </c>
      <c r="I3856" s="487" t="s">
        <v>2465</v>
      </c>
      <c r="J3856" s="487" t="s">
        <v>872</v>
      </c>
    </row>
    <row r="3857" spans="1:10" ht="15" x14ac:dyDescent="0.2">
      <c r="A3857" s="486" t="s">
        <v>871</v>
      </c>
      <c r="B3857" s="487" t="s">
        <v>870</v>
      </c>
      <c r="C3857" s="488" t="s">
        <v>12929</v>
      </c>
      <c r="D3857" s="489" t="s">
        <v>12930</v>
      </c>
      <c r="E3857" s="487" t="s">
        <v>12931</v>
      </c>
      <c r="F3857" s="490">
        <v>0</v>
      </c>
      <c r="G3857" s="489">
        <v>0</v>
      </c>
      <c r="H3857" s="489">
        <v>0</v>
      </c>
      <c r="I3857" s="487" t="s">
        <v>2465</v>
      </c>
      <c r="J3857" s="487" t="s">
        <v>872</v>
      </c>
    </row>
    <row r="3858" spans="1:10" ht="15" x14ac:dyDescent="0.2">
      <c r="A3858" s="486" t="s">
        <v>871</v>
      </c>
      <c r="B3858" s="487" t="s">
        <v>870</v>
      </c>
      <c r="C3858" s="488" t="s">
        <v>12932</v>
      </c>
      <c r="D3858" s="489" t="s">
        <v>12933</v>
      </c>
      <c r="E3858" s="487" t="s">
        <v>12934</v>
      </c>
      <c r="F3858" s="490">
        <v>6200</v>
      </c>
      <c r="G3858" s="489">
        <v>216.78</v>
      </c>
      <c r="H3858" s="489">
        <v>28.60042</v>
      </c>
      <c r="I3858" s="487" t="s">
        <v>2465</v>
      </c>
      <c r="J3858" s="487" t="s">
        <v>872</v>
      </c>
    </row>
    <row r="3859" spans="1:10" ht="15" x14ac:dyDescent="0.2">
      <c r="A3859" s="486" t="s">
        <v>871</v>
      </c>
      <c r="B3859" s="487" t="s">
        <v>870</v>
      </c>
      <c r="C3859" s="488" t="s">
        <v>12935</v>
      </c>
      <c r="D3859" s="489" t="s">
        <v>12936</v>
      </c>
      <c r="E3859" s="487" t="s">
        <v>12937</v>
      </c>
      <c r="F3859" s="490">
        <v>0</v>
      </c>
      <c r="G3859" s="489">
        <v>44.23</v>
      </c>
      <c r="H3859" s="489">
        <v>0</v>
      </c>
      <c r="I3859" s="487" t="s">
        <v>1593</v>
      </c>
      <c r="J3859" s="487" t="s">
        <v>872</v>
      </c>
    </row>
    <row r="3860" spans="1:10" ht="15" x14ac:dyDescent="0.2">
      <c r="A3860" s="486" t="s">
        <v>871</v>
      </c>
      <c r="B3860" s="487" t="s">
        <v>870</v>
      </c>
      <c r="C3860" s="488" t="s">
        <v>12938</v>
      </c>
      <c r="D3860" s="489" t="s">
        <v>12939</v>
      </c>
      <c r="E3860" s="487" t="s">
        <v>12940</v>
      </c>
      <c r="F3860" s="490">
        <v>13000</v>
      </c>
      <c r="G3860" s="489">
        <v>173.05</v>
      </c>
      <c r="H3860" s="489">
        <v>75.122799999999998</v>
      </c>
      <c r="I3860" s="487" t="s">
        <v>1499</v>
      </c>
      <c r="J3860" s="487" t="s">
        <v>872</v>
      </c>
    </row>
    <row r="3861" spans="1:10" ht="15" x14ac:dyDescent="0.2">
      <c r="A3861" s="486" t="s">
        <v>871</v>
      </c>
      <c r="B3861" s="487" t="s">
        <v>870</v>
      </c>
      <c r="C3861" s="488" t="s">
        <v>12941</v>
      </c>
      <c r="D3861" s="489" t="s">
        <v>12942</v>
      </c>
      <c r="E3861" s="487" t="s">
        <v>12943</v>
      </c>
      <c r="F3861" s="490">
        <v>14500</v>
      </c>
      <c r="G3861" s="489">
        <v>225.69</v>
      </c>
      <c r="H3861" s="489">
        <v>64.247420000000005</v>
      </c>
      <c r="I3861" s="487" t="s">
        <v>2465</v>
      </c>
      <c r="J3861" s="487" t="s">
        <v>872</v>
      </c>
    </row>
    <row r="3862" spans="1:10" ht="15" x14ac:dyDescent="0.2">
      <c r="A3862" s="486" t="s">
        <v>871</v>
      </c>
      <c r="B3862" s="487" t="s">
        <v>870</v>
      </c>
      <c r="C3862" s="488" t="s">
        <v>12944</v>
      </c>
      <c r="D3862" s="489" t="s">
        <v>12945</v>
      </c>
      <c r="E3862" s="487" t="s">
        <v>12946</v>
      </c>
      <c r="F3862" s="490">
        <v>10000</v>
      </c>
      <c r="G3862" s="489">
        <v>174.37</v>
      </c>
      <c r="H3862" s="489">
        <v>57.349310000000003</v>
      </c>
      <c r="I3862" s="487" t="s">
        <v>1499</v>
      </c>
      <c r="J3862" s="487" t="s">
        <v>872</v>
      </c>
    </row>
    <row r="3863" spans="1:10" ht="15" x14ac:dyDescent="0.2">
      <c r="A3863" s="486" t="s">
        <v>871</v>
      </c>
      <c r="B3863" s="487" t="s">
        <v>870</v>
      </c>
      <c r="C3863" s="488" t="s">
        <v>12947</v>
      </c>
      <c r="D3863" s="489" t="s">
        <v>12948</v>
      </c>
      <c r="E3863" s="487" t="s">
        <v>1263</v>
      </c>
      <c r="F3863" s="490">
        <v>33500</v>
      </c>
      <c r="G3863" s="489">
        <v>399.11</v>
      </c>
      <c r="H3863" s="489">
        <v>83.936760000000007</v>
      </c>
      <c r="I3863" s="487" t="s">
        <v>1499</v>
      </c>
      <c r="J3863" s="487" t="s">
        <v>872</v>
      </c>
    </row>
    <row r="3864" spans="1:10" ht="15" x14ac:dyDescent="0.2">
      <c r="A3864" s="486" t="s">
        <v>871</v>
      </c>
      <c r="B3864" s="487" t="s">
        <v>870</v>
      </c>
      <c r="C3864" s="488" t="s">
        <v>12949</v>
      </c>
      <c r="D3864" s="489" t="s">
        <v>12950</v>
      </c>
      <c r="E3864" s="487" t="s">
        <v>12951</v>
      </c>
      <c r="F3864" s="490">
        <v>20000</v>
      </c>
      <c r="G3864" s="489">
        <v>257.48</v>
      </c>
      <c r="H3864" s="489">
        <v>77.675939999999997</v>
      </c>
      <c r="I3864" s="487" t="s">
        <v>1499</v>
      </c>
      <c r="J3864" s="487" t="s">
        <v>872</v>
      </c>
    </row>
    <row r="3865" spans="1:10" ht="15" x14ac:dyDescent="0.2">
      <c r="A3865" s="486" t="s">
        <v>871</v>
      </c>
      <c r="B3865" s="487" t="s">
        <v>870</v>
      </c>
      <c r="C3865" s="488" t="s">
        <v>12952</v>
      </c>
      <c r="D3865" s="489" t="s">
        <v>12953</v>
      </c>
      <c r="E3865" s="487" t="s">
        <v>12954</v>
      </c>
      <c r="F3865" s="490">
        <v>0</v>
      </c>
      <c r="G3865" s="489">
        <v>0</v>
      </c>
      <c r="H3865" s="489">
        <v>0</v>
      </c>
      <c r="I3865" s="487" t="s">
        <v>2465</v>
      </c>
      <c r="J3865" s="487" t="s">
        <v>872</v>
      </c>
    </row>
    <row r="3866" spans="1:10" ht="15" x14ac:dyDescent="0.2">
      <c r="A3866" s="486" t="s">
        <v>871</v>
      </c>
      <c r="B3866" s="487" t="s">
        <v>870</v>
      </c>
      <c r="C3866" s="488" t="s">
        <v>12955</v>
      </c>
      <c r="D3866" s="489" t="s">
        <v>12956</v>
      </c>
      <c r="E3866" s="487" t="s">
        <v>12957</v>
      </c>
      <c r="F3866" s="490">
        <v>0</v>
      </c>
      <c r="G3866" s="489">
        <v>0</v>
      </c>
      <c r="H3866" s="489">
        <v>0</v>
      </c>
      <c r="I3866" s="487" t="s">
        <v>2465</v>
      </c>
      <c r="J3866" s="487" t="s">
        <v>872</v>
      </c>
    </row>
    <row r="3867" spans="1:10" ht="15" x14ac:dyDescent="0.2">
      <c r="A3867" s="486" t="s">
        <v>871</v>
      </c>
      <c r="B3867" s="487" t="s">
        <v>870</v>
      </c>
      <c r="C3867" s="488" t="s">
        <v>12958</v>
      </c>
      <c r="D3867" s="489" t="s">
        <v>12959</v>
      </c>
      <c r="E3867" s="487" t="s">
        <v>12960</v>
      </c>
      <c r="F3867" s="490">
        <v>6600</v>
      </c>
      <c r="G3867" s="489">
        <v>192.88</v>
      </c>
      <c r="H3867" s="489">
        <v>34.218170000000001</v>
      </c>
      <c r="I3867" s="487" t="s">
        <v>2465</v>
      </c>
      <c r="J3867" s="487" t="s">
        <v>872</v>
      </c>
    </row>
    <row r="3868" spans="1:10" ht="15" x14ac:dyDescent="0.2">
      <c r="A3868" s="486" t="s">
        <v>871</v>
      </c>
      <c r="B3868" s="487" t="s">
        <v>870</v>
      </c>
      <c r="C3868" s="488" t="s">
        <v>12961</v>
      </c>
      <c r="D3868" s="489" t="s">
        <v>12962</v>
      </c>
      <c r="E3868" s="487" t="s">
        <v>12963</v>
      </c>
      <c r="F3868" s="490">
        <v>0</v>
      </c>
      <c r="G3868" s="489">
        <v>0</v>
      </c>
      <c r="H3868" s="489">
        <v>0</v>
      </c>
      <c r="I3868" s="487" t="s">
        <v>2465</v>
      </c>
      <c r="J3868" s="487" t="s">
        <v>872</v>
      </c>
    </row>
    <row r="3869" spans="1:10" ht="15" x14ac:dyDescent="0.2">
      <c r="A3869" s="486" t="s">
        <v>871</v>
      </c>
      <c r="B3869" s="487" t="s">
        <v>870</v>
      </c>
      <c r="C3869" s="488" t="s">
        <v>12964</v>
      </c>
      <c r="D3869" s="489" t="s">
        <v>12965</v>
      </c>
      <c r="E3869" s="487" t="s">
        <v>12966</v>
      </c>
      <c r="F3869" s="490">
        <v>10000</v>
      </c>
      <c r="G3869" s="489">
        <v>248.25</v>
      </c>
      <c r="H3869" s="489">
        <v>40.281970000000001</v>
      </c>
      <c r="I3869" s="487" t="s">
        <v>2465</v>
      </c>
      <c r="J3869" s="487" t="s">
        <v>872</v>
      </c>
    </row>
    <row r="3870" spans="1:10" ht="15" x14ac:dyDescent="0.2">
      <c r="A3870" s="486" t="s">
        <v>871</v>
      </c>
      <c r="B3870" s="487" t="s">
        <v>870</v>
      </c>
      <c r="C3870" s="488" t="s">
        <v>12967</v>
      </c>
      <c r="D3870" s="489" t="s">
        <v>12968</v>
      </c>
      <c r="E3870" s="487" t="s">
        <v>12969</v>
      </c>
      <c r="F3870" s="490">
        <v>0</v>
      </c>
      <c r="G3870" s="489">
        <v>0</v>
      </c>
      <c r="H3870" s="489">
        <v>0</v>
      </c>
      <c r="I3870" s="487" t="s">
        <v>2465</v>
      </c>
      <c r="J3870" s="487" t="s">
        <v>872</v>
      </c>
    </row>
    <row r="3871" spans="1:10" ht="15" x14ac:dyDescent="0.2">
      <c r="A3871" s="486" t="s">
        <v>871</v>
      </c>
      <c r="B3871" s="487" t="s">
        <v>870</v>
      </c>
      <c r="C3871" s="488" t="s">
        <v>12970</v>
      </c>
      <c r="D3871" s="489" t="s">
        <v>12971</v>
      </c>
      <c r="E3871" s="487" t="s">
        <v>12972</v>
      </c>
      <c r="F3871" s="490">
        <v>0</v>
      </c>
      <c r="G3871" s="489">
        <v>0</v>
      </c>
      <c r="H3871" s="489">
        <v>0</v>
      </c>
      <c r="I3871" s="487" t="s">
        <v>2465</v>
      </c>
      <c r="J3871" s="487" t="s">
        <v>872</v>
      </c>
    </row>
    <row r="3872" spans="1:10" ht="15" x14ac:dyDescent="0.2">
      <c r="A3872" s="486" t="s">
        <v>871</v>
      </c>
      <c r="B3872" s="487" t="s">
        <v>870</v>
      </c>
      <c r="C3872" s="488" t="s">
        <v>12973</v>
      </c>
      <c r="D3872" s="489" t="s">
        <v>12974</v>
      </c>
      <c r="E3872" s="487" t="s">
        <v>12975</v>
      </c>
      <c r="F3872" s="490">
        <v>0</v>
      </c>
      <c r="G3872" s="489">
        <v>0</v>
      </c>
      <c r="H3872" s="489">
        <v>0</v>
      </c>
      <c r="I3872" s="487" t="s">
        <v>2465</v>
      </c>
      <c r="J3872" s="487" t="s">
        <v>872</v>
      </c>
    </row>
    <row r="3873" spans="1:10" ht="15" x14ac:dyDescent="0.2">
      <c r="A3873" s="486" t="s">
        <v>871</v>
      </c>
      <c r="B3873" s="487" t="s">
        <v>870</v>
      </c>
      <c r="C3873" s="488" t="s">
        <v>12976</v>
      </c>
      <c r="D3873" s="489" t="s">
        <v>12977</v>
      </c>
      <c r="E3873" s="487" t="s">
        <v>12978</v>
      </c>
      <c r="F3873" s="490">
        <v>10600</v>
      </c>
      <c r="G3873" s="489">
        <v>312.60000000000002</v>
      </c>
      <c r="H3873" s="489">
        <v>33.909149999999997</v>
      </c>
      <c r="I3873" s="487" t="s">
        <v>2465</v>
      </c>
      <c r="J3873" s="487" t="s">
        <v>872</v>
      </c>
    </row>
    <row r="3874" spans="1:10" ht="15" x14ac:dyDescent="0.2">
      <c r="A3874" s="486" t="s">
        <v>871</v>
      </c>
      <c r="B3874" s="487" t="s">
        <v>870</v>
      </c>
      <c r="C3874" s="488" t="s">
        <v>12979</v>
      </c>
      <c r="D3874" s="489" t="s">
        <v>12980</v>
      </c>
      <c r="E3874" s="487" t="s">
        <v>12981</v>
      </c>
      <c r="F3874" s="490">
        <v>0</v>
      </c>
      <c r="G3874" s="489">
        <v>0</v>
      </c>
      <c r="H3874" s="489">
        <v>0</v>
      </c>
      <c r="I3874" s="487" t="s">
        <v>2465</v>
      </c>
      <c r="J3874" s="487" t="s">
        <v>872</v>
      </c>
    </row>
    <row r="3875" spans="1:10" ht="15" x14ac:dyDescent="0.2">
      <c r="A3875" s="486" t="s">
        <v>871</v>
      </c>
      <c r="B3875" s="487" t="s">
        <v>870</v>
      </c>
      <c r="C3875" s="488" t="s">
        <v>12982</v>
      </c>
      <c r="D3875" s="489" t="s">
        <v>12983</v>
      </c>
      <c r="E3875" s="487" t="s">
        <v>12984</v>
      </c>
      <c r="F3875" s="490">
        <v>0</v>
      </c>
      <c r="G3875" s="489">
        <v>0</v>
      </c>
      <c r="H3875" s="489">
        <v>0</v>
      </c>
      <c r="I3875" s="487" t="s">
        <v>2465</v>
      </c>
      <c r="J3875" s="487" t="s">
        <v>872</v>
      </c>
    </row>
    <row r="3876" spans="1:10" ht="15" x14ac:dyDescent="0.2">
      <c r="A3876" s="486" t="s">
        <v>871</v>
      </c>
      <c r="B3876" s="487" t="s">
        <v>870</v>
      </c>
      <c r="C3876" s="488" t="s">
        <v>12985</v>
      </c>
      <c r="D3876" s="489" t="s">
        <v>12986</v>
      </c>
      <c r="E3876" s="487" t="s">
        <v>12987</v>
      </c>
      <c r="F3876" s="490">
        <v>18626</v>
      </c>
      <c r="G3876" s="489">
        <v>275.87</v>
      </c>
      <c r="H3876" s="489">
        <v>67.517309999999995</v>
      </c>
      <c r="I3876" s="487" t="s">
        <v>1499</v>
      </c>
      <c r="J3876" s="487" t="s">
        <v>872</v>
      </c>
    </row>
    <row r="3877" spans="1:10" ht="15" x14ac:dyDescent="0.2">
      <c r="A3877" s="486" t="s">
        <v>871</v>
      </c>
      <c r="B3877" s="487" t="s">
        <v>870</v>
      </c>
      <c r="C3877" s="488" t="s">
        <v>12988</v>
      </c>
      <c r="D3877" s="489" t="s">
        <v>12989</v>
      </c>
      <c r="E3877" s="487" t="s">
        <v>12990</v>
      </c>
      <c r="F3877" s="490">
        <v>18102.919999999998</v>
      </c>
      <c r="G3877" s="489">
        <v>333.98</v>
      </c>
      <c r="H3877" s="489">
        <v>54.203609999999998</v>
      </c>
      <c r="I3877" s="487" t="s">
        <v>2465</v>
      </c>
      <c r="J3877" s="487" t="s">
        <v>872</v>
      </c>
    </row>
    <row r="3878" spans="1:10" ht="15" x14ac:dyDescent="0.2">
      <c r="A3878" s="486" t="s">
        <v>871</v>
      </c>
      <c r="B3878" s="487" t="s">
        <v>870</v>
      </c>
      <c r="C3878" s="488" t="s">
        <v>12991</v>
      </c>
      <c r="D3878" s="489" t="s">
        <v>12992</v>
      </c>
      <c r="E3878" s="487" t="s">
        <v>12993</v>
      </c>
      <c r="F3878" s="490">
        <v>0</v>
      </c>
      <c r="G3878" s="489">
        <v>0</v>
      </c>
      <c r="H3878" s="489">
        <v>0</v>
      </c>
      <c r="I3878" s="487" t="s">
        <v>2465</v>
      </c>
      <c r="J3878" s="487" t="s">
        <v>872</v>
      </c>
    </row>
    <row r="3879" spans="1:10" ht="15" x14ac:dyDescent="0.2">
      <c r="A3879" s="486" t="s">
        <v>871</v>
      </c>
      <c r="B3879" s="487" t="s">
        <v>870</v>
      </c>
      <c r="C3879" s="488" t="s">
        <v>12994</v>
      </c>
      <c r="D3879" s="489" t="s">
        <v>12995</v>
      </c>
      <c r="E3879" s="487" t="s">
        <v>12996</v>
      </c>
      <c r="F3879" s="490">
        <v>31000</v>
      </c>
      <c r="G3879" s="489">
        <v>667.16</v>
      </c>
      <c r="H3879" s="489">
        <v>46.465620000000001</v>
      </c>
      <c r="I3879" s="487" t="s">
        <v>1499</v>
      </c>
      <c r="J3879" s="487" t="s">
        <v>872</v>
      </c>
    </row>
    <row r="3880" spans="1:10" ht="15" x14ac:dyDescent="0.2">
      <c r="A3880" s="486" t="s">
        <v>871</v>
      </c>
      <c r="B3880" s="487" t="s">
        <v>870</v>
      </c>
      <c r="C3880" s="488" t="s">
        <v>12997</v>
      </c>
      <c r="D3880" s="489" t="s">
        <v>12998</v>
      </c>
      <c r="E3880" s="487" t="s">
        <v>12999</v>
      </c>
      <c r="F3880" s="490">
        <v>0</v>
      </c>
      <c r="G3880" s="489">
        <v>0</v>
      </c>
      <c r="H3880" s="489">
        <v>0</v>
      </c>
      <c r="I3880" s="487" t="s">
        <v>2465</v>
      </c>
      <c r="J3880" s="487" t="s">
        <v>872</v>
      </c>
    </row>
    <row r="3881" spans="1:10" ht="15" x14ac:dyDescent="0.2">
      <c r="A3881" s="486" t="s">
        <v>871</v>
      </c>
      <c r="B3881" s="487" t="s">
        <v>870</v>
      </c>
      <c r="C3881" s="488" t="s">
        <v>13000</v>
      </c>
      <c r="D3881" s="489" t="s">
        <v>13001</v>
      </c>
      <c r="E3881" s="487" t="s">
        <v>13002</v>
      </c>
      <c r="F3881" s="490">
        <v>0</v>
      </c>
      <c r="G3881" s="489">
        <v>0</v>
      </c>
      <c r="H3881" s="489">
        <v>0</v>
      </c>
      <c r="I3881" s="487" t="s">
        <v>2465</v>
      </c>
      <c r="J3881" s="487" t="s">
        <v>872</v>
      </c>
    </row>
    <row r="3882" spans="1:10" ht="15" x14ac:dyDescent="0.2">
      <c r="A3882" s="486" t="s">
        <v>871</v>
      </c>
      <c r="B3882" s="487" t="s">
        <v>870</v>
      </c>
      <c r="C3882" s="488" t="s">
        <v>13003</v>
      </c>
      <c r="D3882" s="489" t="s">
        <v>13004</v>
      </c>
      <c r="E3882" s="487" t="s">
        <v>13005</v>
      </c>
      <c r="F3882" s="490">
        <v>27820</v>
      </c>
      <c r="G3882" s="489">
        <v>462.42</v>
      </c>
      <c r="H3882" s="489">
        <v>60.161760000000001</v>
      </c>
      <c r="I3882" s="487" t="s">
        <v>1499</v>
      </c>
      <c r="J3882" s="487" t="s">
        <v>872</v>
      </c>
    </row>
    <row r="3883" spans="1:10" ht="15" x14ac:dyDescent="0.2">
      <c r="A3883" s="486" t="s">
        <v>871</v>
      </c>
      <c r="B3883" s="487" t="s">
        <v>870</v>
      </c>
      <c r="C3883" s="488" t="s">
        <v>13006</v>
      </c>
      <c r="D3883" s="489" t="s">
        <v>13007</v>
      </c>
      <c r="E3883" s="487" t="s">
        <v>13008</v>
      </c>
      <c r="F3883" s="490">
        <v>14175</v>
      </c>
      <c r="G3883" s="489">
        <v>252.59</v>
      </c>
      <c r="H3883" s="489">
        <v>56.118609999999997</v>
      </c>
      <c r="I3883" s="487" t="s">
        <v>1499</v>
      </c>
      <c r="J3883" s="487" t="s">
        <v>872</v>
      </c>
    </row>
    <row r="3884" spans="1:10" ht="15" x14ac:dyDescent="0.2">
      <c r="A3884" s="486" t="s">
        <v>871</v>
      </c>
      <c r="B3884" s="487" t="s">
        <v>870</v>
      </c>
      <c r="C3884" s="488" t="s">
        <v>13009</v>
      </c>
      <c r="D3884" s="489" t="s">
        <v>13010</v>
      </c>
      <c r="E3884" s="487" t="s">
        <v>13011</v>
      </c>
      <c r="F3884" s="490">
        <v>0</v>
      </c>
      <c r="G3884" s="489">
        <v>0</v>
      </c>
      <c r="H3884" s="489">
        <v>0</v>
      </c>
      <c r="I3884" s="487" t="s">
        <v>2465</v>
      </c>
      <c r="J3884" s="487" t="s">
        <v>872</v>
      </c>
    </row>
    <row r="3885" spans="1:10" ht="15" x14ac:dyDescent="0.2">
      <c r="A3885" s="486" t="s">
        <v>871</v>
      </c>
      <c r="B3885" s="487" t="s">
        <v>870</v>
      </c>
      <c r="C3885" s="488" t="s">
        <v>13012</v>
      </c>
      <c r="D3885" s="489" t="s">
        <v>13013</v>
      </c>
      <c r="E3885" s="487" t="s">
        <v>13014</v>
      </c>
      <c r="F3885" s="490">
        <v>14456.5</v>
      </c>
      <c r="G3885" s="489">
        <v>163.4</v>
      </c>
      <c r="H3885" s="489">
        <v>88.473070000000007</v>
      </c>
      <c r="I3885" s="487" t="s">
        <v>2465</v>
      </c>
      <c r="J3885" s="487" t="s">
        <v>872</v>
      </c>
    </row>
    <row r="3886" spans="1:10" ht="15" x14ac:dyDescent="0.2">
      <c r="A3886" s="486" t="s">
        <v>871</v>
      </c>
      <c r="B3886" s="487" t="s">
        <v>870</v>
      </c>
      <c r="C3886" s="488" t="s">
        <v>13015</v>
      </c>
      <c r="D3886" s="489" t="s">
        <v>13016</v>
      </c>
      <c r="E3886" s="487" t="s">
        <v>13017</v>
      </c>
      <c r="F3886" s="490">
        <v>41090</v>
      </c>
      <c r="G3886" s="489">
        <v>496.48</v>
      </c>
      <c r="H3886" s="489">
        <v>82.762649999999994</v>
      </c>
      <c r="I3886" s="487" t="s">
        <v>1499</v>
      </c>
      <c r="J3886" s="487" t="s">
        <v>872</v>
      </c>
    </row>
    <row r="3887" spans="1:10" ht="15" x14ac:dyDescent="0.2">
      <c r="A3887" s="486" t="s">
        <v>871</v>
      </c>
      <c r="B3887" s="487" t="s">
        <v>870</v>
      </c>
      <c r="C3887" s="488" t="s">
        <v>13018</v>
      </c>
      <c r="D3887" s="489" t="s">
        <v>13019</v>
      </c>
      <c r="E3887" s="487" t="s">
        <v>13020</v>
      </c>
      <c r="F3887" s="490">
        <v>0</v>
      </c>
      <c r="G3887" s="489">
        <v>0</v>
      </c>
      <c r="H3887" s="489">
        <v>0</v>
      </c>
      <c r="I3887" s="487" t="s">
        <v>2465</v>
      </c>
      <c r="J3887" s="487" t="s">
        <v>872</v>
      </c>
    </row>
    <row r="3888" spans="1:10" ht="15" x14ac:dyDescent="0.2">
      <c r="A3888" s="486" t="s">
        <v>871</v>
      </c>
      <c r="B3888" s="487" t="s">
        <v>870</v>
      </c>
      <c r="C3888" s="488" t="s">
        <v>13021</v>
      </c>
      <c r="D3888" s="489" t="s">
        <v>13022</v>
      </c>
      <c r="E3888" s="487" t="s">
        <v>13023</v>
      </c>
      <c r="F3888" s="490">
        <v>4600</v>
      </c>
      <c r="G3888" s="489">
        <v>83.65</v>
      </c>
      <c r="H3888" s="489">
        <v>54.991030000000002</v>
      </c>
      <c r="I3888" s="487" t="s">
        <v>1499</v>
      </c>
      <c r="J3888" s="487" t="s">
        <v>872</v>
      </c>
    </row>
    <row r="3889" spans="1:10" ht="15" x14ac:dyDescent="0.2">
      <c r="A3889" s="486" t="s">
        <v>871</v>
      </c>
      <c r="B3889" s="487" t="s">
        <v>870</v>
      </c>
      <c r="C3889" s="488" t="s">
        <v>13024</v>
      </c>
      <c r="D3889" s="489" t="s">
        <v>13025</v>
      </c>
      <c r="E3889" s="487" t="s">
        <v>13026</v>
      </c>
      <c r="F3889" s="490">
        <v>18000</v>
      </c>
      <c r="G3889" s="489">
        <v>519.38</v>
      </c>
      <c r="H3889" s="489">
        <v>34.656709999999997</v>
      </c>
      <c r="I3889" s="487" t="s">
        <v>1499</v>
      </c>
      <c r="J3889" s="487" t="s">
        <v>872</v>
      </c>
    </row>
    <row r="3890" spans="1:10" ht="15" x14ac:dyDescent="0.2">
      <c r="A3890" s="486" t="s">
        <v>871</v>
      </c>
      <c r="B3890" s="487" t="s">
        <v>870</v>
      </c>
      <c r="C3890" s="488" t="s">
        <v>13027</v>
      </c>
      <c r="D3890" s="489" t="s">
        <v>13028</v>
      </c>
      <c r="E3890" s="487" t="s">
        <v>13029</v>
      </c>
      <c r="F3890" s="490">
        <v>13000</v>
      </c>
      <c r="G3890" s="489">
        <v>356.14</v>
      </c>
      <c r="H3890" s="489">
        <v>36.502499999999998</v>
      </c>
      <c r="I3890" s="487" t="s">
        <v>1499</v>
      </c>
      <c r="J3890" s="487" t="s">
        <v>872</v>
      </c>
    </row>
    <row r="3891" spans="1:10" ht="15" x14ac:dyDescent="0.2">
      <c r="A3891" s="486" t="s">
        <v>871</v>
      </c>
      <c r="B3891" s="487" t="s">
        <v>870</v>
      </c>
      <c r="C3891" s="488" t="s">
        <v>13030</v>
      </c>
      <c r="D3891" s="489" t="s">
        <v>13031</v>
      </c>
      <c r="E3891" s="487" t="s">
        <v>13032</v>
      </c>
      <c r="F3891" s="490">
        <v>52500</v>
      </c>
      <c r="G3891" s="489">
        <v>550.91999999999996</v>
      </c>
      <c r="H3891" s="489">
        <v>95.295140000000004</v>
      </c>
      <c r="I3891" s="487" t="s">
        <v>2465</v>
      </c>
      <c r="J3891" s="487" t="s">
        <v>872</v>
      </c>
    </row>
    <row r="3892" spans="1:10" ht="15" x14ac:dyDescent="0.2">
      <c r="A3892" s="486" t="s">
        <v>871</v>
      </c>
      <c r="B3892" s="487" t="s">
        <v>870</v>
      </c>
      <c r="C3892" s="488" t="s">
        <v>13033</v>
      </c>
      <c r="D3892" s="489" t="s">
        <v>13034</v>
      </c>
      <c r="E3892" s="487" t="s">
        <v>13035</v>
      </c>
      <c r="F3892" s="490">
        <v>0</v>
      </c>
      <c r="G3892" s="489">
        <v>0</v>
      </c>
      <c r="H3892" s="489">
        <v>0</v>
      </c>
      <c r="I3892" s="487" t="s">
        <v>2465</v>
      </c>
      <c r="J3892" s="487" t="s">
        <v>872</v>
      </c>
    </row>
    <row r="3893" spans="1:10" ht="15" x14ac:dyDescent="0.2">
      <c r="A3893" s="486" t="s">
        <v>871</v>
      </c>
      <c r="B3893" s="487" t="s">
        <v>870</v>
      </c>
      <c r="C3893" s="488" t="s">
        <v>13036</v>
      </c>
      <c r="D3893" s="489" t="s">
        <v>13037</v>
      </c>
      <c r="E3893" s="487" t="s">
        <v>13038</v>
      </c>
      <c r="F3893" s="490">
        <v>33572</v>
      </c>
      <c r="G3893" s="489">
        <v>372.35</v>
      </c>
      <c r="H3893" s="489">
        <v>90.162480000000002</v>
      </c>
      <c r="I3893" s="487" t="s">
        <v>2465</v>
      </c>
      <c r="J3893" s="487" t="s">
        <v>872</v>
      </c>
    </row>
    <row r="3894" spans="1:10" ht="15" x14ac:dyDescent="0.2">
      <c r="A3894" s="486" t="s">
        <v>871</v>
      </c>
      <c r="B3894" s="487" t="s">
        <v>870</v>
      </c>
      <c r="C3894" s="488" t="s">
        <v>13039</v>
      </c>
      <c r="D3894" s="489" t="s">
        <v>13040</v>
      </c>
      <c r="E3894" s="487" t="s">
        <v>13041</v>
      </c>
      <c r="F3894" s="490">
        <v>0</v>
      </c>
      <c r="G3894" s="489">
        <v>0</v>
      </c>
      <c r="H3894" s="489">
        <v>0</v>
      </c>
      <c r="I3894" s="487" t="s">
        <v>2465</v>
      </c>
      <c r="J3894" s="487" t="s">
        <v>872</v>
      </c>
    </row>
    <row r="3895" spans="1:10" ht="15" x14ac:dyDescent="0.2">
      <c r="A3895" s="486" t="s">
        <v>871</v>
      </c>
      <c r="B3895" s="487" t="s">
        <v>870</v>
      </c>
      <c r="C3895" s="488" t="s">
        <v>13042</v>
      </c>
      <c r="D3895" s="489" t="s">
        <v>13043</v>
      </c>
      <c r="E3895" s="487" t="s">
        <v>13044</v>
      </c>
      <c r="F3895" s="490">
        <v>0</v>
      </c>
      <c r="G3895" s="489">
        <v>0</v>
      </c>
      <c r="H3895" s="489">
        <v>0</v>
      </c>
      <c r="I3895" s="487" t="s">
        <v>2465</v>
      </c>
      <c r="J3895" s="487" t="s">
        <v>872</v>
      </c>
    </row>
    <row r="3896" spans="1:10" ht="15" x14ac:dyDescent="0.2">
      <c r="A3896" s="486" t="s">
        <v>871</v>
      </c>
      <c r="B3896" s="487" t="s">
        <v>870</v>
      </c>
      <c r="C3896" s="488" t="s">
        <v>13045</v>
      </c>
      <c r="D3896" s="489" t="s">
        <v>13046</v>
      </c>
      <c r="E3896" s="487" t="s">
        <v>13047</v>
      </c>
      <c r="F3896" s="490">
        <v>38000</v>
      </c>
      <c r="G3896" s="489">
        <v>751.31</v>
      </c>
      <c r="H3896" s="489">
        <v>50.578319999999998</v>
      </c>
      <c r="I3896" s="487" t="s">
        <v>2465</v>
      </c>
      <c r="J3896" s="487" t="s">
        <v>872</v>
      </c>
    </row>
    <row r="3897" spans="1:10" ht="15" x14ac:dyDescent="0.2">
      <c r="A3897" s="486" t="s">
        <v>871</v>
      </c>
      <c r="B3897" s="487" t="s">
        <v>870</v>
      </c>
      <c r="C3897" s="488" t="s">
        <v>13048</v>
      </c>
      <c r="D3897" s="489" t="s">
        <v>13049</v>
      </c>
      <c r="E3897" s="487" t="s">
        <v>13050</v>
      </c>
      <c r="F3897" s="490">
        <v>0</v>
      </c>
      <c r="G3897" s="489">
        <v>0</v>
      </c>
      <c r="H3897" s="489">
        <v>0</v>
      </c>
      <c r="I3897" s="487" t="s">
        <v>2465</v>
      </c>
      <c r="J3897" s="487" t="s">
        <v>872</v>
      </c>
    </row>
    <row r="3898" spans="1:10" ht="15" x14ac:dyDescent="0.2">
      <c r="A3898" s="486" t="s">
        <v>871</v>
      </c>
      <c r="B3898" s="487" t="s">
        <v>870</v>
      </c>
      <c r="C3898" s="488" t="s">
        <v>13051</v>
      </c>
      <c r="D3898" s="489" t="s">
        <v>13052</v>
      </c>
      <c r="E3898" s="487" t="s">
        <v>13053</v>
      </c>
      <c r="F3898" s="490">
        <v>18450</v>
      </c>
      <c r="G3898" s="489">
        <v>216.56</v>
      </c>
      <c r="H3898" s="489">
        <v>85.195790000000002</v>
      </c>
      <c r="I3898" s="487" t="s">
        <v>1499</v>
      </c>
      <c r="J3898" s="487" t="s">
        <v>872</v>
      </c>
    </row>
    <row r="3899" spans="1:10" ht="15" x14ac:dyDescent="0.2">
      <c r="A3899" s="486" t="s">
        <v>871</v>
      </c>
      <c r="B3899" s="487" t="s">
        <v>870</v>
      </c>
      <c r="C3899" s="488" t="s">
        <v>13054</v>
      </c>
      <c r="D3899" s="489" t="s">
        <v>13055</v>
      </c>
      <c r="E3899" s="487" t="s">
        <v>13056</v>
      </c>
      <c r="F3899" s="490">
        <v>0</v>
      </c>
      <c r="G3899" s="489">
        <v>0</v>
      </c>
      <c r="H3899" s="489">
        <v>0</v>
      </c>
      <c r="I3899" s="487" t="s">
        <v>2465</v>
      </c>
      <c r="J3899" s="487" t="s">
        <v>872</v>
      </c>
    </row>
    <row r="3900" spans="1:10" ht="15" x14ac:dyDescent="0.2">
      <c r="A3900" s="486" t="s">
        <v>871</v>
      </c>
      <c r="B3900" s="487" t="s">
        <v>870</v>
      </c>
      <c r="C3900" s="488" t="s">
        <v>13057</v>
      </c>
      <c r="D3900" s="489" t="s">
        <v>13058</v>
      </c>
      <c r="E3900" s="487" t="s">
        <v>13059</v>
      </c>
      <c r="F3900" s="490">
        <v>8555</v>
      </c>
      <c r="G3900" s="489">
        <v>150.24</v>
      </c>
      <c r="H3900" s="489">
        <v>56.942230000000002</v>
      </c>
      <c r="I3900" s="487" t="s">
        <v>1499</v>
      </c>
      <c r="J3900" s="487" t="s">
        <v>872</v>
      </c>
    </row>
    <row r="3901" spans="1:10" ht="15" x14ac:dyDescent="0.2">
      <c r="A3901" s="486" t="s">
        <v>871</v>
      </c>
      <c r="B3901" s="487" t="s">
        <v>870</v>
      </c>
      <c r="C3901" s="488" t="s">
        <v>13060</v>
      </c>
      <c r="D3901" s="489" t="s">
        <v>13061</v>
      </c>
      <c r="E3901" s="487" t="s">
        <v>13062</v>
      </c>
      <c r="F3901" s="490">
        <v>0</v>
      </c>
      <c r="G3901" s="489">
        <v>0</v>
      </c>
      <c r="H3901" s="489">
        <v>0</v>
      </c>
      <c r="I3901" s="487" t="s">
        <v>2465</v>
      </c>
      <c r="J3901" s="487" t="s">
        <v>872</v>
      </c>
    </row>
    <row r="3902" spans="1:10" ht="15" x14ac:dyDescent="0.2">
      <c r="A3902" s="486" t="s">
        <v>871</v>
      </c>
      <c r="B3902" s="487" t="s">
        <v>870</v>
      </c>
      <c r="C3902" s="488" t="s">
        <v>13063</v>
      </c>
      <c r="D3902" s="489" t="s">
        <v>13064</v>
      </c>
      <c r="E3902" s="487" t="s">
        <v>13065</v>
      </c>
      <c r="F3902" s="490">
        <v>0</v>
      </c>
      <c r="G3902" s="489">
        <v>0</v>
      </c>
      <c r="H3902" s="489">
        <v>0</v>
      </c>
      <c r="I3902" s="487" t="s">
        <v>2465</v>
      </c>
      <c r="J3902" s="487" t="s">
        <v>872</v>
      </c>
    </row>
    <row r="3903" spans="1:10" ht="15" x14ac:dyDescent="0.2">
      <c r="A3903" s="486" t="s">
        <v>871</v>
      </c>
      <c r="B3903" s="487" t="s">
        <v>870</v>
      </c>
      <c r="C3903" s="488" t="s">
        <v>13066</v>
      </c>
      <c r="D3903" s="489" t="s">
        <v>13067</v>
      </c>
      <c r="E3903" s="487" t="s">
        <v>13068</v>
      </c>
      <c r="F3903" s="490">
        <v>0</v>
      </c>
      <c r="G3903" s="489">
        <v>0</v>
      </c>
      <c r="H3903" s="489">
        <v>0</v>
      </c>
      <c r="I3903" s="487" t="s">
        <v>2465</v>
      </c>
      <c r="J3903" s="487" t="s">
        <v>872</v>
      </c>
    </row>
    <row r="3904" spans="1:10" ht="15" x14ac:dyDescent="0.2">
      <c r="A3904" s="486" t="s">
        <v>871</v>
      </c>
      <c r="B3904" s="487" t="s">
        <v>870</v>
      </c>
      <c r="C3904" s="488" t="s">
        <v>13069</v>
      </c>
      <c r="D3904" s="489" t="s">
        <v>13070</v>
      </c>
      <c r="E3904" s="487" t="s">
        <v>13071</v>
      </c>
      <c r="F3904" s="490">
        <v>0</v>
      </c>
      <c r="G3904" s="489">
        <v>0</v>
      </c>
      <c r="H3904" s="489">
        <v>0</v>
      </c>
      <c r="I3904" s="487" t="s">
        <v>2465</v>
      </c>
      <c r="J3904" s="487" t="s">
        <v>872</v>
      </c>
    </row>
    <row r="3905" spans="1:10" ht="15" x14ac:dyDescent="0.2">
      <c r="A3905" s="486" t="s">
        <v>871</v>
      </c>
      <c r="B3905" s="487" t="s">
        <v>870</v>
      </c>
      <c r="C3905" s="488" t="s">
        <v>13072</v>
      </c>
      <c r="D3905" s="489" t="s">
        <v>13073</v>
      </c>
      <c r="E3905" s="487" t="s">
        <v>13074</v>
      </c>
      <c r="F3905" s="490">
        <v>0</v>
      </c>
      <c r="G3905" s="489">
        <v>0</v>
      </c>
      <c r="H3905" s="489">
        <v>0</v>
      </c>
      <c r="I3905" s="487" t="s">
        <v>2465</v>
      </c>
      <c r="J3905" s="487" t="s">
        <v>872</v>
      </c>
    </row>
    <row r="3906" spans="1:10" ht="15" x14ac:dyDescent="0.2">
      <c r="A3906" s="486" t="s">
        <v>546</v>
      </c>
      <c r="B3906" s="487" t="s">
        <v>545</v>
      </c>
      <c r="C3906" s="488" t="s">
        <v>13075</v>
      </c>
      <c r="D3906" s="489" t="s">
        <v>13076</v>
      </c>
      <c r="E3906" s="487" t="s">
        <v>13077</v>
      </c>
      <c r="F3906" s="490">
        <v>246280</v>
      </c>
      <c r="G3906" s="489">
        <v>2395.4</v>
      </c>
      <c r="H3906" s="489">
        <v>102.81373000000001</v>
      </c>
      <c r="I3906" s="487" t="s">
        <v>1499</v>
      </c>
      <c r="J3906" s="487" t="s">
        <v>547</v>
      </c>
    </row>
    <row r="3907" spans="1:10" ht="15" x14ac:dyDescent="0.2">
      <c r="A3907" s="486" t="s">
        <v>546</v>
      </c>
      <c r="B3907" s="487" t="s">
        <v>545</v>
      </c>
      <c r="C3907" s="488" t="s">
        <v>13078</v>
      </c>
      <c r="D3907" s="489" t="s">
        <v>13079</v>
      </c>
      <c r="E3907" s="487" t="s">
        <v>13080</v>
      </c>
      <c r="F3907" s="490">
        <v>78500</v>
      </c>
      <c r="G3907" s="489">
        <v>1040.0999999999999</v>
      </c>
      <c r="H3907" s="489">
        <v>75.473510000000005</v>
      </c>
      <c r="I3907" s="487" t="s">
        <v>1499</v>
      </c>
      <c r="J3907" s="487" t="s">
        <v>547</v>
      </c>
    </row>
    <row r="3908" spans="1:10" ht="15" x14ac:dyDescent="0.2">
      <c r="A3908" s="486" t="s">
        <v>546</v>
      </c>
      <c r="B3908" s="487" t="s">
        <v>545</v>
      </c>
      <c r="C3908" s="488" t="s">
        <v>13081</v>
      </c>
      <c r="D3908" s="489" t="s">
        <v>13082</v>
      </c>
      <c r="E3908" s="487" t="s">
        <v>13083</v>
      </c>
      <c r="F3908" s="490">
        <v>75000</v>
      </c>
      <c r="G3908" s="489">
        <v>1245.4000000000001</v>
      </c>
      <c r="H3908" s="489">
        <v>60.221620000000001</v>
      </c>
      <c r="I3908" s="487" t="s">
        <v>1499</v>
      </c>
      <c r="J3908" s="487" t="s">
        <v>547</v>
      </c>
    </row>
    <row r="3909" spans="1:10" ht="15" x14ac:dyDescent="0.2">
      <c r="A3909" s="486" t="s">
        <v>546</v>
      </c>
      <c r="B3909" s="487" t="s">
        <v>545</v>
      </c>
      <c r="C3909" s="488" t="s">
        <v>13084</v>
      </c>
      <c r="D3909" s="489" t="s">
        <v>13085</v>
      </c>
      <c r="E3909" s="487" t="s">
        <v>13086</v>
      </c>
      <c r="F3909" s="490">
        <v>9724</v>
      </c>
      <c r="G3909" s="489">
        <v>264.5</v>
      </c>
      <c r="H3909" s="489">
        <v>36.763710000000003</v>
      </c>
      <c r="I3909" s="487" t="s">
        <v>1499</v>
      </c>
      <c r="J3909" s="487" t="s">
        <v>547</v>
      </c>
    </row>
    <row r="3910" spans="1:10" ht="15" x14ac:dyDescent="0.2">
      <c r="A3910" s="486" t="s">
        <v>546</v>
      </c>
      <c r="B3910" s="487" t="s">
        <v>545</v>
      </c>
      <c r="C3910" s="488" t="s">
        <v>13087</v>
      </c>
      <c r="D3910" s="489" t="s">
        <v>13088</v>
      </c>
      <c r="E3910" s="487" t="s">
        <v>13089</v>
      </c>
      <c r="F3910" s="490">
        <v>17276</v>
      </c>
      <c r="G3910" s="489">
        <v>474.4</v>
      </c>
      <c r="H3910" s="489">
        <v>36.416530000000002</v>
      </c>
      <c r="I3910" s="487" t="s">
        <v>1499</v>
      </c>
      <c r="J3910" s="487" t="s">
        <v>547</v>
      </c>
    </row>
    <row r="3911" spans="1:10" ht="15" x14ac:dyDescent="0.2">
      <c r="A3911" s="486" t="s">
        <v>546</v>
      </c>
      <c r="B3911" s="487" t="s">
        <v>545</v>
      </c>
      <c r="C3911" s="488" t="s">
        <v>13090</v>
      </c>
      <c r="D3911" s="489" t="s">
        <v>13091</v>
      </c>
      <c r="E3911" s="487" t="s">
        <v>13092</v>
      </c>
      <c r="F3911" s="490">
        <v>16725</v>
      </c>
      <c r="G3911" s="489">
        <v>220.6</v>
      </c>
      <c r="H3911" s="489">
        <v>75.815960000000004</v>
      </c>
      <c r="I3911" s="487" t="s">
        <v>1499</v>
      </c>
      <c r="J3911" s="487" t="s">
        <v>547</v>
      </c>
    </row>
    <row r="3912" spans="1:10" ht="15" x14ac:dyDescent="0.2">
      <c r="A3912" s="486" t="s">
        <v>546</v>
      </c>
      <c r="B3912" s="487" t="s">
        <v>545</v>
      </c>
      <c r="C3912" s="488" t="s">
        <v>13093</v>
      </c>
      <c r="D3912" s="489" t="s">
        <v>13094</v>
      </c>
      <c r="E3912" s="487" t="s">
        <v>13095</v>
      </c>
      <c r="F3912" s="490">
        <v>51735</v>
      </c>
      <c r="G3912" s="489">
        <v>2348</v>
      </c>
      <c r="H3912" s="489">
        <v>22.033650000000002</v>
      </c>
      <c r="I3912" s="487" t="s">
        <v>1499</v>
      </c>
      <c r="J3912" s="487" t="s">
        <v>547</v>
      </c>
    </row>
    <row r="3913" spans="1:10" ht="15" x14ac:dyDescent="0.2">
      <c r="A3913" s="486" t="s">
        <v>546</v>
      </c>
      <c r="B3913" s="487" t="s">
        <v>545</v>
      </c>
      <c r="C3913" s="488" t="s">
        <v>13096</v>
      </c>
      <c r="D3913" s="489" t="s">
        <v>13097</v>
      </c>
      <c r="E3913" s="487" t="s">
        <v>13098</v>
      </c>
      <c r="F3913" s="490">
        <v>49850</v>
      </c>
      <c r="G3913" s="489">
        <v>570.70000000000005</v>
      </c>
      <c r="H3913" s="489">
        <v>87.348870000000005</v>
      </c>
      <c r="I3913" s="487" t="s">
        <v>1499</v>
      </c>
      <c r="J3913" s="487" t="s">
        <v>547</v>
      </c>
    </row>
    <row r="3914" spans="1:10" ht="15" x14ac:dyDescent="0.2">
      <c r="A3914" s="486" t="s">
        <v>546</v>
      </c>
      <c r="B3914" s="487" t="s">
        <v>545</v>
      </c>
      <c r="C3914" s="488" t="s">
        <v>13099</v>
      </c>
      <c r="D3914" s="489" t="s">
        <v>13100</v>
      </c>
      <c r="E3914" s="487" t="s">
        <v>13101</v>
      </c>
      <c r="F3914" s="490">
        <v>64440</v>
      </c>
      <c r="G3914" s="489">
        <v>1274</v>
      </c>
      <c r="H3914" s="489">
        <v>50.580849999999998</v>
      </c>
      <c r="I3914" s="487" t="s">
        <v>1499</v>
      </c>
      <c r="J3914" s="487" t="s">
        <v>547</v>
      </c>
    </row>
    <row r="3915" spans="1:10" ht="15" x14ac:dyDescent="0.2">
      <c r="A3915" s="486" t="s">
        <v>546</v>
      </c>
      <c r="B3915" s="487" t="s">
        <v>545</v>
      </c>
      <c r="C3915" s="488" t="s">
        <v>13102</v>
      </c>
      <c r="D3915" s="489" t="s">
        <v>13103</v>
      </c>
      <c r="E3915" s="487" t="s">
        <v>13104</v>
      </c>
      <c r="F3915" s="490">
        <v>13970</v>
      </c>
      <c r="G3915" s="489">
        <v>414</v>
      </c>
      <c r="H3915" s="489">
        <v>33.743960000000001</v>
      </c>
      <c r="I3915" s="487" t="s">
        <v>1499</v>
      </c>
      <c r="J3915" s="487" t="s">
        <v>547</v>
      </c>
    </row>
    <row r="3916" spans="1:10" ht="15" x14ac:dyDescent="0.2">
      <c r="A3916" s="486" t="s">
        <v>546</v>
      </c>
      <c r="B3916" s="487" t="s">
        <v>545</v>
      </c>
      <c r="C3916" s="488" t="s">
        <v>13105</v>
      </c>
      <c r="D3916" s="489" t="s">
        <v>13106</v>
      </c>
      <c r="E3916" s="487" t="s">
        <v>13107</v>
      </c>
      <c r="F3916" s="490">
        <v>12972</v>
      </c>
      <c r="G3916" s="489">
        <v>317.89999999999998</v>
      </c>
      <c r="H3916" s="489">
        <v>40.805280000000003</v>
      </c>
      <c r="I3916" s="487" t="s">
        <v>1499</v>
      </c>
      <c r="J3916" s="487" t="s">
        <v>547</v>
      </c>
    </row>
    <row r="3917" spans="1:10" ht="15" x14ac:dyDescent="0.2">
      <c r="A3917" s="486" t="s">
        <v>546</v>
      </c>
      <c r="B3917" s="487" t="s">
        <v>545</v>
      </c>
      <c r="C3917" s="488" t="s">
        <v>13108</v>
      </c>
      <c r="D3917" s="489" t="s">
        <v>13109</v>
      </c>
      <c r="E3917" s="487" t="s">
        <v>13110</v>
      </c>
      <c r="F3917" s="490">
        <v>2584</v>
      </c>
      <c r="G3917" s="489">
        <v>49.1</v>
      </c>
      <c r="H3917" s="489">
        <v>52.627290000000002</v>
      </c>
      <c r="I3917" s="487" t="s">
        <v>1499</v>
      </c>
      <c r="J3917" s="487" t="s">
        <v>547</v>
      </c>
    </row>
    <row r="3918" spans="1:10" ht="15" x14ac:dyDescent="0.2">
      <c r="A3918" s="486" t="s">
        <v>546</v>
      </c>
      <c r="B3918" s="487" t="s">
        <v>545</v>
      </c>
      <c r="C3918" s="488" t="s">
        <v>13111</v>
      </c>
      <c r="D3918" s="489" t="s">
        <v>13112</v>
      </c>
      <c r="E3918" s="487" t="s">
        <v>13113</v>
      </c>
      <c r="F3918" s="490">
        <v>260400</v>
      </c>
      <c r="G3918" s="489">
        <v>3227.2</v>
      </c>
      <c r="H3918" s="489">
        <v>80.689139999999995</v>
      </c>
      <c r="I3918" s="487" t="s">
        <v>1499</v>
      </c>
      <c r="J3918" s="487" t="s">
        <v>547</v>
      </c>
    </row>
    <row r="3919" spans="1:10" ht="15" x14ac:dyDescent="0.2">
      <c r="A3919" s="486" t="s">
        <v>546</v>
      </c>
      <c r="B3919" s="487" t="s">
        <v>545</v>
      </c>
      <c r="C3919" s="488" t="s">
        <v>13114</v>
      </c>
      <c r="D3919" s="489" t="s">
        <v>13115</v>
      </c>
      <c r="E3919" s="487" t="s">
        <v>13116</v>
      </c>
      <c r="F3919" s="490">
        <v>16760</v>
      </c>
      <c r="G3919" s="489">
        <v>266.7</v>
      </c>
      <c r="H3919" s="489">
        <v>62.842140000000001</v>
      </c>
      <c r="I3919" s="487" t="s">
        <v>1499</v>
      </c>
      <c r="J3919" s="487" t="s">
        <v>547</v>
      </c>
    </row>
    <row r="3920" spans="1:10" ht="15" x14ac:dyDescent="0.2">
      <c r="A3920" s="486" t="s">
        <v>546</v>
      </c>
      <c r="B3920" s="487" t="s">
        <v>545</v>
      </c>
      <c r="C3920" s="488" t="s">
        <v>13117</v>
      </c>
      <c r="D3920" s="489" t="s">
        <v>13118</v>
      </c>
      <c r="E3920" s="487" t="s">
        <v>13119</v>
      </c>
      <c r="F3920" s="490">
        <v>55000</v>
      </c>
      <c r="G3920" s="489">
        <v>2144.6999999999998</v>
      </c>
      <c r="H3920" s="489">
        <v>25.64461</v>
      </c>
      <c r="I3920" s="487" t="s">
        <v>1499</v>
      </c>
      <c r="J3920" s="487" t="s">
        <v>547</v>
      </c>
    </row>
    <row r="3921" spans="1:10" ht="15" x14ac:dyDescent="0.2">
      <c r="A3921" s="486" t="s">
        <v>546</v>
      </c>
      <c r="B3921" s="487" t="s">
        <v>545</v>
      </c>
      <c r="C3921" s="488" t="s">
        <v>13120</v>
      </c>
      <c r="D3921" s="489" t="s">
        <v>13121</v>
      </c>
      <c r="E3921" s="487" t="s">
        <v>13122</v>
      </c>
      <c r="F3921" s="490">
        <v>59000</v>
      </c>
      <c r="G3921" s="489">
        <v>672.1</v>
      </c>
      <c r="H3921" s="489">
        <v>87.784559999999999</v>
      </c>
      <c r="I3921" s="487" t="s">
        <v>1499</v>
      </c>
      <c r="J3921" s="487" t="s">
        <v>547</v>
      </c>
    </row>
    <row r="3922" spans="1:10" ht="15" x14ac:dyDescent="0.2">
      <c r="A3922" s="486" t="s">
        <v>546</v>
      </c>
      <c r="B3922" s="487" t="s">
        <v>545</v>
      </c>
      <c r="C3922" s="488" t="s">
        <v>13123</v>
      </c>
      <c r="D3922" s="489" t="s">
        <v>13124</v>
      </c>
      <c r="E3922" s="487" t="s">
        <v>4350</v>
      </c>
      <c r="F3922" s="490">
        <v>64985</v>
      </c>
      <c r="G3922" s="489">
        <v>1933.6</v>
      </c>
      <c r="H3922" s="489">
        <v>33.6083</v>
      </c>
      <c r="I3922" s="487" t="s">
        <v>1499</v>
      </c>
      <c r="J3922" s="487" t="s">
        <v>547</v>
      </c>
    </row>
    <row r="3923" spans="1:10" ht="15" x14ac:dyDescent="0.2">
      <c r="A3923" s="486" t="s">
        <v>546</v>
      </c>
      <c r="B3923" s="487" t="s">
        <v>545</v>
      </c>
      <c r="C3923" s="488" t="s">
        <v>13125</v>
      </c>
      <c r="D3923" s="489" t="s">
        <v>13126</v>
      </c>
      <c r="E3923" s="487" t="s">
        <v>13127</v>
      </c>
      <c r="F3923" s="490">
        <v>7600</v>
      </c>
      <c r="G3923" s="489">
        <v>386.7</v>
      </c>
      <c r="H3923" s="489">
        <v>19.653479999999998</v>
      </c>
      <c r="I3923" s="487" t="s">
        <v>1499</v>
      </c>
      <c r="J3923" s="487" t="s">
        <v>547</v>
      </c>
    </row>
    <row r="3924" spans="1:10" ht="15" x14ac:dyDescent="0.2">
      <c r="A3924" s="486" t="s">
        <v>546</v>
      </c>
      <c r="B3924" s="487" t="s">
        <v>545</v>
      </c>
      <c r="C3924" s="488" t="s">
        <v>13128</v>
      </c>
      <c r="D3924" s="489" t="s">
        <v>13129</v>
      </c>
      <c r="E3924" s="487" t="s">
        <v>13130</v>
      </c>
      <c r="F3924" s="490">
        <v>271000</v>
      </c>
      <c r="G3924" s="489">
        <v>4848.1000000000004</v>
      </c>
      <c r="H3924" s="489">
        <v>55.89819</v>
      </c>
      <c r="I3924" s="487" t="s">
        <v>1499</v>
      </c>
      <c r="J3924" s="487" t="s">
        <v>547</v>
      </c>
    </row>
    <row r="3925" spans="1:10" ht="15" x14ac:dyDescent="0.2">
      <c r="A3925" s="486" t="s">
        <v>1113</v>
      </c>
      <c r="B3925" s="487" t="s">
        <v>1112</v>
      </c>
      <c r="C3925" s="488" t="s">
        <v>13131</v>
      </c>
      <c r="D3925" s="489" t="s">
        <v>13132</v>
      </c>
      <c r="E3925" s="487" t="s">
        <v>13133</v>
      </c>
      <c r="F3925" s="490">
        <v>60000</v>
      </c>
      <c r="G3925" s="489">
        <v>382.1</v>
      </c>
      <c r="H3925" s="489">
        <v>157.02696</v>
      </c>
      <c r="I3925" s="487" t="s">
        <v>1499</v>
      </c>
      <c r="J3925" s="487" t="s">
        <v>1114</v>
      </c>
    </row>
    <row r="3926" spans="1:10" ht="15" x14ac:dyDescent="0.2">
      <c r="A3926" s="486" t="s">
        <v>1410</v>
      </c>
      <c r="B3926" s="487" t="s">
        <v>1409</v>
      </c>
      <c r="C3926" s="488" t="s">
        <v>13134</v>
      </c>
      <c r="D3926" s="489" t="s">
        <v>13135</v>
      </c>
      <c r="E3926" s="487" t="s">
        <v>13136</v>
      </c>
      <c r="F3926" s="490">
        <v>48254</v>
      </c>
      <c r="G3926" s="489">
        <v>2189.1</v>
      </c>
      <c r="H3926" s="489">
        <v>22.042850000000001</v>
      </c>
      <c r="I3926" s="487" t="s">
        <v>1499</v>
      </c>
      <c r="J3926" s="487" t="s">
        <v>1411</v>
      </c>
    </row>
    <row r="3927" spans="1:10" ht="15" x14ac:dyDescent="0.2">
      <c r="A3927" s="486" t="s">
        <v>1410</v>
      </c>
      <c r="B3927" s="487" t="s">
        <v>1409</v>
      </c>
      <c r="C3927" s="488" t="s">
        <v>13137</v>
      </c>
      <c r="D3927" s="489" t="s">
        <v>13138</v>
      </c>
      <c r="E3927" s="487" t="s">
        <v>13139</v>
      </c>
      <c r="F3927" s="490">
        <v>121436</v>
      </c>
      <c r="G3927" s="489">
        <v>4069.9</v>
      </c>
      <c r="H3927" s="489">
        <v>29.837589999999999</v>
      </c>
      <c r="I3927" s="487" t="s">
        <v>1499</v>
      </c>
      <c r="J3927" s="487" t="s">
        <v>1411</v>
      </c>
    </row>
    <row r="3928" spans="1:10" ht="15" x14ac:dyDescent="0.2">
      <c r="A3928" s="486" t="s">
        <v>1416</v>
      </c>
      <c r="B3928" s="487" t="s">
        <v>1415</v>
      </c>
      <c r="C3928" s="488" t="s">
        <v>13140</v>
      </c>
      <c r="D3928" s="489" t="s">
        <v>13141</v>
      </c>
      <c r="E3928" s="487" t="s">
        <v>13142</v>
      </c>
      <c r="F3928" s="490">
        <v>0</v>
      </c>
      <c r="G3928" s="489">
        <v>35.1</v>
      </c>
      <c r="H3928" s="489">
        <v>0</v>
      </c>
      <c r="I3928" s="487" t="s">
        <v>1593</v>
      </c>
      <c r="J3928" s="487" t="s">
        <v>1417</v>
      </c>
    </row>
    <row r="3929" spans="1:10" ht="15" x14ac:dyDescent="0.2">
      <c r="A3929" s="486" t="s">
        <v>1416</v>
      </c>
      <c r="B3929" s="487" t="s">
        <v>1415</v>
      </c>
      <c r="C3929" s="488" t="s">
        <v>13143</v>
      </c>
      <c r="D3929" s="489" t="s">
        <v>13144</v>
      </c>
      <c r="E3929" s="487" t="s">
        <v>13145</v>
      </c>
      <c r="F3929" s="490">
        <v>5030</v>
      </c>
      <c r="G3929" s="489">
        <v>89.7</v>
      </c>
      <c r="H3929" s="489">
        <v>56.075809999999997</v>
      </c>
      <c r="I3929" s="487" t="s">
        <v>1499</v>
      </c>
      <c r="J3929" s="487" t="s">
        <v>1417</v>
      </c>
    </row>
    <row r="3930" spans="1:10" ht="15" x14ac:dyDescent="0.2">
      <c r="A3930" s="486" t="s">
        <v>1416</v>
      </c>
      <c r="B3930" s="487" t="s">
        <v>1415</v>
      </c>
      <c r="C3930" s="488" t="s">
        <v>13146</v>
      </c>
      <c r="D3930" s="489" t="s">
        <v>13147</v>
      </c>
      <c r="E3930" s="487" t="s">
        <v>13148</v>
      </c>
      <c r="F3930" s="490">
        <v>0</v>
      </c>
      <c r="G3930" s="489">
        <v>0</v>
      </c>
      <c r="H3930" s="489">
        <v>0</v>
      </c>
      <c r="I3930" s="487" t="s">
        <v>2465</v>
      </c>
      <c r="J3930" s="487" t="s">
        <v>1417</v>
      </c>
    </row>
    <row r="3931" spans="1:10" ht="15" x14ac:dyDescent="0.2">
      <c r="A3931" s="486" t="s">
        <v>1416</v>
      </c>
      <c r="B3931" s="487" t="s">
        <v>1415</v>
      </c>
      <c r="C3931" s="488" t="s">
        <v>13149</v>
      </c>
      <c r="D3931" s="489" t="s">
        <v>13150</v>
      </c>
      <c r="E3931" s="487" t="s">
        <v>13151</v>
      </c>
      <c r="F3931" s="490">
        <v>20640</v>
      </c>
      <c r="G3931" s="489">
        <v>382.2</v>
      </c>
      <c r="H3931" s="489">
        <v>54.003140000000002</v>
      </c>
      <c r="I3931" s="487" t="s">
        <v>1499</v>
      </c>
      <c r="J3931" s="487" t="s">
        <v>1417</v>
      </c>
    </row>
    <row r="3932" spans="1:10" ht="15" x14ac:dyDescent="0.2">
      <c r="A3932" s="486" t="s">
        <v>1416</v>
      </c>
      <c r="B3932" s="487" t="s">
        <v>1415</v>
      </c>
      <c r="C3932" s="488" t="s">
        <v>13152</v>
      </c>
      <c r="D3932" s="489" t="s">
        <v>13153</v>
      </c>
      <c r="E3932" s="487" t="s">
        <v>13154</v>
      </c>
      <c r="F3932" s="490">
        <v>0</v>
      </c>
      <c r="G3932" s="489">
        <v>0</v>
      </c>
      <c r="H3932" s="489">
        <v>0</v>
      </c>
      <c r="I3932" s="487" t="s">
        <v>2465</v>
      </c>
      <c r="J3932" s="487" t="s">
        <v>1417</v>
      </c>
    </row>
    <row r="3933" spans="1:10" ht="15" x14ac:dyDescent="0.2">
      <c r="A3933" s="486" t="s">
        <v>1416</v>
      </c>
      <c r="B3933" s="487" t="s">
        <v>1415</v>
      </c>
      <c r="C3933" s="488" t="s">
        <v>13155</v>
      </c>
      <c r="D3933" s="489" t="s">
        <v>13156</v>
      </c>
      <c r="E3933" s="487" t="s">
        <v>13157</v>
      </c>
      <c r="F3933" s="490">
        <v>86747</v>
      </c>
      <c r="G3933" s="489">
        <v>1274.33</v>
      </c>
      <c r="H3933" s="489">
        <v>68.072630000000004</v>
      </c>
      <c r="I3933" s="487" t="s">
        <v>2465</v>
      </c>
      <c r="J3933" s="487" t="s">
        <v>1417</v>
      </c>
    </row>
    <row r="3934" spans="1:10" ht="15" x14ac:dyDescent="0.2">
      <c r="A3934" s="486" t="s">
        <v>1416</v>
      </c>
      <c r="B3934" s="487" t="s">
        <v>1415</v>
      </c>
      <c r="C3934" s="488" t="s">
        <v>13158</v>
      </c>
      <c r="D3934" s="489" t="s">
        <v>13159</v>
      </c>
      <c r="E3934" s="487" t="s">
        <v>13160</v>
      </c>
      <c r="F3934" s="490">
        <v>16000</v>
      </c>
      <c r="G3934" s="489">
        <v>289.58</v>
      </c>
      <c r="H3934" s="489">
        <v>55.252429999999997</v>
      </c>
      <c r="I3934" s="487" t="s">
        <v>1499</v>
      </c>
      <c r="J3934" s="487" t="s">
        <v>1417</v>
      </c>
    </row>
    <row r="3935" spans="1:10" ht="15" x14ac:dyDescent="0.2">
      <c r="A3935" s="486" t="s">
        <v>1416</v>
      </c>
      <c r="B3935" s="487" t="s">
        <v>1415</v>
      </c>
      <c r="C3935" s="488" t="s">
        <v>13161</v>
      </c>
      <c r="D3935" s="489" t="s">
        <v>13162</v>
      </c>
      <c r="E3935" s="487" t="s">
        <v>13163</v>
      </c>
      <c r="F3935" s="490">
        <v>0</v>
      </c>
      <c r="G3935" s="489">
        <v>0</v>
      </c>
      <c r="H3935" s="489">
        <v>0</v>
      </c>
      <c r="I3935" s="487" t="s">
        <v>2465</v>
      </c>
      <c r="J3935" s="487" t="s">
        <v>1417</v>
      </c>
    </row>
    <row r="3936" spans="1:10" ht="15" x14ac:dyDescent="0.2">
      <c r="A3936" s="486" t="s">
        <v>1416</v>
      </c>
      <c r="B3936" s="487" t="s">
        <v>1415</v>
      </c>
      <c r="C3936" s="488" t="s">
        <v>13164</v>
      </c>
      <c r="D3936" s="489" t="s">
        <v>13165</v>
      </c>
      <c r="E3936" s="487" t="s">
        <v>13166</v>
      </c>
      <c r="F3936" s="490">
        <v>0</v>
      </c>
      <c r="G3936" s="489">
        <v>33.15</v>
      </c>
      <c r="H3936" s="489">
        <v>0</v>
      </c>
      <c r="I3936" s="487" t="s">
        <v>1593</v>
      </c>
      <c r="J3936" s="487" t="s">
        <v>1417</v>
      </c>
    </row>
    <row r="3937" spans="1:10" ht="15" x14ac:dyDescent="0.2">
      <c r="A3937" s="486" t="s">
        <v>1416</v>
      </c>
      <c r="B3937" s="487" t="s">
        <v>1415</v>
      </c>
      <c r="C3937" s="488" t="s">
        <v>13167</v>
      </c>
      <c r="D3937" s="489" t="s">
        <v>13168</v>
      </c>
      <c r="E3937" s="487" t="s">
        <v>13169</v>
      </c>
      <c r="F3937" s="490">
        <v>7125</v>
      </c>
      <c r="G3937" s="489">
        <v>172.58</v>
      </c>
      <c r="H3937" s="489">
        <v>41.285200000000003</v>
      </c>
      <c r="I3937" s="487" t="s">
        <v>1499</v>
      </c>
      <c r="J3937" s="487" t="s">
        <v>1417</v>
      </c>
    </row>
    <row r="3938" spans="1:10" ht="15" x14ac:dyDescent="0.2">
      <c r="A3938" s="486" t="s">
        <v>1416</v>
      </c>
      <c r="B3938" s="487" t="s">
        <v>1415</v>
      </c>
      <c r="C3938" s="488" t="s">
        <v>13170</v>
      </c>
      <c r="D3938" s="489" t="s">
        <v>13171</v>
      </c>
      <c r="E3938" s="487" t="s">
        <v>13172</v>
      </c>
      <c r="F3938" s="490">
        <v>23700</v>
      </c>
      <c r="G3938" s="489">
        <v>410.48</v>
      </c>
      <c r="H3938" s="489">
        <v>57.737279999999998</v>
      </c>
      <c r="I3938" s="487" t="s">
        <v>2465</v>
      </c>
      <c r="J3938" s="487" t="s">
        <v>1417</v>
      </c>
    </row>
    <row r="3939" spans="1:10" ht="15" x14ac:dyDescent="0.2">
      <c r="A3939" s="486" t="s">
        <v>1416</v>
      </c>
      <c r="B3939" s="487" t="s">
        <v>1415</v>
      </c>
      <c r="C3939" s="488" t="s">
        <v>13173</v>
      </c>
      <c r="D3939" s="489" t="s">
        <v>13174</v>
      </c>
      <c r="E3939" s="487" t="s">
        <v>13175</v>
      </c>
      <c r="F3939" s="490">
        <v>0</v>
      </c>
      <c r="G3939" s="489">
        <v>10.73</v>
      </c>
      <c r="H3939" s="489">
        <v>0</v>
      </c>
      <c r="I3939" s="487" t="s">
        <v>1593</v>
      </c>
      <c r="J3939" s="487" t="s">
        <v>1417</v>
      </c>
    </row>
    <row r="3940" spans="1:10" ht="15" x14ac:dyDescent="0.2">
      <c r="A3940" s="486" t="s">
        <v>1416</v>
      </c>
      <c r="B3940" s="487" t="s">
        <v>1415</v>
      </c>
      <c r="C3940" s="488" t="s">
        <v>13176</v>
      </c>
      <c r="D3940" s="489" t="s">
        <v>13177</v>
      </c>
      <c r="E3940" s="487" t="s">
        <v>13178</v>
      </c>
      <c r="F3940" s="490">
        <v>0</v>
      </c>
      <c r="G3940" s="489">
        <v>0</v>
      </c>
      <c r="H3940" s="489">
        <v>0</v>
      </c>
      <c r="I3940" s="487" t="s">
        <v>2465</v>
      </c>
      <c r="J3940" s="487" t="s">
        <v>1417</v>
      </c>
    </row>
    <row r="3941" spans="1:10" ht="15" x14ac:dyDescent="0.2">
      <c r="A3941" s="486" t="s">
        <v>1416</v>
      </c>
      <c r="B3941" s="487" t="s">
        <v>1415</v>
      </c>
      <c r="C3941" s="488" t="s">
        <v>13179</v>
      </c>
      <c r="D3941" s="489" t="s">
        <v>13180</v>
      </c>
      <c r="E3941" s="487" t="s">
        <v>13181</v>
      </c>
      <c r="F3941" s="490">
        <v>56847</v>
      </c>
      <c r="G3941" s="489">
        <v>1336.73</v>
      </c>
      <c r="H3941" s="489">
        <v>42.526910000000001</v>
      </c>
      <c r="I3941" s="487" t="s">
        <v>2465</v>
      </c>
      <c r="J3941" s="487" t="s">
        <v>1417</v>
      </c>
    </row>
    <row r="3942" spans="1:10" ht="15" x14ac:dyDescent="0.2">
      <c r="A3942" s="486" t="s">
        <v>1416</v>
      </c>
      <c r="B3942" s="487" t="s">
        <v>1415</v>
      </c>
      <c r="C3942" s="488" t="s">
        <v>13182</v>
      </c>
      <c r="D3942" s="489" t="s">
        <v>13183</v>
      </c>
      <c r="E3942" s="487" t="s">
        <v>13184</v>
      </c>
      <c r="F3942" s="490">
        <v>52859</v>
      </c>
      <c r="G3942" s="489">
        <v>462.15</v>
      </c>
      <c r="H3942" s="489">
        <v>114.37627999999999</v>
      </c>
      <c r="I3942" s="487" t="s">
        <v>1499</v>
      </c>
      <c r="J3942" s="487" t="s">
        <v>1417</v>
      </c>
    </row>
    <row r="3943" spans="1:10" ht="15" x14ac:dyDescent="0.2">
      <c r="A3943" s="486" t="s">
        <v>1416</v>
      </c>
      <c r="B3943" s="487" t="s">
        <v>1415</v>
      </c>
      <c r="C3943" s="488" t="s">
        <v>13185</v>
      </c>
      <c r="D3943" s="489" t="s">
        <v>13186</v>
      </c>
      <c r="E3943" s="487" t="s">
        <v>13187</v>
      </c>
      <c r="F3943" s="490">
        <v>0</v>
      </c>
      <c r="G3943" s="489">
        <v>0</v>
      </c>
      <c r="H3943" s="489">
        <v>0</v>
      </c>
      <c r="I3943" s="487" t="s">
        <v>2465</v>
      </c>
      <c r="J3943" s="487" t="s">
        <v>1417</v>
      </c>
    </row>
    <row r="3944" spans="1:10" ht="15" x14ac:dyDescent="0.2">
      <c r="A3944" s="486" t="s">
        <v>1416</v>
      </c>
      <c r="B3944" s="487" t="s">
        <v>1415</v>
      </c>
      <c r="C3944" s="488" t="s">
        <v>13188</v>
      </c>
      <c r="D3944" s="489" t="s">
        <v>13189</v>
      </c>
      <c r="E3944" s="487" t="s">
        <v>13190</v>
      </c>
      <c r="F3944" s="490">
        <v>127703</v>
      </c>
      <c r="G3944" s="489">
        <v>1777.43</v>
      </c>
      <c r="H3944" s="489">
        <v>71.846990000000005</v>
      </c>
      <c r="I3944" s="487" t="s">
        <v>1499</v>
      </c>
      <c r="J3944" s="487" t="s">
        <v>1417</v>
      </c>
    </row>
    <row r="3945" spans="1:10" ht="15" x14ac:dyDescent="0.2">
      <c r="A3945" s="486" t="s">
        <v>1416</v>
      </c>
      <c r="B3945" s="487" t="s">
        <v>1415</v>
      </c>
      <c r="C3945" s="488" t="s">
        <v>13191</v>
      </c>
      <c r="D3945" s="489" t="s">
        <v>13192</v>
      </c>
      <c r="E3945" s="487" t="s">
        <v>13193</v>
      </c>
      <c r="F3945" s="490">
        <v>1000</v>
      </c>
      <c r="G3945" s="489">
        <v>86.78</v>
      </c>
      <c r="H3945" s="489">
        <v>11.523389999999999</v>
      </c>
      <c r="I3945" s="487" t="s">
        <v>1499</v>
      </c>
      <c r="J3945" s="487" t="s">
        <v>1417</v>
      </c>
    </row>
    <row r="3946" spans="1:10" ht="15" x14ac:dyDescent="0.2">
      <c r="A3946" s="486" t="s">
        <v>1416</v>
      </c>
      <c r="B3946" s="487" t="s">
        <v>1415</v>
      </c>
      <c r="C3946" s="488" t="s">
        <v>13194</v>
      </c>
      <c r="D3946" s="489" t="s">
        <v>13195</v>
      </c>
      <c r="E3946" s="487" t="s">
        <v>12081</v>
      </c>
      <c r="F3946" s="490">
        <v>14621</v>
      </c>
      <c r="G3946" s="489">
        <v>266.18</v>
      </c>
      <c r="H3946" s="489">
        <v>54.929000000000002</v>
      </c>
      <c r="I3946" s="487" t="s">
        <v>1499</v>
      </c>
      <c r="J3946" s="487" t="s">
        <v>1417</v>
      </c>
    </row>
    <row r="3947" spans="1:10" ht="15" x14ac:dyDescent="0.2">
      <c r="A3947" s="486" t="s">
        <v>1416</v>
      </c>
      <c r="B3947" s="487" t="s">
        <v>1415</v>
      </c>
      <c r="C3947" s="488" t="s">
        <v>13196</v>
      </c>
      <c r="D3947" s="489" t="s">
        <v>13197</v>
      </c>
      <c r="E3947" s="487" t="s">
        <v>13198</v>
      </c>
      <c r="F3947" s="490">
        <v>9903</v>
      </c>
      <c r="G3947" s="489">
        <v>362.7</v>
      </c>
      <c r="H3947" s="489">
        <v>27.303560000000001</v>
      </c>
      <c r="I3947" s="487" t="s">
        <v>1499</v>
      </c>
      <c r="J3947" s="487" t="s">
        <v>1417</v>
      </c>
    </row>
    <row r="3948" spans="1:10" ht="15" x14ac:dyDescent="0.2">
      <c r="A3948" s="486" t="s">
        <v>1416</v>
      </c>
      <c r="B3948" s="487" t="s">
        <v>1415</v>
      </c>
      <c r="C3948" s="488" t="s">
        <v>13199</v>
      </c>
      <c r="D3948" s="489" t="s">
        <v>13200</v>
      </c>
      <c r="E3948" s="487" t="s">
        <v>13201</v>
      </c>
      <c r="F3948" s="490">
        <v>13960</v>
      </c>
      <c r="G3948" s="489">
        <v>385.12</v>
      </c>
      <c r="H3948" s="489">
        <v>36.248440000000002</v>
      </c>
      <c r="I3948" s="487" t="s">
        <v>1499</v>
      </c>
      <c r="J3948" s="487" t="s">
        <v>1417</v>
      </c>
    </row>
    <row r="3949" spans="1:10" ht="15" x14ac:dyDescent="0.2">
      <c r="A3949" s="486" t="s">
        <v>1416</v>
      </c>
      <c r="B3949" s="487" t="s">
        <v>1415</v>
      </c>
      <c r="C3949" s="488" t="s">
        <v>13202</v>
      </c>
      <c r="D3949" s="489" t="s">
        <v>13203</v>
      </c>
      <c r="E3949" s="487" t="s">
        <v>1834</v>
      </c>
      <c r="F3949" s="490">
        <v>0</v>
      </c>
      <c r="G3949" s="489">
        <v>14.63</v>
      </c>
      <c r="H3949" s="489">
        <v>0</v>
      </c>
      <c r="I3949" s="487" t="s">
        <v>1593</v>
      </c>
      <c r="J3949" s="487" t="s">
        <v>1417</v>
      </c>
    </row>
    <row r="3950" spans="1:10" ht="15" x14ac:dyDescent="0.2">
      <c r="A3950" s="486" t="s">
        <v>1416</v>
      </c>
      <c r="B3950" s="487" t="s">
        <v>1415</v>
      </c>
      <c r="C3950" s="488" t="s">
        <v>13204</v>
      </c>
      <c r="D3950" s="489" t="s">
        <v>13205</v>
      </c>
      <c r="E3950" s="487" t="s">
        <v>13206</v>
      </c>
      <c r="F3950" s="490">
        <v>27516</v>
      </c>
      <c r="G3950" s="489">
        <v>282.75</v>
      </c>
      <c r="H3950" s="489">
        <v>97.315650000000005</v>
      </c>
      <c r="I3950" s="487" t="s">
        <v>1499</v>
      </c>
      <c r="J3950" s="487" t="s">
        <v>1417</v>
      </c>
    </row>
    <row r="3951" spans="1:10" ht="15" x14ac:dyDescent="0.2">
      <c r="A3951" s="486" t="s">
        <v>1416</v>
      </c>
      <c r="B3951" s="487" t="s">
        <v>1415</v>
      </c>
      <c r="C3951" s="488" t="s">
        <v>13207</v>
      </c>
      <c r="D3951" s="489" t="s">
        <v>13208</v>
      </c>
      <c r="E3951" s="487" t="s">
        <v>13209</v>
      </c>
      <c r="F3951" s="490">
        <v>0</v>
      </c>
      <c r="G3951" s="489">
        <v>0</v>
      </c>
      <c r="H3951" s="489">
        <v>0</v>
      </c>
      <c r="I3951" s="487" t="s">
        <v>2465</v>
      </c>
      <c r="J3951" s="487" t="s">
        <v>1417</v>
      </c>
    </row>
    <row r="3952" spans="1:10" ht="15" x14ac:dyDescent="0.2">
      <c r="A3952" s="486" t="s">
        <v>1416</v>
      </c>
      <c r="B3952" s="487" t="s">
        <v>1415</v>
      </c>
      <c r="C3952" s="488" t="s">
        <v>13210</v>
      </c>
      <c r="D3952" s="489" t="s">
        <v>13211</v>
      </c>
      <c r="E3952" s="487" t="s">
        <v>13212</v>
      </c>
      <c r="F3952" s="490">
        <v>26225</v>
      </c>
      <c r="G3952" s="489">
        <v>585.98</v>
      </c>
      <c r="H3952" s="489">
        <v>44.754089999999998</v>
      </c>
      <c r="I3952" s="487" t="s">
        <v>1499</v>
      </c>
      <c r="J3952" s="487" t="s">
        <v>1417</v>
      </c>
    </row>
    <row r="3953" spans="1:10" ht="15" x14ac:dyDescent="0.2">
      <c r="A3953" s="486" t="s">
        <v>1416</v>
      </c>
      <c r="B3953" s="487" t="s">
        <v>1415</v>
      </c>
      <c r="C3953" s="488" t="s">
        <v>13213</v>
      </c>
      <c r="D3953" s="489" t="s">
        <v>13214</v>
      </c>
      <c r="E3953" s="487" t="s">
        <v>13215</v>
      </c>
      <c r="F3953" s="490">
        <v>9650</v>
      </c>
      <c r="G3953" s="489">
        <v>309.08</v>
      </c>
      <c r="H3953" s="489">
        <v>31.221689999999999</v>
      </c>
      <c r="I3953" s="487" t="s">
        <v>1499</v>
      </c>
      <c r="J3953" s="487" t="s">
        <v>1417</v>
      </c>
    </row>
    <row r="3954" spans="1:10" ht="15" x14ac:dyDescent="0.2">
      <c r="A3954" s="486" t="s">
        <v>1416</v>
      </c>
      <c r="B3954" s="487" t="s">
        <v>1415</v>
      </c>
      <c r="C3954" s="488" t="s">
        <v>13216</v>
      </c>
      <c r="D3954" s="489" t="s">
        <v>13217</v>
      </c>
      <c r="E3954" s="487" t="s">
        <v>13218</v>
      </c>
      <c r="F3954" s="490">
        <v>43057</v>
      </c>
      <c r="G3954" s="489">
        <v>512.85</v>
      </c>
      <c r="H3954" s="489">
        <v>83.956320000000005</v>
      </c>
      <c r="I3954" s="487" t="s">
        <v>1499</v>
      </c>
      <c r="J3954" s="487" t="s">
        <v>1417</v>
      </c>
    </row>
    <row r="3955" spans="1:10" ht="15" x14ac:dyDescent="0.2">
      <c r="A3955" s="486" t="s">
        <v>1416</v>
      </c>
      <c r="B3955" s="487" t="s">
        <v>1415</v>
      </c>
      <c r="C3955" s="488" t="s">
        <v>13219</v>
      </c>
      <c r="D3955" s="489" t="s">
        <v>13220</v>
      </c>
      <c r="E3955" s="487" t="s">
        <v>13221</v>
      </c>
      <c r="F3955" s="490">
        <v>22228</v>
      </c>
      <c r="G3955" s="489">
        <v>463.13</v>
      </c>
      <c r="H3955" s="489">
        <v>47.995159999999998</v>
      </c>
      <c r="I3955" s="487" t="s">
        <v>2465</v>
      </c>
      <c r="J3955" s="487" t="s">
        <v>1417</v>
      </c>
    </row>
    <row r="3956" spans="1:10" ht="15" x14ac:dyDescent="0.2">
      <c r="A3956" s="486" t="s">
        <v>1416</v>
      </c>
      <c r="B3956" s="487" t="s">
        <v>1415</v>
      </c>
      <c r="C3956" s="488" t="s">
        <v>13222</v>
      </c>
      <c r="D3956" s="489" t="s">
        <v>13223</v>
      </c>
      <c r="E3956" s="487" t="s">
        <v>13224</v>
      </c>
      <c r="F3956" s="490">
        <v>89857</v>
      </c>
      <c r="G3956" s="489">
        <v>980.85</v>
      </c>
      <c r="H3956" s="489">
        <v>91.611360000000005</v>
      </c>
      <c r="I3956" s="487" t="s">
        <v>1499</v>
      </c>
      <c r="J3956" s="487" t="s">
        <v>1417</v>
      </c>
    </row>
    <row r="3957" spans="1:10" ht="15" x14ac:dyDescent="0.2">
      <c r="A3957" s="486" t="s">
        <v>1416</v>
      </c>
      <c r="B3957" s="487" t="s">
        <v>1415</v>
      </c>
      <c r="C3957" s="488" t="s">
        <v>13225</v>
      </c>
      <c r="D3957" s="489" t="s">
        <v>13226</v>
      </c>
      <c r="E3957" s="487" t="s">
        <v>13227</v>
      </c>
      <c r="F3957" s="490">
        <v>0</v>
      </c>
      <c r="G3957" s="489">
        <v>0</v>
      </c>
      <c r="H3957" s="489">
        <v>0</v>
      </c>
      <c r="I3957" s="487" t="s">
        <v>2465</v>
      </c>
      <c r="J3957" s="487" t="s">
        <v>1417</v>
      </c>
    </row>
    <row r="3958" spans="1:10" ht="15" x14ac:dyDescent="0.2">
      <c r="A3958" s="486" t="s">
        <v>1416</v>
      </c>
      <c r="B3958" s="487" t="s">
        <v>1415</v>
      </c>
      <c r="C3958" s="488" t="s">
        <v>13228</v>
      </c>
      <c r="D3958" s="489" t="s">
        <v>13229</v>
      </c>
      <c r="E3958" s="487" t="s">
        <v>13230</v>
      </c>
      <c r="F3958" s="490">
        <v>0</v>
      </c>
      <c r="G3958" s="489">
        <v>0</v>
      </c>
      <c r="H3958" s="489">
        <v>0</v>
      </c>
      <c r="I3958" s="487" t="s">
        <v>2465</v>
      </c>
      <c r="J3958" s="487" t="s">
        <v>1417</v>
      </c>
    </row>
    <row r="3959" spans="1:10" ht="15" x14ac:dyDescent="0.2">
      <c r="A3959" s="486" t="s">
        <v>1416</v>
      </c>
      <c r="B3959" s="487" t="s">
        <v>1415</v>
      </c>
      <c r="C3959" s="488" t="s">
        <v>13231</v>
      </c>
      <c r="D3959" s="489" t="s">
        <v>13232</v>
      </c>
      <c r="E3959" s="487" t="s">
        <v>13233</v>
      </c>
      <c r="F3959" s="490">
        <v>25410</v>
      </c>
      <c r="G3959" s="489">
        <v>839.47</v>
      </c>
      <c r="H3959" s="489">
        <v>30.269100000000002</v>
      </c>
      <c r="I3959" s="487" t="s">
        <v>1499</v>
      </c>
      <c r="J3959" s="487" t="s">
        <v>1417</v>
      </c>
    </row>
    <row r="3960" spans="1:10" ht="15" x14ac:dyDescent="0.2">
      <c r="A3960" s="486" t="s">
        <v>1416</v>
      </c>
      <c r="B3960" s="487" t="s">
        <v>1415</v>
      </c>
      <c r="C3960" s="488" t="s">
        <v>13234</v>
      </c>
      <c r="D3960" s="489" t="s">
        <v>13235</v>
      </c>
      <c r="E3960" s="487" t="s">
        <v>13236</v>
      </c>
      <c r="F3960" s="490">
        <v>410000</v>
      </c>
      <c r="G3960" s="489">
        <v>8685.2999999999993</v>
      </c>
      <c r="H3960" s="489">
        <v>47.206200000000003</v>
      </c>
      <c r="I3960" s="487" t="s">
        <v>1499</v>
      </c>
      <c r="J3960" s="487" t="s">
        <v>1417</v>
      </c>
    </row>
    <row r="3961" spans="1:10" ht="15" x14ac:dyDescent="0.2">
      <c r="A3961" s="486" t="s">
        <v>1416</v>
      </c>
      <c r="B3961" s="487" t="s">
        <v>1415</v>
      </c>
      <c r="C3961" s="488" t="s">
        <v>13237</v>
      </c>
      <c r="D3961" s="489" t="s">
        <v>13238</v>
      </c>
      <c r="E3961" s="487" t="s">
        <v>6872</v>
      </c>
      <c r="F3961" s="490">
        <v>41104</v>
      </c>
      <c r="G3961" s="489">
        <v>615.23</v>
      </c>
      <c r="H3961" s="489">
        <v>66.810789999999997</v>
      </c>
      <c r="I3961" s="487" t="s">
        <v>1499</v>
      </c>
      <c r="J3961" s="487" t="s">
        <v>1417</v>
      </c>
    </row>
    <row r="3962" spans="1:10" ht="15" x14ac:dyDescent="0.2">
      <c r="A3962" s="486" t="s">
        <v>1416</v>
      </c>
      <c r="B3962" s="487" t="s">
        <v>1415</v>
      </c>
      <c r="C3962" s="488" t="s">
        <v>13239</v>
      </c>
      <c r="D3962" s="489" t="s">
        <v>13240</v>
      </c>
      <c r="E3962" s="487" t="s">
        <v>763</v>
      </c>
      <c r="F3962" s="490">
        <v>5726</v>
      </c>
      <c r="G3962" s="489">
        <v>265.2</v>
      </c>
      <c r="H3962" s="489">
        <v>21.591249999999999</v>
      </c>
      <c r="I3962" s="487" t="s">
        <v>1499</v>
      </c>
      <c r="J3962" s="487" t="s">
        <v>1417</v>
      </c>
    </row>
    <row r="3963" spans="1:10" ht="15" x14ac:dyDescent="0.2">
      <c r="A3963" s="486" t="s">
        <v>1416</v>
      </c>
      <c r="B3963" s="487" t="s">
        <v>1415</v>
      </c>
      <c r="C3963" s="488" t="s">
        <v>13241</v>
      </c>
      <c r="D3963" s="489" t="s">
        <v>13242</v>
      </c>
      <c r="E3963" s="487" t="s">
        <v>13243</v>
      </c>
      <c r="F3963" s="490">
        <v>23463</v>
      </c>
      <c r="G3963" s="489">
        <v>352.95</v>
      </c>
      <c r="H3963" s="489">
        <v>66.476839999999996</v>
      </c>
      <c r="I3963" s="487" t="s">
        <v>2465</v>
      </c>
      <c r="J3963" s="487" t="s">
        <v>1417</v>
      </c>
    </row>
    <row r="3964" spans="1:10" ht="15" x14ac:dyDescent="0.2">
      <c r="A3964" s="486" t="s">
        <v>1416</v>
      </c>
      <c r="B3964" s="487" t="s">
        <v>1415</v>
      </c>
      <c r="C3964" s="488" t="s">
        <v>13244</v>
      </c>
      <c r="D3964" s="489" t="s">
        <v>13245</v>
      </c>
      <c r="E3964" s="487" t="s">
        <v>13246</v>
      </c>
      <c r="F3964" s="490">
        <v>9863</v>
      </c>
      <c r="G3964" s="489">
        <v>173.55</v>
      </c>
      <c r="H3964" s="489">
        <v>56.830880000000001</v>
      </c>
      <c r="I3964" s="487" t="s">
        <v>1499</v>
      </c>
      <c r="J3964" s="487" t="s">
        <v>1417</v>
      </c>
    </row>
    <row r="3965" spans="1:10" ht="15" x14ac:dyDescent="0.2">
      <c r="A3965" s="486" t="s">
        <v>1416</v>
      </c>
      <c r="B3965" s="487" t="s">
        <v>1415</v>
      </c>
      <c r="C3965" s="488" t="s">
        <v>13247</v>
      </c>
      <c r="D3965" s="489" t="s">
        <v>13248</v>
      </c>
      <c r="E3965" s="487" t="s">
        <v>13249</v>
      </c>
      <c r="F3965" s="490">
        <v>891990</v>
      </c>
      <c r="G3965" s="489">
        <v>9604.73</v>
      </c>
      <c r="H3965" s="489">
        <v>92.869870000000006</v>
      </c>
      <c r="I3965" s="487" t="s">
        <v>1499</v>
      </c>
      <c r="J3965" s="487" t="s">
        <v>1417</v>
      </c>
    </row>
    <row r="3966" spans="1:10" ht="15" x14ac:dyDescent="0.2">
      <c r="A3966" s="486" t="s">
        <v>1416</v>
      </c>
      <c r="B3966" s="487" t="s">
        <v>1415</v>
      </c>
      <c r="C3966" s="488" t="s">
        <v>13250</v>
      </c>
      <c r="D3966" s="489" t="s">
        <v>13251</v>
      </c>
      <c r="E3966" s="487" t="s">
        <v>13252</v>
      </c>
      <c r="F3966" s="490">
        <v>27148</v>
      </c>
      <c r="G3966" s="489">
        <v>420.23</v>
      </c>
      <c r="H3966" s="489">
        <v>64.602720000000005</v>
      </c>
      <c r="I3966" s="487" t="s">
        <v>1499</v>
      </c>
      <c r="J3966" s="487" t="s">
        <v>1417</v>
      </c>
    </row>
    <row r="3967" spans="1:10" ht="15" x14ac:dyDescent="0.2">
      <c r="A3967" s="486" t="s">
        <v>1416</v>
      </c>
      <c r="B3967" s="487" t="s">
        <v>1415</v>
      </c>
      <c r="C3967" s="488" t="s">
        <v>13253</v>
      </c>
      <c r="D3967" s="489" t="s">
        <v>13254</v>
      </c>
      <c r="E3967" s="487" t="s">
        <v>13255</v>
      </c>
      <c r="F3967" s="490">
        <v>16866</v>
      </c>
      <c r="G3967" s="489">
        <v>285.67</v>
      </c>
      <c r="H3967" s="489">
        <v>59.040149999999997</v>
      </c>
      <c r="I3967" s="487" t="s">
        <v>2465</v>
      </c>
      <c r="J3967" s="487" t="s">
        <v>1417</v>
      </c>
    </row>
    <row r="3968" spans="1:10" ht="15" x14ac:dyDescent="0.2">
      <c r="A3968" s="486" t="s">
        <v>1416</v>
      </c>
      <c r="B3968" s="487" t="s">
        <v>1415</v>
      </c>
      <c r="C3968" s="488" t="s">
        <v>13256</v>
      </c>
      <c r="D3968" s="489" t="s">
        <v>13257</v>
      </c>
      <c r="E3968" s="487" t="s">
        <v>13258</v>
      </c>
      <c r="F3968" s="490">
        <v>0</v>
      </c>
      <c r="G3968" s="489">
        <v>0</v>
      </c>
      <c r="H3968" s="489">
        <v>0</v>
      </c>
      <c r="I3968" s="487" t="s">
        <v>2465</v>
      </c>
      <c r="J3968" s="487" t="s">
        <v>1417</v>
      </c>
    </row>
    <row r="3969" spans="1:10" ht="15" x14ac:dyDescent="0.2">
      <c r="A3969" s="486" t="s">
        <v>1416</v>
      </c>
      <c r="B3969" s="487" t="s">
        <v>1415</v>
      </c>
      <c r="C3969" s="488" t="s">
        <v>13259</v>
      </c>
      <c r="D3969" s="489" t="s">
        <v>13260</v>
      </c>
      <c r="E3969" s="487" t="s">
        <v>13261</v>
      </c>
      <c r="F3969" s="490">
        <v>5900</v>
      </c>
      <c r="G3969" s="489">
        <v>154.05000000000001</v>
      </c>
      <c r="H3969" s="489">
        <v>38.299250000000001</v>
      </c>
      <c r="I3969" s="487" t="s">
        <v>1499</v>
      </c>
      <c r="J3969" s="487" t="s">
        <v>1417</v>
      </c>
    </row>
    <row r="3970" spans="1:10" ht="15" x14ac:dyDescent="0.2">
      <c r="A3970" s="486" t="s">
        <v>1416</v>
      </c>
      <c r="B3970" s="487" t="s">
        <v>1415</v>
      </c>
      <c r="C3970" s="488" t="s">
        <v>13262</v>
      </c>
      <c r="D3970" s="489" t="s">
        <v>13263</v>
      </c>
      <c r="E3970" s="487" t="s">
        <v>13264</v>
      </c>
      <c r="F3970" s="490">
        <v>7677</v>
      </c>
      <c r="G3970" s="489">
        <v>569.4</v>
      </c>
      <c r="H3970" s="489">
        <v>13.482609999999999</v>
      </c>
      <c r="I3970" s="487" t="s">
        <v>2465</v>
      </c>
      <c r="J3970" s="487" t="s">
        <v>1417</v>
      </c>
    </row>
    <row r="3971" spans="1:10" ht="15" x14ac:dyDescent="0.2">
      <c r="A3971" s="486" t="s">
        <v>1416</v>
      </c>
      <c r="B3971" s="487" t="s">
        <v>1415</v>
      </c>
      <c r="C3971" s="488" t="s">
        <v>13265</v>
      </c>
      <c r="D3971" s="489" t="s">
        <v>13266</v>
      </c>
      <c r="E3971" s="487" t="s">
        <v>13267</v>
      </c>
      <c r="F3971" s="490">
        <v>12360</v>
      </c>
      <c r="G3971" s="489">
        <v>179.4</v>
      </c>
      <c r="H3971" s="489">
        <v>68.896320000000003</v>
      </c>
      <c r="I3971" s="487" t="s">
        <v>2465</v>
      </c>
      <c r="J3971" s="487" t="s">
        <v>1417</v>
      </c>
    </row>
    <row r="3972" spans="1:10" ht="15" x14ac:dyDescent="0.2">
      <c r="A3972" s="486" t="s">
        <v>1416</v>
      </c>
      <c r="B3972" s="487" t="s">
        <v>1415</v>
      </c>
      <c r="C3972" s="488" t="s">
        <v>13268</v>
      </c>
      <c r="D3972" s="489" t="s">
        <v>13269</v>
      </c>
      <c r="E3972" s="487" t="s">
        <v>13270</v>
      </c>
      <c r="F3972" s="490">
        <v>33964</v>
      </c>
      <c r="G3972" s="489">
        <v>469.95</v>
      </c>
      <c r="H3972" s="489">
        <v>72.271519999999995</v>
      </c>
      <c r="I3972" s="487" t="s">
        <v>1499</v>
      </c>
      <c r="J3972" s="487" t="s">
        <v>1417</v>
      </c>
    </row>
    <row r="3973" spans="1:10" ht="15" x14ac:dyDescent="0.2">
      <c r="A3973" s="486" t="s">
        <v>1416</v>
      </c>
      <c r="B3973" s="487" t="s">
        <v>1415</v>
      </c>
      <c r="C3973" s="488" t="s">
        <v>13271</v>
      </c>
      <c r="D3973" s="489" t="s">
        <v>13272</v>
      </c>
      <c r="E3973" s="487" t="s">
        <v>13273</v>
      </c>
      <c r="F3973" s="490">
        <v>55471</v>
      </c>
      <c r="G3973" s="489">
        <v>1382.55</v>
      </c>
      <c r="H3973" s="489">
        <v>40.122239999999998</v>
      </c>
      <c r="I3973" s="487" t="s">
        <v>1499</v>
      </c>
      <c r="J3973" s="487" t="s">
        <v>1417</v>
      </c>
    </row>
    <row r="3974" spans="1:10" ht="15" x14ac:dyDescent="0.2">
      <c r="A3974" s="486" t="s">
        <v>1416</v>
      </c>
      <c r="B3974" s="487" t="s">
        <v>1415</v>
      </c>
      <c r="C3974" s="488" t="s">
        <v>13274</v>
      </c>
      <c r="D3974" s="489" t="s">
        <v>13275</v>
      </c>
      <c r="E3974" s="487" t="s">
        <v>13276</v>
      </c>
      <c r="F3974" s="490">
        <v>41161</v>
      </c>
      <c r="G3974" s="489">
        <v>687.37</v>
      </c>
      <c r="H3974" s="489">
        <v>59.881869999999999</v>
      </c>
      <c r="I3974" s="487" t="s">
        <v>1499</v>
      </c>
      <c r="J3974" s="487" t="s">
        <v>1417</v>
      </c>
    </row>
    <row r="3975" spans="1:10" ht="15" x14ac:dyDescent="0.2">
      <c r="A3975" s="486" t="s">
        <v>1416</v>
      </c>
      <c r="B3975" s="487" t="s">
        <v>1415</v>
      </c>
      <c r="C3975" s="488" t="s">
        <v>13277</v>
      </c>
      <c r="D3975" s="489" t="s">
        <v>13278</v>
      </c>
      <c r="E3975" s="487" t="s">
        <v>13279</v>
      </c>
      <c r="F3975" s="490">
        <v>19814</v>
      </c>
      <c r="G3975" s="489">
        <v>327.60000000000002</v>
      </c>
      <c r="H3975" s="489">
        <v>60.482300000000002</v>
      </c>
      <c r="I3975" s="487" t="s">
        <v>1499</v>
      </c>
      <c r="J3975" s="487" t="s">
        <v>1417</v>
      </c>
    </row>
    <row r="3976" spans="1:10" ht="15" x14ac:dyDescent="0.2">
      <c r="A3976" s="486" t="s">
        <v>1416</v>
      </c>
      <c r="B3976" s="487" t="s">
        <v>1415</v>
      </c>
      <c r="C3976" s="488" t="s">
        <v>13280</v>
      </c>
      <c r="D3976" s="489" t="s">
        <v>13281</v>
      </c>
      <c r="E3976" s="487" t="s">
        <v>13282</v>
      </c>
      <c r="F3976" s="490">
        <v>0</v>
      </c>
      <c r="G3976" s="489">
        <v>0</v>
      </c>
      <c r="H3976" s="489">
        <v>0</v>
      </c>
      <c r="I3976" s="487" t="s">
        <v>2465</v>
      </c>
      <c r="J3976" s="487" t="s">
        <v>1417</v>
      </c>
    </row>
    <row r="3977" spans="1:10" ht="15" x14ac:dyDescent="0.2">
      <c r="A3977" s="486" t="s">
        <v>1416</v>
      </c>
      <c r="B3977" s="487" t="s">
        <v>1415</v>
      </c>
      <c r="C3977" s="488" t="s">
        <v>13283</v>
      </c>
      <c r="D3977" s="489" t="s">
        <v>13284</v>
      </c>
      <c r="E3977" s="487" t="s">
        <v>13285</v>
      </c>
      <c r="F3977" s="490">
        <v>38809</v>
      </c>
      <c r="G3977" s="489">
        <v>1047.1500000000001</v>
      </c>
      <c r="H3977" s="489">
        <v>37.061549999999997</v>
      </c>
      <c r="I3977" s="487" t="s">
        <v>2465</v>
      </c>
      <c r="J3977" s="487" t="s">
        <v>1417</v>
      </c>
    </row>
    <row r="3978" spans="1:10" ht="15" x14ac:dyDescent="0.2">
      <c r="A3978" s="486" t="s">
        <v>1416</v>
      </c>
      <c r="B3978" s="487" t="s">
        <v>1415</v>
      </c>
      <c r="C3978" s="488" t="s">
        <v>13286</v>
      </c>
      <c r="D3978" s="489" t="s">
        <v>13287</v>
      </c>
      <c r="E3978" s="487" t="s">
        <v>13288</v>
      </c>
      <c r="F3978" s="490">
        <v>6833</v>
      </c>
      <c r="G3978" s="489">
        <v>205.72</v>
      </c>
      <c r="H3978" s="489">
        <v>33.215049999999998</v>
      </c>
      <c r="I3978" s="487" t="s">
        <v>2465</v>
      </c>
      <c r="J3978" s="487" t="s">
        <v>1417</v>
      </c>
    </row>
    <row r="3979" spans="1:10" ht="15" x14ac:dyDescent="0.2">
      <c r="A3979" s="486" t="s">
        <v>1416</v>
      </c>
      <c r="B3979" s="487" t="s">
        <v>1415</v>
      </c>
      <c r="C3979" s="488" t="s">
        <v>13289</v>
      </c>
      <c r="D3979" s="489" t="s">
        <v>13290</v>
      </c>
      <c r="E3979" s="487" t="s">
        <v>13291</v>
      </c>
      <c r="F3979" s="490">
        <v>96177</v>
      </c>
      <c r="G3979" s="489">
        <v>822.9</v>
      </c>
      <c r="H3979" s="489">
        <v>116.87568</v>
      </c>
      <c r="I3979" s="487" t="s">
        <v>1499</v>
      </c>
      <c r="J3979" s="487" t="s">
        <v>1417</v>
      </c>
    </row>
    <row r="3980" spans="1:10" ht="15" x14ac:dyDescent="0.2">
      <c r="A3980" s="486" t="s">
        <v>1416</v>
      </c>
      <c r="B3980" s="487" t="s">
        <v>1415</v>
      </c>
      <c r="C3980" s="488" t="s">
        <v>13292</v>
      </c>
      <c r="D3980" s="489" t="s">
        <v>13293</v>
      </c>
      <c r="E3980" s="487" t="s">
        <v>13294</v>
      </c>
      <c r="F3980" s="490">
        <v>0</v>
      </c>
      <c r="G3980" s="489">
        <v>0</v>
      </c>
      <c r="H3980" s="489">
        <v>0</v>
      </c>
      <c r="I3980" s="487" t="s">
        <v>2465</v>
      </c>
      <c r="J3980" s="487" t="s">
        <v>1417</v>
      </c>
    </row>
    <row r="3981" spans="1:10" ht="15" x14ac:dyDescent="0.2">
      <c r="A3981" s="486" t="s">
        <v>1416</v>
      </c>
      <c r="B3981" s="487" t="s">
        <v>1415</v>
      </c>
      <c r="C3981" s="488" t="s">
        <v>13295</v>
      </c>
      <c r="D3981" s="489" t="s">
        <v>13296</v>
      </c>
      <c r="E3981" s="487" t="s">
        <v>13297</v>
      </c>
      <c r="F3981" s="490">
        <v>25610</v>
      </c>
      <c r="G3981" s="489">
        <v>1081.27</v>
      </c>
      <c r="H3981" s="489">
        <v>23.685110000000002</v>
      </c>
      <c r="I3981" s="487" t="s">
        <v>1499</v>
      </c>
      <c r="J3981" s="487" t="s">
        <v>1417</v>
      </c>
    </row>
    <row r="3982" spans="1:10" ht="15" x14ac:dyDescent="0.2">
      <c r="A3982" s="486" t="s">
        <v>1416</v>
      </c>
      <c r="B3982" s="487" t="s">
        <v>1415</v>
      </c>
      <c r="C3982" s="488" t="s">
        <v>13298</v>
      </c>
      <c r="D3982" s="489" t="s">
        <v>13299</v>
      </c>
      <c r="E3982" s="487" t="s">
        <v>13300</v>
      </c>
      <c r="F3982" s="490">
        <v>10815</v>
      </c>
      <c r="G3982" s="489">
        <v>224.25</v>
      </c>
      <c r="H3982" s="489">
        <v>48.227420000000002</v>
      </c>
      <c r="I3982" s="487" t="s">
        <v>1499</v>
      </c>
      <c r="J3982" s="487" t="s">
        <v>1417</v>
      </c>
    </row>
    <row r="3983" spans="1:10" ht="15" x14ac:dyDescent="0.2">
      <c r="A3983" s="486" t="s">
        <v>1416</v>
      </c>
      <c r="B3983" s="487" t="s">
        <v>1415</v>
      </c>
      <c r="C3983" s="488" t="s">
        <v>13301</v>
      </c>
      <c r="D3983" s="489" t="s">
        <v>13302</v>
      </c>
      <c r="E3983" s="487" t="s">
        <v>13303</v>
      </c>
      <c r="F3983" s="490">
        <v>8656</v>
      </c>
      <c r="G3983" s="489">
        <v>235.95</v>
      </c>
      <c r="H3983" s="489">
        <v>36.685740000000003</v>
      </c>
      <c r="I3983" s="487" t="s">
        <v>2465</v>
      </c>
      <c r="J3983" s="487" t="s">
        <v>1417</v>
      </c>
    </row>
    <row r="3984" spans="1:10" ht="15" x14ac:dyDescent="0.2">
      <c r="A3984" s="486" t="s">
        <v>1416</v>
      </c>
      <c r="B3984" s="487" t="s">
        <v>1415</v>
      </c>
      <c r="C3984" s="488" t="s">
        <v>13304</v>
      </c>
      <c r="D3984" s="489" t="s">
        <v>13305</v>
      </c>
      <c r="E3984" s="487" t="s">
        <v>13306</v>
      </c>
      <c r="F3984" s="490">
        <v>7600</v>
      </c>
      <c r="G3984" s="489">
        <v>139.41999999999999</v>
      </c>
      <c r="H3984" s="489">
        <v>54.51155</v>
      </c>
      <c r="I3984" s="487" t="s">
        <v>1499</v>
      </c>
      <c r="J3984" s="487" t="s">
        <v>1417</v>
      </c>
    </row>
    <row r="3985" spans="1:10" ht="15" x14ac:dyDescent="0.2">
      <c r="A3985" s="486" t="s">
        <v>1416</v>
      </c>
      <c r="B3985" s="487" t="s">
        <v>1415</v>
      </c>
      <c r="C3985" s="488" t="s">
        <v>13307</v>
      </c>
      <c r="D3985" s="489" t="s">
        <v>13308</v>
      </c>
      <c r="E3985" s="487" t="s">
        <v>13309</v>
      </c>
      <c r="F3985" s="490">
        <v>0</v>
      </c>
      <c r="G3985" s="489">
        <v>0</v>
      </c>
      <c r="H3985" s="489">
        <v>0</v>
      </c>
      <c r="I3985" s="487" t="s">
        <v>2465</v>
      </c>
      <c r="J3985" s="487" t="s">
        <v>1417</v>
      </c>
    </row>
    <row r="3986" spans="1:10" ht="15" x14ac:dyDescent="0.2">
      <c r="A3986" s="486" t="s">
        <v>1416</v>
      </c>
      <c r="B3986" s="487" t="s">
        <v>1415</v>
      </c>
      <c r="C3986" s="488" t="s">
        <v>13310</v>
      </c>
      <c r="D3986" s="489" t="s">
        <v>13311</v>
      </c>
      <c r="E3986" s="487" t="s">
        <v>13312</v>
      </c>
      <c r="F3986" s="490">
        <v>5921</v>
      </c>
      <c r="G3986" s="489">
        <v>89.7</v>
      </c>
      <c r="H3986" s="489">
        <v>66.008920000000003</v>
      </c>
      <c r="I3986" s="487" t="s">
        <v>1499</v>
      </c>
      <c r="J3986" s="487" t="s">
        <v>1417</v>
      </c>
    </row>
    <row r="3987" spans="1:10" ht="15" x14ac:dyDescent="0.2">
      <c r="A3987" s="486" t="s">
        <v>1416</v>
      </c>
      <c r="B3987" s="487" t="s">
        <v>1415</v>
      </c>
      <c r="C3987" s="488" t="s">
        <v>13313</v>
      </c>
      <c r="D3987" s="489" t="s">
        <v>13314</v>
      </c>
      <c r="E3987" s="487" t="s">
        <v>13315</v>
      </c>
      <c r="F3987" s="490">
        <v>0</v>
      </c>
      <c r="G3987" s="489">
        <v>0</v>
      </c>
      <c r="H3987" s="489">
        <v>0</v>
      </c>
      <c r="I3987" s="487" t="s">
        <v>2465</v>
      </c>
      <c r="J3987" s="487" t="s">
        <v>1417</v>
      </c>
    </row>
    <row r="3988" spans="1:10" ht="15" x14ac:dyDescent="0.2">
      <c r="A3988" s="486" t="s">
        <v>1416</v>
      </c>
      <c r="B3988" s="487" t="s">
        <v>1415</v>
      </c>
      <c r="C3988" s="488" t="s">
        <v>13316</v>
      </c>
      <c r="D3988" s="489" t="s">
        <v>13317</v>
      </c>
      <c r="E3988" s="487" t="s">
        <v>13318</v>
      </c>
      <c r="F3988" s="490">
        <v>19501</v>
      </c>
      <c r="G3988" s="489">
        <v>375.37</v>
      </c>
      <c r="H3988" s="489">
        <v>51.951410000000003</v>
      </c>
      <c r="I3988" s="487" t="s">
        <v>1499</v>
      </c>
      <c r="J3988" s="487" t="s">
        <v>1417</v>
      </c>
    </row>
    <row r="3989" spans="1:10" ht="15" x14ac:dyDescent="0.2">
      <c r="A3989" s="486" t="s">
        <v>1416</v>
      </c>
      <c r="B3989" s="487" t="s">
        <v>1415</v>
      </c>
      <c r="C3989" s="488" t="s">
        <v>13319</v>
      </c>
      <c r="D3989" s="489" t="s">
        <v>13320</v>
      </c>
      <c r="E3989" s="487" t="s">
        <v>13321</v>
      </c>
      <c r="F3989" s="490">
        <v>112182</v>
      </c>
      <c r="G3989" s="489">
        <v>1823.25</v>
      </c>
      <c r="H3989" s="489">
        <v>61.528590000000001</v>
      </c>
      <c r="I3989" s="487" t="s">
        <v>1499</v>
      </c>
      <c r="J3989" s="487" t="s">
        <v>1417</v>
      </c>
    </row>
    <row r="3990" spans="1:10" ht="15" x14ac:dyDescent="0.2">
      <c r="A3990" s="486" t="s">
        <v>1416</v>
      </c>
      <c r="B3990" s="487" t="s">
        <v>1415</v>
      </c>
      <c r="C3990" s="488" t="s">
        <v>13322</v>
      </c>
      <c r="D3990" s="489" t="s">
        <v>13323</v>
      </c>
      <c r="E3990" s="487" t="s">
        <v>13324</v>
      </c>
      <c r="F3990" s="490">
        <v>0</v>
      </c>
      <c r="G3990" s="489">
        <v>0</v>
      </c>
      <c r="H3990" s="489">
        <v>0</v>
      </c>
      <c r="I3990" s="487" t="s">
        <v>2465</v>
      </c>
      <c r="J3990" s="487" t="s">
        <v>1417</v>
      </c>
    </row>
    <row r="3991" spans="1:10" ht="15" x14ac:dyDescent="0.2">
      <c r="A3991" s="486" t="s">
        <v>1416</v>
      </c>
      <c r="B3991" s="487" t="s">
        <v>1415</v>
      </c>
      <c r="C3991" s="488" t="s">
        <v>13325</v>
      </c>
      <c r="D3991" s="489" t="s">
        <v>13326</v>
      </c>
      <c r="E3991" s="487" t="s">
        <v>13327</v>
      </c>
      <c r="F3991" s="490">
        <v>20252</v>
      </c>
      <c r="G3991" s="489">
        <v>514.79999999999995</v>
      </c>
      <c r="H3991" s="489">
        <v>39.339550000000003</v>
      </c>
      <c r="I3991" s="487" t="s">
        <v>1499</v>
      </c>
      <c r="J3991" s="487" t="s">
        <v>1417</v>
      </c>
    </row>
    <row r="3992" spans="1:10" ht="15" x14ac:dyDescent="0.2">
      <c r="A3992" s="486" t="s">
        <v>1416</v>
      </c>
      <c r="B3992" s="487" t="s">
        <v>1415</v>
      </c>
      <c r="C3992" s="488" t="s">
        <v>13328</v>
      </c>
      <c r="D3992" s="489" t="s">
        <v>13329</v>
      </c>
      <c r="E3992" s="487" t="s">
        <v>13330</v>
      </c>
      <c r="F3992" s="490">
        <v>67821</v>
      </c>
      <c r="G3992" s="489">
        <v>972.07</v>
      </c>
      <c r="H3992" s="489">
        <v>69.769670000000005</v>
      </c>
      <c r="I3992" s="487" t="s">
        <v>1499</v>
      </c>
      <c r="J3992" s="487" t="s">
        <v>1417</v>
      </c>
    </row>
    <row r="3993" spans="1:10" ht="15" x14ac:dyDescent="0.2">
      <c r="A3993" s="486" t="s">
        <v>1416</v>
      </c>
      <c r="B3993" s="487" t="s">
        <v>1415</v>
      </c>
      <c r="C3993" s="488" t="s">
        <v>13331</v>
      </c>
      <c r="D3993" s="489" t="s">
        <v>13332</v>
      </c>
      <c r="E3993" s="487" t="s">
        <v>13333</v>
      </c>
      <c r="F3993" s="490">
        <v>0</v>
      </c>
      <c r="G3993" s="489">
        <v>0</v>
      </c>
      <c r="H3993" s="489">
        <v>0</v>
      </c>
      <c r="I3993" s="487" t="s">
        <v>2465</v>
      </c>
      <c r="J3993" s="487" t="s">
        <v>1417</v>
      </c>
    </row>
    <row r="3994" spans="1:10" ht="15" x14ac:dyDescent="0.2">
      <c r="A3994" s="486" t="s">
        <v>1416</v>
      </c>
      <c r="B3994" s="487" t="s">
        <v>1415</v>
      </c>
      <c r="C3994" s="488" t="s">
        <v>13334</v>
      </c>
      <c r="D3994" s="489" t="s">
        <v>13335</v>
      </c>
      <c r="E3994" s="487" t="s">
        <v>13336</v>
      </c>
      <c r="F3994" s="490">
        <v>37225</v>
      </c>
      <c r="G3994" s="489">
        <v>593.77</v>
      </c>
      <c r="H3994" s="489">
        <v>62.692630000000001</v>
      </c>
      <c r="I3994" s="487" t="s">
        <v>1499</v>
      </c>
      <c r="J3994" s="487" t="s">
        <v>1417</v>
      </c>
    </row>
    <row r="3995" spans="1:10" ht="15" x14ac:dyDescent="0.2">
      <c r="A3995" s="486" t="s">
        <v>1416</v>
      </c>
      <c r="B3995" s="487" t="s">
        <v>1415</v>
      </c>
      <c r="C3995" s="488" t="s">
        <v>13337</v>
      </c>
      <c r="D3995" s="489" t="s">
        <v>13338</v>
      </c>
      <c r="E3995" s="487" t="s">
        <v>13339</v>
      </c>
      <c r="F3995" s="490">
        <v>54284</v>
      </c>
      <c r="G3995" s="489">
        <v>1245.07</v>
      </c>
      <c r="H3995" s="489">
        <v>43.599159999999998</v>
      </c>
      <c r="I3995" s="487" t="s">
        <v>2465</v>
      </c>
      <c r="J3995" s="487" t="s">
        <v>1417</v>
      </c>
    </row>
    <row r="3996" spans="1:10" ht="15" x14ac:dyDescent="0.2">
      <c r="A3996" s="486" t="s">
        <v>1416</v>
      </c>
      <c r="B3996" s="487" t="s">
        <v>1415</v>
      </c>
      <c r="C3996" s="488" t="s">
        <v>13340</v>
      </c>
      <c r="D3996" s="489" t="s">
        <v>13341</v>
      </c>
      <c r="E3996" s="487" t="s">
        <v>13342</v>
      </c>
      <c r="F3996" s="490">
        <v>2205</v>
      </c>
      <c r="G3996" s="489">
        <v>127.72</v>
      </c>
      <c r="H3996" s="489">
        <v>17.264330000000001</v>
      </c>
      <c r="I3996" s="487" t="s">
        <v>2465</v>
      </c>
      <c r="J3996" s="487" t="s">
        <v>1417</v>
      </c>
    </row>
    <row r="3997" spans="1:10" ht="15" x14ac:dyDescent="0.2">
      <c r="A3997" s="486" t="s">
        <v>1416</v>
      </c>
      <c r="B3997" s="487" t="s">
        <v>1415</v>
      </c>
      <c r="C3997" s="488" t="s">
        <v>13343</v>
      </c>
      <c r="D3997" s="489" t="s">
        <v>13344</v>
      </c>
      <c r="E3997" s="487" t="s">
        <v>13345</v>
      </c>
      <c r="F3997" s="490">
        <v>51435</v>
      </c>
      <c r="G3997" s="489">
        <v>624</v>
      </c>
      <c r="H3997" s="489">
        <v>82.427880000000002</v>
      </c>
      <c r="I3997" s="487" t="s">
        <v>1499</v>
      </c>
      <c r="J3997" s="487" t="s">
        <v>1417</v>
      </c>
    </row>
    <row r="3998" spans="1:10" ht="15" x14ac:dyDescent="0.2">
      <c r="A3998" s="486" t="s">
        <v>1416</v>
      </c>
      <c r="B3998" s="487" t="s">
        <v>1415</v>
      </c>
      <c r="C3998" s="488" t="s">
        <v>13346</v>
      </c>
      <c r="D3998" s="489" t="s">
        <v>13347</v>
      </c>
      <c r="E3998" s="487" t="s">
        <v>13348</v>
      </c>
      <c r="F3998" s="490">
        <v>9485</v>
      </c>
      <c r="G3998" s="489">
        <v>256.42</v>
      </c>
      <c r="H3998" s="489">
        <v>36.990090000000002</v>
      </c>
      <c r="I3998" s="487" t="s">
        <v>1499</v>
      </c>
      <c r="J3998" s="487" t="s">
        <v>1417</v>
      </c>
    </row>
    <row r="3999" spans="1:10" ht="15" x14ac:dyDescent="0.2">
      <c r="A3999" s="486" t="s">
        <v>1416</v>
      </c>
      <c r="B3999" s="487" t="s">
        <v>1415</v>
      </c>
      <c r="C3999" s="488" t="s">
        <v>13349</v>
      </c>
      <c r="D3999" s="489" t="s">
        <v>13350</v>
      </c>
      <c r="E3999" s="487" t="s">
        <v>13351</v>
      </c>
      <c r="F3999" s="490">
        <v>295759</v>
      </c>
      <c r="G3999" s="489">
        <v>3330.6</v>
      </c>
      <c r="H3999" s="489">
        <v>88.800520000000006</v>
      </c>
      <c r="I3999" s="487" t="s">
        <v>1499</v>
      </c>
      <c r="J3999" s="487" t="s">
        <v>1417</v>
      </c>
    </row>
    <row r="4000" spans="1:10" ht="15" x14ac:dyDescent="0.2">
      <c r="A4000" s="486" t="s">
        <v>1416</v>
      </c>
      <c r="B4000" s="487" t="s">
        <v>1415</v>
      </c>
      <c r="C4000" s="488" t="s">
        <v>13352</v>
      </c>
      <c r="D4000" s="489" t="s">
        <v>13353</v>
      </c>
      <c r="E4000" s="487" t="s">
        <v>13354</v>
      </c>
      <c r="F4000" s="490">
        <v>24696</v>
      </c>
      <c r="G4000" s="489">
        <v>343.2</v>
      </c>
      <c r="H4000" s="489">
        <v>71.958039999999997</v>
      </c>
      <c r="I4000" s="487" t="s">
        <v>1499</v>
      </c>
      <c r="J4000" s="487" t="s">
        <v>1417</v>
      </c>
    </row>
    <row r="4001" spans="1:10" ht="15" x14ac:dyDescent="0.2">
      <c r="A4001" s="486" t="s">
        <v>1416</v>
      </c>
      <c r="B4001" s="487" t="s">
        <v>1415</v>
      </c>
      <c r="C4001" s="488" t="s">
        <v>13355</v>
      </c>
      <c r="D4001" s="489" t="s">
        <v>13356</v>
      </c>
      <c r="E4001" s="487" t="s">
        <v>13357</v>
      </c>
      <c r="F4001" s="490">
        <v>1410</v>
      </c>
      <c r="G4001" s="489">
        <v>60.45</v>
      </c>
      <c r="H4001" s="489">
        <v>23.325060000000001</v>
      </c>
      <c r="I4001" s="487" t="s">
        <v>1499</v>
      </c>
      <c r="J4001" s="487" t="s">
        <v>1417</v>
      </c>
    </row>
    <row r="4002" spans="1:10" ht="15" x14ac:dyDescent="0.2">
      <c r="A4002" s="486" t="s">
        <v>1416</v>
      </c>
      <c r="B4002" s="487" t="s">
        <v>1415</v>
      </c>
      <c r="C4002" s="488" t="s">
        <v>13358</v>
      </c>
      <c r="D4002" s="489" t="s">
        <v>13359</v>
      </c>
      <c r="E4002" s="487" t="s">
        <v>13360</v>
      </c>
      <c r="F4002" s="490">
        <v>7030</v>
      </c>
      <c r="G4002" s="489">
        <v>151.12</v>
      </c>
      <c r="H4002" s="489">
        <v>46.51932</v>
      </c>
      <c r="I4002" s="487" t="s">
        <v>1499</v>
      </c>
      <c r="J4002" s="487" t="s">
        <v>1417</v>
      </c>
    </row>
    <row r="4003" spans="1:10" ht="15" x14ac:dyDescent="0.2">
      <c r="A4003" s="486" t="s">
        <v>1416</v>
      </c>
      <c r="B4003" s="487" t="s">
        <v>1415</v>
      </c>
      <c r="C4003" s="488" t="s">
        <v>13361</v>
      </c>
      <c r="D4003" s="489" t="s">
        <v>13362</v>
      </c>
      <c r="E4003" s="487" t="s">
        <v>13363</v>
      </c>
      <c r="F4003" s="490">
        <v>0</v>
      </c>
      <c r="G4003" s="489">
        <v>0</v>
      </c>
      <c r="H4003" s="489">
        <v>0</v>
      </c>
      <c r="I4003" s="487" t="s">
        <v>2465</v>
      </c>
      <c r="J4003" s="487" t="s">
        <v>1417</v>
      </c>
    </row>
    <row r="4004" spans="1:10" ht="15" x14ac:dyDescent="0.2">
      <c r="A4004" s="486" t="s">
        <v>1416</v>
      </c>
      <c r="B4004" s="487" t="s">
        <v>1415</v>
      </c>
      <c r="C4004" s="488" t="s">
        <v>13364</v>
      </c>
      <c r="D4004" s="489" t="s">
        <v>13365</v>
      </c>
      <c r="E4004" s="487" t="s">
        <v>13366</v>
      </c>
      <c r="F4004" s="490">
        <v>12953</v>
      </c>
      <c r="G4004" s="489">
        <v>401.7</v>
      </c>
      <c r="H4004" s="489">
        <v>32.245460000000001</v>
      </c>
      <c r="I4004" s="487" t="s">
        <v>1499</v>
      </c>
      <c r="J4004" s="487" t="s">
        <v>1417</v>
      </c>
    </row>
    <row r="4005" spans="1:10" ht="15" x14ac:dyDescent="0.2">
      <c r="A4005" s="486" t="s">
        <v>1416</v>
      </c>
      <c r="B4005" s="487" t="s">
        <v>1415</v>
      </c>
      <c r="C4005" s="488" t="s">
        <v>13367</v>
      </c>
      <c r="D4005" s="489" t="s">
        <v>13368</v>
      </c>
      <c r="E4005" s="487" t="s">
        <v>13369</v>
      </c>
      <c r="F4005" s="490">
        <v>45635</v>
      </c>
      <c r="G4005" s="489">
        <v>535.27</v>
      </c>
      <c r="H4005" s="489">
        <v>85.256039999999999</v>
      </c>
      <c r="I4005" s="487" t="s">
        <v>1499</v>
      </c>
      <c r="J4005" s="487" t="s">
        <v>1417</v>
      </c>
    </row>
    <row r="4006" spans="1:10" ht="15" x14ac:dyDescent="0.2">
      <c r="A4006" s="486" t="s">
        <v>1416</v>
      </c>
      <c r="B4006" s="487" t="s">
        <v>1415</v>
      </c>
      <c r="C4006" s="488" t="s">
        <v>13370</v>
      </c>
      <c r="D4006" s="489" t="s">
        <v>13371</v>
      </c>
      <c r="E4006" s="487" t="s">
        <v>13372</v>
      </c>
      <c r="F4006" s="490">
        <v>0</v>
      </c>
      <c r="G4006" s="489">
        <v>39</v>
      </c>
      <c r="H4006" s="489">
        <v>0</v>
      </c>
      <c r="I4006" s="487" t="s">
        <v>1593</v>
      </c>
      <c r="J4006" s="487" t="s">
        <v>1417</v>
      </c>
    </row>
    <row r="4007" spans="1:10" ht="15" x14ac:dyDescent="0.2">
      <c r="A4007" s="486" t="s">
        <v>1416</v>
      </c>
      <c r="B4007" s="487" t="s">
        <v>1415</v>
      </c>
      <c r="C4007" s="488" t="s">
        <v>13373</v>
      </c>
      <c r="D4007" s="489" t="s">
        <v>13374</v>
      </c>
      <c r="E4007" s="487" t="s">
        <v>13375</v>
      </c>
      <c r="F4007" s="490">
        <v>8225</v>
      </c>
      <c r="G4007" s="489">
        <v>167.7</v>
      </c>
      <c r="H4007" s="489">
        <v>49.045920000000002</v>
      </c>
      <c r="I4007" s="487" t="s">
        <v>1499</v>
      </c>
      <c r="J4007" s="487" t="s">
        <v>1417</v>
      </c>
    </row>
    <row r="4008" spans="1:10" ht="15" x14ac:dyDescent="0.2">
      <c r="A4008" s="486" t="s">
        <v>1416</v>
      </c>
      <c r="B4008" s="487" t="s">
        <v>1415</v>
      </c>
      <c r="C4008" s="488" t="s">
        <v>13376</v>
      </c>
      <c r="D4008" s="489" t="s">
        <v>13377</v>
      </c>
      <c r="E4008" s="487" t="s">
        <v>13378</v>
      </c>
      <c r="F4008" s="490">
        <v>13099</v>
      </c>
      <c r="G4008" s="489">
        <v>230.1</v>
      </c>
      <c r="H4008" s="489">
        <v>56.927419999999998</v>
      </c>
      <c r="I4008" s="487" t="s">
        <v>1499</v>
      </c>
      <c r="J4008" s="487" t="s">
        <v>1417</v>
      </c>
    </row>
    <row r="4009" spans="1:10" ht="15" x14ac:dyDescent="0.2">
      <c r="A4009" s="486" t="s">
        <v>1416</v>
      </c>
      <c r="B4009" s="487" t="s">
        <v>1415</v>
      </c>
      <c r="C4009" s="488" t="s">
        <v>13379</v>
      </c>
      <c r="D4009" s="489" t="s">
        <v>13380</v>
      </c>
      <c r="E4009" s="487" t="s">
        <v>13381</v>
      </c>
      <c r="F4009" s="490">
        <v>5900</v>
      </c>
      <c r="G4009" s="489">
        <v>154.05000000000001</v>
      </c>
      <c r="H4009" s="489">
        <v>38.299250000000001</v>
      </c>
      <c r="I4009" s="487" t="s">
        <v>1499</v>
      </c>
      <c r="J4009" s="487" t="s">
        <v>1417</v>
      </c>
    </row>
    <row r="4010" spans="1:10" ht="15" x14ac:dyDescent="0.2">
      <c r="A4010" s="486" t="s">
        <v>1416</v>
      </c>
      <c r="B4010" s="487" t="s">
        <v>1415</v>
      </c>
      <c r="C4010" s="488" t="s">
        <v>13382</v>
      </c>
      <c r="D4010" s="489" t="s">
        <v>13383</v>
      </c>
      <c r="E4010" s="487" t="s">
        <v>13384</v>
      </c>
      <c r="F4010" s="490">
        <v>0</v>
      </c>
      <c r="G4010" s="489">
        <v>0</v>
      </c>
      <c r="H4010" s="489">
        <v>0</v>
      </c>
      <c r="I4010" s="487" t="s">
        <v>2465</v>
      </c>
      <c r="J4010" s="487" t="s">
        <v>1417</v>
      </c>
    </row>
    <row r="4011" spans="1:10" ht="15" x14ac:dyDescent="0.2">
      <c r="A4011" s="486" t="s">
        <v>1416</v>
      </c>
      <c r="B4011" s="487" t="s">
        <v>1415</v>
      </c>
      <c r="C4011" s="488" t="s">
        <v>13385</v>
      </c>
      <c r="D4011" s="489" t="s">
        <v>13386</v>
      </c>
      <c r="E4011" s="487" t="s">
        <v>11245</v>
      </c>
      <c r="F4011" s="490">
        <v>31187</v>
      </c>
      <c r="G4011" s="489">
        <v>319.8</v>
      </c>
      <c r="H4011" s="489">
        <v>97.520330000000001</v>
      </c>
      <c r="I4011" s="487" t="s">
        <v>1499</v>
      </c>
      <c r="J4011" s="487" t="s">
        <v>1417</v>
      </c>
    </row>
    <row r="4012" spans="1:10" ht="15" x14ac:dyDescent="0.2">
      <c r="A4012" s="486" t="s">
        <v>1416</v>
      </c>
      <c r="B4012" s="487" t="s">
        <v>1415</v>
      </c>
      <c r="C4012" s="488" t="s">
        <v>13387</v>
      </c>
      <c r="D4012" s="489" t="s">
        <v>13388</v>
      </c>
      <c r="E4012" s="487" t="s">
        <v>13389</v>
      </c>
      <c r="F4012" s="490">
        <v>8550</v>
      </c>
      <c r="G4012" s="489">
        <v>198.9</v>
      </c>
      <c r="H4012" s="489">
        <v>42.986429999999999</v>
      </c>
      <c r="I4012" s="487" t="s">
        <v>1499</v>
      </c>
      <c r="J4012" s="487" t="s">
        <v>1417</v>
      </c>
    </row>
    <row r="4013" spans="1:10" ht="15" x14ac:dyDescent="0.2">
      <c r="A4013" s="486" t="s">
        <v>1416</v>
      </c>
      <c r="B4013" s="487" t="s">
        <v>1415</v>
      </c>
      <c r="C4013" s="488" t="s">
        <v>13390</v>
      </c>
      <c r="D4013" s="489" t="s">
        <v>13391</v>
      </c>
      <c r="E4013" s="487" t="s">
        <v>13392</v>
      </c>
      <c r="F4013" s="490">
        <v>2519</v>
      </c>
      <c r="G4013" s="489">
        <v>170.62</v>
      </c>
      <c r="H4013" s="489">
        <v>14.7638</v>
      </c>
      <c r="I4013" s="487" t="s">
        <v>1499</v>
      </c>
      <c r="J4013" s="487" t="s">
        <v>1417</v>
      </c>
    </row>
    <row r="4014" spans="1:10" ht="15" x14ac:dyDescent="0.2">
      <c r="A4014" s="486" t="s">
        <v>1416</v>
      </c>
      <c r="B4014" s="487" t="s">
        <v>1415</v>
      </c>
      <c r="C4014" s="488" t="s">
        <v>13393</v>
      </c>
      <c r="D4014" s="489" t="s">
        <v>13394</v>
      </c>
      <c r="E4014" s="487" t="s">
        <v>13395</v>
      </c>
      <c r="F4014" s="490">
        <v>0</v>
      </c>
      <c r="G4014" s="489">
        <v>0</v>
      </c>
      <c r="H4014" s="489">
        <v>0</v>
      </c>
      <c r="I4014" s="487" t="s">
        <v>2465</v>
      </c>
      <c r="J4014" s="487" t="s">
        <v>1417</v>
      </c>
    </row>
    <row r="4015" spans="1:10" ht="15" x14ac:dyDescent="0.2">
      <c r="A4015" s="486" t="s">
        <v>1416</v>
      </c>
      <c r="B4015" s="487" t="s">
        <v>1415</v>
      </c>
      <c r="C4015" s="488" t="s">
        <v>13396</v>
      </c>
      <c r="D4015" s="489" t="s">
        <v>13397</v>
      </c>
      <c r="E4015" s="487" t="s">
        <v>13398</v>
      </c>
      <c r="F4015" s="490">
        <v>0</v>
      </c>
      <c r="G4015" s="489">
        <v>101.4</v>
      </c>
      <c r="H4015" s="489">
        <v>0</v>
      </c>
      <c r="I4015" s="487" t="s">
        <v>1593</v>
      </c>
      <c r="J4015" s="487" t="s">
        <v>1417</v>
      </c>
    </row>
    <row r="4016" spans="1:10" ht="15" x14ac:dyDescent="0.2">
      <c r="A4016" s="486" t="s">
        <v>1416</v>
      </c>
      <c r="B4016" s="487" t="s">
        <v>1415</v>
      </c>
      <c r="C4016" s="488" t="s">
        <v>13399</v>
      </c>
      <c r="D4016" s="489" t="s">
        <v>13400</v>
      </c>
      <c r="E4016" s="487" t="s">
        <v>11113</v>
      </c>
      <c r="F4016" s="490">
        <v>46317</v>
      </c>
      <c r="G4016" s="489">
        <v>700.05</v>
      </c>
      <c r="H4016" s="489">
        <v>66.162419999999997</v>
      </c>
      <c r="I4016" s="487" t="s">
        <v>1499</v>
      </c>
      <c r="J4016" s="487" t="s">
        <v>1417</v>
      </c>
    </row>
    <row r="4017" spans="1:10" ht="15" x14ac:dyDescent="0.2">
      <c r="A4017" s="486" t="s">
        <v>1416</v>
      </c>
      <c r="B4017" s="487" t="s">
        <v>1415</v>
      </c>
      <c r="C4017" s="488" t="s">
        <v>13401</v>
      </c>
      <c r="D4017" s="489" t="s">
        <v>13402</v>
      </c>
      <c r="E4017" s="487" t="s">
        <v>13403</v>
      </c>
      <c r="F4017" s="490">
        <v>11663</v>
      </c>
      <c r="G4017" s="489">
        <v>218.4</v>
      </c>
      <c r="H4017" s="489">
        <v>53.402009999999997</v>
      </c>
      <c r="I4017" s="487" t="s">
        <v>1499</v>
      </c>
      <c r="J4017" s="487" t="s">
        <v>1417</v>
      </c>
    </row>
    <row r="4018" spans="1:10" ht="15" x14ac:dyDescent="0.2">
      <c r="A4018" s="486" t="s">
        <v>1416</v>
      </c>
      <c r="B4018" s="487" t="s">
        <v>1415</v>
      </c>
      <c r="C4018" s="488" t="s">
        <v>13404</v>
      </c>
      <c r="D4018" s="489" t="s">
        <v>13405</v>
      </c>
      <c r="E4018" s="487" t="s">
        <v>13406</v>
      </c>
      <c r="F4018" s="490">
        <v>17170</v>
      </c>
      <c r="G4018" s="489">
        <v>308.10000000000002</v>
      </c>
      <c r="H4018" s="489">
        <v>55.728659999999998</v>
      </c>
      <c r="I4018" s="487" t="s">
        <v>1499</v>
      </c>
      <c r="J4018" s="487" t="s">
        <v>1417</v>
      </c>
    </row>
    <row r="4019" spans="1:10" ht="15" x14ac:dyDescent="0.2">
      <c r="A4019" s="486" t="s">
        <v>1416</v>
      </c>
      <c r="B4019" s="487" t="s">
        <v>1415</v>
      </c>
      <c r="C4019" s="488" t="s">
        <v>13407</v>
      </c>
      <c r="D4019" s="489" t="s">
        <v>13408</v>
      </c>
      <c r="E4019" s="487" t="s">
        <v>13409</v>
      </c>
      <c r="F4019" s="490">
        <v>13351</v>
      </c>
      <c r="G4019" s="489">
        <v>300.3</v>
      </c>
      <c r="H4019" s="489">
        <v>44.458869999999997</v>
      </c>
      <c r="I4019" s="487" t="s">
        <v>1499</v>
      </c>
      <c r="J4019" s="487" t="s">
        <v>1417</v>
      </c>
    </row>
    <row r="4020" spans="1:10" ht="15" x14ac:dyDescent="0.2">
      <c r="A4020" s="486" t="s">
        <v>1416</v>
      </c>
      <c r="B4020" s="487" t="s">
        <v>1415</v>
      </c>
      <c r="C4020" s="488" t="s">
        <v>13410</v>
      </c>
      <c r="D4020" s="489" t="s">
        <v>13411</v>
      </c>
      <c r="E4020" s="487" t="s">
        <v>13412</v>
      </c>
      <c r="F4020" s="490">
        <v>2940</v>
      </c>
      <c r="G4020" s="489">
        <v>120.9</v>
      </c>
      <c r="H4020" s="489">
        <v>24.317620000000002</v>
      </c>
      <c r="I4020" s="487" t="s">
        <v>1499</v>
      </c>
      <c r="J4020" s="487" t="s">
        <v>1417</v>
      </c>
    </row>
    <row r="4021" spans="1:10" ht="15" x14ac:dyDescent="0.2">
      <c r="A4021" s="486" t="s">
        <v>1422</v>
      </c>
      <c r="B4021" s="487" t="s">
        <v>1421</v>
      </c>
      <c r="C4021" s="488" t="s">
        <v>13413</v>
      </c>
      <c r="D4021" s="489" t="s">
        <v>13414</v>
      </c>
      <c r="E4021" s="487" t="s">
        <v>13415</v>
      </c>
      <c r="F4021" s="490">
        <v>318144</v>
      </c>
      <c r="G4021" s="489">
        <v>3774</v>
      </c>
      <c r="H4021" s="489">
        <v>84.29889</v>
      </c>
      <c r="I4021" s="487" t="s">
        <v>1499</v>
      </c>
      <c r="J4021" s="487" t="s">
        <v>1423</v>
      </c>
    </row>
    <row r="4022" spans="1:10" ht="15" x14ac:dyDescent="0.2">
      <c r="A4022" s="486" t="s">
        <v>1422</v>
      </c>
      <c r="B4022" s="487" t="s">
        <v>1421</v>
      </c>
      <c r="C4022" s="488" t="s">
        <v>13416</v>
      </c>
      <c r="D4022" s="489" t="s">
        <v>13417</v>
      </c>
      <c r="E4022" s="487" t="s">
        <v>13418</v>
      </c>
      <c r="F4022" s="490">
        <v>6930</v>
      </c>
      <c r="G4022" s="489">
        <v>208</v>
      </c>
      <c r="H4022" s="489">
        <v>33.317309999999999</v>
      </c>
      <c r="I4022" s="487" t="s">
        <v>1499</v>
      </c>
      <c r="J4022" s="487" t="s">
        <v>1423</v>
      </c>
    </row>
    <row r="4023" spans="1:10" ht="15" x14ac:dyDescent="0.2">
      <c r="A4023" s="486" t="s">
        <v>1422</v>
      </c>
      <c r="B4023" s="487" t="s">
        <v>1421</v>
      </c>
      <c r="C4023" s="488" t="s">
        <v>13419</v>
      </c>
      <c r="D4023" s="489" t="s">
        <v>13420</v>
      </c>
      <c r="E4023" s="487" t="s">
        <v>13421</v>
      </c>
      <c r="F4023" s="490">
        <v>38249</v>
      </c>
      <c r="G4023" s="489">
        <v>767</v>
      </c>
      <c r="H4023" s="489">
        <v>49.868319999999997</v>
      </c>
      <c r="I4023" s="487" t="s">
        <v>1499</v>
      </c>
      <c r="J4023" s="487" t="s">
        <v>1423</v>
      </c>
    </row>
    <row r="4024" spans="1:10" ht="15" x14ac:dyDescent="0.2">
      <c r="A4024" s="486" t="s">
        <v>1422</v>
      </c>
      <c r="B4024" s="487" t="s">
        <v>1421</v>
      </c>
      <c r="C4024" s="488" t="s">
        <v>13422</v>
      </c>
      <c r="D4024" s="489" t="s">
        <v>13423</v>
      </c>
      <c r="E4024" s="487" t="s">
        <v>13424</v>
      </c>
      <c r="F4024" s="490">
        <v>52750</v>
      </c>
      <c r="G4024" s="489">
        <v>809</v>
      </c>
      <c r="H4024" s="489">
        <v>65.203959999999995</v>
      </c>
      <c r="I4024" s="487" t="s">
        <v>1499</v>
      </c>
      <c r="J4024" s="487" t="s">
        <v>1423</v>
      </c>
    </row>
    <row r="4025" spans="1:10" ht="15" x14ac:dyDescent="0.2">
      <c r="A4025" s="486" t="s">
        <v>1422</v>
      </c>
      <c r="B4025" s="487" t="s">
        <v>1421</v>
      </c>
      <c r="C4025" s="488" t="s">
        <v>13425</v>
      </c>
      <c r="D4025" s="489" t="s">
        <v>13426</v>
      </c>
      <c r="E4025" s="487" t="s">
        <v>13427</v>
      </c>
      <c r="F4025" s="490">
        <v>6263</v>
      </c>
      <c r="G4025" s="489">
        <v>471</v>
      </c>
      <c r="H4025" s="489">
        <v>13.29724</v>
      </c>
      <c r="I4025" s="487" t="s">
        <v>1499</v>
      </c>
      <c r="J4025" s="487" t="s">
        <v>1423</v>
      </c>
    </row>
    <row r="4026" spans="1:10" ht="15" x14ac:dyDescent="0.2">
      <c r="A4026" s="486" t="s">
        <v>1422</v>
      </c>
      <c r="B4026" s="487" t="s">
        <v>1421</v>
      </c>
      <c r="C4026" s="488" t="s">
        <v>13428</v>
      </c>
      <c r="D4026" s="489" t="s">
        <v>13429</v>
      </c>
      <c r="E4026" s="487" t="s">
        <v>13430</v>
      </c>
      <c r="F4026" s="490">
        <v>0</v>
      </c>
      <c r="G4026" s="489">
        <v>98</v>
      </c>
      <c r="H4026" s="489">
        <v>0</v>
      </c>
      <c r="I4026" s="487" t="s">
        <v>1593</v>
      </c>
      <c r="J4026" s="487" t="s">
        <v>1423</v>
      </c>
    </row>
    <row r="4027" spans="1:10" ht="15" x14ac:dyDescent="0.2">
      <c r="A4027" s="486" t="s">
        <v>1422</v>
      </c>
      <c r="B4027" s="487" t="s">
        <v>1421</v>
      </c>
      <c r="C4027" s="488" t="s">
        <v>13431</v>
      </c>
      <c r="D4027" s="489" t="s">
        <v>13432</v>
      </c>
      <c r="E4027" s="487" t="s">
        <v>13433</v>
      </c>
      <c r="F4027" s="490">
        <v>61700</v>
      </c>
      <c r="G4027" s="489">
        <v>1332</v>
      </c>
      <c r="H4027" s="489">
        <v>46.32132</v>
      </c>
      <c r="I4027" s="487" t="s">
        <v>1499</v>
      </c>
      <c r="J4027" s="487" t="s">
        <v>1423</v>
      </c>
    </row>
    <row r="4028" spans="1:10" ht="15" x14ac:dyDescent="0.2">
      <c r="A4028" s="486" t="s">
        <v>1422</v>
      </c>
      <c r="B4028" s="487" t="s">
        <v>1421</v>
      </c>
      <c r="C4028" s="488" t="s">
        <v>13434</v>
      </c>
      <c r="D4028" s="489" t="s">
        <v>13435</v>
      </c>
      <c r="E4028" s="487" t="s">
        <v>13436</v>
      </c>
      <c r="F4028" s="490">
        <v>3978</v>
      </c>
      <c r="G4028" s="489">
        <v>81</v>
      </c>
      <c r="H4028" s="489">
        <v>49.111109999999996</v>
      </c>
      <c r="I4028" s="487" t="s">
        <v>1499</v>
      </c>
      <c r="J4028" s="487" t="s">
        <v>1423</v>
      </c>
    </row>
    <row r="4029" spans="1:10" ht="15" x14ac:dyDescent="0.2">
      <c r="A4029" s="486" t="s">
        <v>1422</v>
      </c>
      <c r="B4029" s="487" t="s">
        <v>1421</v>
      </c>
      <c r="C4029" s="488" t="s">
        <v>13437</v>
      </c>
      <c r="D4029" s="489" t="s">
        <v>13438</v>
      </c>
      <c r="E4029" s="487" t="s">
        <v>13439</v>
      </c>
      <c r="F4029" s="490">
        <v>17570</v>
      </c>
      <c r="G4029" s="489">
        <v>288</v>
      </c>
      <c r="H4029" s="489">
        <v>61.00694</v>
      </c>
      <c r="I4029" s="487" t="s">
        <v>1499</v>
      </c>
      <c r="J4029" s="487" t="s">
        <v>1423</v>
      </c>
    </row>
    <row r="4030" spans="1:10" ht="15" x14ac:dyDescent="0.2">
      <c r="A4030" s="486" t="s">
        <v>1422</v>
      </c>
      <c r="B4030" s="487" t="s">
        <v>1421</v>
      </c>
      <c r="C4030" s="488" t="s">
        <v>13440</v>
      </c>
      <c r="D4030" s="489" t="s">
        <v>13441</v>
      </c>
      <c r="E4030" s="487" t="s">
        <v>13442</v>
      </c>
      <c r="F4030" s="490">
        <v>527511</v>
      </c>
      <c r="G4030" s="489">
        <v>7256</v>
      </c>
      <c r="H4030" s="489">
        <v>72.699969999999993</v>
      </c>
      <c r="I4030" s="487" t="s">
        <v>1499</v>
      </c>
      <c r="J4030" s="487" t="s">
        <v>1423</v>
      </c>
    </row>
    <row r="4031" spans="1:10" ht="15" x14ac:dyDescent="0.2">
      <c r="A4031" s="486" t="s">
        <v>1422</v>
      </c>
      <c r="B4031" s="487" t="s">
        <v>1421</v>
      </c>
      <c r="C4031" s="488" t="s">
        <v>13443</v>
      </c>
      <c r="D4031" s="489" t="s">
        <v>13444</v>
      </c>
      <c r="E4031" s="487" t="s">
        <v>13445</v>
      </c>
      <c r="F4031" s="490">
        <v>19548</v>
      </c>
      <c r="G4031" s="489">
        <v>366</v>
      </c>
      <c r="H4031" s="489">
        <v>53.409840000000003</v>
      </c>
      <c r="I4031" s="487" t="s">
        <v>1499</v>
      </c>
      <c r="J4031" s="487" t="s">
        <v>1423</v>
      </c>
    </row>
    <row r="4032" spans="1:10" ht="15" x14ac:dyDescent="0.2">
      <c r="A4032" s="486" t="s">
        <v>1422</v>
      </c>
      <c r="B4032" s="487" t="s">
        <v>1421</v>
      </c>
      <c r="C4032" s="488" t="s">
        <v>13446</v>
      </c>
      <c r="D4032" s="489" t="s">
        <v>13447</v>
      </c>
      <c r="E4032" s="487" t="s">
        <v>13448</v>
      </c>
      <c r="F4032" s="490">
        <v>107639</v>
      </c>
      <c r="G4032" s="489">
        <v>2131</v>
      </c>
      <c r="H4032" s="489">
        <v>50.511029999999998</v>
      </c>
      <c r="I4032" s="487" t="s">
        <v>1499</v>
      </c>
      <c r="J4032" s="487" t="s">
        <v>1423</v>
      </c>
    </row>
    <row r="4033" spans="1:10" ht="15" x14ac:dyDescent="0.2">
      <c r="A4033" s="486" t="s">
        <v>1422</v>
      </c>
      <c r="B4033" s="487" t="s">
        <v>1421</v>
      </c>
      <c r="C4033" s="488" t="s">
        <v>13449</v>
      </c>
      <c r="D4033" s="489" t="s">
        <v>13450</v>
      </c>
      <c r="E4033" s="487" t="s">
        <v>13451</v>
      </c>
      <c r="F4033" s="490">
        <v>1224286</v>
      </c>
      <c r="G4033" s="489">
        <v>17757</v>
      </c>
      <c r="H4033" s="489">
        <v>68.946669999999997</v>
      </c>
      <c r="I4033" s="487" t="s">
        <v>1499</v>
      </c>
      <c r="J4033" s="487" t="s">
        <v>1423</v>
      </c>
    </row>
    <row r="4034" spans="1:10" ht="15" x14ac:dyDescent="0.2">
      <c r="A4034" s="486" t="s">
        <v>968</v>
      </c>
      <c r="B4034" s="487" t="s">
        <v>967</v>
      </c>
      <c r="C4034" s="488" t="s">
        <v>13452</v>
      </c>
      <c r="D4034" s="489" t="s">
        <v>13453</v>
      </c>
      <c r="E4034" s="487" t="s">
        <v>13454</v>
      </c>
      <c r="F4034" s="490">
        <v>25852</v>
      </c>
      <c r="G4034" s="489">
        <v>385.02</v>
      </c>
      <c r="H4034" s="489">
        <v>67.144559999999998</v>
      </c>
      <c r="I4034" s="487" t="s">
        <v>1499</v>
      </c>
      <c r="J4034" s="487" t="s">
        <v>969</v>
      </c>
    </row>
    <row r="4035" spans="1:10" ht="15" x14ac:dyDescent="0.2">
      <c r="A4035" s="486" t="s">
        <v>968</v>
      </c>
      <c r="B4035" s="487" t="s">
        <v>967</v>
      </c>
      <c r="C4035" s="488" t="s">
        <v>13455</v>
      </c>
      <c r="D4035" s="489" t="s">
        <v>13456</v>
      </c>
      <c r="E4035" s="487" t="s">
        <v>13457</v>
      </c>
      <c r="F4035" s="490">
        <v>14175</v>
      </c>
      <c r="G4035" s="489">
        <v>363.76</v>
      </c>
      <c r="H4035" s="489">
        <v>38.968000000000004</v>
      </c>
      <c r="I4035" s="487" t="s">
        <v>2465</v>
      </c>
      <c r="J4035" s="487" t="s">
        <v>969</v>
      </c>
    </row>
    <row r="4036" spans="1:10" ht="15" x14ac:dyDescent="0.2">
      <c r="A4036" s="486" t="s">
        <v>968</v>
      </c>
      <c r="B4036" s="487" t="s">
        <v>967</v>
      </c>
      <c r="C4036" s="488" t="s">
        <v>13458</v>
      </c>
      <c r="D4036" s="489" t="s">
        <v>13459</v>
      </c>
      <c r="E4036" s="487" t="s">
        <v>13460</v>
      </c>
      <c r="F4036" s="490">
        <v>14875</v>
      </c>
      <c r="G4036" s="489">
        <v>494.34</v>
      </c>
      <c r="H4036" s="489">
        <v>30.090630000000001</v>
      </c>
      <c r="I4036" s="487" t="s">
        <v>1499</v>
      </c>
      <c r="J4036" s="487" t="s">
        <v>969</v>
      </c>
    </row>
    <row r="4037" spans="1:10" ht="15" x14ac:dyDescent="0.2">
      <c r="A4037" s="486" t="s">
        <v>968</v>
      </c>
      <c r="B4037" s="487" t="s">
        <v>967</v>
      </c>
      <c r="C4037" s="488" t="s">
        <v>13461</v>
      </c>
      <c r="D4037" s="489" t="s">
        <v>13462</v>
      </c>
      <c r="E4037" s="487" t="s">
        <v>13463</v>
      </c>
      <c r="F4037" s="490">
        <v>10455</v>
      </c>
      <c r="G4037" s="489">
        <v>221.33</v>
      </c>
      <c r="H4037" s="489">
        <v>47.237160000000003</v>
      </c>
      <c r="I4037" s="487" t="s">
        <v>1499</v>
      </c>
      <c r="J4037" s="487" t="s">
        <v>969</v>
      </c>
    </row>
    <row r="4038" spans="1:10" ht="15" x14ac:dyDescent="0.2">
      <c r="A4038" s="486" t="s">
        <v>968</v>
      </c>
      <c r="B4038" s="487" t="s">
        <v>967</v>
      </c>
      <c r="C4038" s="488" t="s">
        <v>13464</v>
      </c>
      <c r="D4038" s="489" t="s">
        <v>13465</v>
      </c>
      <c r="E4038" s="487" t="s">
        <v>13466</v>
      </c>
      <c r="F4038" s="490">
        <v>3000</v>
      </c>
      <c r="G4038" s="489">
        <v>150.44999999999999</v>
      </c>
      <c r="H4038" s="489">
        <v>19.940180000000002</v>
      </c>
      <c r="I4038" s="487" t="s">
        <v>1499</v>
      </c>
      <c r="J4038" s="487" t="s">
        <v>969</v>
      </c>
    </row>
    <row r="4039" spans="1:10" ht="15" x14ac:dyDescent="0.2">
      <c r="A4039" s="486" t="s">
        <v>968</v>
      </c>
      <c r="B4039" s="487" t="s">
        <v>967</v>
      </c>
      <c r="C4039" s="488" t="s">
        <v>13467</v>
      </c>
      <c r="D4039" s="489" t="s">
        <v>13468</v>
      </c>
      <c r="E4039" s="487" t="s">
        <v>13469</v>
      </c>
      <c r="F4039" s="490">
        <v>2220</v>
      </c>
      <c r="G4039" s="489">
        <v>117.55</v>
      </c>
      <c r="H4039" s="489">
        <v>18.885580000000001</v>
      </c>
      <c r="I4039" s="487" t="s">
        <v>1499</v>
      </c>
      <c r="J4039" s="487" t="s">
        <v>969</v>
      </c>
    </row>
    <row r="4040" spans="1:10" ht="15" x14ac:dyDescent="0.2">
      <c r="A4040" s="486" t="s">
        <v>968</v>
      </c>
      <c r="B4040" s="487" t="s">
        <v>967</v>
      </c>
      <c r="C4040" s="488" t="s">
        <v>13470</v>
      </c>
      <c r="D4040" s="489" t="s">
        <v>13471</v>
      </c>
      <c r="E4040" s="487" t="s">
        <v>13472</v>
      </c>
      <c r="F4040" s="490">
        <v>0</v>
      </c>
      <c r="G4040" s="489">
        <v>0</v>
      </c>
      <c r="H4040" s="489">
        <v>0</v>
      </c>
      <c r="I4040" s="487" t="s">
        <v>2465</v>
      </c>
      <c r="J4040" s="487" t="s">
        <v>969</v>
      </c>
    </row>
    <row r="4041" spans="1:10" ht="15" x14ac:dyDescent="0.2">
      <c r="A4041" s="486" t="s">
        <v>968</v>
      </c>
      <c r="B4041" s="487" t="s">
        <v>967</v>
      </c>
      <c r="C4041" s="488" t="s">
        <v>13473</v>
      </c>
      <c r="D4041" s="489" t="s">
        <v>13474</v>
      </c>
      <c r="E4041" s="487" t="s">
        <v>13475</v>
      </c>
      <c r="F4041" s="490">
        <v>0</v>
      </c>
      <c r="G4041" s="489">
        <v>0</v>
      </c>
      <c r="H4041" s="489">
        <v>0</v>
      </c>
      <c r="I4041" s="487" t="s">
        <v>2465</v>
      </c>
      <c r="J4041" s="487" t="s">
        <v>969</v>
      </c>
    </row>
    <row r="4042" spans="1:10" ht="15" x14ac:dyDescent="0.2">
      <c r="A4042" s="486" t="s">
        <v>968</v>
      </c>
      <c r="B4042" s="487" t="s">
        <v>967</v>
      </c>
      <c r="C4042" s="488" t="s">
        <v>13476</v>
      </c>
      <c r="D4042" s="489" t="s">
        <v>13477</v>
      </c>
      <c r="E4042" s="487" t="s">
        <v>13478</v>
      </c>
      <c r="F4042" s="490">
        <v>45949.26</v>
      </c>
      <c r="G4042" s="489">
        <v>937.74</v>
      </c>
      <c r="H4042" s="489">
        <v>49</v>
      </c>
      <c r="I4042" s="487" t="s">
        <v>1499</v>
      </c>
      <c r="J4042" s="487" t="s">
        <v>969</v>
      </c>
    </row>
    <row r="4043" spans="1:10" ht="15" x14ac:dyDescent="0.2">
      <c r="A4043" s="486" t="s">
        <v>968</v>
      </c>
      <c r="B4043" s="487" t="s">
        <v>967</v>
      </c>
      <c r="C4043" s="488" t="s">
        <v>13479</v>
      </c>
      <c r="D4043" s="489" t="s">
        <v>13480</v>
      </c>
      <c r="E4043" s="487" t="s">
        <v>13481</v>
      </c>
      <c r="F4043" s="490">
        <v>19683</v>
      </c>
      <c r="G4043" s="489">
        <v>307.51</v>
      </c>
      <c r="H4043" s="489">
        <v>64.007670000000005</v>
      </c>
      <c r="I4043" s="487" t="s">
        <v>2465</v>
      </c>
      <c r="J4043" s="487" t="s">
        <v>969</v>
      </c>
    </row>
    <row r="4044" spans="1:10" ht="15" x14ac:dyDescent="0.2">
      <c r="A4044" s="486" t="s">
        <v>968</v>
      </c>
      <c r="B4044" s="487" t="s">
        <v>967</v>
      </c>
      <c r="C4044" s="488" t="s">
        <v>13482</v>
      </c>
      <c r="D4044" s="489" t="s">
        <v>13483</v>
      </c>
      <c r="E4044" s="487" t="s">
        <v>13484</v>
      </c>
      <c r="F4044" s="490">
        <v>11000</v>
      </c>
      <c r="G4044" s="489">
        <v>127.08</v>
      </c>
      <c r="H4044" s="489">
        <v>86.559650000000005</v>
      </c>
      <c r="I4044" s="487" t="s">
        <v>1499</v>
      </c>
      <c r="J4044" s="487" t="s">
        <v>969</v>
      </c>
    </row>
    <row r="4045" spans="1:10" ht="15" x14ac:dyDescent="0.2">
      <c r="A4045" s="486" t="s">
        <v>968</v>
      </c>
      <c r="B4045" s="487" t="s">
        <v>967</v>
      </c>
      <c r="C4045" s="488" t="s">
        <v>13485</v>
      </c>
      <c r="D4045" s="489" t="s">
        <v>13486</v>
      </c>
      <c r="E4045" s="487" t="s">
        <v>13487</v>
      </c>
      <c r="F4045" s="490">
        <v>5522</v>
      </c>
      <c r="G4045" s="489">
        <v>297.70999999999998</v>
      </c>
      <c r="H4045" s="489">
        <v>18.548249999999999</v>
      </c>
      <c r="I4045" s="487" t="s">
        <v>1499</v>
      </c>
      <c r="J4045" s="487" t="s">
        <v>969</v>
      </c>
    </row>
    <row r="4046" spans="1:10" ht="15" x14ac:dyDescent="0.2">
      <c r="A4046" s="486" t="s">
        <v>968</v>
      </c>
      <c r="B4046" s="487" t="s">
        <v>967</v>
      </c>
      <c r="C4046" s="488" t="s">
        <v>13488</v>
      </c>
      <c r="D4046" s="489" t="s">
        <v>13489</v>
      </c>
      <c r="E4046" s="487" t="s">
        <v>13490</v>
      </c>
      <c r="F4046" s="490">
        <v>37207.5</v>
      </c>
      <c r="G4046" s="489">
        <v>379.41</v>
      </c>
      <c r="H4046" s="489">
        <v>98.066739999999996</v>
      </c>
      <c r="I4046" s="487" t="s">
        <v>1499</v>
      </c>
      <c r="J4046" s="487" t="s">
        <v>969</v>
      </c>
    </row>
    <row r="4047" spans="1:10" ht="15" x14ac:dyDescent="0.2">
      <c r="A4047" s="486" t="s">
        <v>968</v>
      </c>
      <c r="B4047" s="487" t="s">
        <v>967</v>
      </c>
      <c r="C4047" s="488" t="s">
        <v>13491</v>
      </c>
      <c r="D4047" s="489" t="s">
        <v>13492</v>
      </c>
      <c r="E4047" s="487" t="s">
        <v>13493</v>
      </c>
      <c r="F4047" s="490">
        <v>0</v>
      </c>
      <c r="G4047" s="489">
        <v>0</v>
      </c>
      <c r="H4047" s="489">
        <v>0</v>
      </c>
      <c r="I4047" s="487" t="s">
        <v>2465</v>
      </c>
      <c r="J4047" s="487" t="s">
        <v>969</v>
      </c>
    </row>
    <row r="4048" spans="1:10" ht="15" x14ac:dyDescent="0.2">
      <c r="A4048" s="486" t="s">
        <v>968</v>
      </c>
      <c r="B4048" s="487" t="s">
        <v>967</v>
      </c>
      <c r="C4048" s="488" t="s">
        <v>13494</v>
      </c>
      <c r="D4048" s="489" t="s">
        <v>13495</v>
      </c>
      <c r="E4048" s="487" t="s">
        <v>13496</v>
      </c>
      <c r="F4048" s="490">
        <v>0</v>
      </c>
      <c r="G4048" s="489">
        <v>0</v>
      </c>
      <c r="H4048" s="489">
        <v>0</v>
      </c>
      <c r="I4048" s="487" t="s">
        <v>2465</v>
      </c>
      <c r="J4048" s="487" t="s">
        <v>969</v>
      </c>
    </row>
    <row r="4049" spans="1:10" ht="15" x14ac:dyDescent="0.2">
      <c r="A4049" s="486" t="s">
        <v>968</v>
      </c>
      <c r="B4049" s="487" t="s">
        <v>967</v>
      </c>
      <c r="C4049" s="488" t="s">
        <v>13497</v>
      </c>
      <c r="D4049" s="489" t="s">
        <v>13498</v>
      </c>
      <c r="E4049" s="487" t="s">
        <v>13499</v>
      </c>
      <c r="F4049" s="490">
        <v>0</v>
      </c>
      <c r="G4049" s="489">
        <v>0</v>
      </c>
      <c r="H4049" s="489">
        <v>0</v>
      </c>
      <c r="I4049" s="487" t="s">
        <v>2465</v>
      </c>
      <c r="J4049" s="487" t="s">
        <v>969</v>
      </c>
    </row>
    <row r="4050" spans="1:10" ht="15" x14ac:dyDescent="0.2">
      <c r="A4050" s="486" t="s">
        <v>968</v>
      </c>
      <c r="B4050" s="487" t="s">
        <v>967</v>
      </c>
      <c r="C4050" s="488" t="s">
        <v>13500</v>
      </c>
      <c r="D4050" s="489" t="s">
        <v>13501</v>
      </c>
      <c r="E4050" s="487" t="s">
        <v>13502</v>
      </c>
      <c r="F4050" s="490">
        <v>5300</v>
      </c>
      <c r="G4050" s="489">
        <v>106.7</v>
      </c>
      <c r="H4050" s="489">
        <v>49.671979999999998</v>
      </c>
      <c r="I4050" s="487" t="s">
        <v>1499</v>
      </c>
      <c r="J4050" s="487" t="s">
        <v>969</v>
      </c>
    </row>
    <row r="4051" spans="1:10" ht="15" x14ac:dyDescent="0.2">
      <c r="A4051" s="486" t="s">
        <v>968</v>
      </c>
      <c r="B4051" s="487" t="s">
        <v>967</v>
      </c>
      <c r="C4051" s="488" t="s">
        <v>13503</v>
      </c>
      <c r="D4051" s="489" t="s">
        <v>13504</v>
      </c>
      <c r="E4051" s="487" t="s">
        <v>13505</v>
      </c>
      <c r="F4051" s="490">
        <v>9941</v>
      </c>
      <c r="G4051" s="489">
        <v>111.34</v>
      </c>
      <c r="H4051" s="489">
        <v>89.285070000000005</v>
      </c>
      <c r="I4051" s="487" t="s">
        <v>1499</v>
      </c>
      <c r="J4051" s="487" t="s">
        <v>969</v>
      </c>
    </row>
    <row r="4052" spans="1:10" ht="15" x14ac:dyDescent="0.2">
      <c r="A4052" s="486" t="s">
        <v>968</v>
      </c>
      <c r="B4052" s="487" t="s">
        <v>967</v>
      </c>
      <c r="C4052" s="488" t="s">
        <v>13506</v>
      </c>
      <c r="D4052" s="489" t="s">
        <v>13507</v>
      </c>
      <c r="E4052" s="487" t="s">
        <v>13508</v>
      </c>
      <c r="F4052" s="490">
        <v>2200</v>
      </c>
      <c r="G4052" s="489">
        <v>300.8</v>
      </c>
      <c r="H4052" s="489">
        <v>7.3138300000000003</v>
      </c>
      <c r="I4052" s="487" t="s">
        <v>1499</v>
      </c>
      <c r="J4052" s="487" t="s">
        <v>969</v>
      </c>
    </row>
    <row r="4053" spans="1:10" ht="15" x14ac:dyDescent="0.2">
      <c r="A4053" s="486" t="s">
        <v>968</v>
      </c>
      <c r="B4053" s="487" t="s">
        <v>967</v>
      </c>
      <c r="C4053" s="488" t="s">
        <v>13509</v>
      </c>
      <c r="D4053" s="489" t="s">
        <v>13510</v>
      </c>
      <c r="E4053" s="487" t="s">
        <v>13511</v>
      </c>
      <c r="F4053" s="490">
        <v>12000</v>
      </c>
      <c r="G4053" s="489">
        <v>408.51</v>
      </c>
      <c r="H4053" s="489">
        <v>29.375050000000002</v>
      </c>
      <c r="I4053" s="487" t="s">
        <v>2465</v>
      </c>
      <c r="J4053" s="487" t="s">
        <v>969</v>
      </c>
    </row>
    <row r="4054" spans="1:10" ht="15" x14ac:dyDescent="0.2">
      <c r="A4054" s="486" t="s">
        <v>968</v>
      </c>
      <c r="B4054" s="487" t="s">
        <v>967</v>
      </c>
      <c r="C4054" s="488" t="s">
        <v>13512</v>
      </c>
      <c r="D4054" s="489" t="s">
        <v>13513</v>
      </c>
      <c r="E4054" s="487" t="s">
        <v>13514</v>
      </c>
      <c r="F4054" s="490">
        <v>22020.6</v>
      </c>
      <c r="G4054" s="489">
        <v>306.5</v>
      </c>
      <c r="H4054" s="489">
        <v>71.845349999999996</v>
      </c>
      <c r="I4054" s="487" t="s">
        <v>1499</v>
      </c>
      <c r="J4054" s="487" t="s">
        <v>969</v>
      </c>
    </row>
    <row r="4055" spans="1:10" ht="15" x14ac:dyDescent="0.2">
      <c r="A4055" s="486" t="s">
        <v>968</v>
      </c>
      <c r="B4055" s="487" t="s">
        <v>967</v>
      </c>
      <c r="C4055" s="488" t="s">
        <v>13515</v>
      </c>
      <c r="D4055" s="489" t="s">
        <v>13516</v>
      </c>
      <c r="E4055" s="487" t="s">
        <v>13517</v>
      </c>
      <c r="F4055" s="490">
        <v>13348</v>
      </c>
      <c r="G4055" s="489">
        <v>126.74</v>
      </c>
      <c r="H4055" s="489">
        <v>105.31797</v>
      </c>
      <c r="I4055" s="487" t="s">
        <v>1499</v>
      </c>
      <c r="J4055" s="487" t="s">
        <v>969</v>
      </c>
    </row>
    <row r="4056" spans="1:10" ht="15" x14ac:dyDescent="0.2">
      <c r="A4056" s="486" t="s">
        <v>968</v>
      </c>
      <c r="B4056" s="487" t="s">
        <v>967</v>
      </c>
      <c r="C4056" s="488" t="s">
        <v>13518</v>
      </c>
      <c r="D4056" s="489" t="s">
        <v>13519</v>
      </c>
      <c r="E4056" s="487" t="s">
        <v>13520</v>
      </c>
      <c r="F4056" s="490">
        <v>45500</v>
      </c>
      <c r="G4056" s="489">
        <v>707.26</v>
      </c>
      <c r="H4056" s="489">
        <v>64.33278</v>
      </c>
      <c r="I4056" s="487" t="s">
        <v>1499</v>
      </c>
      <c r="J4056" s="487" t="s">
        <v>969</v>
      </c>
    </row>
    <row r="4057" spans="1:10" ht="15" x14ac:dyDescent="0.2">
      <c r="A4057" s="486" t="s">
        <v>968</v>
      </c>
      <c r="B4057" s="487" t="s">
        <v>967</v>
      </c>
      <c r="C4057" s="488" t="s">
        <v>13521</v>
      </c>
      <c r="D4057" s="489" t="s">
        <v>13522</v>
      </c>
      <c r="E4057" s="487" t="s">
        <v>13523</v>
      </c>
      <c r="F4057" s="490">
        <v>2200</v>
      </c>
      <c r="G4057" s="489">
        <v>134.27000000000001</v>
      </c>
      <c r="H4057" s="489">
        <v>16.384899999999998</v>
      </c>
      <c r="I4057" s="487" t="s">
        <v>1499</v>
      </c>
      <c r="J4057" s="487" t="s">
        <v>969</v>
      </c>
    </row>
    <row r="4058" spans="1:10" ht="15" x14ac:dyDescent="0.2">
      <c r="A4058" s="486" t="s">
        <v>968</v>
      </c>
      <c r="B4058" s="487" t="s">
        <v>967</v>
      </c>
      <c r="C4058" s="488" t="s">
        <v>13524</v>
      </c>
      <c r="D4058" s="489" t="s">
        <v>13525</v>
      </c>
      <c r="E4058" s="487" t="s">
        <v>13526</v>
      </c>
      <c r="F4058" s="490">
        <v>23000</v>
      </c>
      <c r="G4058" s="489">
        <v>677.99</v>
      </c>
      <c r="H4058" s="489">
        <v>33.9238</v>
      </c>
      <c r="I4058" s="487" t="s">
        <v>1499</v>
      </c>
      <c r="J4058" s="487" t="s">
        <v>969</v>
      </c>
    </row>
    <row r="4059" spans="1:10" ht="15" x14ac:dyDescent="0.2">
      <c r="A4059" s="486" t="s">
        <v>968</v>
      </c>
      <c r="B4059" s="487" t="s">
        <v>967</v>
      </c>
      <c r="C4059" s="488" t="s">
        <v>13527</v>
      </c>
      <c r="D4059" s="489" t="s">
        <v>13528</v>
      </c>
      <c r="E4059" s="487" t="s">
        <v>13529</v>
      </c>
      <c r="F4059" s="490">
        <v>4280</v>
      </c>
      <c r="G4059" s="489">
        <v>72.73</v>
      </c>
      <c r="H4059" s="489">
        <v>58.847790000000003</v>
      </c>
      <c r="I4059" s="487" t="s">
        <v>1499</v>
      </c>
      <c r="J4059" s="487" t="s">
        <v>969</v>
      </c>
    </row>
    <row r="4060" spans="1:10" ht="15" x14ac:dyDescent="0.2">
      <c r="A4060" s="486" t="s">
        <v>968</v>
      </c>
      <c r="B4060" s="487" t="s">
        <v>967</v>
      </c>
      <c r="C4060" s="488" t="s">
        <v>13530</v>
      </c>
      <c r="D4060" s="489" t="s">
        <v>13531</v>
      </c>
      <c r="E4060" s="487" t="s">
        <v>13532</v>
      </c>
      <c r="F4060" s="490">
        <v>0</v>
      </c>
      <c r="G4060" s="489">
        <v>0</v>
      </c>
      <c r="H4060" s="489">
        <v>0</v>
      </c>
      <c r="I4060" s="487" t="s">
        <v>2465</v>
      </c>
      <c r="J4060" s="487" t="s">
        <v>969</v>
      </c>
    </row>
    <row r="4061" spans="1:10" ht="15" x14ac:dyDescent="0.2">
      <c r="A4061" s="486" t="s">
        <v>968</v>
      </c>
      <c r="B4061" s="487" t="s">
        <v>967</v>
      </c>
      <c r="C4061" s="488" t="s">
        <v>13533</v>
      </c>
      <c r="D4061" s="489" t="s">
        <v>13534</v>
      </c>
      <c r="E4061" s="487" t="s">
        <v>13535</v>
      </c>
      <c r="F4061" s="490">
        <v>0</v>
      </c>
      <c r="G4061" s="489">
        <v>0</v>
      </c>
      <c r="H4061" s="489">
        <v>0</v>
      </c>
      <c r="I4061" s="487" t="s">
        <v>2465</v>
      </c>
      <c r="J4061" s="487" t="s">
        <v>969</v>
      </c>
    </row>
    <row r="4062" spans="1:10" ht="15" x14ac:dyDescent="0.2">
      <c r="A4062" s="486" t="s">
        <v>968</v>
      </c>
      <c r="B4062" s="487" t="s">
        <v>967</v>
      </c>
      <c r="C4062" s="488" t="s">
        <v>13536</v>
      </c>
      <c r="D4062" s="489" t="s">
        <v>13537</v>
      </c>
      <c r="E4062" s="487" t="s">
        <v>8619</v>
      </c>
      <c r="F4062" s="490">
        <v>13775</v>
      </c>
      <c r="G4062" s="489">
        <v>290.13</v>
      </c>
      <c r="H4062" s="489">
        <v>47.478720000000003</v>
      </c>
      <c r="I4062" s="487" t="s">
        <v>1499</v>
      </c>
      <c r="J4062" s="487" t="s">
        <v>969</v>
      </c>
    </row>
    <row r="4063" spans="1:10" ht="15" x14ac:dyDescent="0.2">
      <c r="A4063" s="486" t="s">
        <v>968</v>
      </c>
      <c r="B4063" s="487" t="s">
        <v>967</v>
      </c>
      <c r="C4063" s="488" t="s">
        <v>13538</v>
      </c>
      <c r="D4063" s="489" t="s">
        <v>13539</v>
      </c>
      <c r="E4063" s="487" t="s">
        <v>13540</v>
      </c>
      <c r="F4063" s="490">
        <v>169446</v>
      </c>
      <c r="G4063" s="489">
        <v>1846.43</v>
      </c>
      <c r="H4063" s="489">
        <v>91.76952</v>
      </c>
      <c r="I4063" s="487" t="s">
        <v>1499</v>
      </c>
      <c r="J4063" s="487" t="s">
        <v>969</v>
      </c>
    </row>
    <row r="4064" spans="1:10" ht="15" x14ac:dyDescent="0.2">
      <c r="A4064" s="486" t="s">
        <v>968</v>
      </c>
      <c r="B4064" s="487" t="s">
        <v>967</v>
      </c>
      <c r="C4064" s="488" t="s">
        <v>13541</v>
      </c>
      <c r="D4064" s="489" t="s">
        <v>13542</v>
      </c>
      <c r="E4064" s="487" t="s">
        <v>13543</v>
      </c>
      <c r="F4064" s="490">
        <v>11031.56</v>
      </c>
      <c r="G4064" s="489">
        <v>255.68</v>
      </c>
      <c r="H4064" s="489">
        <v>43.145960000000002</v>
      </c>
      <c r="I4064" s="487" t="s">
        <v>2465</v>
      </c>
      <c r="J4064" s="487" t="s">
        <v>969</v>
      </c>
    </row>
    <row r="4065" spans="1:10" ht="15" x14ac:dyDescent="0.2">
      <c r="A4065" s="486" t="s">
        <v>968</v>
      </c>
      <c r="B4065" s="487" t="s">
        <v>967</v>
      </c>
      <c r="C4065" s="488" t="s">
        <v>13544</v>
      </c>
      <c r="D4065" s="489" t="s">
        <v>13545</v>
      </c>
      <c r="E4065" s="487" t="s">
        <v>13546</v>
      </c>
      <c r="F4065" s="490">
        <v>10000</v>
      </c>
      <c r="G4065" s="489">
        <v>249.25</v>
      </c>
      <c r="H4065" s="489">
        <v>40.120359999999998</v>
      </c>
      <c r="I4065" s="487" t="s">
        <v>1499</v>
      </c>
      <c r="J4065" s="487" t="s">
        <v>969</v>
      </c>
    </row>
    <row r="4066" spans="1:10" ht="15" x14ac:dyDescent="0.2">
      <c r="A4066" s="486" t="s">
        <v>968</v>
      </c>
      <c r="B4066" s="487" t="s">
        <v>967</v>
      </c>
      <c r="C4066" s="488" t="s">
        <v>13547</v>
      </c>
      <c r="D4066" s="489" t="s">
        <v>13548</v>
      </c>
      <c r="E4066" s="487" t="s">
        <v>13549</v>
      </c>
      <c r="F4066" s="490">
        <v>5454</v>
      </c>
      <c r="G4066" s="489">
        <v>165.09</v>
      </c>
      <c r="H4066" s="489">
        <v>33.036529999999999</v>
      </c>
      <c r="I4066" s="487" t="s">
        <v>2465</v>
      </c>
      <c r="J4066" s="487" t="s">
        <v>969</v>
      </c>
    </row>
    <row r="4067" spans="1:10" ht="15" x14ac:dyDescent="0.2">
      <c r="A4067" s="486" t="s">
        <v>968</v>
      </c>
      <c r="B4067" s="487" t="s">
        <v>967</v>
      </c>
      <c r="C4067" s="488" t="s">
        <v>13550</v>
      </c>
      <c r="D4067" s="489" t="s">
        <v>13551</v>
      </c>
      <c r="E4067" s="487" t="s">
        <v>13552</v>
      </c>
      <c r="F4067" s="490">
        <v>0</v>
      </c>
      <c r="G4067" s="489">
        <v>0</v>
      </c>
      <c r="H4067" s="489">
        <v>0</v>
      </c>
      <c r="I4067" s="487" t="s">
        <v>2465</v>
      </c>
      <c r="J4067" s="487" t="s">
        <v>969</v>
      </c>
    </row>
    <row r="4068" spans="1:10" ht="15" x14ac:dyDescent="0.2">
      <c r="A4068" s="486" t="s">
        <v>968</v>
      </c>
      <c r="B4068" s="487" t="s">
        <v>967</v>
      </c>
      <c r="C4068" s="488" t="s">
        <v>13553</v>
      </c>
      <c r="D4068" s="489" t="s">
        <v>13554</v>
      </c>
      <c r="E4068" s="487" t="s">
        <v>13555</v>
      </c>
      <c r="F4068" s="490">
        <v>25000</v>
      </c>
      <c r="G4068" s="489">
        <v>972.58</v>
      </c>
      <c r="H4068" s="489">
        <v>25.704830000000001</v>
      </c>
      <c r="I4068" s="487" t="s">
        <v>2465</v>
      </c>
      <c r="J4068" s="487" t="s">
        <v>969</v>
      </c>
    </row>
    <row r="4069" spans="1:10" ht="15" x14ac:dyDescent="0.2">
      <c r="A4069" s="486" t="s">
        <v>968</v>
      </c>
      <c r="B4069" s="487" t="s">
        <v>967</v>
      </c>
      <c r="C4069" s="488" t="s">
        <v>13556</v>
      </c>
      <c r="D4069" s="489" t="s">
        <v>13557</v>
      </c>
      <c r="E4069" s="487" t="s">
        <v>13558</v>
      </c>
      <c r="F4069" s="490">
        <v>8000</v>
      </c>
      <c r="G4069" s="489">
        <v>327.02</v>
      </c>
      <c r="H4069" s="489">
        <v>24.463339999999999</v>
      </c>
      <c r="I4069" s="487" t="s">
        <v>1499</v>
      </c>
      <c r="J4069" s="487" t="s">
        <v>969</v>
      </c>
    </row>
    <row r="4070" spans="1:10" ht="15" x14ac:dyDescent="0.2">
      <c r="A4070" s="486" t="s">
        <v>968</v>
      </c>
      <c r="B4070" s="487" t="s">
        <v>967</v>
      </c>
      <c r="C4070" s="488" t="s">
        <v>13559</v>
      </c>
      <c r="D4070" s="489" t="s">
        <v>13560</v>
      </c>
      <c r="E4070" s="487" t="s">
        <v>13561</v>
      </c>
      <c r="F4070" s="490">
        <v>37345</v>
      </c>
      <c r="G4070" s="489">
        <v>672.76</v>
      </c>
      <c r="H4070" s="489">
        <v>55.51014</v>
      </c>
      <c r="I4070" s="487" t="s">
        <v>2465</v>
      </c>
      <c r="J4070" s="487" t="s">
        <v>969</v>
      </c>
    </row>
    <row r="4071" spans="1:10" ht="15" x14ac:dyDescent="0.2">
      <c r="A4071" s="486" t="s">
        <v>968</v>
      </c>
      <c r="B4071" s="487" t="s">
        <v>967</v>
      </c>
      <c r="C4071" s="488" t="s">
        <v>13562</v>
      </c>
      <c r="D4071" s="489" t="s">
        <v>13563</v>
      </c>
      <c r="E4071" s="487" t="s">
        <v>13564</v>
      </c>
      <c r="F4071" s="490">
        <v>5513</v>
      </c>
      <c r="G4071" s="489">
        <v>142.91999999999999</v>
      </c>
      <c r="H4071" s="489">
        <v>38.57403</v>
      </c>
      <c r="I4071" s="487" t="s">
        <v>1499</v>
      </c>
      <c r="J4071" s="487" t="s">
        <v>969</v>
      </c>
    </row>
    <row r="4072" spans="1:10" ht="15" x14ac:dyDescent="0.2">
      <c r="A4072" s="486" t="s">
        <v>968</v>
      </c>
      <c r="B4072" s="487" t="s">
        <v>967</v>
      </c>
      <c r="C4072" s="488" t="s">
        <v>13565</v>
      </c>
      <c r="D4072" s="489" t="s">
        <v>13566</v>
      </c>
      <c r="E4072" s="487" t="s">
        <v>13567</v>
      </c>
      <c r="F4072" s="490">
        <v>16375</v>
      </c>
      <c r="G4072" s="489">
        <v>282.61</v>
      </c>
      <c r="H4072" s="489">
        <v>57.942039999999999</v>
      </c>
      <c r="I4072" s="487" t="s">
        <v>2465</v>
      </c>
      <c r="J4072" s="487" t="s">
        <v>969</v>
      </c>
    </row>
    <row r="4073" spans="1:10" ht="15" x14ac:dyDescent="0.2">
      <c r="A4073" s="486" t="s">
        <v>968</v>
      </c>
      <c r="B4073" s="487" t="s">
        <v>967</v>
      </c>
      <c r="C4073" s="488" t="s">
        <v>13568</v>
      </c>
      <c r="D4073" s="489" t="s">
        <v>13569</v>
      </c>
      <c r="E4073" s="487" t="s">
        <v>13570</v>
      </c>
      <c r="F4073" s="490">
        <v>1200</v>
      </c>
      <c r="G4073" s="489">
        <v>94.59</v>
      </c>
      <c r="H4073" s="489">
        <v>12.68633</v>
      </c>
      <c r="I4073" s="487" t="s">
        <v>1499</v>
      </c>
      <c r="J4073" s="487" t="s">
        <v>969</v>
      </c>
    </row>
    <row r="4074" spans="1:10" ht="15" x14ac:dyDescent="0.2">
      <c r="A4074" s="486" t="s">
        <v>968</v>
      </c>
      <c r="B4074" s="487" t="s">
        <v>967</v>
      </c>
      <c r="C4074" s="488" t="s">
        <v>13571</v>
      </c>
      <c r="D4074" s="489" t="s">
        <v>13572</v>
      </c>
      <c r="E4074" s="487" t="s">
        <v>13573</v>
      </c>
      <c r="F4074" s="490">
        <v>0</v>
      </c>
      <c r="G4074" s="489">
        <v>0</v>
      </c>
      <c r="H4074" s="489">
        <v>0</v>
      </c>
      <c r="I4074" s="487" t="s">
        <v>2465</v>
      </c>
      <c r="J4074" s="487" t="s">
        <v>969</v>
      </c>
    </row>
    <row r="4075" spans="1:10" ht="15" x14ac:dyDescent="0.2">
      <c r="A4075" s="486" t="s">
        <v>968</v>
      </c>
      <c r="B4075" s="487" t="s">
        <v>967</v>
      </c>
      <c r="C4075" s="488" t="s">
        <v>13574</v>
      </c>
      <c r="D4075" s="489" t="s">
        <v>13575</v>
      </c>
      <c r="E4075" s="487" t="s">
        <v>13576</v>
      </c>
      <c r="F4075" s="490">
        <v>2010</v>
      </c>
      <c r="G4075" s="489">
        <v>59.03</v>
      </c>
      <c r="H4075" s="489">
        <v>34.05048</v>
      </c>
      <c r="I4075" s="487" t="s">
        <v>1499</v>
      </c>
      <c r="J4075" s="487" t="s">
        <v>969</v>
      </c>
    </row>
    <row r="4076" spans="1:10" ht="15" x14ac:dyDescent="0.2">
      <c r="A4076" s="486" t="s">
        <v>968</v>
      </c>
      <c r="B4076" s="487" t="s">
        <v>967</v>
      </c>
      <c r="C4076" s="488" t="s">
        <v>13577</v>
      </c>
      <c r="D4076" s="489" t="s">
        <v>13578</v>
      </c>
      <c r="E4076" s="487" t="s">
        <v>13579</v>
      </c>
      <c r="F4076" s="490">
        <v>1428548</v>
      </c>
      <c r="G4076" s="489">
        <v>11194.9</v>
      </c>
      <c r="H4076" s="489">
        <v>127.60704</v>
      </c>
      <c r="I4076" s="487" t="s">
        <v>1499</v>
      </c>
      <c r="J4076" s="487" t="s">
        <v>969</v>
      </c>
    </row>
    <row r="4077" spans="1:10" ht="15" x14ac:dyDescent="0.2">
      <c r="A4077" s="486" t="s">
        <v>968</v>
      </c>
      <c r="B4077" s="487" t="s">
        <v>967</v>
      </c>
      <c r="C4077" s="488" t="s">
        <v>13580</v>
      </c>
      <c r="D4077" s="489" t="s">
        <v>13581</v>
      </c>
      <c r="E4077" s="487" t="s">
        <v>13582</v>
      </c>
      <c r="F4077" s="490">
        <v>179102.48060000001</v>
      </c>
      <c r="G4077" s="489">
        <v>1453.34</v>
      </c>
      <c r="H4077" s="489">
        <v>123.23509</v>
      </c>
      <c r="I4077" s="487" t="s">
        <v>1499</v>
      </c>
      <c r="J4077" s="487" t="s">
        <v>969</v>
      </c>
    </row>
    <row r="4078" spans="1:10" ht="15" x14ac:dyDescent="0.2">
      <c r="A4078" s="486" t="s">
        <v>968</v>
      </c>
      <c r="B4078" s="487" t="s">
        <v>967</v>
      </c>
      <c r="C4078" s="488" t="s">
        <v>13583</v>
      </c>
      <c r="D4078" s="489" t="s">
        <v>13584</v>
      </c>
      <c r="E4078" s="487" t="s">
        <v>13585</v>
      </c>
      <c r="F4078" s="490">
        <v>6500</v>
      </c>
      <c r="G4078" s="489">
        <v>132.91999999999999</v>
      </c>
      <c r="H4078" s="489">
        <v>48.901589999999999</v>
      </c>
      <c r="I4078" s="487" t="s">
        <v>1499</v>
      </c>
      <c r="J4078" s="487" t="s">
        <v>969</v>
      </c>
    </row>
    <row r="4079" spans="1:10" ht="15" x14ac:dyDescent="0.2">
      <c r="A4079" s="486" t="s">
        <v>968</v>
      </c>
      <c r="B4079" s="487" t="s">
        <v>967</v>
      </c>
      <c r="C4079" s="488" t="s">
        <v>13586</v>
      </c>
      <c r="D4079" s="489" t="s">
        <v>13587</v>
      </c>
      <c r="E4079" s="487" t="s">
        <v>13588</v>
      </c>
      <c r="F4079" s="490">
        <v>45000</v>
      </c>
      <c r="G4079" s="489">
        <v>610.73</v>
      </c>
      <c r="H4079" s="489">
        <v>73.682310000000001</v>
      </c>
      <c r="I4079" s="487" t="s">
        <v>1499</v>
      </c>
      <c r="J4079" s="487" t="s">
        <v>969</v>
      </c>
    </row>
    <row r="4080" spans="1:10" ht="15" x14ac:dyDescent="0.2">
      <c r="A4080" s="486" t="s">
        <v>968</v>
      </c>
      <c r="B4080" s="487" t="s">
        <v>967</v>
      </c>
      <c r="C4080" s="488" t="s">
        <v>13589</v>
      </c>
      <c r="D4080" s="489" t="s">
        <v>13590</v>
      </c>
      <c r="E4080" s="487" t="s">
        <v>11209</v>
      </c>
      <c r="F4080" s="490">
        <v>6000</v>
      </c>
      <c r="G4080" s="489">
        <v>138.97</v>
      </c>
      <c r="H4080" s="489">
        <v>43.174790000000002</v>
      </c>
      <c r="I4080" s="487" t="s">
        <v>1499</v>
      </c>
      <c r="J4080" s="487" t="s">
        <v>969</v>
      </c>
    </row>
    <row r="4081" spans="1:10" ht="15" x14ac:dyDescent="0.2">
      <c r="A4081" s="486" t="s">
        <v>968</v>
      </c>
      <c r="B4081" s="487" t="s">
        <v>967</v>
      </c>
      <c r="C4081" s="488" t="s">
        <v>13591</v>
      </c>
      <c r="D4081" s="489" t="s">
        <v>13592</v>
      </c>
      <c r="E4081" s="487" t="s">
        <v>13593</v>
      </c>
      <c r="F4081" s="490">
        <v>10000</v>
      </c>
      <c r="G4081" s="489">
        <v>130.85</v>
      </c>
      <c r="H4081" s="489">
        <v>76.423389999999998</v>
      </c>
      <c r="I4081" s="487" t="s">
        <v>1499</v>
      </c>
      <c r="J4081" s="487" t="s">
        <v>969</v>
      </c>
    </row>
    <row r="4082" spans="1:10" ht="15" x14ac:dyDescent="0.2">
      <c r="A4082" s="486" t="s">
        <v>968</v>
      </c>
      <c r="B4082" s="487" t="s">
        <v>967</v>
      </c>
      <c r="C4082" s="488" t="s">
        <v>13594</v>
      </c>
      <c r="D4082" s="489" t="s">
        <v>13595</v>
      </c>
      <c r="E4082" s="487" t="s">
        <v>13596</v>
      </c>
      <c r="F4082" s="490">
        <v>9000</v>
      </c>
      <c r="G4082" s="489">
        <v>154.53</v>
      </c>
      <c r="H4082" s="489">
        <v>58.241120000000002</v>
      </c>
      <c r="I4082" s="487" t="s">
        <v>1499</v>
      </c>
      <c r="J4082" s="487" t="s">
        <v>969</v>
      </c>
    </row>
    <row r="4083" spans="1:10" ht="15" x14ac:dyDescent="0.2">
      <c r="A4083" s="486" t="s">
        <v>968</v>
      </c>
      <c r="B4083" s="487" t="s">
        <v>967</v>
      </c>
      <c r="C4083" s="488" t="s">
        <v>13597</v>
      </c>
      <c r="D4083" s="489" t="s">
        <v>13598</v>
      </c>
      <c r="E4083" s="487" t="s">
        <v>13599</v>
      </c>
      <c r="F4083" s="490">
        <v>86076</v>
      </c>
      <c r="G4083" s="489">
        <v>1462.46</v>
      </c>
      <c r="H4083" s="489">
        <v>58.856990000000003</v>
      </c>
      <c r="I4083" s="487" t="s">
        <v>1499</v>
      </c>
      <c r="J4083" s="487" t="s">
        <v>969</v>
      </c>
    </row>
    <row r="4084" spans="1:10" ht="15" x14ac:dyDescent="0.2">
      <c r="A4084" s="486" t="s">
        <v>968</v>
      </c>
      <c r="B4084" s="487" t="s">
        <v>967</v>
      </c>
      <c r="C4084" s="488" t="s">
        <v>13600</v>
      </c>
      <c r="D4084" s="489" t="s">
        <v>13601</v>
      </c>
      <c r="E4084" s="487" t="s">
        <v>13602</v>
      </c>
      <c r="F4084" s="490">
        <v>0</v>
      </c>
      <c r="G4084" s="489">
        <v>0</v>
      </c>
      <c r="H4084" s="489">
        <v>0</v>
      </c>
      <c r="I4084" s="487" t="s">
        <v>2465</v>
      </c>
      <c r="J4084" s="487" t="s">
        <v>969</v>
      </c>
    </row>
    <row r="4085" spans="1:10" ht="15" x14ac:dyDescent="0.2">
      <c r="A4085" s="486" t="s">
        <v>968</v>
      </c>
      <c r="B4085" s="487" t="s">
        <v>967</v>
      </c>
      <c r="C4085" s="488" t="s">
        <v>13603</v>
      </c>
      <c r="D4085" s="489" t="s">
        <v>13604</v>
      </c>
      <c r="E4085" s="487" t="s">
        <v>13605</v>
      </c>
      <c r="F4085" s="490">
        <v>31180</v>
      </c>
      <c r="G4085" s="489">
        <v>704.35</v>
      </c>
      <c r="H4085" s="489">
        <v>44.267760000000003</v>
      </c>
      <c r="I4085" s="487" t="s">
        <v>1499</v>
      </c>
      <c r="J4085" s="487" t="s">
        <v>969</v>
      </c>
    </row>
    <row r="4086" spans="1:10" ht="15" x14ac:dyDescent="0.2">
      <c r="A4086" s="486" t="s">
        <v>968</v>
      </c>
      <c r="B4086" s="487" t="s">
        <v>967</v>
      </c>
      <c r="C4086" s="488" t="s">
        <v>13606</v>
      </c>
      <c r="D4086" s="489" t="s">
        <v>13607</v>
      </c>
      <c r="E4086" s="487" t="s">
        <v>1127</v>
      </c>
      <c r="F4086" s="490">
        <v>3750</v>
      </c>
      <c r="G4086" s="489">
        <v>115.75</v>
      </c>
      <c r="H4086" s="489">
        <v>32.397410000000001</v>
      </c>
      <c r="I4086" s="487" t="s">
        <v>1499</v>
      </c>
      <c r="J4086" s="487" t="s">
        <v>969</v>
      </c>
    </row>
    <row r="4087" spans="1:10" ht="15" x14ac:dyDescent="0.2">
      <c r="A4087" s="486" t="s">
        <v>968</v>
      </c>
      <c r="B4087" s="487" t="s">
        <v>967</v>
      </c>
      <c r="C4087" s="488" t="s">
        <v>13608</v>
      </c>
      <c r="D4087" s="489" t="s">
        <v>13609</v>
      </c>
      <c r="E4087" s="487" t="s">
        <v>13610</v>
      </c>
      <c r="F4087" s="490">
        <v>36790</v>
      </c>
      <c r="G4087" s="489">
        <v>917.46</v>
      </c>
      <c r="H4087" s="489">
        <v>40.09984</v>
      </c>
      <c r="I4087" s="487" t="s">
        <v>1499</v>
      </c>
      <c r="J4087" s="487" t="s">
        <v>969</v>
      </c>
    </row>
    <row r="4088" spans="1:10" ht="15" x14ac:dyDescent="0.2">
      <c r="A4088" s="486" t="s">
        <v>968</v>
      </c>
      <c r="B4088" s="487" t="s">
        <v>967</v>
      </c>
      <c r="C4088" s="488" t="s">
        <v>13611</v>
      </c>
      <c r="D4088" s="489" t="s">
        <v>13612</v>
      </c>
      <c r="E4088" s="487" t="s">
        <v>13613</v>
      </c>
      <c r="F4088" s="490">
        <v>14000</v>
      </c>
      <c r="G4088" s="489">
        <v>318.25</v>
      </c>
      <c r="H4088" s="489">
        <v>43.990569999999998</v>
      </c>
      <c r="I4088" s="487" t="s">
        <v>2465</v>
      </c>
      <c r="J4088" s="487" t="s">
        <v>969</v>
      </c>
    </row>
    <row r="4089" spans="1:10" ht="15" x14ac:dyDescent="0.2">
      <c r="A4089" s="486" t="s">
        <v>968</v>
      </c>
      <c r="B4089" s="487" t="s">
        <v>967</v>
      </c>
      <c r="C4089" s="488" t="s">
        <v>13614</v>
      </c>
      <c r="D4089" s="489" t="s">
        <v>13615</v>
      </c>
      <c r="E4089" s="487" t="s">
        <v>13616</v>
      </c>
      <c r="F4089" s="490">
        <v>8000</v>
      </c>
      <c r="G4089" s="489">
        <v>200.78</v>
      </c>
      <c r="H4089" s="489">
        <v>39.844610000000003</v>
      </c>
      <c r="I4089" s="487" t="s">
        <v>2465</v>
      </c>
      <c r="J4089" s="487" t="s">
        <v>969</v>
      </c>
    </row>
    <row r="4090" spans="1:10" ht="15" x14ac:dyDescent="0.2">
      <c r="A4090" s="486" t="s">
        <v>968</v>
      </c>
      <c r="B4090" s="487" t="s">
        <v>967</v>
      </c>
      <c r="C4090" s="488" t="s">
        <v>13617</v>
      </c>
      <c r="D4090" s="489" t="s">
        <v>13618</v>
      </c>
      <c r="E4090" s="487" t="s">
        <v>13619</v>
      </c>
      <c r="F4090" s="490">
        <v>0</v>
      </c>
      <c r="G4090" s="489">
        <v>0</v>
      </c>
      <c r="H4090" s="489">
        <v>0</v>
      </c>
      <c r="I4090" s="487" t="s">
        <v>2465</v>
      </c>
      <c r="J4090" s="487" t="s">
        <v>969</v>
      </c>
    </row>
    <row r="4091" spans="1:10" ht="15" x14ac:dyDescent="0.2">
      <c r="A4091" s="486" t="s">
        <v>968</v>
      </c>
      <c r="B4091" s="487" t="s">
        <v>967</v>
      </c>
      <c r="C4091" s="488" t="s">
        <v>13620</v>
      </c>
      <c r="D4091" s="489" t="s">
        <v>13621</v>
      </c>
      <c r="E4091" s="487" t="s">
        <v>13622</v>
      </c>
      <c r="F4091" s="490">
        <v>0</v>
      </c>
      <c r="G4091" s="489">
        <v>0</v>
      </c>
      <c r="H4091" s="489">
        <v>0</v>
      </c>
      <c r="I4091" s="487" t="s">
        <v>2465</v>
      </c>
      <c r="J4091" s="487" t="s">
        <v>969</v>
      </c>
    </row>
    <row r="4092" spans="1:10" ht="15" x14ac:dyDescent="0.2">
      <c r="A4092" s="486" t="s">
        <v>968</v>
      </c>
      <c r="B4092" s="487" t="s">
        <v>967</v>
      </c>
      <c r="C4092" s="488" t="s">
        <v>13623</v>
      </c>
      <c r="D4092" s="489" t="s">
        <v>13624</v>
      </c>
      <c r="E4092" s="487" t="s">
        <v>13625</v>
      </c>
      <c r="F4092" s="490">
        <v>11000</v>
      </c>
      <c r="G4092" s="489">
        <v>211.03</v>
      </c>
      <c r="H4092" s="489">
        <v>52.12529</v>
      </c>
      <c r="I4092" s="487" t="s">
        <v>1499</v>
      </c>
      <c r="J4092" s="487" t="s">
        <v>969</v>
      </c>
    </row>
    <row r="4093" spans="1:10" ht="15" x14ac:dyDescent="0.2">
      <c r="A4093" s="486" t="s">
        <v>968</v>
      </c>
      <c r="B4093" s="487" t="s">
        <v>967</v>
      </c>
      <c r="C4093" s="488" t="s">
        <v>13626</v>
      </c>
      <c r="D4093" s="489" t="s">
        <v>13627</v>
      </c>
      <c r="E4093" s="487" t="s">
        <v>13628</v>
      </c>
      <c r="F4093" s="490">
        <v>200</v>
      </c>
      <c r="G4093" s="489">
        <v>101.13</v>
      </c>
      <c r="H4093" s="489">
        <v>1.9776499999999999</v>
      </c>
      <c r="I4093" s="487" t="s">
        <v>1499</v>
      </c>
      <c r="J4093" s="487" t="s">
        <v>969</v>
      </c>
    </row>
    <row r="4094" spans="1:10" ht="15" x14ac:dyDescent="0.2">
      <c r="A4094" s="486" t="s">
        <v>968</v>
      </c>
      <c r="B4094" s="487" t="s">
        <v>967</v>
      </c>
      <c r="C4094" s="488" t="s">
        <v>13629</v>
      </c>
      <c r="D4094" s="489" t="s">
        <v>13630</v>
      </c>
      <c r="E4094" s="487" t="s">
        <v>13631</v>
      </c>
      <c r="F4094" s="490">
        <v>530</v>
      </c>
      <c r="G4094" s="489">
        <v>64.05</v>
      </c>
      <c r="H4094" s="489">
        <v>8.2747899999999994</v>
      </c>
      <c r="I4094" s="487" t="s">
        <v>1499</v>
      </c>
      <c r="J4094" s="487" t="s">
        <v>969</v>
      </c>
    </row>
    <row r="4095" spans="1:10" ht="15" x14ac:dyDescent="0.2">
      <c r="A4095" s="486" t="s">
        <v>968</v>
      </c>
      <c r="B4095" s="487" t="s">
        <v>967</v>
      </c>
      <c r="C4095" s="488" t="s">
        <v>13632</v>
      </c>
      <c r="D4095" s="489" t="s">
        <v>13633</v>
      </c>
      <c r="E4095" s="487" t="s">
        <v>13634</v>
      </c>
      <c r="F4095" s="490">
        <v>5776</v>
      </c>
      <c r="G4095" s="489">
        <v>261.05</v>
      </c>
      <c r="H4095" s="489">
        <v>22.12603</v>
      </c>
      <c r="I4095" s="487" t="s">
        <v>2465</v>
      </c>
      <c r="J4095" s="487" t="s">
        <v>969</v>
      </c>
    </row>
    <row r="4096" spans="1:10" ht="15" x14ac:dyDescent="0.2">
      <c r="A4096" s="486" t="s">
        <v>968</v>
      </c>
      <c r="B4096" s="487" t="s">
        <v>967</v>
      </c>
      <c r="C4096" s="488" t="s">
        <v>13635</v>
      </c>
      <c r="D4096" s="489" t="s">
        <v>13636</v>
      </c>
      <c r="E4096" s="487" t="s">
        <v>13637</v>
      </c>
      <c r="F4096" s="490">
        <v>19402</v>
      </c>
      <c r="G4096" s="489">
        <v>296.35000000000002</v>
      </c>
      <c r="H4096" s="489">
        <v>65.469880000000003</v>
      </c>
      <c r="I4096" s="487" t="s">
        <v>1499</v>
      </c>
      <c r="J4096" s="487" t="s">
        <v>969</v>
      </c>
    </row>
    <row r="4097" spans="1:10" ht="15" x14ac:dyDescent="0.2">
      <c r="A4097" s="486" t="s">
        <v>968</v>
      </c>
      <c r="B4097" s="487" t="s">
        <v>967</v>
      </c>
      <c r="C4097" s="488" t="s">
        <v>13638</v>
      </c>
      <c r="D4097" s="489" t="s">
        <v>13639</v>
      </c>
      <c r="E4097" s="487" t="s">
        <v>13640</v>
      </c>
      <c r="F4097" s="490">
        <v>229978</v>
      </c>
      <c r="G4097" s="489">
        <v>1259.79</v>
      </c>
      <c r="H4097" s="489">
        <v>182.55265</v>
      </c>
      <c r="I4097" s="487" t="s">
        <v>1499</v>
      </c>
      <c r="J4097" s="487" t="s">
        <v>969</v>
      </c>
    </row>
    <row r="4098" spans="1:10" ht="15" x14ac:dyDescent="0.2">
      <c r="A4098" s="486" t="s">
        <v>968</v>
      </c>
      <c r="B4098" s="487" t="s">
        <v>967</v>
      </c>
      <c r="C4098" s="488" t="s">
        <v>13641</v>
      </c>
      <c r="D4098" s="489" t="s">
        <v>13642</v>
      </c>
      <c r="E4098" s="487" t="s">
        <v>13643</v>
      </c>
      <c r="F4098" s="490">
        <v>165000</v>
      </c>
      <c r="G4098" s="489">
        <v>1160.3900000000001</v>
      </c>
      <c r="H4098" s="489">
        <v>142.19356999999999</v>
      </c>
      <c r="I4098" s="487" t="s">
        <v>1499</v>
      </c>
      <c r="J4098" s="487" t="s">
        <v>969</v>
      </c>
    </row>
    <row r="4099" spans="1:10" ht="15" x14ac:dyDescent="0.2">
      <c r="A4099" s="486" t="s">
        <v>968</v>
      </c>
      <c r="B4099" s="487" t="s">
        <v>967</v>
      </c>
      <c r="C4099" s="488" t="s">
        <v>13644</v>
      </c>
      <c r="D4099" s="489" t="s">
        <v>13645</v>
      </c>
      <c r="E4099" s="487" t="s">
        <v>13646</v>
      </c>
      <c r="F4099" s="490">
        <v>0</v>
      </c>
      <c r="G4099" s="489">
        <v>0</v>
      </c>
      <c r="H4099" s="489">
        <v>0</v>
      </c>
      <c r="I4099" s="487" t="s">
        <v>2465</v>
      </c>
      <c r="J4099" s="487" t="s">
        <v>969</v>
      </c>
    </row>
    <row r="4100" spans="1:10" ht="15" x14ac:dyDescent="0.2">
      <c r="A4100" s="486" t="s">
        <v>968</v>
      </c>
      <c r="B4100" s="487" t="s">
        <v>967</v>
      </c>
      <c r="C4100" s="488" t="s">
        <v>13647</v>
      </c>
      <c r="D4100" s="489" t="s">
        <v>13648</v>
      </c>
      <c r="E4100" s="487" t="s">
        <v>13649</v>
      </c>
      <c r="F4100" s="490">
        <v>48928.849000000002</v>
      </c>
      <c r="G4100" s="489">
        <v>576.1</v>
      </c>
      <c r="H4100" s="489">
        <v>84.931169999999995</v>
      </c>
      <c r="I4100" s="487" t="s">
        <v>1499</v>
      </c>
      <c r="J4100" s="487" t="s">
        <v>969</v>
      </c>
    </row>
    <row r="4101" spans="1:10" ht="15" x14ac:dyDescent="0.2">
      <c r="A4101" s="486" t="s">
        <v>968</v>
      </c>
      <c r="B4101" s="487" t="s">
        <v>967</v>
      </c>
      <c r="C4101" s="488" t="s">
        <v>13650</v>
      </c>
      <c r="D4101" s="489" t="s">
        <v>13651</v>
      </c>
      <c r="E4101" s="487" t="s">
        <v>13652</v>
      </c>
      <c r="F4101" s="490">
        <v>0</v>
      </c>
      <c r="G4101" s="489">
        <v>0</v>
      </c>
      <c r="H4101" s="489">
        <v>0</v>
      </c>
      <c r="I4101" s="487" t="s">
        <v>2465</v>
      </c>
      <c r="J4101" s="487" t="s">
        <v>969</v>
      </c>
    </row>
    <row r="4102" spans="1:10" ht="15" x14ac:dyDescent="0.2">
      <c r="A4102" s="486" t="s">
        <v>680</v>
      </c>
      <c r="B4102" s="487" t="s">
        <v>679</v>
      </c>
      <c r="C4102" s="488" t="s">
        <v>13653</v>
      </c>
      <c r="D4102" s="489" t="s">
        <v>13654</v>
      </c>
      <c r="E4102" s="487" t="s">
        <v>13655</v>
      </c>
      <c r="F4102" s="490">
        <v>33425</v>
      </c>
      <c r="G4102" s="489">
        <v>472.8</v>
      </c>
      <c r="H4102" s="489">
        <v>70.695849999999993</v>
      </c>
      <c r="I4102" s="487" t="s">
        <v>1499</v>
      </c>
      <c r="J4102" s="487" t="s">
        <v>681</v>
      </c>
    </row>
    <row r="4103" spans="1:10" ht="15" x14ac:dyDescent="0.2">
      <c r="A4103" s="486" t="s">
        <v>680</v>
      </c>
      <c r="B4103" s="487" t="s">
        <v>679</v>
      </c>
      <c r="C4103" s="488" t="s">
        <v>13656</v>
      </c>
      <c r="D4103" s="489" t="s">
        <v>13657</v>
      </c>
      <c r="E4103" s="487" t="s">
        <v>13658</v>
      </c>
      <c r="F4103" s="490">
        <v>510000</v>
      </c>
      <c r="G4103" s="489">
        <v>8591.4</v>
      </c>
      <c r="H4103" s="489">
        <v>59.361690000000003</v>
      </c>
      <c r="I4103" s="487" t="s">
        <v>1499</v>
      </c>
      <c r="J4103" s="487" t="s">
        <v>681</v>
      </c>
    </row>
    <row r="4104" spans="1:10" ht="15" x14ac:dyDescent="0.2">
      <c r="A4104" s="486" t="s">
        <v>680</v>
      </c>
      <c r="B4104" s="487" t="s">
        <v>679</v>
      </c>
      <c r="C4104" s="488" t="s">
        <v>13659</v>
      </c>
      <c r="D4104" s="489" t="s">
        <v>13660</v>
      </c>
      <c r="E4104" s="487" t="s">
        <v>13661</v>
      </c>
      <c r="F4104" s="490">
        <v>92116.01</v>
      </c>
      <c r="G4104" s="489">
        <v>2137.6999999999998</v>
      </c>
      <c r="H4104" s="489">
        <v>43.091180000000001</v>
      </c>
      <c r="I4104" s="487" t="s">
        <v>1499</v>
      </c>
      <c r="J4104" s="487" t="s">
        <v>681</v>
      </c>
    </row>
    <row r="4105" spans="1:10" ht="15" x14ac:dyDescent="0.2">
      <c r="A4105" s="486" t="s">
        <v>680</v>
      </c>
      <c r="B4105" s="487" t="s">
        <v>679</v>
      </c>
      <c r="C4105" s="488" t="s">
        <v>13662</v>
      </c>
      <c r="D4105" s="489" t="s">
        <v>13663</v>
      </c>
      <c r="E4105" s="487" t="s">
        <v>13664</v>
      </c>
      <c r="F4105" s="490">
        <v>67400.850000000006</v>
      </c>
      <c r="G4105" s="489">
        <v>905.5</v>
      </c>
      <c r="H4105" s="489">
        <v>74.434950000000001</v>
      </c>
      <c r="I4105" s="487" t="s">
        <v>1499</v>
      </c>
      <c r="J4105" s="487" t="s">
        <v>681</v>
      </c>
    </row>
    <row r="4106" spans="1:10" ht="15" x14ac:dyDescent="0.2">
      <c r="A4106" s="486" t="s">
        <v>680</v>
      </c>
      <c r="B4106" s="487" t="s">
        <v>679</v>
      </c>
      <c r="C4106" s="488" t="s">
        <v>13665</v>
      </c>
      <c r="D4106" s="489" t="s">
        <v>13666</v>
      </c>
      <c r="E4106" s="487" t="s">
        <v>13667</v>
      </c>
      <c r="F4106" s="490">
        <v>36845</v>
      </c>
      <c r="G4106" s="489">
        <v>681.7</v>
      </c>
      <c r="H4106" s="489">
        <v>54.048699999999997</v>
      </c>
      <c r="I4106" s="487" t="s">
        <v>1499</v>
      </c>
      <c r="J4106" s="487" t="s">
        <v>681</v>
      </c>
    </row>
    <row r="4107" spans="1:10" ht="15" x14ac:dyDescent="0.2">
      <c r="A4107" s="486" t="s">
        <v>680</v>
      </c>
      <c r="B4107" s="487" t="s">
        <v>679</v>
      </c>
      <c r="C4107" s="488" t="s">
        <v>13668</v>
      </c>
      <c r="D4107" s="489" t="s">
        <v>13669</v>
      </c>
      <c r="E4107" s="487" t="s">
        <v>13670</v>
      </c>
      <c r="F4107" s="490">
        <v>6427.6</v>
      </c>
      <c r="G4107" s="489">
        <v>176.3</v>
      </c>
      <c r="H4107" s="489">
        <v>36.458309999999997</v>
      </c>
      <c r="I4107" s="487" t="s">
        <v>1499</v>
      </c>
      <c r="J4107" s="487" t="s">
        <v>681</v>
      </c>
    </row>
    <row r="4108" spans="1:10" ht="15" x14ac:dyDescent="0.2">
      <c r="A4108" s="486" t="s">
        <v>680</v>
      </c>
      <c r="B4108" s="487" t="s">
        <v>679</v>
      </c>
      <c r="C4108" s="488" t="s">
        <v>13671</v>
      </c>
      <c r="D4108" s="489" t="s">
        <v>13672</v>
      </c>
      <c r="E4108" s="487" t="s">
        <v>13673</v>
      </c>
      <c r="F4108" s="490">
        <v>16469</v>
      </c>
      <c r="G4108" s="489">
        <v>456.1</v>
      </c>
      <c r="H4108" s="489">
        <v>36.108310000000003</v>
      </c>
      <c r="I4108" s="487" t="s">
        <v>1499</v>
      </c>
      <c r="J4108" s="487" t="s">
        <v>681</v>
      </c>
    </row>
    <row r="4109" spans="1:10" ht="15" x14ac:dyDescent="0.2">
      <c r="A4109" s="486" t="s">
        <v>680</v>
      </c>
      <c r="B4109" s="487" t="s">
        <v>679</v>
      </c>
      <c r="C4109" s="488" t="s">
        <v>13674</v>
      </c>
      <c r="D4109" s="489" t="s">
        <v>13675</v>
      </c>
      <c r="E4109" s="487" t="s">
        <v>13676</v>
      </c>
      <c r="F4109" s="490">
        <v>145045.45000000001</v>
      </c>
      <c r="G4109" s="489">
        <v>2365.6</v>
      </c>
      <c r="H4109" s="489">
        <v>61.314439999999998</v>
      </c>
      <c r="I4109" s="487" t="s">
        <v>1499</v>
      </c>
      <c r="J4109" s="487" t="s">
        <v>681</v>
      </c>
    </row>
    <row r="4110" spans="1:10" ht="15" x14ac:dyDescent="0.2">
      <c r="A4110" s="486" t="s">
        <v>680</v>
      </c>
      <c r="B4110" s="487" t="s">
        <v>679</v>
      </c>
      <c r="C4110" s="488" t="s">
        <v>13677</v>
      </c>
      <c r="D4110" s="489" t="s">
        <v>13678</v>
      </c>
      <c r="E4110" s="487" t="s">
        <v>13679</v>
      </c>
      <c r="F4110" s="490">
        <v>26577.09</v>
      </c>
      <c r="G4110" s="489">
        <v>630.6</v>
      </c>
      <c r="H4110" s="489">
        <v>42.145719999999997</v>
      </c>
      <c r="I4110" s="487" t="s">
        <v>1499</v>
      </c>
      <c r="J4110" s="487" t="s">
        <v>681</v>
      </c>
    </row>
    <row r="4111" spans="1:10" ht="15" x14ac:dyDescent="0.2">
      <c r="A4111" s="486" t="s">
        <v>680</v>
      </c>
      <c r="B4111" s="487" t="s">
        <v>679</v>
      </c>
      <c r="C4111" s="488" t="s">
        <v>13680</v>
      </c>
      <c r="D4111" s="489" t="s">
        <v>13681</v>
      </c>
      <c r="E4111" s="487" t="s">
        <v>13682</v>
      </c>
      <c r="F4111" s="490">
        <v>93248.81</v>
      </c>
      <c r="G4111" s="489">
        <v>1350.1</v>
      </c>
      <c r="H4111" s="489">
        <v>69.068079999999995</v>
      </c>
      <c r="I4111" s="487" t="s">
        <v>1499</v>
      </c>
      <c r="J4111" s="487" t="s">
        <v>681</v>
      </c>
    </row>
    <row r="4112" spans="1:10" ht="15" x14ac:dyDescent="0.2">
      <c r="A4112" s="486" t="s">
        <v>680</v>
      </c>
      <c r="B4112" s="487" t="s">
        <v>679</v>
      </c>
      <c r="C4112" s="488" t="s">
        <v>13683</v>
      </c>
      <c r="D4112" s="489" t="s">
        <v>13684</v>
      </c>
      <c r="E4112" s="487" t="s">
        <v>13685</v>
      </c>
      <c r="F4112" s="490">
        <v>38897.379999999997</v>
      </c>
      <c r="G4112" s="489">
        <v>1228.5999999999999</v>
      </c>
      <c r="H4112" s="489">
        <v>31.65992</v>
      </c>
      <c r="I4112" s="487" t="s">
        <v>1499</v>
      </c>
      <c r="J4112" s="487" t="s">
        <v>681</v>
      </c>
    </row>
    <row r="4113" spans="1:10" ht="15" x14ac:dyDescent="0.2">
      <c r="A4113" s="486" t="s">
        <v>680</v>
      </c>
      <c r="B4113" s="487" t="s">
        <v>679</v>
      </c>
      <c r="C4113" s="488" t="s">
        <v>13686</v>
      </c>
      <c r="D4113" s="489" t="s">
        <v>13687</v>
      </c>
      <c r="E4113" s="487" t="s">
        <v>13688</v>
      </c>
      <c r="F4113" s="490">
        <v>29035</v>
      </c>
      <c r="G4113" s="489">
        <v>814.7</v>
      </c>
      <c r="H4113" s="489">
        <v>35.638890000000004</v>
      </c>
      <c r="I4113" s="487" t="s">
        <v>1499</v>
      </c>
      <c r="J4113" s="487" t="s">
        <v>681</v>
      </c>
    </row>
    <row r="4114" spans="1:10" ht="15" x14ac:dyDescent="0.2">
      <c r="A4114" s="486" t="s">
        <v>680</v>
      </c>
      <c r="B4114" s="487" t="s">
        <v>679</v>
      </c>
      <c r="C4114" s="488" t="s">
        <v>13689</v>
      </c>
      <c r="D4114" s="489" t="s">
        <v>13690</v>
      </c>
      <c r="E4114" s="487" t="s">
        <v>13691</v>
      </c>
      <c r="F4114" s="490">
        <v>46106.5</v>
      </c>
      <c r="G4114" s="489">
        <v>1400.6</v>
      </c>
      <c r="H4114" s="489">
        <v>32.919110000000003</v>
      </c>
      <c r="I4114" s="487" t="s">
        <v>1499</v>
      </c>
      <c r="J4114" s="487" t="s">
        <v>681</v>
      </c>
    </row>
    <row r="4115" spans="1:10" ht="15" x14ac:dyDescent="0.2">
      <c r="A4115" s="486" t="s">
        <v>680</v>
      </c>
      <c r="B4115" s="487" t="s">
        <v>679</v>
      </c>
      <c r="C4115" s="488" t="s">
        <v>13692</v>
      </c>
      <c r="D4115" s="489" t="s">
        <v>13693</v>
      </c>
      <c r="E4115" s="487" t="s">
        <v>13694</v>
      </c>
      <c r="F4115" s="490">
        <v>188878.63</v>
      </c>
      <c r="G4115" s="489">
        <v>5353.7</v>
      </c>
      <c r="H4115" s="489">
        <v>35.28002</v>
      </c>
      <c r="I4115" s="487" t="s">
        <v>1499</v>
      </c>
      <c r="J4115" s="487" t="s">
        <v>681</v>
      </c>
    </row>
    <row r="4116" spans="1:10" ht="15" x14ac:dyDescent="0.2">
      <c r="A4116" s="486" t="s">
        <v>680</v>
      </c>
      <c r="B4116" s="487" t="s">
        <v>679</v>
      </c>
      <c r="C4116" s="488" t="s">
        <v>13695</v>
      </c>
      <c r="D4116" s="489" t="s">
        <v>13696</v>
      </c>
      <c r="E4116" s="487" t="s">
        <v>13697</v>
      </c>
      <c r="F4116" s="490">
        <v>39455.4</v>
      </c>
      <c r="G4116" s="489">
        <v>724</v>
      </c>
      <c r="H4116" s="489">
        <v>54.496409999999997</v>
      </c>
      <c r="I4116" s="487" t="s">
        <v>1499</v>
      </c>
      <c r="J4116" s="487" t="s">
        <v>681</v>
      </c>
    </row>
    <row r="4117" spans="1:10" ht="15" x14ac:dyDescent="0.2">
      <c r="A4117" s="486" t="s">
        <v>680</v>
      </c>
      <c r="B4117" s="487" t="s">
        <v>679</v>
      </c>
      <c r="C4117" s="488" t="s">
        <v>13698</v>
      </c>
      <c r="D4117" s="489" t="s">
        <v>13699</v>
      </c>
      <c r="E4117" s="487" t="s">
        <v>13700</v>
      </c>
      <c r="F4117" s="490">
        <v>22992</v>
      </c>
      <c r="G4117" s="489">
        <v>675</v>
      </c>
      <c r="H4117" s="489">
        <v>34.062220000000003</v>
      </c>
      <c r="I4117" s="487" t="s">
        <v>1499</v>
      </c>
      <c r="J4117" s="487" t="s">
        <v>681</v>
      </c>
    </row>
    <row r="4118" spans="1:10" ht="15" x14ac:dyDescent="0.2">
      <c r="A4118" s="486" t="s">
        <v>735</v>
      </c>
      <c r="B4118" s="487" t="s">
        <v>734</v>
      </c>
      <c r="C4118" s="488" t="s">
        <v>13701</v>
      </c>
      <c r="D4118" s="489" t="s">
        <v>13702</v>
      </c>
      <c r="E4118" s="487" t="s">
        <v>13703</v>
      </c>
      <c r="F4118" s="490">
        <v>11000</v>
      </c>
      <c r="G4118" s="489">
        <v>291.27999999999997</v>
      </c>
      <c r="H4118" s="489">
        <v>37.76435</v>
      </c>
      <c r="I4118" s="487" t="s">
        <v>1499</v>
      </c>
      <c r="J4118" s="487" t="s">
        <v>736</v>
      </c>
    </row>
    <row r="4119" spans="1:10" ht="15" x14ac:dyDescent="0.2">
      <c r="A4119" s="486" t="s">
        <v>735</v>
      </c>
      <c r="B4119" s="487" t="s">
        <v>734</v>
      </c>
      <c r="C4119" s="488" t="s">
        <v>13704</v>
      </c>
      <c r="D4119" s="489" t="s">
        <v>13705</v>
      </c>
      <c r="E4119" s="487" t="s">
        <v>13706</v>
      </c>
      <c r="F4119" s="490">
        <v>6000</v>
      </c>
      <c r="G4119" s="489">
        <v>174.55</v>
      </c>
      <c r="H4119" s="489">
        <v>34.374099999999999</v>
      </c>
      <c r="I4119" s="487" t="s">
        <v>1499</v>
      </c>
      <c r="J4119" s="487" t="s">
        <v>736</v>
      </c>
    </row>
    <row r="4120" spans="1:10" ht="15" x14ac:dyDescent="0.2">
      <c r="A4120" s="486" t="s">
        <v>735</v>
      </c>
      <c r="B4120" s="487" t="s">
        <v>734</v>
      </c>
      <c r="C4120" s="488" t="s">
        <v>13707</v>
      </c>
      <c r="D4120" s="489" t="s">
        <v>13708</v>
      </c>
      <c r="E4120" s="487" t="s">
        <v>13709</v>
      </c>
      <c r="F4120" s="490">
        <v>8000</v>
      </c>
      <c r="G4120" s="489">
        <v>223.48</v>
      </c>
      <c r="H4120" s="489">
        <v>35.79739</v>
      </c>
      <c r="I4120" s="487" t="s">
        <v>1499</v>
      </c>
      <c r="J4120" s="487" t="s">
        <v>736</v>
      </c>
    </row>
    <row r="4121" spans="1:10" ht="15" x14ac:dyDescent="0.2">
      <c r="A4121" s="486" t="s">
        <v>735</v>
      </c>
      <c r="B4121" s="487" t="s">
        <v>734</v>
      </c>
      <c r="C4121" s="488" t="s">
        <v>13710</v>
      </c>
      <c r="D4121" s="489" t="s">
        <v>13711</v>
      </c>
      <c r="E4121" s="487" t="s">
        <v>13712</v>
      </c>
      <c r="F4121" s="490">
        <v>12000</v>
      </c>
      <c r="G4121" s="489">
        <v>123.14</v>
      </c>
      <c r="H4121" s="489">
        <v>97.450059999999993</v>
      </c>
      <c r="I4121" s="487" t="s">
        <v>1499</v>
      </c>
      <c r="J4121" s="487" t="s">
        <v>736</v>
      </c>
    </row>
    <row r="4122" spans="1:10" ht="15" x14ac:dyDescent="0.2">
      <c r="A4122" s="486" t="s">
        <v>735</v>
      </c>
      <c r="B4122" s="487" t="s">
        <v>734</v>
      </c>
      <c r="C4122" s="488" t="s">
        <v>13713</v>
      </c>
      <c r="D4122" s="489" t="s">
        <v>13714</v>
      </c>
      <c r="E4122" s="487" t="s">
        <v>4442</v>
      </c>
      <c r="F4122" s="490">
        <v>30500</v>
      </c>
      <c r="G4122" s="489">
        <v>479.43</v>
      </c>
      <c r="H4122" s="489">
        <v>63.61721</v>
      </c>
      <c r="I4122" s="487" t="s">
        <v>1499</v>
      </c>
      <c r="J4122" s="487" t="s">
        <v>736</v>
      </c>
    </row>
    <row r="4123" spans="1:10" ht="15" x14ac:dyDescent="0.2">
      <c r="A4123" s="486" t="s">
        <v>735</v>
      </c>
      <c r="B4123" s="487" t="s">
        <v>734</v>
      </c>
      <c r="C4123" s="488" t="s">
        <v>13715</v>
      </c>
      <c r="D4123" s="489" t="s">
        <v>13716</v>
      </c>
      <c r="E4123" s="487" t="s">
        <v>13717</v>
      </c>
      <c r="F4123" s="490">
        <v>4981</v>
      </c>
      <c r="G4123" s="489">
        <v>232.85</v>
      </c>
      <c r="H4123" s="489">
        <v>21.391449999999999</v>
      </c>
      <c r="I4123" s="487" t="s">
        <v>1499</v>
      </c>
      <c r="J4123" s="487" t="s">
        <v>736</v>
      </c>
    </row>
    <row r="4124" spans="1:10" ht="15" x14ac:dyDescent="0.2">
      <c r="A4124" s="486" t="s">
        <v>735</v>
      </c>
      <c r="B4124" s="487" t="s">
        <v>734</v>
      </c>
      <c r="C4124" s="488" t="s">
        <v>13718</v>
      </c>
      <c r="D4124" s="489" t="s">
        <v>13719</v>
      </c>
      <c r="E4124" s="487" t="s">
        <v>13720</v>
      </c>
      <c r="F4124" s="490">
        <v>24000</v>
      </c>
      <c r="G4124" s="489">
        <v>286.35000000000002</v>
      </c>
      <c r="H4124" s="489">
        <v>83.813509999999994</v>
      </c>
      <c r="I4124" s="487" t="s">
        <v>1499</v>
      </c>
      <c r="J4124" s="487" t="s">
        <v>736</v>
      </c>
    </row>
    <row r="4125" spans="1:10" ht="15" x14ac:dyDescent="0.2">
      <c r="A4125" s="486" t="s">
        <v>735</v>
      </c>
      <c r="B4125" s="487" t="s">
        <v>734</v>
      </c>
      <c r="C4125" s="488" t="s">
        <v>13721</v>
      </c>
      <c r="D4125" s="489" t="s">
        <v>13722</v>
      </c>
      <c r="E4125" s="487" t="s">
        <v>13723</v>
      </c>
      <c r="F4125" s="490">
        <v>21663</v>
      </c>
      <c r="G4125" s="489">
        <v>409.26</v>
      </c>
      <c r="H4125" s="489">
        <v>52.932119999999998</v>
      </c>
      <c r="I4125" s="487" t="s">
        <v>1499</v>
      </c>
      <c r="J4125" s="487" t="s">
        <v>736</v>
      </c>
    </row>
    <row r="4126" spans="1:10" ht="15" x14ac:dyDescent="0.2">
      <c r="A4126" s="486" t="s">
        <v>735</v>
      </c>
      <c r="B4126" s="487" t="s">
        <v>734</v>
      </c>
      <c r="C4126" s="488" t="s">
        <v>13724</v>
      </c>
      <c r="D4126" s="489" t="s">
        <v>13725</v>
      </c>
      <c r="E4126" s="487" t="s">
        <v>13726</v>
      </c>
      <c r="F4126" s="490">
        <v>1232741</v>
      </c>
      <c r="G4126" s="489">
        <v>17946.439999999999</v>
      </c>
      <c r="H4126" s="489">
        <v>68.69</v>
      </c>
      <c r="I4126" s="487" t="s">
        <v>1499</v>
      </c>
      <c r="J4126" s="487" t="s">
        <v>736</v>
      </c>
    </row>
    <row r="4127" spans="1:10" ht="15" x14ac:dyDescent="0.2">
      <c r="A4127" s="486" t="s">
        <v>735</v>
      </c>
      <c r="B4127" s="487" t="s">
        <v>734</v>
      </c>
      <c r="C4127" s="488" t="s">
        <v>13727</v>
      </c>
      <c r="D4127" s="489" t="s">
        <v>13728</v>
      </c>
      <c r="E4127" s="487" t="s">
        <v>13729</v>
      </c>
      <c r="F4127" s="490">
        <v>2500</v>
      </c>
      <c r="G4127" s="489">
        <v>107.81</v>
      </c>
      <c r="H4127" s="489">
        <v>23.188939999999999</v>
      </c>
      <c r="I4127" s="487" t="s">
        <v>1499</v>
      </c>
      <c r="J4127" s="487" t="s">
        <v>736</v>
      </c>
    </row>
    <row r="4128" spans="1:10" ht="15" x14ac:dyDescent="0.2">
      <c r="A4128" s="486" t="s">
        <v>735</v>
      </c>
      <c r="B4128" s="487" t="s">
        <v>734</v>
      </c>
      <c r="C4128" s="488" t="s">
        <v>13730</v>
      </c>
      <c r="D4128" s="489" t="s">
        <v>13731</v>
      </c>
      <c r="E4128" s="487" t="s">
        <v>13732</v>
      </c>
      <c r="F4128" s="490">
        <v>44325</v>
      </c>
      <c r="G4128" s="489">
        <v>676.09</v>
      </c>
      <c r="H4128" s="489">
        <v>65.5608</v>
      </c>
      <c r="I4128" s="487" t="s">
        <v>1499</v>
      </c>
      <c r="J4128" s="487" t="s">
        <v>736</v>
      </c>
    </row>
    <row r="4129" spans="1:10" ht="15" x14ac:dyDescent="0.2">
      <c r="A4129" s="486" t="s">
        <v>735</v>
      </c>
      <c r="B4129" s="487" t="s">
        <v>734</v>
      </c>
      <c r="C4129" s="488" t="s">
        <v>13733</v>
      </c>
      <c r="D4129" s="489" t="s">
        <v>13734</v>
      </c>
      <c r="E4129" s="487" t="s">
        <v>13735</v>
      </c>
      <c r="F4129" s="490">
        <v>4628</v>
      </c>
      <c r="G4129" s="489">
        <v>148.09</v>
      </c>
      <c r="H4129" s="489">
        <v>31.251270000000002</v>
      </c>
      <c r="I4129" s="487" t="s">
        <v>2465</v>
      </c>
      <c r="J4129" s="487" t="s">
        <v>736</v>
      </c>
    </row>
    <row r="4130" spans="1:10" ht="15" x14ac:dyDescent="0.2">
      <c r="A4130" s="486" t="s">
        <v>735</v>
      </c>
      <c r="B4130" s="487" t="s">
        <v>734</v>
      </c>
      <c r="C4130" s="488" t="s">
        <v>13736</v>
      </c>
      <c r="D4130" s="489" t="s">
        <v>13737</v>
      </c>
      <c r="E4130" s="487" t="s">
        <v>13738</v>
      </c>
      <c r="F4130" s="490">
        <v>28250</v>
      </c>
      <c r="G4130" s="489">
        <v>367.49</v>
      </c>
      <c r="H4130" s="489">
        <v>76.872839999999997</v>
      </c>
      <c r="I4130" s="487" t="s">
        <v>1499</v>
      </c>
      <c r="J4130" s="487" t="s">
        <v>736</v>
      </c>
    </row>
    <row r="4131" spans="1:10" ht="15" x14ac:dyDescent="0.2">
      <c r="A4131" s="486" t="s">
        <v>735</v>
      </c>
      <c r="B4131" s="487" t="s">
        <v>734</v>
      </c>
      <c r="C4131" s="488" t="s">
        <v>13739</v>
      </c>
      <c r="D4131" s="489" t="s">
        <v>13740</v>
      </c>
      <c r="E4131" s="487" t="s">
        <v>2815</v>
      </c>
      <c r="F4131" s="490">
        <v>11495</v>
      </c>
      <c r="G4131" s="489">
        <v>111.88</v>
      </c>
      <c r="H4131" s="489">
        <v>102.74401</v>
      </c>
      <c r="I4131" s="487" t="s">
        <v>1499</v>
      </c>
      <c r="J4131" s="487" t="s">
        <v>736</v>
      </c>
    </row>
    <row r="4132" spans="1:10" ht="15" x14ac:dyDescent="0.2">
      <c r="A4132" s="486" t="s">
        <v>735</v>
      </c>
      <c r="B4132" s="487" t="s">
        <v>734</v>
      </c>
      <c r="C4132" s="488" t="s">
        <v>13741</v>
      </c>
      <c r="D4132" s="489" t="s">
        <v>13742</v>
      </c>
      <c r="E4132" s="487" t="s">
        <v>13743</v>
      </c>
      <c r="F4132" s="490">
        <v>335592</v>
      </c>
      <c r="G4132" s="489">
        <v>3246.18</v>
      </c>
      <c r="H4132" s="489">
        <v>103.38059</v>
      </c>
      <c r="I4132" s="487" t="s">
        <v>1499</v>
      </c>
      <c r="J4132" s="487" t="s">
        <v>736</v>
      </c>
    </row>
    <row r="4133" spans="1:10" ht="15" x14ac:dyDescent="0.2">
      <c r="A4133" s="486" t="s">
        <v>735</v>
      </c>
      <c r="B4133" s="487" t="s">
        <v>734</v>
      </c>
      <c r="C4133" s="488" t="s">
        <v>13744</v>
      </c>
      <c r="D4133" s="489" t="s">
        <v>13745</v>
      </c>
      <c r="E4133" s="487" t="s">
        <v>13746</v>
      </c>
      <c r="F4133" s="490">
        <v>17000</v>
      </c>
      <c r="G4133" s="489">
        <v>318.36</v>
      </c>
      <c r="H4133" s="489">
        <v>53.398670000000003</v>
      </c>
      <c r="I4133" s="487" t="s">
        <v>1499</v>
      </c>
      <c r="J4133" s="487" t="s">
        <v>736</v>
      </c>
    </row>
    <row r="4134" spans="1:10" ht="15" x14ac:dyDescent="0.2">
      <c r="A4134" s="486" t="s">
        <v>735</v>
      </c>
      <c r="B4134" s="487" t="s">
        <v>734</v>
      </c>
      <c r="C4134" s="488" t="s">
        <v>13747</v>
      </c>
      <c r="D4134" s="489" t="s">
        <v>13748</v>
      </c>
      <c r="E4134" s="487" t="s">
        <v>13749</v>
      </c>
      <c r="F4134" s="490">
        <v>53971</v>
      </c>
      <c r="G4134" s="489">
        <v>737.37</v>
      </c>
      <c r="H4134" s="489">
        <v>73.193920000000006</v>
      </c>
      <c r="I4134" s="487" t="s">
        <v>1499</v>
      </c>
      <c r="J4134" s="487" t="s">
        <v>736</v>
      </c>
    </row>
    <row r="4135" spans="1:10" ht="15" x14ac:dyDescent="0.2">
      <c r="A4135" s="486" t="s">
        <v>735</v>
      </c>
      <c r="B4135" s="487" t="s">
        <v>734</v>
      </c>
      <c r="C4135" s="488" t="s">
        <v>13750</v>
      </c>
      <c r="D4135" s="489" t="s">
        <v>13751</v>
      </c>
      <c r="E4135" s="487" t="s">
        <v>13752</v>
      </c>
      <c r="F4135" s="490">
        <v>9750</v>
      </c>
      <c r="G4135" s="489">
        <v>438.41</v>
      </c>
      <c r="H4135" s="489">
        <v>22.239460000000001</v>
      </c>
      <c r="I4135" s="487" t="s">
        <v>2465</v>
      </c>
      <c r="J4135" s="487" t="s">
        <v>736</v>
      </c>
    </row>
    <row r="4136" spans="1:10" ht="15" x14ac:dyDescent="0.2">
      <c r="A4136" s="486" t="s">
        <v>735</v>
      </c>
      <c r="B4136" s="487" t="s">
        <v>734</v>
      </c>
      <c r="C4136" s="488" t="s">
        <v>13753</v>
      </c>
      <c r="D4136" s="489" t="s">
        <v>13754</v>
      </c>
      <c r="E4136" s="487" t="s">
        <v>13755</v>
      </c>
      <c r="F4136" s="490">
        <v>6000</v>
      </c>
      <c r="G4136" s="489">
        <v>273.14</v>
      </c>
      <c r="H4136" s="489">
        <v>21.966760000000001</v>
      </c>
      <c r="I4136" s="487" t="s">
        <v>1499</v>
      </c>
      <c r="J4136" s="487" t="s">
        <v>736</v>
      </c>
    </row>
    <row r="4137" spans="1:10" ht="15" x14ac:dyDescent="0.2">
      <c r="A4137" s="486" t="s">
        <v>735</v>
      </c>
      <c r="B4137" s="487" t="s">
        <v>734</v>
      </c>
      <c r="C4137" s="488" t="s">
        <v>13756</v>
      </c>
      <c r="D4137" s="489" t="s">
        <v>13757</v>
      </c>
      <c r="E4137" s="487" t="s">
        <v>13758</v>
      </c>
      <c r="F4137" s="490">
        <v>0</v>
      </c>
      <c r="G4137" s="489">
        <v>0</v>
      </c>
      <c r="H4137" s="489">
        <v>0</v>
      </c>
      <c r="I4137" s="487" t="s">
        <v>2465</v>
      </c>
      <c r="J4137" s="487" t="s">
        <v>736</v>
      </c>
    </row>
    <row r="4138" spans="1:10" ht="15" x14ac:dyDescent="0.2">
      <c r="A4138" s="486" t="s">
        <v>735</v>
      </c>
      <c r="B4138" s="487" t="s">
        <v>734</v>
      </c>
      <c r="C4138" s="488" t="s">
        <v>13759</v>
      </c>
      <c r="D4138" s="489" t="s">
        <v>13760</v>
      </c>
      <c r="E4138" s="487" t="s">
        <v>13761</v>
      </c>
      <c r="F4138" s="490">
        <v>23035</v>
      </c>
      <c r="G4138" s="489">
        <v>972.92</v>
      </c>
      <c r="H4138" s="489">
        <v>23.67615</v>
      </c>
      <c r="I4138" s="487" t="s">
        <v>1499</v>
      </c>
      <c r="J4138" s="487" t="s">
        <v>736</v>
      </c>
    </row>
    <row r="4139" spans="1:10" ht="15" x14ac:dyDescent="0.2">
      <c r="A4139" s="486" t="s">
        <v>735</v>
      </c>
      <c r="B4139" s="487" t="s">
        <v>734</v>
      </c>
      <c r="C4139" s="488" t="s">
        <v>13762</v>
      </c>
      <c r="D4139" s="489" t="s">
        <v>13763</v>
      </c>
      <c r="E4139" s="487" t="s">
        <v>13764</v>
      </c>
      <c r="F4139" s="490">
        <v>7258</v>
      </c>
      <c r="G4139" s="489">
        <v>143.43</v>
      </c>
      <c r="H4139" s="489">
        <v>50.603079999999999</v>
      </c>
      <c r="I4139" s="487" t="s">
        <v>1499</v>
      </c>
      <c r="J4139" s="487" t="s">
        <v>736</v>
      </c>
    </row>
    <row r="4140" spans="1:10" ht="15" x14ac:dyDescent="0.2">
      <c r="A4140" s="486" t="s">
        <v>735</v>
      </c>
      <c r="B4140" s="487" t="s">
        <v>734</v>
      </c>
      <c r="C4140" s="488" t="s">
        <v>13765</v>
      </c>
      <c r="D4140" s="489" t="s">
        <v>13766</v>
      </c>
      <c r="E4140" s="487" t="s">
        <v>13767</v>
      </c>
      <c r="F4140" s="490">
        <v>1602443</v>
      </c>
      <c r="G4140" s="489">
        <v>12772.92</v>
      </c>
      <c r="H4140" s="489">
        <v>125.45628000000001</v>
      </c>
      <c r="I4140" s="487" t="s">
        <v>1499</v>
      </c>
      <c r="J4140" s="487" t="s">
        <v>736</v>
      </c>
    </row>
    <row r="4141" spans="1:10" ht="15" x14ac:dyDescent="0.2">
      <c r="A4141" s="486" t="s">
        <v>735</v>
      </c>
      <c r="B4141" s="487" t="s">
        <v>734</v>
      </c>
      <c r="C4141" s="488" t="s">
        <v>13768</v>
      </c>
      <c r="D4141" s="489" t="s">
        <v>13769</v>
      </c>
      <c r="E4141" s="487" t="s">
        <v>13770</v>
      </c>
      <c r="F4141" s="490">
        <v>110975</v>
      </c>
      <c r="G4141" s="489">
        <v>976.38</v>
      </c>
      <c r="H4141" s="489">
        <v>113.65964</v>
      </c>
      <c r="I4141" s="487" t="s">
        <v>1499</v>
      </c>
      <c r="J4141" s="487" t="s">
        <v>736</v>
      </c>
    </row>
    <row r="4142" spans="1:10" ht="15" x14ac:dyDescent="0.2">
      <c r="A4142" s="486" t="s">
        <v>735</v>
      </c>
      <c r="B4142" s="487" t="s">
        <v>734</v>
      </c>
      <c r="C4142" s="488" t="s">
        <v>13771</v>
      </c>
      <c r="D4142" s="489" t="s">
        <v>13772</v>
      </c>
      <c r="E4142" s="487" t="s">
        <v>13773</v>
      </c>
      <c r="F4142" s="490">
        <v>26445</v>
      </c>
      <c r="G4142" s="489">
        <v>334.8</v>
      </c>
      <c r="H4142" s="489">
        <v>78.987459999999999</v>
      </c>
      <c r="I4142" s="487" t="s">
        <v>1499</v>
      </c>
      <c r="J4142" s="487" t="s">
        <v>736</v>
      </c>
    </row>
    <row r="4143" spans="1:10" ht="15" x14ac:dyDescent="0.2">
      <c r="A4143" s="486" t="s">
        <v>735</v>
      </c>
      <c r="B4143" s="487" t="s">
        <v>734</v>
      </c>
      <c r="C4143" s="488" t="s">
        <v>13774</v>
      </c>
      <c r="D4143" s="489" t="s">
        <v>13775</v>
      </c>
      <c r="E4143" s="487" t="s">
        <v>13776</v>
      </c>
      <c r="F4143" s="490">
        <v>20085</v>
      </c>
      <c r="G4143" s="489">
        <v>354.53</v>
      </c>
      <c r="H4143" s="489">
        <v>56.652470000000001</v>
      </c>
      <c r="I4143" s="487" t="s">
        <v>1499</v>
      </c>
      <c r="J4143" s="487" t="s">
        <v>736</v>
      </c>
    </row>
    <row r="4144" spans="1:10" ht="15" x14ac:dyDescent="0.2">
      <c r="A4144" s="486" t="s">
        <v>735</v>
      </c>
      <c r="B4144" s="487" t="s">
        <v>734</v>
      </c>
      <c r="C4144" s="488" t="s">
        <v>13777</v>
      </c>
      <c r="D4144" s="489" t="s">
        <v>13778</v>
      </c>
      <c r="E4144" s="487" t="s">
        <v>13779</v>
      </c>
      <c r="F4144" s="490">
        <v>27820</v>
      </c>
      <c r="G4144" s="489">
        <v>368.71</v>
      </c>
      <c r="H4144" s="489">
        <v>75.452250000000006</v>
      </c>
      <c r="I4144" s="487" t="s">
        <v>1499</v>
      </c>
      <c r="J4144" s="487" t="s">
        <v>736</v>
      </c>
    </row>
    <row r="4145" spans="1:10" ht="15" x14ac:dyDescent="0.2">
      <c r="A4145" s="486" t="s">
        <v>735</v>
      </c>
      <c r="B4145" s="487" t="s">
        <v>734</v>
      </c>
      <c r="C4145" s="488" t="s">
        <v>13780</v>
      </c>
      <c r="D4145" s="489" t="s">
        <v>13781</v>
      </c>
      <c r="E4145" s="487" t="s">
        <v>13782</v>
      </c>
      <c r="F4145" s="490">
        <v>28000</v>
      </c>
      <c r="G4145" s="489">
        <v>520.08000000000004</v>
      </c>
      <c r="H4145" s="489">
        <v>53.837870000000002</v>
      </c>
      <c r="I4145" s="487" t="s">
        <v>1499</v>
      </c>
      <c r="J4145" s="487" t="s">
        <v>736</v>
      </c>
    </row>
    <row r="4146" spans="1:10" ht="15" x14ac:dyDescent="0.2">
      <c r="A4146" s="486" t="s">
        <v>735</v>
      </c>
      <c r="B4146" s="487" t="s">
        <v>734</v>
      </c>
      <c r="C4146" s="488" t="s">
        <v>13783</v>
      </c>
      <c r="D4146" s="489" t="s">
        <v>13784</v>
      </c>
      <c r="E4146" s="487" t="s">
        <v>13785</v>
      </c>
      <c r="F4146" s="490">
        <v>28000</v>
      </c>
      <c r="G4146" s="489">
        <v>283.77</v>
      </c>
      <c r="H4146" s="489">
        <v>98.671459999999996</v>
      </c>
      <c r="I4146" s="487" t="s">
        <v>1499</v>
      </c>
      <c r="J4146" s="487" t="s">
        <v>736</v>
      </c>
    </row>
    <row r="4147" spans="1:10" ht="15" x14ac:dyDescent="0.2">
      <c r="A4147" s="486" t="s">
        <v>735</v>
      </c>
      <c r="B4147" s="487" t="s">
        <v>734</v>
      </c>
      <c r="C4147" s="488" t="s">
        <v>13786</v>
      </c>
      <c r="D4147" s="489" t="s">
        <v>13787</v>
      </c>
      <c r="E4147" s="487" t="s">
        <v>13788</v>
      </c>
      <c r="F4147" s="490">
        <v>22330</v>
      </c>
      <c r="G4147" s="489">
        <v>551.22</v>
      </c>
      <c r="H4147" s="489">
        <v>40.51014</v>
      </c>
      <c r="I4147" s="487" t="s">
        <v>1499</v>
      </c>
      <c r="J4147" s="487" t="s">
        <v>736</v>
      </c>
    </row>
    <row r="4148" spans="1:10" ht="15" x14ac:dyDescent="0.2">
      <c r="A4148" s="486" t="s">
        <v>735</v>
      </c>
      <c r="B4148" s="487" t="s">
        <v>734</v>
      </c>
      <c r="C4148" s="488" t="s">
        <v>13789</v>
      </c>
      <c r="D4148" s="489" t="s">
        <v>13790</v>
      </c>
      <c r="E4148" s="487" t="s">
        <v>13791</v>
      </c>
      <c r="F4148" s="490">
        <v>11430</v>
      </c>
      <c r="G4148" s="489">
        <v>426.12</v>
      </c>
      <c r="H4148" s="489">
        <v>26.823429999999998</v>
      </c>
      <c r="I4148" s="487" t="s">
        <v>1499</v>
      </c>
      <c r="J4148" s="487" t="s">
        <v>736</v>
      </c>
    </row>
    <row r="4149" spans="1:10" ht="15" x14ac:dyDescent="0.2">
      <c r="A4149" s="486" t="s">
        <v>735</v>
      </c>
      <c r="B4149" s="487" t="s">
        <v>734</v>
      </c>
      <c r="C4149" s="488" t="s">
        <v>13792</v>
      </c>
      <c r="D4149" s="489" t="s">
        <v>13793</v>
      </c>
      <c r="E4149" s="487" t="s">
        <v>13794</v>
      </c>
      <c r="F4149" s="490">
        <v>0</v>
      </c>
      <c r="G4149" s="489">
        <v>0</v>
      </c>
      <c r="H4149" s="489">
        <v>0</v>
      </c>
      <c r="I4149" s="487" t="s">
        <v>2465</v>
      </c>
      <c r="J4149" s="487" t="s">
        <v>736</v>
      </c>
    </row>
    <row r="4150" spans="1:10" ht="15" x14ac:dyDescent="0.2">
      <c r="A4150" s="486" t="s">
        <v>735</v>
      </c>
      <c r="B4150" s="487" t="s">
        <v>734</v>
      </c>
      <c r="C4150" s="488" t="s">
        <v>13795</v>
      </c>
      <c r="D4150" s="489" t="s">
        <v>13796</v>
      </c>
      <c r="E4150" s="487" t="s">
        <v>13797</v>
      </c>
      <c r="F4150" s="490">
        <v>45000</v>
      </c>
      <c r="G4150" s="489">
        <v>980.55</v>
      </c>
      <c r="H4150" s="489">
        <v>45.892609999999998</v>
      </c>
      <c r="I4150" s="487" t="s">
        <v>1499</v>
      </c>
      <c r="J4150" s="487" t="s">
        <v>736</v>
      </c>
    </row>
    <row r="4151" spans="1:10" ht="15" x14ac:dyDescent="0.2">
      <c r="A4151" s="486" t="s">
        <v>735</v>
      </c>
      <c r="B4151" s="487" t="s">
        <v>734</v>
      </c>
      <c r="C4151" s="488" t="s">
        <v>13798</v>
      </c>
      <c r="D4151" s="489" t="s">
        <v>13799</v>
      </c>
      <c r="E4151" s="487" t="s">
        <v>13800</v>
      </c>
      <c r="F4151" s="490">
        <v>0</v>
      </c>
      <c r="G4151" s="489">
        <v>88.99</v>
      </c>
      <c r="H4151" s="489">
        <v>0</v>
      </c>
      <c r="I4151" s="487" t="s">
        <v>1593</v>
      </c>
      <c r="J4151" s="487" t="s">
        <v>736</v>
      </c>
    </row>
    <row r="4152" spans="1:10" ht="15" x14ac:dyDescent="0.2">
      <c r="A4152" s="486" t="s">
        <v>735</v>
      </c>
      <c r="B4152" s="487" t="s">
        <v>734</v>
      </c>
      <c r="C4152" s="488" t="s">
        <v>13801</v>
      </c>
      <c r="D4152" s="489" t="s">
        <v>13802</v>
      </c>
      <c r="E4152" s="487" t="s">
        <v>13803</v>
      </c>
      <c r="F4152" s="490">
        <v>479835</v>
      </c>
      <c r="G4152" s="489">
        <v>4140.8599999999997</v>
      </c>
      <c r="H4152" s="489">
        <v>115.8781</v>
      </c>
      <c r="I4152" s="487" t="s">
        <v>1499</v>
      </c>
      <c r="J4152" s="487" t="s">
        <v>736</v>
      </c>
    </row>
    <row r="4153" spans="1:10" ht="15" x14ac:dyDescent="0.2">
      <c r="A4153" s="486" t="s">
        <v>735</v>
      </c>
      <c r="B4153" s="487" t="s">
        <v>734</v>
      </c>
      <c r="C4153" s="488" t="s">
        <v>13804</v>
      </c>
      <c r="D4153" s="489" t="s">
        <v>13805</v>
      </c>
      <c r="E4153" s="487" t="s">
        <v>13806</v>
      </c>
      <c r="F4153" s="490">
        <v>95000</v>
      </c>
      <c r="G4153" s="489">
        <v>2038.65</v>
      </c>
      <c r="H4153" s="489">
        <v>46.599469999999997</v>
      </c>
      <c r="I4153" s="487" t="s">
        <v>1499</v>
      </c>
      <c r="J4153" s="487" t="s">
        <v>736</v>
      </c>
    </row>
    <row r="4154" spans="1:10" ht="15" x14ac:dyDescent="0.2">
      <c r="A4154" s="486" t="s">
        <v>735</v>
      </c>
      <c r="B4154" s="487" t="s">
        <v>734</v>
      </c>
      <c r="C4154" s="488" t="s">
        <v>13807</v>
      </c>
      <c r="D4154" s="489" t="s">
        <v>13808</v>
      </c>
      <c r="E4154" s="487" t="s">
        <v>13809</v>
      </c>
      <c r="F4154" s="490">
        <v>75000</v>
      </c>
      <c r="G4154" s="489">
        <v>736.38</v>
      </c>
      <c r="H4154" s="489">
        <v>101.84959000000001</v>
      </c>
      <c r="I4154" s="487" t="s">
        <v>1499</v>
      </c>
      <c r="J4154" s="487" t="s">
        <v>736</v>
      </c>
    </row>
    <row r="4155" spans="1:10" ht="15" x14ac:dyDescent="0.2">
      <c r="A4155" s="486" t="s">
        <v>735</v>
      </c>
      <c r="B4155" s="487" t="s">
        <v>734</v>
      </c>
      <c r="C4155" s="488" t="s">
        <v>13810</v>
      </c>
      <c r="D4155" s="489" t="s">
        <v>13811</v>
      </c>
      <c r="E4155" s="487" t="s">
        <v>13812</v>
      </c>
      <c r="F4155" s="490">
        <v>24000</v>
      </c>
      <c r="G4155" s="489">
        <v>703.38</v>
      </c>
      <c r="H4155" s="489">
        <v>34.120959999999997</v>
      </c>
      <c r="I4155" s="487" t="s">
        <v>1499</v>
      </c>
      <c r="J4155" s="487" t="s">
        <v>736</v>
      </c>
    </row>
    <row r="4156" spans="1:10" ht="15" x14ac:dyDescent="0.2">
      <c r="A4156" s="486" t="s">
        <v>735</v>
      </c>
      <c r="B4156" s="487" t="s">
        <v>734</v>
      </c>
      <c r="C4156" s="488" t="s">
        <v>13813</v>
      </c>
      <c r="D4156" s="489" t="s">
        <v>13814</v>
      </c>
      <c r="E4156" s="487" t="s">
        <v>3752</v>
      </c>
      <c r="F4156" s="490">
        <v>9500</v>
      </c>
      <c r="G4156" s="489">
        <v>267.11</v>
      </c>
      <c r="H4156" s="489">
        <v>35.565869999999997</v>
      </c>
      <c r="I4156" s="487" t="s">
        <v>1499</v>
      </c>
      <c r="J4156" s="487" t="s">
        <v>736</v>
      </c>
    </row>
    <row r="4157" spans="1:10" ht="15" x14ac:dyDescent="0.2">
      <c r="A4157" s="486" t="s">
        <v>735</v>
      </c>
      <c r="B4157" s="487" t="s">
        <v>734</v>
      </c>
      <c r="C4157" s="488" t="s">
        <v>13815</v>
      </c>
      <c r="D4157" s="489" t="s">
        <v>13816</v>
      </c>
      <c r="E4157" s="487" t="s">
        <v>13817</v>
      </c>
      <c r="F4157" s="490">
        <v>5500</v>
      </c>
      <c r="G4157" s="489">
        <v>84.74</v>
      </c>
      <c r="H4157" s="489">
        <v>64.904409999999999</v>
      </c>
      <c r="I4157" s="487" t="s">
        <v>1499</v>
      </c>
      <c r="J4157" s="487" t="s">
        <v>736</v>
      </c>
    </row>
    <row r="4158" spans="1:10" ht="15" x14ac:dyDescent="0.2">
      <c r="A4158" s="486" t="s">
        <v>735</v>
      </c>
      <c r="B4158" s="487" t="s">
        <v>734</v>
      </c>
      <c r="C4158" s="488" t="s">
        <v>13818</v>
      </c>
      <c r="D4158" s="489" t="s">
        <v>13819</v>
      </c>
      <c r="E4158" s="487" t="s">
        <v>13820</v>
      </c>
      <c r="F4158" s="490">
        <v>43500</v>
      </c>
      <c r="G4158" s="489">
        <v>858.03</v>
      </c>
      <c r="H4158" s="489">
        <v>50.69753</v>
      </c>
      <c r="I4158" s="487" t="s">
        <v>1499</v>
      </c>
      <c r="J4158" s="487" t="s">
        <v>736</v>
      </c>
    </row>
    <row r="4159" spans="1:10" ht="15" x14ac:dyDescent="0.2">
      <c r="A4159" s="486" t="s">
        <v>735</v>
      </c>
      <c r="B4159" s="487" t="s">
        <v>734</v>
      </c>
      <c r="C4159" s="488" t="s">
        <v>13821</v>
      </c>
      <c r="D4159" s="489" t="s">
        <v>13822</v>
      </c>
      <c r="E4159" s="487" t="s">
        <v>13823</v>
      </c>
      <c r="F4159" s="490">
        <v>2835</v>
      </c>
      <c r="G4159" s="489">
        <v>151.63999999999999</v>
      </c>
      <c r="H4159" s="489">
        <v>18.695589999999999</v>
      </c>
      <c r="I4159" s="487" t="s">
        <v>1499</v>
      </c>
      <c r="J4159" s="487" t="s">
        <v>736</v>
      </c>
    </row>
    <row r="4160" spans="1:10" ht="15" x14ac:dyDescent="0.2">
      <c r="A4160" s="486" t="s">
        <v>735</v>
      </c>
      <c r="B4160" s="487" t="s">
        <v>734</v>
      </c>
      <c r="C4160" s="488" t="s">
        <v>13824</v>
      </c>
      <c r="D4160" s="489" t="s">
        <v>13825</v>
      </c>
      <c r="E4160" s="487" t="s">
        <v>13826</v>
      </c>
      <c r="F4160" s="490">
        <v>36260</v>
      </c>
      <c r="G4160" s="489">
        <v>729.31</v>
      </c>
      <c r="H4160" s="489">
        <v>49.718229999999998</v>
      </c>
      <c r="I4160" s="487" t="s">
        <v>1499</v>
      </c>
      <c r="J4160" s="487" t="s">
        <v>736</v>
      </c>
    </row>
    <row r="4161" spans="1:10" ht="15" x14ac:dyDescent="0.2">
      <c r="A4161" s="486" t="s">
        <v>735</v>
      </c>
      <c r="B4161" s="487" t="s">
        <v>734</v>
      </c>
      <c r="C4161" s="488" t="s">
        <v>13827</v>
      </c>
      <c r="D4161" s="489" t="s">
        <v>13828</v>
      </c>
      <c r="E4161" s="487" t="s">
        <v>13829</v>
      </c>
      <c r="F4161" s="490">
        <v>31500</v>
      </c>
      <c r="G4161" s="489">
        <v>723.36</v>
      </c>
      <c r="H4161" s="489">
        <v>43.546779999999998</v>
      </c>
      <c r="I4161" s="487" t="s">
        <v>1499</v>
      </c>
      <c r="J4161" s="487" t="s">
        <v>736</v>
      </c>
    </row>
    <row r="4162" spans="1:10" ht="15" x14ac:dyDescent="0.2">
      <c r="A4162" s="486" t="s">
        <v>735</v>
      </c>
      <c r="B4162" s="487" t="s">
        <v>734</v>
      </c>
      <c r="C4162" s="488" t="s">
        <v>13830</v>
      </c>
      <c r="D4162" s="489" t="s">
        <v>13831</v>
      </c>
      <c r="E4162" s="487" t="s">
        <v>13832</v>
      </c>
      <c r="F4162" s="490">
        <v>2059436</v>
      </c>
      <c r="G4162" s="489">
        <v>7596.8</v>
      </c>
      <c r="H4162" s="489">
        <v>271.09257000000002</v>
      </c>
      <c r="I4162" s="487" t="s">
        <v>1499</v>
      </c>
      <c r="J4162" s="487" t="s">
        <v>736</v>
      </c>
    </row>
    <row r="4163" spans="1:10" ht="15" x14ac:dyDescent="0.2">
      <c r="A4163" s="486" t="s">
        <v>735</v>
      </c>
      <c r="B4163" s="487" t="s">
        <v>734</v>
      </c>
      <c r="C4163" s="488" t="s">
        <v>13833</v>
      </c>
      <c r="D4163" s="489" t="s">
        <v>13834</v>
      </c>
      <c r="E4163" s="487" t="s">
        <v>13835</v>
      </c>
      <c r="F4163" s="490">
        <v>16895</v>
      </c>
      <c r="G4163" s="489">
        <v>312.99</v>
      </c>
      <c r="H4163" s="489">
        <v>53.97936</v>
      </c>
      <c r="I4163" s="487" t="s">
        <v>1499</v>
      </c>
      <c r="J4163" s="487" t="s">
        <v>736</v>
      </c>
    </row>
    <row r="4164" spans="1:10" ht="15" x14ac:dyDescent="0.2">
      <c r="A4164" s="486" t="s">
        <v>735</v>
      </c>
      <c r="B4164" s="487" t="s">
        <v>734</v>
      </c>
      <c r="C4164" s="488" t="s">
        <v>13836</v>
      </c>
      <c r="D4164" s="489" t="s">
        <v>13837</v>
      </c>
      <c r="E4164" s="487" t="s">
        <v>13838</v>
      </c>
      <c r="F4164" s="490">
        <v>54655</v>
      </c>
      <c r="G4164" s="489">
        <v>1073.26</v>
      </c>
      <c r="H4164" s="489">
        <v>50.924289999999999</v>
      </c>
      <c r="I4164" s="487" t="s">
        <v>1499</v>
      </c>
      <c r="J4164" s="487" t="s">
        <v>736</v>
      </c>
    </row>
    <row r="4165" spans="1:10" ht="15" x14ac:dyDescent="0.2">
      <c r="A4165" s="486" t="s">
        <v>735</v>
      </c>
      <c r="B4165" s="487" t="s">
        <v>734</v>
      </c>
      <c r="C4165" s="488" t="s">
        <v>13839</v>
      </c>
      <c r="D4165" s="489" t="s">
        <v>13840</v>
      </c>
      <c r="E4165" s="487" t="s">
        <v>13841</v>
      </c>
      <c r="F4165" s="490">
        <v>6000</v>
      </c>
      <c r="G4165" s="489">
        <v>159.75</v>
      </c>
      <c r="H4165" s="489">
        <v>37.558689999999999</v>
      </c>
      <c r="I4165" s="487" t="s">
        <v>1499</v>
      </c>
      <c r="J4165" s="487" t="s">
        <v>736</v>
      </c>
    </row>
    <row r="4166" spans="1:10" ht="15" x14ac:dyDescent="0.2">
      <c r="A4166" s="486" t="s">
        <v>735</v>
      </c>
      <c r="B4166" s="487" t="s">
        <v>734</v>
      </c>
      <c r="C4166" s="488" t="s">
        <v>13842</v>
      </c>
      <c r="D4166" s="489" t="s">
        <v>13843</v>
      </c>
      <c r="E4166" s="487" t="s">
        <v>13844</v>
      </c>
      <c r="F4166" s="490">
        <v>17500</v>
      </c>
      <c r="G4166" s="489">
        <v>293.64999999999998</v>
      </c>
      <c r="H4166" s="489">
        <v>59.594760000000001</v>
      </c>
      <c r="I4166" s="487" t="s">
        <v>1499</v>
      </c>
      <c r="J4166" s="487" t="s">
        <v>736</v>
      </c>
    </row>
    <row r="4167" spans="1:10" ht="15" x14ac:dyDescent="0.2">
      <c r="A4167" s="486" t="s">
        <v>735</v>
      </c>
      <c r="B4167" s="487" t="s">
        <v>734</v>
      </c>
      <c r="C4167" s="488" t="s">
        <v>13845</v>
      </c>
      <c r="D4167" s="489" t="s">
        <v>13846</v>
      </c>
      <c r="E4167" s="487" t="s">
        <v>13847</v>
      </c>
      <c r="F4167" s="490">
        <v>0</v>
      </c>
      <c r="G4167" s="489">
        <v>78.11</v>
      </c>
      <c r="H4167" s="489">
        <v>0</v>
      </c>
      <c r="I4167" s="487" t="s">
        <v>1593</v>
      </c>
      <c r="J4167" s="487" t="s">
        <v>736</v>
      </c>
    </row>
    <row r="4168" spans="1:10" ht="15" x14ac:dyDescent="0.2">
      <c r="A4168" s="486" t="s">
        <v>874</v>
      </c>
      <c r="B4168" s="487" t="s">
        <v>873</v>
      </c>
      <c r="C4168" s="488" t="s">
        <v>13848</v>
      </c>
      <c r="D4168" s="489" t="s">
        <v>13849</v>
      </c>
      <c r="E4168" s="487" t="s">
        <v>13850</v>
      </c>
      <c r="F4168" s="490">
        <v>780855</v>
      </c>
      <c r="G4168" s="489">
        <v>5475</v>
      </c>
      <c r="H4168" s="489">
        <v>142.62191999999999</v>
      </c>
      <c r="I4168" s="487" t="s">
        <v>1499</v>
      </c>
      <c r="J4168" s="487" t="s">
        <v>875</v>
      </c>
    </row>
    <row r="4169" spans="1:10" ht="15" x14ac:dyDescent="0.2">
      <c r="A4169" s="486" t="s">
        <v>874</v>
      </c>
      <c r="B4169" s="487" t="s">
        <v>873</v>
      </c>
      <c r="C4169" s="488" t="s">
        <v>13851</v>
      </c>
      <c r="D4169" s="489" t="s">
        <v>13852</v>
      </c>
      <c r="E4169" s="487" t="s">
        <v>13853</v>
      </c>
      <c r="F4169" s="490">
        <v>998189</v>
      </c>
      <c r="G4169" s="489">
        <v>13737.6</v>
      </c>
      <c r="H4169" s="489">
        <v>72.661090000000002</v>
      </c>
      <c r="I4169" s="487" t="s">
        <v>1499</v>
      </c>
      <c r="J4169" s="487" t="s">
        <v>875</v>
      </c>
    </row>
    <row r="4170" spans="1:10" ht="15" x14ac:dyDescent="0.2">
      <c r="A4170" s="486" t="s">
        <v>874</v>
      </c>
      <c r="B4170" s="487" t="s">
        <v>873</v>
      </c>
      <c r="C4170" s="488" t="s">
        <v>13854</v>
      </c>
      <c r="D4170" s="489" t="s">
        <v>13855</v>
      </c>
      <c r="E4170" s="487" t="s">
        <v>13856</v>
      </c>
      <c r="F4170" s="490">
        <v>111711</v>
      </c>
      <c r="G4170" s="489">
        <v>1841</v>
      </c>
      <c r="H4170" s="489">
        <v>60.679519999999997</v>
      </c>
      <c r="I4170" s="487" t="s">
        <v>1499</v>
      </c>
      <c r="J4170" s="487" t="s">
        <v>875</v>
      </c>
    </row>
    <row r="4171" spans="1:10" ht="15" x14ac:dyDescent="0.2">
      <c r="A4171" s="486" t="s">
        <v>874</v>
      </c>
      <c r="B4171" s="487" t="s">
        <v>873</v>
      </c>
      <c r="C4171" s="488" t="s">
        <v>13857</v>
      </c>
      <c r="D4171" s="489" t="s">
        <v>13858</v>
      </c>
      <c r="E4171" s="487" t="s">
        <v>13859</v>
      </c>
      <c r="F4171" s="490">
        <v>28320</v>
      </c>
      <c r="G4171" s="489">
        <v>461</v>
      </c>
      <c r="H4171" s="489">
        <v>61.431669999999997</v>
      </c>
      <c r="I4171" s="487" t="s">
        <v>1499</v>
      </c>
      <c r="J4171" s="487" t="s">
        <v>875</v>
      </c>
    </row>
    <row r="4172" spans="1:10" ht="15" x14ac:dyDescent="0.2">
      <c r="A4172" s="486" t="s">
        <v>1028</v>
      </c>
      <c r="B4172" s="487" t="s">
        <v>1027</v>
      </c>
      <c r="C4172" s="488" t="s">
        <v>13860</v>
      </c>
      <c r="D4172" s="489" t="s">
        <v>13861</v>
      </c>
      <c r="E4172" s="487" t="s">
        <v>13862</v>
      </c>
      <c r="F4172" s="490">
        <v>112613.39</v>
      </c>
      <c r="G4172" s="489">
        <v>901.7</v>
      </c>
      <c r="H4172" s="489">
        <v>124.89009</v>
      </c>
      <c r="I4172" s="487" t="s">
        <v>1499</v>
      </c>
      <c r="J4172" s="487" t="s">
        <v>1029</v>
      </c>
    </row>
    <row r="4173" spans="1:10" ht="15" x14ac:dyDescent="0.2">
      <c r="A4173" s="486" t="s">
        <v>1028</v>
      </c>
      <c r="B4173" s="487" t="s">
        <v>1027</v>
      </c>
      <c r="C4173" s="488" t="s">
        <v>13863</v>
      </c>
      <c r="D4173" s="489" t="s">
        <v>13864</v>
      </c>
      <c r="E4173" s="487" t="s">
        <v>13865</v>
      </c>
      <c r="F4173" s="490">
        <v>43135</v>
      </c>
      <c r="G4173" s="489">
        <v>438.9</v>
      </c>
      <c r="H4173" s="489">
        <v>98.279790000000006</v>
      </c>
      <c r="I4173" s="487" t="s">
        <v>1499</v>
      </c>
      <c r="J4173" s="487" t="s">
        <v>1029</v>
      </c>
    </row>
    <row r="4174" spans="1:10" ht="15" x14ac:dyDescent="0.2">
      <c r="A4174" s="486" t="s">
        <v>1028</v>
      </c>
      <c r="B4174" s="487" t="s">
        <v>1027</v>
      </c>
      <c r="C4174" s="488" t="s">
        <v>13866</v>
      </c>
      <c r="D4174" s="489" t="s">
        <v>13867</v>
      </c>
      <c r="E4174" s="487" t="s">
        <v>13868</v>
      </c>
      <c r="F4174" s="490">
        <v>33564</v>
      </c>
      <c r="G4174" s="489">
        <v>338.2</v>
      </c>
      <c r="H4174" s="489">
        <v>99.243049999999997</v>
      </c>
      <c r="I4174" s="487" t="s">
        <v>1499</v>
      </c>
      <c r="J4174" s="487" t="s">
        <v>1029</v>
      </c>
    </row>
    <row r="4175" spans="1:10" ht="15" x14ac:dyDescent="0.2">
      <c r="A4175" s="486" t="s">
        <v>1028</v>
      </c>
      <c r="B4175" s="487" t="s">
        <v>1027</v>
      </c>
      <c r="C4175" s="488" t="s">
        <v>13869</v>
      </c>
      <c r="D4175" s="489" t="s">
        <v>13870</v>
      </c>
      <c r="E4175" s="487" t="s">
        <v>13871</v>
      </c>
      <c r="F4175" s="490">
        <v>9310.4</v>
      </c>
      <c r="G4175" s="489">
        <v>129.4</v>
      </c>
      <c r="H4175" s="489">
        <v>71.950540000000004</v>
      </c>
      <c r="I4175" s="487" t="s">
        <v>1499</v>
      </c>
      <c r="J4175" s="487" t="s">
        <v>1029</v>
      </c>
    </row>
    <row r="4176" spans="1:10" ht="15" x14ac:dyDescent="0.2">
      <c r="A4176" s="486" t="s">
        <v>1028</v>
      </c>
      <c r="B4176" s="487" t="s">
        <v>1027</v>
      </c>
      <c r="C4176" s="488" t="s">
        <v>13872</v>
      </c>
      <c r="D4176" s="489" t="s">
        <v>13873</v>
      </c>
      <c r="E4176" s="487" t="s">
        <v>13874</v>
      </c>
      <c r="F4176" s="490">
        <v>2386.1</v>
      </c>
      <c r="G4176" s="489">
        <v>56.7</v>
      </c>
      <c r="H4176" s="489">
        <v>42.082889999999999</v>
      </c>
      <c r="I4176" s="487" t="s">
        <v>2465</v>
      </c>
      <c r="J4176" s="487" t="s">
        <v>1029</v>
      </c>
    </row>
    <row r="4177" spans="1:10" ht="15" x14ac:dyDescent="0.2">
      <c r="A4177" s="486" t="s">
        <v>1028</v>
      </c>
      <c r="B4177" s="487" t="s">
        <v>1027</v>
      </c>
      <c r="C4177" s="488" t="s">
        <v>13875</v>
      </c>
      <c r="D4177" s="489" t="s">
        <v>13876</v>
      </c>
      <c r="E4177" s="487" t="s">
        <v>13877</v>
      </c>
      <c r="F4177" s="490">
        <v>1876.06</v>
      </c>
      <c r="G4177" s="489">
        <v>86.9</v>
      </c>
      <c r="H4177" s="489">
        <v>21.588719999999999</v>
      </c>
      <c r="I4177" s="487" t="s">
        <v>1499</v>
      </c>
      <c r="J4177" s="487" t="s">
        <v>1029</v>
      </c>
    </row>
    <row r="4178" spans="1:10" ht="15" x14ac:dyDescent="0.2">
      <c r="A4178" s="486" t="s">
        <v>1028</v>
      </c>
      <c r="B4178" s="487" t="s">
        <v>1027</v>
      </c>
      <c r="C4178" s="488" t="s">
        <v>13878</v>
      </c>
      <c r="D4178" s="489" t="s">
        <v>13879</v>
      </c>
      <c r="E4178" s="487" t="s">
        <v>13880</v>
      </c>
      <c r="F4178" s="490">
        <v>110897.71</v>
      </c>
      <c r="G4178" s="489">
        <v>1711.3</v>
      </c>
      <c r="H4178" s="489">
        <v>64.803200000000004</v>
      </c>
      <c r="I4178" s="487" t="s">
        <v>1499</v>
      </c>
      <c r="J4178" s="487" t="s">
        <v>1029</v>
      </c>
    </row>
    <row r="4179" spans="1:10" ht="15" x14ac:dyDescent="0.2">
      <c r="A4179" s="486" t="s">
        <v>1028</v>
      </c>
      <c r="B4179" s="487" t="s">
        <v>1027</v>
      </c>
      <c r="C4179" s="488" t="s">
        <v>13881</v>
      </c>
      <c r="D4179" s="489" t="s">
        <v>13882</v>
      </c>
      <c r="E4179" s="487" t="s">
        <v>3604</v>
      </c>
      <c r="F4179" s="490">
        <v>10168.98</v>
      </c>
      <c r="G4179" s="489">
        <v>175.5</v>
      </c>
      <c r="H4179" s="489">
        <v>57.942909999999998</v>
      </c>
      <c r="I4179" s="487" t="s">
        <v>1499</v>
      </c>
      <c r="J4179" s="487" t="s">
        <v>1029</v>
      </c>
    </row>
    <row r="4180" spans="1:10" ht="15" x14ac:dyDescent="0.2">
      <c r="A4180" s="486" t="s">
        <v>1028</v>
      </c>
      <c r="B4180" s="487" t="s">
        <v>1027</v>
      </c>
      <c r="C4180" s="488" t="s">
        <v>13883</v>
      </c>
      <c r="D4180" s="489" t="s">
        <v>13884</v>
      </c>
      <c r="E4180" s="487" t="s">
        <v>13885</v>
      </c>
      <c r="F4180" s="490">
        <v>48300</v>
      </c>
      <c r="G4180" s="489">
        <v>2012.1</v>
      </c>
      <c r="H4180" s="489">
        <v>24.004770000000001</v>
      </c>
      <c r="I4180" s="487" t="s">
        <v>1499</v>
      </c>
      <c r="J4180" s="487" t="s">
        <v>1029</v>
      </c>
    </row>
    <row r="4181" spans="1:10" ht="15" x14ac:dyDescent="0.2">
      <c r="A4181" s="486" t="s">
        <v>1028</v>
      </c>
      <c r="B4181" s="487" t="s">
        <v>1027</v>
      </c>
      <c r="C4181" s="488" t="s">
        <v>13886</v>
      </c>
      <c r="D4181" s="489" t="s">
        <v>13887</v>
      </c>
      <c r="E4181" s="487" t="s">
        <v>13888</v>
      </c>
      <c r="F4181" s="490">
        <v>0</v>
      </c>
      <c r="G4181" s="489">
        <v>66.8</v>
      </c>
      <c r="H4181" s="489">
        <v>0</v>
      </c>
      <c r="I4181" s="487" t="s">
        <v>1593</v>
      </c>
      <c r="J4181" s="487" t="s">
        <v>1029</v>
      </c>
    </row>
    <row r="4182" spans="1:10" ht="15" x14ac:dyDescent="0.2">
      <c r="A4182" s="486" t="s">
        <v>1028</v>
      </c>
      <c r="B4182" s="487" t="s">
        <v>1027</v>
      </c>
      <c r="C4182" s="488" t="s">
        <v>13889</v>
      </c>
      <c r="D4182" s="489" t="s">
        <v>13890</v>
      </c>
      <c r="E4182" s="487" t="s">
        <v>13891</v>
      </c>
      <c r="F4182" s="490">
        <v>11178.27</v>
      </c>
      <c r="G4182" s="489">
        <v>162.6</v>
      </c>
      <c r="H4182" s="489">
        <v>68.747050000000002</v>
      </c>
      <c r="I4182" s="487" t="s">
        <v>1499</v>
      </c>
      <c r="J4182" s="487" t="s">
        <v>1029</v>
      </c>
    </row>
    <row r="4183" spans="1:10" ht="15" x14ac:dyDescent="0.2">
      <c r="A4183" s="486" t="s">
        <v>1028</v>
      </c>
      <c r="B4183" s="487" t="s">
        <v>1027</v>
      </c>
      <c r="C4183" s="488" t="s">
        <v>13892</v>
      </c>
      <c r="D4183" s="489" t="s">
        <v>13893</v>
      </c>
      <c r="E4183" s="487" t="s">
        <v>8622</v>
      </c>
      <c r="F4183" s="490">
        <v>14818.46</v>
      </c>
      <c r="G4183" s="489">
        <v>160.19999999999999</v>
      </c>
      <c r="H4183" s="489">
        <v>92.499750000000006</v>
      </c>
      <c r="I4183" s="487" t="s">
        <v>1499</v>
      </c>
      <c r="J4183" s="487" t="s">
        <v>1029</v>
      </c>
    </row>
    <row r="4184" spans="1:10" ht="15" x14ac:dyDescent="0.2">
      <c r="A4184" s="486" t="s">
        <v>1028</v>
      </c>
      <c r="B4184" s="487" t="s">
        <v>1027</v>
      </c>
      <c r="C4184" s="488" t="s">
        <v>13894</v>
      </c>
      <c r="D4184" s="489" t="s">
        <v>13895</v>
      </c>
      <c r="E4184" s="487" t="s">
        <v>13896</v>
      </c>
      <c r="F4184" s="490">
        <v>60380</v>
      </c>
      <c r="G4184" s="489">
        <v>898.1</v>
      </c>
      <c r="H4184" s="489">
        <v>67.230819999999994</v>
      </c>
      <c r="I4184" s="487" t="s">
        <v>1499</v>
      </c>
      <c r="J4184" s="487" t="s">
        <v>1029</v>
      </c>
    </row>
    <row r="4185" spans="1:10" ht="15" x14ac:dyDescent="0.2">
      <c r="A4185" s="486" t="s">
        <v>1028</v>
      </c>
      <c r="B4185" s="487" t="s">
        <v>1027</v>
      </c>
      <c r="C4185" s="488" t="s">
        <v>13897</v>
      </c>
      <c r="D4185" s="489" t="s">
        <v>13898</v>
      </c>
      <c r="E4185" s="487" t="s">
        <v>13899</v>
      </c>
      <c r="F4185" s="490">
        <v>2881.25</v>
      </c>
      <c r="G4185" s="489">
        <v>80.900000000000006</v>
      </c>
      <c r="H4185" s="489">
        <v>35.614960000000004</v>
      </c>
      <c r="I4185" s="487" t="s">
        <v>1499</v>
      </c>
      <c r="J4185" s="487" t="s">
        <v>1029</v>
      </c>
    </row>
    <row r="4186" spans="1:10" ht="15" x14ac:dyDescent="0.2">
      <c r="A4186" s="486" t="s">
        <v>1028</v>
      </c>
      <c r="B4186" s="487" t="s">
        <v>1027</v>
      </c>
      <c r="C4186" s="488" t="s">
        <v>13900</v>
      </c>
      <c r="D4186" s="489" t="s">
        <v>13901</v>
      </c>
      <c r="E4186" s="487" t="s">
        <v>12116</v>
      </c>
      <c r="F4186" s="490">
        <v>90000</v>
      </c>
      <c r="G4186" s="489">
        <v>1062.5</v>
      </c>
      <c r="H4186" s="489">
        <v>84.705879999999993</v>
      </c>
      <c r="I4186" s="487" t="s">
        <v>1499</v>
      </c>
      <c r="J4186" s="487" t="s">
        <v>1029</v>
      </c>
    </row>
    <row r="4187" spans="1:10" ht="15" x14ac:dyDescent="0.2">
      <c r="A4187" s="486" t="s">
        <v>1028</v>
      </c>
      <c r="B4187" s="487" t="s">
        <v>1027</v>
      </c>
      <c r="C4187" s="488" t="s">
        <v>13902</v>
      </c>
      <c r="D4187" s="489" t="s">
        <v>13903</v>
      </c>
      <c r="E4187" s="487" t="s">
        <v>13904</v>
      </c>
      <c r="F4187" s="490">
        <v>38570.839999999997</v>
      </c>
      <c r="G4187" s="489">
        <v>425</v>
      </c>
      <c r="H4187" s="489">
        <v>90.754919999999998</v>
      </c>
      <c r="I4187" s="487" t="s">
        <v>1499</v>
      </c>
      <c r="J4187" s="487" t="s">
        <v>1029</v>
      </c>
    </row>
    <row r="4188" spans="1:10" ht="15" x14ac:dyDescent="0.2">
      <c r="A4188" s="486" t="s">
        <v>1028</v>
      </c>
      <c r="B4188" s="487" t="s">
        <v>1027</v>
      </c>
      <c r="C4188" s="488" t="s">
        <v>13905</v>
      </c>
      <c r="D4188" s="489" t="s">
        <v>13906</v>
      </c>
      <c r="E4188" s="487" t="s">
        <v>13907</v>
      </c>
      <c r="F4188" s="490">
        <v>192359</v>
      </c>
      <c r="G4188" s="489">
        <v>2018.7</v>
      </c>
      <c r="H4188" s="489">
        <v>95.288550000000001</v>
      </c>
      <c r="I4188" s="487" t="s">
        <v>1499</v>
      </c>
      <c r="J4188" s="487" t="s">
        <v>1029</v>
      </c>
    </row>
    <row r="4189" spans="1:10" ht="15" x14ac:dyDescent="0.2">
      <c r="A4189" s="486" t="s">
        <v>1028</v>
      </c>
      <c r="B4189" s="487" t="s">
        <v>1027</v>
      </c>
      <c r="C4189" s="488" t="s">
        <v>13908</v>
      </c>
      <c r="D4189" s="489" t="s">
        <v>13909</v>
      </c>
      <c r="E4189" s="487" t="s">
        <v>10701</v>
      </c>
      <c r="F4189" s="490">
        <v>0</v>
      </c>
      <c r="G4189" s="489">
        <v>89.2</v>
      </c>
      <c r="H4189" s="489">
        <v>0</v>
      </c>
      <c r="I4189" s="487" t="s">
        <v>1593</v>
      </c>
      <c r="J4189" s="487" t="s">
        <v>1029</v>
      </c>
    </row>
    <row r="4190" spans="1:10" ht="15" x14ac:dyDescent="0.2">
      <c r="A4190" s="486" t="s">
        <v>1028</v>
      </c>
      <c r="B4190" s="487" t="s">
        <v>1027</v>
      </c>
      <c r="C4190" s="488" t="s">
        <v>13910</v>
      </c>
      <c r="D4190" s="489" t="s">
        <v>13911</v>
      </c>
      <c r="E4190" s="487" t="s">
        <v>13912</v>
      </c>
      <c r="F4190" s="490">
        <v>19396</v>
      </c>
      <c r="G4190" s="489">
        <v>178</v>
      </c>
      <c r="H4190" s="489">
        <v>108.96629</v>
      </c>
      <c r="I4190" s="487" t="s">
        <v>1499</v>
      </c>
      <c r="J4190" s="487" t="s">
        <v>1029</v>
      </c>
    </row>
    <row r="4191" spans="1:10" ht="15" x14ac:dyDescent="0.2">
      <c r="A4191" s="486" t="s">
        <v>1028</v>
      </c>
      <c r="B4191" s="487" t="s">
        <v>1027</v>
      </c>
      <c r="C4191" s="488" t="s">
        <v>13913</v>
      </c>
      <c r="D4191" s="489" t="s">
        <v>13914</v>
      </c>
      <c r="E4191" s="487" t="s">
        <v>13915</v>
      </c>
      <c r="F4191" s="490">
        <v>0</v>
      </c>
      <c r="G4191" s="489">
        <v>0</v>
      </c>
      <c r="H4191" s="489">
        <v>0</v>
      </c>
      <c r="I4191" s="487" t="s">
        <v>2465</v>
      </c>
      <c r="J4191" s="487" t="s">
        <v>1029</v>
      </c>
    </row>
    <row r="4192" spans="1:10" ht="15" x14ac:dyDescent="0.2">
      <c r="A4192" s="486" t="s">
        <v>1028</v>
      </c>
      <c r="B4192" s="487" t="s">
        <v>1027</v>
      </c>
      <c r="C4192" s="488" t="s">
        <v>13916</v>
      </c>
      <c r="D4192" s="489" t="s">
        <v>13917</v>
      </c>
      <c r="E4192" s="487" t="s">
        <v>13918</v>
      </c>
      <c r="F4192" s="490">
        <v>0</v>
      </c>
      <c r="G4192" s="489">
        <v>71.3</v>
      </c>
      <c r="H4192" s="489">
        <v>0</v>
      </c>
      <c r="I4192" s="487" t="s">
        <v>1593</v>
      </c>
      <c r="J4192" s="487" t="s">
        <v>1029</v>
      </c>
    </row>
    <row r="4193" spans="1:10" ht="15" x14ac:dyDescent="0.2">
      <c r="A4193" s="486" t="s">
        <v>1028</v>
      </c>
      <c r="B4193" s="487" t="s">
        <v>1027</v>
      </c>
      <c r="C4193" s="488" t="s">
        <v>13919</v>
      </c>
      <c r="D4193" s="489" t="s">
        <v>13920</v>
      </c>
      <c r="E4193" s="487" t="s">
        <v>13921</v>
      </c>
      <c r="F4193" s="490">
        <v>40731</v>
      </c>
      <c r="G4193" s="489">
        <v>616.29999999999995</v>
      </c>
      <c r="H4193" s="489">
        <v>66.089569999999995</v>
      </c>
      <c r="I4193" s="487" t="s">
        <v>1499</v>
      </c>
      <c r="J4193" s="487" t="s">
        <v>1029</v>
      </c>
    </row>
    <row r="4194" spans="1:10" ht="15" x14ac:dyDescent="0.2">
      <c r="A4194" s="486" t="s">
        <v>1028</v>
      </c>
      <c r="B4194" s="487" t="s">
        <v>1027</v>
      </c>
      <c r="C4194" s="488" t="s">
        <v>13922</v>
      </c>
      <c r="D4194" s="489" t="s">
        <v>13923</v>
      </c>
      <c r="E4194" s="487" t="s">
        <v>13357</v>
      </c>
      <c r="F4194" s="490">
        <v>67168.13</v>
      </c>
      <c r="G4194" s="489">
        <v>702.5</v>
      </c>
      <c r="H4194" s="489">
        <v>95.613</v>
      </c>
      <c r="I4194" s="487" t="s">
        <v>1499</v>
      </c>
      <c r="J4194" s="487" t="s">
        <v>1029</v>
      </c>
    </row>
    <row r="4195" spans="1:10" ht="15" x14ac:dyDescent="0.2">
      <c r="A4195" s="486" t="s">
        <v>1028</v>
      </c>
      <c r="B4195" s="487" t="s">
        <v>1027</v>
      </c>
      <c r="C4195" s="488" t="s">
        <v>13924</v>
      </c>
      <c r="D4195" s="489" t="s">
        <v>13925</v>
      </c>
      <c r="E4195" s="487" t="s">
        <v>1100</v>
      </c>
      <c r="F4195" s="490">
        <v>16758.87</v>
      </c>
      <c r="G4195" s="489">
        <v>246.1</v>
      </c>
      <c r="H4195" s="489">
        <v>68.097809999999996</v>
      </c>
      <c r="I4195" s="487" t="s">
        <v>1499</v>
      </c>
      <c r="J4195" s="487" t="s">
        <v>1029</v>
      </c>
    </row>
    <row r="4196" spans="1:10" ht="15" x14ac:dyDescent="0.2">
      <c r="A4196" s="486" t="s">
        <v>1028</v>
      </c>
      <c r="B4196" s="487" t="s">
        <v>1027</v>
      </c>
      <c r="C4196" s="488" t="s">
        <v>13926</v>
      </c>
      <c r="D4196" s="489" t="s">
        <v>13927</v>
      </c>
      <c r="E4196" s="487" t="s">
        <v>13928</v>
      </c>
      <c r="F4196" s="490">
        <v>1540</v>
      </c>
      <c r="G4196" s="489">
        <v>58.3</v>
      </c>
      <c r="H4196" s="489">
        <v>26.415089999999999</v>
      </c>
      <c r="I4196" s="487" t="s">
        <v>1499</v>
      </c>
      <c r="J4196" s="487" t="s">
        <v>1029</v>
      </c>
    </row>
    <row r="4197" spans="1:10" ht="15" x14ac:dyDescent="0.2">
      <c r="A4197" s="486" t="s">
        <v>1028</v>
      </c>
      <c r="B4197" s="487" t="s">
        <v>1027</v>
      </c>
      <c r="C4197" s="488" t="s">
        <v>13929</v>
      </c>
      <c r="D4197" s="489" t="s">
        <v>13930</v>
      </c>
      <c r="E4197" s="487" t="s">
        <v>13931</v>
      </c>
      <c r="F4197" s="490">
        <v>8277.6299999999992</v>
      </c>
      <c r="G4197" s="489">
        <v>160.6</v>
      </c>
      <c r="H4197" s="489">
        <v>51.541910000000001</v>
      </c>
      <c r="I4197" s="487" t="s">
        <v>1499</v>
      </c>
      <c r="J4197" s="487" t="s">
        <v>1029</v>
      </c>
    </row>
    <row r="4198" spans="1:10" ht="15" x14ac:dyDescent="0.2">
      <c r="A4198" s="486" t="s">
        <v>1028</v>
      </c>
      <c r="B4198" s="487" t="s">
        <v>1027</v>
      </c>
      <c r="C4198" s="488" t="s">
        <v>13932</v>
      </c>
      <c r="D4198" s="489" t="s">
        <v>13933</v>
      </c>
      <c r="E4198" s="487" t="s">
        <v>13934</v>
      </c>
      <c r="F4198" s="490">
        <v>406912</v>
      </c>
      <c r="G4198" s="489">
        <v>6871.6</v>
      </c>
      <c r="H4198" s="489">
        <v>59.21649</v>
      </c>
      <c r="I4198" s="487" t="s">
        <v>1499</v>
      </c>
      <c r="J4198" s="487" t="s">
        <v>1029</v>
      </c>
    </row>
    <row r="4199" spans="1:10" ht="15" x14ac:dyDescent="0.2">
      <c r="A4199" s="486" t="s">
        <v>1028</v>
      </c>
      <c r="B4199" s="487" t="s">
        <v>1027</v>
      </c>
      <c r="C4199" s="488" t="s">
        <v>13935</v>
      </c>
      <c r="D4199" s="489" t="s">
        <v>13936</v>
      </c>
      <c r="E4199" s="487" t="s">
        <v>13937</v>
      </c>
      <c r="F4199" s="490">
        <v>4437.46</v>
      </c>
      <c r="G4199" s="489">
        <v>212.1</v>
      </c>
      <c r="H4199" s="489">
        <v>20.92155</v>
      </c>
      <c r="I4199" s="487" t="s">
        <v>2465</v>
      </c>
      <c r="J4199" s="487" t="s">
        <v>1029</v>
      </c>
    </row>
    <row r="4200" spans="1:10" ht="15" x14ac:dyDescent="0.2">
      <c r="A4200" s="486" t="s">
        <v>1028</v>
      </c>
      <c r="B4200" s="487" t="s">
        <v>1027</v>
      </c>
      <c r="C4200" s="488" t="s">
        <v>13938</v>
      </c>
      <c r="D4200" s="489" t="s">
        <v>13939</v>
      </c>
      <c r="E4200" s="487" t="s">
        <v>10194</v>
      </c>
      <c r="F4200" s="490">
        <v>8500</v>
      </c>
      <c r="G4200" s="489">
        <v>247.5</v>
      </c>
      <c r="H4200" s="489">
        <v>34.343429999999998</v>
      </c>
      <c r="I4200" s="487" t="s">
        <v>1499</v>
      </c>
      <c r="J4200" s="487" t="s">
        <v>1029</v>
      </c>
    </row>
    <row r="4201" spans="1:10" ht="15" x14ac:dyDescent="0.2">
      <c r="A4201" s="486" t="s">
        <v>1028</v>
      </c>
      <c r="B4201" s="487" t="s">
        <v>1027</v>
      </c>
      <c r="C4201" s="488" t="s">
        <v>13940</v>
      </c>
      <c r="D4201" s="489" t="s">
        <v>13941</v>
      </c>
      <c r="E4201" s="487" t="s">
        <v>13942</v>
      </c>
      <c r="F4201" s="490">
        <v>39816.6</v>
      </c>
      <c r="G4201" s="489">
        <v>948.5</v>
      </c>
      <c r="H4201" s="489">
        <v>41.978490000000001</v>
      </c>
      <c r="I4201" s="487" t="s">
        <v>1499</v>
      </c>
      <c r="J4201" s="487" t="s">
        <v>1029</v>
      </c>
    </row>
    <row r="4202" spans="1:10" ht="15" x14ac:dyDescent="0.2">
      <c r="A4202" s="486" t="s">
        <v>1028</v>
      </c>
      <c r="B4202" s="487" t="s">
        <v>1027</v>
      </c>
      <c r="C4202" s="488" t="s">
        <v>13943</v>
      </c>
      <c r="D4202" s="489" t="s">
        <v>13944</v>
      </c>
      <c r="E4202" s="487" t="s">
        <v>13945</v>
      </c>
      <c r="F4202" s="490">
        <v>50521.8</v>
      </c>
      <c r="G4202" s="489">
        <v>582.1</v>
      </c>
      <c r="H4202" s="489">
        <v>86.792299999999997</v>
      </c>
      <c r="I4202" s="487" t="s">
        <v>1499</v>
      </c>
      <c r="J4202" s="487" t="s">
        <v>1029</v>
      </c>
    </row>
    <row r="4203" spans="1:10" ht="15" x14ac:dyDescent="0.2">
      <c r="A4203" s="486" t="s">
        <v>1028</v>
      </c>
      <c r="B4203" s="487" t="s">
        <v>1027</v>
      </c>
      <c r="C4203" s="488" t="s">
        <v>13946</v>
      </c>
      <c r="D4203" s="489" t="s">
        <v>13947</v>
      </c>
      <c r="E4203" s="487" t="s">
        <v>13948</v>
      </c>
      <c r="F4203" s="490">
        <v>10000</v>
      </c>
      <c r="G4203" s="489">
        <v>267.5</v>
      </c>
      <c r="H4203" s="489">
        <v>37.383180000000003</v>
      </c>
      <c r="I4203" s="487" t="s">
        <v>1499</v>
      </c>
      <c r="J4203" s="487" t="s">
        <v>1029</v>
      </c>
    </row>
    <row r="4204" spans="1:10" ht="15" x14ac:dyDescent="0.2">
      <c r="A4204" s="486" t="s">
        <v>1028</v>
      </c>
      <c r="B4204" s="487" t="s">
        <v>1027</v>
      </c>
      <c r="C4204" s="488" t="s">
        <v>13949</v>
      </c>
      <c r="D4204" s="489" t="s">
        <v>13950</v>
      </c>
      <c r="E4204" s="487" t="s">
        <v>13951</v>
      </c>
      <c r="F4204" s="490">
        <v>0</v>
      </c>
      <c r="G4204" s="489">
        <v>0</v>
      </c>
      <c r="H4204" s="489">
        <v>0</v>
      </c>
      <c r="I4204" s="487" t="s">
        <v>2465</v>
      </c>
      <c r="J4204" s="487" t="s">
        <v>1029</v>
      </c>
    </row>
    <row r="4205" spans="1:10" ht="15" x14ac:dyDescent="0.2">
      <c r="A4205" s="486" t="s">
        <v>1028</v>
      </c>
      <c r="B4205" s="487" t="s">
        <v>1027</v>
      </c>
      <c r="C4205" s="488" t="s">
        <v>13952</v>
      </c>
      <c r="D4205" s="489" t="s">
        <v>13953</v>
      </c>
      <c r="E4205" s="487" t="s">
        <v>13954</v>
      </c>
      <c r="F4205" s="490">
        <v>23000</v>
      </c>
      <c r="G4205" s="489">
        <v>446.4</v>
      </c>
      <c r="H4205" s="489">
        <v>51.523299999999999</v>
      </c>
      <c r="I4205" s="487" t="s">
        <v>1499</v>
      </c>
      <c r="J4205" s="487" t="s">
        <v>1029</v>
      </c>
    </row>
    <row r="4206" spans="1:10" ht="15" x14ac:dyDescent="0.2">
      <c r="A4206" s="486" t="s">
        <v>1028</v>
      </c>
      <c r="B4206" s="487" t="s">
        <v>1027</v>
      </c>
      <c r="C4206" s="488" t="s">
        <v>13955</v>
      </c>
      <c r="D4206" s="489" t="s">
        <v>13956</v>
      </c>
      <c r="E4206" s="487" t="s">
        <v>13957</v>
      </c>
      <c r="F4206" s="490">
        <v>43349</v>
      </c>
      <c r="G4206" s="489">
        <v>431.2</v>
      </c>
      <c r="H4206" s="489">
        <v>100.53108</v>
      </c>
      <c r="I4206" s="487" t="s">
        <v>1499</v>
      </c>
      <c r="J4206" s="487" t="s">
        <v>1029</v>
      </c>
    </row>
    <row r="4207" spans="1:10" ht="15" x14ac:dyDescent="0.2">
      <c r="A4207" s="486" t="s">
        <v>1228</v>
      </c>
      <c r="B4207" s="487" t="s">
        <v>1227</v>
      </c>
      <c r="C4207" s="488" t="s">
        <v>13958</v>
      </c>
      <c r="D4207" s="489" t="s">
        <v>13959</v>
      </c>
      <c r="E4207" s="487" t="s">
        <v>13960</v>
      </c>
      <c r="F4207" s="490">
        <v>182275.75</v>
      </c>
      <c r="G4207" s="489">
        <v>1147.3</v>
      </c>
      <c r="H4207" s="489">
        <v>158.87366</v>
      </c>
      <c r="I4207" s="487" t="s">
        <v>1499</v>
      </c>
      <c r="J4207" s="487" t="s">
        <v>1229</v>
      </c>
    </row>
    <row r="4208" spans="1:10" ht="15" x14ac:dyDescent="0.2">
      <c r="A4208" s="486" t="s">
        <v>1228</v>
      </c>
      <c r="B4208" s="487" t="s">
        <v>1227</v>
      </c>
      <c r="C4208" s="488" t="s">
        <v>13961</v>
      </c>
      <c r="D4208" s="489" t="s">
        <v>13962</v>
      </c>
      <c r="E4208" s="487" t="s">
        <v>13963</v>
      </c>
      <c r="F4208" s="490">
        <v>1680100</v>
      </c>
      <c r="G4208" s="489">
        <v>14631.8</v>
      </c>
      <c r="H4208" s="489">
        <v>114.82523999999999</v>
      </c>
      <c r="I4208" s="487" t="s">
        <v>1499</v>
      </c>
      <c r="J4208" s="487" t="s">
        <v>1229</v>
      </c>
    </row>
    <row r="4209" spans="1:10" ht="15" x14ac:dyDescent="0.2">
      <c r="A4209" s="486" t="s">
        <v>1228</v>
      </c>
      <c r="B4209" s="487" t="s">
        <v>1227</v>
      </c>
      <c r="C4209" s="488" t="s">
        <v>13964</v>
      </c>
      <c r="D4209" s="489" t="s">
        <v>13965</v>
      </c>
      <c r="E4209" s="487" t="s">
        <v>13966</v>
      </c>
      <c r="F4209" s="490">
        <v>10500</v>
      </c>
      <c r="G4209" s="489">
        <v>255.9</v>
      </c>
      <c r="H4209" s="489">
        <v>41.031649999999999</v>
      </c>
      <c r="I4209" s="487" t="s">
        <v>1499</v>
      </c>
      <c r="J4209" s="487" t="s">
        <v>1229</v>
      </c>
    </row>
    <row r="4210" spans="1:10" ht="15" x14ac:dyDescent="0.2">
      <c r="A4210" s="486" t="s">
        <v>1228</v>
      </c>
      <c r="B4210" s="487" t="s">
        <v>1227</v>
      </c>
      <c r="C4210" s="488" t="s">
        <v>13967</v>
      </c>
      <c r="D4210" s="489" t="s">
        <v>13968</v>
      </c>
      <c r="E4210" s="487" t="s">
        <v>13969</v>
      </c>
      <c r="F4210" s="490">
        <v>433725</v>
      </c>
      <c r="G4210" s="489">
        <v>3538.3</v>
      </c>
      <c r="H4210" s="489">
        <v>122.58005</v>
      </c>
      <c r="I4210" s="487" t="s">
        <v>1499</v>
      </c>
      <c r="J4210" s="487" t="s">
        <v>1229</v>
      </c>
    </row>
    <row r="4211" spans="1:10" ht="15" x14ac:dyDescent="0.2">
      <c r="A4211" s="486" t="s">
        <v>1228</v>
      </c>
      <c r="B4211" s="487" t="s">
        <v>1227</v>
      </c>
      <c r="C4211" s="488" t="s">
        <v>13970</v>
      </c>
      <c r="D4211" s="489" t="s">
        <v>13971</v>
      </c>
      <c r="E4211" s="487" t="s">
        <v>13972</v>
      </c>
      <c r="F4211" s="490">
        <v>296922</v>
      </c>
      <c r="G4211" s="489">
        <v>2367.8000000000002</v>
      </c>
      <c r="H4211" s="489">
        <v>125.39995</v>
      </c>
      <c r="I4211" s="487" t="s">
        <v>1499</v>
      </c>
      <c r="J4211" s="487" t="s">
        <v>1229</v>
      </c>
    </row>
    <row r="4212" spans="1:10" ht="15" x14ac:dyDescent="0.2">
      <c r="A4212" s="486" t="s">
        <v>1228</v>
      </c>
      <c r="B4212" s="487" t="s">
        <v>1227</v>
      </c>
      <c r="C4212" s="488" t="s">
        <v>13973</v>
      </c>
      <c r="D4212" s="489" t="s">
        <v>13974</v>
      </c>
      <c r="E4212" s="487" t="s">
        <v>13975</v>
      </c>
      <c r="F4212" s="490">
        <v>351303</v>
      </c>
      <c r="G4212" s="489">
        <v>5177.5</v>
      </c>
      <c r="H4212" s="489">
        <v>67.851860000000002</v>
      </c>
      <c r="I4212" s="487" t="s">
        <v>1499</v>
      </c>
      <c r="J4212" s="487" t="s">
        <v>1229</v>
      </c>
    </row>
    <row r="4213" spans="1:10" ht="15" x14ac:dyDescent="0.2">
      <c r="A4213" s="486" t="s">
        <v>1228</v>
      </c>
      <c r="B4213" s="487" t="s">
        <v>1227</v>
      </c>
      <c r="C4213" s="488" t="s">
        <v>13976</v>
      </c>
      <c r="D4213" s="489" t="s">
        <v>13977</v>
      </c>
      <c r="E4213" s="487" t="s">
        <v>13978</v>
      </c>
      <c r="F4213" s="490">
        <v>6049</v>
      </c>
      <c r="G4213" s="489">
        <v>233.4</v>
      </c>
      <c r="H4213" s="489">
        <v>25.916879999999999</v>
      </c>
      <c r="I4213" s="487" t="s">
        <v>1499</v>
      </c>
      <c r="J4213" s="487" t="s">
        <v>1229</v>
      </c>
    </row>
    <row r="4214" spans="1:10" ht="15" x14ac:dyDescent="0.2">
      <c r="A4214" s="486" t="s">
        <v>1228</v>
      </c>
      <c r="B4214" s="487" t="s">
        <v>1227</v>
      </c>
      <c r="C4214" s="488" t="s">
        <v>13979</v>
      </c>
      <c r="D4214" s="489" t="s">
        <v>13980</v>
      </c>
      <c r="E4214" s="487" t="s">
        <v>13981</v>
      </c>
      <c r="F4214" s="490">
        <v>781938</v>
      </c>
      <c r="G4214" s="489">
        <v>6971.3</v>
      </c>
      <c r="H4214" s="489">
        <v>112.16531000000001</v>
      </c>
      <c r="I4214" s="487" t="s">
        <v>1499</v>
      </c>
      <c r="J4214" s="487" t="s">
        <v>1229</v>
      </c>
    </row>
    <row r="4215" spans="1:10" ht="15" x14ac:dyDescent="0.2">
      <c r="A4215" s="486" t="s">
        <v>1228</v>
      </c>
      <c r="B4215" s="487" t="s">
        <v>1227</v>
      </c>
      <c r="C4215" s="488" t="s">
        <v>13982</v>
      </c>
      <c r="D4215" s="489" t="s">
        <v>13983</v>
      </c>
      <c r="E4215" s="487" t="s">
        <v>13984</v>
      </c>
      <c r="F4215" s="490">
        <v>334430</v>
      </c>
      <c r="G4215" s="489">
        <v>2866.7</v>
      </c>
      <c r="H4215" s="489">
        <v>116.66027</v>
      </c>
      <c r="I4215" s="487" t="s">
        <v>1499</v>
      </c>
      <c r="J4215" s="487" t="s">
        <v>1229</v>
      </c>
    </row>
    <row r="4216" spans="1:10" ht="15" x14ac:dyDescent="0.2">
      <c r="A4216" s="486" t="s">
        <v>1302</v>
      </c>
      <c r="B4216" s="487" t="s">
        <v>1301</v>
      </c>
      <c r="C4216" s="488" t="s">
        <v>13985</v>
      </c>
      <c r="D4216" s="489" t="s">
        <v>13986</v>
      </c>
      <c r="E4216" s="487" t="s">
        <v>13987</v>
      </c>
      <c r="F4216" s="490">
        <v>1075159</v>
      </c>
      <c r="G4216" s="489">
        <v>8865.2999999999993</v>
      </c>
      <c r="H4216" s="489">
        <v>121.27723</v>
      </c>
      <c r="I4216" s="487" t="s">
        <v>1499</v>
      </c>
      <c r="J4216" s="487" t="s">
        <v>1303</v>
      </c>
    </row>
    <row r="4217" spans="1:10" ht="15" x14ac:dyDescent="0.2">
      <c r="A4217" s="486" t="s">
        <v>1302</v>
      </c>
      <c r="B4217" s="487" t="s">
        <v>1301</v>
      </c>
      <c r="C4217" s="488" t="s">
        <v>13988</v>
      </c>
      <c r="D4217" s="489" t="s">
        <v>13989</v>
      </c>
      <c r="E4217" s="487" t="s">
        <v>13990</v>
      </c>
      <c r="F4217" s="490">
        <v>583197</v>
      </c>
      <c r="G4217" s="489">
        <v>6339.1</v>
      </c>
      <c r="H4217" s="489">
        <v>91.999970000000005</v>
      </c>
      <c r="I4217" s="487" t="s">
        <v>1499</v>
      </c>
      <c r="J4217" s="487" t="s">
        <v>1303</v>
      </c>
    </row>
    <row r="4218" spans="1:10" ht="15" x14ac:dyDescent="0.2">
      <c r="A4218" s="486" t="s">
        <v>1302</v>
      </c>
      <c r="B4218" s="487" t="s">
        <v>1301</v>
      </c>
      <c r="C4218" s="488" t="s">
        <v>13991</v>
      </c>
      <c r="D4218" s="489" t="s">
        <v>13992</v>
      </c>
      <c r="E4218" s="487" t="s">
        <v>13993</v>
      </c>
      <c r="F4218" s="490">
        <v>361440</v>
      </c>
      <c r="G4218" s="489">
        <v>5818.2</v>
      </c>
      <c r="H4218" s="489">
        <v>62.122309999999999</v>
      </c>
      <c r="I4218" s="487" t="s">
        <v>1499</v>
      </c>
      <c r="J4218" s="487" t="s">
        <v>1303</v>
      </c>
    </row>
    <row r="4219" spans="1:10" ht="15" x14ac:dyDescent="0.2">
      <c r="A4219" s="486" t="s">
        <v>1302</v>
      </c>
      <c r="B4219" s="487" t="s">
        <v>1301</v>
      </c>
      <c r="C4219" s="488" t="s">
        <v>13994</v>
      </c>
      <c r="D4219" s="489" t="s">
        <v>13995</v>
      </c>
      <c r="E4219" s="487" t="s">
        <v>13996</v>
      </c>
      <c r="F4219" s="490">
        <v>111045</v>
      </c>
      <c r="G4219" s="489">
        <v>1098.5999999999999</v>
      </c>
      <c r="H4219" s="489">
        <v>101.07865</v>
      </c>
      <c r="I4219" s="487" t="s">
        <v>1499</v>
      </c>
      <c r="J4219" s="487" t="s">
        <v>1303</v>
      </c>
    </row>
    <row r="4220" spans="1:10" ht="15" x14ac:dyDescent="0.2">
      <c r="A4220" s="486" t="s">
        <v>1302</v>
      </c>
      <c r="B4220" s="487" t="s">
        <v>1301</v>
      </c>
      <c r="C4220" s="488" t="s">
        <v>13997</v>
      </c>
      <c r="D4220" s="489" t="s">
        <v>13998</v>
      </c>
      <c r="E4220" s="487" t="s">
        <v>13999</v>
      </c>
      <c r="F4220" s="490">
        <v>297275</v>
      </c>
      <c r="G4220" s="489">
        <v>7617.3</v>
      </c>
      <c r="H4220" s="489">
        <v>39.026299999999999</v>
      </c>
      <c r="I4220" s="487" t="s">
        <v>1499</v>
      </c>
      <c r="J4220" s="487" t="s">
        <v>1303</v>
      </c>
    </row>
    <row r="4221" spans="1:10" ht="15" x14ac:dyDescent="0.2">
      <c r="A4221" s="486" t="s">
        <v>1302</v>
      </c>
      <c r="B4221" s="487" t="s">
        <v>1301</v>
      </c>
      <c r="C4221" s="488" t="s">
        <v>14000</v>
      </c>
      <c r="D4221" s="489" t="s">
        <v>14001</v>
      </c>
      <c r="E4221" s="487" t="s">
        <v>14002</v>
      </c>
      <c r="F4221" s="490">
        <v>184169</v>
      </c>
      <c r="G4221" s="489">
        <v>6603.8</v>
      </c>
      <c r="H4221" s="489">
        <v>27.888339999999999</v>
      </c>
      <c r="I4221" s="487" t="s">
        <v>1499</v>
      </c>
      <c r="J4221" s="487" t="s">
        <v>1303</v>
      </c>
    </row>
    <row r="4222" spans="1:10" ht="15" x14ac:dyDescent="0.2">
      <c r="A4222" s="486" t="s">
        <v>1357</v>
      </c>
      <c r="B4222" s="487" t="s">
        <v>1356</v>
      </c>
      <c r="C4222" s="488" t="s">
        <v>14003</v>
      </c>
      <c r="D4222" s="489" t="s">
        <v>14004</v>
      </c>
      <c r="E4222" s="487" t="s">
        <v>14005</v>
      </c>
      <c r="F4222" s="490">
        <v>800</v>
      </c>
      <c r="G4222" s="489">
        <v>67.900000000000006</v>
      </c>
      <c r="H4222" s="489">
        <v>11.782030000000001</v>
      </c>
      <c r="I4222" s="487" t="s">
        <v>1499</v>
      </c>
      <c r="J4222" s="487" t="s">
        <v>1358</v>
      </c>
    </row>
    <row r="4223" spans="1:10" ht="15" x14ac:dyDescent="0.2">
      <c r="A4223" s="486" t="s">
        <v>1357</v>
      </c>
      <c r="B4223" s="487" t="s">
        <v>1356</v>
      </c>
      <c r="C4223" s="488" t="s">
        <v>14006</v>
      </c>
      <c r="D4223" s="489" t="s">
        <v>14007</v>
      </c>
      <c r="E4223" s="487" t="s">
        <v>14008</v>
      </c>
      <c r="F4223" s="490">
        <v>4250</v>
      </c>
      <c r="G4223" s="489">
        <v>113.5</v>
      </c>
      <c r="H4223" s="489">
        <v>37.444929999999999</v>
      </c>
      <c r="I4223" s="487" t="s">
        <v>1499</v>
      </c>
      <c r="J4223" s="487" t="s">
        <v>1358</v>
      </c>
    </row>
    <row r="4224" spans="1:10" ht="15" x14ac:dyDescent="0.2">
      <c r="A4224" s="486" t="s">
        <v>1357</v>
      </c>
      <c r="B4224" s="487" t="s">
        <v>1356</v>
      </c>
      <c r="C4224" s="488" t="s">
        <v>14009</v>
      </c>
      <c r="D4224" s="489" t="s">
        <v>14010</v>
      </c>
      <c r="E4224" s="487" t="s">
        <v>14011</v>
      </c>
      <c r="F4224" s="490">
        <v>61181</v>
      </c>
      <c r="G4224" s="489">
        <v>434.3</v>
      </c>
      <c r="H4224" s="489">
        <v>140.87267</v>
      </c>
      <c r="I4224" s="487" t="s">
        <v>1499</v>
      </c>
      <c r="J4224" s="487" t="s">
        <v>1358</v>
      </c>
    </row>
    <row r="4225" spans="1:10" ht="15" x14ac:dyDescent="0.2">
      <c r="A4225" s="486" t="s">
        <v>1357</v>
      </c>
      <c r="B4225" s="487" t="s">
        <v>1356</v>
      </c>
      <c r="C4225" s="488" t="s">
        <v>14012</v>
      </c>
      <c r="D4225" s="489" t="s">
        <v>14013</v>
      </c>
      <c r="E4225" s="487" t="s">
        <v>14014</v>
      </c>
      <c r="F4225" s="490">
        <v>1283600</v>
      </c>
      <c r="G4225" s="489">
        <v>12650.3</v>
      </c>
      <c r="H4225" s="489">
        <v>101.46795</v>
      </c>
      <c r="I4225" s="487" t="s">
        <v>1499</v>
      </c>
      <c r="J4225" s="487" t="s">
        <v>1358</v>
      </c>
    </row>
    <row r="4226" spans="1:10" ht="15" x14ac:dyDescent="0.2">
      <c r="A4226" s="486" t="s">
        <v>1357</v>
      </c>
      <c r="B4226" s="487" t="s">
        <v>1356</v>
      </c>
      <c r="C4226" s="488" t="s">
        <v>14015</v>
      </c>
      <c r="D4226" s="489" t="s">
        <v>14016</v>
      </c>
      <c r="E4226" s="487" t="s">
        <v>14017</v>
      </c>
      <c r="F4226" s="490">
        <v>252690</v>
      </c>
      <c r="G4226" s="489">
        <v>4469.3</v>
      </c>
      <c r="H4226" s="489">
        <v>56.539059999999999</v>
      </c>
      <c r="I4226" s="487" t="s">
        <v>1499</v>
      </c>
      <c r="J4226" s="487" t="s">
        <v>1358</v>
      </c>
    </row>
    <row r="4227" spans="1:10" ht="15" x14ac:dyDescent="0.2">
      <c r="A4227" s="486" t="s">
        <v>1357</v>
      </c>
      <c r="B4227" s="487" t="s">
        <v>1356</v>
      </c>
      <c r="C4227" s="488" t="s">
        <v>14018</v>
      </c>
      <c r="D4227" s="489" t="s">
        <v>14019</v>
      </c>
      <c r="E4227" s="487" t="s">
        <v>14020</v>
      </c>
      <c r="F4227" s="490">
        <v>280658</v>
      </c>
      <c r="G4227" s="489">
        <v>3120.5</v>
      </c>
      <c r="H4227" s="489">
        <v>89.940070000000006</v>
      </c>
      <c r="I4227" s="487" t="s">
        <v>1499</v>
      </c>
      <c r="J4227" s="487" t="s">
        <v>1358</v>
      </c>
    </row>
    <row r="4228" spans="1:10" ht="15" x14ac:dyDescent="0.2">
      <c r="A4228" s="486" t="s">
        <v>1357</v>
      </c>
      <c r="B4228" s="487" t="s">
        <v>1356</v>
      </c>
      <c r="C4228" s="488" t="s">
        <v>14021</v>
      </c>
      <c r="D4228" s="489" t="s">
        <v>14022</v>
      </c>
      <c r="E4228" s="487" t="s">
        <v>14023</v>
      </c>
      <c r="F4228" s="490">
        <v>468647</v>
      </c>
      <c r="G4228" s="489">
        <v>4794.5</v>
      </c>
      <c r="H4228" s="489">
        <v>97.746790000000004</v>
      </c>
      <c r="I4228" s="487" t="s">
        <v>1499</v>
      </c>
      <c r="J4228" s="487" t="s">
        <v>1358</v>
      </c>
    </row>
    <row r="4229" spans="1:10" ht="15" x14ac:dyDescent="0.2">
      <c r="A4229" s="486" t="s">
        <v>1357</v>
      </c>
      <c r="B4229" s="487" t="s">
        <v>1356</v>
      </c>
      <c r="C4229" s="488" t="s">
        <v>14024</v>
      </c>
      <c r="D4229" s="489" t="s">
        <v>14025</v>
      </c>
      <c r="E4229" s="487" t="s">
        <v>14026</v>
      </c>
      <c r="F4229" s="490">
        <v>32397</v>
      </c>
      <c r="G4229" s="489">
        <v>618.79999999999995</v>
      </c>
      <c r="H4229" s="489">
        <v>52.354559999999999</v>
      </c>
      <c r="I4229" s="487" t="s">
        <v>1499</v>
      </c>
      <c r="J4229" s="487" t="s">
        <v>1358</v>
      </c>
    </row>
    <row r="4230" spans="1:10" ht="15" x14ac:dyDescent="0.2">
      <c r="A4230" s="486" t="s">
        <v>741</v>
      </c>
      <c r="B4230" s="487" t="s">
        <v>740</v>
      </c>
      <c r="C4230" s="488" t="s">
        <v>14027</v>
      </c>
      <c r="D4230" s="489" t="s">
        <v>14028</v>
      </c>
      <c r="E4230" s="487" t="s">
        <v>14029</v>
      </c>
      <c r="F4230" s="490">
        <v>27500</v>
      </c>
      <c r="G4230" s="489">
        <v>300.3</v>
      </c>
      <c r="H4230" s="489">
        <v>91.575090000000003</v>
      </c>
      <c r="I4230" s="487" t="s">
        <v>1499</v>
      </c>
      <c r="J4230" s="487" t="s">
        <v>742</v>
      </c>
    </row>
    <row r="4231" spans="1:10" ht="15" x14ac:dyDescent="0.2">
      <c r="A4231" s="486" t="s">
        <v>741</v>
      </c>
      <c r="B4231" s="487" t="s">
        <v>740</v>
      </c>
      <c r="C4231" s="488" t="s">
        <v>14030</v>
      </c>
      <c r="D4231" s="489" t="s">
        <v>14031</v>
      </c>
      <c r="E4231" s="487" t="s">
        <v>14032</v>
      </c>
      <c r="F4231" s="490">
        <v>21500</v>
      </c>
      <c r="G4231" s="489">
        <v>394.1</v>
      </c>
      <c r="H4231" s="489">
        <v>54.554679999999998</v>
      </c>
      <c r="I4231" s="487" t="s">
        <v>1499</v>
      </c>
      <c r="J4231" s="487" t="s">
        <v>742</v>
      </c>
    </row>
    <row r="4232" spans="1:10" ht="15" x14ac:dyDescent="0.2">
      <c r="A4232" s="486" t="s">
        <v>741</v>
      </c>
      <c r="B4232" s="487" t="s">
        <v>740</v>
      </c>
      <c r="C4232" s="488" t="s">
        <v>14033</v>
      </c>
      <c r="D4232" s="489" t="s">
        <v>14034</v>
      </c>
      <c r="E4232" s="487" t="s">
        <v>14035</v>
      </c>
      <c r="F4232" s="490">
        <v>15000</v>
      </c>
      <c r="G4232" s="489">
        <v>123.2</v>
      </c>
      <c r="H4232" s="489">
        <v>121.75324999999999</v>
      </c>
      <c r="I4232" s="487" t="s">
        <v>1499</v>
      </c>
      <c r="J4232" s="487" t="s">
        <v>742</v>
      </c>
    </row>
    <row r="4233" spans="1:10" ht="15" x14ac:dyDescent="0.2">
      <c r="A4233" s="486" t="s">
        <v>741</v>
      </c>
      <c r="B4233" s="487" t="s">
        <v>740</v>
      </c>
      <c r="C4233" s="488" t="s">
        <v>14036</v>
      </c>
      <c r="D4233" s="489" t="s">
        <v>14037</v>
      </c>
      <c r="E4233" s="487" t="s">
        <v>14038</v>
      </c>
      <c r="F4233" s="490">
        <v>48950</v>
      </c>
      <c r="G4233" s="489">
        <v>3619.3</v>
      </c>
      <c r="H4233" s="489">
        <v>13.524710000000001</v>
      </c>
      <c r="I4233" s="487" t="s">
        <v>1499</v>
      </c>
      <c r="J4233" s="487" t="s">
        <v>742</v>
      </c>
    </row>
    <row r="4234" spans="1:10" ht="15" x14ac:dyDescent="0.2">
      <c r="A4234" s="486" t="s">
        <v>741</v>
      </c>
      <c r="B4234" s="487" t="s">
        <v>740</v>
      </c>
      <c r="C4234" s="488" t="s">
        <v>14039</v>
      </c>
      <c r="D4234" s="489" t="s">
        <v>14040</v>
      </c>
      <c r="E4234" s="487" t="s">
        <v>14041</v>
      </c>
      <c r="F4234" s="490">
        <v>7000</v>
      </c>
      <c r="G4234" s="489">
        <v>164.1</v>
      </c>
      <c r="H4234" s="489">
        <v>42.65692</v>
      </c>
      <c r="I4234" s="487" t="s">
        <v>1499</v>
      </c>
      <c r="J4234" s="487" t="s">
        <v>742</v>
      </c>
    </row>
    <row r="4235" spans="1:10" ht="15" x14ac:dyDescent="0.2">
      <c r="A4235" s="486" t="s">
        <v>741</v>
      </c>
      <c r="B4235" s="487" t="s">
        <v>740</v>
      </c>
      <c r="C4235" s="488" t="s">
        <v>14042</v>
      </c>
      <c r="D4235" s="489" t="s">
        <v>14043</v>
      </c>
      <c r="E4235" s="487" t="s">
        <v>14044</v>
      </c>
      <c r="F4235" s="490">
        <v>6000</v>
      </c>
      <c r="G4235" s="489">
        <v>112.8</v>
      </c>
      <c r="H4235" s="489">
        <v>53.191490000000002</v>
      </c>
      <c r="I4235" s="487" t="s">
        <v>1499</v>
      </c>
      <c r="J4235" s="487" t="s">
        <v>742</v>
      </c>
    </row>
    <row r="4236" spans="1:10" ht="15" x14ac:dyDescent="0.2">
      <c r="A4236" s="486" t="s">
        <v>741</v>
      </c>
      <c r="B4236" s="487" t="s">
        <v>740</v>
      </c>
      <c r="C4236" s="488" t="s">
        <v>14045</v>
      </c>
      <c r="D4236" s="489" t="s">
        <v>14046</v>
      </c>
      <c r="E4236" s="487" t="s">
        <v>3266</v>
      </c>
      <c r="F4236" s="490">
        <v>4500</v>
      </c>
      <c r="G4236" s="489">
        <v>134.6</v>
      </c>
      <c r="H4236" s="489">
        <v>33.432389999999998</v>
      </c>
      <c r="I4236" s="487" t="s">
        <v>1499</v>
      </c>
      <c r="J4236" s="487" t="s">
        <v>742</v>
      </c>
    </row>
    <row r="4237" spans="1:10" ht="15" x14ac:dyDescent="0.2">
      <c r="A4237" s="486" t="s">
        <v>741</v>
      </c>
      <c r="B4237" s="487" t="s">
        <v>740</v>
      </c>
      <c r="C4237" s="488" t="s">
        <v>14047</v>
      </c>
      <c r="D4237" s="489" t="s">
        <v>14048</v>
      </c>
      <c r="E4237" s="487" t="s">
        <v>14049</v>
      </c>
      <c r="F4237" s="490">
        <v>26376</v>
      </c>
      <c r="G4237" s="489">
        <v>481.9</v>
      </c>
      <c r="H4237" s="489">
        <v>54.733350000000002</v>
      </c>
      <c r="I4237" s="487" t="s">
        <v>1499</v>
      </c>
      <c r="J4237" s="487" t="s">
        <v>742</v>
      </c>
    </row>
    <row r="4238" spans="1:10" ht="15" x14ac:dyDescent="0.2">
      <c r="A4238" s="486" t="s">
        <v>741</v>
      </c>
      <c r="B4238" s="487" t="s">
        <v>740</v>
      </c>
      <c r="C4238" s="488" t="s">
        <v>14050</v>
      </c>
      <c r="D4238" s="489" t="s">
        <v>14051</v>
      </c>
      <c r="E4238" s="487" t="s">
        <v>14052</v>
      </c>
      <c r="F4238" s="490">
        <v>5250</v>
      </c>
      <c r="G4238" s="489">
        <v>166.1</v>
      </c>
      <c r="H4238" s="489">
        <v>31.607469999999999</v>
      </c>
      <c r="I4238" s="487" t="s">
        <v>1499</v>
      </c>
      <c r="J4238" s="487" t="s">
        <v>742</v>
      </c>
    </row>
    <row r="4239" spans="1:10" ht="15" x14ac:dyDescent="0.2">
      <c r="A4239" s="486" t="s">
        <v>741</v>
      </c>
      <c r="B4239" s="487" t="s">
        <v>740</v>
      </c>
      <c r="C4239" s="488" t="s">
        <v>14053</v>
      </c>
      <c r="D4239" s="489" t="s">
        <v>14054</v>
      </c>
      <c r="E4239" s="487" t="s">
        <v>14055</v>
      </c>
      <c r="F4239" s="490">
        <v>9200</v>
      </c>
      <c r="G4239" s="489">
        <v>116</v>
      </c>
      <c r="H4239" s="489">
        <v>79.310339999999997</v>
      </c>
      <c r="I4239" s="487" t="s">
        <v>1499</v>
      </c>
      <c r="J4239" s="487" t="s">
        <v>742</v>
      </c>
    </row>
    <row r="4240" spans="1:10" ht="15" x14ac:dyDescent="0.2">
      <c r="A4240" s="486" t="s">
        <v>741</v>
      </c>
      <c r="B4240" s="487" t="s">
        <v>740</v>
      </c>
      <c r="C4240" s="488" t="s">
        <v>14056</v>
      </c>
      <c r="D4240" s="489" t="s">
        <v>14057</v>
      </c>
      <c r="E4240" s="487" t="s">
        <v>14058</v>
      </c>
      <c r="F4240" s="490">
        <v>17280</v>
      </c>
      <c r="G4240" s="489">
        <v>439.5</v>
      </c>
      <c r="H4240" s="489">
        <v>39.317410000000002</v>
      </c>
      <c r="I4240" s="487" t="s">
        <v>1499</v>
      </c>
      <c r="J4240" s="487" t="s">
        <v>742</v>
      </c>
    </row>
    <row r="4241" spans="1:10" ht="15" x14ac:dyDescent="0.2">
      <c r="A4241" s="486" t="s">
        <v>741</v>
      </c>
      <c r="B4241" s="487" t="s">
        <v>740</v>
      </c>
      <c r="C4241" s="488" t="s">
        <v>14059</v>
      </c>
      <c r="D4241" s="489" t="s">
        <v>14060</v>
      </c>
      <c r="E4241" s="487" t="s">
        <v>14061</v>
      </c>
      <c r="F4241" s="490">
        <v>30900</v>
      </c>
      <c r="G4241" s="489">
        <v>440.3</v>
      </c>
      <c r="H4241" s="489">
        <v>70.179419999999993</v>
      </c>
      <c r="I4241" s="487" t="s">
        <v>1499</v>
      </c>
      <c r="J4241" s="487" t="s">
        <v>742</v>
      </c>
    </row>
    <row r="4242" spans="1:10" ht="15" x14ac:dyDescent="0.2">
      <c r="A4242" s="486" t="s">
        <v>741</v>
      </c>
      <c r="B4242" s="487" t="s">
        <v>740</v>
      </c>
      <c r="C4242" s="488" t="s">
        <v>14062</v>
      </c>
      <c r="D4242" s="489" t="s">
        <v>14063</v>
      </c>
      <c r="E4242" s="487" t="s">
        <v>14064</v>
      </c>
      <c r="F4242" s="490">
        <v>6300</v>
      </c>
      <c r="G4242" s="489">
        <v>164.8</v>
      </c>
      <c r="H4242" s="489">
        <v>38.228160000000003</v>
      </c>
      <c r="I4242" s="487" t="s">
        <v>1499</v>
      </c>
      <c r="J4242" s="487" t="s">
        <v>742</v>
      </c>
    </row>
    <row r="4243" spans="1:10" ht="15" x14ac:dyDescent="0.2">
      <c r="A4243" s="486" t="s">
        <v>741</v>
      </c>
      <c r="B4243" s="487" t="s">
        <v>740</v>
      </c>
      <c r="C4243" s="488" t="s">
        <v>14065</v>
      </c>
      <c r="D4243" s="489" t="s">
        <v>14066</v>
      </c>
      <c r="E4243" s="487" t="s">
        <v>14067</v>
      </c>
      <c r="F4243" s="490">
        <v>411550.19</v>
      </c>
      <c r="G4243" s="489">
        <v>6397.5</v>
      </c>
      <c r="H4243" s="489">
        <v>64.329849999999993</v>
      </c>
      <c r="I4243" s="487" t="s">
        <v>1499</v>
      </c>
      <c r="J4243" s="487" t="s">
        <v>742</v>
      </c>
    </row>
    <row r="4244" spans="1:10" ht="15" x14ac:dyDescent="0.2">
      <c r="A4244" s="486" t="s">
        <v>741</v>
      </c>
      <c r="B4244" s="487" t="s">
        <v>740</v>
      </c>
      <c r="C4244" s="488" t="s">
        <v>14068</v>
      </c>
      <c r="D4244" s="489" t="s">
        <v>14069</v>
      </c>
      <c r="E4244" s="487" t="s">
        <v>14070</v>
      </c>
      <c r="F4244" s="490">
        <v>6400</v>
      </c>
      <c r="G4244" s="489">
        <v>92.3</v>
      </c>
      <c r="H4244" s="489">
        <v>69.339110000000005</v>
      </c>
      <c r="I4244" s="487" t="s">
        <v>1499</v>
      </c>
      <c r="J4244" s="487" t="s">
        <v>742</v>
      </c>
    </row>
    <row r="4245" spans="1:10" ht="15" x14ac:dyDescent="0.2">
      <c r="A4245" s="486" t="s">
        <v>741</v>
      </c>
      <c r="B4245" s="487" t="s">
        <v>740</v>
      </c>
      <c r="C4245" s="488" t="s">
        <v>14071</v>
      </c>
      <c r="D4245" s="489" t="s">
        <v>14072</v>
      </c>
      <c r="E4245" s="487" t="s">
        <v>14073</v>
      </c>
      <c r="F4245" s="490">
        <v>1965</v>
      </c>
      <c r="G4245" s="489">
        <v>122.4</v>
      </c>
      <c r="H4245" s="489">
        <v>16.053920000000002</v>
      </c>
      <c r="I4245" s="487" t="s">
        <v>1499</v>
      </c>
      <c r="J4245" s="487" t="s">
        <v>742</v>
      </c>
    </row>
    <row r="4246" spans="1:10" ht="15" x14ac:dyDescent="0.2">
      <c r="A4246" s="486" t="s">
        <v>741</v>
      </c>
      <c r="B4246" s="487" t="s">
        <v>740</v>
      </c>
      <c r="C4246" s="488" t="s">
        <v>14074</v>
      </c>
      <c r="D4246" s="489" t="s">
        <v>14075</v>
      </c>
      <c r="E4246" s="487" t="s">
        <v>14076</v>
      </c>
      <c r="F4246" s="490">
        <v>21500</v>
      </c>
      <c r="G4246" s="489">
        <v>725.3</v>
      </c>
      <c r="H4246" s="489">
        <v>29.642910000000001</v>
      </c>
      <c r="I4246" s="487" t="s">
        <v>1499</v>
      </c>
      <c r="J4246" s="487" t="s">
        <v>742</v>
      </c>
    </row>
    <row r="4247" spans="1:10" ht="15" x14ac:dyDescent="0.2">
      <c r="A4247" s="486" t="s">
        <v>741</v>
      </c>
      <c r="B4247" s="487" t="s">
        <v>740</v>
      </c>
      <c r="C4247" s="488" t="s">
        <v>14077</v>
      </c>
      <c r="D4247" s="489" t="s">
        <v>14078</v>
      </c>
      <c r="E4247" s="487" t="s">
        <v>14079</v>
      </c>
      <c r="F4247" s="490">
        <v>38117</v>
      </c>
      <c r="G4247" s="489">
        <v>225.9</v>
      </c>
      <c r="H4247" s="489">
        <v>168.73394999999999</v>
      </c>
      <c r="I4247" s="487" t="s">
        <v>1499</v>
      </c>
      <c r="J4247" s="487" t="s">
        <v>742</v>
      </c>
    </row>
    <row r="4248" spans="1:10" ht="15" x14ac:dyDescent="0.2">
      <c r="A4248" s="486" t="s">
        <v>741</v>
      </c>
      <c r="B4248" s="487" t="s">
        <v>740</v>
      </c>
      <c r="C4248" s="488" t="s">
        <v>14080</v>
      </c>
      <c r="D4248" s="489" t="s">
        <v>14081</v>
      </c>
      <c r="E4248" s="487" t="s">
        <v>14082</v>
      </c>
      <c r="F4248" s="490">
        <v>12500</v>
      </c>
      <c r="G4248" s="489">
        <v>240.7</v>
      </c>
      <c r="H4248" s="489">
        <v>51.931870000000004</v>
      </c>
      <c r="I4248" s="487" t="s">
        <v>1499</v>
      </c>
      <c r="J4248" s="487" t="s">
        <v>742</v>
      </c>
    </row>
    <row r="4249" spans="1:10" ht="15" x14ac:dyDescent="0.2">
      <c r="A4249" s="486" t="s">
        <v>741</v>
      </c>
      <c r="B4249" s="487" t="s">
        <v>740</v>
      </c>
      <c r="C4249" s="488" t="s">
        <v>14083</v>
      </c>
      <c r="D4249" s="489" t="s">
        <v>14084</v>
      </c>
      <c r="E4249" s="487" t="s">
        <v>14085</v>
      </c>
      <c r="F4249" s="490">
        <v>8000</v>
      </c>
      <c r="G4249" s="489">
        <v>111</v>
      </c>
      <c r="H4249" s="489">
        <v>72.072069999999997</v>
      </c>
      <c r="I4249" s="487" t="s">
        <v>1499</v>
      </c>
      <c r="J4249" s="487" t="s">
        <v>742</v>
      </c>
    </row>
    <row r="4250" spans="1:10" ht="15" x14ac:dyDescent="0.2">
      <c r="A4250" s="486" t="s">
        <v>741</v>
      </c>
      <c r="B4250" s="487" t="s">
        <v>740</v>
      </c>
      <c r="C4250" s="488" t="s">
        <v>14086</v>
      </c>
      <c r="D4250" s="489" t="s">
        <v>14087</v>
      </c>
      <c r="E4250" s="487" t="s">
        <v>14088</v>
      </c>
      <c r="F4250" s="490">
        <v>4330</v>
      </c>
      <c r="G4250" s="489">
        <v>66.7</v>
      </c>
      <c r="H4250" s="489">
        <v>64.917540000000002</v>
      </c>
      <c r="I4250" s="487" t="s">
        <v>1499</v>
      </c>
      <c r="J4250" s="487" t="s">
        <v>742</v>
      </c>
    </row>
    <row r="4251" spans="1:10" ht="15" x14ac:dyDescent="0.2">
      <c r="A4251" s="486" t="s">
        <v>741</v>
      </c>
      <c r="B4251" s="487" t="s">
        <v>740</v>
      </c>
      <c r="C4251" s="488" t="s">
        <v>14089</v>
      </c>
      <c r="D4251" s="489" t="s">
        <v>14090</v>
      </c>
      <c r="E4251" s="487" t="s">
        <v>14091</v>
      </c>
      <c r="F4251" s="490">
        <v>20000</v>
      </c>
      <c r="G4251" s="489">
        <v>588.6</v>
      </c>
      <c r="H4251" s="489">
        <v>33.978929999999998</v>
      </c>
      <c r="I4251" s="487" t="s">
        <v>1499</v>
      </c>
      <c r="J4251" s="487" t="s">
        <v>742</v>
      </c>
    </row>
    <row r="4252" spans="1:10" ht="15" x14ac:dyDescent="0.2">
      <c r="A4252" s="486" t="s">
        <v>741</v>
      </c>
      <c r="B4252" s="487" t="s">
        <v>740</v>
      </c>
      <c r="C4252" s="488" t="s">
        <v>14092</v>
      </c>
      <c r="D4252" s="489" t="s">
        <v>14093</v>
      </c>
      <c r="E4252" s="487" t="s">
        <v>14094</v>
      </c>
      <c r="F4252" s="490">
        <v>9100</v>
      </c>
      <c r="G4252" s="489">
        <v>177</v>
      </c>
      <c r="H4252" s="489">
        <v>51.412430000000001</v>
      </c>
      <c r="I4252" s="487" t="s">
        <v>1499</v>
      </c>
      <c r="J4252" s="487" t="s">
        <v>742</v>
      </c>
    </row>
    <row r="4253" spans="1:10" ht="15" x14ac:dyDescent="0.2">
      <c r="A4253" s="486" t="s">
        <v>741</v>
      </c>
      <c r="B4253" s="487" t="s">
        <v>740</v>
      </c>
      <c r="C4253" s="488" t="s">
        <v>14095</v>
      </c>
      <c r="D4253" s="489" t="s">
        <v>14096</v>
      </c>
      <c r="E4253" s="487" t="s">
        <v>14097</v>
      </c>
      <c r="F4253" s="490">
        <v>339158.35</v>
      </c>
      <c r="G4253" s="489">
        <v>11755.6</v>
      </c>
      <c r="H4253" s="489">
        <v>28.85079</v>
      </c>
      <c r="I4253" s="487" t="s">
        <v>1499</v>
      </c>
      <c r="J4253" s="487" t="s">
        <v>742</v>
      </c>
    </row>
    <row r="4254" spans="1:10" ht="15" x14ac:dyDescent="0.2">
      <c r="A4254" s="486" t="s">
        <v>741</v>
      </c>
      <c r="B4254" s="487" t="s">
        <v>740</v>
      </c>
      <c r="C4254" s="488" t="s">
        <v>14098</v>
      </c>
      <c r="D4254" s="489" t="s">
        <v>14099</v>
      </c>
      <c r="E4254" s="487" t="s">
        <v>14100</v>
      </c>
      <c r="F4254" s="490">
        <v>4700</v>
      </c>
      <c r="G4254" s="489">
        <v>108.3</v>
      </c>
      <c r="H4254" s="489">
        <v>43.397970000000001</v>
      </c>
      <c r="I4254" s="487" t="s">
        <v>1499</v>
      </c>
      <c r="J4254" s="487" t="s">
        <v>742</v>
      </c>
    </row>
    <row r="4255" spans="1:10" ht="15" x14ac:dyDescent="0.2">
      <c r="A4255" s="486" t="s">
        <v>741</v>
      </c>
      <c r="B4255" s="487" t="s">
        <v>740</v>
      </c>
      <c r="C4255" s="488" t="s">
        <v>14101</v>
      </c>
      <c r="D4255" s="489" t="s">
        <v>14102</v>
      </c>
      <c r="E4255" s="487" t="s">
        <v>14103</v>
      </c>
      <c r="F4255" s="490">
        <v>20990</v>
      </c>
      <c r="G4255" s="489">
        <v>519.4</v>
      </c>
      <c r="H4255" s="489">
        <v>40.412010000000002</v>
      </c>
      <c r="I4255" s="487" t="s">
        <v>1499</v>
      </c>
      <c r="J4255" s="487" t="s">
        <v>742</v>
      </c>
    </row>
    <row r="4256" spans="1:10" ht="15" x14ac:dyDescent="0.2">
      <c r="A4256" s="486" t="s">
        <v>741</v>
      </c>
      <c r="B4256" s="487" t="s">
        <v>740</v>
      </c>
      <c r="C4256" s="488" t="s">
        <v>14104</v>
      </c>
      <c r="D4256" s="489" t="s">
        <v>14105</v>
      </c>
      <c r="E4256" s="487" t="s">
        <v>14106</v>
      </c>
      <c r="F4256" s="490">
        <v>4500</v>
      </c>
      <c r="G4256" s="489">
        <v>102</v>
      </c>
      <c r="H4256" s="489">
        <v>44.117649999999998</v>
      </c>
      <c r="I4256" s="487" t="s">
        <v>2465</v>
      </c>
      <c r="J4256" s="487" t="s">
        <v>742</v>
      </c>
    </row>
    <row r="4257" spans="1:10" ht="15" x14ac:dyDescent="0.2">
      <c r="A4257" s="486" t="s">
        <v>741</v>
      </c>
      <c r="B4257" s="487" t="s">
        <v>740</v>
      </c>
      <c r="C4257" s="488" t="s">
        <v>14107</v>
      </c>
      <c r="D4257" s="489" t="s">
        <v>14108</v>
      </c>
      <c r="E4257" s="487" t="s">
        <v>14109</v>
      </c>
      <c r="F4257" s="490">
        <v>55000</v>
      </c>
      <c r="G4257" s="489">
        <v>605.1</v>
      </c>
      <c r="H4257" s="489">
        <v>90.894069999999999</v>
      </c>
      <c r="I4257" s="487" t="s">
        <v>1499</v>
      </c>
      <c r="J4257" s="487" t="s">
        <v>742</v>
      </c>
    </row>
    <row r="4258" spans="1:10" ht="15" x14ac:dyDescent="0.2">
      <c r="A4258" s="486" t="s">
        <v>741</v>
      </c>
      <c r="B4258" s="487" t="s">
        <v>740</v>
      </c>
      <c r="C4258" s="488" t="s">
        <v>14110</v>
      </c>
      <c r="D4258" s="489" t="s">
        <v>14111</v>
      </c>
      <c r="E4258" s="487" t="s">
        <v>14112</v>
      </c>
      <c r="F4258" s="490">
        <v>8000</v>
      </c>
      <c r="G4258" s="489">
        <v>157.6</v>
      </c>
      <c r="H4258" s="489">
        <v>50.761420000000001</v>
      </c>
      <c r="I4258" s="487" t="s">
        <v>1499</v>
      </c>
      <c r="J4258" s="487" t="s">
        <v>742</v>
      </c>
    </row>
    <row r="4259" spans="1:10" ht="15" x14ac:dyDescent="0.2">
      <c r="A4259" s="486" t="s">
        <v>741</v>
      </c>
      <c r="B4259" s="487" t="s">
        <v>740</v>
      </c>
      <c r="C4259" s="488" t="s">
        <v>14113</v>
      </c>
      <c r="D4259" s="489" t="s">
        <v>14114</v>
      </c>
      <c r="E4259" s="487" t="s">
        <v>14115</v>
      </c>
      <c r="F4259" s="490">
        <v>1100</v>
      </c>
      <c r="G4259" s="489">
        <v>50.8</v>
      </c>
      <c r="H4259" s="489">
        <v>21.65354</v>
      </c>
      <c r="I4259" s="487" t="s">
        <v>1499</v>
      </c>
      <c r="J4259" s="487" t="s">
        <v>742</v>
      </c>
    </row>
    <row r="4260" spans="1:10" ht="15" x14ac:dyDescent="0.2">
      <c r="A4260" s="486" t="s">
        <v>741</v>
      </c>
      <c r="B4260" s="487" t="s">
        <v>740</v>
      </c>
      <c r="C4260" s="488" t="s">
        <v>14116</v>
      </c>
      <c r="D4260" s="489" t="s">
        <v>14117</v>
      </c>
      <c r="E4260" s="487" t="s">
        <v>14118</v>
      </c>
      <c r="F4260" s="490">
        <v>12000</v>
      </c>
      <c r="G4260" s="489">
        <v>166</v>
      </c>
      <c r="H4260" s="489">
        <v>72.289159999999995</v>
      </c>
      <c r="I4260" s="487" t="s">
        <v>1499</v>
      </c>
      <c r="J4260" s="487" t="s">
        <v>742</v>
      </c>
    </row>
    <row r="4261" spans="1:10" ht="15" x14ac:dyDescent="0.2">
      <c r="A4261" s="486" t="s">
        <v>741</v>
      </c>
      <c r="B4261" s="487" t="s">
        <v>740</v>
      </c>
      <c r="C4261" s="488" t="s">
        <v>14119</v>
      </c>
      <c r="D4261" s="489" t="s">
        <v>14120</v>
      </c>
      <c r="E4261" s="487" t="s">
        <v>14121</v>
      </c>
      <c r="F4261" s="490">
        <v>16000</v>
      </c>
      <c r="G4261" s="489">
        <v>341.7</v>
      </c>
      <c r="H4261" s="489">
        <v>46.8247</v>
      </c>
      <c r="I4261" s="487" t="s">
        <v>1499</v>
      </c>
      <c r="J4261" s="487" t="s">
        <v>742</v>
      </c>
    </row>
    <row r="4262" spans="1:10" ht="15" x14ac:dyDescent="0.2">
      <c r="A4262" s="486" t="s">
        <v>741</v>
      </c>
      <c r="B4262" s="487" t="s">
        <v>740</v>
      </c>
      <c r="C4262" s="488" t="s">
        <v>14122</v>
      </c>
      <c r="D4262" s="489" t="s">
        <v>14123</v>
      </c>
      <c r="E4262" s="487" t="s">
        <v>14124</v>
      </c>
      <c r="F4262" s="490">
        <v>4951.01</v>
      </c>
      <c r="G4262" s="489">
        <v>354.3</v>
      </c>
      <c r="H4262" s="489">
        <v>13.97406</v>
      </c>
      <c r="I4262" s="487" t="s">
        <v>1499</v>
      </c>
      <c r="J4262" s="487" t="s">
        <v>742</v>
      </c>
    </row>
    <row r="4263" spans="1:10" ht="15" x14ac:dyDescent="0.2">
      <c r="A4263" s="486" t="s">
        <v>741</v>
      </c>
      <c r="B4263" s="487" t="s">
        <v>740</v>
      </c>
      <c r="C4263" s="488" t="s">
        <v>14125</v>
      </c>
      <c r="D4263" s="489" t="s">
        <v>14126</v>
      </c>
      <c r="E4263" s="487" t="s">
        <v>6948</v>
      </c>
      <c r="F4263" s="490">
        <v>7400</v>
      </c>
      <c r="G4263" s="489">
        <v>167.7</v>
      </c>
      <c r="H4263" s="489">
        <v>44.126420000000003</v>
      </c>
      <c r="I4263" s="487" t="s">
        <v>1499</v>
      </c>
      <c r="J4263" s="487" t="s">
        <v>742</v>
      </c>
    </row>
    <row r="4264" spans="1:10" ht="15" x14ac:dyDescent="0.2">
      <c r="A4264" s="486" t="s">
        <v>741</v>
      </c>
      <c r="B4264" s="487" t="s">
        <v>740</v>
      </c>
      <c r="C4264" s="488" t="s">
        <v>14127</v>
      </c>
      <c r="D4264" s="489" t="s">
        <v>14128</v>
      </c>
      <c r="E4264" s="487" t="s">
        <v>14129</v>
      </c>
      <c r="F4264" s="490">
        <v>6500</v>
      </c>
      <c r="G4264" s="489">
        <v>90.8</v>
      </c>
      <c r="H4264" s="489">
        <v>71.585899999999995</v>
      </c>
      <c r="I4264" s="487" t="s">
        <v>1499</v>
      </c>
      <c r="J4264" s="487" t="s">
        <v>742</v>
      </c>
    </row>
    <row r="4265" spans="1:10" ht="15" x14ac:dyDescent="0.2">
      <c r="A4265" s="486" t="s">
        <v>741</v>
      </c>
      <c r="B4265" s="487" t="s">
        <v>740</v>
      </c>
      <c r="C4265" s="488" t="s">
        <v>14130</v>
      </c>
      <c r="D4265" s="489" t="s">
        <v>14131</v>
      </c>
      <c r="E4265" s="487" t="s">
        <v>14132</v>
      </c>
      <c r="F4265" s="490">
        <v>32460</v>
      </c>
      <c r="G4265" s="489">
        <v>579.6</v>
      </c>
      <c r="H4265" s="489">
        <v>56.00414</v>
      </c>
      <c r="I4265" s="487" t="s">
        <v>1499</v>
      </c>
      <c r="J4265" s="487" t="s">
        <v>742</v>
      </c>
    </row>
    <row r="4266" spans="1:10" ht="15" x14ac:dyDescent="0.2">
      <c r="A4266" s="486" t="s">
        <v>741</v>
      </c>
      <c r="B4266" s="487" t="s">
        <v>740</v>
      </c>
      <c r="C4266" s="488" t="s">
        <v>14133</v>
      </c>
      <c r="D4266" s="489" t="s">
        <v>14134</v>
      </c>
      <c r="E4266" s="487" t="s">
        <v>14135</v>
      </c>
      <c r="F4266" s="490">
        <v>4000</v>
      </c>
      <c r="G4266" s="489">
        <v>126.3</v>
      </c>
      <c r="H4266" s="489">
        <v>31.670629999999999</v>
      </c>
      <c r="I4266" s="487" t="s">
        <v>1499</v>
      </c>
      <c r="J4266" s="487" t="s">
        <v>742</v>
      </c>
    </row>
    <row r="4267" spans="1:10" ht="15" x14ac:dyDescent="0.2">
      <c r="A4267" s="486" t="s">
        <v>741</v>
      </c>
      <c r="B4267" s="487" t="s">
        <v>740</v>
      </c>
      <c r="C4267" s="488" t="s">
        <v>14136</v>
      </c>
      <c r="D4267" s="489" t="s">
        <v>14137</v>
      </c>
      <c r="E4267" s="487" t="s">
        <v>14138</v>
      </c>
      <c r="F4267" s="490">
        <v>2500</v>
      </c>
      <c r="G4267" s="489">
        <v>25.3</v>
      </c>
      <c r="H4267" s="489">
        <v>98.814229999999995</v>
      </c>
      <c r="I4267" s="487" t="s">
        <v>1499</v>
      </c>
      <c r="J4267" s="487" t="s">
        <v>742</v>
      </c>
    </row>
    <row r="4268" spans="1:10" ht="15" x14ac:dyDescent="0.2">
      <c r="A4268" s="486" t="s">
        <v>741</v>
      </c>
      <c r="B4268" s="487" t="s">
        <v>740</v>
      </c>
      <c r="C4268" s="488" t="s">
        <v>14139</v>
      </c>
      <c r="D4268" s="489" t="s">
        <v>14140</v>
      </c>
      <c r="E4268" s="487" t="s">
        <v>14141</v>
      </c>
      <c r="F4268" s="490">
        <v>256088</v>
      </c>
      <c r="G4268" s="489">
        <v>6705.9</v>
      </c>
      <c r="H4268" s="489">
        <v>38.188459999999999</v>
      </c>
      <c r="I4268" s="487" t="s">
        <v>1499</v>
      </c>
      <c r="J4268" s="487" t="s">
        <v>742</v>
      </c>
    </row>
    <row r="4269" spans="1:10" ht="15" x14ac:dyDescent="0.2">
      <c r="A4269" s="486" t="s">
        <v>741</v>
      </c>
      <c r="B4269" s="487" t="s">
        <v>740</v>
      </c>
      <c r="C4269" s="488" t="s">
        <v>14142</v>
      </c>
      <c r="D4269" s="489" t="s">
        <v>14143</v>
      </c>
      <c r="E4269" s="487" t="s">
        <v>14144</v>
      </c>
      <c r="F4269" s="490">
        <v>8800</v>
      </c>
      <c r="G4269" s="489">
        <v>158.30000000000001</v>
      </c>
      <c r="H4269" s="489">
        <v>55.590649999999997</v>
      </c>
      <c r="I4269" s="487" t="s">
        <v>1499</v>
      </c>
      <c r="J4269" s="487" t="s">
        <v>742</v>
      </c>
    </row>
    <row r="4270" spans="1:10" ht="15" x14ac:dyDescent="0.2">
      <c r="A4270" s="486" t="s">
        <v>741</v>
      </c>
      <c r="B4270" s="487" t="s">
        <v>740</v>
      </c>
      <c r="C4270" s="488" t="s">
        <v>14145</v>
      </c>
      <c r="D4270" s="489" t="s">
        <v>14146</v>
      </c>
      <c r="E4270" s="487" t="s">
        <v>14147</v>
      </c>
      <c r="F4270" s="490">
        <v>500</v>
      </c>
      <c r="G4270" s="489">
        <v>74.8</v>
      </c>
      <c r="H4270" s="489">
        <v>6.6844900000000003</v>
      </c>
      <c r="I4270" s="487" t="s">
        <v>1499</v>
      </c>
      <c r="J4270" s="487" t="s">
        <v>742</v>
      </c>
    </row>
    <row r="4271" spans="1:10" ht="15" x14ac:dyDescent="0.2">
      <c r="A4271" s="486" t="s">
        <v>741</v>
      </c>
      <c r="B4271" s="487" t="s">
        <v>740</v>
      </c>
      <c r="C4271" s="488" t="s">
        <v>14148</v>
      </c>
      <c r="D4271" s="489" t="s">
        <v>14149</v>
      </c>
      <c r="E4271" s="487" t="s">
        <v>10928</v>
      </c>
      <c r="F4271" s="490">
        <v>610677</v>
      </c>
      <c r="G4271" s="489">
        <v>5088.3999999999996</v>
      </c>
      <c r="H4271" s="489">
        <v>120.01356</v>
      </c>
      <c r="I4271" s="487" t="s">
        <v>1499</v>
      </c>
      <c r="J4271" s="487" t="s">
        <v>742</v>
      </c>
    </row>
    <row r="4272" spans="1:10" ht="15" x14ac:dyDescent="0.2">
      <c r="A4272" s="486" t="s">
        <v>741</v>
      </c>
      <c r="B4272" s="487" t="s">
        <v>740</v>
      </c>
      <c r="C4272" s="488" t="s">
        <v>14150</v>
      </c>
      <c r="D4272" s="489" t="s">
        <v>14151</v>
      </c>
      <c r="E4272" s="487" t="s">
        <v>14152</v>
      </c>
      <c r="F4272" s="490">
        <v>21000</v>
      </c>
      <c r="G4272" s="489">
        <v>221.1</v>
      </c>
      <c r="H4272" s="489">
        <v>94.979650000000007</v>
      </c>
      <c r="I4272" s="487" t="s">
        <v>1499</v>
      </c>
      <c r="J4272" s="487" t="s">
        <v>742</v>
      </c>
    </row>
    <row r="4273" spans="1:10" ht="15" x14ac:dyDescent="0.2">
      <c r="A4273" s="486" t="s">
        <v>741</v>
      </c>
      <c r="B4273" s="487" t="s">
        <v>740</v>
      </c>
      <c r="C4273" s="488" t="s">
        <v>14153</v>
      </c>
      <c r="D4273" s="489" t="s">
        <v>14154</v>
      </c>
      <c r="E4273" s="487" t="s">
        <v>14155</v>
      </c>
      <c r="F4273" s="490">
        <v>5000</v>
      </c>
      <c r="G4273" s="489">
        <v>74.3</v>
      </c>
      <c r="H4273" s="489">
        <v>67.294749999999993</v>
      </c>
      <c r="I4273" s="487" t="s">
        <v>1499</v>
      </c>
      <c r="J4273" s="487" t="s">
        <v>742</v>
      </c>
    </row>
    <row r="4274" spans="1:10" ht="15" x14ac:dyDescent="0.2">
      <c r="A4274" s="486" t="s">
        <v>741</v>
      </c>
      <c r="B4274" s="487" t="s">
        <v>740</v>
      </c>
      <c r="C4274" s="488" t="s">
        <v>14156</v>
      </c>
      <c r="D4274" s="489" t="s">
        <v>14157</v>
      </c>
      <c r="E4274" s="487" t="s">
        <v>14158</v>
      </c>
      <c r="F4274" s="490">
        <v>36000</v>
      </c>
      <c r="G4274" s="489">
        <v>446.6</v>
      </c>
      <c r="H4274" s="489">
        <v>80.609049999999996</v>
      </c>
      <c r="I4274" s="487" t="s">
        <v>1499</v>
      </c>
      <c r="J4274" s="487" t="s">
        <v>742</v>
      </c>
    </row>
    <row r="4275" spans="1:10" ht="15" x14ac:dyDescent="0.2">
      <c r="A4275" s="486" t="s">
        <v>741</v>
      </c>
      <c r="B4275" s="487" t="s">
        <v>740</v>
      </c>
      <c r="C4275" s="488" t="s">
        <v>14159</v>
      </c>
      <c r="D4275" s="489" t="s">
        <v>14160</v>
      </c>
      <c r="E4275" s="487" t="s">
        <v>14161</v>
      </c>
      <c r="F4275" s="490">
        <v>4100</v>
      </c>
      <c r="G4275" s="489">
        <v>133.69999999999999</v>
      </c>
      <c r="H4275" s="489">
        <v>30.665669999999999</v>
      </c>
      <c r="I4275" s="487" t="s">
        <v>1499</v>
      </c>
      <c r="J4275" s="487" t="s">
        <v>742</v>
      </c>
    </row>
    <row r="4276" spans="1:10" ht="15" x14ac:dyDescent="0.2">
      <c r="A4276" s="486" t="s">
        <v>741</v>
      </c>
      <c r="B4276" s="487" t="s">
        <v>740</v>
      </c>
      <c r="C4276" s="488" t="s">
        <v>14162</v>
      </c>
      <c r="D4276" s="489" t="s">
        <v>14163</v>
      </c>
      <c r="E4276" s="487" t="s">
        <v>14164</v>
      </c>
      <c r="F4276" s="490">
        <v>6880</v>
      </c>
      <c r="G4276" s="489">
        <v>143</v>
      </c>
      <c r="H4276" s="489">
        <v>48.111890000000002</v>
      </c>
      <c r="I4276" s="487" t="s">
        <v>1499</v>
      </c>
      <c r="J4276" s="487" t="s">
        <v>742</v>
      </c>
    </row>
    <row r="4277" spans="1:10" ht="15" x14ac:dyDescent="0.2">
      <c r="A4277" s="486" t="s">
        <v>741</v>
      </c>
      <c r="B4277" s="487" t="s">
        <v>740</v>
      </c>
      <c r="C4277" s="488" t="s">
        <v>14165</v>
      </c>
      <c r="D4277" s="489" t="s">
        <v>14166</v>
      </c>
      <c r="E4277" s="487" t="s">
        <v>14167</v>
      </c>
      <c r="F4277" s="490">
        <v>11000</v>
      </c>
      <c r="G4277" s="489">
        <v>170.4</v>
      </c>
      <c r="H4277" s="489">
        <v>64.553989999999999</v>
      </c>
      <c r="I4277" s="487" t="s">
        <v>1499</v>
      </c>
      <c r="J4277" s="487" t="s">
        <v>742</v>
      </c>
    </row>
    <row r="4278" spans="1:10" ht="15" x14ac:dyDescent="0.2">
      <c r="A4278" s="486" t="s">
        <v>741</v>
      </c>
      <c r="B4278" s="487" t="s">
        <v>740</v>
      </c>
      <c r="C4278" s="488" t="s">
        <v>14168</v>
      </c>
      <c r="D4278" s="489" t="s">
        <v>14169</v>
      </c>
      <c r="E4278" s="487" t="s">
        <v>14170</v>
      </c>
      <c r="F4278" s="490">
        <v>217000</v>
      </c>
      <c r="G4278" s="489">
        <v>4168.8999999999996</v>
      </c>
      <c r="H4278" s="489">
        <v>52.052100000000003</v>
      </c>
      <c r="I4278" s="487" t="s">
        <v>1499</v>
      </c>
      <c r="J4278" s="487" t="s">
        <v>742</v>
      </c>
    </row>
    <row r="4279" spans="1:10" ht="15" x14ac:dyDescent="0.2">
      <c r="A4279" s="486" t="s">
        <v>741</v>
      </c>
      <c r="B4279" s="487" t="s">
        <v>740</v>
      </c>
      <c r="C4279" s="488" t="s">
        <v>14171</v>
      </c>
      <c r="D4279" s="489" t="s">
        <v>14172</v>
      </c>
      <c r="E4279" s="487" t="s">
        <v>14173</v>
      </c>
      <c r="F4279" s="490">
        <v>2300</v>
      </c>
      <c r="G4279" s="489">
        <v>107.8</v>
      </c>
      <c r="H4279" s="489">
        <v>21.335809999999999</v>
      </c>
      <c r="I4279" s="487" t="s">
        <v>1499</v>
      </c>
      <c r="J4279" s="487" t="s">
        <v>742</v>
      </c>
    </row>
    <row r="4280" spans="1:10" ht="15" x14ac:dyDescent="0.2">
      <c r="A4280" s="486" t="s">
        <v>741</v>
      </c>
      <c r="B4280" s="487" t="s">
        <v>740</v>
      </c>
      <c r="C4280" s="488" t="s">
        <v>14174</v>
      </c>
      <c r="D4280" s="489" t="s">
        <v>14175</v>
      </c>
      <c r="E4280" s="487" t="s">
        <v>3281</v>
      </c>
      <c r="F4280" s="490">
        <v>6042.02</v>
      </c>
      <c r="G4280" s="489">
        <v>137.6</v>
      </c>
      <c r="H4280" s="489">
        <v>43.910029999999999</v>
      </c>
      <c r="I4280" s="487" t="s">
        <v>1499</v>
      </c>
      <c r="J4280" s="487" t="s">
        <v>742</v>
      </c>
    </row>
    <row r="4281" spans="1:10" ht="15" x14ac:dyDescent="0.2">
      <c r="A4281" s="486" t="s">
        <v>741</v>
      </c>
      <c r="B4281" s="487" t="s">
        <v>740</v>
      </c>
      <c r="C4281" s="488" t="s">
        <v>14176</v>
      </c>
      <c r="D4281" s="489" t="s">
        <v>14177</v>
      </c>
      <c r="E4281" s="487" t="s">
        <v>14178</v>
      </c>
      <c r="F4281" s="490">
        <v>5200</v>
      </c>
      <c r="G4281" s="489">
        <v>142</v>
      </c>
      <c r="H4281" s="489">
        <v>36.619720000000001</v>
      </c>
      <c r="I4281" s="487" t="s">
        <v>1499</v>
      </c>
      <c r="J4281" s="487" t="s">
        <v>742</v>
      </c>
    </row>
    <row r="4282" spans="1:10" ht="15" x14ac:dyDescent="0.2">
      <c r="A4282" s="486" t="s">
        <v>741</v>
      </c>
      <c r="B4282" s="487" t="s">
        <v>740</v>
      </c>
      <c r="C4282" s="488" t="s">
        <v>14179</v>
      </c>
      <c r="D4282" s="489" t="s">
        <v>14180</v>
      </c>
      <c r="E4282" s="487" t="s">
        <v>14181</v>
      </c>
      <c r="F4282" s="490">
        <v>9270</v>
      </c>
      <c r="G4282" s="489">
        <v>260</v>
      </c>
      <c r="H4282" s="489">
        <v>35.653849999999998</v>
      </c>
      <c r="I4282" s="487" t="s">
        <v>1499</v>
      </c>
      <c r="J4282" s="487" t="s">
        <v>742</v>
      </c>
    </row>
    <row r="4283" spans="1:10" ht="15" x14ac:dyDescent="0.2">
      <c r="A4283" s="486" t="s">
        <v>741</v>
      </c>
      <c r="B4283" s="487" t="s">
        <v>740</v>
      </c>
      <c r="C4283" s="488" t="s">
        <v>14182</v>
      </c>
      <c r="D4283" s="489" t="s">
        <v>14183</v>
      </c>
      <c r="E4283" s="487" t="s">
        <v>14184</v>
      </c>
      <c r="F4283" s="490">
        <v>1950</v>
      </c>
      <c r="G4283" s="489">
        <v>49.6</v>
      </c>
      <c r="H4283" s="489">
        <v>39.314520000000002</v>
      </c>
      <c r="I4283" s="487" t="s">
        <v>1499</v>
      </c>
      <c r="J4283" s="487" t="s">
        <v>742</v>
      </c>
    </row>
    <row r="4284" spans="1:10" ht="15" x14ac:dyDescent="0.2">
      <c r="A4284" s="486" t="s">
        <v>741</v>
      </c>
      <c r="B4284" s="487" t="s">
        <v>740</v>
      </c>
      <c r="C4284" s="488" t="s">
        <v>14185</v>
      </c>
      <c r="D4284" s="489" t="s">
        <v>14186</v>
      </c>
      <c r="E4284" s="487" t="s">
        <v>14187</v>
      </c>
      <c r="F4284" s="490">
        <v>54000</v>
      </c>
      <c r="G4284" s="489">
        <v>1008.5</v>
      </c>
      <c r="H4284" s="489">
        <v>53.544870000000003</v>
      </c>
      <c r="I4284" s="487" t="s">
        <v>1499</v>
      </c>
      <c r="J4284" s="487" t="s">
        <v>742</v>
      </c>
    </row>
    <row r="4285" spans="1:10" ht="15" x14ac:dyDescent="0.2">
      <c r="A4285" s="486" t="s">
        <v>741</v>
      </c>
      <c r="B4285" s="487" t="s">
        <v>740</v>
      </c>
      <c r="C4285" s="488" t="s">
        <v>14188</v>
      </c>
      <c r="D4285" s="489" t="s">
        <v>14189</v>
      </c>
      <c r="E4285" s="487" t="s">
        <v>14190</v>
      </c>
      <c r="F4285" s="490">
        <v>6892</v>
      </c>
      <c r="G4285" s="489">
        <v>147.6</v>
      </c>
      <c r="H4285" s="489">
        <v>46.693770000000001</v>
      </c>
      <c r="I4285" s="487" t="s">
        <v>1499</v>
      </c>
      <c r="J4285" s="487" t="s">
        <v>742</v>
      </c>
    </row>
    <row r="4286" spans="1:10" ht="15" x14ac:dyDescent="0.2">
      <c r="A4286" s="486" t="s">
        <v>741</v>
      </c>
      <c r="B4286" s="487" t="s">
        <v>740</v>
      </c>
      <c r="C4286" s="488" t="s">
        <v>14191</v>
      </c>
      <c r="D4286" s="489" t="s">
        <v>14192</v>
      </c>
      <c r="E4286" s="487" t="s">
        <v>14193</v>
      </c>
      <c r="F4286" s="490">
        <v>3075</v>
      </c>
      <c r="G4286" s="489">
        <v>125</v>
      </c>
      <c r="H4286" s="489">
        <v>24.6</v>
      </c>
      <c r="I4286" s="487" t="s">
        <v>1499</v>
      </c>
      <c r="J4286" s="487" t="s">
        <v>742</v>
      </c>
    </row>
    <row r="4287" spans="1:10" ht="15" x14ac:dyDescent="0.2">
      <c r="A4287" s="486" t="s">
        <v>741</v>
      </c>
      <c r="B4287" s="487" t="s">
        <v>740</v>
      </c>
      <c r="C4287" s="488" t="s">
        <v>14194</v>
      </c>
      <c r="D4287" s="489" t="s">
        <v>14195</v>
      </c>
      <c r="E4287" s="487" t="s">
        <v>14196</v>
      </c>
      <c r="F4287" s="490">
        <v>6200</v>
      </c>
      <c r="G4287" s="489">
        <v>124.9</v>
      </c>
      <c r="H4287" s="489">
        <v>49.639710000000001</v>
      </c>
      <c r="I4287" s="487" t="s">
        <v>1499</v>
      </c>
      <c r="J4287" s="487" t="s">
        <v>742</v>
      </c>
    </row>
    <row r="4288" spans="1:10" ht="15" x14ac:dyDescent="0.2">
      <c r="A4288" s="486" t="s">
        <v>741</v>
      </c>
      <c r="B4288" s="487" t="s">
        <v>740</v>
      </c>
      <c r="C4288" s="488" t="s">
        <v>14197</v>
      </c>
      <c r="D4288" s="489" t="s">
        <v>14198</v>
      </c>
      <c r="E4288" s="487" t="s">
        <v>14199</v>
      </c>
      <c r="F4288" s="490">
        <v>9800</v>
      </c>
      <c r="G4288" s="489">
        <v>238.3</v>
      </c>
      <c r="H4288" s="489">
        <v>41.124630000000003</v>
      </c>
      <c r="I4288" s="487" t="s">
        <v>2465</v>
      </c>
      <c r="J4288" s="487" t="s">
        <v>742</v>
      </c>
    </row>
    <row r="4289" spans="1:10" ht="15" x14ac:dyDescent="0.2">
      <c r="A4289" s="486" t="s">
        <v>741</v>
      </c>
      <c r="B4289" s="487" t="s">
        <v>740</v>
      </c>
      <c r="C4289" s="488" t="s">
        <v>14200</v>
      </c>
      <c r="D4289" s="489" t="s">
        <v>14201</v>
      </c>
      <c r="E4289" s="487" t="s">
        <v>14202</v>
      </c>
      <c r="F4289" s="490">
        <v>8500</v>
      </c>
      <c r="G4289" s="489">
        <v>134.4</v>
      </c>
      <c r="H4289" s="489">
        <v>63.244050000000001</v>
      </c>
      <c r="I4289" s="487" t="s">
        <v>1499</v>
      </c>
      <c r="J4289" s="487" t="s">
        <v>742</v>
      </c>
    </row>
    <row r="4290" spans="1:10" ht="15" x14ac:dyDescent="0.2">
      <c r="A4290" s="486" t="s">
        <v>741</v>
      </c>
      <c r="B4290" s="487" t="s">
        <v>740</v>
      </c>
      <c r="C4290" s="488" t="s">
        <v>14203</v>
      </c>
      <c r="D4290" s="489" t="s">
        <v>14204</v>
      </c>
      <c r="E4290" s="487" t="s">
        <v>14205</v>
      </c>
      <c r="F4290" s="490">
        <v>89980</v>
      </c>
      <c r="G4290" s="489">
        <v>1151.9000000000001</v>
      </c>
      <c r="H4290" s="489">
        <v>78.114419999999996</v>
      </c>
      <c r="I4290" s="487" t="s">
        <v>1499</v>
      </c>
      <c r="J4290" s="487" t="s">
        <v>742</v>
      </c>
    </row>
    <row r="4291" spans="1:10" ht="15" x14ac:dyDescent="0.2">
      <c r="A4291" s="486" t="s">
        <v>741</v>
      </c>
      <c r="B4291" s="487" t="s">
        <v>740</v>
      </c>
      <c r="C4291" s="488" t="s">
        <v>14206</v>
      </c>
      <c r="D4291" s="489" t="s">
        <v>14207</v>
      </c>
      <c r="E4291" s="487" t="s">
        <v>14208</v>
      </c>
      <c r="F4291" s="490">
        <v>4600</v>
      </c>
      <c r="G4291" s="489">
        <v>125.9</v>
      </c>
      <c r="H4291" s="489">
        <v>36.536929999999998</v>
      </c>
      <c r="I4291" s="487" t="s">
        <v>1499</v>
      </c>
      <c r="J4291" s="487" t="s">
        <v>742</v>
      </c>
    </row>
    <row r="4292" spans="1:10" ht="15" x14ac:dyDescent="0.2">
      <c r="A4292" s="486" t="s">
        <v>741</v>
      </c>
      <c r="B4292" s="487" t="s">
        <v>740</v>
      </c>
      <c r="C4292" s="488" t="s">
        <v>14209</v>
      </c>
      <c r="D4292" s="489" t="s">
        <v>14210</v>
      </c>
      <c r="E4292" s="487" t="s">
        <v>14211</v>
      </c>
      <c r="F4292" s="490">
        <v>1415000</v>
      </c>
      <c r="G4292" s="489">
        <v>5602.2</v>
      </c>
      <c r="H4292" s="489">
        <v>252.57934</v>
      </c>
      <c r="I4292" s="487" t="s">
        <v>1499</v>
      </c>
      <c r="J4292" s="487" t="s">
        <v>742</v>
      </c>
    </row>
    <row r="4293" spans="1:10" ht="15" x14ac:dyDescent="0.2">
      <c r="A4293" s="486" t="s">
        <v>741</v>
      </c>
      <c r="B4293" s="487" t="s">
        <v>740</v>
      </c>
      <c r="C4293" s="488" t="s">
        <v>14212</v>
      </c>
      <c r="D4293" s="489" t="s">
        <v>14213</v>
      </c>
      <c r="E4293" s="487" t="s">
        <v>14214</v>
      </c>
      <c r="F4293" s="490">
        <v>2500</v>
      </c>
      <c r="G4293" s="489">
        <v>38.5</v>
      </c>
      <c r="H4293" s="489">
        <v>64.935059999999993</v>
      </c>
      <c r="I4293" s="487" t="s">
        <v>1499</v>
      </c>
      <c r="J4293" s="487" t="s">
        <v>742</v>
      </c>
    </row>
    <row r="4294" spans="1:10" ht="15" x14ac:dyDescent="0.2">
      <c r="A4294" s="486" t="s">
        <v>741</v>
      </c>
      <c r="B4294" s="487" t="s">
        <v>740</v>
      </c>
      <c r="C4294" s="488" t="s">
        <v>14215</v>
      </c>
      <c r="D4294" s="489" t="s">
        <v>14216</v>
      </c>
      <c r="E4294" s="487" t="s">
        <v>14217</v>
      </c>
      <c r="F4294" s="490">
        <v>11400</v>
      </c>
      <c r="G4294" s="489">
        <v>141.5</v>
      </c>
      <c r="H4294" s="489">
        <v>80.565370000000001</v>
      </c>
      <c r="I4294" s="487" t="s">
        <v>1499</v>
      </c>
      <c r="J4294" s="487" t="s">
        <v>742</v>
      </c>
    </row>
    <row r="4295" spans="1:10" ht="15" x14ac:dyDescent="0.2">
      <c r="A4295" s="486" t="s">
        <v>741</v>
      </c>
      <c r="B4295" s="487" t="s">
        <v>740</v>
      </c>
      <c r="C4295" s="488" t="s">
        <v>14218</v>
      </c>
      <c r="D4295" s="489" t="s">
        <v>14219</v>
      </c>
      <c r="E4295" s="487" t="s">
        <v>14220</v>
      </c>
      <c r="F4295" s="490">
        <v>2500</v>
      </c>
      <c r="G4295" s="489">
        <v>44.4</v>
      </c>
      <c r="H4295" s="489">
        <v>56.306310000000003</v>
      </c>
      <c r="I4295" s="487" t="s">
        <v>1499</v>
      </c>
      <c r="J4295" s="487" t="s">
        <v>742</v>
      </c>
    </row>
    <row r="4296" spans="1:10" ht="15" x14ac:dyDescent="0.2">
      <c r="A4296" s="486" t="s">
        <v>741</v>
      </c>
      <c r="B4296" s="487" t="s">
        <v>740</v>
      </c>
      <c r="C4296" s="488" t="s">
        <v>14221</v>
      </c>
      <c r="D4296" s="489" t="s">
        <v>14222</v>
      </c>
      <c r="E4296" s="487" t="s">
        <v>14223</v>
      </c>
      <c r="F4296" s="490">
        <v>2241</v>
      </c>
      <c r="G4296" s="489">
        <v>94.2</v>
      </c>
      <c r="H4296" s="489">
        <v>23.789809999999999</v>
      </c>
      <c r="I4296" s="487" t="s">
        <v>1499</v>
      </c>
      <c r="J4296" s="487" t="s">
        <v>742</v>
      </c>
    </row>
    <row r="4297" spans="1:10" ht="15" x14ac:dyDescent="0.2">
      <c r="A4297" s="486" t="s">
        <v>741</v>
      </c>
      <c r="B4297" s="487" t="s">
        <v>740</v>
      </c>
      <c r="C4297" s="488" t="s">
        <v>14224</v>
      </c>
      <c r="D4297" s="489" t="s">
        <v>14225</v>
      </c>
      <c r="E4297" s="487" t="s">
        <v>14226</v>
      </c>
      <c r="F4297" s="490">
        <v>3000</v>
      </c>
      <c r="G4297" s="489">
        <v>128.69999999999999</v>
      </c>
      <c r="H4297" s="489">
        <v>23.310020000000002</v>
      </c>
      <c r="I4297" s="487" t="s">
        <v>1499</v>
      </c>
      <c r="J4297" s="487" t="s">
        <v>742</v>
      </c>
    </row>
    <row r="4298" spans="1:10" ht="15" x14ac:dyDescent="0.2">
      <c r="A4298" s="486" t="s">
        <v>741</v>
      </c>
      <c r="B4298" s="487" t="s">
        <v>740</v>
      </c>
      <c r="C4298" s="488" t="s">
        <v>14227</v>
      </c>
      <c r="D4298" s="489" t="s">
        <v>14228</v>
      </c>
      <c r="E4298" s="487" t="s">
        <v>14014</v>
      </c>
      <c r="F4298" s="490">
        <v>6750</v>
      </c>
      <c r="G4298" s="489">
        <v>111.7</v>
      </c>
      <c r="H4298" s="489">
        <v>60.429720000000003</v>
      </c>
      <c r="I4298" s="487" t="s">
        <v>1499</v>
      </c>
      <c r="J4298" s="487" t="s">
        <v>742</v>
      </c>
    </row>
    <row r="4299" spans="1:10" ht="15" x14ac:dyDescent="0.2">
      <c r="A4299" s="486" t="s">
        <v>741</v>
      </c>
      <c r="B4299" s="487" t="s">
        <v>740</v>
      </c>
      <c r="C4299" s="488" t="s">
        <v>14229</v>
      </c>
      <c r="D4299" s="489" t="s">
        <v>14230</v>
      </c>
      <c r="E4299" s="487" t="s">
        <v>14231</v>
      </c>
      <c r="F4299" s="490">
        <v>4930</v>
      </c>
      <c r="G4299" s="489">
        <v>169.4</v>
      </c>
      <c r="H4299" s="489">
        <v>29.102720000000001</v>
      </c>
      <c r="I4299" s="487" t="s">
        <v>1499</v>
      </c>
      <c r="J4299" s="487" t="s">
        <v>742</v>
      </c>
    </row>
    <row r="4300" spans="1:10" ht="15" x14ac:dyDescent="0.2">
      <c r="A4300" s="486" t="s">
        <v>741</v>
      </c>
      <c r="B4300" s="487" t="s">
        <v>740</v>
      </c>
      <c r="C4300" s="488" t="s">
        <v>14232</v>
      </c>
      <c r="D4300" s="489" t="s">
        <v>14233</v>
      </c>
      <c r="E4300" s="487" t="s">
        <v>14234</v>
      </c>
      <c r="F4300" s="490">
        <v>286000</v>
      </c>
      <c r="G4300" s="489">
        <v>2234.6</v>
      </c>
      <c r="H4300" s="489">
        <v>127.98711</v>
      </c>
      <c r="I4300" s="487" t="s">
        <v>1499</v>
      </c>
      <c r="J4300" s="487" t="s">
        <v>742</v>
      </c>
    </row>
    <row r="4301" spans="1:10" ht="15" x14ac:dyDescent="0.2">
      <c r="A4301" s="486" t="s">
        <v>741</v>
      </c>
      <c r="B4301" s="487" t="s">
        <v>740</v>
      </c>
      <c r="C4301" s="488" t="s">
        <v>14235</v>
      </c>
      <c r="D4301" s="489" t="s">
        <v>14236</v>
      </c>
      <c r="E4301" s="487" t="s">
        <v>14237</v>
      </c>
      <c r="F4301" s="490">
        <v>391903.26</v>
      </c>
      <c r="G4301" s="489">
        <v>5577.9</v>
      </c>
      <c r="H4301" s="489">
        <v>70.260000000000005</v>
      </c>
      <c r="I4301" s="487" t="s">
        <v>1499</v>
      </c>
      <c r="J4301" s="487" t="s">
        <v>742</v>
      </c>
    </row>
    <row r="4302" spans="1:10" ht="15" x14ac:dyDescent="0.2">
      <c r="A4302" s="486" t="s">
        <v>741</v>
      </c>
      <c r="B4302" s="487" t="s">
        <v>740</v>
      </c>
      <c r="C4302" s="488" t="s">
        <v>14238</v>
      </c>
      <c r="D4302" s="489" t="s">
        <v>14239</v>
      </c>
      <c r="E4302" s="487" t="s">
        <v>14240</v>
      </c>
      <c r="F4302" s="490">
        <v>6000</v>
      </c>
      <c r="G4302" s="489">
        <v>170.8</v>
      </c>
      <c r="H4302" s="489">
        <v>35.128810000000001</v>
      </c>
      <c r="I4302" s="487" t="s">
        <v>1499</v>
      </c>
      <c r="J4302" s="487" t="s">
        <v>742</v>
      </c>
    </row>
    <row r="4303" spans="1:10" ht="15" x14ac:dyDescent="0.2">
      <c r="A4303" s="486" t="s">
        <v>741</v>
      </c>
      <c r="B4303" s="487" t="s">
        <v>740</v>
      </c>
      <c r="C4303" s="488" t="s">
        <v>14241</v>
      </c>
      <c r="D4303" s="489" t="s">
        <v>14242</v>
      </c>
      <c r="E4303" s="487" t="s">
        <v>14243</v>
      </c>
      <c r="F4303" s="490">
        <v>42650</v>
      </c>
      <c r="G4303" s="489">
        <v>1197.9000000000001</v>
      </c>
      <c r="H4303" s="489">
        <v>35.603969999999997</v>
      </c>
      <c r="I4303" s="487" t="s">
        <v>1499</v>
      </c>
      <c r="J4303" s="487" t="s">
        <v>742</v>
      </c>
    </row>
    <row r="4304" spans="1:10" ht="15" x14ac:dyDescent="0.2">
      <c r="A4304" s="486" t="s">
        <v>741</v>
      </c>
      <c r="B4304" s="487" t="s">
        <v>740</v>
      </c>
      <c r="C4304" s="488" t="s">
        <v>14244</v>
      </c>
      <c r="D4304" s="489" t="s">
        <v>14245</v>
      </c>
      <c r="E4304" s="487" t="s">
        <v>14246</v>
      </c>
      <c r="F4304" s="490">
        <v>7088</v>
      </c>
      <c r="G4304" s="489">
        <v>84.8</v>
      </c>
      <c r="H4304" s="489">
        <v>83.584909999999994</v>
      </c>
      <c r="I4304" s="487" t="s">
        <v>1499</v>
      </c>
      <c r="J4304" s="487" t="s">
        <v>742</v>
      </c>
    </row>
    <row r="4305" spans="1:10" ht="15" x14ac:dyDescent="0.2">
      <c r="A4305" s="486" t="s">
        <v>741</v>
      </c>
      <c r="B4305" s="487" t="s">
        <v>740</v>
      </c>
      <c r="C4305" s="488" t="s">
        <v>14247</v>
      </c>
      <c r="D4305" s="489" t="s">
        <v>14248</v>
      </c>
      <c r="E4305" s="487" t="s">
        <v>11915</v>
      </c>
      <c r="F4305" s="490">
        <v>23000</v>
      </c>
      <c r="G4305" s="489">
        <v>496.3</v>
      </c>
      <c r="H4305" s="489">
        <v>46.342939999999999</v>
      </c>
      <c r="I4305" s="487" t="s">
        <v>1499</v>
      </c>
      <c r="J4305" s="487" t="s">
        <v>742</v>
      </c>
    </row>
    <row r="4306" spans="1:10" ht="15" x14ac:dyDescent="0.2">
      <c r="A4306" s="486" t="s">
        <v>741</v>
      </c>
      <c r="B4306" s="487" t="s">
        <v>740</v>
      </c>
      <c r="C4306" s="488" t="s">
        <v>14249</v>
      </c>
      <c r="D4306" s="489" t="s">
        <v>14250</v>
      </c>
      <c r="E4306" s="487" t="s">
        <v>14251</v>
      </c>
      <c r="F4306" s="490">
        <v>533630</v>
      </c>
      <c r="G4306" s="489">
        <v>3108.1</v>
      </c>
      <c r="H4306" s="489">
        <v>171.6901</v>
      </c>
      <c r="I4306" s="487" t="s">
        <v>1499</v>
      </c>
      <c r="J4306" s="487" t="s">
        <v>742</v>
      </c>
    </row>
    <row r="4307" spans="1:10" ht="15" x14ac:dyDescent="0.2">
      <c r="A4307" s="486" t="s">
        <v>741</v>
      </c>
      <c r="B4307" s="487" t="s">
        <v>740</v>
      </c>
      <c r="C4307" s="488" t="s">
        <v>14252</v>
      </c>
      <c r="D4307" s="489" t="s">
        <v>14253</v>
      </c>
      <c r="E4307" s="487" t="s">
        <v>14254</v>
      </c>
      <c r="F4307" s="490">
        <v>1000</v>
      </c>
      <c r="G4307" s="489">
        <v>121</v>
      </c>
      <c r="H4307" s="489">
        <v>8.2644599999999997</v>
      </c>
      <c r="I4307" s="487" t="s">
        <v>1499</v>
      </c>
      <c r="J4307" s="487" t="s">
        <v>742</v>
      </c>
    </row>
    <row r="4308" spans="1:10" ht="15" x14ac:dyDescent="0.2">
      <c r="A4308" s="486" t="s">
        <v>741</v>
      </c>
      <c r="B4308" s="487" t="s">
        <v>740</v>
      </c>
      <c r="C4308" s="488" t="s">
        <v>14255</v>
      </c>
      <c r="D4308" s="489" t="s">
        <v>14256</v>
      </c>
      <c r="E4308" s="487" t="s">
        <v>14257</v>
      </c>
      <c r="F4308" s="490">
        <v>271269.71999999997</v>
      </c>
      <c r="G4308" s="489">
        <v>2115.6999999999998</v>
      </c>
      <c r="H4308" s="489">
        <v>128.21747999999999</v>
      </c>
      <c r="I4308" s="487" t="s">
        <v>1499</v>
      </c>
      <c r="J4308" s="487" t="s">
        <v>742</v>
      </c>
    </row>
    <row r="4309" spans="1:10" ht="15" x14ac:dyDescent="0.2">
      <c r="A4309" s="486" t="s">
        <v>741</v>
      </c>
      <c r="B4309" s="487" t="s">
        <v>740</v>
      </c>
      <c r="C4309" s="488" t="s">
        <v>14258</v>
      </c>
      <c r="D4309" s="489" t="s">
        <v>14259</v>
      </c>
      <c r="E4309" s="487" t="s">
        <v>14260</v>
      </c>
      <c r="F4309" s="490">
        <v>6000</v>
      </c>
      <c r="G4309" s="489">
        <v>126.9</v>
      </c>
      <c r="H4309" s="489">
        <v>47.281320000000001</v>
      </c>
      <c r="I4309" s="487" t="s">
        <v>1499</v>
      </c>
      <c r="J4309" s="487" t="s">
        <v>742</v>
      </c>
    </row>
    <row r="4310" spans="1:10" ht="15" x14ac:dyDescent="0.2">
      <c r="A4310" s="486" t="s">
        <v>741</v>
      </c>
      <c r="B4310" s="487" t="s">
        <v>740</v>
      </c>
      <c r="C4310" s="488" t="s">
        <v>14261</v>
      </c>
      <c r="D4310" s="489" t="s">
        <v>14262</v>
      </c>
      <c r="E4310" s="487" t="s">
        <v>14263</v>
      </c>
      <c r="F4310" s="490">
        <v>2725</v>
      </c>
      <c r="G4310" s="489">
        <v>86.4</v>
      </c>
      <c r="H4310" s="489">
        <v>31.539349999999999</v>
      </c>
      <c r="I4310" s="487" t="s">
        <v>1499</v>
      </c>
      <c r="J4310" s="487" t="s">
        <v>742</v>
      </c>
    </row>
    <row r="4311" spans="1:10" ht="15" x14ac:dyDescent="0.2">
      <c r="A4311" s="486" t="s">
        <v>741</v>
      </c>
      <c r="B4311" s="487" t="s">
        <v>740</v>
      </c>
      <c r="C4311" s="488" t="s">
        <v>14264</v>
      </c>
      <c r="D4311" s="489" t="s">
        <v>14265</v>
      </c>
      <c r="E4311" s="487" t="s">
        <v>14266</v>
      </c>
      <c r="F4311" s="490">
        <v>40582</v>
      </c>
      <c r="G4311" s="489">
        <v>840.9</v>
      </c>
      <c r="H4311" s="489">
        <v>48.260199999999998</v>
      </c>
      <c r="I4311" s="487" t="s">
        <v>1499</v>
      </c>
      <c r="J4311" s="487" t="s">
        <v>742</v>
      </c>
    </row>
    <row r="4312" spans="1:10" ht="15" x14ac:dyDescent="0.2">
      <c r="A4312" s="486" t="s">
        <v>741</v>
      </c>
      <c r="B4312" s="487" t="s">
        <v>740</v>
      </c>
      <c r="C4312" s="488" t="s">
        <v>14267</v>
      </c>
      <c r="D4312" s="489" t="s">
        <v>14268</v>
      </c>
      <c r="E4312" s="487" t="s">
        <v>14269</v>
      </c>
      <c r="F4312" s="490">
        <v>400</v>
      </c>
      <c r="G4312" s="489">
        <v>66.599999999999994</v>
      </c>
      <c r="H4312" s="489">
        <v>6.0060099999999998</v>
      </c>
      <c r="I4312" s="487" t="s">
        <v>1499</v>
      </c>
      <c r="J4312" s="487" t="s">
        <v>742</v>
      </c>
    </row>
    <row r="4313" spans="1:10" ht="15" x14ac:dyDescent="0.2">
      <c r="A4313" s="486" t="s">
        <v>741</v>
      </c>
      <c r="B4313" s="487" t="s">
        <v>740</v>
      </c>
      <c r="C4313" s="488" t="s">
        <v>14270</v>
      </c>
      <c r="D4313" s="489" t="s">
        <v>14271</v>
      </c>
      <c r="E4313" s="487" t="s">
        <v>14272</v>
      </c>
      <c r="F4313" s="490">
        <v>51300</v>
      </c>
      <c r="G4313" s="489">
        <v>793.9</v>
      </c>
      <c r="H4313" s="489">
        <v>64.617710000000002</v>
      </c>
      <c r="I4313" s="487" t="s">
        <v>1499</v>
      </c>
      <c r="J4313" s="487" t="s">
        <v>742</v>
      </c>
    </row>
    <row r="4314" spans="1:10" ht="15" x14ac:dyDescent="0.2">
      <c r="A4314" s="486" t="s">
        <v>741</v>
      </c>
      <c r="B4314" s="487" t="s">
        <v>740</v>
      </c>
      <c r="C4314" s="488" t="s">
        <v>14273</v>
      </c>
      <c r="D4314" s="489" t="s">
        <v>14274</v>
      </c>
      <c r="E4314" s="487" t="s">
        <v>14275</v>
      </c>
      <c r="F4314" s="490">
        <v>30100</v>
      </c>
      <c r="G4314" s="489">
        <v>474.5</v>
      </c>
      <c r="H4314" s="489">
        <v>63.435189999999999</v>
      </c>
      <c r="I4314" s="487" t="s">
        <v>1499</v>
      </c>
      <c r="J4314" s="487" t="s">
        <v>742</v>
      </c>
    </row>
    <row r="4315" spans="1:10" ht="15" x14ac:dyDescent="0.2">
      <c r="A4315" s="486" t="s">
        <v>741</v>
      </c>
      <c r="B4315" s="487" t="s">
        <v>740</v>
      </c>
      <c r="C4315" s="488" t="s">
        <v>14276</v>
      </c>
      <c r="D4315" s="489" t="s">
        <v>14277</v>
      </c>
      <c r="E4315" s="487" t="s">
        <v>14278</v>
      </c>
      <c r="F4315" s="490">
        <v>13436</v>
      </c>
      <c r="G4315" s="489">
        <v>149.1</v>
      </c>
      <c r="H4315" s="489">
        <v>90.114019999999996</v>
      </c>
      <c r="I4315" s="487" t="s">
        <v>1499</v>
      </c>
      <c r="J4315" s="487" t="s">
        <v>742</v>
      </c>
    </row>
    <row r="4316" spans="1:10" ht="15" x14ac:dyDescent="0.2">
      <c r="A4316" s="486" t="s">
        <v>741</v>
      </c>
      <c r="B4316" s="487" t="s">
        <v>740</v>
      </c>
      <c r="C4316" s="488" t="s">
        <v>14279</v>
      </c>
      <c r="D4316" s="489" t="s">
        <v>14280</v>
      </c>
      <c r="E4316" s="487" t="s">
        <v>14281</v>
      </c>
      <c r="F4316" s="490">
        <v>47000</v>
      </c>
      <c r="G4316" s="489">
        <v>2900.9</v>
      </c>
      <c r="H4316" s="489">
        <v>16.20187</v>
      </c>
      <c r="I4316" s="487" t="s">
        <v>1499</v>
      </c>
      <c r="J4316" s="487" t="s">
        <v>742</v>
      </c>
    </row>
    <row r="4317" spans="1:10" ht="15" x14ac:dyDescent="0.2">
      <c r="A4317" s="486" t="s">
        <v>741</v>
      </c>
      <c r="B4317" s="487" t="s">
        <v>740</v>
      </c>
      <c r="C4317" s="488" t="s">
        <v>14282</v>
      </c>
      <c r="D4317" s="489" t="s">
        <v>14283</v>
      </c>
      <c r="E4317" s="487" t="s">
        <v>14284</v>
      </c>
      <c r="F4317" s="490">
        <v>9100</v>
      </c>
      <c r="G4317" s="489">
        <v>283.7</v>
      </c>
      <c r="H4317" s="489">
        <v>32.076140000000002</v>
      </c>
      <c r="I4317" s="487" t="s">
        <v>1499</v>
      </c>
      <c r="J4317" s="487" t="s">
        <v>742</v>
      </c>
    </row>
    <row r="4318" spans="1:10" ht="15" x14ac:dyDescent="0.2">
      <c r="A4318" s="486" t="s">
        <v>741</v>
      </c>
      <c r="B4318" s="487" t="s">
        <v>740</v>
      </c>
      <c r="C4318" s="488" t="s">
        <v>14285</v>
      </c>
      <c r="D4318" s="489" t="s">
        <v>14286</v>
      </c>
      <c r="E4318" s="487" t="s">
        <v>14287</v>
      </c>
      <c r="F4318" s="490">
        <v>17500</v>
      </c>
      <c r="G4318" s="489">
        <v>183.6</v>
      </c>
      <c r="H4318" s="489">
        <v>95.315899999999999</v>
      </c>
      <c r="I4318" s="487" t="s">
        <v>1499</v>
      </c>
      <c r="J4318" s="487" t="s">
        <v>742</v>
      </c>
    </row>
    <row r="4319" spans="1:10" ht="15" x14ac:dyDescent="0.2">
      <c r="A4319" s="486" t="s">
        <v>741</v>
      </c>
      <c r="B4319" s="487" t="s">
        <v>740</v>
      </c>
      <c r="C4319" s="488" t="s">
        <v>14288</v>
      </c>
      <c r="D4319" s="489" t="s">
        <v>14289</v>
      </c>
      <c r="E4319" s="487" t="s">
        <v>14290</v>
      </c>
      <c r="F4319" s="490">
        <v>7728.34</v>
      </c>
      <c r="G4319" s="489">
        <v>122.4</v>
      </c>
      <c r="H4319" s="489">
        <v>63.140030000000003</v>
      </c>
      <c r="I4319" s="487" t="s">
        <v>1499</v>
      </c>
      <c r="J4319" s="487" t="s">
        <v>742</v>
      </c>
    </row>
    <row r="4320" spans="1:10" ht="15" x14ac:dyDescent="0.2">
      <c r="A4320" s="486" t="s">
        <v>741</v>
      </c>
      <c r="B4320" s="487" t="s">
        <v>740</v>
      </c>
      <c r="C4320" s="488" t="s">
        <v>14291</v>
      </c>
      <c r="D4320" s="489" t="s">
        <v>14292</v>
      </c>
      <c r="E4320" s="487" t="s">
        <v>14293</v>
      </c>
      <c r="F4320" s="490">
        <v>36600</v>
      </c>
      <c r="G4320" s="489">
        <v>753</v>
      </c>
      <c r="H4320" s="489">
        <v>48.605580000000003</v>
      </c>
      <c r="I4320" s="487" t="s">
        <v>1499</v>
      </c>
      <c r="J4320" s="487" t="s">
        <v>742</v>
      </c>
    </row>
    <row r="4321" spans="1:10" ht="15" x14ac:dyDescent="0.2">
      <c r="A4321" s="486" t="s">
        <v>741</v>
      </c>
      <c r="B4321" s="487" t="s">
        <v>740</v>
      </c>
      <c r="C4321" s="488" t="s">
        <v>14294</v>
      </c>
      <c r="D4321" s="489" t="s">
        <v>14295</v>
      </c>
      <c r="E4321" s="487" t="s">
        <v>14296</v>
      </c>
      <c r="F4321" s="490">
        <v>21052.5</v>
      </c>
      <c r="G4321" s="489">
        <v>1002.5</v>
      </c>
      <c r="H4321" s="489">
        <v>21</v>
      </c>
      <c r="I4321" s="487" t="s">
        <v>1499</v>
      </c>
      <c r="J4321" s="487" t="s">
        <v>742</v>
      </c>
    </row>
    <row r="4322" spans="1:10" ht="15" x14ac:dyDescent="0.2">
      <c r="A4322" s="486" t="s">
        <v>741</v>
      </c>
      <c r="B4322" s="487" t="s">
        <v>740</v>
      </c>
      <c r="C4322" s="488" t="s">
        <v>14297</v>
      </c>
      <c r="D4322" s="489" t="s">
        <v>14298</v>
      </c>
      <c r="E4322" s="487" t="s">
        <v>14299</v>
      </c>
      <c r="F4322" s="490">
        <v>6000</v>
      </c>
      <c r="G4322" s="489">
        <v>258</v>
      </c>
      <c r="H4322" s="489">
        <v>23.25581</v>
      </c>
      <c r="I4322" s="487" t="s">
        <v>1499</v>
      </c>
      <c r="J4322" s="487" t="s">
        <v>742</v>
      </c>
    </row>
    <row r="4323" spans="1:10" ht="15" x14ac:dyDescent="0.2">
      <c r="A4323" s="486" t="s">
        <v>741</v>
      </c>
      <c r="B4323" s="487" t="s">
        <v>740</v>
      </c>
      <c r="C4323" s="488" t="s">
        <v>14300</v>
      </c>
      <c r="D4323" s="489" t="s">
        <v>14301</v>
      </c>
      <c r="E4323" s="487" t="s">
        <v>14302</v>
      </c>
      <c r="F4323" s="490">
        <v>5000</v>
      </c>
      <c r="G4323" s="489">
        <v>63.5</v>
      </c>
      <c r="H4323" s="489">
        <v>78.740160000000003</v>
      </c>
      <c r="I4323" s="487" t="s">
        <v>1499</v>
      </c>
      <c r="J4323" s="487" t="s">
        <v>742</v>
      </c>
    </row>
    <row r="4324" spans="1:10" ht="15" x14ac:dyDescent="0.2">
      <c r="A4324" s="486" t="s">
        <v>741</v>
      </c>
      <c r="B4324" s="487" t="s">
        <v>740</v>
      </c>
      <c r="C4324" s="488" t="s">
        <v>14303</v>
      </c>
      <c r="D4324" s="489" t="s">
        <v>14304</v>
      </c>
      <c r="E4324" s="487" t="s">
        <v>14305</v>
      </c>
      <c r="F4324" s="490">
        <v>8314</v>
      </c>
      <c r="G4324" s="489">
        <v>164.2</v>
      </c>
      <c r="H4324" s="489">
        <v>50.633369999999999</v>
      </c>
      <c r="I4324" s="487" t="s">
        <v>1499</v>
      </c>
      <c r="J4324" s="487" t="s">
        <v>742</v>
      </c>
    </row>
    <row r="4325" spans="1:10" ht="15" x14ac:dyDescent="0.2">
      <c r="A4325" s="486" t="s">
        <v>741</v>
      </c>
      <c r="B4325" s="487" t="s">
        <v>740</v>
      </c>
      <c r="C4325" s="488" t="s">
        <v>14306</v>
      </c>
      <c r="D4325" s="489" t="s">
        <v>14307</v>
      </c>
      <c r="E4325" s="487" t="s">
        <v>14308</v>
      </c>
      <c r="F4325" s="490">
        <v>3350</v>
      </c>
      <c r="G4325" s="489">
        <v>95.4</v>
      </c>
      <c r="H4325" s="489">
        <v>35.115299999999998</v>
      </c>
      <c r="I4325" s="487" t="s">
        <v>1499</v>
      </c>
      <c r="J4325" s="487" t="s">
        <v>742</v>
      </c>
    </row>
    <row r="4326" spans="1:10" ht="15" x14ac:dyDescent="0.2">
      <c r="A4326" s="486" t="s">
        <v>741</v>
      </c>
      <c r="B4326" s="487" t="s">
        <v>740</v>
      </c>
      <c r="C4326" s="488" t="s">
        <v>14309</v>
      </c>
      <c r="D4326" s="489" t="s">
        <v>14310</v>
      </c>
      <c r="E4326" s="487" t="s">
        <v>14311</v>
      </c>
      <c r="F4326" s="490">
        <v>307852</v>
      </c>
      <c r="G4326" s="489">
        <v>2730.4</v>
      </c>
      <c r="H4326" s="489">
        <v>112.74978</v>
      </c>
      <c r="I4326" s="487" t="s">
        <v>1499</v>
      </c>
      <c r="J4326" s="487" t="s">
        <v>742</v>
      </c>
    </row>
    <row r="4327" spans="1:10" ht="15" x14ac:dyDescent="0.2">
      <c r="A4327" s="486" t="s">
        <v>741</v>
      </c>
      <c r="B4327" s="487" t="s">
        <v>740</v>
      </c>
      <c r="C4327" s="488" t="s">
        <v>14312</v>
      </c>
      <c r="D4327" s="489" t="s">
        <v>14313</v>
      </c>
      <c r="E4327" s="487" t="s">
        <v>7005</v>
      </c>
      <c r="F4327" s="490">
        <v>15506</v>
      </c>
      <c r="G4327" s="489">
        <v>377.1</v>
      </c>
      <c r="H4327" s="489">
        <v>41.119070000000001</v>
      </c>
      <c r="I4327" s="487" t="s">
        <v>1499</v>
      </c>
      <c r="J4327" s="487" t="s">
        <v>742</v>
      </c>
    </row>
    <row r="4328" spans="1:10" ht="15" x14ac:dyDescent="0.2">
      <c r="A4328" s="486" t="s">
        <v>741</v>
      </c>
      <c r="B4328" s="487" t="s">
        <v>740</v>
      </c>
      <c r="C4328" s="488" t="s">
        <v>14314</v>
      </c>
      <c r="D4328" s="489" t="s">
        <v>14315</v>
      </c>
      <c r="E4328" s="487" t="s">
        <v>14316</v>
      </c>
      <c r="F4328" s="490">
        <v>26000</v>
      </c>
      <c r="G4328" s="489">
        <v>309.8</v>
      </c>
      <c r="H4328" s="489">
        <v>83.925110000000004</v>
      </c>
      <c r="I4328" s="487" t="s">
        <v>1499</v>
      </c>
      <c r="J4328" s="487" t="s">
        <v>742</v>
      </c>
    </row>
    <row r="4329" spans="1:10" ht="15" x14ac:dyDescent="0.2">
      <c r="A4329" s="486" t="s">
        <v>741</v>
      </c>
      <c r="B4329" s="487" t="s">
        <v>740</v>
      </c>
      <c r="C4329" s="488" t="s">
        <v>14317</v>
      </c>
      <c r="D4329" s="489" t="s">
        <v>14318</v>
      </c>
      <c r="E4329" s="487" t="s">
        <v>14319</v>
      </c>
      <c r="F4329" s="490">
        <v>5140</v>
      </c>
      <c r="G4329" s="489">
        <v>111.3</v>
      </c>
      <c r="H4329" s="489">
        <v>46.181489999999997</v>
      </c>
      <c r="I4329" s="487" t="s">
        <v>1499</v>
      </c>
      <c r="J4329" s="487" t="s">
        <v>742</v>
      </c>
    </row>
    <row r="4330" spans="1:10" ht="15" x14ac:dyDescent="0.2">
      <c r="A4330" s="486" t="s">
        <v>741</v>
      </c>
      <c r="B4330" s="487" t="s">
        <v>740</v>
      </c>
      <c r="C4330" s="488" t="s">
        <v>14320</v>
      </c>
      <c r="D4330" s="489" t="s">
        <v>14321</v>
      </c>
      <c r="E4330" s="487" t="s">
        <v>14322</v>
      </c>
      <c r="F4330" s="490">
        <v>50915</v>
      </c>
      <c r="G4330" s="489">
        <v>3055.4</v>
      </c>
      <c r="H4330" s="489">
        <v>16.66394</v>
      </c>
      <c r="I4330" s="487" t="s">
        <v>1499</v>
      </c>
      <c r="J4330" s="487" t="s">
        <v>742</v>
      </c>
    </row>
    <row r="4331" spans="1:10" ht="15" x14ac:dyDescent="0.2">
      <c r="A4331" s="486" t="s">
        <v>741</v>
      </c>
      <c r="B4331" s="487" t="s">
        <v>740</v>
      </c>
      <c r="C4331" s="488" t="s">
        <v>14323</v>
      </c>
      <c r="D4331" s="489" t="s">
        <v>14324</v>
      </c>
      <c r="E4331" s="487" t="s">
        <v>14325</v>
      </c>
      <c r="F4331" s="490">
        <v>56920</v>
      </c>
      <c r="G4331" s="489">
        <v>941.2</v>
      </c>
      <c r="H4331" s="489">
        <v>60.475990000000003</v>
      </c>
      <c r="I4331" s="487" t="s">
        <v>1499</v>
      </c>
      <c r="J4331" s="487" t="s">
        <v>742</v>
      </c>
    </row>
    <row r="4332" spans="1:10" ht="15" x14ac:dyDescent="0.2">
      <c r="A4332" s="486" t="s">
        <v>741</v>
      </c>
      <c r="B4332" s="487" t="s">
        <v>740</v>
      </c>
      <c r="C4332" s="488" t="s">
        <v>14326</v>
      </c>
      <c r="D4332" s="489" t="s">
        <v>14327</v>
      </c>
      <c r="E4332" s="487" t="s">
        <v>14328</v>
      </c>
      <c r="F4332" s="490">
        <v>49815</v>
      </c>
      <c r="G4332" s="489">
        <v>490.5</v>
      </c>
      <c r="H4332" s="489">
        <v>101.55963</v>
      </c>
      <c r="I4332" s="487" t="s">
        <v>1499</v>
      </c>
      <c r="J4332" s="487" t="s">
        <v>742</v>
      </c>
    </row>
    <row r="4333" spans="1:10" ht="15" x14ac:dyDescent="0.2">
      <c r="A4333" s="486" t="s">
        <v>741</v>
      </c>
      <c r="B4333" s="487" t="s">
        <v>740</v>
      </c>
      <c r="C4333" s="488" t="s">
        <v>14329</v>
      </c>
      <c r="D4333" s="489" t="s">
        <v>14330</v>
      </c>
      <c r="E4333" s="487" t="s">
        <v>10737</v>
      </c>
      <c r="F4333" s="490">
        <v>38000</v>
      </c>
      <c r="G4333" s="489">
        <v>506.3</v>
      </c>
      <c r="H4333" s="489">
        <v>75.054320000000004</v>
      </c>
      <c r="I4333" s="487" t="s">
        <v>1499</v>
      </c>
      <c r="J4333" s="487" t="s">
        <v>742</v>
      </c>
    </row>
    <row r="4334" spans="1:10" ht="15" x14ac:dyDescent="0.2">
      <c r="A4334" s="486" t="s">
        <v>741</v>
      </c>
      <c r="B4334" s="487" t="s">
        <v>740</v>
      </c>
      <c r="C4334" s="488" t="s">
        <v>14331</v>
      </c>
      <c r="D4334" s="489" t="s">
        <v>14332</v>
      </c>
      <c r="E4334" s="487" t="s">
        <v>14333</v>
      </c>
      <c r="F4334" s="490">
        <v>6227.48</v>
      </c>
      <c r="G4334" s="489">
        <v>169.8</v>
      </c>
      <c r="H4334" s="489">
        <v>36.675379999999997</v>
      </c>
      <c r="I4334" s="487" t="s">
        <v>1499</v>
      </c>
      <c r="J4334" s="487" t="s">
        <v>742</v>
      </c>
    </row>
    <row r="4335" spans="1:10" ht="15" x14ac:dyDescent="0.2">
      <c r="A4335" s="486" t="s">
        <v>741</v>
      </c>
      <c r="B4335" s="487" t="s">
        <v>740</v>
      </c>
      <c r="C4335" s="488" t="s">
        <v>14334</v>
      </c>
      <c r="D4335" s="489" t="s">
        <v>14335</v>
      </c>
      <c r="E4335" s="487" t="s">
        <v>14336</v>
      </c>
      <c r="F4335" s="490">
        <v>51693.77</v>
      </c>
      <c r="G4335" s="489">
        <v>696.4</v>
      </c>
      <c r="H4335" s="489">
        <v>74.23</v>
      </c>
      <c r="I4335" s="487" t="s">
        <v>1499</v>
      </c>
      <c r="J4335" s="487" t="s">
        <v>742</v>
      </c>
    </row>
    <row r="4336" spans="1:10" ht="15" x14ac:dyDescent="0.2">
      <c r="A4336" s="486" t="s">
        <v>741</v>
      </c>
      <c r="B4336" s="487" t="s">
        <v>740</v>
      </c>
      <c r="C4336" s="488" t="s">
        <v>14337</v>
      </c>
      <c r="D4336" s="489" t="s">
        <v>14338</v>
      </c>
      <c r="E4336" s="487" t="s">
        <v>14339</v>
      </c>
      <c r="F4336" s="490">
        <v>7600</v>
      </c>
      <c r="G4336" s="489">
        <v>132.30000000000001</v>
      </c>
      <c r="H4336" s="489">
        <v>57.4452</v>
      </c>
      <c r="I4336" s="487" t="s">
        <v>1499</v>
      </c>
      <c r="J4336" s="487" t="s">
        <v>742</v>
      </c>
    </row>
    <row r="4337" spans="1:10" ht="15" x14ac:dyDescent="0.2">
      <c r="A4337" s="486" t="s">
        <v>741</v>
      </c>
      <c r="B4337" s="487" t="s">
        <v>740</v>
      </c>
      <c r="C4337" s="488" t="s">
        <v>14340</v>
      </c>
      <c r="D4337" s="489" t="s">
        <v>14341</v>
      </c>
      <c r="E4337" s="487" t="s">
        <v>14342</v>
      </c>
      <c r="F4337" s="490">
        <v>91670</v>
      </c>
      <c r="G4337" s="489">
        <v>1780</v>
      </c>
      <c r="H4337" s="489">
        <v>51.5</v>
      </c>
      <c r="I4337" s="487" t="s">
        <v>1499</v>
      </c>
      <c r="J4337" s="487" t="s">
        <v>742</v>
      </c>
    </row>
    <row r="4338" spans="1:10" ht="15" x14ac:dyDescent="0.2">
      <c r="A4338" s="486" t="s">
        <v>741</v>
      </c>
      <c r="B4338" s="487" t="s">
        <v>740</v>
      </c>
      <c r="C4338" s="488" t="s">
        <v>14343</v>
      </c>
      <c r="D4338" s="489" t="s">
        <v>14344</v>
      </c>
      <c r="E4338" s="487" t="s">
        <v>14345</v>
      </c>
      <c r="F4338" s="490">
        <v>13895</v>
      </c>
      <c r="G4338" s="489">
        <v>299.39999999999998</v>
      </c>
      <c r="H4338" s="489">
        <v>46.409489999999998</v>
      </c>
      <c r="I4338" s="487" t="s">
        <v>1499</v>
      </c>
      <c r="J4338" s="487" t="s">
        <v>742</v>
      </c>
    </row>
    <row r="4339" spans="1:10" ht="15" x14ac:dyDescent="0.2">
      <c r="A4339" s="486" t="s">
        <v>741</v>
      </c>
      <c r="B4339" s="487" t="s">
        <v>740</v>
      </c>
      <c r="C4339" s="488" t="s">
        <v>14346</v>
      </c>
      <c r="D4339" s="489" t="s">
        <v>14347</v>
      </c>
      <c r="E4339" s="487" t="s">
        <v>14348</v>
      </c>
      <c r="F4339" s="490">
        <v>6700</v>
      </c>
      <c r="G4339" s="489">
        <v>99.3</v>
      </c>
      <c r="H4339" s="489">
        <v>67.472309999999993</v>
      </c>
      <c r="I4339" s="487" t="s">
        <v>1499</v>
      </c>
      <c r="J4339" s="487" t="s">
        <v>742</v>
      </c>
    </row>
    <row r="4340" spans="1:10" ht="15" x14ac:dyDescent="0.2">
      <c r="A4340" s="486" t="s">
        <v>741</v>
      </c>
      <c r="B4340" s="487" t="s">
        <v>740</v>
      </c>
      <c r="C4340" s="488" t="s">
        <v>14349</v>
      </c>
      <c r="D4340" s="489" t="s">
        <v>14350</v>
      </c>
      <c r="E4340" s="487" t="s">
        <v>14351</v>
      </c>
      <c r="F4340" s="490">
        <v>20251</v>
      </c>
      <c r="G4340" s="489">
        <v>221.4</v>
      </c>
      <c r="H4340" s="489">
        <v>91.467929999999996</v>
      </c>
      <c r="I4340" s="487" t="s">
        <v>1499</v>
      </c>
      <c r="J4340" s="487" t="s">
        <v>742</v>
      </c>
    </row>
    <row r="4341" spans="1:10" ht="15" x14ac:dyDescent="0.2">
      <c r="A4341" s="486" t="s">
        <v>741</v>
      </c>
      <c r="B4341" s="487" t="s">
        <v>740</v>
      </c>
      <c r="C4341" s="488" t="s">
        <v>14352</v>
      </c>
      <c r="D4341" s="489" t="s">
        <v>14353</v>
      </c>
      <c r="E4341" s="487" t="s">
        <v>14354</v>
      </c>
      <c r="F4341" s="490">
        <v>48637</v>
      </c>
      <c r="G4341" s="489">
        <v>638.20000000000005</v>
      </c>
      <c r="H4341" s="489">
        <v>76.209649999999996</v>
      </c>
      <c r="I4341" s="487" t="s">
        <v>1499</v>
      </c>
      <c r="J4341" s="487" t="s">
        <v>742</v>
      </c>
    </row>
    <row r="4342" spans="1:10" ht="15" x14ac:dyDescent="0.2">
      <c r="A4342" s="486" t="s">
        <v>741</v>
      </c>
      <c r="B4342" s="487" t="s">
        <v>740</v>
      </c>
      <c r="C4342" s="488" t="s">
        <v>14355</v>
      </c>
      <c r="D4342" s="489" t="s">
        <v>14356</v>
      </c>
      <c r="E4342" s="487" t="s">
        <v>14357</v>
      </c>
      <c r="F4342" s="490">
        <v>16000</v>
      </c>
      <c r="G4342" s="489">
        <v>226.2</v>
      </c>
      <c r="H4342" s="489">
        <v>70.733860000000007</v>
      </c>
      <c r="I4342" s="487" t="s">
        <v>1499</v>
      </c>
      <c r="J4342" s="487" t="s">
        <v>742</v>
      </c>
    </row>
    <row r="4343" spans="1:10" ht="15" x14ac:dyDescent="0.2">
      <c r="A4343" s="486" t="s">
        <v>741</v>
      </c>
      <c r="B4343" s="487" t="s">
        <v>740</v>
      </c>
      <c r="C4343" s="488" t="s">
        <v>14358</v>
      </c>
      <c r="D4343" s="489" t="s">
        <v>14359</v>
      </c>
      <c r="E4343" s="487" t="s">
        <v>14360</v>
      </c>
      <c r="F4343" s="490">
        <v>601124</v>
      </c>
      <c r="G4343" s="489">
        <v>4464.8999999999996</v>
      </c>
      <c r="H4343" s="489">
        <v>134.63325</v>
      </c>
      <c r="I4343" s="487" t="s">
        <v>1499</v>
      </c>
      <c r="J4343" s="487" t="s">
        <v>742</v>
      </c>
    </row>
    <row r="4344" spans="1:10" ht="15" x14ac:dyDescent="0.2">
      <c r="A4344" s="486" t="s">
        <v>741</v>
      </c>
      <c r="B4344" s="487" t="s">
        <v>740</v>
      </c>
      <c r="C4344" s="488" t="s">
        <v>14361</v>
      </c>
      <c r="D4344" s="489" t="s">
        <v>14362</v>
      </c>
      <c r="E4344" s="487" t="s">
        <v>14363</v>
      </c>
      <c r="F4344" s="490">
        <v>8000</v>
      </c>
      <c r="G4344" s="489">
        <v>371.2</v>
      </c>
      <c r="H4344" s="489">
        <v>21.55172</v>
      </c>
      <c r="I4344" s="487" t="s">
        <v>1499</v>
      </c>
      <c r="J4344" s="487" t="s">
        <v>742</v>
      </c>
    </row>
    <row r="4345" spans="1:10" ht="15" x14ac:dyDescent="0.2">
      <c r="A4345" s="486" t="s">
        <v>741</v>
      </c>
      <c r="B4345" s="487" t="s">
        <v>740</v>
      </c>
      <c r="C4345" s="488" t="s">
        <v>14364</v>
      </c>
      <c r="D4345" s="489" t="s">
        <v>14365</v>
      </c>
      <c r="E4345" s="487" t="s">
        <v>1100</v>
      </c>
      <c r="F4345" s="490">
        <v>90000</v>
      </c>
      <c r="G4345" s="489">
        <v>1160.0999999999999</v>
      </c>
      <c r="H4345" s="489">
        <v>77.579520000000002</v>
      </c>
      <c r="I4345" s="487" t="s">
        <v>1499</v>
      </c>
      <c r="J4345" s="487" t="s">
        <v>742</v>
      </c>
    </row>
    <row r="4346" spans="1:10" ht="15" x14ac:dyDescent="0.2">
      <c r="A4346" s="486" t="s">
        <v>741</v>
      </c>
      <c r="B4346" s="487" t="s">
        <v>740</v>
      </c>
      <c r="C4346" s="488" t="s">
        <v>14366</v>
      </c>
      <c r="D4346" s="489" t="s">
        <v>14367</v>
      </c>
      <c r="E4346" s="487" t="s">
        <v>14368</v>
      </c>
      <c r="F4346" s="490">
        <v>62540.5</v>
      </c>
      <c r="G4346" s="489">
        <v>753.5</v>
      </c>
      <c r="H4346" s="489">
        <v>83</v>
      </c>
      <c r="I4346" s="487" t="s">
        <v>1499</v>
      </c>
      <c r="J4346" s="487" t="s">
        <v>742</v>
      </c>
    </row>
    <row r="4347" spans="1:10" ht="15" x14ac:dyDescent="0.2">
      <c r="A4347" s="486" t="s">
        <v>741</v>
      </c>
      <c r="B4347" s="487" t="s">
        <v>740</v>
      </c>
      <c r="C4347" s="488" t="s">
        <v>14369</v>
      </c>
      <c r="D4347" s="489" t="s">
        <v>14370</v>
      </c>
      <c r="E4347" s="487" t="s">
        <v>14371</v>
      </c>
      <c r="F4347" s="490">
        <v>5000</v>
      </c>
      <c r="G4347" s="489">
        <v>119.4</v>
      </c>
      <c r="H4347" s="489">
        <v>41.876049999999999</v>
      </c>
      <c r="I4347" s="487" t="s">
        <v>1499</v>
      </c>
      <c r="J4347" s="487" t="s">
        <v>742</v>
      </c>
    </row>
    <row r="4348" spans="1:10" ht="15" x14ac:dyDescent="0.2">
      <c r="A4348" s="486" t="s">
        <v>741</v>
      </c>
      <c r="B4348" s="487" t="s">
        <v>740</v>
      </c>
      <c r="C4348" s="488" t="s">
        <v>14372</v>
      </c>
      <c r="D4348" s="489" t="s">
        <v>14373</v>
      </c>
      <c r="E4348" s="487" t="s">
        <v>14374</v>
      </c>
      <c r="F4348" s="490">
        <v>2300</v>
      </c>
      <c r="G4348" s="489">
        <v>73.5</v>
      </c>
      <c r="H4348" s="489">
        <v>31.29252</v>
      </c>
      <c r="I4348" s="487" t="s">
        <v>1499</v>
      </c>
      <c r="J4348" s="487" t="s">
        <v>742</v>
      </c>
    </row>
    <row r="4349" spans="1:10" ht="15" x14ac:dyDescent="0.2">
      <c r="A4349" s="486" t="s">
        <v>741</v>
      </c>
      <c r="B4349" s="487" t="s">
        <v>740</v>
      </c>
      <c r="C4349" s="488" t="s">
        <v>14375</v>
      </c>
      <c r="D4349" s="489" t="s">
        <v>14376</v>
      </c>
      <c r="E4349" s="487" t="s">
        <v>14377</v>
      </c>
      <c r="F4349" s="490">
        <v>0</v>
      </c>
      <c r="G4349" s="489">
        <v>36</v>
      </c>
      <c r="H4349" s="489">
        <v>0</v>
      </c>
      <c r="I4349" s="487" t="s">
        <v>1593</v>
      </c>
      <c r="J4349" s="487" t="s">
        <v>742</v>
      </c>
    </row>
    <row r="4350" spans="1:10" ht="15" x14ac:dyDescent="0.2">
      <c r="A4350" s="486" t="s">
        <v>741</v>
      </c>
      <c r="B4350" s="487" t="s">
        <v>740</v>
      </c>
      <c r="C4350" s="488" t="s">
        <v>14378</v>
      </c>
      <c r="D4350" s="489" t="s">
        <v>14379</v>
      </c>
      <c r="E4350" s="487" t="s">
        <v>14380</v>
      </c>
      <c r="F4350" s="490">
        <v>12465</v>
      </c>
      <c r="G4350" s="489">
        <v>358.3</v>
      </c>
      <c r="H4350" s="489">
        <v>34.789279999999998</v>
      </c>
      <c r="I4350" s="487" t="s">
        <v>1499</v>
      </c>
      <c r="J4350" s="487" t="s">
        <v>742</v>
      </c>
    </row>
    <row r="4351" spans="1:10" ht="15" x14ac:dyDescent="0.2">
      <c r="A4351" s="486" t="s">
        <v>741</v>
      </c>
      <c r="B4351" s="487" t="s">
        <v>740</v>
      </c>
      <c r="C4351" s="488" t="s">
        <v>14381</v>
      </c>
      <c r="D4351" s="489" t="s">
        <v>14382</v>
      </c>
      <c r="E4351" s="487" t="s">
        <v>14383</v>
      </c>
      <c r="F4351" s="490">
        <v>6000</v>
      </c>
      <c r="G4351" s="489">
        <v>433.4</v>
      </c>
      <c r="H4351" s="489">
        <v>13.84402</v>
      </c>
      <c r="I4351" s="487" t="s">
        <v>1499</v>
      </c>
      <c r="J4351" s="487" t="s">
        <v>742</v>
      </c>
    </row>
    <row r="4352" spans="1:10" ht="15" x14ac:dyDescent="0.2">
      <c r="A4352" s="486" t="s">
        <v>741</v>
      </c>
      <c r="B4352" s="487" t="s">
        <v>740</v>
      </c>
      <c r="C4352" s="488" t="s">
        <v>14384</v>
      </c>
      <c r="D4352" s="489" t="s">
        <v>14385</v>
      </c>
      <c r="E4352" s="487" t="s">
        <v>14386</v>
      </c>
      <c r="F4352" s="490">
        <v>30000</v>
      </c>
      <c r="G4352" s="489">
        <v>395.9</v>
      </c>
      <c r="H4352" s="489">
        <v>75.776709999999994</v>
      </c>
      <c r="I4352" s="487" t="s">
        <v>1499</v>
      </c>
      <c r="J4352" s="487" t="s">
        <v>742</v>
      </c>
    </row>
    <row r="4353" spans="1:10" ht="15" x14ac:dyDescent="0.2">
      <c r="A4353" s="486" t="s">
        <v>741</v>
      </c>
      <c r="B4353" s="487" t="s">
        <v>740</v>
      </c>
      <c r="C4353" s="488" t="s">
        <v>14387</v>
      </c>
      <c r="D4353" s="489" t="s">
        <v>14388</v>
      </c>
      <c r="E4353" s="487" t="s">
        <v>14389</v>
      </c>
      <c r="F4353" s="490">
        <v>11000</v>
      </c>
      <c r="G4353" s="489">
        <v>180.4</v>
      </c>
      <c r="H4353" s="489">
        <v>60.975610000000003</v>
      </c>
      <c r="I4353" s="487" t="s">
        <v>1499</v>
      </c>
      <c r="J4353" s="487" t="s">
        <v>742</v>
      </c>
    </row>
    <row r="4354" spans="1:10" ht="15" x14ac:dyDescent="0.2">
      <c r="A4354" s="486" t="s">
        <v>741</v>
      </c>
      <c r="B4354" s="487" t="s">
        <v>740</v>
      </c>
      <c r="C4354" s="488" t="s">
        <v>14390</v>
      </c>
      <c r="D4354" s="489" t="s">
        <v>14391</v>
      </c>
      <c r="E4354" s="487" t="s">
        <v>14392</v>
      </c>
      <c r="F4354" s="490">
        <v>13700</v>
      </c>
      <c r="G4354" s="489">
        <v>125.4</v>
      </c>
      <c r="H4354" s="489">
        <v>109.2504</v>
      </c>
      <c r="I4354" s="487" t="s">
        <v>1499</v>
      </c>
      <c r="J4354" s="487" t="s">
        <v>742</v>
      </c>
    </row>
    <row r="4355" spans="1:10" ht="15" x14ac:dyDescent="0.2">
      <c r="A4355" s="486" t="s">
        <v>741</v>
      </c>
      <c r="B4355" s="487" t="s">
        <v>740</v>
      </c>
      <c r="C4355" s="488" t="s">
        <v>14393</v>
      </c>
      <c r="D4355" s="489" t="s">
        <v>14394</v>
      </c>
      <c r="E4355" s="487" t="s">
        <v>5789</v>
      </c>
      <c r="F4355" s="490">
        <v>6500</v>
      </c>
      <c r="G4355" s="489">
        <v>146.80000000000001</v>
      </c>
      <c r="H4355" s="489">
        <v>44.277929999999998</v>
      </c>
      <c r="I4355" s="487" t="s">
        <v>1499</v>
      </c>
      <c r="J4355" s="487" t="s">
        <v>742</v>
      </c>
    </row>
    <row r="4356" spans="1:10" ht="15" x14ac:dyDescent="0.2">
      <c r="A4356" s="486" t="s">
        <v>741</v>
      </c>
      <c r="B4356" s="487" t="s">
        <v>740</v>
      </c>
      <c r="C4356" s="488" t="s">
        <v>14395</v>
      </c>
      <c r="D4356" s="489" t="s">
        <v>14396</v>
      </c>
      <c r="E4356" s="487" t="s">
        <v>14397</v>
      </c>
      <c r="F4356" s="490">
        <v>4995.03</v>
      </c>
      <c r="G4356" s="489">
        <v>254.2</v>
      </c>
      <c r="H4356" s="489">
        <v>19.649999999999999</v>
      </c>
      <c r="I4356" s="487" t="s">
        <v>1499</v>
      </c>
      <c r="J4356" s="487" t="s">
        <v>742</v>
      </c>
    </row>
    <row r="4357" spans="1:10" ht="15" x14ac:dyDescent="0.2">
      <c r="A4357" s="486" t="s">
        <v>741</v>
      </c>
      <c r="B4357" s="487" t="s">
        <v>740</v>
      </c>
      <c r="C4357" s="488" t="s">
        <v>14398</v>
      </c>
      <c r="D4357" s="489" t="s">
        <v>14399</v>
      </c>
      <c r="E4357" s="487" t="s">
        <v>14400</v>
      </c>
      <c r="F4357" s="490">
        <v>25145</v>
      </c>
      <c r="G4357" s="489">
        <v>225.7</v>
      </c>
      <c r="H4357" s="489">
        <v>111.40895</v>
      </c>
      <c r="I4357" s="487" t="s">
        <v>1499</v>
      </c>
      <c r="J4357" s="487" t="s">
        <v>742</v>
      </c>
    </row>
    <row r="4358" spans="1:10" ht="15" x14ac:dyDescent="0.2">
      <c r="A4358" s="486" t="s">
        <v>741</v>
      </c>
      <c r="B4358" s="487" t="s">
        <v>740</v>
      </c>
      <c r="C4358" s="488" t="s">
        <v>14401</v>
      </c>
      <c r="D4358" s="489" t="s">
        <v>14402</v>
      </c>
      <c r="E4358" s="487" t="s">
        <v>14403</v>
      </c>
      <c r="F4358" s="490">
        <v>5000</v>
      </c>
      <c r="G4358" s="489">
        <v>147.6</v>
      </c>
      <c r="H4358" s="489">
        <v>33.875340000000001</v>
      </c>
      <c r="I4358" s="487" t="s">
        <v>1499</v>
      </c>
      <c r="J4358" s="487" t="s">
        <v>742</v>
      </c>
    </row>
    <row r="4359" spans="1:10" ht="15" x14ac:dyDescent="0.2">
      <c r="A4359" s="486" t="s">
        <v>741</v>
      </c>
      <c r="B4359" s="487" t="s">
        <v>740</v>
      </c>
      <c r="C4359" s="488" t="s">
        <v>14404</v>
      </c>
      <c r="D4359" s="489" t="s">
        <v>14405</v>
      </c>
      <c r="E4359" s="487" t="s">
        <v>14406</v>
      </c>
      <c r="F4359" s="490">
        <v>3200</v>
      </c>
      <c r="G4359" s="489">
        <v>48</v>
      </c>
      <c r="H4359" s="489">
        <v>66.666669999999996</v>
      </c>
      <c r="I4359" s="487" t="s">
        <v>1499</v>
      </c>
      <c r="J4359" s="487" t="s">
        <v>742</v>
      </c>
    </row>
    <row r="4360" spans="1:10" ht="15" x14ac:dyDescent="0.2">
      <c r="A4360" s="486" t="s">
        <v>741</v>
      </c>
      <c r="B4360" s="487" t="s">
        <v>740</v>
      </c>
      <c r="C4360" s="488" t="s">
        <v>14407</v>
      </c>
      <c r="D4360" s="489" t="s">
        <v>14408</v>
      </c>
      <c r="E4360" s="487" t="s">
        <v>14409</v>
      </c>
      <c r="F4360" s="490">
        <v>4750</v>
      </c>
      <c r="G4360" s="489">
        <v>142.30000000000001</v>
      </c>
      <c r="H4360" s="489">
        <v>33.380180000000003</v>
      </c>
      <c r="I4360" s="487" t="s">
        <v>1499</v>
      </c>
      <c r="J4360" s="487" t="s">
        <v>742</v>
      </c>
    </row>
    <row r="4361" spans="1:10" ht="15" x14ac:dyDescent="0.2">
      <c r="A4361" s="486" t="s">
        <v>741</v>
      </c>
      <c r="B4361" s="487" t="s">
        <v>740</v>
      </c>
      <c r="C4361" s="488" t="s">
        <v>14410</v>
      </c>
      <c r="D4361" s="489" t="s">
        <v>14411</v>
      </c>
      <c r="E4361" s="487" t="s">
        <v>14412</v>
      </c>
      <c r="F4361" s="490">
        <v>44911</v>
      </c>
      <c r="G4361" s="489">
        <v>543</v>
      </c>
      <c r="H4361" s="489">
        <v>82.709019999999995</v>
      </c>
      <c r="I4361" s="487" t="s">
        <v>1499</v>
      </c>
      <c r="J4361" s="487" t="s">
        <v>742</v>
      </c>
    </row>
    <row r="4362" spans="1:10" ht="15" x14ac:dyDescent="0.2">
      <c r="A4362" s="486" t="s">
        <v>741</v>
      </c>
      <c r="B4362" s="487" t="s">
        <v>740</v>
      </c>
      <c r="C4362" s="488" t="s">
        <v>14413</v>
      </c>
      <c r="D4362" s="489" t="s">
        <v>14414</v>
      </c>
      <c r="E4362" s="487" t="s">
        <v>14415</v>
      </c>
      <c r="F4362" s="490">
        <v>7500</v>
      </c>
      <c r="G4362" s="489">
        <v>250.8</v>
      </c>
      <c r="H4362" s="489">
        <v>29.904309999999999</v>
      </c>
      <c r="I4362" s="487" t="s">
        <v>1499</v>
      </c>
      <c r="J4362" s="487" t="s">
        <v>742</v>
      </c>
    </row>
    <row r="4363" spans="1:10" ht="15" x14ac:dyDescent="0.2">
      <c r="A4363" s="486" t="s">
        <v>741</v>
      </c>
      <c r="B4363" s="487" t="s">
        <v>740</v>
      </c>
      <c r="C4363" s="488" t="s">
        <v>14416</v>
      </c>
      <c r="D4363" s="489" t="s">
        <v>14417</v>
      </c>
      <c r="E4363" s="487" t="s">
        <v>14418</v>
      </c>
      <c r="F4363" s="490">
        <v>26600</v>
      </c>
      <c r="G4363" s="489">
        <v>592.6</v>
      </c>
      <c r="H4363" s="489">
        <v>44.886940000000003</v>
      </c>
      <c r="I4363" s="487" t="s">
        <v>1499</v>
      </c>
      <c r="J4363" s="487" t="s">
        <v>742</v>
      </c>
    </row>
    <row r="4364" spans="1:10" ht="15" x14ac:dyDescent="0.2">
      <c r="A4364" s="486" t="s">
        <v>741</v>
      </c>
      <c r="B4364" s="487" t="s">
        <v>740</v>
      </c>
      <c r="C4364" s="488" t="s">
        <v>14419</v>
      </c>
      <c r="D4364" s="489" t="s">
        <v>14420</v>
      </c>
      <c r="E4364" s="487" t="s">
        <v>14421</v>
      </c>
      <c r="F4364" s="490">
        <v>3500</v>
      </c>
      <c r="G4364" s="489">
        <v>86.1</v>
      </c>
      <c r="H4364" s="489">
        <v>40.650410000000001</v>
      </c>
      <c r="I4364" s="487" t="s">
        <v>1499</v>
      </c>
      <c r="J4364" s="487" t="s">
        <v>742</v>
      </c>
    </row>
    <row r="4365" spans="1:10" ht="15" x14ac:dyDescent="0.2">
      <c r="A4365" s="486" t="s">
        <v>741</v>
      </c>
      <c r="B4365" s="487" t="s">
        <v>740</v>
      </c>
      <c r="C4365" s="488" t="s">
        <v>14422</v>
      </c>
      <c r="D4365" s="489" t="s">
        <v>14423</v>
      </c>
      <c r="E4365" s="487" t="s">
        <v>14424</v>
      </c>
      <c r="F4365" s="490">
        <v>146550.84</v>
      </c>
      <c r="G4365" s="489">
        <v>1349.6</v>
      </c>
      <c r="H4365" s="489">
        <v>108.58835000000001</v>
      </c>
      <c r="I4365" s="487" t="s">
        <v>2465</v>
      </c>
      <c r="J4365" s="487" t="s">
        <v>742</v>
      </c>
    </row>
    <row r="4366" spans="1:10" ht="15" x14ac:dyDescent="0.2">
      <c r="A4366" s="486" t="s">
        <v>741</v>
      </c>
      <c r="B4366" s="487" t="s">
        <v>740</v>
      </c>
      <c r="C4366" s="488" t="s">
        <v>14425</v>
      </c>
      <c r="D4366" s="489" t="s">
        <v>14426</v>
      </c>
      <c r="E4366" s="487" t="s">
        <v>14427</v>
      </c>
      <c r="F4366" s="490">
        <v>142769</v>
      </c>
      <c r="G4366" s="489">
        <v>1865.1</v>
      </c>
      <c r="H4366" s="489">
        <v>76.547640000000001</v>
      </c>
      <c r="I4366" s="487" t="s">
        <v>1499</v>
      </c>
      <c r="J4366" s="487" t="s">
        <v>742</v>
      </c>
    </row>
    <row r="4367" spans="1:10" ht="15" x14ac:dyDescent="0.2">
      <c r="A4367" s="486" t="s">
        <v>741</v>
      </c>
      <c r="B4367" s="487" t="s">
        <v>740</v>
      </c>
      <c r="C4367" s="488" t="s">
        <v>14428</v>
      </c>
      <c r="D4367" s="489" t="s">
        <v>14429</v>
      </c>
      <c r="E4367" s="487" t="s">
        <v>14430</v>
      </c>
      <c r="F4367" s="490">
        <v>3500</v>
      </c>
      <c r="G4367" s="489">
        <v>42.5</v>
      </c>
      <c r="H4367" s="489">
        <v>82.352940000000004</v>
      </c>
      <c r="I4367" s="487" t="s">
        <v>1499</v>
      </c>
      <c r="J4367" s="487" t="s">
        <v>742</v>
      </c>
    </row>
    <row r="4368" spans="1:10" ht="15" x14ac:dyDescent="0.2">
      <c r="A4368" s="486" t="s">
        <v>741</v>
      </c>
      <c r="B4368" s="487" t="s">
        <v>740</v>
      </c>
      <c r="C4368" s="488" t="s">
        <v>14431</v>
      </c>
      <c r="D4368" s="489" t="s">
        <v>14432</v>
      </c>
      <c r="E4368" s="487" t="s">
        <v>14433</v>
      </c>
      <c r="F4368" s="490">
        <v>12250</v>
      </c>
      <c r="G4368" s="489">
        <v>71.400000000000006</v>
      </c>
      <c r="H4368" s="489">
        <v>171.56863000000001</v>
      </c>
      <c r="I4368" s="487" t="s">
        <v>1499</v>
      </c>
      <c r="J4368" s="487" t="s">
        <v>742</v>
      </c>
    </row>
    <row r="4369" spans="1:10" ht="15" x14ac:dyDescent="0.2">
      <c r="A4369" s="486" t="s">
        <v>741</v>
      </c>
      <c r="B4369" s="487" t="s">
        <v>740</v>
      </c>
      <c r="C4369" s="488" t="s">
        <v>14434</v>
      </c>
      <c r="D4369" s="489" t="s">
        <v>14435</v>
      </c>
      <c r="E4369" s="487" t="s">
        <v>14436</v>
      </c>
      <c r="F4369" s="490">
        <v>13500</v>
      </c>
      <c r="G4369" s="489">
        <v>455.9</v>
      </c>
      <c r="H4369" s="489">
        <v>29.61176</v>
      </c>
      <c r="I4369" s="487" t="s">
        <v>1499</v>
      </c>
      <c r="J4369" s="487" t="s">
        <v>742</v>
      </c>
    </row>
    <row r="4370" spans="1:10" ht="15" x14ac:dyDescent="0.2">
      <c r="A4370" s="486" t="s">
        <v>741</v>
      </c>
      <c r="B4370" s="487" t="s">
        <v>740</v>
      </c>
      <c r="C4370" s="488" t="s">
        <v>14437</v>
      </c>
      <c r="D4370" s="489" t="s">
        <v>14438</v>
      </c>
      <c r="E4370" s="487" t="s">
        <v>14439</v>
      </c>
      <c r="F4370" s="490">
        <v>63000</v>
      </c>
      <c r="G4370" s="489">
        <v>1672.6</v>
      </c>
      <c r="H4370" s="489">
        <v>37.665909999999997</v>
      </c>
      <c r="I4370" s="487" t="s">
        <v>1499</v>
      </c>
      <c r="J4370" s="487" t="s">
        <v>742</v>
      </c>
    </row>
    <row r="4371" spans="1:10" ht="15" x14ac:dyDescent="0.2">
      <c r="A4371" s="486" t="s">
        <v>741</v>
      </c>
      <c r="B4371" s="487" t="s">
        <v>740</v>
      </c>
      <c r="C4371" s="488" t="s">
        <v>14440</v>
      </c>
      <c r="D4371" s="489" t="s">
        <v>14441</v>
      </c>
      <c r="E4371" s="487" t="s">
        <v>14442</v>
      </c>
      <c r="F4371" s="490">
        <v>1100</v>
      </c>
      <c r="G4371" s="489">
        <v>75.099999999999994</v>
      </c>
      <c r="H4371" s="489">
        <v>14.64714</v>
      </c>
      <c r="I4371" s="487" t="s">
        <v>1499</v>
      </c>
      <c r="J4371" s="487" t="s">
        <v>742</v>
      </c>
    </row>
    <row r="4372" spans="1:10" ht="15" x14ac:dyDescent="0.2">
      <c r="A4372" s="486" t="s">
        <v>741</v>
      </c>
      <c r="B4372" s="487" t="s">
        <v>740</v>
      </c>
      <c r="C4372" s="488" t="s">
        <v>14443</v>
      </c>
      <c r="D4372" s="489" t="s">
        <v>14444</v>
      </c>
      <c r="E4372" s="487" t="s">
        <v>14445</v>
      </c>
      <c r="F4372" s="490">
        <v>16000</v>
      </c>
      <c r="G4372" s="489">
        <v>277</v>
      </c>
      <c r="H4372" s="489">
        <v>57.76173</v>
      </c>
      <c r="I4372" s="487" t="s">
        <v>1499</v>
      </c>
      <c r="J4372" s="487" t="s">
        <v>742</v>
      </c>
    </row>
    <row r="4373" spans="1:10" ht="15" x14ac:dyDescent="0.2">
      <c r="A4373" s="486" t="s">
        <v>741</v>
      </c>
      <c r="B4373" s="487" t="s">
        <v>740</v>
      </c>
      <c r="C4373" s="488" t="s">
        <v>14446</v>
      </c>
      <c r="D4373" s="489" t="s">
        <v>14447</v>
      </c>
      <c r="E4373" s="487" t="s">
        <v>14448</v>
      </c>
      <c r="F4373" s="490">
        <v>89000</v>
      </c>
      <c r="G4373" s="489">
        <v>2129.1999999999998</v>
      </c>
      <c r="H4373" s="489">
        <v>41.79974</v>
      </c>
      <c r="I4373" s="487" t="s">
        <v>1499</v>
      </c>
      <c r="J4373" s="487" t="s">
        <v>742</v>
      </c>
    </row>
    <row r="4374" spans="1:10" ht="15" x14ac:dyDescent="0.2">
      <c r="A4374" s="486" t="s">
        <v>741</v>
      </c>
      <c r="B4374" s="487" t="s">
        <v>740</v>
      </c>
      <c r="C4374" s="488" t="s">
        <v>14449</v>
      </c>
      <c r="D4374" s="489" t="s">
        <v>14450</v>
      </c>
      <c r="E4374" s="487" t="s">
        <v>14451</v>
      </c>
      <c r="F4374" s="490">
        <v>900</v>
      </c>
      <c r="G4374" s="489">
        <v>56.6</v>
      </c>
      <c r="H4374" s="489">
        <v>15.901059999999999</v>
      </c>
      <c r="I4374" s="487" t="s">
        <v>1499</v>
      </c>
      <c r="J4374" s="487" t="s">
        <v>742</v>
      </c>
    </row>
    <row r="4375" spans="1:10" ht="15" x14ac:dyDescent="0.2">
      <c r="A4375" s="486" t="s">
        <v>741</v>
      </c>
      <c r="B4375" s="487" t="s">
        <v>740</v>
      </c>
      <c r="C4375" s="488" t="s">
        <v>14452</v>
      </c>
      <c r="D4375" s="489" t="s">
        <v>14453</v>
      </c>
      <c r="E4375" s="487" t="s">
        <v>14454</v>
      </c>
      <c r="F4375" s="490">
        <v>18870</v>
      </c>
      <c r="G4375" s="489">
        <v>251.9</v>
      </c>
      <c r="H4375" s="489">
        <v>74.910679999999999</v>
      </c>
      <c r="I4375" s="487" t="s">
        <v>1499</v>
      </c>
      <c r="J4375" s="487" t="s">
        <v>742</v>
      </c>
    </row>
    <row r="4376" spans="1:10" ht="15" x14ac:dyDescent="0.2">
      <c r="A4376" s="486" t="s">
        <v>741</v>
      </c>
      <c r="B4376" s="487" t="s">
        <v>740</v>
      </c>
      <c r="C4376" s="488" t="s">
        <v>14455</v>
      </c>
      <c r="D4376" s="489" t="s">
        <v>14456</v>
      </c>
      <c r="E4376" s="487" t="s">
        <v>14457</v>
      </c>
      <c r="F4376" s="490">
        <v>88000</v>
      </c>
      <c r="G4376" s="489">
        <v>1082.0999999999999</v>
      </c>
      <c r="H4376" s="489">
        <v>81.323350000000005</v>
      </c>
      <c r="I4376" s="487" t="s">
        <v>1499</v>
      </c>
      <c r="J4376" s="487" t="s">
        <v>742</v>
      </c>
    </row>
    <row r="4377" spans="1:10" ht="15" x14ac:dyDescent="0.2">
      <c r="A4377" s="486" t="s">
        <v>741</v>
      </c>
      <c r="B4377" s="487" t="s">
        <v>740</v>
      </c>
      <c r="C4377" s="488" t="s">
        <v>14458</v>
      </c>
      <c r="D4377" s="489" t="s">
        <v>14459</v>
      </c>
      <c r="E4377" s="487" t="s">
        <v>3178</v>
      </c>
      <c r="F4377" s="490">
        <v>3000</v>
      </c>
      <c r="G4377" s="489">
        <v>53</v>
      </c>
      <c r="H4377" s="489">
        <v>56.603769999999997</v>
      </c>
      <c r="I4377" s="487" t="s">
        <v>1499</v>
      </c>
      <c r="J4377" s="487" t="s">
        <v>742</v>
      </c>
    </row>
    <row r="4378" spans="1:10" ht="15" x14ac:dyDescent="0.2">
      <c r="A4378" s="486" t="s">
        <v>741</v>
      </c>
      <c r="B4378" s="487" t="s">
        <v>740</v>
      </c>
      <c r="C4378" s="488" t="s">
        <v>14460</v>
      </c>
      <c r="D4378" s="489" t="s">
        <v>14461</v>
      </c>
      <c r="E4378" s="487" t="s">
        <v>14462</v>
      </c>
      <c r="F4378" s="490">
        <v>7500</v>
      </c>
      <c r="G4378" s="489">
        <v>76.7</v>
      </c>
      <c r="H4378" s="489">
        <v>97.783569999999997</v>
      </c>
      <c r="I4378" s="487" t="s">
        <v>1499</v>
      </c>
      <c r="J4378" s="487" t="s">
        <v>742</v>
      </c>
    </row>
    <row r="4379" spans="1:10" ht="15" x14ac:dyDescent="0.2">
      <c r="A4379" s="486" t="s">
        <v>741</v>
      </c>
      <c r="B4379" s="487" t="s">
        <v>740</v>
      </c>
      <c r="C4379" s="488" t="s">
        <v>14463</v>
      </c>
      <c r="D4379" s="489" t="s">
        <v>14464</v>
      </c>
      <c r="E4379" s="487" t="s">
        <v>14465</v>
      </c>
      <c r="F4379" s="490">
        <v>2950</v>
      </c>
      <c r="G4379" s="489">
        <v>71.599999999999994</v>
      </c>
      <c r="H4379" s="489">
        <v>41.201120000000003</v>
      </c>
      <c r="I4379" s="487" t="s">
        <v>1499</v>
      </c>
      <c r="J4379" s="487" t="s">
        <v>742</v>
      </c>
    </row>
    <row r="4380" spans="1:10" ht="15" x14ac:dyDescent="0.2">
      <c r="A4380" s="486" t="s">
        <v>741</v>
      </c>
      <c r="B4380" s="487" t="s">
        <v>740</v>
      </c>
      <c r="C4380" s="488" t="s">
        <v>14466</v>
      </c>
      <c r="D4380" s="489" t="s">
        <v>14467</v>
      </c>
      <c r="E4380" s="487" t="s">
        <v>14468</v>
      </c>
      <c r="F4380" s="490">
        <v>38250</v>
      </c>
      <c r="G4380" s="489">
        <v>671.5</v>
      </c>
      <c r="H4380" s="489">
        <v>56.962029999999999</v>
      </c>
      <c r="I4380" s="487" t="s">
        <v>2465</v>
      </c>
      <c r="J4380" s="487" t="s">
        <v>742</v>
      </c>
    </row>
    <row r="4381" spans="1:10" ht="15" x14ac:dyDescent="0.2">
      <c r="A4381" s="486" t="s">
        <v>741</v>
      </c>
      <c r="B4381" s="487" t="s">
        <v>740</v>
      </c>
      <c r="C4381" s="488" t="s">
        <v>14469</v>
      </c>
      <c r="D4381" s="489" t="s">
        <v>14470</v>
      </c>
      <c r="E4381" s="487" t="s">
        <v>14471</v>
      </c>
      <c r="F4381" s="490">
        <v>6600</v>
      </c>
      <c r="G4381" s="489">
        <v>129.30000000000001</v>
      </c>
      <c r="H4381" s="489">
        <v>51.044080000000001</v>
      </c>
      <c r="I4381" s="487" t="s">
        <v>1499</v>
      </c>
      <c r="J4381" s="487" t="s">
        <v>742</v>
      </c>
    </row>
    <row r="4382" spans="1:10" ht="15" x14ac:dyDescent="0.2">
      <c r="A4382" s="486" t="s">
        <v>741</v>
      </c>
      <c r="B4382" s="487" t="s">
        <v>740</v>
      </c>
      <c r="C4382" s="488" t="s">
        <v>14472</v>
      </c>
      <c r="D4382" s="489" t="s">
        <v>14473</v>
      </c>
      <c r="E4382" s="487" t="s">
        <v>14474</v>
      </c>
      <c r="F4382" s="490">
        <v>4185</v>
      </c>
      <c r="G4382" s="489">
        <v>103.9</v>
      </c>
      <c r="H4382" s="489">
        <v>40.279110000000003</v>
      </c>
      <c r="I4382" s="487" t="s">
        <v>1499</v>
      </c>
      <c r="J4382" s="487" t="s">
        <v>742</v>
      </c>
    </row>
    <row r="4383" spans="1:10" ht="15" x14ac:dyDescent="0.2">
      <c r="A4383" s="486" t="s">
        <v>741</v>
      </c>
      <c r="B4383" s="487" t="s">
        <v>740</v>
      </c>
      <c r="C4383" s="488" t="s">
        <v>14475</v>
      </c>
      <c r="D4383" s="489" t="s">
        <v>14476</v>
      </c>
      <c r="E4383" s="487" t="s">
        <v>14477</v>
      </c>
      <c r="F4383" s="490">
        <v>55409</v>
      </c>
      <c r="G4383" s="489">
        <v>1107</v>
      </c>
      <c r="H4383" s="489">
        <v>50.0533</v>
      </c>
      <c r="I4383" s="487" t="s">
        <v>1499</v>
      </c>
      <c r="J4383" s="487" t="s">
        <v>742</v>
      </c>
    </row>
    <row r="4384" spans="1:10" ht="15" x14ac:dyDescent="0.2">
      <c r="A4384" s="486" t="s">
        <v>741</v>
      </c>
      <c r="B4384" s="487" t="s">
        <v>740</v>
      </c>
      <c r="C4384" s="488" t="s">
        <v>14478</v>
      </c>
      <c r="D4384" s="489" t="s">
        <v>14479</v>
      </c>
      <c r="E4384" s="487" t="s">
        <v>14480</v>
      </c>
      <c r="F4384" s="490">
        <v>3685</v>
      </c>
      <c r="G4384" s="489">
        <v>69.099999999999994</v>
      </c>
      <c r="H4384" s="489">
        <v>53.328510000000001</v>
      </c>
      <c r="I4384" s="487" t="s">
        <v>1499</v>
      </c>
      <c r="J4384" s="487" t="s">
        <v>742</v>
      </c>
    </row>
    <row r="4385" spans="1:10" ht="15" x14ac:dyDescent="0.2">
      <c r="A4385" s="486" t="s">
        <v>741</v>
      </c>
      <c r="B4385" s="487" t="s">
        <v>740</v>
      </c>
      <c r="C4385" s="488" t="s">
        <v>14481</v>
      </c>
      <c r="D4385" s="489" t="s">
        <v>14482</v>
      </c>
      <c r="E4385" s="487" t="s">
        <v>14483</v>
      </c>
      <c r="F4385" s="490">
        <v>2490</v>
      </c>
      <c r="G4385" s="489">
        <v>94.7</v>
      </c>
      <c r="H4385" s="489">
        <v>26.293559999999999</v>
      </c>
      <c r="I4385" s="487" t="s">
        <v>1499</v>
      </c>
      <c r="J4385" s="487" t="s">
        <v>742</v>
      </c>
    </row>
    <row r="4386" spans="1:10" ht="15" x14ac:dyDescent="0.2">
      <c r="A4386" s="486" t="s">
        <v>741</v>
      </c>
      <c r="B4386" s="487" t="s">
        <v>740</v>
      </c>
      <c r="C4386" s="488" t="s">
        <v>14484</v>
      </c>
      <c r="D4386" s="489" t="s">
        <v>14485</v>
      </c>
      <c r="E4386" s="487" t="s">
        <v>14486</v>
      </c>
      <c r="F4386" s="490">
        <v>39900</v>
      </c>
      <c r="G4386" s="489">
        <v>364.8</v>
      </c>
      <c r="H4386" s="489">
        <v>109.375</v>
      </c>
      <c r="I4386" s="487" t="s">
        <v>1499</v>
      </c>
      <c r="J4386" s="487" t="s">
        <v>742</v>
      </c>
    </row>
    <row r="4387" spans="1:10" ht="15" x14ac:dyDescent="0.2">
      <c r="A4387" s="486" t="s">
        <v>741</v>
      </c>
      <c r="B4387" s="487" t="s">
        <v>740</v>
      </c>
      <c r="C4387" s="488" t="s">
        <v>14487</v>
      </c>
      <c r="D4387" s="489" t="s">
        <v>14488</v>
      </c>
      <c r="E4387" s="487" t="s">
        <v>14489</v>
      </c>
      <c r="F4387" s="490">
        <v>28087.58</v>
      </c>
      <c r="G4387" s="489">
        <v>1146.9000000000001</v>
      </c>
      <c r="H4387" s="489">
        <v>24.49</v>
      </c>
      <c r="I4387" s="487" t="s">
        <v>1499</v>
      </c>
      <c r="J4387" s="487" t="s">
        <v>742</v>
      </c>
    </row>
    <row r="4388" spans="1:10" ht="15" x14ac:dyDescent="0.2">
      <c r="A4388" s="486" t="s">
        <v>741</v>
      </c>
      <c r="B4388" s="487" t="s">
        <v>740</v>
      </c>
      <c r="C4388" s="488" t="s">
        <v>14490</v>
      </c>
      <c r="D4388" s="489" t="s">
        <v>14491</v>
      </c>
      <c r="E4388" s="487" t="s">
        <v>14492</v>
      </c>
      <c r="F4388" s="490">
        <v>3000</v>
      </c>
      <c r="G4388" s="489">
        <v>96.8</v>
      </c>
      <c r="H4388" s="489">
        <v>30.99174</v>
      </c>
      <c r="I4388" s="487" t="s">
        <v>1499</v>
      </c>
      <c r="J4388" s="487" t="s">
        <v>742</v>
      </c>
    </row>
    <row r="4389" spans="1:10" ht="15" x14ac:dyDescent="0.2">
      <c r="A4389" s="486" t="s">
        <v>741</v>
      </c>
      <c r="B4389" s="487" t="s">
        <v>740</v>
      </c>
      <c r="C4389" s="488" t="s">
        <v>14493</v>
      </c>
      <c r="D4389" s="489" t="s">
        <v>14494</v>
      </c>
      <c r="E4389" s="487" t="s">
        <v>14495</v>
      </c>
      <c r="F4389" s="490">
        <v>26000</v>
      </c>
      <c r="G4389" s="489">
        <v>275</v>
      </c>
      <c r="H4389" s="489">
        <v>94.545450000000002</v>
      </c>
      <c r="I4389" s="487" t="s">
        <v>1499</v>
      </c>
      <c r="J4389" s="487" t="s">
        <v>742</v>
      </c>
    </row>
    <row r="4390" spans="1:10" ht="15" x14ac:dyDescent="0.2">
      <c r="A4390" s="486" t="s">
        <v>741</v>
      </c>
      <c r="B4390" s="487" t="s">
        <v>740</v>
      </c>
      <c r="C4390" s="488" t="s">
        <v>14496</v>
      </c>
      <c r="D4390" s="489" t="s">
        <v>14497</v>
      </c>
      <c r="E4390" s="487" t="s">
        <v>14498</v>
      </c>
      <c r="F4390" s="490">
        <v>26000</v>
      </c>
      <c r="G4390" s="489">
        <v>746.9</v>
      </c>
      <c r="H4390" s="489">
        <v>34.810549999999999</v>
      </c>
      <c r="I4390" s="487" t="s">
        <v>1499</v>
      </c>
      <c r="J4390" s="487" t="s">
        <v>742</v>
      </c>
    </row>
    <row r="4391" spans="1:10" ht="15" x14ac:dyDescent="0.2">
      <c r="A4391" s="486" t="s">
        <v>741</v>
      </c>
      <c r="B4391" s="487" t="s">
        <v>740</v>
      </c>
      <c r="C4391" s="488" t="s">
        <v>14499</v>
      </c>
      <c r="D4391" s="489" t="s">
        <v>14500</v>
      </c>
      <c r="E4391" s="487" t="s">
        <v>14501</v>
      </c>
      <c r="F4391" s="490">
        <v>59350</v>
      </c>
      <c r="G4391" s="489">
        <v>2836.3</v>
      </c>
      <c r="H4391" s="489">
        <v>20.925149999999999</v>
      </c>
      <c r="I4391" s="487" t="s">
        <v>1499</v>
      </c>
      <c r="J4391" s="487" t="s">
        <v>742</v>
      </c>
    </row>
    <row r="4392" spans="1:10" ht="15" x14ac:dyDescent="0.2">
      <c r="A4392" s="486" t="s">
        <v>741</v>
      </c>
      <c r="B4392" s="487" t="s">
        <v>740</v>
      </c>
      <c r="C4392" s="488" t="s">
        <v>14502</v>
      </c>
      <c r="D4392" s="489" t="s">
        <v>14503</v>
      </c>
      <c r="E4392" s="487" t="s">
        <v>14504</v>
      </c>
      <c r="F4392" s="490">
        <v>262757</v>
      </c>
      <c r="G4392" s="489">
        <v>1632.5</v>
      </c>
      <c r="H4392" s="489">
        <v>160.95375000000001</v>
      </c>
      <c r="I4392" s="487" t="s">
        <v>1499</v>
      </c>
      <c r="J4392" s="487" t="s">
        <v>742</v>
      </c>
    </row>
    <row r="4393" spans="1:10" ht="15" x14ac:dyDescent="0.2">
      <c r="A4393" s="486" t="s">
        <v>741</v>
      </c>
      <c r="B4393" s="487" t="s">
        <v>740</v>
      </c>
      <c r="C4393" s="488" t="s">
        <v>14505</v>
      </c>
      <c r="D4393" s="489" t="s">
        <v>14506</v>
      </c>
      <c r="E4393" s="487" t="s">
        <v>14507</v>
      </c>
      <c r="F4393" s="490">
        <v>9063</v>
      </c>
      <c r="G4393" s="489">
        <v>173.7</v>
      </c>
      <c r="H4393" s="489">
        <v>52.176169999999999</v>
      </c>
      <c r="I4393" s="487" t="s">
        <v>1499</v>
      </c>
      <c r="J4393" s="487" t="s">
        <v>742</v>
      </c>
    </row>
    <row r="4394" spans="1:10" ht="15" x14ac:dyDescent="0.2">
      <c r="A4394" s="486" t="s">
        <v>741</v>
      </c>
      <c r="B4394" s="487" t="s">
        <v>740</v>
      </c>
      <c r="C4394" s="488" t="s">
        <v>14508</v>
      </c>
      <c r="D4394" s="489" t="s">
        <v>14509</v>
      </c>
      <c r="E4394" s="487" t="s">
        <v>14510</v>
      </c>
      <c r="F4394" s="490">
        <v>7700</v>
      </c>
      <c r="G4394" s="489">
        <v>141.4</v>
      </c>
      <c r="H4394" s="489">
        <v>54.455449999999999</v>
      </c>
      <c r="I4394" s="487" t="s">
        <v>1499</v>
      </c>
      <c r="J4394" s="487" t="s">
        <v>742</v>
      </c>
    </row>
    <row r="4395" spans="1:10" ht="15" x14ac:dyDescent="0.2">
      <c r="A4395" s="486" t="s">
        <v>741</v>
      </c>
      <c r="B4395" s="487" t="s">
        <v>740</v>
      </c>
      <c r="C4395" s="488" t="s">
        <v>14511</v>
      </c>
      <c r="D4395" s="489" t="s">
        <v>14512</v>
      </c>
      <c r="E4395" s="487" t="s">
        <v>14513</v>
      </c>
      <c r="F4395" s="490">
        <v>38000</v>
      </c>
      <c r="G4395" s="489">
        <v>3837.7</v>
      </c>
      <c r="H4395" s="489">
        <v>9.9017599999999995</v>
      </c>
      <c r="I4395" s="487" t="s">
        <v>1499</v>
      </c>
      <c r="J4395" s="487" t="s">
        <v>742</v>
      </c>
    </row>
    <row r="4396" spans="1:10" ht="15" x14ac:dyDescent="0.2">
      <c r="A4396" s="486" t="s">
        <v>741</v>
      </c>
      <c r="B4396" s="487" t="s">
        <v>740</v>
      </c>
      <c r="C4396" s="488" t="s">
        <v>14514</v>
      </c>
      <c r="D4396" s="489" t="s">
        <v>14515</v>
      </c>
      <c r="E4396" s="487" t="s">
        <v>14516</v>
      </c>
      <c r="F4396" s="490">
        <v>4500</v>
      </c>
      <c r="G4396" s="489">
        <v>123.7</v>
      </c>
      <c r="H4396" s="489">
        <v>36.378329999999998</v>
      </c>
      <c r="I4396" s="487" t="s">
        <v>1499</v>
      </c>
      <c r="J4396" s="487" t="s">
        <v>742</v>
      </c>
    </row>
    <row r="4397" spans="1:10" ht="15" x14ac:dyDescent="0.2">
      <c r="A4397" s="486" t="s">
        <v>741</v>
      </c>
      <c r="B4397" s="487" t="s">
        <v>740</v>
      </c>
      <c r="C4397" s="488" t="s">
        <v>14517</v>
      </c>
      <c r="D4397" s="489" t="s">
        <v>14518</v>
      </c>
      <c r="E4397" s="487" t="s">
        <v>14519</v>
      </c>
      <c r="F4397" s="490">
        <v>3538</v>
      </c>
      <c r="G4397" s="489">
        <v>99.9</v>
      </c>
      <c r="H4397" s="489">
        <v>35.415419999999997</v>
      </c>
      <c r="I4397" s="487" t="s">
        <v>1499</v>
      </c>
      <c r="J4397" s="487" t="s">
        <v>742</v>
      </c>
    </row>
    <row r="4398" spans="1:10" ht="15" x14ac:dyDescent="0.2">
      <c r="A4398" s="486" t="s">
        <v>741</v>
      </c>
      <c r="B4398" s="487" t="s">
        <v>740</v>
      </c>
      <c r="C4398" s="488" t="s">
        <v>14520</v>
      </c>
      <c r="D4398" s="489" t="s">
        <v>14521</v>
      </c>
      <c r="E4398" s="487" t="s">
        <v>14522</v>
      </c>
      <c r="F4398" s="490">
        <v>0</v>
      </c>
      <c r="G4398" s="489">
        <v>0</v>
      </c>
      <c r="H4398" s="489">
        <v>0</v>
      </c>
      <c r="I4398" s="487" t="s">
        <v>2465</v>
      </c>
      <c r="J4398" s="487" t="s">
        <v>742</v>
      </c>
    </row>
    <row r="4399" spans="1:10" ht="15" x14ac:dyDescent="0.2">
      <c r="A4399" s="486" t="s">
        <v>741</v>
      </c>
      <c r="B4399" s="487" t="s">
        <v>740</v>
      </c>
      <c r="C4399" s="488" t="s">
        <v>14523</v>
      </c>
      <c r="D4399" s="489" t="s">
        <v>14524</v>
      </c>
      <c r="E4399" s="487" t="s">
        <v>14525</v>
      </c>
      <c r="F4399" s="490">
        <v>0</v>
      </c>
      <c r="G4399" s="489">
        <v>0</v>
      </c>
      <c r="H4399" s="489">
        <v>0</v>
      </c>
      <c r="I4399" s="487" t="s">
        <v>2465</v>
      </c>
      <c r="J4399" s="487" t="s">
        <v>742</v>
      </c>
    </row>
    <row r="4400" spans="1:10" ht="15" x14ac:dyDescent="0.2">
      <c r="A4400" s="486" t="s">
        <v>741</v>
      </c>
      <c r="B4400" s="487" t="s">
        <v>740</v>
      </c>
      <c r="C4400" s="488" t="s">
        <v>14526</v>
      </c>
      <c r="D4400" s="489" t="s">
        <v>14527</v>
      </c>
      <c r="E4400" s="487" t="s">
        <v>14528</v>
      </c>
      <c r="F4400" s="490">
        <v>0</v>
      </c>
      <c r="G4400" s="489">
        <v>0</v>
      </c>
      <c r="H4400" s="489">
        <v>0</v>
      </c>
      <c r="I4400" s="487" t="s">
        <v>2465</v>
      </c>
      <c r="J4400" s="487" t="s">
        <v>742</v>
      </c>
    </row>
    <row r="4401" spans="1:10" ht="15" x14ac:dyDescent="0.2">
      <c r="A4401" s="486" t="s">
        <v>741</v>
      </c>
      <c r="B4401" s="487" t="s">
        <v>740</v>
      </c>
      <c r="C4401" s="488" t="s">
        <v>14529</v>
      </c>
      <c r="D4401" s="489" t="s">
        <v>14530</v>
      </c>
      <c r="E4401" s="487" t="s">
        <v>14531</v>
      </c>
      <c r="F4401" s="490">
        <v>0</v>
      </c>
      <c r="G4401" s="489">
        <v>0</v>
      </c>
      <c r="H4401" s="489">
        <v>0</v>
      </c>
      <c r="I4401" s="487" t="s">
        <v>2465</v>
      </c>
      <c r="J4401" s="487" t="s">
        <v>742</v>
      </c>
    </row>
    <row r="4402" spans="1:10" ht="15" x14ac:dyDescent="0.2">
      <c r="A4402" s="486" t="s">
        <v>1025</v>
      </c>
      <c r="B4402" s="487" t="s">
        <v>1024</v>
      </c>
      <c r="C4402" s="488" t="s">
        <v>14532</v>
      </c>
      <c r="D4402" s="489" t="s">
        <v>14533</v>
      </c>
      <c r="E4402" s="487" t="s">
        <v>14534</v>
      </c>
      <c r="F4402" s="490">
        <v>4840</v>
      </c>
      <c r="G4402" s="489">
        <v>132.75</v>
      </c>
      <c r="H4402" s="489">
        <v>36.459510000000002</v>
      </c>
      <c r="I4402" s="487" t="s">
        <v>1499</v>
      </c>
      <c r="J4402" s="487" t="s">
        <v>1026</v>
      </c>
    </row>
    <row r="4403" spans="1:10" ht="15" x14ac:dyDescent="0.2">
      <c r="A4403" s="486" t="s">
        <v>1025</v>
      </c>
      <c r="B4403" s="487" t="s">
        <v>1024</v>
      </c>
      <c r="C4403" s="488" t="s">
        <v>14535</v>
      </c>
      <c r="D4403" s="489" t="s">
        <v>14536</v>
      </c>
      <c r="E4403" s="487" t="s">
        <v>14537</v>
      </c>
      <c r="F4403" s="490">
        <v>0</v>
      </c>
      <c r="G4403" s="489">
        <v>63.54</v>
      </c>
      <c r="H4403" s="489">
        <v>0</v>
      </c>
      <c r="I4403" s="487" t="s">
        <v>1593</v>
      </c>
      <c r="J4403" s="487" t="s">
        <v>1026</v>
      </c>
    </row>
    <row r="4404" spans="1:10" ht="15" x14ac:dyDescent="0.2">
      <c r="A4404" s="486" t="s">
        <v>1025</v>
      </c>
      <c r="B4404" s="487" t="s">
        <v>1024</v>
      </c>
      <c r="C4404" s="488" t="s">
        <v>14538</v>
      </c>
      <c r="D4404" s="489" t="s">
        <v>14539</v>
      </c>
      <c r="E4404" s="487" t="s">
        <v>14540</v>
      </c>
      <c r="F4404" s="490">
        <v>4607</v>
      </c>
      <c r="G4404" s="489">
        <v>227.52</v>
      </c>
      <c r="H4404" s="489">
        <v>20.24877</v>
      </c>
      <c r="I4404" s="487" t="s">
        <v>1499</v>
      </c>
      <c r="J4404" s="487" t="s">
        <v>1026</v>
      </c>
    </row>
    <row r="4405" spans="1:10" ht="15" x14ac:dyDescent="0.2">
      <c r="A4405" s="486" t="s">
        <v>1025</v>
      </c>
      <c r="B4405" s="487" t="s">
        <v>1024</v>
      </c>
      <c r="C4405" s="488" t="s">
        <v>14541</v>
      </c>
      <c r="D4405" s="489" t="s">
        <v>14542</v>
      </c>
      <c r="E4405" s="487" t="s">
        <v>14543</v>
      </c>
      <c r="F4405" s="490">
        <v>0</v>
      </c>
      <c r="G4405" s="489">
        <v>54.42</v>
      </c>
      <c r="H4405" s="489">
        <v>0</v>
      </c>
      <c r="I4405" s="487" t="s">
        <v>1593</v>
      </c>
      <c r="J4405" s="487" t="s">
        <v>1026</v>
      </c>
    </row>
    <row r="4406" spans="1:10" ht="15" x14ac:dyDescent="0.2">
      <c r="A4406" s="486" t="s">
        <v>1025</v>
      </c>
      <c r="B4406" s="487" t="s">
        <v>1024</v>
      </c>
      <c r="C4406" s="488" t="s">
        <v>14544</v>
      </c>
      <c r="D4406" s="489" t="s">
        <v>14545</v>
      </c>
      <c r="E4406" s="487" t="s">
        <v>6501</v>
      </c>
      <c r="F4406" s="490">
        <v>6000</v>
      </c>
      <c r="G4406" s="489">
        <v>78.58</v>
      </c>
      <c r="H4406" s="489">
        <v>76.355310000000003</v>
      </c>
      <c r="I4406" s="487" t="s">
        <v>1499</v>
      </c>
      <c r="J4406" s="487" t="s">
        <v>1026</v>
      </c>
    </row>
    <row r="4407" spans="1:10" ht="15" x14ac:dyDescent="0.2">
      <c r="A4407" s="486" t="s">
        <v>1025</v>
      </c>
      <c r="B4407" s="487" t="s">
        <v>1024</v>
      </c>
      <c r="C4407" s="488" t="s">
        <v>14546</v>
      </c>
      <c r="D4407" s="489" t="s">
        <v>14547</v>
      </c>
      <c r="E4407" s="487" t="s">
        <v>14548</v>
      </c>
      <c r="F4407" s="490">
        <v>3430</v>
      </c>
      <c r="G4407" s="489">
        <v>174.41</v>
      </c>
      <c r="H4407" s="489">
        <v>19.6663</v>
      </c>
      <c r="I4407" s="487" t="s">
        <v>1499</v>
      </c>
      <c r="J4407" s="487" t="s">
        <v>1026</v>
      </c>
    </row>
    <row r="4408" spans="1:10" ht="15" x14ac:dyDescent="0.2">
      <c r="A4408" s="486" t="s">
        <v>1025</v>
      </c>
      <c r="B4408" s="487" t="s">
        <v>1024</v>
      </c>
      <c r="C4408" s="488" t="s">
        <v>14549</v>
      </c>
      <c r="D4408" s="489" t="s">
        <v>14550</v>
      </c>
      <c r="E4408" s="487" t="s">
        <v>14551</v>
      </c>
      <c r="F4408" s="490">
        <v>0</v>
      </c>
      <c r="G4408" s="489">
        <v>38.130000000000003</v>
      </c>
      <c r="H4408" s="489">
        <v>0</v>
      </c>
      <c r="I4408" s="487" t="s">
        <v>1593</v>
      </c>
      <c r="J4408" s="487" t="s">
        <v>1026</v>
      </c>
    </row>
    <row r="4409" spans="1:10" ht="15" x14ac:dyDescent="0.2">
      <c r="A4409" s="486" t="s">
        <v>1025</v>
      </c>
      <c r="B4409" s="487" t="s">
        <v>1024</v>
      </c>
      <c r="C4409" s="488" t="s">
        <v>14552</v>
      </c>
      <c r="D4409" s="489" t="s">
        <v>14553</v>
      </c>
      <c r="E4409" s="487" t="s">
        <v>14554</v>
      </c>
      <c r="F4409" s="490">
        <v>39960</v>
      </c>
      <c r="G4409" s="489">
        <v>488.85</v>
      </c>
      <c r="H4409" s="489">
        <v>81.742869999999996</v>
      </c>
      <c r="I4409" s="487" t="s">
        <v>1499</v>
      </c>
      <c r="J4409" s="487" t="s">
        <v>1026</v>
      </c>
    </row>
    <row r="4410" spans="1:10" ht="15" x14ac:dyDescent="0.2">
      <c r="A4410" s="486" t="s">
        <v>1025</v>
      </c>
      <c r="B4410" s="487" t="s">
        <v>1024</v>
      </c>
      <c r="C4410" s="488" t="s">
        <v>14555</v>
      </c>
      <c r="D4410" s="489" t="s">
        <v>14556</v>
      </c>
      <c r="E4410" s="487" t="s">
        <v>14557</v>
      </c>
      <c r="F4410" s="490">
        <v>4700</v>
      </c>
      <c r="G4410" s="489">
        <v>204.14</v>
      </c>
      <c r="H4410" s="489">
        <v>23.023420000000002</v>
      </c>
      <c r="I4410" s="487" t="s">
        <v>1499</v>
      </c>
      <c r="J4410" s="487" t="s">
        <v>1026</v>
      </c>
    </row>
    <row r="4411" spans="1:10" ht="15" x14ac:dyDescent="0.2">
      <c r="A4411" s="486" t="s">
        <v>1025</v>
      </c>
      <c r="B4411" s="487" t="s">
        <v>1024</v>
      </c>
      <c r="C4411" s="488" t="s">
        <v>14558</v>
      </c>
      <c r="D4411" s="489" t="s">
        <v>14559</v>
      </c>
      <c r="E4411" s="487" t="s">
        <v>14560</v>
      </c>
      <c r="F4411" s="490">
        <v>0</v>
      </c>
      <c r="G4411" s="489">
        <v>52.97</v>
      </c>
      <c r="H4411" s="489">
        <v>0</v>
      </c>
      <c r="I4411" s="487" t="s">
        <v>1593</v>
      </c>
      <c r="J4411" s="487" t="s">
        <v>1026</v>
      </c>
    </row>
    <row r="4412" spans="1:10" ht="15" x14ac:dyDescent="0.2">
      <c r="A4412" s="486" t="s">
        <v>1025</v>
      </c>
      <c r="B4412" s="487" t="s">
        <v>1024</v>
      </c>
      <c r="C4412" s="488" t="s">
        <v>14561</v>
      </c>
      <c r="D4412" s="489" t="s">
        <v>14562</v>
      </c>
      <c r="E4412" s="487" t="s">
        <v>14563</v>
      </c>
      <c r="F4412" s="490">
        <v>0</v>
      </c>
      <c r="G4412" s="489">
        <v>12.49</v>
      </c>
      <c r="H4412" s="489">
        <v>0</v>
      </c>
      <c r="I4412" s="487" t="s">
        <v>1593</v>
      </c>
      <c r="J4412" s="487" t="s">
        <v>1026</v>
      </c>
    </row>
    <row r="4413" spans="1:10" ht="15" x14ac:dyDescent="0.2">
      <c r="A4413" s="486" t="s">
        <v>1025</v>
      </c>
      <c r="B4413" s="487" t="s">
        <v>1024</v>
      </c>
      <c r="C4413" s="488" t="s">
        <v>14564</v>
      </c>
      <c r="D4413" s="489" t="s">
        <v>14565</v>
      </c>
      <c r="E4413" s="487" t="s">
        <v>14566</v>
      </c>
      <c r="F4413" s="490">
        <v>80000</v>
      </c>
      <c r="G4413" s="489">
        <v>1244.04</v>
      </c>
      <c r="H4413" s="489">
        <v>64.306610000000006</v>
      </c>
      <c r="I4413" s="487" t="s">
        <v>1499</v>
      </c>
      <c r="J4413" s="487" t="s">
        <v>1026</v>
      </c>
    </row>
    <row r="4414" spans="1:10" ht="15" x14ac:dyDescent="0.2">
      <c r="A4414" s="486" t="s">
        <v>1025</v>
      </c>
      <c r="B4414" s="487" t="s">
        <v>1024</v>
      </c>
      <c r="C4414" s="488" t="s">
        <v>14567</v>
      </c>
      <c r="D4414" s="489" t="s">
        <v>14568</v>
      </c>
      <c r="E4414" s="487" t="s">
        <v>14569</v>
      </c>
      <c r="F4414" s="490">
        <v>125000</v>
      </c>
      <c r="G4414" s="489">
        <v>2729.1</v>
      </c>
      <c r="H4414" s="489">
        <v>45.80265</v>
      </c>
      <c r="I4414" s="487" t="s">
        <v>1499</v>
      </c>
      <c r="J4414" s="487" t="s">
        <v>1026</v>
      </c>
    </row>
    <row r="4415" spans="1:10" ht="15" x14ac:dyDescent="0.2">
      <c r="A4415" s="486" t="s">
        <v>1025</v>
      </c>
      <c r="B4415" s="487" t="s">
        <v>1024</v>
      </c>
      <c r="C4415" s="488" t="s">
        <v>14570</v>
      </c>
      <c r="D4415" s="489" t="s">
        <v>14571</v>
      </c>
      <c r="E4415" s="487" t="s">
        <v>14572</v>
      </c>
      <c r="F4415" s="490">
        <v>393135</v>
      </c>
      <c r="G4415" s="489">
        <v>2628.67</v>
      </c>
      <c r="H4415" s="489">
        <v>149.55662000000001</v>
      </c>
      <c r="I4415" s="487" t="s">
        <v>1499</v>
      </c>
      <c r="J4415" s="487" t="s">
        <v>1026</v>
      </c>
    </row>
    <row r="4416" spans="1:10" ht="15" x14ac:dyDescent="0.2">
      <c r="A4416" s="486" t="s">
        <v>1025</v>
      </c>
      <c r="B4416" s="487" t="s">
        <v>1024</v>
      </c>
      <c r="C4416" s="488" t="s">
        <v>14573</v>
      </c>
      <c r="D4416" s="489" t="s">
        <v>14574</v>
      </c>
      <c r="E4416" s="487" t="s">
        <v>14575</v>
      </c>
      <c r="F4416" s="490">
        <v>4845</v>
      </c>
      <c r="G4416" s="489">
        <v>59.77</v>
      </c>
      <c r="H4416" s="489">
        <v>81.060730000000007</v>
      </c>
      <c r="I4416" s="487" t="s">
        <v>1499</v>
      </c>
      <c r="J4416" s="487" t="s">
        <v>1026</v>
      </c>
    </row>
    <row r="4417" spans="1:10" ht="15" x14ac:dyDescent="0.2">
      <c r="A4417" s="486" t="s">
        <v>1025</v>
      </c>
      <c r="B4417" s="487" t="s">
        <v>1024</v>
      </c>
      <c r="C4417" s="488" t="s">
        <v>14576</v>
      </c>
      <c r="D4417" s="489" t="s">
        <v>14577</v>
      </c>
      <c r="E4417" s="487" t="s">
        <v>14578</v>
      </c>
      <c r="F4417" s="490">
        <v>44251</v>
      </c>
      <c r="G4417" s="489">
        <v>1140.5999999999999</v>
      </c>
      <c r="H4417" s="489">
        <v>38.796250000000001</v>
      </c>
      <c r="I4417" s="487" t="s">
        <v>1499</v>
      </c>
      <c r="J4417" s="487" t="s">
        <v>1026</v>
      </c>
    </row>
    <row r="4418" spans="1:10" ht="15" x14ac:dyDescent="0.2">
      <c r="A4418" s="486" t="s">
        <v>1025</v>
      </c>
      <c r="B4418" s="487" t="s">
        <v>1024</v>
      </c>
      <c r="C4418" s="488" t="s">
        <v>14579</v>
      </c>
      <c r="D4418" s="489" t="s">
        <v>14580</v>
      </c>
      <c r="E4418" s="487" t="s">
        <v>14581</v>
      </c>
      <c r="F4418" s="490">
        <v>86472</v>
      </c>
      <c r="G4418" s="489">
        <v>2081.25</v>
      </c>
      <c r="H4418" s="489">
        <v>41.548110000000001</v>
      </c>
      <c r="I4418" s="487" t="s">
        <v>1499</v>
      </c>
      <c r="J4418" s="487" t="s">
        <v>1026</v>
      </c>
    </row>
    <row r="4419" spans="1:10" ht="15" x14ac:dyDescent="0.2">
      <c r="A4419" s="486" t="s">
        <v>1025</v>
      </c>
      <c r="B4419" s="487" t="s">
        <v>1024</v>
      </c>
      <c r="C4419" s="488" t="s">
        <v>14582</v>
      </c>
      <c r="D4419" s="489" t="s">
        <v>14583</v>
      </c>
      <c r="E4419" s="487" t="s">
        <v>14584</v>
      </c>
      <c r="F4419" s="490">
        <v>50000</v>
      </c>
      <c r="G4419" s="489">
        <v>442.02</v>
      </c>
      <c r="H4419" s="489">
        <v>113.11705000000001</v>
      </c>
      <c r="I4419" s="487" t="s">
        <v>1499</v>
      </c>
      <c r="J4419" s="487" t="s">
        <v>1026</v>
      </c>
    </row>
    <row r="4420" spans="1:10" ht="15" x14ac:dyDescent="0.2">
      <c r="A4420" s="486" t="s">
        <v>1025</v>
      </c>
      <c r="B4420" s="487" t="s">
        <v>1024</v>
      </c>
      <c r="C4420" s="488" t="s">
        <v>14585</v>
      </c>
      <c r="D4420" s="489" t="s">
        <v>14586</v>
      </c>
      <c r="E4420" s="487" t="s">
        <v>14587</v>
      </c>
      <c r="F4420" s="490">
        <v>87796</v>
      </c>
      <c r="G4420" s="489">
        <v>2295.39</v>
      </c>
      <c r="H4420" s="489">
        <v>38.248840000000001</v>
      </c>
      <c r="I4420" s="487" t="s">
        <v>1499</v>
      </c>
      <c r="J4420" s="487" t="s">
        <v>1026</v>
      </c>
    </row>
    <row r="4421" spans="1:10" ht="15" x14ac:dyDescent="0.2">
      <c r="A4421" s="486" t="s">
        <v>1025</v>
      </c>
      <c r="B4421" s="487" t="s">
        <v>1024</v>
      </c>
      <c r="C4421" s="488" t="s">
        <v>14588</v>
      </c>
      <c r="D4421" s="489" t="s">
        <v>14589</v>
      </c>
      <c r="E4421" s="487" t="s">
        <v>14590</v>
      </c>
      <c r="F4421" s="490">
        <v>0</v>
      </c>
      <c r="G4421" s="489">
        <v>8.81</v>
      </c>
      <c r="H4421" s="489">
        <v>0</v>
      </c>
      <c r="I4421" s="487" t="s">
        <v>1593</v>
      </c>
      <c r="J4421" s="487" t="s">
        <v>1026</v>
      </c>
    </row>
    <row r="4422" spans="1:10" ht="15" x14ac:dyDescent="0.2">
      <c r="A4422" s="486" t="s">
        <v>1025</v>
      </c>
      <c r="B4422" s="487" t="s">
        <v>1024</v>
      </c>
      <c r="C4422" s="488" t="s">
        <v>14591</v>
      </c>
      <c r="D4422" s="489" t="s">
        <v>14592</v>
      </c>
      <c r="E4422" s="487" t="s">
        <v>14510</v>
      </c>
      <c r="F4422" s="490">
        <v>0</v>
      </c>
      <c r="G4422" s="489">
        <v>29.36</v>
      </c>
      <c r="H4422" s="489">
        <v>0</v>
      </c>
      <c r="I4422" s="487" t="s">
        <v>1593</v>
      </c>
      <c r="J4422" s="487" t="s">
        <v>1026</v>
      </c>
    </row>
    <row r="4423" spans="1:10" ht="15" x14ac:dyDescent="0.2">
      <c r="A4423" s="486" t="s">
        <v>1025</v>
      </c>
      <c r="B4423" s="487" t="s">
        <v>1024</v>
      </c>
      <c r="C4423" s="488" t="s">
        <v>14593</v>
      </c>
      <c r="D4423" s="489" t="s">
        <v>14594</v>
      </c>
      <c r="E4423" s="487" t="s">
        <v>14595</v>
      </c>
      <c r="F4423" s="490">
        <v>20000</v>
      </c>
      <c r="G4423" s="489">
        <v>9698.26</v>
      </c>
      <c r="H4423" s="489">
        <v>2.06223</v>
      </c>
      <c r="I4423" s="487" t="s">
        <v>1654</v>
      </c>
      <c r="J4423" s="487" t="s">
        <v>1026</v>
      </c>
    </row>
    <row r="4424" spans="1:10" ht="15" x14ac:dyDescent="0.2">
      <c r="A4424" s="486" t="s">
        <v>1025</v>
      </c>
      <c r="B4424" s="487" t="s">
        <v>1024</v>
      </c>
      <c r="C4424" s="488" t="s">
        <v>14596</v>
      </c>
      <c r="D4424" s="489" t="s">
        <v>14597</v>
      </c>
      <c r="E4424" s="487" t="s">
        <v>14598</v>
      </c>
      <c r="F4424" s="490">
        <v>30000</v>
      </c>
      <c r="G4424" s="489">
        <v>23320.38</v>
      </c>
      <c r="H4424" s="489">
        <v>1.28643</v>
      </c>
      <c r="I4424" s="487" t="s">
        <v>1654</v>
      </c>
      <c r="J4424" s="487" t="s">
        <v>1026</v>
      </c>
    </row>
    <row r="4425" spans="1:10" ht="15" x14ac:dyDescent="0.2">
      <c r="A4425" s="486" t="s">
        <v>1034</v>
      </c>
      <c r="B4425" s="487" t="s">
        <v>1033</v>
      </c>
      <c r="C4425" s="488" t="s">
        <v>14599</v>
      </c>
      <c r="D4425" s="489" t="s">
        <v>14600</v>
      </c>
      <c r="E4425" s="487" t="s">
        <v>14601</v>
      </c>
      <c r="F4425" s="490">
        <v>6500</v>
      </c>
      <c r="G4425" s="489">
        <v>167.5</v>
      </c>
      <c r="H4425" s="489">
        <v>38.805970000000002</v>
      </c>
      <c r="I4425" s="487" t="s">
        <v>1499</v>
      </c>
      <c r="J4425" s="487" t="s">
        <v>1035</v>
      </c>
    </row>
    <row r="4426" spans="1:10" ht="15" x14ac:dyDescent="0.2">
      <c r="A4426" s="486" t="s">
        <v>1034</v>
      </c>
      <c r="B4426" s="487" t="s">
        <v>1033</v>
      </c>
      <c r="C4426" s="488" t="s">
        <v>14602</v>
      </c>
      <c r="D4426" s="489" t="s">
        <v>14603</v>
      </c>
      <c r="E4426" s="487" t="s">
        <v>14604</v>
      </c>
      <c r="F4426" s="490">
        <v>9581</v>
      </c>
      <c r="G4426" s="489">
        <v>79.900000000000006</v>
      </c>
      <c r="H4426" s="489">
        <v>119.91239</v>
      </c>
      <c r="I4426" s="487" t="s">
        <v>1499</v>
      </c>
      <c r="J4426" s="487" t="s">
        <v>1035</v>
      </c>
    </row>
    <row r="4427" spans="1:10" ht="15" x14ac:dyDescent="0.2">
      <c r="A4427" s="486" t="s">
        <v>1034</v>
      </c>
      <c r="B4427" s="487" t="s">
        <v>1033</v>
      </c>
      <c r="C4427" s="488" t="s">
        <v>14605</v>
      </c>
      <c r="D4427" s="489" t="s">
        <v>14606</v>
      </c>
      <c r="E4427" s="487" t="s">
        <v>14607</v>
      </c>
      <c r="F4427" s="490">
        <v>12475</v>
      </c>
      <c r="G4427" s="489">
        <v>236.4</v>
      </c>
      <c r="H4427" s="489">
        <v>52.77073</v>
      </c>
      <c r="I4427" s="487" t="s">
        <v>1499</v>
      </c>
      <c r="J4427" s="487" t="s">
        <v>1035</v>
      </c>
    </row>
    <row r="4428" spans="1:10" ht="15" x14ac:dyDescent="0.2">
      <c r="A4428" s="486" t="s">
        <v>1034</v>
      </c>
      <c r="B4428" s="487" t="s">
        <v>1033</v>
      </c>
      <c r="C4428" s="488" t="s">
        <v>14608</v>
      </c>
      <c r="D4428" s="489" t="s">
        <v>14609</v>
      </c>
      <c r="E4428" s="487" t="s">
        <v>14610</v>
      </c>
      <c r="F4428" s="490">
        <v>6500</v>
      </c>
      <c r="G4428" s="489">
        <v>232.7</v>
      </c>
      <c r="H4428" s="489">
        <v>27.932960000000001</v>
      </c>
      <c r="I4428" s="487" t="s">
        <v>1499</v>
      </c>
      <c r="J4428" s="487" t="s">
        <v>1035</v>
      </c>
    </row>
    <row r="4429" spans="1:10" ht="15" x14ac:dyDescent="0.2">
      <c r="A4429" s="486" t="s">
        <v>1034</v>
      </c>
      <c r="B4429" s="487" t="s">
        <v>1033</v>
      </c>
      <c r="C4429" s="488" t="s">
        <v>14611</v>
      </c>
      <c r="D4429" s="489" t="s">
        <v>14612</v>
      </c>
      <c r="E4429" s="487" t="s">
        <v>14613</v>
      </c>
      <c r="F4429" s="490">
        <v>27500</v>
      </c>
      <c r="G4429" s="489">
        <v>571.5</v>
      </c>
      <c r="H4429" s="489">
        <v>48.118989999999997</v>
      </c>
      <c r="I4429" s="487" t="s">
        <v>1499</v>
      </c>
      <c r="J4429" s="487" t="s">
        <v>1035</v>
      </c>
    </row>
    <row r="4430" spans="1:10" ht="15" x14ac:dyDescent="0.2">
      <c r="A4430" s="486" t="s">
        <v>1034</v>
      </c>
      <c r="B4430" s="487" t="s">
        <v>1033</v>
      </c>
      <c r="C4430" s="488" t="s">
        <v>14614</v>
      </c>
      <c r="D4430" s="489" t="s">
        <v>14615</v>
      </c>
      <c r="E4430" s="487" t="s">
        <v>14616</v>
      </c>
      <c r="F4430" s="490">
        <v>68497</v>
      </c>
      <c r="G4430" s="489">
        <v>1093.2</v>
      </c>
      <c r="H4430" s="489">
        <v>62.657339999999998</v>
      </c>
      <c r="I4430" s="487" t="s">
        <v>1499</v>
      </c>
      <c r="J4430" s="487" t="s">
        <v>1035</v>
      </c>
    </row>
    <row r="4431" spans="1:10" ht="15" x14ac:dyDescent="0.2">
      <c r="A4431" s="486" t="s">
        <v>1034</v>
      </c>
      <c r="B4431" s="487" t="s">
        <v>1033</v>
      </c>
      <c r="C4431" s="488" t="s">
        <v>14617</v>
      </c>
      <c r="D4431" s="489" t="s">
        <v>14618</v>
      </c>
      <c r="E4431" s="487" t="s">
        <v>14619</v>
      </c>
      <c r="F4431" s="490">
        <v>274341</v>
      </c>
      <c r="G4431" s="489">
        <v>3808.9</v>
      </c>
      <c r="H4431" s="489">
        <v>72.026309999999995</v>
      </c>
      <c r="I4431" s="487" t="s">
        <v>1499</v>
      </c>
      <c r="J4431" s="487" t="s">
        <v>1035</v>
      </c>
    </row>
    <row r="4432" spans="1:10" ht="15" x14ac:dyDescent="0.2">
      <c r="A4432" s="486" t="s">
        <v>1034</v>
      </c>
      <c r="B4432" s="487" t="s">
        <v>1033</v>
      </c>
      <c r="C4432" s="488" t="s">
        <v>14620</v>
      </c>
      <c r="D4432" s="489" t="s">
        <v>14621</v>
      </c>
      <c r="E4432" s="487" t="s">
        <v>14622</v>
      </c>
      <c r="F4432" s="490">
        <v>40767</v>
      </c>
      <c r="G4432" s="489">
        <v>1252.3</v>
      </c>
      <c r="H4432" s="489">
        <v>32.553699999999999</v>
      </c>
      <c r="I4432" s="487" t="s">
        <v>1499</v>
      </c>
      <c r="J4432" s="487" t="s">
        <v>1035</v>
      </c>
    </row>
    <row r="4433" spans="1:10" ht="15" x14ac:dyDescent="0.2">
      <c r="A4433" s="486" t="s">
        <v>1034</v>
      </c>
      <c r="B4433" s="487" t="s">
        <v>1033</v>
      </c>
      <c r="C4433" s="488" t="s">
        <v>14623</v>
      </c>
      <c r="D4433" s="489" t="s">
        <v>14624</v>
      </c>
      <c r="E4433" s="487" t="s">
        <v>14625</v>
      </c>
      <c r="F4433" s="490">
        <v>14200</v>
      </c>
      <c r="G4433" s="489">
        <v>194.5</v>
      </c>
      <c r="H4433" s="489">
        <v>73.007710000000003</v>
      </c>
      <c r="I4433" s="487" t="s">
        <v>1499</v>
      </c>
      <c r="J4433" s="487" t="s">
        <v>1035</v>
      </c>
    </row>
    <row r="4434" spans="1:10" ht="15" x14ac:dyDescent="0.2">
      <c r="A4434" s="486" t="s">
        <v>1034</v>
      </c>
      <c r="B4434" s="487" t="s">
        <v>1033</v>
      </c>
      <c r="C4434" s="488" t="s">
        <v>14626</v>
      </c>
      <c r="D4434" s="489" t="s">
        <v>14627</v>
      </c>
      <c r="E4434" s="487" t="s">
        <v>14628</v>
      </c>
      <c r="F4434" s="490">
        <v>99100</v>
      </c>
      <c r="G4434" s="489">
        <v>3623.9</v>
      </c>
      <c r="H4434" s="489">
        <v>27.346229999999998</v>
      </c>
      <c r="I4434" s="487" t="s">
        <v>1499</v>
      </c>
      <c r="J4434" s="487" t="s">
        <v>1035</v>
      </c>
    </row>
    <row r="4435" spans="1:10" ht="15" x14ac:dyDescent="0.2">
      <c r="A4435" s="486" t="s">
        <v>1034</v>
      </c>
      <c r="B4435" s="487" t="s">
        <v>1033</v>
      </c>
      <c r="C4435" s="488" t="s">
        <v>14629</v>
      </c>
      <c r="D4435" s="489" t="s">
        <v>14630</v>
      </c>
      <c r="E4435" s="487" t="s">
        <v>14631</v>
      </c>
      <c r="F4435" s="490">
        <v>128654.29</v>
      </c>
      <c r="G4435" s="489">
        <v>1815.1</v>
      </c>
      <c r="H4435" s="489">
        <v>70.88</v>
      </c>
      <c r="I4435" s="487" t="s">
        <v>1499</v>
      </c>
      <c r="J4435" s="487" t="s">
        <v>1035</v>
      </c>
    </row>
    <row r="4436" spans="1:10" ht="15" x14ac:dyDescent="0.2">
      <c r="A4436" s="486" t="s">
        <v>1034</v>
      </c>
      <c r="B4436" s="487" t="s">
        <v>1033</v>
      </c>
      <c r="C4436" s="488" t="s">
        <v>14632</v>
      </c>
      <c r="D4436" s="489" t="s">
        <v>14633</v>
      </c>
      <c r="E4436" s="487" t="s">
        <v>2627</v>
      </c>
      <c r="F4436" s="490">
        <v>150000</v>
      </c>
      <c r="G4436" s="489">
        <v>1719.3</v>
      </c>
      <c r="H4436" s="489">
        <v>87.244810000000001</v>
      </c>
      <c r="I4436" s="487" t="s">
        <v>1499</v>
      </c>
      <c r="J4436" s="487" t="s">
        <v>1035</v>
      </c>
    </row>
    <row r="4437" spans="1:10" ht="15" x14ac:dyDescent="0.2">
      <c r="A4437" s="486" t="s">
        <v>1034</v>
      </c>
      <c r="B4437" s="487" t="s">
        <v>1033</v>
      </c>
      <c r="C4437" s="488" t="s">
        <v>14634</v>
      </c>
      <c r="D4437" s="489" t="s">
        <v>14635</v>
      </c>
      <c r="E4437" s="487" t="s">
        <v>14636</v>
      </c>
      <c r="F4437" s="490">
        <v>26376</v>
      </c>
      <c r="G4437" s="489">
        <v>214.2</v>
      </c>
      <c r="H4437" s="489">
        <v>123.13724999999999</v>
      </c>
      <c r="I4437" s="487" t="s">
        <v>1499</v>
      </c>
      <c r="J4437" s="487" t="s">
        <v>1035</v>
      </c>
    </row>
    <row r="4438" spans="1:10" ht="15" x14ac:dyDescent="0.2">
      <c r="A4438" s="486" t="s">
        <v>1034</v>
      </c>
      <c r="B4438" s="487" t="s">
        <v>1033</v>
      </c>
      <c r="C4438" s="488" t="s">
        <v>14637</v>
      </c>
      <c r="D4438" s="489" t="s">
        <v>14638</v>
      </c>
      <c r="E4438" s="487" t="s">
        <v>14639</v>
      </c>
      <c r="F4438" s="490">
        <v>90788</v>
      </c>
      <c r="G4438" s="489">
        <v>965.9</v>
      </c>
      <c r="H4438" s="489">
        <v>93.993170000000006</v>
      </c>
      <c r="I4438" s="487" t="s">
        <v>1499</v>
      </c>
      <c r="J4438" s="487" t="s">
        <v>1035</v>
      </c>
    </row>
    <row r="4439" spans="1:10" ht="15" x14ac:dyDescent="0.2">
      <c r="A4439" s="486" t="s">
        <v>1034</v>
      </c>
      <c r="B4439" s="487" t="s">
        <v>1033</v>
      </c>
      <c r="C4439" s="488" t="s">
        <v>14640</v>
      </c>
      <c r="D4439" s="489" t="s">
        <v>14641</v>
      </c>
      <c r="E4439" s="487" t="s">
        <v>14642</v>
      </c>
      <c r="F4439" s="490">
        <v>8500</v>
      </c>
      <c r="G4439" s="489">
        <v>163.69999999999999</v>
      </c>
      <c r="H4439" s="489">
        <v>51.924250000000001</v>
      </c>
      <c r="I4439" s="487" t="s">
        <v>1499</v>
      </c>
      <c r="J4439" s="487" t="s">
        <v>1035</v>
      </c>
    </row>
    <row r="4440" spans="1:10" ht="15" x14ac:dyDescent="0.2">
      <c r="A4440" s="486" t="s">
        <v>1034</v>
      </c>
      <c r="B4440" s="487" t="s">
        <v>1033</v>
      </c>
      <c r="C4440" s="488" t="s">
        <v>14643</v>
      </c>
      <c r="D4440" s="489" t="s">
        <v>14644</v>
      </c>
      <c r="E4440" s="487" t="s">
        <v>14645</v>
      </c>
      <c r="F4440" s="490">
        <v>72639.47</v>
      </c>
      <c r="G4440" s="489">
        <v>1670</v>
      </c>
      <c r="H4440" s="489">
        <v>43.496690000000001</v>
      </c>
      <c r="I4440" s="487" t="s">
        <v>1499</v>
      </c>
      <c r="J4440" s="487" t="s">
        <v>1035</v>
      </c>
    </row>
    <row r="4441" spans="1:10" ht="15" x14ac:dyDescent="0.2">
      <c r="A4441" s="486" t="s">
        <v>1034</v>
      </c>
      <c r="B4441" s="487" t="s">
        <v>1033</v>
      </c>
      <c r="C4441" s="488" t="s">
        <v>14646</v>
      </c>
      <c r="D4441" s="489" t="s">
        <v>14647</v>
      </c>
      <c r="E4441" s="487" t="s">
        <v>14648</v>
      </c>
      <c r="F4441" s="490">
        <v>0</v>
      </c>
      <c r="G4441" s="489">
        <v>46.6</v>
      </c>
      <c r="H4441" s="489">
        <v>0</v>
      </c>
      <c r="I4441" s="487" t="s">
        <v>1593</v>
      </c>
      <c r="J4441" s="487" t="s">
        <v>1035</v>
      </c>
    </row>
    <row r="4442" spans="1:10" ht="15" x14ac:dyDescent="0.2">
      <c r="A4442" s="486" t="s">
        <v>1034</v>
      </c>
      <c r="B4442" s="487" t="s">
        <v>1033</v>
      </c>
      <c r="C4442" s="488" t="s">
        <v>14649</v>
      </c>
      <c r="D4442" s="489" t="s">
        <v>14650</v>
      </c>
      <c r="E4442" s="487" t="s">
        <v>14651</v>
      </c>
      <c r="F4442" s="490">
        <v>9150</v>
      </c>
      <c r="G4442" s="489">
        <v>204.9</v>
      </c>
      <c r="H4442" s="489">
        <v>44.655929999999998</v>
      </c>
      <c r="I4442" s="487" t="s">
        <v>1499</v>
      </c>
      <c r="J4442" s="487" t="s">
        <v>1035</v>
      </c>
    </row>
    <row r="4443" spans="1:10" ht="15" x14ac:dyDescent="0.2">
      <c r="A4443" s="486" t="s">
        <v>1034</v>
      </c>
      <c r="B4443" s="487" t="s">
        <v>1033</v>
      </c>
      <c r="C4443" s="488" t="s">
        <v>14652</v>
      </c>
      <c r="D4443" s="489" t="s">
        <v>14653</v>
      </c>
      <c r="E4443" s="487" t="s">
        <v>14654</v>
      </c>
      <c r="F4443" s="490">
        <v>6300</v>
      </c>
      <c r="G4443" s="489">
        <v>147.6</v>
      </c>
      <c r="H4443" s="489">
        <v>42.682929999999999</v>
      </c>
      <c r="I4443" s="487" t="s">
        <v>1499</v>
      </c>
      <c r="J4443" s="487" t="s">
        <v>1035</v>
      </c>
    </row>
    <row r="4444" spans="1:10" ht="15" x14ac:dyDescent="0.2">
      <c r="A4444" s="486" t="s">
        <v>1034</v>
      </c>
      <c r="B4444" s="487" t="s">
        <v>1033</v>
      </c>
      <c r="C4444" s="488" t="s">
        <v>14655</v>
      </c>
      <c r="D4444" s="489" t="s">
        <v>14656</v>
      </c>
      <c r="E4444" s="487" t="s">
        <v>14657</v>
      </c>
      <c r="F4444" s="490">
        <v>8000</v>
      </c>
      <c r="G4444" s="489">
        <v>175.5</v>
      </c>
      <c r="H4444" s="489">
        <v>45.584049999999998</v>
      </c>
      <c r="I4444" s="487" t="s">
        <v>1499</v>
      </c>
      <c r="J4444" s="487" t="s">
        <v>1035</v>
      </c>
    </row>
    <row r="4445" spans="1:10" ht="15" x14ac:dyDescent="0.2">
      <c r="A4445" s="486" t="s">
        <v>1034</v>
      </c>
      <c r="B4445" s="487" t="s">
        <v>1033</v>
      </c>
      <c r="C4445" s="488" t="s">
        <v>14658</v>
      </c>
      <c r="D4445" s="489" t="s">
        <v>14659</v>
      </c>
      <c r="E4445" s="487" t="s">
        <v>14660</v>
      </c>
      <c r="F4445" s="490">
        <v>82742</v>
      </c>
      <c r="G4445" s="489">
        <v>1608.3</v>
      </c>
      <c r="H4445" s="489">
        <v>51.446869999999997</v>
      </c>
      <c r="I4445" s="487" t="s">
        <v>1499</v>
      </c>
      <c r="J4445" s="487" t="s">
        <v>1035</v>
      </c>
    </row>
    <row r="4446" spans="1:10" ht="15" x14ac:dyDescent="0.2">
      <c r="A4446" s="486" t="s">
        <v>1034</v>
      </c>
      <c r="B4446" s="487" t="s">
        <v>1033</v>
      </c>
      <c r="C4446" s="488" t="s">
        <v>14661</v>
      </c>
      <c r="D4446" s="489" t="s">
        <v>14662</v>
      </c>
      <c r="E4446" s="487" t="s">
        <v>14663</v>
      </c>
      <c r="F4446" s="490">
        <v>20240</v>
      </c>
      <c r="G4446" s="489">
        <v>535.5</v>
      </c>
      <c r="H4446" s="489">
        <v>37.79645</v>
      </c>
      <c r="I4446" s="487" t="s">
        <v>1499</v>
      </c>
      <c r="J4446" s="487" t="s">
        <v>1035</v>
      </c>
    </row>
    <row r="4447" spans="1:10" ht="15" x14ac:dyDescent="0.2">
      <c r="A4447" s="486" t="s">
        <v>1034</v>
      </c>
      <c r="B4447" s="487" t="s">
        <v>1033</v>
      </c>
      <c r="C4447" s="488" t="s">
        <v>14664</v>
      </c>
      <c r="D4447" s="489" t="s">
        <v>14665</v>
      </c>
      <c r="E4447" s="487" t="s">
        <v>14666</v>
      </c>
      <c r="F4447" s="490">
        <v>9000</v>
      </c>
      <c r="G4447" s="489">
        <v>143.1</v>
      </c>
      <c r="H4447" s="489">
        <v>62.893079999999998</v>
      </c>
      <c r="I4447" s="487" t="s">
        <v>1499</v>
      </c>
      <c r="J4447" s="487" t="s">
        <v>1035</v>
      </c>
    </row>
    <row r="4448" spans="1:10" ht="15" x14ac:dyDescent="0.2">
      <c r="A4448" s="486" t="s">
        <v>1034</v>
      </c>
      <c r="B4448" s="487" t="s">
        <v>1033</v>
      </c>
      <c r="C4448" s="488" t="s">
        <v>14667</v>
      </c>
      <c r="D4448" s="489" t="s">
        <v>14668</v>
      </c>
      <c r="E4448" s="487" t="s">
        <v>14669</v>
      </c>
      <c r="F4448" s="490">
        <v>81630</v>
      </c>
      <c r="G4448" s="489">
        <v>806.1</v>
      </c>
      <c r="H4448" s="489">
        <v>101.26535</v>
      </c>
      <c r="I4448" s="487" t="s">
        <v>1499</v>
      </c>
      <c r="J4448" s="487" t="s">
        <v>1035</v>
      </c>
    </row>
    <row r="4449" spans="1:10" ht="15" x14ac:dyDescent="0.2">
      <c r="A4449" s="486" t="s">
        <v>1034</v>
      </c>
      <c r="B4449" s="487" t="s">
        <v>1033</v>
      </c>
      <c r="C4449" s="488" t="s">
        <v>14670</v>
      </c>
      <c r="D4449" s="489" t="s">
        <v>14671</v>
      </c>
      <c r="E4449" s="487" t="s">
        <v>14672</v>
      </c>
      <c r="F4449" s="490">
        <v>48693</v>
      </c>
      <c r="G4449" s="489">
        <v>645.1</v>
      </c>
      <c r="H4449" s="489">
        <v>75.481319999999997</v>
      </c>
      <c r="I4449" s="487" t="s">
        <v>1499</v>
      </c>
      <c r="J4449" s="487" t="s">
        <v>1035</v>
      </c>
    </row>
    <row r="4450" spans="1:10" ht="15" x14ac:dyDescent="0.2">
      <c r="A4450" s="486" t="s">
        <v>1034</v>
      </c>
      <c r="B4450" s="487" t="s">
        <v>1033</v>
      </c>
      <c r="C4450" s="488" t="s">
        <v>14673</v>
      </c>
      <c r="D4450" s="489" t="s">
        <v>14674</v>
      </c>
      <c r="E4450" s="487" t="s">
        <v>14675</v>
      </c>
      <c r="F4450" s="490">
        <v>39790.54</v>
      </c>
      <c r="G4450" s="489">
        <v>1720.3</v>
      </c>
      <c r="H4450" s="489">
        <v>23.13</v>
      </c>
      <c r="I4450" s="487" t="s">
        <v>1499</v>
      </c>
      <c r="J4450" s="487" t="s">
        <v>1035</v>
      </c>
    </row>
    <row r="4451" spans="1:10" ht="15" x14ac:dyDescent="0.2">
      <c r="A4451" s="486" t="s">
        <v>1034</v>
      </c>
      <c r="B4451" s="487" t="s">
        <v>1033</v>
      </c>
      <c r="C4451" s="488" t="s">
        <v>14676</v>
      </c>
      <c r="D4451" s="489" t="s">
        <v>14677</v>
      </c>
      <c r="E4451" s="487" t="s">
        <v>14678</v>
      </c>
      <c r="F4451" s="490">
        <v>29000</v>
      </c>
      <c r="G4451" s="489">
        <v>872</v>
      </c>
      <c r="H4451" s="489">
        <v>33.256880000000002</v>
      </c>
      <c r="I4451" s="487" t="s">
        <v>1499</v>
      </c>
      <c r="J4451" s="487" t="s">
        <v>1035</v>
      </c>
    </row>
    <row r="4452" spans="1:10" ht="15" x14ac:dyDescent="0.2">
      <c r="A4452" s="486" t="s">
        <v>1034</v>
      </c>
      <c r="B4452" s="487" t="s">
        <v>1033</v>
      </c>
      <c r="C4452" s="488" t="s">
        <v>14679</v>
      </c>
      <c r="D4452" s="489" t="s">
        <v>14680</v>
      </c>
      <c r="E4452" s="487" t="s">
        <v>14681</v>
      </c>
      <c r="F4452" s="490">
        <v>1800</v>
      </c>
      <c r="G4452" s="489">
        <v>59.7</v>
      </c>
      <c r="H4452" s="489">
        <v>30.150749999999999</v>
      </c>
      <c r="I4452" s="487" t="s">
        <v>1499</v>
      </c>
      <c r="J4452" s="487" t="s">
        <v>1035</v>
      </c>
    </row>
    <row r="4453" spans="1:10" ht="15" x14ac:dyDescent="0.2">
      <c r="A4453" s="486" t="s">
        <v>1034</v>
      </c>
      <c r="B4453" s="487" t="s">
        <v>1033</v>
      </c>
      <c r="C4453" s="488" t="s">
        <v>14682</v>
      </c>
      <c r="D4453" s="489" t="s">
        <v>14683</v>
      </c>
      <c r="E4453" s="487" t="s">
        <v>14684</v>
      </c>
      <c r="F4453" s="490">
        <v>42963</v>
      </c>
      <c r="G4453" s="489">
        <v>509.2</v>
      </c>
      <c r="H4453" s="489">
        <v>84.373530000000002</v>
      </c>
      <c r="I4453" s="487" t="s">
        <v>1499</v>
      </c>
      <c r="J4453" s="487" t="s">
        <v>1035</v>
      </c>
    </row>
    <row r="4454" spans="1:10" ht="15" x14ac:dyDescent="0.2">
      <c r="A4454" s="486" t="s">
        <v>1034</v>
      </c>
      <c r="B4454" s="487" t="s">
        <v>1033</v>
      </c>
      <c r="C4454" s="488" t="s">
        <v>14685</v>
      </c>
      <c r="D4454" s="489" t="s">
        <v>14686</v>
      </c>
      <c r="E4454" s="487" t="s">
        <v>14687</v>
      </c>
      <c r="F4454" s="490">
        <v>19455</v>
      </c>
      <c r="G4454" s="489">
        <v>139.30000000000001</v>
      </c>
      <c r="H4454" s="489">
        <v>139.6626</v>
      </c>
      <c r="I4454" s="487" t="s">
        <v>1499</v>
      </c>
      <c r="J4454" s="487" t="s">
        <v>1035</v>
      </c>
    </row>
    <row r="4455" spans="1:10" ht="15" x14ac:dyDescent="0.2">
      <c r="A4455" s="486" t="s">
        <v>1034</v>
      </c>
      <c r="B4455" s="487" t="s">
        <v>1033</v>
      </c>
      <c r="C4455" s="488" t="s">
        <v>14688</v>
      </c>
      <c r="D4455" s="489" t="s">
        <v>14689</v>
      </c>
      <c r="E4455" s="487" t="s">
        <v>14690</v>
      </c>
      <c r="F4455" s="490">
        <v>117224.56</v>
      </c>
      <c r="G4455" s="489">
        <v>1166.2</v>
      </c>
      <c r="H4455" s="489">
        <v>100.5184</v>
      </c>
      <c r="I4455" s="487" t="s">
        <v>1499</v>
      </c>
      <c r="J4455" s="487" t="s">
        <v>1035</v>
      </c>
    </row>
    <row r="4456" spans="1:10" ht="15" x14ac:dyDescent="0.2">
      <c r="A4456" s="486" t="s">
        <v>1034</v>
      </c>
      <c r="B4456" s="487" t="s">
        <v>1033</v>
      </c>
      <c r="C4456" s="488" t="s">
        <v>14691</v>
      </c>
      <c r="D4456" s="489" t="s">
        <v>14692</v>
      </c>
      <c r="E4456" s="487" t="s">
        <v>14693</v>
      </c>
      <c r="F4456" s="490">
        <v>8000</v>
      </c>
      <c r="G4456" s="489">
        <v>127.4</v>
      </c>
      <c r="H4456" s="489">
        <v>62.794350000000001</v>
      </c>
      <c r="I4456" s="487" t="s">
        <v>1499</v>
      </c>
      <c r="J4456" s="487" t="s">
        <v>1035</v>
      </c>
    </row>
    <row r="4457" spans="1:10" ht="15" x14ac:dyDescent="0.2">
      <c r="A4457" s="486" t="s">
        <v>1034</v>
      </c>
      <c r="B4457" s="487" t="s">
        <v>1033</v>
      </c>
      <c r="C4457" s="488" t="s">
        <v>14694</v>
      </c>
      <c r="D4457" s="489" t="s">
        <v>14695</v>
      </c>
      <c r="E4457" s="487" t="s">
        <v>14696</v>
      </c>
      <c r="F4457" s="490">
        <v>0</v>
      </c>
      <c r="G4457" s="489">
        <v>43.9</v>
      </c>
      <c r="H4457" s="489">
        <v>0</v>
      </c>
      <c r="I4457" s="487" t="s">
        <v>1593</v>
      </c>
      <c r="J4457" s="487" t="s">
        <v>1035</v>
      </c>
    </row>
    <row r="4458" spans="1:10" ht="15" x14ac:dyDescent="0.2">
      <c r="A4458" s="486" t="s">
        <v>1034</v>
      </c>
      <c r="B4458" s="487" t="s">
        <v>1033</v>
      </c>
      <c r="C4458" s="488" t="s">
        <v>14697</v>
      </c>
      <c r="D4458" s="489" t="s">
        <v>14698</v>
      </c>
      <c r="E4458" s="487" t="s">
        <v>14699</v>
      </c>
      <c r="F4458" s="490">
        <v>5000</v>
      </c>
      <c r="G4458" s="489">
        <v>74.3</v>
      </c>
      <c r="H4458" s="489">
        <v>67.294749999999993</v>
      </c>
      <c r="I4458" s="487" t="s">
        <v>1499</v>
      </c>
      <c r="J4458" s="487" t="s">
        <v>1035</v>
      </c>
    </row>
    <row r="4459" spans="1:10" ht="15" x14ac:dyDescent="0.2">
      <c r="A4459" s="486" t="s">
        <v>1034</v>
      </c>
      <c r="B4459" s="487" t="s">
        <v>1033</v>
      </c>
      <c r="C4459" s="488" t="s">
        <v>14700</v>
      </c>
      <c r="D4459" s="489" t="s">
        <v>14701</v>
      </c>
      <c r="E4459" s="487" t="s">
        <v>14702</v>
      </c>
      <c r="F4459" s="490">
        <v>75000</v>
      </c>
      <c r="G4459" s="489">
        <v>1337.2</v>
      </c>
      <c r="H4459" s="489">
        <v>56.087350000000001</v>
      </c>
      <c r="I4459" s="487" t="s">
        <v>1499</v>
      </c>
      <c r="J4459" s="487" t="s">
        <v>1035</v>
      </c>
    </row>
    <row r="4460" spans="1:10" ht="15" x14ac:dyDescent="0.2">
      <c r="A4460" s="486" t="s">
        <v>1034</v>
      </c>
      <c r="B4460" s="487" t="s">
        <v>1033</v>
      </c>
      <c r="C4460" s="488" t="s">
        <v>14703</v>
      </c>
      <c r="D4460" s="489" t="s">
        <v>14704</v>
      </c>
      <c r="E4460" s="487" t="s">
        <v>14705</v>
      </c>
      <c r="F4460" s="490">
        <v>14000</v>
      </c>
      <c r="G4460" s="489">
        <v>281.2</v>
      </c>
      <c r="H4460" s="489">
        <v>49.786630000000002</v>
      </c>
      <c r="I4460" s="487" t="s">
        <v>1499</v>
      </c>
      <c r="J4460" s="487" t="s">
        <v>1035</v>
      </c>
    </row>
    <row r="4461" spans="1:10" ht="15" x14ac:dyDescent="0.2">
      <c r="A4461" s="486" t="s">
        <v>1034</v>
      </c>
      <c r="B4461" s="487" t="s">
        <v>1033</v>
      </c>
      <c r="C4461" s="488" t="s">
        <v>14706</v>
      </c>
      <c r="D4461" s="489" t="s">
        <v>14707</v>
      </c>
      <c r="E4461" s="487" t="s">
        <v>14708</v>
      </c>
      <c r="F4461" s="490">
        <v>7100</v>
      </c>
      <c r="G4461" s="489">
        <v>95.3</v>
      </c>
      <c r="H4461" s="489">
        <v>74.501570000000001</v>
      </c>
      <c r="I4461" s="487" t="s">
        <v>1499</v>
      </c>
      <c r="J4461" s="487" t="s">
        <v>1035</v>
      </c>
    </row>
    <row r="4462" spans="1:10" ht="15" x14ac:dyDescent="0.2">
      <c r="A4462" s="486" t="s">
        <v>1034</v>
      </c>
      <c r="B4462" s="487" t="s">
        <v>1033</v>
      </c>
      <c r="C4462" s="488" t="s">
        <v>14709</v>
      </c>
      <c r="D4462" s="489" t="s">
        <v>14710</v>
      </c>
      <c r="E4462" s="487" t="s">
        <v>14711</v>
      </c>
      <c r="F4462" s="490">
        <v>38800</v>
      </c>
      <c r="G4462" s="489">
        <v>469.2</v>
      </c>
      <c r="H4462" s="489">
        <v>82.693950000000001</v>
      </c>
      <c r="I4462" s="487" t="s">
        <v>1499</v>
      </c>
      <c r="J4462" s="487" t="s">
        <v>1035</v>
      </c>
    </row>
    <row r="4463" spans="1:10" ht="15" x14ac:dyDescent="0.2">
      <c r="A4463" s="486" t="s">
        <v>1034</v>
      </c>
      <c r="B4463" s="487" t="s">
        <v>1033</v>
      </c>
      <c r="C4463" s="488" t="s">
        <v>14712</v>
      </c>
      <c r="D4463" s="489" t="s">
        <v>14713</v>
      </c>
      <c r="E4463" s="487" t="s">
        <v>14714</v>
      </c>
      <c r="F4463" s="490">
        <v>12500</v>
      </c>
      <c r="G4463" s="489">
        <v>163</v>
      </c>
      <c r="H4463" s="489">
        <v>76.687119999999993</v>
      </c>
      <c r="I4463" s="487" t="s">
        <v>1499</v>
      </c>
      <c r="J4463" s="487" t="s">
        <v>1035</v>
      </c>
    </row>
    <row r="4464" spans="1:10" ht="15" x14ac:dyDescent="0.2">
      <c r="A4464" s="486" t="s">
        <v>1034</v>
      </c>
      <c r="B4464" s="487" t="s">
        <v>1033</v>
      </c>
      <c r="C4464" s="488" t="s">
        <v>14715</v>
      </c>
      <c r="D4464" s="489" t="s">
        <v>14716</v>
      </c>
      <c r="E4464" s="487" t="s">
        <v>14717</v>
      </c>
      <c r="F4464" s="490">
        <v>10000</v>
      </c>
      <c r="G4464" s="489">
        <v>154.1</v>
      </c>
      <c r="H4464" s="489">
        <v>64.892930000000007</v>
      </c>
      <c r="I4464" s="487" t="s">
        <v>1499</v>
      </c>
      <c r="J4464" s="487" t="s">
        <v>1035</v>
      </c>
    </row>
    <row r="4465" spans="1:10" ht="15" x14ac:dyDescent="0.2">
      <c r="A4465" s="486" t="s">
        <v>1034</v>
      </c>
      <c r="B4465" s="487" t="s">
        <v>1033</v>
      </c>
      <c r="C4465" s="488" t="s">
        <v>14718</v>
      </c>
      <c r="D4465" s="489" t="s">
        <v>14719</v>
      </c>
      <c r="E4465" s="487" t="s">
        <v>14720</v>
      </c>
      <c r="F4465" s="490">
        <v>7500</v>
      </c>
      <c r="G4465" s="489">
        <v>93.7</v>
      </c>
      <c r="H4465" s="489">
        <v>80.042689999999993</v>
      </c>
      <c r="I4465" s="487" t="s">
        <v>1499</v>
      </c>
      <c r="J4465" s="487" t="s">
        <v>1035</v>
      </c>
    </row>
    <row r="4466" spans="1:10" ht="15" x14ac:dyDescent="0.2">
      <c r="A4466" s="486" t="s">
        <v>1034</v>
      </c>
      <c r="B4466" s="487" t="s">
        <v>1033</v>
      </c>
      <c r="C4466" s="488" t="s">
        <v>14721</v>
      </c>
      <c r="D4466" s="489" t="s">
        <v>14722</v>
      </c>
      <c r="E4466" s="487" t="s">
        <v>14723</v>
      </c>
      <c r="F4466" s="490">
        <v>35000</v>
      </c>
      <c r="G4466" s="489">
        <v>832.2</v>
      </c>
      <c r="H4466" s="489">
        <v>42.057200000000002</v>
      </c>
      <c r="I4466" s="487" t="s">
        <v>1499</v>
      </c>
      <c r="J4466" s="487" t="s">
        <v>1035</v>
      </c>
    </row>
    <row r="4467" spans="1:10" ht="15" x14ac:dyDescent="0.2">
      <c r="A4467" s="486" t="s">
        <v>1034</v>
      </c>
      <c r="B4467" s="487" t="s">
        <v>1033</v>
      </c>
      <c r="C4467" s="488" t="s">
        <v>14724</v>
      </c>
      <c r="D4467" s="489" t="s">
        <v>14725</v>
      </c>
      <c r="E4467" s="487" t="s">
        <v>14726</v>
      </c>
      <c r="F4467" s="490">
        <v>14550</v>
      </c>
      <c r="G4467" s="489">
        <v>216.1</v>
      </c>
      <c r="H4467" s="489">
        <v>67.329939999999993</v>
      </c>
      <c r="I4467" s="487" t="s">
        <v>1499</v>
      </c>
      <c r="J4467" s="487" t="s">
        <v>1035</v>
      </c>
    </row>
    <row r="4468" spans="1:10" ht="15" x14ac:dyDescent="0.2">
      <c r="A4468" s="486" t="s">
        <v>1034</v>
      </c>
      <c r="B4468" s="487" t="s">
        <v>1033</v>
      </c>
      <c r="C4468" s="488" t="s">
        <v>14727</v>
      </c>
      <c r="D4468" s="489" t="s">
        <v>14728</v>
      </c>
      <c r="E4468" s="487" t="s">
        <v>14729</v>
      </c>
      <c r="F4468" s="490">
        <v>22775</v>
      </c>
      <c r="G4468" s="489">
        <v>321.2</v>
      </c>
      <c r="H4468" s="489">
        <v>70.90598</v>
      </c>
      <c r="I4468" s="487" t="s">
        <v>1499</v>
      </c>
      <c r="J4468" s="487" t="s">
        <v>1035</v>
      </c>
    </row>
    <row r="4469" spans="1:10" ht="15" x14ac:dyDescent="0.2">
      <c r="A4469" s="486" t="s">
        <v>1034</v>
      </c>
      <c r="B4469" s="487" t="s">
        <v>1033</v>
      </c>
      <c r="C4469" s="488" t="s">
        <v>14730</v>
      </c>
      <c r="D4469" s="489" t="s">
        <v>14731</v>
      </c>
      <c r="E4469" s="487" t="s">
        <v>14732</v>
      </c>
      <c r="F4469" s="490">
        <v>3000</v>
      </c>
      <c r="G4469" s="489">
        <v>101.9</v>
      </c>
      <c r="H4469" s="489">
        <v>29.440629999999999</v>
      </c>
      <c r="I4469" s="487" t="s">
        <v>1499</v>
      </c>
      <c r="J4469" s="487" t="s">
        <v>1035</v>
      </c>
    </row>
    <row r="4470" spans="1:10" ht="15" x14ac:dyDescent="0.2">
      <c r="A4470" s="486" t="s">
        <v>1034</v>
      </c>
      <c r="B4470" s="487" t="s">
        <v>1033</v>
      </c>
      <c r="C4470" s="488" t="s">
        <v>14733</v>
      </c>
      <c r="D4470" s="489" t="s">
        <v>14734</v>
      </c>
      <c r="E4470" s="487" t="s">
        <v>14735</v>
      </c>
      <c r="F4470" s="490">
        <v>24000</v>
      </c>
      <c r="G4470" s="489">
        <v>624.5</v>
      </c>
      <c r="H4470" s="489">
        <v>38.43074</v>
      </c>
      <c r="I4470" s="487" t="s">
        <v>1499</v>
      </c>
      <c r="J4470" s="487" t="s">
        <v>1035</v>
      </c>
    </row>
    <row r="4471" spans="1:10" ht="15" x14ac:dyDescent="0.2">
      <c r="A4471" s="486" t="s">
        <v>1034</v>
      </c>
      <c r="B4471" s="487" t="s">
        <v>1033</v>
      </c>
      <c r="C4471" s="488" t="s">
        <v>14736</v>
      </c>
      <c r="D4471" s="489" t="s">
        <v>14737</v>
      </c>
      <c r="E4471" s="487" t="s">
        <v>14738</v>
      </c>
      <c r="F4471" s="490">
        <v>4000</v>
      </c>
      <c r="G4471" s="489">
        <v>291.7</v>
      </c>
      <c r="H4471" s="489">
        <v>13.712719999999999</v>
      </c>
      <c r="I4471" s="487" t="s">
        <v>1499</v>
      </c>
      <c r="J4471" s="487" t="s">
        <v>1035</v>
      </c>
    </row>
    <row r="4472" spans="1:10" ht="15" x14ac:dyDescent="0.2">
      <c r="A4472" s="486" t="s">
        <v>1034</v>
      </c>
      <c r="B4472" s="487" t="s">
        <v>1033</v>
      </c>
      <c r="C4472" s="488" t="s">
        <v>14739</v>
      </c>
      <c r="D4472" s="489" t="s">
        <v>14740</v>
      </c>
      <c r="E4472" s="487" t="s">
        <v>14741</v>
      </c>
      <c r="F4472" s="490">
        <v>6800</v>
      </c>
      <c r="G4472" s="489">
        <v>116.9</v>
      </c>
      <c r="H4472" s="489">
        <v>58.169379999999997</v>
      </c>
      <c r="I4472" s="487" t="s">
        <v>1499</v>
      </c>
      <c r="J4472" s="487" t="s">
        <v>1035</v>
      </c>
    </row>
    <row r="4473" spans="1:10" ht="15" x14ac:dyDescent="0.2">
      <c r="A4473" s="486" t="s">
        <v>1034</v>
      </c>
      <c r="B4473" s="487" t="s">
        <v>1033</v>
      </c>
      <c r="C4473" s="488" t="s">
        <v>14742</v>
      </c>
      <c r="D4473" s="489" t="s">
        <v>14743</v>
      </c>
      <c r="E4473" s="487" t="s">
        <v>14744</v>
      </c>
      <c r="F4473" s="490">
        <v>2567</v>
      </c>
      <c r="G4473" s="489">
        <v>83.4</v>
      </c>
      <c r="H4473" s="489">
        <v>30.77938</v>
      </c>
      <c r="I4473" s="487" t="s">
        <v>1499</v>
      </c>
      <c r="J4473" s="487" t="s">
        <v>1035</v>
      </c>
    </row>
    <row r="4474" spans="1:10" ht="15" x14ac:dyDescent="0.2">
      <c r="A4474" s="486" t="s">
        <v>1034</v>
      </c>
      <c r="B4474" s="487" t="s">
        <v>1033</v>
      </c>
      <c r="C4474" s="488" t="s">
        <v>14745</v>
      </c>
      <c r="D4474" s="489" t="s">
        <v>14746</v>
      </c>
      <c r="E4474" s="487" t="s">
        <v>14747</v>
      </c>
      <c r="F4474" s="490">
        <v>20500</v>
      </c>
      <c r="G4474" s="489">
        <v>339.6</v>
      </c>
      <c r="H4474" s="489">
        <v>60.365139999999997</v>
      </c>
      <c r="I4474" s="487" t="s">
        <v>1499</v>
      </c>
      <c r="J4474" s="487" t="s">
        <v>1035</v>
      </c>
    </row>
    <row r="4475" spans="1:10" ht="15" x14ac:dyDescent="0.2">
      <c r="A4475" s="486" t="s">
        <v>1034</v>
      </c>
      <c r="B4475" s="487" t="s">
        <v>1033</v>
      </c>
      <c r="C4475" s="488" t="s">
        <v>14748</v>
      </c>
      <c r="D4475" s="489" t="s">
        <v>14749</v>
      </c>
      <c r="E4475" s="487" t="s">
        <v>14750</v>
      </c>
      <c r="F4475" s="490">
        <v>131592.45000000001</v>
      </c>
      <c r="G4475" s="489">
        <v>1521.3</v>
      </c>
      <c r="H4475" s="489">
        <v>86.5</v>
      </c>
      <c r="I4475" s="487" t="s">
        <v>1499</v>
      </c>
      <c r="J4475" s="487" t="s">
        <v>1035</v>
      </c>
    </row>
    <row r="4476" spans="1:10" ht="15" x14ac:dyDescent="0.2">
      <c r="A4476" s="486" t="s">
        <v>1034</v>
      </c>
      <c r="B4476" s="487" t="s">
        <v>1033</v>
      </c>
      <c r="C4476" s="488" t="s">
        <v>14751</v>
      </c>
      <c r="D4476" s="489" t="s">
        <v>14752</v>
      </c>
      <c r="E4476" s="487" t="s">
        <v>2059</v>
      </c>
      <c r="F4476" s="490">
        <v>9250</v>
      </c>
      <c r="G4476" s="489">
        <v>212.2</v>
      </c>
      <c r="H4476" s="489">
        <v>43.590949999999999</v>
      </c>
      <c r="I4476" s="487" t="s">
        <v>1499</v>
      </c>
      <c r="J4476" s="487" t="s">
        <v>1035</v>
      </c>
    </row>
    <row r="4477" spans="1:10" ht="15" x14ac:dyDescent="0.2">
      <c r="A4477" s="486" t="s">
        <v>1034</v>
      </c>
      <c r="B4477" s="487" t="s">
        <v>1033</v>
      </c>
      <c r="C4477" s="488" t="s">
        <v>14753</v>
      </c>
      <c r="D4477" s="489" t="s">
        <v>14754</v>
      </c>
      <c r="E4477" s="487" t="s">
        <v>14755</v>
      </c>
      <c r="F4477" s="490">
        <v>16450</v>
      </c>
      <c r="G4477" s="489">
        <v>218</v>
      </c>
      <c r="H4477" s="489">
        <v>75.45872</v>
      </c>
      <c r="I4477" s="487" t="s">
        <v>1499</v>
      </c>
      <c r="J4477" s="487" t="s">
        <v>1035</v>
      </c>
    </row>
    <row r="4478" spans="1:10" ht="15" x14ac:dyDescent="0.2">
      <c r="A4478" s="486" t="s">
        <v>1034</v>
      </c>
      <c r="B4478" s="487" t="s">
        <v>1033</v>
      </c>
      <c r="C4478" s="488" t="s">
        <v>14756</v>
      </c>
      <c r="D4478" s="489" t="s">
        <v>14757</v>
      </c>
      <c r="E4478" s="487" t="s">
        <v>14758</v>
      </c>
      <c r="F4478" s="490">
        <v>16466.63</v>
      </c>
      <c r="G4478" s="489">
        <v>535.5</v>
      </c>
      <c r="H4478" s="489">
        <v>30.75001</v>
      </c>
      <c r="I4478" s="487" t="s">
        <v>1499</v>
      </c>
      <c r="J4478" s="487" t="s">
        <v>1035</v>
      </c>
    </row>
    <row r="4479" spans="1:10" ht="15" x14ac:dyDescent="0.2">
      <c r="A4479" s="486" t="s">
        <v>1034</v>
      </c>
      <c r="B4479" s="487" t="s">
        <v>1033</v>
      </c>
      <c r="C4479" s="488" t="s">
        <v>14759</v>
      </c>
      <c r="D4479" s="489" t="s">
        <v>14760</v>
      </c>
      <c r="E4479" s="487" t="s">
        <v>14761</v>
      </c>
      <c r="F4479" s="490">
        <v>30500</v>
      </c>
      <c r="G4479" s="489">
        <v>182.4</v>
      </c>
      <c r="H4479" s="489">
        <v>167.21491</v>
      </c>
      <c r="I4479" s="487" t="s">
        <v>1499</v>
      </c>
      <c r="J4479" s="487" t="s">
        <v>1035</v>
      </c>
    </row>
    <row r="4480" spans="1:10" ht="15" x14ac:dyDescent="0.2">
      <c r="A4480" s="486" t="s">
        <v>1034</v>
      </c>
      <c r="B4480" s="487" t="s">
        <v>1033</v>
      </c>
      <c r="C4480" s="488" t="s">
        <v>14762</v>
      </c>
      <c r="D4480" s="489" t="s">
        <v>14763</v>
      </c>
      <c r="E4480" s="487" t="s">
        <v>14764</v>
      </c>
      <c r="F4480" s="490">
        <v>0</v>
      </c>
      <c r="G4480" s="489">
        <v>17143.599999999999</v>
      </c>
      <c r="H4480" s="489">
        <v>0</v>
      </c>
      <c r="I4480" s="487" t="s">
        <v>1654</v>
      </c>
      <c r="J4480" s="487" t="s">
        <v>1035</v>
      </c>
    </row>
    <row r="4481" spans="1:10" ht="15" x14ac:dyDescent="0.2">
      <c r="A4481" s="486" t="s">
        <v>901</v>
      </c>
      <c r="B4481" s="487" t="s">
        <v>900</v>
      </c>
      <c r="C4481" s="488" t="s">
        <v>14765</v>
      </c>
      <c r="D4481" s="489" t="s">
        <v>14766</v>
      </c>
      <c r="E4481" s="487" t="s">
        <v>14767</v>
      </c>
      <c r="F4481" s="490">
        <v>19500</v>
      </c>
      <c r="G4481" s="489">
        <v>396.6</v>
      </c>
      <c r="H4481" s="489">
        <v>49.167929999999998</v>
      </c>
      <c r="I4481" s="487" t="s">
        <v>1499</v>
      </c>
      <c r="J4481" s="487" t="s">
        <v>902</v>
      </c>
    </row>
    <row r="4482" spans="1:10" ht="15" x14ac:dyDescent="0.2">
      <c r="A4482" s="486" t="s">
        <v>901</v>
      </c>
      <c r="B4482" s="487" t="s">
        <v>900</v>
      </c>
      <c r="C4482" s="488" t="s">
        <v>14768</v>
      </c>
      <c r="D4482" s="489" t="s">
        <v>14769</v>
      </c>
      <c r="E4482" s="487" t="s">
        <v>14770</v>
      </c>
      <c r="F4482" s="490">
        <v>262398</v>
      </c>
      <c r="G4482" s="489">
        <v>2321.1</v>
      </c>
      <c r="H4482" s="489">
        <v>113.04899</v>
      </c>
      <c r="I4482" s="487" t="s">
        <v>1499</v>
      </c>
      <c r="J4482" s="487" t="s">
        <v>902</v>
      </c>
    </row>
    <row r="4483" spans="1:10" ht="15" x14ac:dyDescent="0.2">
      <c r="A4483" s="486" t="s">
        <v>901</v>
      </c>
      <c r="B4483" s="487" t="s">
        <v>900</v>
      </c>
      <c r="C4483" s="488" t="s">
        <v>14771</v>
      </c>
      <c r="D4483" s="489" t="s">
        <v>14772</v>
      </c>
      <c r="E4483" s="487" t="s">
        <v>14773</v>
      </c>
      <c r="F4483" s="490">
        <v>83270</v>
      </c>
      <c r="G4483" s="489">
        <v>795.1</v>
      </c>
      <c r="H4483" s="489">
        <v>104.72896</v>
      </c>
      <c r="I4483" s="487" t="s">
        <v>1499</v>
      </c>
      <c r="J4483" s="487" t="s">
        <v>902</v>
      </c>
    </row>
    <row r="4484" spans="1:10" ht="15" x14ac:dyDescent="0.2">
      <c r="A4484" s="486" t="s">
        <v>901</v>
      </c>
      <c r="B4484" s="487" t="s">
        <v>900</v>
      </c>
      <c r="C4484" s="488" t="s">
        <v>14774</v>
      </c>
      <c r="D4484" s="489" t="s">
        <v>14775</v>
      </c>
      <c r="E4484" s="487" t="s">
        <v>14776</v>
      </c>
      <c r="F4484" s="490">
        <v>49635</v>
      </c>
      <c r="G4484" s="489">
        <v>940.4</v>
      </c>
      <c r="H4484" s="489">
        <v>52.780729999999998</v>
      </c>
      <c r="I4484" s="487" t="s">
        <v>1499</v>
      </c>
      <c r="J4484" s="487" t="s">
        <v>902</v>
      </c>
    </row>
    <row r="4485" spans="1:10" ht="15" x14ac:dyDescent="0.2">
      <c r="A4485" s="486" t="s">
        <v>901</v>
      </c>
      <c r="B4485" s="487" t="s">
        <v>900</v>
      </c>
      <c r="C4485" s="488" t="s">
        <v>14777</v>
      </c>
      <c r="D4485" s="489" t="s">
        <v>14778</v>
      </c>
      <c r="E4485" s="487" t="s">
        <v>14779</v>
      </c>
      <c r="F4485" s="490">
        <v>20000</v>
      </c>
      <c r="G4485" s="489">
        <v>415.1</v>
      </c>
      <c r="H4485" s="489">
        <v>48.181159999999998</v>
      </c>
      <c r="I4485" s="487" t="s">
        <v>1499</v>
      </c>
      <c r="J4485" s="487" t="s">
        <v>902</v>
      </c>
    </row>
    <row r="4486" spans="1:10" ht="15" x14ac:dyDescent="0.2">
      <c r="A4486" s="486" t="s">
        <v>901</v>
      </c>
      <c r="B4486" s="487" t="s">
        <v>900</v>
      </c>
      <c r="C4486" s="488" t="s">
        <v>14780</v>
      </c>
      <c r="D4486" s="489" t="s">
        <v>14781</v>
      </c>
      <c r="E4486" s="487" t="s">
        <v>14782</v>
      </c>
      <c r="F4486" s="490">
        <v>18500</v>
      </c>
      <c r="G4486" s="489">
        <v>269.10000000000002</v>
      </c>
      <c r="H4486" s="489">
        <v>68.747680000000003</v>
      </c>
      <c r="I4486" s="487" t="s">
        <v>1499</v>
      </c>
      <c r="J4486" s="487" t="s">
        <v>902</v>
      </c>
    </row>
    <row r="4487" spans="1:10" ht="15" x14ac:dyDescent="0.2">
      <c r="A4487" s="486" t="s">
        <v>901</v>
      </c>
      <c r="B4487" s="487" t="s">
        <v>900</v>
      </c>
      <c r="C4487" s="488" t="s">
        <v>14783</v>
      </c>
      <c r="D4487" s="489" t="s">
        <v>14784</v>
      </c>
      <c r="E4487" s="487" t="s">
        <v>14785</v>
      </c>
      <c r="F4487" s="490">
        <v>17118</v>
      </c>
      <c r="G4487" s="489">
        <v>189.4</v>
      </c>
      <c r="H4487" s="489">
        <v>90.38015</v>
      </c>
      <c r="I4487" s="487" t="s">
        <v>1499</v>
      </c>
      <c r="J4487" s="487" t="s">
        <v>902</v>
      </c>
    </row>
    <row r="4488" spans="1:10" ht="15" x14ac:dyDescent="0.2">
      <c r="A4488" s="486" t="s">
        <v>901</v>
      </c>
      <c r="B4488" s="487" t="s">
        <v>900</v>
      </c>
      <c r="C4488" s="488" t="s">
        <v>14786</v>
      </c>
      <c r="D4488" s="489" t="s">
        <v>14787</v>
      </c>
      <c r="E4488" s="487" t="s">
        <v>14788</v>
      </c>
      <c r="F4488" s="490">
        <v>531214</v>
      </c>
      <c r="G4488" s="489">
        <v>4514.3</v>
      </c>
      <c r="H4488" s="489">
        <v>117.67361</v>
      </c>
      <c r="I4488" s="487" t="s">
        <v>1499</v>
      </c>
      <c r="J4488" s="487" t="s">
        <v>902</v>
      </c>
    </row>
    <row r="4489" spans="1:10" ht="15" x14ac:dyDescent="0.2">
      <c r="A4489" s="486" t="s">
        <v>901</v>
      </c>
      <c r="B4489" s="487" t="s">
        <v>900</v>
      </c>
      <c r="C4489" s="488" t="s">
        <v>14789</v>
      </c>
      <c r="D4489" s="489" t="s">
        <v>14790</v>
      </c>
      <c r="E4489" s="487" t="s">
        <v>14791</v>
      </c>
      <c r="F4489" s="490">
        <v>430457</v>
      </c>
      <c r="G4489" s="489">
        <v>2804.7</v>
      </c>
      <c r="H4489" s="489">
        <v>153.47702000000001</v>
      </c>
      <c r="I4489" s="487" t="s">
        <v>1499</v>
      </c>
      <c r="J4489" s="487" t="s">
        <v>902</v>
      </c>
    </row>
    <row r="4490" spans="1:10" ht="15" x14ac:dyDescent="0.2">
      <c r="A4490" s="486" t="s">
        <v>901</v>
      </c>
      <c r="B4490" s="487" t="s">
        <v>900</v>
      </c>
      <c r="C4490" s="488" t="s">
        <v>14792</v>
      </c>
      <c r="D4490" s="489" t="s">
        <v>14793</v>
      </c>
      <c r="E4490" s="487" t="s">
        <v>14794</v>
      </c>
      <c r="F4490" s="490">
        <v>17000</v>
      </c>
      <c r="G4490" s="489">
        <v>452.7</v>
      </c>
      <c r="H4490" s="489">
        <v>37.552460000000004</v>
      </c>
      <c r="I4490" s="487" t="s">
        <v>1499</v>
      </c>
      <c r="J4490" s="487" t="s">
        <v>902</v>
      </c>
    </row>
    <row r="4491" spans="1:10" ht="15" x14ac:dyDescent="0.2">
      <c r="A4491" s="486" t="s">
        <v>901</v>
      </c>
      <c r="B4491" s="487" t="s">
        <v>900</v>
      </c>
      <c r="C4491" s="488" t="s">
        <v>14795</v>
      </c>
      <c r="D4491" s="489" t="s">
        <v>14796</v>
      </c>
      <c r="E4491" s="487" t="s">
        <v>14797</v>
      </c>
      <c r="F4491" s="490">
        <v>557362</v>
      </c>
      <c r="G4491" s="489">
        <v>2801.5</v>
      </c>
      <c r="H4491" s="489">
        <v>198.95128</v>
      </c>
      <c r="I4491" s="487" t="s">
        <v>1499</v>
      </c>
      <c r="J4491" s="487" t="s">
        <v>902</v>
      </c>
    </row>
    <row r="4492" spans="1:10" ht="15" x14ac:dyDescent="0.2">
      <c r="A4492" s="486" t="s">
        <v>901</v>
      </c>
      <c r="B4492" s="487" t="s">
        <v>900</v>
      </c>
      <c r="C4492" s="488" t="s">
        <v>14798</v>
      </c>
      <c r="D4492" s="489" t="s">
        <v>14799</v>
      </c>
      <c r="E4492" s="487" t="s">
        <v>11986</v>
      </c>
      <c r="F4492" s="490">
        <v>47640</v>
      </c>
      <c r="G4492" s="489">
        <v>616.29999999999995</v>
      </c>
      <c r="H4492" s="489">
        <v>77.300020000000004</v>
      </c>
      <c r="I4492" s="487" t="s">
        <v>1499</v>
      </c>
      <c r="J4492" s="487" t="s">
        <v>902</v>
      </c>
    </row>
    <row r="4493" spans="1:10" ht="15" x14ac:dyDescent="0.2">
      <c r="A4493" s="486" t="s">
        <v>901</v>
      </c>
      <c r="B4493" s="487" t="s">
        <v>900</v>
      </c>
      <c r="C4493" s="488" t="s">
        <v>14800</v>
      </c>
      <c r="D4493" s="489" t="s">
        <v>14801</v>
      </c>
      <c r="E4493" s="487" t="s">
        <v>14802</v>
      </c>
      <c r="F4493" s="490">
        <v>61605</v>
      </c>
      <c r="G4493" s="489">
        <v>1032.3</v>
      </c>
      <c r="H4493" s="489">
        <v>59.677419999999998</v>
      </c>
      <c r="I4493" s="487" t="s">
        <v>1499</v>
      </c>
      <c r="J4493" s="487" t="s">
        <v>902</v>
      </c>
    </row>
    <row r="4494" spans="1:10" ht="15" x14ac:dyDescent="0.2">
      <c r="A4494" s="486" t="s">
        <v>901</v>
      </c>
      <c r="B4494" s="487" t="s">
        <v>900</v>
      </c>
      <c r="C4494" s="488" t="s">
        <v>14803</v>
      </c>
      <c r="D4494" s="489" t="s">
        <v>14804</v>
      </c>
      <c r="E4494" s="487" t="s">
        <v>14805</v>
      </c>
      <c r="F4494" s="490">
        <v>20568</v>
      </c>
      <c r="G4494" s="489">
        <v>391.7</v>
      </c>
      <c r="H4494" s="489">
        <v>52.509569999999997</v>
      </c>
      <c r="I4494" s="487" t="s">
        <v>1499</v>
      </c>
      <c r="J4494" s="487" t="s">
        <v>902</v>
      </c>
    </row>
    <row r="4495" spans="1:10" ht="15" x14ac:dyDescent="0.2">
      <c r="A4495" s="486" t="s">
        <v>901</v>
      </c>
      <c r="B4495" s="487" t="s">
        <v>900</v>
      </c>
      <c r="C4495" s="488" t="s">
        <v>14806</v>
      </c>
      <c r="D4495" s="489" t="s">
        <v>14807</v>
      </c>
      <c r="E4495" s="487" t="s">
        <v>14808</v>
      </c>
      <c r="F4495" s="490">
        <v>289582</v>
      </c>
      <c r="G4495" s="489">
        <v>1746.5</v>
      </c>
      <c r="H4495" s="489">
        <v>165.80704</v>
      </c>
      <c r="I4495" s="487" t="s">
        <v>1499</v>
      </c>
      <c r="J4495" s="487" t="s">
        <v>902</v>
      </c>
    </row>
    <row r="4496" spans="1:10" ht="15" x14ac:dyDescent="0.2">
      <c r="A4496" s="486" t="s">
        <v>901</v>
      </c>
      <c r="B4496" s="487" t="s">
        <v>900</v>
      </c>
      <c r="C4496" s="488" t="s">
        <v>14809</v>
      </c>
      <c r="D4496" s="489" t="s">
        <v>14810</v>
      </c>
      <c r="E4496" s="487" t="s">
        <v>14811</v>
      </c>
      <c r="F4496" s="490">
        <v>125183</v>
      </c>
      <c r="G4496" s="489">
        <v>2180.1</v>
      </c>
      <c r="H4496" s="489">
        <v>57.420760000000001</v>
      </c>
      <c r="I4496" s="487" t="s">
        <v>1499</v>
      </c>
      <c r="J4496" s="487" t="s">
        <v>902</v>
      </c>
    </row>
    <row r="4497" spans="1:10" ht="15" x14ac:dyDescent="0.2">
      <c r="A4497" s="486" t="s">
        <v>901</v>
      </c>
      <c r="B4497" s="487" t="s">
        <v>900</v>
      </c>
      <c r="C4497" s="488" t="s">
        <v>14812</v>
      </c>
      <c r="D4497" s="489" t="s">
        <v>14813</v>
      </c>
      <c r="E4497" s="487" t="s">
        <v>14814</v>
      </c>
      <c r="F4497" s="490">
        <v>21500</v>
      </c>
      <c r="G4497" s="489">
        <v>1140</v>
      </c>
      <c r="H4497" s="489">
        <v>18.859649999999998</v>
      </c>
      <c r="I4497" s="487" t="s">
        <v>1499</v>
      </c>
      <c r="J4497" s="487" t="s">
        <v>902</v>
      </c>
    </row>
    <row r="4498" spans="1:10" ht="15" x14ac:dyDescent="0.2">
      <c r="A4498" s="486" t="s">
        <v>901</v>
      </c>
      <c r="B4498" s="487" t="s">
        <v>900</v>
      </c>
      <c r="C4498" s="488" t="s">
        <v>14815</v>
      </c>
      <c r="D4498" s="489" t="s">
        <v>14816</v>
      </c>
      <c r="E4498" s="487" t="s">
        <v>10737</v>
      </c>
      <c r="F4498" s="490">
        <v>840346</v>
      </c>
      <c r="G4498" s="489">
        <v>8380.6</v>
      </c>
      <c r="H4498" s="489">
        <v>100.27276999999999</v>
      </c>
      <c r="I4498" s="487" t="s">
        <v>1499</v>
      </c>
      <c r="J4498" s="487" t="s">
        <v>902</v>
      </c>
    </row>
    <row r="4499" spans="1:10" ht="15" x14ac:dyDescent="0.2">
      <c r="A4499" s="486" t="s">
        <v>901</v>
      </c>
      <c r="B4499" s="487" t="s">
        <v>900</v>
      </c>
      <c r="C4499" s="488" t="s">
        <v>14817</v>
      </c>
      <c r="D4499" s="489" t="s">
        <v>14818</v>
      </c>
      <c r="E4499" s="487" t="s">
        <v>14819</v>
      </c>
      <c r="F4499" s="490">
        <v>53721</v>
      </c>
      <c r="G4499" s="489">
        <v>1048</v>
      </c>
      <c r="H4499" s="489">
        <v>51.2605</v>
      </c>
      <c r="I4499" s="487" t="s">
        <v>1499</v>
      </c>
      <c r="J4499" s="487" t="s">
        <v>902</v>
      </c>
    </row>
    <row r="4500" spans="1:10" ht="15" x14ac:dyDescent="0.2">
      <c r="A4500" s="486" t="s">
        <v>901</v>
      </c>
      <c r="B4500" s="487" t="s">
        <v>900</v>
      </c>
      <c r="C4500" s="488" t="s">
        <v>14820</v>
      </c>
      <c r="D4500" s="489" t="s">
        <v>14821</v>
      </c>
      <c r="E4500" s="487" t="s">
        <v>14822</v>
      </c>
      <c r="F4500" s="490">
        <v>37000</v>
      </c>
      <c r="G4500" s="489">
        <v>885.5</v>
      </c>
      <c r="H4500" s="489">
        <v>41.784300000000002</v>
      </c>
      <c r="I4500" s="487" t="s">
        <v>1499</v>
      </c>
      <c r="J4500" s="487" t="s">
        <v>902</v>
      </c>
    </row>
    <row r="4501" spans="1:10" ht="15" x14ac:dyDescent="0.2">
      <c r="A4501" s="486" t="s">
        <v>901</v>
      </c>
      <c r="B4501" s="487" t="s">
        <v>900</v>
      </c>
      <c r="C4501" s="488" t="s">
        <v>14823</v>
      </c>
      <c r="D4501" s="489" t="s">
        <v>14824</v>
      </c>
      <c r="E4501" s="487" t="s">
        <v>14825</v>
      </c>
      <c r="F4501" s="490">
        <v>13300</v>
      </c>
      <c r="G4501" s="489">
        <v>268.2</v>
      </c>
      <c r="H4501" s="489">
        <v>49.589860000000002</v>
      </c>
      <c r="I4501" s="487" t="s">
        <v>1499</v>
      </c>
      <c r="J4501" s="487" t="s">
        <v>902</v>
      </c>
    </row>
    <row r="4502" spans="1:10" ht="15" x14ac:dyDescent="0.2">
      <c r="A4502" s="486" t="s">
        <v>901</v>
      </c>
      <c r="B4502" s="487" t="s">
        <v>900</v>
      </c>
      <c r="C4502" s="488" t="s">
        <v>14826</v>
      </c>
      <c r="D4502" s="489" t="s">
        <v>14827</v>
      </c>
      <c r="E4502" s="487" t="s">
        <v>14828</v>
      </c>
      <c r="F4502" s="490">
        <v>1567325</v>
      </c>
      <c r="G4502" s="489">
        <v>8488.2999999999993</v>
      </c>
      <c r="H4502" s="489">
        <v>184.64534</v>
      </c>
      <c r="I4502" s="487" t="s">
        <v>1499</v>
      </c>
      <c r="J4502" s="487" t="s">
        <v>902</v>
      </c>
    </row>
    <row r="4503" spans="1:10" ht="15" x14ac:dyDescent="0.2">
      <c r="A4503" s="486" t="s">
        <v>901</v>
      </c>
      <c r="B4503" s="487" t="s">
        <v>900</v>
      </c>
      <c r="C4503" s="488" t="s">
        <v>14829</v>
      </c>
      <c r="D4503" s="489" t="s">
        <v>14830</v>
      </c>
      <c r="E4503" s="487" t="s">
        <v>14831</v>
      </c>
      <c r="F4503" s="490">
        <v>625332</v>
      </c>
      <c r="G4503" s="489">
        <v>2600.5</v>
      </c>
      <c r="H4503" s="489">
        <v>240.46606</v>
      </c>
      <c r="I4503" s="487" t="s">
        <v>1499</v>
      </c>
      <c r="J4503" s="487" t="s">
        <v>902</v>
      </c>
    </row>
    <row r="4504" spans="1:10" ht="15" x14ac:dyDescent="0.2">
      <c r="A4504" s="486" t="s">
        <v>901</v>
      </c>
      <c r="B4504" s="487" t="s">
        <v>900</v>
      </c>
      <c r="C4504" s="488" t="s">
        <v>14832</v>
      </c>
      <c r="D4504" s="489" t="s">
        <v>14833</v>
      </c>
      <c r="E4504" s="487" t="s">
        <v>14834</v>
      </c>
      <c r="F4504" s="490">
        <v>51517</v>
      </c>
      <c r="G4504" s="489">
        <v>815.9</v>
      </c>
      <c r="H4504" s="489">
        <v>63.14132</v>
      </c>
      <c r="I4504" s="487" t="s">
        <v>1499</v>
      </c>
      <c r="J4504" s="487" t="s">
        <v>902</v>
      </c>
    </row>
    <row r="4505" spans="1:10" ht="15" x14ac:dyDescent="0.2">
      <c r="A4505" s="486" t="s">
        <v>901</v>
      </c>
      <c r="B4505" s="487" t="s">
        <v>900</v>
      </c>
      <c r="C4505" s="488" t="s">
        <v>14835</v>
      </c>
      <c r="D4505" s="489" t="s">
        <v>14836</v>
      </c>
      <c r="E4505" s="487" t="s">
        <v>14837</v>
      </c>
      <c r="F4505" s="490">
        <v>425000</v>
      </c>
      <c r="G4505" s="489">
        <v>3795.7</v>
      </c>
      <c r="H4505" s="489">
        <v>111.96881</v>
      </c>
      <c r="I4505" s="487" t="s">
        <v>1499</v>
      </c>
      <c r="J4505" s="487" t="s">
        <v>902</v>
      </c>
    </row>
    <row r="4506" spans="1:10" ht="15" x14ac:dyDescent="0.2">
      <c r="A4506" s="486" t="s">
        <v>901</v>
      </c>
      <c r="B4506" s="487" t="s">
        <v>900</v>
      </c>
      <c r="C4506" s="488" t="s">
        <v>14838</v>
      </c>
      <c r="D4506" s="489" t="s">
        <v>14839</v>
      </c>
      <c r="E4506" s="487" t="s">
        <v>14840</v>
      </c>
      <c r="F4506" s="490">
        <v>18480</v>
      </c>
      <c r="G4506" s="489">
        <v>342.5</v>
      </c>
      <c r="H4506" s="489">
        <v>53.956200000000003</v>
      </c>
      <c r="I4506" s="487" t="s">
        <v>1499</v>
      </c>
      <c r="J4506" s="487" t="s">
        <v>902</v>
      </c>
    </row>
    <row r="4507" spans="1:10" ht="15" x14ac:dyDescent="0.2">
      <c r="A4507" s="486" t="s">
        <v>901</v>
      </c>
      <c r="B4507" s="487" t="s">
        <v>900</v>
      </c>
      <c r="C4507" s="488" t="s">
        <v>14841</v>
      </c>
      <c r="D4507" s="489" t="s">
        <v>14842</v>
      </c>
      <c r="E4507" s="487" t="s">
        <v>1230</v>
      </c>
      <c r="F4507" s="490">
        <v>43424</v>
      </c>
      <c r="G4507" s="489">
        <v>626.79999999999995</v>
      </c>
      <c r="H4507" s="489">
        <v>69.278880000000001</v>
      </c>
      <c r="I4507" s="487" t="s">
        <v>1499</v>
      </c>
      <c r="J4507" s="487" t="s">
        <v>902</v>
      </c>
    </row>
    <row r="4508" spans="1:10" ht="15" x14ac:dyDescent="0.2">
      <c r="A4508" s="486" t="s">
        <v>901</v>
      </c>
      <c r="B4508" s="487" t="s">
        <v>900</v>
      </c>
      <c r="C4508" s="488" t="s">
        <v>14843</v>
      </c>
      <c r="D4508" s="489" t="s">
        <v>14844</v>
      </c>
      <c r="E4508" s="487" t="s">
        <v>14845</v>
      </c>
      <c r="F4508" s="490">
        <v>230000</v>
      </c>
      <c r="G4508" s="489">
        <v>1504.8</v>
      </c>
      <c r="H4508" s="489">
        <v>152.84423000000001</v>
      </c>
      <c r="I4508" s="487" t="s">
        <v>1499</v>
      </c>
      <c r="J4508" s="487" t="s">
        <v>902</v>
      </c>
    </row>
    <row r="4509" spans="1:10" ht="15" x14ac:dyDescent="0.2">
      <c r="A4509" s="486" t="s">
        <v>901</v>
      </c>
      <c r="B4509" s="487" t="s">
        <v>900</v>
      </c>
      <c r="C4509" s="488" t="s">
        <v>14846</v>
      </c>
      <c r="D4509" s="489" t="s">
        <v>14847</v>
      </c>
      <c r="E4509" s="487" t="s">
        <v>14848</v>
      </c>
      <c r="F4509" s="490">
        <v>599033</v>
      </c>
      <c r="G4509" s="489">
        <v>2860.6</v>
      </c>
      <c r="H4509" s="489">
        <v>209.40817000000001</v>
      </c>
      <c r="I4509" s="487" t="s">
        <v>1499</v>
      </c>
      <c r="J4509" s="487" t="s">
        <v>902</v>
      </c>
    </row>
    <row r="4510" spans="1:10" ht="15" x14ac:dyDescent="0.2">
      <c r="A4510" s="486" t="s">
        <v>901</v>
      </c>
      <c r="B4510" s="487" t="s">
        <v>900</v>
      </c>
      <c r="C4510" s="488" t="s">
        <v>14849</v>
      </c>
      <c r="D4510" s="489" t="s">
        <v>14850</v>
      </c>
      <c r="E4510" s="487" t="s">
        <v>14851</v>
      </c>
      <c r="F4510" s="490">
        <v>18000</v>
      </c>
      <c r="G4510" s="489">
        <v>422.8</v>
      </c>
      <c r="H4510" s="489">
        <v>42.573320000000002</v>
      </c>
      <c r="I4510" s="487" t="s">
        <v>1499</v>
      </c>
      <c r="J4510" s="487" t="s">
        <v>902</v>
      </c>
    </row>
    <row r="4511" spans="1:10" ht="15" x14ac:dyDescent="0.2">
      <c r="A4511" s="486" t="s">
        <v>901</v>
      </c>
      <c r="B4511" s="487" t="s">
        <v>900</v>
      </c>
      <c r="C4511" s="488" t="s">
        <v>14852</v>
      </c>
      <c r="D4511" s="489" t="s">
        <v>14853</v>
      </c>
      <c r="E4511" s="487" t="s">
        <v>14854</v>
      </c>
      <c r="F4511" s="490">
        <v>96000</v>
      </c>
      <c r="G4511" s="489">
        <v>1440.9</v>
      </c>
      <c r="H4511" s="489">
        <v>66.625029999999995</v>
      </c>
      <c r="I4511" s="487" t="s">
        <v>1499</v>
      </c>
      <c r="J4511" s="487" t="s">
        <v>902</v>
      </c>
    </row>
    <row r="4512" spans="1:10" ht="15" x14ac:dyDescent="0.2">
      <c r="A4512" s="486" t="s">
        <v>901</v>
      </c>
      <c r="B4512" s="487" t="s">
        <v>900</v>
      </c>
      <c r="C4512" s="488" t="s">
        <v>14855</v>
      </c>
      <c r="D4512" s="489" t="s">
        <v>14856</v>
      </c>
      <c r="E4512" s="487" t="s">
        <v>14857</v>
      </c>
      <c r="F4512" s="490">
        <v>28235</v>
      </c>
      <c r="G4512" s="489">
        <v>620.5</v>
      </c>
      <c r="H4512" s="489">
        <v>45.503630000000001</v>
      </c>
      <c r="I4512" s="487" t="s">
        <v>1499</v>
      </c>
      <c r="J4512" s="487" t="s">
        <v>902</v>
      </c>
    </row>
    <row r="4513" spans="1:10" ht="15" x14ac:dyDescent="0.2">
      <c r="A4513" s="486" t="s">
        <v>901</v>
      </c>
      <c r="B4513" s="487" t="s">
        <v>900</v>
      </c>
      <c r="C4513" s="488" t="s">
        <v>14858</v>
      </c>
      <c r="D4513" s="489" t="s">
        <v>14859</v>
      </c>
      <c r="E4513" s="487" t="s">
        <v>14860</v>
      </c>
      <c r="F4513" s="490">
        <v>71250</v>
      </c>
      <c r="G4513" s="489">
        <v>588.6</v>
      </c>
      <c r="H4513" s="489">
        <v>121.04995</v>
      </c>
      <c r="I4513" s="487" t="s">
        <v>1499</v>
      </c>
      <c r="J4513" s="487" t="s">
        <v>902</v>
      </c>
    </row>
    <row r="4514" spans="1:10" ht="15" x14ac:dyDescent="0.2">
      <c r="A4514" s="486" t="s">
        <v>977</v>
      </c>
      <c r="B4514" s="487" t="s">
        <v>976</v>
      </c>
      <c r="C4514" s="488" t="s">
        <v>14861</v>
      </c>
      <c r="D4514" s="489" t="s">
        <v>14862</v>
      </c>
      <c r="E4514" s="487" t="s">
        <v>5513</v>
      </c>
      <c r="F4514" s="490">
        <v>91900</v>
      </c>
      <c r="G4514" s="489">
        <v>509.39</v>
      </c>
      <c r="H4514" s="489">
        <v>180.41186999999999</v>
      </c>
      <c r="I4514" s="487" t="s">
        <v>1499</v>
      </c>
      <c r="J4514" s="487" t="s">
        <v>978</v>
      </c>
    </row>
    <row r="4515" spans="1:10" ht="15" x14ac:dyDescent="0.2">
      <c r="A4515" s="486" t="s">
        <v>977</v>
      </c>
      <c r="B4515" s="487" t="s">
        <v>976</v>
      </c>
      <c r="C4515" s="488" t="s">
        <v>14863</v>
      </c>
      <c r="D4515" s="489" t="s">
        <v>14864</v>
      </c>
      <c r="E4515" s="487" t="s">
        <v>14865</v>
      </c>
      <c r="F4515" s="490">
        <v>91202</v>
      </c>
      <c r="G4515" s="489">
        <v>2088.33</v>
      </c>
      <c r="H4515" s="489">
        <v>43.672220000000003</v>
      </c>
      <c r="I4515" s="487" t="s">
        <v>1499</v>
      </c>
      <c r="J4515" s="487" t="s">
        <v>978</v>
      </c>
    </row>
    <row r="4516" spans="1:10" ht="15" x14ac:dyDescent="0.2">
      <c r="A4516" s="486" t="s">
        <v>977</v>
      </c>
      <c r="B4516" s="487" t="s">
        <v>976</v>
      </c>
      <c r="C4516" s="488" t="s">
        <v>14866</v>
      </c>
      <c r="D4516" s="489" t="s">
        <v>14867</v>
      </c>
      <c r="E4516" s="487" t="s">
        <v>14868</v>
      </c>
      <c r="F4516" s="490">
        <v>4250</v>
      </c>
      <c r="G4516" s="489">
        <v>91.3</v>
      </c>
      <c r="H4516" s="489">
        <v>46.549840000000003</v>
      </c>
      <c r="I4516" s="487" t="s">
        <v>1499</v>
      </c>
      <c r="J4516" s="487" t="s">
        <v>978</v>
      </c>
    </row>
    <row r="4517" spans="1:10" ht="15" x14ac:dyDescent="0.2">
      <c r="A4517" s="486" t="s">
        <v>977</v>
      </c>
      <c r="B4517" s="487" t="s">
        <v>976</v>
      </c>
      <c r="C4517" s="488" t="s">
        <v>14869</v>
      </c>
      <c r="D4517" s="489" t="s">
        <v>14870</v>
      </c>
      <c r="E4517" s="487" t="s">
        <v>14871</v>
      </c>
      <c r="F4517" s="490">
        <v>62016</v>
      </c>
      <c r="G4517" s="489">
        <v>991.71</v>
      </c>
      <c r="H4517" s="489">
        <v>62.534410000000001</v>
      </c>
      <c r="I4517" s="487" t="s">
        <v>1499</v>
      </c>
      <c r="J4517" s="487" t="s">
        <v>978</v>
      </c>
    </row>
    <row r="4518" spans="1:10" ht="15" x14ac:dyDescent="0.2">
      <c r="A4518" s="486" t="s">
        <v>977</v>
      </c>
      <c r="B4518" s="487" t="s">
        <v>976</v>
      </c>
      <c r="C4518" s="488" t="s">
        <v>14872</v>
      </c>
      <c r="D4518" s="489" t="s">
        <v>14873</v>
      </c>
      <c r="E4518" s="487" t="s">
        <v>14874</v>
      </c>
      <c r="F4518" s="490">
        <v>95173</v>
      </c>
      <c r="G4518" s="489">
        <v>2638.89</v>
      </c>
      <c r="H4518" s="489">
        <v>36.065539999999999</v>
      </c>
      <c r="I4518" s="487" t="s">
        <v>1499</v>
      </c>
      <c r="J4518" s="487" t="s">
        <v>978</v>
      </c>
    </row>
    <row r="4519" spans="1:10" ht="15" x14ac:dyDescent="0.2">
      <c r="A4519" s="486" t="s">
        <v>977</v>
      </c>
      <c r="B4519" s="487" t="s">
        <v>976</v>
      </c>
      <c r="C4519" s="488" t="s">
        <v>14875</v>
      </c>
      <c r="D4519" s="489" t="s">
        <v>14876</v>
      </c>
      <c r="E4519" s="487" t="s">
        <v>14877</v>
      </c>
      <c r="F4519" s="490">
        <v>55000</v>
      </c>
      <c r="G4519" s="489">
        <v>1460.29</v>
      </c>
      <c r="H4519" s="489">
        <v>37.66375</v>
      </c>
      <c r="I4519" s="487" t="s">
        <v>1499</v>
      </c>
      <c r="J4519" s="487" t="s">
        <v>978</v>
      </c>
    </row>
    <row r="4520" spans="1:10" ht="15" x14ac:dyDescent="0.2">
      <c r="A4520" s="486" t="s">
        <v>977</v>
      </c>
      <c r="B4520" s="487" t="s">
        <v>976</v>
      </c>
      <c r="C4520" s="488" t="s">
        <v>14878</v>
      </c>
      <c r="D4520" s="489" t="s">
        <v>14879</v>
      </c>
      <c r="E4520" s="487" t="s">
        <v>14880</v>
      </c>
      <c r="F4520" s="490">
        <v>74400</v>
      </c>
      <c r="G4520" s="489">
        <v>838.92</v>
      </c>
      <c r="H4520" s="489">
        <v>88.685450000000003</v>
      </c>
      <c r="I4520" s="487" t="s">
        <v>1499</v>
      </c>
      <c r="J4520" s="487" t="s">
        <v>978</v>
      </c>
    </row>
    <row r="4521" spans="1:10" ht="15" x14ac:dyDescent="0.2">
      <c r="A4521" s="486" t="s">
        <v>977</v>
      </c>
      <c r="B4521" s="487" t="s">
        <v>976</v>
      </c>
      <c r="C4521" s="488" t="s">
        <v>14881</v>
      </c>
      <c r="D4521" s="489" t="s">
        <v>14882</v>
      </c>
      <c r="E4521" s="487" t="s">
        <v>14883</v>
      </c>
      <c r="F4521" s="490">
        <v>145000</v>
      </c>
      <c r="G4521" s="489">
        <v>4013.02</v>
      </c>
      <c r="H4521" s="489">
        <v>36.132390000000001</v>
      </c>
      <c r="I4521" s="487" t="s">
        <v>1499</v>
      </c>
      <c r="J4521" s="487" t="s">
        <v>978</v>
      </c>
    </row>
    <row r="4522" spans="1:10" ht="15" x14ac:dyDescent="0.2">
      <c r="A4522" s="486" t="s">
        <v>977</v>
      </c>
      <c r="B4522" s="487" t="s">
        <v>976</v>
      </c>
      <c r="C4522" s="488" t="s">
        <v>14884</v>
      </c>
      <c r="D4522" s="489" t="s">
        <v>14885</v>
      </c>
      <c r="E4522" s="487" t="s">
        <v>14886</v>
      </c>
      <c r="F4522" s="490">
        <v>70227</v>
      </c>
      <c r="G4522" s="489">
        <v>445.15</v>
      </c>
      <c r="H4522" s="489">
        <v>157.76031</v>
      </c>
      <c r="I4522" s="487" t="s">
        <v>1499</v>
      </c>
      <c r="J4522" s="487" t="s">
        <v>978</v>
      </c>
    </row>
    <row r="4523" spans="1:10" ht="15" x14ac:dyDescent="0.2">
      <c r="A4523" s="486" t="s">
        <v>977</v>
      </c>
      <c r="B4523" s="487" t="s">
        <v>976</v>
      </c>
      <c r="C4523" s="488" t="s">
        <v>14887</v>
      </c>
      <c r="D4523" s="489" t="s">
        <v>14888</v>
      </c>
      <c r="E4523" s="487" t="s">
        <v>14889</v>
      </c>
      <c r="F4523" s="490">
        <v>18486</v>
      </c>
      <c r="G4523" s="489">
        <v>115.24</v>
      </c>
      <c r="H4523" s="489">
        <v>160.41305</v>
      </c>
      <c r="I4523" s="487" t="s">
        <v>1499</v>
      </c>
      <c r="J4523" s="487" t="s">
        <v>978</v>
      </c>
    </row>
    <row r="4524" spans="1:10" ht="15" x14ac:dyDescent="0.2">
      <c r="A4524" s="486" t="s">
        <v>977</v>
      </c>
      <c r="B4524" s="487" t="s">
        <v>976</v>
      </c>
      <c r="C4524" s="488" t="s">
        <v>14890</v>
      </c>
      <c r="D4524" s="489" t="s">
        <v>14891</v>
      </c>
      <c r="E4524" s="487" t="s">
        <v>4350</v>
      </c>
      <c r="F4524" s="490">
        <v>33300</v>
      </c>
      <c r="G4524" s="489">
        <v>342.7</v>
      </c>
      <c r="H4524" s="489">
        <v>97.169539999999998</v>
      </c>
      <c r="I4524" s="487" t="s">
        <v>1499</v>
      </c>
      <c r="J4524" s="487" t="s">
        <v>978</v>
      </c>
    </row>
    <row r="4525" spans="1:10" ht="15" x14ac:dyDescent="0.2">
      <c r="A4525" s="486" t="s">
        <v>356</v>
      </c>
      <c r="B4525" s="487" t="s">
        <v>355</v>
      </c>
      <c r="C4525" s="488" t="s">
        <v>14892</v>
      </c>
      <c r="D4525" s="489" t="s">
        <v>14893</v>
      </c>
      <c r="E4525" s="487" t="s">
        <v>14894</v>
      </c>
      <c r="F4525" s="490">
        <v>75727</v>
      </c>
      <c r="G4525" s="489">
        <v>635</v>
      </c>
      <c r="H4525" s="489">
        <v>119.25512000000001</v>
      </c>
      <c r="I4525" s="487" t="s">
        <v>1499</v>
      </c>
      <c r="J4525" s="487" t="s">
        <v>357</v>
      </c>
    </row>
    <row r="4526" spans="1:10" ht="15" x14ac:dyDescent="0.2">
      <c r="A4526" s="486" t="s">
        <v>356</v>
      </c>
      <c r="B4526" s="487" t="s">
        <v>355</v>
      </c>
      <c r="C4526" s="488" t="s">
        <v>14895</v>
      </c>
      <c r="D4526" s="489" t="s">
        <v>14896</v>
      </c>
      <c r="E4526" s="487" t="s">
        <v>14897</v>
      </c>
      <c r="F4526" s="490">
        <v>29510</v>
      </c>
      <c r="G4526" s="489">
        <v>379</v>
      </c>
      <c r="H4526" s="489">
        <v>77.862799999999993</v>
      </c>
      <c r="I4526" s="487" t="s">
        <v>1499</v>
      </c>
      <c r="J4526" s="487" t="s">
        <v>357</v>
      </c>
    </row>
    <row r="4527" spans="1:10" ht="15" x14ac:dyDescent="0.2">
      <c r="A4527" s="486" t="s">
        <v>356</v>
      </c>
      <c r="B4527" s="487" t="s">
        <v>355</v>
      </c>
      <c r="C4527" s="488" t="s">
        <v>14898</v>
      </c>
      <c r="D4527" s="489" t="s">
        <v>14899</v>
      </c>
      <c r="E4527" s="487" t="s">
        <v>14900</v>
      </c>
      <c r="F4527" s="490">
        <v>65000</v>
      </c>
      <c r="G4527" s="489">
        <v>770</v>
      </c>
      <c r="H4527" s="489">
        <v>84.415580000000006</v>
      </c>
      <c r="I4527" s="487" t="s">
        <v>1499</v>
      </c>
      <c r="J4527" s="487" t="s">
        <v>357</v>
      </c>
    </row>
    <row r="4528" spans="1:10" ht="15" x14ac:dyDescent="0.2">
      <c r="A4528" s="486" t="s">
        <v>356</v>
      </c>
      <c r="B4528" s="487" t="s">
        <v>355</v>
      </c>
      <c r="C4528" s="488" t="s">
        <v>14901</v>
      </c>
      <c r="D4528" s="489" t="s">
        <v>14902</v>
      </c>
      <c r="E4528" s="487" t="s">
        <v>14903</v>
      </c>
      <c r="F4528" s="490">
        <v>74773.3</v>
      </c>
      <c r="G4528" s="489">
        <v>1273</v>
      </c>
      <c r="H4528" s="489">
        <v>58.737859999999998</v>
      </c>
      <c r="I4528" s="487" t="s">
        <v>1499</v>
      </c>
      <c r="J4528" s="487" t="s">
        <v>357</v>
      </c>
    </row>
    <row r="4529" spans="1:10" ht="15" x14ac:dyDescent="0.2">
      <c r="A4529" s="486" t="s">
        <v>356</v>
      </c>
      <c r="B4529" s="487" t="s">
        <v>355</v>
      </c>
      <c r="C4529" s="488" t="s">
        <v>14904</v>
      </c>
      <c r="D4529" s="489" t="s">
        <v>14905</v>
      </c>
      <c r="E4529" s="487" t="s">
        <v>14906</v>
      </c>
      <c r="F4529" s="490">
        <v>9780</v>
      </c>
      <c r="G4529" s="489">
        <v>154</v>
      </c>
      <c r="H4529" s="489">
        <v>63.506489999999999</v>
      </c>
      <c r="I4529" s="487" t="s">
        <v>1499</v>
      </c>
      <c r="J4529" s="487" t="s">
        <v>357</v>
      </c>
    </row>
    <row r="4530" spans="1:10" ht="15" x14ac:dyDescent="0.2">
      <c r="A4530" s="486" t="s">
        <v>356</v>
      </c>
      <c r="B4530" s="487" t="s">
        <v>355</v>
      </c>
      <c r="C4530" s="488" t="s">
        <v>14907</v>
      </c>
      <c r="D4530" s="489" t="s">
        <v>14908</v>
      </c>
      <c r="E4530" s="487" t="s">
        <v>14909</v>
      </c>
      <c r="F4530" s="490">
        <v>45283.65</v>
      </c>
      <c r="G4530" s="489">
        <v>1082</v>
      </c>
      <c r="H4530" s="489">
        <v>41.851799999999997</v>
      </c>
      <c r="I4530" s="487" t="s">
        <v>1499</v>
      </c>
      <c r="J4530" s="487" t="s">
        <v>357</v>
      </c>
    </row>
    <row r="4531" spans="1:10" ht="15" x14ac:dyDescent="0.2">
      <c r="A4531" s="486" t="s">
        <v>356</v>
      </c>
      <c r="B4531" s="487" t="s">
        <v>355</v>
      </c>
      <c r="C4531" s="488" t="s">
        <v>14910</v>
      </c>
      <c r="D4531" s="489" t="s">
        <v>14911</v>
      </c>
      <c r="E4531" s="487" t="s">
        <v>14912</v>
      </c>
      <c r="F4531" s="490">
        <v>36000</v>
      </c>
      <c r="G4531" s="489">
        <v>624</v>
      </c>
      <c r="H4531" s="489">
        <v>57.692309999999999</v>
      </c>
      <c r="I4531" s="487" t="s">
        <v>1499</v>
      </c>
      <c r="J4531" s="487" t="s">
        <v>357</v>
      </c>
    </row>
    <row r="4532" spans="1:10" ht="15" x14ac:dyDescent="0.2">
      <c r="A4532" s="486" t="s">
        <v>356</v>
      </c>
      <c r="B4532" s="487" t="s">
        <v>355</v>
      </c>
      <c r="C4532" s="488" t="s">
        <v>14913</v>
      </c>
      <c r="D4532" s="489" t="s">
        <v>14914</v>
      </c>
      <c r="E4532" s="487" t="s">
        <v>14915</v>
      </c>
      <c r="F4532" s="490">
        <v>14000</v>
      </c>
      <c r="G4532" s="489">
        <v>151</v>
      </c>
      <c r="H4532" s="489">
        <v>92.715230000000005</v>
      </c>
      <c r="I4532" s="487" t="s">
        <v>1499</v>
      </c>
      <c r="J4532" s="487" t="s">
        <v>357</v>
      </c>
    </row>
    <row r="4533" spans="1:10" ht="15" x14ac:dyDescent="0.2">
      <c r="A4533" s="486" t="s">
        <v>356</v>
      </c>
      <c r="B4533" s="487" t="s">
        <v>355</v>
      </c>
      <c r="C4533" s="488" t="s">
        <v>14916</v>
      </c>
      <c r="D4533" s="489" t="s">
        <v>14917</v>
      </c>
      <c r="E4533" s="487" t="s">
        <v>14918</v>
      </c>
      <c r="F4533" s="490">
        <v>24000</v>
      </c>
      <c r="G4533" s="489">
        <v>549</v>
      </c>
      <c r="H4533" s="489">
        <v>43.715850000000003</v>
      </c>
      <c r="I4533" s="487" t="s">
        <v>1499</v>
      </c>
      <c r="J4533" s="487" t="s">
        <v>357</v>
      </c>
    </row>
    <row r="4534" spans="1:10" ht="15" x14ac:dyDescent="0.2">
      <c r="A4534" s="486" t="s">
        <v>356</v>
      </c>
      <c r="B4534" s="487" t="s">
        <v>355</v>
      </c>
      <c r="C4534" s="488" t="s">
        <v>14919</v>
      </c>
      <c r="D4534" s="489" t="s">
        <v>14920</v>
      </c>
      <c r="E4534" s="487" t="s">
        <v>14921</v>
      </c>
      <c r="F4534" s="490">
        <v>229186.13</v>
      </c>
      <c r="G4534" s="489">
        <v>1380</v>
      </c>
      <c r="H4534" s="489">
        <v>166.07691</v>
      </c>
      <c r="I4534" s="487" t="s">
        <v>1499</v>
      </c>
      <c r="J4534" s="487" t="s">
        <v>357</v>
      </c>
    </row>
    <row r="4535" spans="1:10" ht="15" x14ac:dyDescent="0.2">
      <c r="A4535" s="486" t="s">
        <v>356</v>
      </c>
      <c r="B4535" s="487" t="s">
        <v>355</v>
      </c>
      <c r="C4535" s="488" t="s">
        <v>14922</v>
      </c>
      <c r="D4535" s="489" t="s">
        <v>14923</v>
      </c>
      <c r="E4535" s="487" t="s">
        <v>14924</v>
      </c>
      <c r="F4535" s="490">
        <v>56686.09</v>
      </c>
      <c r="G4535" s="489">
        <v>781</v>
      </c>
      <c r="H4535" s="489">
        <v>72.581419999999994</v>
      </c>
      <c r="I4535" s="487" t="s">
        <v>1499</v>
      </c>
      <c r="J4535" s="487" t="s">
        <v>357</v>
      </c>
    </row>
    <row r="4536" spans="1:10" ht="15" x14ac:dyDescent="0.2">
      <c r="A4536" s="486" t="s">
        <v>356</v>
      </c>
      <c r="B4536" s="487" t="s">
        <v>355</v>
      </c>
      <c r="C4536" s="488" t="s">
        <v>14925</v>
      </c>
      <c r="D4536" s="489" t="s">
        <v>14926</v>
      </c>
      <c r="E4536" s="487" t="s">
        <v>14927</v>
      </c>
      <c r="F4536" s="490">
        <v>700</v>
      </c>
      <c r="G4536" s="489">
        <v>94</v>
      </c>
      <c r="H4536" s="489">
        <v>7.4468100000000002</v>
      </c>
      <c r="I4536" s="487" t="s">
        <v>1499</v>
      </c>
      <c r="J4536" s="487" t="s">
        <v>357</v>
      </c>
    </row>
    <row r="4537" spans="1:10" ht="15" x14ac:dyDescent="0.2">
      <c r="A4537" s="486" t="s">
        <v>356</v>
      </c>
      <c r="B4537" s="487" t="s">
        <v>355</v>
      </c>
      <c r="C4537" s="488" t="s">
        <v>14928</v>
      </c>
      <c r="D4537" s="489" t="s">
        <v>14929</v>
      </c>
      <c r="E4537" s="487" t="s">
        <v>14930</v>
      </c>
      <c r="F4537" s="490">
        <v>50680</v>
      </c>
      <c r="G4537" s="489">
        <v>531</v>
      </c>
      <c r="H4537" s="489">
        <v>95.44256</v>
      </c>
      <c r="I4537" s="487" t="s">
        <v>1499</v>
      </c>
      <c r="J4537" s="487" t="s">
        <v>357</v>
      </c>
    </row>
    <row r="4538" spans="1:10" ht="15" x14ac:dyDescent="0.2">
      <c r="A4538" s="486" t="s">
        <v>356</v>
      </c>
      <c r="B4538" s="487" t="s">
        <v>355</v>
      </c>
      <c r="C4538" s="488" t="s">
        <v>14931</v>
      </c>
      <c r="D4538" s="489" t="s">
        <v>14932</v>
      </c>
      <c r="E4538" s="487" t="s">
        <v>14933</v>
      </c>
      <c r="F4538" s="490">
        <v>10000</v>
      </c>
      <c r="G4538" s="489">
        <v>177</v>
      </c>
      <c r="H4538" s="489">
        <v>56.49718</v>
      </c>
      <c r="I4538" s="487" t="s">
        <v>1499</v>
      </c>
      <c r="J4538" s="487" t="s">
        <v>357</v>
      </c>
    </row>
    <row r="4539" spans="1:10" ht="15" x14ac:dyDescent="0.2">
      <c r="A4539" s="486" t="s">
        <v>356</v>
      </c>
      <c r="B4539" s="487" t="s">
        <v>355</v>
      </c>
      <c r="C4539" s="488" t="s">
        <v>14934</v>
      </c>
      <c r="D4539" s="489" t="s">
        <v>14935</v>
      </c>
      <c r="E4539" s="487" t="s">
        <v>14936</v>
      </c>
      <c r="F4539" s="490">
        <v>391235</v>
      </c>
      <c r="G4539" s="489">
        <v>2964</v>
      </c>
      <c r="H4539" s="489">
        <v>131.99561</v>
      </c>
      <c r="I4539" s="487" t="s">
        <v>1499</v>
      </c>
      <c r="J4539" s="487" t="s">
        <v>357</v>
      </c>
    </row>
    <row r="4540" spans="1:10" ht="15" x14ac:dyDescent="0.2">
      <c r="A4540" s="486" t="s">
        <v>356</v>
      </c>
      <c r="B4540" s="487" t="s">
        <v>355</v>
      </c>
      <c r="C4540" s="488" t="s">
        <v>14937</v>
      </c>
      <c r="D4540" s="489" t="s">
        <v>14938</v>
      </c>
      <c r="E4540" s="487" t="s">
        <v>14939</v>
      </c>
      <c r="F4540" s="490">
        <v>6200</v>
      </c>
      <c r="G4540" s="489">
        <v>118</v>
      </c>
      <c r="H4540" s="489">
        <v>52.542369999999998</v>
      </c>
      <c r="I4540" s="487" t="s">
        <v>1499</v>
      </c>
      <c r="J4540" s="487" t="s">
        <v>357</v>
      </c>
    </row>
    <row r="4541" spans="1:10" ht="15" x14ac:dyDescent="0.2">
      <c r="A4541" s="486" t="s">
        <v>356</v>
      </c>
      <c r="B4541" s="487" t="s">
        <v>355</v>
      </c>
      <c r="C4541" s="488" t="s">
        <v>14940</v>
      </c>
      <c r="D4541" s="489" t="s">
        <v>14941</v>
      </c>
      <c r="E4541" s="487" t="s">
        <v>14942</v>
      </c>
      <c r="F4541" s="490">
        <v>40000</v>
      </c>
      <c r="G4541" s="489">
        <v>832</v>
      </c>
      <c r="H4541" s="489">
        <v>48.076920000000001</v>
      </c>
      <c r="I4541" s="487" t="s">
        <v>1499</v>
      </c>
      <c r="J4541" s="487" t="s">
        <v>357</v>
      </c>
    </row>
    <row r="4542" spans="1:10" ht="15" x14ac:dyDescent="0.2">
      <c r="A4542" s="486" t="s">
        <v>356</v>
      </c>
      <c r="B4542" s="487" t="s">
        <v>355</v>
      </c>
      <c r="C4542" s="488" t="s">
        <v>14943</v>
      </c>
      <c r="D4542" s="489" t="s">
        <v>14944</v>
      </c>
      <c r="E4542" s="487" t="s">
        <v>14945</v>
      </c>
      <c r="F4542" s="490">
        <v>15500</v>
      </c>
      <c r="G4542" s="489">
        <v>265</v>
      </c>
      <c r="H4542" s="489">
        <v>58.490569999999998</v>
      </c>
      <c r="I4542" s="487" t="s">
        <v>1499</v>
      </c>
      <c r="J4542" s="487" t="s">
        <v>357</v>
      </c>
    </row>
    <row r="4543" spans="1:10" ht="15" x14ac:dyDescent="0.2">
      <c r="A4543" s="486" t="s">
        <v>356</v>
      </c>
      <c r="B4543" s="487" t="s">
        <v>355</v>
      </c>
      <c r="C4543" s="488" t="s">
        <v>14946</v>
      </c>
      <c r="D4543" s="489" t="s">
        <v>14947</v>
      </c>
      <c r="E4543" s="487" t="s">
        <v>14948</v>
      </c>
      <c r="F4543" s="490">
        <v>7100</v>
      </c>
      <c r="G4543" s="489">
        <v>114</v>
      </c>
      <c r="H4543" s="489">
        <v>62.280700000000003</v>
      </c>
      <c r="I4543" s="487" t="s">
        <v>1499</v>
      </c>
      <c r="J4543" s="487" t="s">
        <v>357</v>
      </c>
    </row>
    <row r="4544" spans="1:10" ht="15" x14ac:dyDescent="0.2">
      <c r="A4544" s="486" t="s">
        <v>356</v>
      </c>
      <c r="B4544" s="487" t="s">
        <v>355</v>
      </c>
      <c r="C4544" s="488" t="s">
        <v>14949</v>
      </c>
      <c r="D4544" s="489" t="s">
        <v>14950</v>
      </c>
      <c r="E4544" s="487" t="s">
        <v>14951</v>
      </c>
      <c r="F4544" s="490">
        <v>115000</v>
      </c>
      <c r="G4544" s="489">
        <v>3944</v>
      </c>
      <c r="H4544" s="489">
        <v>29.15822</v>
      </c>
      <c r="I4544" s="487" t="s">
        <v>1499</v>
      </c>
      <c r="J4544" s="487" t="s">
        <v>357</v>
      </c>
    </row>
    <row r="4545" spans="1:10" ht="15" x14ac:dyDescent="0.2">
      <c r="A4545" s="486" t="s">
        <v>356</v>
      </c>
      <c r="B4545" s="487" t="s">
        <v>355</v>
      </c>
      <c r="C4545" s="488" t="s">
        <v>14952</v>
      </c>
      <c r="D4545" s="489" t="s">
        <v>14953</v>
      </c>
      <c r="E4545" s="487" t="s">
        <v>14954</v>
      </c>
      <c r="F4545" s="490">
        <v>264047.52</v>
      </c>
      <c r="G4545" s="489">
        <v>4652</v>
      </c>
      <c r="H4545" s="489">
        <v>56.76</v>
      </c>
      <c r="I4545" s="487" t="s">
        <v>1499</v>
      </c>
      <c r="J4545" s="487" t="s">
        <v>357</v>
      </c>
    </row>
    <row r="4546" spans="1:10" ht="15" x14ac:dyDescent="0.2">
      <c r="A4546" s="486" t="s">
        <v>356</v>
      </c>
      <c r="B4546" s="487" t="s">
        <v>355</v>
      </c>
      <c r="C4546" s="488" t="s">
        <v>14955</v>
      </c>
      <c r="D4546" s="489" t="s">
        <v>14956</v>
      </c>
      <c r="E4546" s="487" t="s">
        <v>14957</v>
      </c>
      <c r="F4546" s="490">
        <v>7000</v>
      </c>
      <c r="G4546" s="489">
        <v>136</v>
      </c>
      <c r="H4546" s="489">
        <v>51.470590000000001</v>
      </c>
      <c r="I4546" s="487" t="s">
        <v>1499</v>
      </c>
      <c r="J4546" s="487" t="s">
        <v>357</v>
      </c>
    </row>
    <row r="4547" spans="1:10" ht="15" x14ac:dyDescent="0.2">
      <c r="A4547" s="486" t="s">
        <v>356</v>
      </c>
      <c r="B4547" s="487" t="s">
        <v>355</v>
      </c>
      <c r="C4547" s="488" t="s">
        <v>14958</v>
      </c>
      <c r="D4547" s="489" t="s">
        <v>14959</v>
      </c>
      <c r="E4547" s="487" t="s">
        <v>14960</v>
      </c>
      <c r="F4547" s="490">
        <v>4770</v>
      </c>
      <c r="G4547" s="489">
        <v>116</v>
      </c>
      <c r="H4547" s="489">
        <v>41.120690000000003</v>
      </c>
      <c r="I4547" s="487" t="s">
        <v>1499</v>
      </c>
      <c r="J4547" s="487" t="s">
        <v>357</v>
      </c>
    </row>
    <row r="4548" spans="1:10" ht="15" x14ac:dyDescent="0.2">
      <c r="A4548" s="486" t="s">
        <v>356</v>
      </c>
      <c r="B4548" s="487" t="s">
        <v>355</v>
      </c>
      <c r="C4548" s="488" t="s">
        <v>14961</v>
      </c>
      <c r="D4548" s="489" t="s">
        <v>14962</v>
      </c>
      <c r="E4548" s="487" t="s">
        <v>14963</v>
      </c>
      <c r="F4548" s="490">
        <v>10260</v>
      </c>
      <c r="G4548" s="489">
        <v>107</v>
      </c>
      <c r="H4548" s="489">
        <v>95.88785</v>
      </c>
      <c r="I4548" s="487" t="s">
        <v>1499</v>
      </c>
      <c r="J4548" s="487" t="s">
        <v>357</v>
      </c>
    </row>
    <row r="4549" spans="1:10" ht="15" x14ac:dyDescent="0.2">
      <c r="A4549" s="486" t="s">
        <v>356</v>
      </c>
      <c r="B4549" s="487" t="s">
        <v>355</v>
      </c>
      <c r="C4549" s="488" t="s">
        <v>14964</v>
      </c>
      <c r="D4549" s="489" t="s">
        <v>14965</v>
      </c>
      <c r="E4549" s="487" t="s">
        <v>14966</v>
      </c>
      <c r="F4549" s="490">
        <v>32272</v>
      </c>
      <c r="G4549" s="489">
        <v>665</v>
      </c>
      <c r="H4549" s="489">
        <v>48.529319999999998</v>
      </c>
      <c r="I4549" s="487" t="s">
        <v>1499</v>
      </c>
      <c r="J4549" s="487" t="s">
        <v>357</v>
      </c>
    </row>
    <row r="4550" spans="1:10" ht="15" x14ac:dyDescent="0.2">
      <c r="A4550" s="486" t="s">
        <v>356</v>
      </c>
      <c r="B4550" s="487" t="s">
        <v>355</v>
      </c>
      <c r="C4550" s="488" t="s">
        <v>14967</v>
      </c>
      <c r="D4550" s="489" t="s">
        <v>14968</v>
      </c>
      <c r="E4550" s="487" t="s">
        <v>14969</v>
      </c>
      <c r="F4550" s="490">
        <v>52762</v>
      </c>
      <c r="G4550" s="489">
        <v>527</v>
      </c>
      <c r="H4550" s="489">
        <v>100.11765</v>
      </c>
      <c r="I4550" s="487" t="s">
        <v>1499</v>
      </c>
      <c r="J4550" s="487" t="s">
        <v>357</v>
      </c>
    </row>
    <row r="4551" spans="1:10" ht="15" x14ac:dyDescent="0.2">
      <c r="A4551" s="486" t="s">
        <v>356</v>
      </c>
      <c r="B4551" s="487" t="s">
        <v>355</v>
      </c>
      <c r="C4551" s="488" t="s">
        <v>14970</v>
      </c>
      <c r="D4551" s="489" t="s">
        <v>14971</v>
      </c>
      <c r="E4551" s="487" t="s">
        <v>14972</v>
      </c>
      <c r="F4551" s="490">
        <v>40500</v>
      </c>
      <c r="G4551" s="489">
        <v>716</v>
      </c>
      <c r="H4551" s="489">
        <v>56.564250000000001</v>
      </c>
      <c r="I4551" s="487" t="s">
        <v>1499</v>
      </c>
      <c r="J4551" s="487" t="s">
        <v>357</v>
      </c>
    </row>
    <row r="4552" spans="1:10" ht="15" x14ac:dyDescent="0.2">
      <c r="A4552" s="486" t="s">
        <v>356</v>
      </c>
      <c r="B4552" s="487" t="s">
        <v>355</v>
      </c>
      <c r="C4552" s="488" t="s">
        <v>14973</v>
      </c>
      <c r="D4552" s="489" t="s">
        <v>14974</v>
      </c>
      <c r="E4552" s="487" t="s">
        <v>14975</v>
      </c>
      <c r="F4552" s="490">
        <v>19987</v>
      </c>
      <c r="G4552" s="489">
        <v>355</v>
      </c>
      <c r="H4552" s="489">
        <v>56.301409999999997</v>
      </c>
      <c r="I4552" s="487" t="s">
        <v>1499</v>
      </c>
      <c r="J4552" s="487" t="s">
        <v>357</v>
      </c>
    </row>
    <row r="4553" spans="1:10" ht="15" x14ac:dyDescent="0.2">
      <c r="A4553" s="486" t="s">
        <v>356</v>
      </c>
      <c r="B4553" s="487" t="s">
        <v>355</v>
      </c>
      <c r="C4553" s="488" t="s">
        <v>14976</v>
      </c>
      <c r="D4553" s="489" t="s">
        <v>14977</v>
      </c>
      <c r="E4553" s="487" t="s">
        <v>14978</v>
      </c>
      <c r="F4553" s="490">
        <v>24100</v>
      </c>
      <c r="G4553" s="489">
        <v>571</v>
      </c>
      <c r="H4553" s="489">
        <v>42.206650000000003</v>
      </c>
      <c r="I4553" s="487" t="s">
        <v>1499</v>
      </c>
      <c r="J4553" s="487" t="s">
        <v>357</v>
      </c>
    </row>
    <row r="4554" spans="1:10" ht="15" x14ac:dyDescent="0.2">
      <c r="A4554" s="486" t="s">
        <v>356</v>
      </c>
      <c r="B4554" s="487" t="s">
        <v>355</v>
      </c>
      <c r="C4554" s="488" t="s">
        <v>14979</v>
      </c>
      <c r="D4554" s="489" t="s">
        <v>14980</v>
      </c>
      <c r="E4554" s="487" t="s">
        <v>14981</v>
      </c>
      <c r="F4554" s="490">
        <v>67000</v>
      </c>
      <c r="G4554" s="489">
        <v>720</v>
      </c>
      <c r="H4554" s="489">
        <v>93.05556</v>
      </c>
      <c r="I4554" s="487" t="s">
        <v>1499</v>
      </c>
      <c r="J4554" s="487" t="s">
        <v>357</v>
      </c>
    </row>
    <row r="4555" spans="1:10" ht="15" x14ac:dyDescent="0.2">
      <c r="A4555" s="486" t="s">
        <v>356</v>
      </c>
      <c r="B4555" s="487" t="s">
        <v>355</v>
      </c>
      <c r="C4555" s="488" t="s">
        <v>14982</v>
      </c>
      <c r="D4555" s="489" t="s">
        <v>14983</v>
      </c>
      <c r="E4555" s="487" t="s">
        <v>14984</v>
      </c>
      <c r="F4555" s="490">
        <v>20000</v>
      </c>
      <c r="G4555" s="489">
        <v>377</v>
      </c>
      <c r="H4555" s="489">
        <v>53.050400000000003</v>
      </c>
      <c r="I4555" s="487" t="s">
        <v>1499</v>
      </c>
      <c r="J4555" s="487" t="s">
        <v>357</v>
      </c>
    </row>
    <row r="4556" spans="1:10" ht="15" x14ac:dyDescent="0.2">
      <c r="A4556" s="486" t="s">
        <v>356</v>
      </c>
      <c r="B4556" s="487" t="s">
        <v>355</v>
      </c>
      <c r="C4556" s="488" t="s">
        <v>14985</v>
      </c>
      <c r="D4556" s="489" t="s">
        <v>14986</v>
      </c>
      <c r="E4556" s="487" t="s">
        <v>14987</v>
      </c>
      <c r="F4556" s="490">
        <v>110983</v>
      </c>
      <c r="G4556" s="489">
        <v>1254</v>
      </c>
      <c r="H4556" s="489">
        <v>88.503190000000004</v>
      </c>
      <c r="I4556" s="487" t="s">
        <v>1499</v>
      </c>
      <c r="J4556" s="487" t="s">
        <v>357</v>
      </c>
    </row>
    <row r="4557" spans="1:10" ht="15" x14ac:dyDescent="0.2">
      <c r="A4557" s="486" t="s">
        <v>356</v>
      </c>
      <c r="B4557" s="487" t="s">
        <v>355</v>
      </c>
      <c r="C4557" s="488" t="s">
        <v>14988</v>
      </c>
      <c r="D4557" s="489" t="s">
        <v>14989</v>
      </c>
      <c r="E4557" s="487" t="s">
        <v>9503</v>
      </c>
      <c r="F4557" s="490">
        <v>20000</v>
      </c>
      <c r="G4557" s="489">
        <v>751</v>
      </c>
      <c r="H4557" s="489">
        <v>26.631160000000001</v>
      </c>
      <c r="I4557" s="487" t="s">
        <v>1499</v>
      </c>
      <c r="J4557" s="487" t="s">
        <v>357</v>
      </c>
    </row>
    <row r="4558" spans="1:10" ht="15" x14ac:dyDescent="0.2">
      <c r="A4558" s="486" t="s">
        <v>356</v>
      </c>
      <c r="B4558" s="487" t="s">
        <v>355</v>
      </c>
      <c r="C4558" s="488" t="s">
        <v>14990</v>
      </c>
      <c r="D4558" s="489" t="s">
        <v>14991</v>
      </c>
      <c r="E4558" s="487" t="s">
        <v>14992</v>
      </c>
      <c r="F4558" s="490">
        <v>6375</v>
      </c>
      <c r="G4558" s="489">
        <v>216</v>
      </c>
      <c r="H4558" s="489">
        <v>29.51389</v>
      </c>
      <c r="I4558" s="487" t="s">
        <v>1499</v>
      </c>
      <c r="J4558" s="487" t="s">
        <v>357</v>
      </c>
    </row>
    <row r="4559" spans="1:10" ht="15" x14ac:dyDescent="0.2">
      <c r="A4559" s="486" t="s">
        <v>356</v>
      </c>
      <c r="B4559" s="487" t="s">
        <v>355</v>
      </c>
      <c r="C4559" s="488" t="s">
        <v>14993</v>
      </c>
      <c r="D4559" s="489" t="s">
        <v>14994</v>
      </c>
      <c r="E4559" s="487" t="s">
        <v>14995</v>
      </c>
      <c r="F4559" s="490">
        <v>710372</v>
      </c>
      <c r="G4559" s="489">
        <v>3917</v>
      </c>
      <c r="H4559" s="489">
        <v>181.35614000000001</v>
      </c>
      <c r="I4559" s="487" t="s">
        <v>1499</v>
      </c>
      <c r="J4559" s="487" t="s">
        <v>357</v>
      </c>
    </row>
    <row r="4560" spans="1:10" ht="15" x14ac:dyDescent="0.2">
      <c r="A4560" s="486" t="s">
        <v>356</v>
      </c>
      <c r="B4560" s="487" t="s">
        <v>355</v>
      </c>
      <c r="C4560" s="488" t="s">
        <v>14996</v>
      </c>
      <c r="D4560" s="489" t="s">
        <v>14997</v>
      </c>
      <c r="E4560" s="487" t="s">
        <v>14998</v>
      </c>
      <c r="F4560" s="490">
        <v>7700</v>
      </c>
      <c r="G4560" s="489">
        <v>226</v>
      </c>
      <c r="H4560" s="489">
        <v>34.070799999999998</v>
      </c>
      <c r="I4560" s="487" t="s">
        <v>1499</v>
      </c>
      <c r="J4560" s="487" t="s">
        <v>357</v>
      </c>
    </row>
    <row r="4561" spans="1:10" ht="15" x14ac:dyDescent="0.2">
      <c r="A4561" s="486" t="s">
        <v>356</v>
      </c>
      <c r="B4561" s="487" t="s">
        <v>355</v>
      </c>
      <c r="C4561" s="488" t="s">
        <v>14999</v>
      </c>
      <c r="D4561" s="489" t="s">
        <v>15000</v>
      </c>
      <c r="E4561" s="487" t="s">
        <v>15001</v>
      </c>
      <c r="F4561" s="490">
        <v>32017</v>
      </c>
      <c r="G4561" s="489">
        <v>504</v>
      </c>
      <c r="H4561" s="489">
        <v>63.525790000000001</v>
      </c>
      <c r="I4561" s="487" t="s">
        <v>1499</v>
      </c>
      <c r="J4561" s="487" t="s">
        <v>357</v>
      </c>
    </row>
    <row r="4562" spans="1:10" ht="15" x14ac:dyDescent="0.2">
      <c r="A4562" s="486" t="s">
        <v>356</v>
      </c>
      <c r="B4562" s="487" t="s">
        <v>355</v>
      </c>
      <c r="C4562" s="488" t="s">
        <v>15002</v>
      </c>
      <c r="D4562" s="489" t="s">
        <v>15003</v>
      </c>
      <c r="E4562" s="487" t="s">
        <v>15004</v>
      </c>
      <c r="F4562" s="490">
        <v>37700</v>
      </c>
      <c r="G4562" s="489">
        <v>545</v>
      </c>
      <c r="H4562" s="489">
        <v>69.174310000000006</v>
      </c>
      <c r="I4562" s="487" t="s">
        <v>1499</v>
      </c>
      <c r="J4562" s="487" t="s">
        <v>357</v>
      </c>
    </row>
    <row r="4563" spans="1:10" ht="15" x14ac:dyDescent="0.2">
      <c r="A4563" s="486" t="s">
        <v>356</v>
      </c>
      <c r="B4563" s="487" t="s">
        <v>355</v>
      </c>
      <c r="C4563" s="488" t="s">
        <v>15005</v>
      </c>
      <c r="D4563" s="489" t="s">
        <v>15006</v>
      </c>
      <c r="E4563" s="487" t="s">
        <v>15007</v>
      </c>
      <c r="F4563" s="490">
        <v>44650</v>
      </c>
      <c r="G4563" s="489">
        <v>865</v>
      </c>
      <c r="H4563" s="489">
        <v>51.618499999999997</v>
      </c>
      <c r="I4563" s="487" t="s">
        <v>1499</v>
      </c>
      <c r="J4563" s="487" t="s">
        <v>357</v>
      </c>
    </row>
    <row r="4564" spans="1:10" ht="15" x14ac:dyDescent="0.2">
      <c r="A4564" s="486" t="s">
        <v>356</v>
      </c>
      <c r="B4564" s="487" t="s">
        <v>355</v>
      </c>
      <c r="C4564" s="488" t="s">
        <v>15008</v>
      </c>
      <c r="D4564" s="489" t="s">
        <v>15009</v>
      </c>
      <c r="E4564" s="487" t="s">
        <v>15010</v>
      </c>
      <c r="F4564" s="490">
        <v>180128</v>
      </c>
      <c r="G4564" s="489">
        <v>1054</v>
      </c>
      <c r="H4564" s="489">
        <v>170.89943</v>
      </c>
      <c r="I4564" s="487" t="s">
        <v>1499</v>
      </c>
      <c r="J4564" s="487" t="s">
        <v>357</v>
      </c>
    </row>
    <row r="4565" spans="1:10" ht="15" x14ac:dyDescent="0.2">
      <c r="A4565" s="486" t="s">
        <v>356</v>
      </c>
      <c r="B4565" s="487" t="s">
        <v>355</v>
      </c>
      <c r="C4565" s="488" t="s">
        <v>15011</v>
      </c>
      <c r="D4565" s="489" t="s">
        <v>15012</v>
      </c>
      <c r="E4565" s="487" t="s">
        <v>15013</v>
      </c>
      <c r="F4565" s="490">
        <v>26000</v>
      </c>
      <c r="G4565" s="489">
        <v>548</v>
      </c>
      <c r="H4565" s="489">
        <v>47.445259999999998</v>
      </c>
      <c r="I4565" s="487" t="s">
        <v>1499</v>
      </c>
      <c r="J4565" s="487" t="s">
        <v>357</v>
      </c>
    </row>
    <row r="4566" spans="1:10" ht="15" x14ac:dyDescent="0.2">
      <c r="A4566" s="486" t="s">
        <v>356</v>
      </c>
      <c r="B4566" s="487" t="s">
        <v>355</v>
      </c>
      <c r="C4566" s="488" t="s">
        <v>15014</v>
      </c>
      <c r="D4566" s="489" t="s">
        <v>15015</v>
      </c>
      <c r="E4566" s="487" t="s">
        <v>15016</v>
      </c>
      <c r="F4566" s="490">
        <v>14517</v>
      </c>
      <c r="G4566" s="489">
        <v>878</v>
      </c>
      <c r="H4566" s="489">
        <v>16.53417</v>
      </c>
      <c r="I4566" s="487" t="s">
        <v>1499</v>
      </c>
      <c r="J4566" s="487" t="s">
        <v>357</v>
      </c>
    </row>
    <row r="4567" spans="1:10" ht="15" x14ac:dyDescent="0.2">
      <c r="A4567" s="486" t="s">
        <v>604</v>
      </c>
      <c r="B4567" s="487" t="s">
        <v>603</v>
      </c>
      <c r="C4567" s="488" t="s">
        <v>15017</v>
      </c>
      <c r="D4567" s="489" t="s">
        <v>15018</v>
      </c>
      <c r="E4567" s="487" t="s">
        <v>15019</v>
      </c>
      <c r="F4567" s="490">
        <v>14250</v>
      </c>
      <c r="G4567" s="489">
        <v>239.24</v>
      </c>
      <c r="H4567" s="489">
        <v>59.56362</v>
      </c>
      <c r="I4567" s="487" t="s">
        <v>1499</v>
      </c>
      <c r="J4567" s="487" t="s">
        <v>605</v>
      </c>
    </row>
    <row r="4568" spans="1:10" ht="15" x14ac:dyDescent="0.2">
      <c r="A4568" s="486" t="s">
        <v>604</v>
      </c>
      <c r="B4568" s="487" t="s">
        <v>603</v>
      </c>
      <c r="C4568" s="488" t="s">
        <v>15020</v>
      </c>
      <c r="D4568" s="489" t="s">
        <v>15021</v>
      </c>
      <c r="E4568" s="487" t="s">
        <v>15022</v>
      </c>
      <c r="F4568" s="490">
        <v>47641</v>
      </c>
      <c r="G4568" s="489">
        <v>556.9</v>
      </c>
      <c r="H4568" s="489">
        <v>85.546779999999998</v>
      </c>
      <c r="I4568" s="487" t="s">
        <v>1499</v>
      </c>
      <c r="J4568" s="487" t="s">
        <v>605</v>
      </c>
    </row>
    <row r="4569" spans="1:10" ht="15" x14ac:dyDescent="0.2">
      <c r="A4569" s="486" t="s">
        <v>604</v>
      </c>
      <c r="B4569" s="487" t="s">
        <v>603</v>
      </c>
      <c r="C4569" s="488" t="s">
        <v>15023</v>
      </c>
      <c r="D4569" s="489" t="s">
        <v>15024</v>
      </c>
      <c r="E4569" s="487" t="s">
        <v>15025</v>
      </c>
      <c r="F4569" s="490">
        <v>23389</v>
      </c>
      <c r="G4569" s="489">
        <v>368.19</v>
      </c>
      <c r="H4569" s="489">
        <v>63.524270000000001</v>
      </c>
      <c r="I4569" s="487" t="s">
        <v>1499</v>
      </c>
      <c r="J4569" s="487" t="s">
        <v>605</v>
      </c>
    </row>
    <row r="4570" spans="1:10" ht="15" x14ac:dyDescent="0.2">
      <c r="A4570" s="486" t="s">
        <v>604</v>
      </c>
      <c r="B4570" s="487" t="s">
        <v>603</v>
      </c>
      <c r="C4570" s="488" t="s">
        <v>15026</v>
      </c>
      <c r="D4570" s="489" t="s">
        <v>15027</v>
      </c>
      <c r="E4570" s="487" t="s">
        <v>15028</v>
      </c>
      <c r="F4570" s="490">
        <v>8700</v>
      </c>
      <c r="G4570" s="489">
        <v>131.49</v>
      </c>
      <c r="H4570" s="489">
        <v>66.164730000000006</v>
      </c>
      <c r="I4570" s="487" t="s">
        <v>1499</v>
      </c>
      <c r="J4570" s="487" t="s">
        <v>605</v>
      </c>
    </row>
    <row r="4571" spans="1:10" ht="15" x14ac:dyDescent="0.2">
      <c r="A4571" s="486" t="s">
        <v>604</v>
      </c>
      <c r="B4571" s="487" t="s">
        <v>603</v>
      </c>
      <c r="C4571" s="488" t="s">
        <v>15029</v>
      </c>
      <c r="D4571" s="489" t="s">
        <v>15030</v>
      </c>
      <c r="E4571" s="487" t="s">
        <v>15031</v>
      </c>
      <c r="F4571" s="490">
        <v>37000</v>
      </c>
      <c r="G4571" s="489">
        <v>681.54</v>
      </c>
      <c r="H4571" s="489">
        <v>54.288820000000001</v>
      </c>
      <c r="I4571" s="487" t="s">
        <v>1499</v>
      </c>
      <c r="J4571" s="487" t="s">
        <v>605</v>
      </c>
    </row>
    <row r="4572" spans="1:10" ht="15" x14ac:dyDescent="0.2">
      <c r="A4572" s="486" t="s">
        <v>604</v>
      </c>
      <c r="B4572" s="487" t="s">
        <v>603</v>
      </c>
      <c r="C4572" s="488" t="s">
        <v>15032</v>
      </c>
      <c r="D4572" s="489" t="s">
        <v>15033</v>
      </c>
      <c r="E4572" s="487" t="s">
        <v>15034</v>
      </c>
      <c r="F4572" s="490">
        <v>147955</v>
      </c>
      <c r="G4572" s="489">
        <v>1658</v>
      </c>
      <c r="H4572" s="489">
        <v>89.237030000000004</v>
      </c>
      <c r="I4572" s="487" t="s">
        <v>1499</v>
      </c>
      <c r="J4572" s="487" t="s">
        <v>605</v>
      </c>
    </row>
    <row r="4573" spans="1:10" ht="15" x14ac:dyDescent="0.2">
      <c r="A4573" s="486" t="s">
        <v>604</v>
      </c>
      <c r="B4573" s="487" t="s">
        <v>603</v>
      </c>
      <c r="C4573" s="488" t="s">
        <v>15035</v>
      </c>
      <c r="D4573" s="489" t="s">
        <v>15036</v>
      </c>
      <c r="E4573" s="487" t="s">
        <v>15037</v>
      </c>
      <c r="F4573" s="490">
        <v>78586</v>
      </c>
      <c r="G4573" s="489">
        <v>1611.43</v>
      </c>
      <c r="H4573" s="489">
        <v>48.767859999999999</v>
      </c>
      <c r="I4573" s="487" t="s">
        <v>1499</v>
      </c>
      <c r="J4573" s="487" t="s">
        <v>605</v>
      </c>
    </row>
    <row r="4574" spans="1:10" ht="15" x14ac:dyDescent="0.2">
      <c r="A4574" s="486" t="s">
        <v>604</v>
      </c>
      <c r="B4574" s="487" t="s">
        <v>603</v>
      </c>
      <c r="C4574" s="488" t="s">
        <v>15038</v>
      </c>
      <c r="D4574" s="489" t="s">
        <v>15039</v>
      </c>
      <c r="E4574" s="487" t="s">
        <v>15040</v>
      </c>
      <c r="F4574" s="490">
        <v>15000</v>
      </c>
      <c r="G4574" s="489">
        <v>351.41</v>
      </c>
      <c r="H4574" s="489">
        <v>42.685180000000003</v>
      </c>
      <c r="I4574" s="487" t="s">
        <v>1499</v>
      </c>
      <c r="J4574" s="487" t="s">
        <v>605</v>
      </c>
    </row>
    <row r="4575" spans="1:10" ht="15" x14ac:dyDescent="0.2">
      <c r="A4575" s="486" t="s">
        <v>604</v>
      </c>
      <c r="B4575" s="487" t="s">
        <v>603</v>
      </c>
      <c r="C4575" s="488" t="s">
        <v>15041</v>
      </c>
      <c r="D4575" s="489" t="s">
        <v>15042</v>
      </c>
      <c r="E4575" s="487" t="s">
        <v>15043</v>
      </c>
      <c r="F4575" s="490">
        <v>12189</v>
      </c>
      <c r="G4575" s="489">
        <v>190.02</v>
      </c>
      <c r="H4575" s="489">
        <v>64.145880000000005</v>
      </c>
      <c r="I4575" s="487" t="s">
        <v>1499</v>
      </c>
      <c r="J4575" s="487" t="s">
        <v>605</v>
      </c>
    </row>
    <row r="4576" spans="1:10" ht="15" x14ac:dyDescent="0.2">
      <c r="A4576" s="486" t="s">
        <v>604</v>
      </c>
      <c r="B4576" s="487" t="s">
        <v>603</v>
      </c>
      <c r="C4576" s="488" t="s">
        <v>15044</v>
      </c>
      <c r="D4576" s="489" t="s">
        <v>15045</v>
      </c>
      <c r="E4576" s="487" t="s">
        <v>15046</v>
      </c>
      <c r="F4576" s="490">
        <v>8705</v>
      </c>
      <c r="G4576" s="489">
        <v>247.48</v>
      </c>
      <c r="H4576" s="489">
        <v>35.17456</v>
      </c>
      <c r="I4576" s="487" t="s">
        <v>1499</v>
      </c>
      <c r="J4576" s="487" t="s">
        <v>605</v>
      </c>
    </row>
    <row r="4577" spans="1:10" ht="15" x14ac:dyDescent="0.2">
      <c r="A4577" s="486" t="s">
        <v>604</v>
      </c>
      <c r="B4577" s="487" t="s">
        <v>603</v>
      </c>
      <c r="C4577" s="488" t="s">
        <v>15047</v>
      </c>
      <c r="D4577" s="489" t="s">
        <v>15048</v>
      </c>
      <c r="E4577" s="487" t="s">
        <v>15049</v>
      </c>
      <c r="F4577" s="490">
        <v>21690</v>
      </c>
      <c r="G4577" s="489">
        <v>898.81</v>
      </c>
      <c r="H4577" s="489">
        <v>24.131910000000001</v>
      </c>
      <c r="I4577" s="487" t="s">
        <v>1499</v>
      </c>
      <c r="J4577" s="487" t="s">
        <v>605</v>
      </c>
    </row>
    <row r="4578" spans="1:10" ht="15" x14ac:dyDescent="0.2">
      <c r="A4578" s="486" t="s">
        <v>604</v>
      </c>
      <c r="B4578" s="487" t="s">
        <v>603</v>
      </c>
      <c r="C4578" s="488" t="s">
        <v>15050</v>
      </c>
      <c r="D4578" s="489" t="s">
        <v>15051</v>
      </c>
      <c r="E4578" s="487" t="s">
        <v>15052</v>
      </c>
      <c r="F4578" s="490">
        <v>210140</v>
      </c>
      <c r="G4578" s="489">
        <v>3157.83</v>
      </c>
      <c r="H4578" s="489">
        <v>66.545699999999997</v>
      </c>
      <c r="I4578" s="487" t="s">
        <v>1499</v>
      </c>
      <c r="J4578" s="487" t="s">
        <v>605</v>
      </c>
    </row>
    <row r="4579" spans="1:10" ht="15" x14ac:dyDescent="0.2">
      <c r="A4579" s="486" t="s">
        <v>604</v>
      </c>
      <c r="B4579" s="487" t="s">
        <v>603</v>
      </c>
      <c r="C4579" s="488" t="s">
        <v>15053</v>
      </c>
      <c r="D4579" s="489" t="s">
        <v>15054</v>
      </c>
      <c r="E4579" s="487" t="s">
        <v>15055</v>
      </c>
      <c r="F4579" s="490">
        <v>37887</v>
      </c>
      <c r="G4579" s="489">
        <v>693.51</v>
      </c>
      <c r="H4579" s="489">
        <v>54.630789999999998</v>
      </c>
      <c r="I4579" s="487" t="s">
        <v>1499</v>
      </c>
      <c r="J4579" s="487" t="s">
        <v>605</v>
      </c>
    </row>
    <row r="4580" spans="1:10" ht="15" x14ac:dyDescent="0.2">
      <c r="A4580" s="486" t="s">
        <v>604</v>
      </c>
      <c r="B4580" s="487" t="s">
        <v>603</v>
      </c>
      <c r="C4580" s="488" t="s">
        <v>15056</v>
      </c>
      <c r="D4580" s="489" t="s">
        <v>15057</v>
      </c>
      <c r="E4580" s="487" t="s">
        <v>15058</v>
      </c>
      <c r="F4580" s="490">
        <v>11000</v>
      </c>
      <c r="G4580" s="489">
        <v>224.64</v>
      </c>
      <c r="H4580" s="489">
        <v>48.967239999999997</v>
      </c>
      <c r="I4580" s="487" t="s">
        <v>1499</v>
      </c>
      <c r="J4580" s="487" t="s">
        <v>605</v>
      </c>
    </row>
    <row r="4581" spans="1:10" ht="15" x14ac:dyDescent="0.2">
      <c r="A4581" s="486" t="s">
        <v>604</v>
      </c>
      <c r="B4581" s="487" t="s">
        <v>603</v>
      </c>
      <c r="C4581" s="488" t="s">
        <v>15059</v>
      </c>
      <c r="D4581" s="489" t="s">
        <v>15060</v>
      </c>
      <c r="E4581" s="487" t="s">
        <v>15061</v>
      </c>
      <c r="F4581" s="490">
        <v>18000</v>
      </c>
      <c r="G4581" s="489">
        <v>202.72</v>
      </c>
      <c r="H4581" s="489">
        <v>88.792420000000007</v>
      </c>
      <c r="I4581" s="487" t="s">
        <v>1499</v>
      </c>
      <c r="J4581" s="487" t="s">
        <v>605</v>
      </c>
    </row>
    <row r="4582" spans="1:10" ht="15" x14ac:dyDescent="0.2">
      <c r="A4582" s="486" t="s">
        <v>604</v>
      </c>
      <c r="B4582" s="487" t="s">
        <v>603</v>
      </c>
      <c r="C4582" s="488" t="s">
        <v>15062</v>
      </c>
      <c r="D4582" s="489" t="s">
        <v>15063</v>
      </c>
      <c r="E4582" s="487" t="s">
        <v>3666</v>
      </c>
      <c r="F4582" s="490">
        <v>11000</v>
      </c>
      <c r="G4582" s="489">
        <v>223.35</v>
      </c>
      <c r="H4582" s="489">
        <v>49.250059999999998</v>
      </c>
      <c r="I4582" s="487" t="s">
        <v>1499</v>
      </c>
      <c r="J4582" s="487" t="s">
        <v>605</v>
      </c>
    </row>
    <row r="4583" spans="1:10" ht="15" x14ac:dyDescent="0.2">
      <c r="A4583" s="486" t="s">
        <v>604</v>
      </c>
      <c r="B4583" s="487" t="s">
        <v>603</v>
      </c>
      <c r="C4583" s="488" t="s">
        <v>15064</v>
      </c>
      <c r="D4583" s="489" t="s">
        <v>15065</v>
      </c>
      <c r="E4583" s="487" t="s">
        <v>15066</v>
      </c>
      <c r="F4583" s="490">
        <v>48023</v>
      </c>
      <c r="G4583" s="489">
        <v>673.05</v>
      </c>
      <c r="H4583" s="489">
        <v>71.351309999999998</v>
      </c>
      <c r="I4583" s="487" t="s">
        <v>1499</v>
      </c>
      <c r="J4583" s="487" t="s">
        <v>605</v>
      </c>
    </row>
    <row r="4584" spans="1:10" ht="15" x14ac:dyDescent="0.2">
      <c r="A4584" s="486" t="s">
        <v>604</v>
      </c>
      <c r="B4584" s="487" t="s">
        <v>603</v>
      </c>
      <c r="C4584" s="488" t="s">
        <v>15067</v>
      </c>
      <c r="D4584" s="489" t="s">
        <v>15068</v>
      </c>
      <c r="E4584" s="487" t="s">
        <v>15069</v>
      </c>
      <c r="F4584" s="490">
        <v>13000</v>
      </c>
      <c r="G4584" s="489">
        <v>289.7</v>
      </c>
      <c r="H4584" s="489">
        <v>44.874009999999998</v>
      </c>
      <c r="I4584" s="487" t="s">
        <v>1499</v>
      </c>
      <c r="J4584" s="487" t="s">
        <v>605</v>
      </c>
    </row>
    <row r="4585" spans="1:10" ht="15" x14ac:dyDescent="0.2">
      <c r="A4585" s="486" t="s">
        <v>604</v>
      </c>
      <c r="B4585" s="487" t="s">
        <v>603</v>
      </c>
      <c r="C4585" s="488" t="s">
        <v>15070</v>
      </c>
      <c r="D4585" s="489" t="s">
        <v>15071</v>
      </c>
      <c r="E4585" s="487" t="s">
        <v>15072</v>
      </c>
      <c r="F4585" s="490">
        <v>16590</v>
      </c>
      <c r="G4585" s="489">
        <v>325.35000000000002</v>
      </c>
      <c r="H4585" s="489">
        <v>50.991239999999998</v>
      </c>
      <c r="I4585" s="487" t="s">
        <v>1499</v>
      </c>
      <c r="J4585" s="487" t="s">
        <v>605</v>
      </c>
    </row>
    <row r="4586" spans="1:10" ht="15" x14ac:dyDescent="0.2">
      <c r="A4586" s="486" t="s">
        <v>604</v>
      </c>
      <c r="B4586" s="487" t="s">
        <v>603</v>
      </c>
      <c r="C4586" s="488" t="s">
        <v>15073</v>
      </c>
      <c r="D4586" s="489" t="s">
        <v>15074</v>
      </c>
      <c r="E4586" s="487" t="s">
        <v>15075</v>
      </c>
      <c r="F4586" s="490">
        <v>25000</v>
      </c>
      <c r="G4586" s="489">
        <v>654.61</v>
      </c>
      <c r="H4586" s="489">
        <v>38.19068</v>
      </c>
      <c r="I4586" s="487" t="s">
        <v>1499</v>
      </c>
      <c r="J4586" s="487" t="s">
        <v>605</v>
      </c>
    </row>
    <row r="4587" spans="1:10" ht="15" x14ac:dyDescent="0.2">
      <c r="A4587" s="486" t="s">
        <v>604</v>
      </c>
      <c r="B4587" s="487" t="s">
        <v>603</v>
      </c>
      <c r="C4587" s="488" t="s">
        <v>15076</v>
      </c>
      <c r="D4587" s="489" t="s">
        <v>15077</v>
      </c>
      <c r="E4587" s="487" t="s">
        <v>15078</v>
      </c>
      <c r="F4587" s="490">
        <v>115969</v>
      </c>
      <c r="G4587" s="489">
        <v>1990.61</v>
      </c>
      <c r="H4587" s="489">
        <v>58.258020000000002</v>
      </c>
      <c r="I4587" s="487" t="s">
        <v>1499</v>
      </c>
      <c r="J4587" s="487" t="s">
        <v>605</v>
      </c>
    </row>
    <row r="4588" spans="1:10" ht="15" x14ac:dyDescent="0.2">
      <c r="A4588" s="486" t="s">
        <v>604</v>
      </c>
      <c r="B4588" s="487" t="s">
        <v>603</v>
      </c>
      <c r="C4588" s="488" t="s">
        <v>15079</v>
      </c>
      <c r="D4588" s="489" t="s">
        <v>15080</v>
      </c>
      <c r="E4588" s="487" t="s">
        <v>15081</v>
      </c>
      <c r="F4588" s="490">
        <v>27000</v>
      </c>
      <c r="G4588" s="489">
        <v>1001.18</v>
      </c>
      <c r="H4588" s="489">
        <v>26.96818</v>
      </c>
      <c r="I4588" s="487" t="s">
        <v>1499</v>
      </c>
      <c r="J4588" s="487" t="s">
        <v>605</v>
      </c>
    </row>
    <row r="4589" spans="1:10" ht="15" x14ac:dyDescent="0.2">
      <c r="A4589" s="486" t="s">
        <v>604</v>
      </c>
      <c r="B4589" s="487" t="s">
        <v>603</v>
      </c>
      <c r="C4589" s="488" t="s">
        <v>15082</v>
      </c>
      <c r="D4589" s="489" t="s">
        <v>15083</v>
      </c>
      <c r="E4589" s="487" t="s">
        <v>15084</v>
      </c>
      <c r="F4589" s="490">
        <v>7931</v>
      </c>
      <c r="G4589" s="489">
        <v>200.67</v>
      </c>
      <c r="H4589" s="489">
        <v>39.522599999999997</v>
      </c>
      <c r="I4589" s="487" t="s">
        <v>1499</v>
      </c>
      <c r="J4589" s="487" t="s">
        <v>605</v>
      </c>
    </row>
    <row r="4590" spans="1:10" ht="15" x14ac:dyDescent="0.2">
      <c r="A4590" s="486" t="s">
        <v>604</v>
      </c>
      <c r="B4590" s="487" t="s">
        <v>603</v>
      </c>
      <c r="C4590" s="488" t="s">
        <v>15085</v>
      </c>
      <c r="D4590" s="489" t="s">
        <v>15086</v>
      </c>
      <c r="E4590" s="487" t="s">
        <v>14587</v>
      </c>
      <c r="F4590" s="490">
        <v>8300</v>
      </c>
      <c r="G4590" s="489">
        <v>230.71</v>
      </c>
      <c r="H4590" s="489">
        <v>35.975900000000003</v>
      </c>
      <c r="I4590" s="487" t="s">
        <v>1499</v>
      </c>
      <c r="J4590" s="487" t="s">
        <v>605</v>
      </c>
    </row>
    <row r="4591" spans="1:10" ht="15" x14ac:dyDescent="0.2">
      <c r="A4591" s="486" t="s">
        <v>604</v>
      </c>
      <c r="B4591" s="487" t="s">
        <v>603</v>
      </c>
      <c r="C4591" s="488" t="s">
        <v>15087</v>
      </c>
      <c r="D4591" s="489" t="s">
        <v>15088</v>
      </c>
      <c r="E4591" s="487" t="s">
        <v>15089</v>
      </c>
      <c r="F4591" s="490">
        <v>17312</v>
      </c>
      <c r="G4591" s="489">
        <v>140.38</v>
      </c>
      <c r="H4591" s="489">
        <v>123.32241</v>
      </c>
      <c r="I4591" s="487" t="s">
        <v>1499</v>
      </c>
      <c r="J4591" s="487" t="s">
        <v>605</v>
      </c>
    </row>
    <row r="4592" spans="1:10" ht="15" x14ac:dyDescent="0.2">
      <c r="A4592" s="486" t="s">
        <v>604</v>
      </c>
      <c r="B4592" s="487" t="s">
        <v>603</v>
      </c>
      <c r="C4592" s="488" t="s">
        <v>15090</v>
      </c>
      <c r="D4592" s="489" t="s">
        <v>15091</v>
      </c>
      <c r="E4592" s="487" t="s">
        <v>15092</v>
      </c>
      <c r="F4592" s="490">
        <v>16635</v>
      </c>
      <c r="G4592" s="489">
        <v>251.2</v>
      </c>
      <c r="H4592" s="489">
        <v>66.222130000000007</v>
      </c>
      <c r="I4592" s="487" t="s">
        <v>1499</v>
      </c>
      <c r="J4592" s="487" t="s">
        <v>605</v>
      </c>
    </row>
    <row r="4593" spans="1:10" ht="15" x14ac:dyDescent="0.2">
      <c r="A4593" s="486" t="s">
        <v>604</v>
      </c>
      <c r="B4593" s="487" t="s">
        <v>603</v>
      </c>
      <c r="C4593" s="488" t="s">
        <v>15093</v>
      </c>
      <c r="D4593" s="489" t="s">
        <v>15094</v>
      </c>
      <c r="E4593" s="487" t="s">
        <v>15095</v>
      </c>
      <c r="F4593" s="490">
        <v>18266</v>
      </c>
      <c r="G4593" s="489">
        <v>116.97</v>
      </c>
      <c r="H4593" s="489">
        <v>156.15969999999999</v>
      </c>
      <c r="I4593" s="487" t="s">
        <v>1499</v>
      </c>
      <c r="J4593" s="487" t="s">
        <v>605</v>
      </c>
    </row>
    <row r="4594" spans="1:10" ht="15" x14ac:dyDescent="0.2">
      <c r="A4594" s="486" t="s">
        <v>604</v>
      </c>
      <c r="B4594" s="487" t="s">
        <v>603</v>
      </c>
      <c r="C4594" s="488" t="s">
        <v>15096</v>
      </c>
      <c r="D4594" s="489" t="s">
        <v>15097</v>
      </c>
      <c r="E4594" s="487" t="s">
        <v>603</v>
      </c>
      <c r="F4594" s="490">
        <v>0</v>
      </c>
      <c r="G4594" s="489">
        <v>14182.54</v>
      </c>
      <c r="H4594" s="489">
        <v>0</v>
      </c>
      <c r="I4594" s="487" t="s">
        <v>1593</v>
      </c>
      <c r="J4594" s="487" t="s">
        <v>605</v>
      </c>
    </row>
    <row r="4595" spans="1:10" ht="15" x14ac:dyDescent="0.2">
      <c r="A4595" s="486" t="s">
        <v>604</v>
      </c>
      <c r="B4595" s="487" t="s">
        <v>603</v>
      </c>
      <c r="C4595" s="488" t="s">
        <v>15098</v>
      </c>
      <c r="D4595" s="489" t="s">
        <v>15099</v>
      </c>
      <c r="E4595" s="487" t="s">
        <v>15100</v>
      </c>
      <c r="F4595" s="490">
        <v>0</v>
      </c>
      <c r="G4595" s="489">
        <v>2.59</v>
      </c>
      <c r="H4595" s="489">
        <v>0</v>
      </c>
      <c r="I4595" s="487" t="s">
        <v>1593</v>
      </c>
      <c r="J4595" s="487" t="s">
        <v>605</v>
      </c>
    </row>
    <row r="4596" spans="1:10" ht="15" x14ac:dyDescent="0.2">
      <c r="A4596" s="486" t="s">
        <v>604</v>
      </c>
      <c r="B4596" s="487" t="s">
        <v>603</v>
      </c>
      <c r="C4596" s="488" t="s">
        <v>15101</v>
      </c>
      <c r="D4596" s="489" t="s">
        <v>15102</v>
      </c>
      <c r="E4596" s="487" t="s">
        <v>15103</v>
      </c>
      <c r="F4596" s="490">
        <v>0</v>
      </c>
      <c r="G4596" s="489">
        <v>1.19</v>
      </c>
      <c r="H4596" s="489">
        <v>0</v>
      </c>
      <c r="I4596" s="487" t="s">
        <v>1593</v>
      </c>
      <c r="J4596" s="487" t="s">
        <v>605</v>
      </c>
    </row>
    <row r="4597" spans="1:10" ht="15" x14ac:dyDescent="0.2">
      <c r="A4597" s="486" t="s">
        <v>604</v>
      </c>
      <c r="B4597" s="487" t="s">
        <v>603</v>
      </c>
      <c r="C4597" s="488" t="s">
        <v>15104</v>
      </c>
      <c r="D4597" s="489" t="s">
        <v>15105</v>
      </c>
      <c r="E4597" s="487" t="s">
        <v>15106</v>
      </c>
      <c r="F4597" s="490">
        <v>0</v>
      </c>
      <c r="G4597" s="489">
        <v>11339.63</v>
      </c>
      <c r="H4597" s="489">
        <v>0</v>
      </c>
      <c r="I4597" s="487" t="s">
        <v>1593</v>
      </c>
      <c r="J4597" s="487" t="s">
        <v>605</v>
      </c>
    </row>
    <row r="4598" spans="1:10" ht="15" x14ac:dyDescent="0.2">
      <c r="A4598" s="486" t="s">
        <v>604</v>
      </c>
      <c r="B4598" s="487" t="s">
        <v>603</v>
      </c>
      <c r="C4598" s="488" t="s">
        <v>15107</v>
      </c>
      <c r="D4598" s="489" t="s">
        <v>15108</v>
      </c>
      <c r="E4598" s="487" t="s">
        <v>15109</v>
      </c>
      <c r="F4598" s="490">
        <v>0</v>
      </c>
      <c r="G4598" s="489">
        <v>187.51</v>
      </c>
      <c r="H4598" s="489">
        <v>0</v>
      </c>
      <c r="I4598" s="487" t="s">
        <v>1593</v>
      </c>
      <c r="J4598" s="487" t="s">
        <v>605</v>
      </c>
    </row>
    <row r="4599" spans="1:10" ht="15" x14ac:dyDescent="0.2">
      <c r="A4599" s="486" t="s">
        <v>604</v>
      </c>
      <c r="B4599" s="487" t="s">
        <v>603</v>
      </c>
      <c r="C4599" s="488" t="s">
        <v>15110</v>
      </c>
      <c r="D4599" s="489" t="s">
        <v>15111</v>
      </c>
      <c r="E4599" s="487" t="s">
        <v>15112</v>
      </c>
      <c r="F4599" s="490">
        <v>0</v>
      </c>
      <c r="G4599" s="489">
        <v>11.75</v>
      </c>
      <c r="H4599" s="489">
        <v>0</v>
      </c>
      <c r="I4599" s="487" t="s">
        <v>1593</v>
      </c>
      <c r="J4599" s="487" t="s">
        <v>605</v>
      </c>
    </row>
    <row r="4600" spans="1:10" ht="15" x14ac:dyDescent="0.2">
      <c r="A4600" s="486" t="s">
        <v>604</v>
      </c>
      <c r="B4600" s="487" t="s">
        <v>603</v>
      </c>
      <c r="C4600" s="488" t="s">
        <v>15113</v>
      </c>
      <c r="D4600" s="489" t="s">
        <v>15114</v>
      </c>
      <c r="E4600" s="487" t="s">
        <v>15115</v>
      </c>
      <c r="F4600" s="490">
        <v>0</v>
      </c>
      <c r="G4600" s="489">
        <v>12017.79</v>
      </c>
      <c r="H4600" s="489">
        <v>0</v>
      </c>
      <c r="I4600" s="487" t="s">
        <v>1593</v>
      </c>
      <c r="J4600" s="487" t="s">
        <v>605</v>
      </c>
    </row>
    <row r="4601" spans="1:10" ht="15" x14ac:dyDescent="0.2">
      <c r="A4601" s="486" t="s">
        <v>693</v>
      </c>
      <c r="B4601" s="487" t="s">
        <v>692</v>
      </c>
      <c r="C4601" s="488" t="s">
        <v>15116</v>
      </c>
      <c r="D4601" s="489" t="s">
        <v>15117</v>
      </c>
      <c r="E4601" s="487" t="s">
        <v>15118</v>
      </c>
      <c r="F4601" s="490">
        <v>35611</v>
      </c>
      <c r="G4601" s="489">
        <v>543.88</v>
      </c>
      <c r="H4601" s="489">
        <v>65.475840000000005</v>
      </c>
      <c r="I4601" s="487" t="s">
        <v>1499</v>
      </c>
      <c r="J4601" s="487" t="s">
        <v>694</v>
      </c>
    </row>
    <row r="4602" spans="1:10" ht="15" x14ac:dyDescent="0.2">
      <c r="A4602" s="486" t="s">
        <v>693</v>
      </c>
      <c r="B4602" s="487" t="s">
        <v>692</v>
      </c>
      <c r="C4602" s="488" t="s">
        <v>15119</v>
      </c>
      <c r="D4602" s="489" t="s">
        <v>15120</v>
      </c>
      <c r="E4602" s="487" t="s">
        <v>15121</v>
      </c>
      <c r="F4602" s="490">
        <v>88641</v>
      </c>
      <c r="G4602" s="489">
        <v>1282.44</v>
      </c>
      <c r="H4602" s="489">
        <v>69.119020000000006</v>
      </c>
      <c r="I4602" s="487" t="s">
        <v>1499</v>
      </c>
      <c r="J4602" s="487" t="s">
        <v>694</v>
      </c>
    </row>
    <row r="4603" spans="1:10" ht="15" x14ac:dyDescent="0.2">
      <c r="A4603" s="486" t="s">
        <v>693</v>
      </c>
      <c r="B4603" s="487" t="s">
        <v>692</v>
      </c>
      <c r="C4603" s="488" t="s">
        <v>15122</v>
      </c>
      <c r="D4603" s="489" t="s">
        <v>15123</v>
      </c>
      <c r="E4603" s="487" t="s">
        <v>15124</v>
      </c>
      <c r="F4603" s="490">
        <v>69250</v>
      </c>
      <c r="G4603" s="489">
        <v>2490.77</v>
      </c>
      <c r="H4603" s="489">
        <v>27.80265</v>
      </c>
      <c r="I4603" s="487" t="s">
        <v>1499</v>
      </c>
      <c r="J4603" s="487" t="s">
        <v>694</v>
      </c>
    </row>
    <row r="4604" spans="1:10" ht="15" x14ac:dyDescent="0.2">
      <c r="A4604" s="486" t="s">
        <v>693</v>
      </c>
      <c r="B4604" s="487" t="s">
        <v>692</v>
      </c>
      <c r="C4604" s="488" t="s">
        <v>15125</v>
      </c>
      <c r="D4604" s="489" t="s">
        <v>15126</v>
      </c>
      <c r="E4604" s="487" t="s">
        <v>15127</v>
      </c>
      <c r="F4604" s="490">
        <v>9250</v>
      </c>
      <c r="G4604" s="489">
        <v>645.63</v>
      </c>
      <c r="H4604" s="489">
        <v>14.32709</v>
      </c>
      <c r="I4604" s="487" t="s">
        <v>1499</v>
      </c>
      <c r="J4604" s="487" t="s">
        <v>694</v>
      </c>
    </row>
    <row r="4605" spans="1:10" ht="15" x14ac:dyDescent="0.2">
      <c r="A4605" s="486" t="s">
        <v>693</v>
      </c>
      <c r="B4605" s="487" t="s">
        <v>692</v>
      </c>
      <c r="C4605" s="488" t="s">
        <v>15128</v>
      </c>
      <c r="D4605" s="489" t="s">
        <v>15129</v>
      </c>
      <c r="E4605" s="487" t="s">
        <v>13439</v>
      </c>
      <c r="F4605" s="490">
        <v>576829</v>
      </c>
      <c r="G4605" s="489">
        <v>4455.3100000000004</v>
      </c>
      <c r="H4605" s="489">
        <v>129.47</v>
      </c>
      <c r="I4605" s="487" t="s">
        <v>1499</v>
      </c>
      <c r="J4605" s="487" t="s">
        <v>694</v>
      </c>
    </row>
    <row r="4606" spans="1:10" ht="15" x14ac:dyDescent="0.2">
      <c r="A4606" s="486" t="s">
        <v>693</v>
      </c>
      <c r="B4606" s="487" t="s">
        <v>692</v>
      </c>
      <c r="C4606" s="488" t="s">
        <v>15130</v>
      </c>
      <c r="D4606" s="489" t="s">
        <v>15131</v>
      </c>
      <c r="E4606" s="487" t="s">
        <v>15132</v>
      </c>
      <c r="F4606" s="490">
        <v>115000</v>
      </c>
      <c r="G4606" s="489">
        <v>1478.09</v>
      </c>
      <c r="H4606" s="489">
        <v>77.803110000000004</v>
      </c>
      <c r="I4606" s="487" t="s">
        <v>1499</v>
      </c>
      <c r="J4606" s="487" t="s">
        <v>694</v>
      </c>
    </row>
    <row r="4607" spans="1:10" ht="15" x14ac:dyDescent="0.2">
      <c r="A4607" s="486" t="s">
        <v>693</v>
      </c>
      <c r="B4607" s="487" t="s">
        <v>692</v>
      </c>
      <c r="C4607" s="488" t="s">
        <v>15133</v>
      </c>
      <c r="D4607" s="489" t="s">
        <v>15134</v>
      </c>
      <c r="E4607" s="487" t="s">
        <v>15135</v>
      </c>
      <c r="F4607" s="490">
        <v>470622</v>
      </c>
      <c r="G4607" s="489">
        <v>4743.6899999999996</v>
      </c>
      <c r="H4607" s="489">
        <v>99.21011</v>
      </c>
      <c r="I4607" s="487" t="s">
        <v>1499</v>
      </c>
      <c r="J4607" s="487" t="s">
        <v>694</v>
      </c>
    </row>
    <row r="4608" spans="1:10" ht="15" x14ac:dyDescent="0.2">
      <c r="A4608" s="486" t="s">
        <v>693</v>
      </c>
      <c r="B4608" s="487" t="s">
        <v>692</v>
      </c>
      <c r="C4608" s="488" t="s">
        <v>15136</v>
      </c>
      <c r="D4608" s="489" t="s">
        <v>15137</v>
      </c>
      <c r="E4608" s="487" t="s">
        <v>15138</v>
      </c>
      <c r="F4608" s="490">
        <v>123871</v>
      </c>
      <c r="G4608" s="489">
        <v>2998.85</v>
      </c>
      <c r="H4608" s="489">
        <v>41.306170000000002</v>
      </c>
      <c r="I4608" s="487" t="s">
        <v>1499</v>
      </c>
      <c r="J4608" s="487" t="s">
        <v>694</v>
      </c>
    </row>
    <row r="4609" spans="1:10" ht="15" x14ac:dyDescent="0.2">
      <c r="A4609" s="486" t="s">
        <v>708</v>
      </c>
      <c r="B4609" s="487" t="s">
        <v>707</v>
      </c>
      <c r="C4609" s="488" t="s">
        <v>15139</v>
      </c>
      <c r="D4609" s="489" t="s">
        <v>15140</v>
      </c>
      <c r="E4609" s="487" t="s">
        <v>15141</v>
      </c>
      <c r="F4609" s="490">
        <v>21589</v>
      </c>
      <c r="G4609" s="489">
        <v>324.11</v>
      </c>
      <c r="H4609" s="489">
        <v>66.610100000000003</v>
      </c>
      <c r="I4609" s="487" t="s">
        <v>1499</v>
      </c>
      <c r="J4609" s="487" t="s">
        <v>709</v>
      </c>
    </row>
    <row r="4610" spans="1:10" ht="15" x14ac:dyDescent="0.2">
      <c r="A4610" s="486" t="s">
        <v>708</v>
      </c>
      <c r="B4610" s="487" t="s">
        <v>707</v>
      </c>
      <c r="C4610" s="488" t="s">
        <v>15142</v>
      </c>
      <c r="D4610" s="489" t="s">
        <v>15143</v>
      </c>
      <c r="E4610" s="487" t="s">
        <v>6921</v>
      </c>
      <c r="F4610" s="490">
        <v>102417.3</v>
      </c>
      <c r="G4610" s="489">
        <v>1324.59</v>
      </c>
      <c r="H4610" s="489">
        <v>77.319999999999993</v>
      </c>
      <c r="I4610" s="487" t="s">
        <v>1499</v>
      </c>
      <c r="J4610" s="487" t="s">
        <v>709</v>
      </c>
    </row>
    <row r="4611" spans="1:10" ht="15" x14ac:dyDescent="0.2">
      <c r="A4611" s="486" t="s">
        <v>708</v>
      </c>
      <c r="B4611" s="487" t="s">
        <v>707</v>
      </c>
      <c r="C4611" s="488" t="s">
        <v>15144</v>
      </c>
      <c r="D4611" s="489" t="s">
        <v>15145</v>
      </c>
      <c r="E4611" s="487" t="s">
        <v>15146</v>
      </c>
      <c r="F4611" s="490">
        <v>251385.57</v>
      </c>
      <c r="G4611" s="489">
        <v>1732.26</v>
      </c>
      <c r="H4611" s="489">
        <v>145.12</v>
      </c>
      <c r="I4611" s="487" t="s">
        <v>1499</v>
      </c>
      <c r="J4611" s="487" t="s">
        <v>709</v>
      </c>
    </row>
    <row r="4612" spans="1:10" ht="15" x14ac:dyDescent="0.2">
      <c r="A4612" s="486" t="s">
        <v>708</v>
      </c>
      <c r="B4612" s="487" t="s">
        <v>707</v>
      </c>
      <c r="C4612" s="488" t="s">
        <v>15147</v>
      </c>
      <c r="D4612" s="489" t="s">
        <v>15148</v>
      </c>
      <c r="E4612" s="487" t="s">
        <v>15149</v>
      </c>
      <c r="F4612" s="490">
        <v>60660</v>
      </c>
      <c r="G4612" s="489">
        <v>697.83</v>
      </c>
      <c r="H4612" s="489">
        <v>86.92662</v>
      </c>
      <c r="I4612" s="487" t="s">
        <v>1499</v>
      </c>
      <c r="J4612" s="487" t="s">
        <v>709</v>
      </c>
    </row>
    <row r="4613" spans="1:10" ht="15" x14ac:dyDescent="0.2">
      <c r="A4613" s="486" t="s">
        <v>708</v>
      </c>
      <c r="B4613" s="487" t="s">
        <v>707</v>
      </c>
      <c r="C4613" s="488" t="s">
        <v>15150</v>
      </c>
      <c r="D4613" s="489" t="s">
        <v>15151</v>
      </c>
      <c r="E4613" s="487" t="s">
        <v>15152</v>
      </c>
      <c r="F4613" s="490">
        <v>590217.78</v>
      </c>
      <c r="G4613" s="489">
        <v>7437.22</v>
      </c>
      <c r="H4613" s="489">
        <v>79.36</v>
      </c>
      <c r="I4613" s="487" t="s">
        <v>1499</v>
      </c>
      <c r="J4613" s="487" t="s">
        <v>709</v>
      </c>
    </row>
    <row r="4614" spans="1:10" ht="15" x14ac:dyDescent="0.2">
      <c r="A4614" s="486" t="s">
        <v>708</v>
      </c>
      <c r="B4614" s="487" t="s">
        <v>707</v>
      </c>
      <c r="C4614" s="488" t="s">
        <v>15153</v>
      </c>
      <c r="D4614" s="489" t="s">
        <v>15154</v>
      </c>
      <c r="E4614" s="487" t="s">
        <v>15155</v>
      </c>
      <c r="F4614" s="490">
        <v>14109</v>
      </c>
      <c r="G4614" s="489">
        <v>191.38</v>
      </c>
      <c r="H4614" s="489">
        <v>73.722440000000006</v>
      </c>
      <c r="I4614" s="487" t="s">
        <v>1499</v>
      </c>
      <c r="J4614" s="487" t="s">
        <v>709</v>
      </c>
    </row>
    <row r="4615" spans="1:10" ht="15" x14ac:dyDescent="0.2">
      <c r="A4615" s="486" t="s">
        <v>708</v>
      </c>
      <c r="B4615" s="487" t="s">
        <v>707</v>
      </c>
      <c r="C4615" s="488" t="s">
        <v>15156</v>
      </c>
      <c r="D4615" s="489" t="s">
        <v>15157</v>
      </c>
      <c r="E4615" s="487" t="s">
        <v>707</v>
      </c>
      <c r="F4615" s="490">
        <v>994000</v>
      </c>
      <c r="G4615" s="489">
        <v>8586.89</v>
      </c>
      <c r="H4615" s="489">
        <v>115.75785999999999</v>
      </c>
      <c r="I4615" s="487" t="s">
        <v>1499</v>
      </c>
      <c r="J4615" s="487" t="s">
        <v>709</v>
      </c>
    </row>
    <row r="4616" spans="1:10" ht="15" x14ac:dyDescent="0.2">
      <c r="A4616" s="486" t="s">
        <v>708</v>
      </c>
      <c r="B4616" s="487" t="s">
        <v>707</v>
      </c>
      <c r="C4616" s="488" t="s">
        <v>15158</v>
      </c>
      <c r="D4616" s="489" t="s">
        <v>15159</v>
      </c>
      <c r="E4616" s="487" t="s">
        <v>15160</v>
      </c>
      <c r="F4616" s="490">
        <v>67520.460000000006</v>
      </c>
      <c r="G4616" s="489">
        <v>864.76</v>
      </c>
      <c r="H4616" s="489">
        <v>78.08</v>
      </c>
      <c r="I4616" s="487" t="s">
        <v>1499</v>
      </c>
      <c r="J4616" s="487" t="s">
        <v>709</v>
      </c>
    </row>
    <row r="4617" spans="1:10" ht="15" x14ac:dyDescent="0.2">
      <c r="A4617" s="486" t="s">
        <v>708</v>
      </c>
      <c r="B4617" s="487" t="s">
        <v>707</v>
      </c>
      <c r="C4617" s="488" t="s">
        <v>15161</v>
      </c>
      <c r="D4617" s="489" t="s">
        <v>15162</v>
      </c>
      <c r="E4617" s="487" t="s">
        <v>15163</v>
      </c>
      <c r="F4617" s="490">
        <v>50231.5</v>
      </c>
      <c r="G4617" s="489">
        <v>818.48</v>
      </c>
      <c r="H4617" s="489">
        <v>61.371690000000001</v>
      </c>
      <c r="I4617" s="487" t="s">
        <v>1499</v>
      </c>
      <c r="J4617" s="487" t="s">
        <v>709</v>
      </c>
    </row>
    <row r="4618" spans="1:10" ht="15" x14ac:dyDescent="0.2">
      <c r="A4618" s="486" t="s">
        <v>708</v>
      </c>
      <c r="B4618" s="487" t="s">
        <v>707</v>
      </c>
      <c r="C4618" s="488" t="s">
        <v>15164</v>
      </c>
      <c r="D4618" s="489" t="s">
        <v>15165</v>
      </c>
      <c r="E4618" s="487" t="s">
        <v>15166</v>
      </c>
      <c r="F4618" s="490">
        <v>8589.82</v>
      </c>
      <c r="G4618" s="489">
        <v>189.37</v>
      </c>
      <c r="H4618" s="489">
        <v>45.35998</v>
      </c>
      <c r="I4618" s="487" t="s">
        <v>1499</v>
      </c>
      <c r="J4618" s="487" t="s">
        <v>709</v>
      </c>
    </row>
    <row r="4619" spans="1:10" ht="15" x14ac:dyDescent="0.2">
      <c r="A4619" s="486" t="s">
        <v>708</v>
      </c>
      <c r="B4619" s="487" t="s">
        <v>707</v>
      </c>
      <c r="C4619" s="488" t="s">
        <v>15167</v>
      </c>
      <c r="D4619" s="489" t="s">
        <v>15168</v>
      </c>
      <c r="E4619" s="487" t="s">
        <v>15169</v>
      </c>
      <c r="F4619" s="490">
        <v>11714.88</v>
      </c>
      <c r="G4619" s="489">
        <v>337.41</v>
      </c>
      <c r="H4619" s="489">
        <v>34.720010000000002</v>
      </c>
      <c r="I4619" s="487" t="s">
        <v>1499</v>
      </c>
      <c r="J4619" s="487" t="s">
        <v>709</v>
      </c>
    </row>
    <row r="4620" spans="1:10" ht="15" x14ac:dyDescent="0.2">
      <c r="A4620" s="486" t="s">
        <v>708</v>
      </c>
      <c r="B4620" s="487" t="s">
        <v>707</v>
      </c>
      <c r="C4620" s="488" t="s">
        <v>15170</v>
      </c>
      <c r="D4620" s="489" t="s">
        <v>15171</v>
      </c>
      <c r="E4620" s="487" t="s">
        <v>15172</v>
      </c>
      <c r="F4620" s="490">
        <v>43773</v>
      </c>
      <c r="G4620" s="489">
        <v>460.24</v>
      </c>
      <c r="H4620" s="489">
        <v>95.109070000000003</v>
      </c>
      <c r="I4620" s="487" t="s">
        <v>1499</v>
      </c>
      <c r="J4620" s="487" t="s">
        <v>709</v>
      </c>
    </row>
    <row r="4621" spans="1:10" ht="15" x14ac:dyDescent="0.2">
      <c r="A4621" s="486" t="s">
        <v>708</v>
      </c>
      <c r="B4621" s="487" t="s">
        <v>707</v>
      </c>
      <c r="C4621" s="488" t="s">
        <v>15173</v>
      </c>
      <c r="D4621" s="489" t="s">
        <v>15174</v>
      </c>
      <c r="E4621" s="487" t="s">
        <v>15175</v>
      </c>
      <c r="F4621" s="490">
        <v>14396.5</v>
      </c>
      <c r="G4621" s="489">
        <v>188.18</v>
      </c>
      <c r="H4621" s="489">
        <v>76.503879999999995</v>
      </c>
      <c r="I4621" s="487" t="s">
        <v>1499</v>
      </c>
      <c r="J4621" s="487" t="s">
        <v>709</v>
      </c>
    </row>
    <row r="4622" spans="1:10" ht="15" x14ac:dyDescent="0.2">
      <c r="A4622" s="486" t="s">
        <v>708</v>
      </c>
      <c r="B4622" s="487" t="s">
        <v>707</v>
      </c>
      <c r="C4622" s="488" t="s">
        <v>15176</v>
      </c>
      <c r="D4622" s="489" t="s">
        <v>15177</v>
      </c>
      <c r="E4622" s="487" t="s">
        <v>15178</v>
      </c>
      <c r="F4622" s="490">
        <v>17700</v>
      </c>
      <c r="G4622" s="489">
        <v>243.63</v>
      </c>
      <c r="H4622" s="489">
        <v>72.651150000000001</v>
      </c>
      <c r="I4622" s="487" t="s">
        <v>1499</v>
      </c>
      <c r="J4622" s="487" t="s">
        <v>709</v>
      </c>
    </row>
    <row r="4623" spans="1:10" ht="15" x14ac:dyDescent="0.2">
      <c r="A4623" s="486" t="s">
        <v>708</v>
      </c>
      <c r="B4623" s="487" t="s">
        <v>707</v>
      </c>
      <c r="C4623" s="488" t="s">
        <v>15179</v>
      </c>
      <c r="D4623" s="489" t="s">
        <v>15180</v>
      </c>
      <c r="E4623" s="487" t="s">
        <v>15181</v>
      </c>
      <c r="F4623" s="490">
        <v>22627</v>
      </c>
      <c r="G4623" s="489">
        <v>302.76</v>
      </c>
      <c r="H4623" s="489">
        <v>74.735759999999999</v>
      </c>
      <c r="I4623" s="487" t="s">
        <v>1499</v>
      </c>
      <c r="J4623" s="487" t="s">
        <v>709</v>
      </c>
    </row>
    <row r="4624" spans="1:10" ht="15" x14ac:dyDescent="0.2">
      <c r="A4624" s="486" t="s">
        <v>708</v>
      </c>
      <c r="B4624" s="487" t="s">
        <v>707</v>
      </c>
      <c r="C4624" s="488" t="s">
        <v>15182</v>
      </c>
      <c r="D4624" s="489" t="s">
        <v>15183</v>
      </c>
      <c r="E4624" s="487" t="s">
        <v>15184</v>
      </c>
      <c r="F4624" s="490">
        <v>14050</v>
      </c>
      <c r="G4624" s="489">
        <v>304.13</v>
      </c>
      <c r="H4624" s="489">
        <v>46.19735</v>
      </c>
      <c r="I4624" s="487" t="s">
        <v>1499</v>
      </c>
      <c r="J4624" s="487" t="s">
        <v>709</v>
      </c>
    </row>
    <row r="4625" spans="1:10" ht="15" x14ac:dyDescent="0.2">
      <c r="A4625" s="486" t="s">
        <v>708</v>
      </c>
      <c r="B4625" s="487" t="s">
        <v>707</v>
      </c>
      <c r="C4625" s="488" t="s">
        <v>15185</v>
      </c>
      <c r="D4625" s="489" t="s">
        <v>15186</v>
      </c>
      <c r="E4625" s="487" t="s">
        <v>15187</v>
      </c>
      <c r="F4625" s="490">
        <v>27360</v>
      </c>
      <c r="G4625" s="489">
        <v>288.97000000000003</v>
      </c>
      <c r="H4625" s="489">
        <v>94.681110000000004</v>
      </c>
      <c r="I4625" s="487" t="s">
        <v>1499</v>
      </c>
      <c r="J4625" s="487" t="s">
        <v>709</v>
      </c>
    </row>
    <row r="4626" spans="1:10" ht="15" x14ac:dyDescent="0.2">
      <c r="A4626" s="486" t="s">
        <v>708</v>
      </c>
      <c r="B4626" s="487" t="s">
        <v>707</v>
      </c>
      <c r="C4626" s="488" t="s">
        <v>15188</v>
      </c>
      <c r="D4626" s="489" t="s">
        <v>15189</v>
      </c>
      <c r="E4626" s="487" t="s">
        <v>1100</v>
      </c>
      <c r="F4626" s="490">
        <v>50070</v>
      </c>
      <c r="G4626" s="489">
        <v>412.49</v>
      </c>
      <c r="H4626" s="489">
        <v>121.38476</v>
      </c>
      <c r="I4626" s="487" t="s">
        <v>1499</v>
      </c>
      <c r="J4626" s="487" t="s">
        <v>709</v>
      </c>
    </row>
    <row r="4627" spans="1:10" ht="15" x14ac:dyDescent="0.2">
      <c r="A4627" s="486" t="s">
        <v>708</v>
      </c>
      <c r="B4627" s="487" t="s">
        <v>707</v>
      </c>
      <c r="C4627" s="488" t="s">
        <v>15190</v>
      </c>
      <c r="D4627" s="489" t="s">
        <v>15191</v>
      </c>
      <c r="E4627" s="487" t="s">
        <v>15192</v>
      </c>
      <c r="F4627" s="490">
        <v>62836</v>
      </c>
      <c r="G4627" s="489">
        <v>1170.28</v>
      </c>
      <c r="H4627" s="489">
        <v>53.693129999999996</v>
      </c>
      <c r="I4627" s="487" t="s">
        <v>1499</v>
      </c>
      <c r="J4627" s="487" t="s">
        <v>709</v>
      </c>
    </row>
    <row r="4628" spans="1:10" ht="15" x14ac:dyDescent="0.2">
      <c r="A4628" s="486" t="s">
        <v>708</v>
      </c>
      <c r="B4628" s="487" t="s">
        <v>707</v>
      </c>
      <c r="C4628" s="488" t="s">
        <v>15193</v>
      </c>
      <c r="D4628" s="489" t="s">
        <v>15194</v>
      </c>
      <c r="E4628" s="487" t="s">
        <v>13605</v>
      </c>
      <c r="F4628" s="490">
        <v>5641.65</v>
      </c>
      <c r="G4628" s="489">
        <v>161.19</v>
      </c>
      <c r="H4628" s="489">
        <v>35</v>
      </c>
      <c r="I4628" s="487" t="s">
        <v>1499</v>
      </c>
      <c r="J4628" s="487" t="s">
        <v>709</v>
      </c>
    </row>
    <row r="4629" spans="1:10" ht="15" x14ac:dyDescent="0.2">
      <c r="A4629" s="486" t="s">
        <v>708</v>
      </c>
      <c r="B4629" s="487" t="s">
        <v>707</v>
      </c>
      <c r="C4629" s="488" t="s">
        <v>15195</v>
      </c>
      <c r="D4629" s="489" t="s">
        <v>15196</v>
      </c>
      <c r="E4629" s="487" t="s">
        <v>15197</v>
      </c>
      <c r="F4629" s="490">
        <v>67474.350000000006</v>
      </c>
      <c r="G4629" s="489">
        <v>1499.43</v>
      </c>
      <c r="H4629" s="489">
        <v>45</v>
      </c>
      <c r="I4629" s="487" t="s">
        <v>1499</v>
      </c>
      <c r="J4629" s="487" t="s">
        <v>709</v>
      </c>
    </row>
    <row r="4630" spans="1:10" ht="15" x14ac:dyDescent="0.2">
      <c r="A4630" s="486" t="s">
        <v>708</v>
      </c>
      <c r="B4630" s="487" t="s">
        <v>707</v>
      </c>
      <c r="C4630" s="488" t="s">
        <v>15198</v>
      </c>
      <c r="D4630" s="489" t="s">
        <v>15199</v>
      </c>
      <c r="E4630" s="487" t="s">
        <v>15200</v>
      </c>
      <c r="F4630" s="490">
        <v>330520.51</v>
      </c>
      <c r="G4630" s="489">
        <v>2204.94</v>
      </c>
      <c r="H4630" s="489">
        <v>149.9</v>
      </c>
      <c r="I4630" s="487" t="s">
        <v>1499</v>
      </c>
      <c r="J4630" s="487" t="s">
        <v>709</v>
      </c>
    </row>
    <row r="4631" spans="1:10" ht="15" x14ac:dyDescent="0.2">
      <c r="A4631" s="486" t="s">
        <v>708</v>
      </c>
      <c r="B4631" s="487" t="s">
        <v>707</v>
      </c>
      <c r="C4631" s="488" t="s">
        <v>15201</v>
      </c>
      <c r="D4631" s="489" t="s">
        <v>15202</v>
      </c>
      <c r="E4631" s="487" t="s">
        <v>15203</v>
      </c>
      <c r="F4631" s="490">
        <v>79537.5</v>
      </c>
      <c r="G4631" s="489">
        <v>816.17</v>
      </c>
      <c r="H4631" s="489">
        <v>97.452119999999994</v>
      </c>
      <c r="I4631" s="487" t="s">
        <v>1499</v>
      </c>
      <c r="J4631" s="487" t="s">
        <v>709</v>
      </c>
    </row>
    <row r="4632" spans="1:10" ht="15" x14ac:dyDescent="0.2">
      <c r="A4632" s="486" t="s">
        <v>708</v>
      </c>
      <c r="B4632" s="487" t="s">
        <v>707</v>
      </c>
      <c r="C4632" s="488" t="s">
        <v>15204</v>
      </c>
      <c r="D4632" s="489" t="s">
        <v>15205</v>
      </c>
      <c r="E4632" s="487" t="s">
        <v>15206</v>
      </c>
      <c r="F4632" s="490">
        <v>43550.79</v>
      </c>
      <c r="G4632" s="489">
        <v>780.97</v>
      </c>
      <c r="H4632" s="489">
        <v>55.765000000000001</v>
      </c>
      <c r="I4632" s="487" t="s">
        <v>1499</v>
      </c>
      <c r="J4632" s="487" t="s">
        <v>709</v>
      </c>
    </row>
    <row r="4633" spans="1:10" ht="15" x14ac:dyDescent="0.2">
      <c r="A4633" s="486" t="s">
        <v>708</v>
      </c>
      <c r="B4633" s="487" t="s">
        <v>707</v>
      </c>
      <c r="C4633" s="488" t="s">
        <v>15207</v>
      </c>
      <c r="D4633" s="489" t="s">
        <v>15208</v>
      </c>
      <c r="E4633" s="487" t="s">
        <v>15209</v>
      </c>
      <c r="F4633" s="490">
        <v>147000</v>
      </c>
      <c r="G4633" s="489">
        <v>1419.81</v>
      </c>
      <c r="H4633" s="489">
        <v>103.53498</v>
      </c>
      <c r="I4633" s="487" t="s">
        <v>1499</v>
      </c>
      <c r="J4633" s="487" t="s">
        <v>709</v>
      </c>
    </row>
    <row r="4634" spans="1:10" ht="15" x14ac:dyDescent="0.2">
      <c r="A4634" s="486" t="s">
        <v>708</v>
      </c>
      <c r="B4634" s="487" t="s">
        <v>707</v>
      </c>
      <c r="C4634" s="488" t="s">
        <v>15210</v>
      </c>
      <c r="D4634" s="489" t="s">
        <v>15211</v>
      </c>
      <c r="E4634" s="487" t="s">
        <v>15212</v>
      </c>
      <c r="F4634" s="490">
        <v>12990.72</v>
      </c>
      <c r="G4634" s="489">
        <v>271.31</v>
      </c>
      <c r="H4634" s="489">
        <v>47.881459999999997</v>
      </c>
      <c r="I4634" s="487" t="s">
        <v>1499</v>
      </c>
      <c r="J4634" s="487" t="s">
        <v>709</v>
      </c>
    </row>
    <row r="4635" spans="1:10" ht="15" x14ac:dyDescent="0.2">
      <c r="A4635" s="486" t="s">
        <v>708</v>
      </c>
      <c r="B4635" s="487" t="s">
        <v>707</v>
      </c>
      <c r="C4635" s="488" t="s">
        <v>15213</v>
      </c>
      <c r="D4635" s="489" t="s">
        <v>15214</v>
      </c>
      <c r="E4635" s="487" t="s">
        <v>15215</v>
      </c>
      <c r="F4635" s="490">
        <v>10155</v>
      </c>
      <c r="G4635" s="489">
        <v>113.62</v>
      </c>
      <c r="H4635" s="489">
        <v>89.376869999999997</v>
      </c>
      <c r="I4635" s="487" t="s">
        <v>1499</v>
      </c>
      <c r="J4635" s="487" t="s">
        <v>709</v>
      </c>
    </row>
    <row r="4636" spans="1:10" ht="15" x14ac:dyDescent="0.2">
      <c r="A4636" s="486" t="s">
        <v>708</v>
      </c>
      <c r="B4636" s="487" t="s">
        <v>707</v>
      </c>
      <c r="C4636" s="488" t="s">
        <v>15216</v>
      </c>
      <c r="D4636" s="489" t="s">
        <v>15217</v>
      </c>
      <c r="E4636" s="487" t="s">
        <v>1263</v>
      </c>
      <c r="F4636" s="490">
        <v>16700</v>
      </c>
      <c r="G4636" s="489">
        <v>337.55</v>
      </c>
      <c r="H4636" s="489">
        <v>49.474150000000002</v>
      </c>
      <c r="I4636" s="487" t="s">
        <v>1499</v>
      </c>
      <c r="J4636" s="487" t="s">
        <v>709</v>
      </c>
    </row>
    <row r="4637" spans="1:10" ht="15" x14ac:dyDescent="0.2">
      <c r="A4637" s="486" t="s">
        <v>708</v>
      </c>
      <c r="B4637" s="487" t="s">
        <v>707</v>
      </c>
      <c r="C4637" s="488" t="s">
        <v>15218</v>
      </c>
      <c r="D4637" s="489" t="s">
        <v>15219</v>
      </c>
      <c r="E4637" s="487" t="s">
        <v>15220</v>
      </c>
      <c r="F4637" s="490">
        <v>33940</v>
      </c>
      <c r="G4637" s="489">
        <v>691.05</v>
      </c>
      <c r="H4637" s="489">
        <v>49.113669999999999</v>
      </c>
      <c r="I4637" s="487" t="s">
        <v>1499</v>
      </c>
      <c r="J4637" s="487" t="s">
        <v>709</v>
      </c>
    </row>
    <row r="4638" spans="1:10" ht="15" x14ac:dyDescent="0.2">
      <c r="A4638" s="486" t="s">
        <v>708</v>
      </c>
      <c r="B4638" s="487" t="s">
        <v>707</v>
      </c>
      <c r="C4638" s="488" t="s">
        <v>15221</v>
      </c>
      <c r="D4638" s="489" t="s">
        <v>15222</v>
      </c>
      <c r="E4638" s="487" t="s">
        <v>15223</v>
      </c>
      <c r="F4638" s="490">
        <v>9647.93</v>
      </c>
      <c r="G4638" s="489">
        <v>162.94</v>
      </c>
      <c r="H4638" s="489">
        <v>59.211550000000003</v>
      </c>
      <c r="I4638" s="487" t="s">
        <v>1499</v>
      </c>
      <c r="J4638" s="487" t="s">
        <v>709</v>
      </c>
    </row>
    <row r="4639" spans="1:10" ht="15" x14ac:dyDescent="0.2">
      <c r="A4639" s="486" t="s">
        <v>708</v>
      </c>
      <c r="B4639" s="487" t="s">
        <v>707</v>
      </c>
      <c r="C4639" s="488" t="s">
        <v>15224</v>
      </c>
      <c r="D4639" s="489" t="s">
        <v>15225</v>
      </c>
      <c r="E4639" s="487" t="s">
        <v>15226</v>
      </c>
      <c r="F4639" s="490">
        <v>261312.2</v>
      </c>
      <c r="G4639" s="489">
        <v>3580.6</v>
      </c>
      <c r="H4639" s="489">
        <v>72.98</v>
      </c>
      <c r="I4639" s="487" t="s">
        <v>1499</v>
      </c>
      <c r="J4639" s="487" t="s">
        <v>709</v>
      </c>
    </row>
    <row r="4640" spans="1:10" ht="15" x14ac:dyDescent="0.2">
      <c r="A4640" s="486" t="s">
        <v>708</v>
      </c>
      <c r="B4640" s="487" t="s">
        <v>707</v>
      </c>
      <c r="C4640" s="488" t="s">
        <v>15227</v>
      </c>
      <c r="D4640" s="489" t="s">
        <v>15228</v>
      </c>
      <c r="E4640" s="487" t="s">
        <v>15229</v>
      </c>
      <c r="F4640" s="490">
        <v>127500</v>
      </c>
      <c r="G4640" s="489">
        <v>2407.06</v>
      </c>
      <c r="H4640" s="489">
        <v>52.969180000000001</v>
      </c>
      <c r="I4640" s="487" t="s">
        <v>1499</v>
      </c>
      <c r="J4640" s="487" t="s">
        <v>709</v>
      </c>
    </row>
    <row r="4641" spans="1:10" ht="15" x14ac:dyDescent="0.2">
      <c r="A4641" s="486" t="s">
        <v>708</v>
      </c>
      <c r="B4641" s="487" t="s">
        <v>707</v>
      </c>
      <c r="C4641" s="488" t="s">
        <v>15230</v>
      </c>
      <c r="D4641" s="489" t="s">
        <v>15231</v>
      </c>
      <c r="E4641" s="487" t="s">
        <v>15232</v>
      </c>
      <c r="F4641" s="490">
        <v>56929.16</v>
      </c>
      <c r="G4641" s="489">
        <v>729</v>
      </c>
      <c r="H4641" s="489">
        <v>78.092129999999997</v>
      </c>
      <c r="I4641" s="487" t="s">
        <v>1499</v>
      </c>
      <c r="J4641" s="487" t="s">
        <v>709</v>
      </c>
    </row>
    <row r="4642" spans="1:10" ht="15" x14ac:dyDescent="0.2">
      <c r="A4642" s="486" t="s">
        <v>708</v>
      </c>
      <c r="B4642" s="487" t="s">
        <v>707</v>
      </c>
      <c r="C4642" s="488" t="s">
        <v>15233</v>
      </c>
      <c r="D4642" s="489" t="s">
        <v>15234</v>
      </c>
      <c r="E4642" s="487" t="s">
        <v>15235</v>
      </c>
      <c r="F4642" s="490">
        <v>24619.25</v>
      </c>
      <c r="G4642" s="489">
        <v>528.30999999999995</v>
      </c>
      <c r="H4642" s="489">
        <v>46.600009999999997</v>
      </c>
      <c r="I4642" s="487" t="s">
        <v>1499</v>
      </c>
      <c r="J4642" s="487" t="s">
        <v>709</v>
      </c>
    </row>
    <row r="4643" spans="1:10" ht="15" x14ac:dyDescent="0.2">
      <c r="A4643" s="486" t="s">
        <v>708</v>
      </c>
      <c r="B4643" s="487" t="s">
        <v>707</v>
      </c>
      <c r="C4643" s="488" t="s">
        <v>15236</v>
      </c>
      <c r="D4643" s="489" t="s">
        <v>15237</v>
      </c>
      <c r="E4643" s="487" t="s">
        <v>15238</v>
      </c>
      <c r="F4643" s="490">
        <v>32076.42</v>
      </c>
      <c r="G4643" s="489">
        <v>540.79</v>
      </c>
      <c r="H4643" s="489">
        <v>59.314</v>
      </c>
      <c r="I4643" s="487" t="s">
        <v>1499</v>
      </c>
      <c r="J4643" s="487" t="s">
        <v>709</v>
      </c>
    </row>
    <row r="4644" spans="1:10" ht="15" x14ac:dyDescent="0.2">
      <c r="A4644" s="486" t="s">
        <v>817</v>
      </c>
      <c r="B4644" s="487" t="s">
        <v>816</v>
      </c>
      <c r="C4644" s="488" t="s">
        <v>15239</v>
      </c>
      <c r="D4644" s="489" t="s">
        <v>15240</v>
      </c>
      <c r="E4644" s="487" t="s">
        <v>15241</v>
      </c>
      <c r="F4644" s="490">
        <v>75000</v>
      </c>
      <c r="G4644" s="489">
        <v>671.11</v>
      </c>
      <c r="H4644" s="489">
        <v>111.75515</v>
      </c>
      <c r="I4644" s="487" t="s">
        <v>1499</v>
      </c>
      <c r="J4644" s="487" t="s">
        <v>818</v>
      </c>
    </row>
    <row r="4645" spans="1:10" ht="15" x14ac:dyDescent="0.2">
      <c r="A4645" s="486" t="s">
        <v>817</v>
      </c>
      <c r="B4645" s="487" t="s">
        <v>816</v>
      </c>
      <c r="C4645" s="488" t="s">
        <v>15242</v>
      </c>
      <c r="D4645" s="489" t="s">
        <v>15243</v>
      </c>
      <c r="E4645" s="487" t="s">
        <v>15244</v>
      </c>
      <c r="F4645" s="490">
        <v>161000</v>
      </c>
      <c r="G4645" s="489">
        <v>1582.31</v>
      </c>
      <c r="H4645" s="489">
        <v>101.74997</v>
      </c>
      <c r="I4645" s="487" t="s">
        <v>1499</v>
      </c>
      <c r="J4645" s="487" t="s">
        <v>818</v>
      </c>
    </row>
    <row r="4646" spans="1:10" ht="15" x14ac:dyDescent="0.2">
      <c r="A4646" s="486" t="s">
        <v>817</v>
      </c>
      <c r="B4646" s="487" t="s">
        <v>816</v>
      </c>
      <c r="C4646" s="488" t="s">
        <v>15245</v>
      </c>
      <c r="D4646" s="489" t="s">
        <v>15246</v>
      </c>
      <c r="E4646" s="487" t="s">
        <v>15247</v>
      </c>
      <c r="F4646" s="490">
        <v>8300</v>
      </c>
      <c r="G4646" s="489">
        <v>102.5</v>
      </c>
      <c r="H4646" s="489">
        <v>80.975610000000003</v>
      </c>
      <c r="I4646" s="487" t="s">
        <v>1499</v>
      </c>
      <c r="J4646" s="487" t="s">
        <v>818</v>
      </c>
    </row>
    <row r="4647" spans="1:10" ht="15" x14ac:dyDescent="0.2">
      <c r="A4647" s="486" t="s">
        <v>817</v>
      </c>
      <c r="B4647" s="487" t="s">
        <v>816</v>
      </c>
      <c r="C4647" s="488" t="s">
        <v>15248</v>
      </c>
      <c r="D4647" s="489" t="s">
        <v>15249</v>
      </c>
      <c r="E4647" s="487" t="s">
        <v>15250</v>
      </c>
      <c r="F4647" s="490">
        <v>231570</v>
      </c>
      <c r="G4647" s="489">
        <v>3064.01</v>
      </c>
      <c r="H4647" s="489">
        <v>75.577430000000007</v>
      </c>
      <c r="I4647" s="487" t="s">
        <v>1499</v>
      </c>
      <c r="J4647" s="487" t="s">
        <v>818</v>
      </c>
    </row>
    <row r="4648" spans="1:10" ht="15" x14ac:dyDescent="0.2">
      <c r="A4648" s="486" t="s">
        <v>817</v>
      </c>
      <c r="B4648" s="487" t="s">
        <v>816</v>
      </c>
      <c r="C4648" s="488" t="s">
        <v>15251</v>
      </c>
      <c r="D4648" s="489" t="s">
        <v>15252</v>
      </c>
      <c r="E4648" s="487" t="s">
        <v>15253</v>
      </c>
      <c r="F4648" s="490">
        <v>46000</v>
      </c>
      <c r="G4648" s="489">
        <v>1157.46</v>
      </c>
      <c r="H4648" s="489">
        <v>39.742190000000001</v>
      </c>
      <c r="I4648" s="487" t="s">
        <v>1499</v>
      </c>
      <c r="J4648" s="487" t="s">
        <v>818</v>
      </c>
    </row>
    <row r="4649" spans="1:10" ht="15" x14ac:dyDescent="0.2">
      <c r="A4649" s="486" t="s">
        <v>817</v>
      </c>
      <c r="B4649" s="487" t="s">
        <v>816</v>
      </c>
      <c r="C4649" s="488" t="s">
        <v>15254</v>
      </c>
      <c r="D4649" s="489" t="s">
        <v>15255</v>
      </c>
      <c r="E4649" s="487" t="s">
        <v>15256</v>
      </c>
      <c r="F4649" s="490">
        <v>148110</v>
      </c>
      <c r="G4649" s="489">
        <v>715.75</v>
      </c>
      <c r="H4649" s="489">
        <v>206.92979</v>
      </c>
      <c r="I4649" s="487" t="s">
        <v>1499</v>
      </c>
      <c r="J4649" s="487" t="s">
        <v>818</v>
      </c>
    </row>
    <row r="4650" spans="1:10" ht="15" x14ac:dyDescent="0.2">
      <c r="A4650" s="486" t="s">
        <v>962</v>
      </c>
      <c r="B4650" s="487" t="s">
        <v>961</v>
      </c>
      <c r="C4650" s="488" t="s">
        <v>15257</v>
      </c>
      <c r="D4650" s="489" t="s">
        <v>15258</v>
      </c>
      <c r="E4650" s="487" t="s">
        <v>15259</v>
      </c>
      <c r="F4650" s="490">
        <v>75930</v>
      </c>
      <c r="G4650" s="489">
        <v>1637.4</v>
      </c>
      <c r="H4650" s="489">
        <v>46.372300000000003</v>
      </c>
      <c r="I4650" s="487" t="s">
        <v>1499</v>
      </c>
      <c r="J4650" s="487" t="s">
        <v>963</v>
      </c>
    </row>
    <row r="4651" spans="1:10" ht="15" x14ac:dyDescent="0.2">
      <c r="A4651" s="486" t="s">
        <v>962</v>
      </c>
      <c r="B4651" s="487" t="s">
        <v>961</v>
      </c>
      <c r="C4651" s="488" t="s">
        <v>15260</v>
      </c>
      <c r="D4651" s="489" t="s">
        <v>15261</v>
      </c>
      <c r="E4651" s="487" t="s">
        <v>15262</v>
      </c>
      <c r="F4651" s="490">
        <v>140000</v>
      </c>
      <c r="G4651" s="489">
        <v>3630.1</v>
      </c>
      <c r="H4651" s="489">
        <v>38.566429999999997</v>
      </c>
      <c r="I4651" s="487" t="s">
        <v>1499</v>
      </c>
      <c r="J4651" s="487" t="s">
        <v>963</v>
      </c>
    </row>
    <row r="4652" spans="1:10" ht="15" x14ac:dyDescent="0.2">
      <c r="A4652" s="486" t="s">
        <v>962</v>
      </c>
      <c r="B4652" s="487" t="s">
        <v>961</v>
      </c>
      <c r="C4652" s="488" t="s">
        <v>15263</v>
      </c>
      <c r="D4652" s="489" t="s">
        <v>15264</v>
      </c>
      <c r="E4652" s="487" t="s">
        <v>15265</v>
      </c>
      <c r="F4652" s="490">
        <v>0</v>
      </c>
      <c r="G4652" s="489">
        <v>40.1</v>
      </c>
      <c r="H4652" s="489">
        <v>0</v>
      </c>
      <c r="I4652" s="487" t="s">
        <v>1593</v>
      </c>
      <c r="J4652" s="487" t="s">
        <v>963</v>
      </c>
    </row>
    <row r="4653" spans="1:10" ht="15" x14ac:dyDescent="0.2">
      <c r="A4653" s="486" t="s">
        <v>962</v>
      </c>
      <c r="B4653" s="487" t="s">
        <v>961</v>
      </c>
      <c r="C4653" s="488" t="s">
        <v>15266</v>
      </c>
      <c r="D4653" s="489" t="s">
        <v>15267</v>
      </c>
      <c r="E4653" s="487" t="s">
        <v>15268</v>
      </c>
      <c r="F4653" s="490">
        <v>7546</v>
      </c>
      <c r="G4653" s="489">
        <v>256.5</v>
      </c>
      <c r="H4653" s="489">
        <v>29.4191</v>
      </c>
      <c r="I4653" s="487" t="s">
        <v>1499</v>
      </c>
      <c r="J4653" s="487" t="s">
        <v>963</v>
      </c>
    </row>
    <row r="4654" spans="1:10" ht="15" x14ac:dyDescent="0.2">
      <c r="A4654" s="486" t="s">
        <v>962</v>
      </c>
      <c r="B4654" s="487" t="s">
        <v>961</v>
      </c>
      <c r="C4654" s="488" t="s">
        <v>15269</v>
      </c>
      <c r="D4654" s="489" t="s">
        <v>15270</v>
      </c>
      <c r="E4654" s="487" t="s">
        <v>15271</v>
      </c>
      <c r="F4654" s="490">
        <v>149400</v>
      </c>
      <c r="G4654" s="489">
        <v>1973.6</v>
      </c>
      <c r="H4654" s="489">
        <v>75.69923</v>
      </c>
      <c r="I4654" s="487" t="s">
        <v>1499</v>
      </c>
      <c r="J4654" s="487" t="s">
        <v>963</v>
      </c>
    </row>
    <row r="4655" spans="1:10" ht="15" x14ac:dyDescent="0.2">
      <c r="A4655" s="486" t="s">
        <v>962</v>
      </c>
      <c r="B4655" s="487" t="s">
        <v>961</v>
      </c>
      <c r="C4655" s="488" t="s">
        <v>15272</v>
      </c>
      <c r="D4655" s="489" t="s">
        <v>15273</v>
      </c>
      <c r="E4655" s="487" t="s">
        <v>15274</v>
      </c>
      <c r="F4655" s="490">
        <v>288804</v>
      </c>
      <c r="G4655" s="489">
        <v>3725.1</v>
      </c>
      <c r="H4655" s="489">
        <v>77.52919</v>
      </c>
      <c r="I4655" s="487" t="s">
        <v>1499</v>
      </c>
      <c r="J4655" s="487" t="s">
        <v>963</v>
      </c>
    </row>
    <row r="4656" spans="1:10" ht="15" x14ac:dyDescent="0.2">
      <c r="A4656" s="486" t="s">
        <v>962</v>
      </c>
      <c r="B4656" s="487" t="s">
        <v>961</v>
      </c>
      <c r="C4656" s="488" t="s">
        <v>15275</v>
      </c>
      <c r="D4656" s="489" t="s">
        <v>15276</v>
      </c>
      <c r="E4656" s="487" t="s">
        <v>15277</v>
      </c>
      <c r="F4656" s="490">
        <v>32327</v>
      </c>
      <c r="G4656" s="489">
        <v>199.4</v>
      </c>
      <c r="H4656" s="489">
        <v>162.12136000000001</v>
      </c>
      <c r="I4656" s="487" t="s">
        <v>1499</v>
      </c>
      <c r="J4656" s="487" t="s">
        <v>963</v>
      </c>
    </row>
    <row r="4657" spans="1:10" ht="15" x14ac:dyDescent="0.2">
      <c r="A4657" s="486" t="s">
        <v>962</v>
      </c>
      <c r="B4657" s="487" t="s">
        <v>961</v>
      </c>
      <c r="C4657" s="488" t="s">
        <v>15278</v>
      </c>
      <c r="D4657" s="489" t="s">
        <v>15279</v>
      </c>
      <c r="E4657" s="487" t="s">
        <v>15280</v>
      </c>
      <c r="F4657" s="490">
        <v>60923</v>
      </c>
      <c r="G4657" s="489">
        <v>716.7</v>
      </c>
      <c r="H4657" s="489">
        <v>85.00488</v>
      </c>
      <c r="I4657" s="487" t="s">
        <v>1499</v>
      </c>
      <c r="J4657" s="487" t="s">
        <v>963</v>
      </c>
    </row>
    <row r="4658" spans="1:10" ht="15" x14ac:dyDescent="0.2">
      <c r="A4658" s="486" t="s">
        <v>962</v>
      </c>
      <c r="B4658" s="487" t="s">
        <v>961</v>
      </c>
      <c r="C4658" s="488" t="s">
        <v>15281</v>
      </c>
      <c r="D4658" s="489" t="s">
        <v>15282</v>
      </c>
      <c r="E4658" s="487" t="s">
        <v>15283</v>
      </c>
      <c r="F4658" s="490">
        <v>27450</v>
      </c>
      <c r="G4658" s="489">
        <v>435.5</v>
      </c>
      <c r="H4658" s="489">
        <v>63.030999999999999</v>
      </c>
      <c r="I4658" s="487" t="s">
        <v>1499</v>
      </c>
      <c r="J4658" s="487" t="s">
        <v>963</v>
      </c>
    </row>
    <row r="4659" spans="1:10" ht="15" x14ac:dyDescent="0.2">
      <c r="A4659" s="486" t="s">
        <v>962</v>
      </c>
      <c r="B4659" s="487" t="s">
        <v>961</v>
      </c>
      <c r="C4659" s="488" t="s">
        <v>15284</v>
      </c>
      <c r="D4659" s="489" t="s">
        <v>15285</v>
      </c>
      <c r="E4659" s="487" t="s">
        <v>15286</v>
      </c>
      <c r="F4659" s="490">
        <v>23800</v>
      </c>
      <c r="G4659" s="489">
        <v>424.7</v>
      </c>
      <c r="H4659" s="489">
        <v>56.039560000000002</v>
      </c>
      <c r="I4659" s="487" t="s">
        <v>1499</v>
      </c>
      <c r="J4659" s="487" t="s">
        <v>963</v>
      </c>
    </row>
    <row r="4660" spans="1:10" ht="15" x14ac:dyDescent="0.2">
      <c r="A4660" s="486" t="s">
        <v>962</v>
      </c>
      <c r="B4660" s="487" t="s">
        <v>961</v>
      </c>
      <c r="C4660" s="488" t="s">
        <v>15287</v>
      </c>
      <c r="D4660" s="489" t="s">
        <v>15288</v>
      </c>
      <c r="E4660" s="487" t="s">
        <v>15289</v>
      </c>
      <c r="F4660" s="490">
        <v>99569</v>
      </c>
      <c r="G4660" s="489">
        <v>1914.8</v>
      </c>
      <c r="H4660" s="489">
        <v>51.999690000000001</v>
      </c>
      <c r="I4660" s="487" t="s">
        <v>1499</v>
      </c>
      <c r="J4660" s="487" t="s">
        <v>963</v>
      </c>
    </row>
    <row r="4661" spans="1:10" ht="15" x14ac:dyDescent="0.2">
      <c r="A4661" s="486" t="s">
        <v>962</v>
      </c>
      <c r="B4661" s="487" t="s">
        <v>961</v>
      </c>
      <c r="C4661" s="488" t="s">
        <v>15290</v>
      </c>
      <c r="D4661" s="489" t="s">
        <v>15291</v>
      </c>
      <c r="E4661" s="487" t="s">
        <v>15292</v>
      </c>
      <c r="F4661" s="490">
        <v>40267</v>
      </c>
      <c r="G4661" s="489">
        <v>410.5</v>
      </c>
      <c r="H4661" s="489">
        <v>98.092569999999995</v>
      </c>
      <c r="I4661" s="487" t="s">
        <v>1499</v>
      </c>
      <c r="J4661" s="487" t="s">
        <v>963</v>
      </c>
    </row>
    <row r="4662" spans="1:10" ht="15" x14ac:dyDescent="0.2">
      <c r="A4662" s="486" t="s">
        <v>962</v>
      </c>
      <c r="B4662" s="487" t="s">
        <v>961</v>
      </c>
      <c r="C4662" s="488" t="s">
        <v>15293</v>
      </c>
      <c r="D4662" s="489" t="s">
        <v>15294</v>
      </c>
      <c r="E4662" s="487" t="s">
        <v>15295</v>
      </c>
      <c r="F4662" s="490">
        <v>45000</v>
      </c>
      <c r="G4662" s="489">
        <v>805.4</v>
      </c>
      <c r="H4662" s="489">
        <v>55.872860000000003</v>
      </c>
      <c r="I4662" s="487" t="s">
        <v>1499</v>
      </c>
      <c r="J4662" s="487" t="s">
        <v>963</v>
      </c>
    </row>
    <row r="4663" spans="1:10" ht="15" x14ac:dyDescent="0.2">
      <c r="A4663" s="486" t="s">
        <v>962</v>
      </c>
      <c r="B4663" s="487" t="s">
        <v>961</v>
      </c>
      <c r="C4663" s="488" t="s">
        <v>15296</v>
      </c>
      <c r="D4663" s="489" t="s">
        <v>15297</v>
      </c>
      <c r="E4663" s="487" t="s">
        <v>15298</v>
      </c>
      <c r="F4663" s="490">
        <v>75572.41</v>
      </c>
      <c r="G4663" s="489">
        <v>699</v>
      </c>
      <c r="H4663" s="489">
        <v>108.11503999999999</v>
      </c>
      <c r="I4663" s="487" t="s">
        <v>1499</v>
      </c>
      <c r="J4663" s="487" t="s">
        <v>963</v>
      </c>
    </row>
    <row r="4664" spans="1:10" ht="15" x14ac:dyDescent="0.2">
      <c r="A4664" s="486" t="s">
        <v>962</v>
      </c>
      <c r="B4664" s="487" t="s">
        <v>961</v>
      </c>
      <c r="C4664" s="488" t="s">
        <v>15299</v>
      </c>
      <c r="D4664" s="489" t="s">
        <v>15300</v>
      </c>
      <c r="E4664" s="487" t="s">
        <v>15301</v>
      </c>
      <c r="F4664" s="490">
        <v>6434</v>
      </c>
      <c r="G4664" s="489">
        <v>140.5</v>
      </c>
      <c r="H4664" s="489">
        <v>45.793590000000002</v>
      </c>
      <c r="I4664" s="487" t="s">
        <v>1499</v>
      </c>
      <c r="J4664" s="487" t="s">
        <v>963</v>
      </c>
    </row>
    <row r="4665" spans="1:10" ht="15" x14ac:dyDescent="0.2">
      <c r="A4665" s="486" t="s">
        <v>962</v>
      </c>
      <c r="B4665" s="487" t="s">
        <v>961</v>
      </c>
      <c r="C4665" s="488" t="s">
        <v>15302</v>
      </c>
      <c r="D4665" s="489" t="s">
        <v>15303</v>
      </c>
      <c r="E4665" s="487" t="s">
        <v>15304</v>
      </c>
      <c r="F4665" s="490">
        <v>0</v>
      </c>
      <c r="G4665" s="489">
        <v>71.2</v>
      </c>
      <c r="H4665" s="489">
        <v>0</v>
      </c>
      <c r="I4665" s="487" t="s">
        <v>1593</v>
      </c>
      <c r="J4665" s="487" t="s">
        <v>963</v>
      </c>
    </row>
    <row r="4666" spans="1:10" ht="15" x14ac:dyDescent="0.2">
      <c r="A4666" s="486" t="s">
        <v>962</v>
      </c>
      <c r="B4666" s="487" t="s">
        <v>961</v>
      </c>
      <c r="C4666" s="488" t="s">
        <v>15305</v>
      </c>
      <c r="D4666" s="489" t="s">
        <v>15306</v>
      </c>
      <c r="E4666" s="487" t="s">
        <v>15307</v>
      </c>
      <c r="F4666" s="490">
        <v>169744</v>
      </c>
      <c r="G4666" s="489">
        <v>1336.6</v>
      </c>
      <c r="H4666" s="489">
        <v>126.99686</v>
      </c>
      <c r="I4666" s="487" t="s">
        <v>1499</v>
      </c>
      <c r="J4666" s="487" t="s">
        <v>963</v>
      </c>
    </row>
    <row r="4667" spans="1:10" ht="15" x14ac:dyDescent="0.2">
      <c r="A4667" s="486" t="s">
        <v>962</v>
      </c>
      <c r="B4667" s="487" t="s">
        <v>961</v>
      </c>
      <c r="C4667" s="488" t="s">
        <v>15308</v>
      </c>
      <c r="D4667" s="489" t="s">
        <v>15309</v>
      </c>
      <c r="E4667" s="487" t="s">
        <v>15310</v>
      </c>
      <c r="F4667" s="490">
        <v>370000</v>
      </c>
      <c r="G4667" s="489">
        <v>2044.7</v>
      </c>
      <c r="H4667" s="489">
        <v>180.95563999999999</v>
      </c>
      <c r="I4667" s="487" t="s">
        <v>1499</v>
      </c>
      <c r="J4667" s="487" t="s">
        <v>963</v>
      </c>
    </row>
    <row r="4668" spans="1:10" ht="15" x14ac:dyDescent="0.2">
      <c r="A4668" s="486" t="s">
        <v>962</v>
      </c>
      <c r="B4668" s="487" t="s">
        <v>961</v>
      </c>
      <c r="C4668" s="488" t="s">
        <v>15311</v>
      </c>
      <c r="D4668" s="489" t="s">
        <v>15312</v>
      </c>
      <c r="E4668" s="487" t="s">
        <v>15313</v>
      </c>
      <c r="F4668" s="490">
        <v>33499.42</v>
      </c>
      <c r="G4668" s="489">
        <v>490.5</v>
      </c>
      <c r="H4668" s="489">
        <v>68.296469999999999</v>
      </c>
      <c r="I4668" s="487" t="s">
        <v>1499</v>
      </c>
      <c r="J4668" s="487" t="s">
        <v>963</v>
      </c>
    </row>
    <row r="4669" spans="1:10" ht="15" x14ac:dyDescent="0.2">
      <c r="A4669" s="486" t="s">
        <v>962</v>
      </c>
      <c r="B4669" s="487" t="s">
        <v>961</v>
      </c>
      <c r="C4669" s="488" t="s">
        <v>15314</v>
      </c>
      <c r="D4669" s="489" t="s">
        <v>15315</v>
      </c>
      <c r="E4669" s="487" t="s">
        <v>15316</v>
      </c>
      <c r="F4669" s="490">
        <v>0</v>
      </c>
      <c r="G4669" s="489">
        <v>35.1</v>
      </c>
      <c r="H4669" s="489">
        <v>0</v>
      </c>
      <c r="I4669" s="487" t="s">
        <v>1593</v>
      </c>
      <c r="J4669" s="487" t="s">
        <v>963</v>
      </c>
    </row>
    <row r="4670" spans="1:10" ht="15" x14ac:dyDescent="0.2">
      <c r="A4670" s="486" t="s">
        <v>962</v>
      </c>
      <c r="B4670" s="487" t="s">
        <v>961</v>
      </c>
      <c r="C4670" s="488" t="s">
        <v>15317</v>
      </c>
      <c r="D4670" s="489" t="s">
        <v>15318</v>
      </c>
      <c r="E4670" s="487" t="s">
        <v>15319</v>
      </c>
      <c r="F4670" s="490">
        <v>26338</v>
      </c>
      <c r="G4670" s="489">
        <v>327.5</v>
      </c>
      <c r="H4670" s="489">
        <v>80.421369999999996</v>
      </c>
      <c r="I4670" s="487" t="s">
        <v>1499</v>
      </c>
      <c r="J4670" s="487" t="s">
        <v>963</v>
      </c>
    </row>
    <row r="4671" spans="1:10" ht="15" x14ac:dyDescent="0.2">
      <c r="A4671" s="486" t="s">
        <v>962</v>
      </c>
      <c r="B4671" s="487" t="s">
        <v>961</v>
      </c>
      <c r="C4671" s="488" t="s">
        <v>15320</v>
      </c>
      <c r="D4671" s="489" t="s">
        <v>15321</v>
      </c>
      <c r="E4671" s="487" t="s">
        <v>10701</v>
      </c>
      <c r="F4671" s="490">
        <v>30441</v>
      </c>
      <c r="G4671" s="489">
        <v>771</v>
      </c>
      <c r="H4671" s="489">
        <v>39.482489999999999</v>
      </c>
      <c r="I4671" s="487" t="s">
        <v>1499</v>
      </c>
      <c r="J4671" s="487" t="s">
        <v>963</v>
      </c>
    </row>
    <row r="4672" spans="1:10" ht="15" x14ac:dyDescent="0.2">
      <c r="A4672" s="486" t="s">
        <v>962</v>
      </c>
      <c r="B4672" s="487" t="s">
        <v>961</v>
      </c>
      <c r="C4672" s="488" t="s">
        <v>15322</v>
      </c>
      <c r="D4672" s="489" t="s">
        <v>15323</v>
      </c>
      <c r="E4672" s="487" t="s">
        <v>937</v>
      </c>
      <c r="F4672" s="490">
        <v>50310</v>
      </c>
      <c r="G4672" s="489">
        <v>417.4</v>
      </c>
      <c r="H4672" s="489">
        <v>120.53185999999999</v>
      </c>
      <c r="I4672" s="487" t="s">
        <v>1499</v>
      </c>
      <c r="J4672" s="487" t="s">
        <v>963</v>
      </c>
    </row>
    <row r="4673" spans="1:10" ht="15" x14ac:dyDescent="0.2">
      <c r="A4673" s="486" t="s">
        <v>962</v>
      </c>
      <c r="B4673" s="487" t="s">
        <v>961</v>
      </c>
      <c r="C4673" s="488" t="s">
        <v>15324</v>
      </c>
      <c r="D4673" s="489" t="s">
        <v>15325</v>
      </c>
      <c r="E4673" s="487" t="s">
        <v>15326</v>
      </c>
      <c r="F4673" s="490">
        <v>232450.05</v>
      </c>
      <c r="G4673" s="489">
        <v>1643.3</v>
      </c>
      <c r="H4673" s="489">
        <v>141.45320000000001</v>
      </c>
      <c r="I4673" s="487" t="s">
        <v>1499</v>
      </c>
      <c r="J4673" s="487" t="s">
        <v>963</v>
      </c>
    </row>
    <row r="4674" spans="1:10" ht="15" x14ac:dyDescent="0.2">
      <c r="A4674" s="486" t="s">
        <v>962</v>
      </c>
      <c r="B4674" s="487" t="s">
        <v>961</v>
      </c>
      <c r="C4674" s="488" t="s">
        <v>15327</v>
      </c>
      <c r="D4674" s="489" t="s">
        <v>15328</v>
      </c>
      <c r="E4674" s="487" t="s">
        <v>3675</v>
      </c>
      <c r="F4674" s="490">
        <v>22420</v>
      </c>
      <c r="G4674" s="489">
        <v>286.10000000000002</v>
      </c>
      <c r="H4674" s="489">
        <v>78.36421</v>
      </c>
      <c r="I4674" s="487" t="s">
        <v>1499</v>
      </c>
      <c r="J4674" s="487" t="s">
        <v>963</v>
      </c>
    </row>
    <row r="4675" spans="1:10" ht="15" x14ac:dyDescent="0.2">
      <c r="A4675" s="486" t="s">
        <v>962</v>
      </c>
      <c r="B4675" s="487" t="s">
        <v>961</v>
      </c>
      <c r="C4675" s="488" t="s">
        <v>15329</v>
      </c>
      <c r="D4675" s="489" t="s">
        <v>15330</v>
      </c>
      <c r="E4675" s="487" t="s">
        <v>15331</v>
      </c>
      <c r="F4675" s="490">
        <v>159650</v>
      </c>
      <c r="G4675" s="489">
        <v>3052</v>
      </c>
      <c r="H4675" s="489">
        <v>52.309959999999997</v>
      </c>
      <c r="I4675" s="487" t="s">
        <v>1499</v>
      </c>
      <c r="J4675" s="487" t="s">
        <v>963</v>
      </c>
    </row>
    <row r="4676" spans="1:10" ht="15" x14ac:dyDescent="0.2">
      <c r="A4676" s="486" t="s">
        <v>962</v>
      </c>
      <c r="B4676" s="487" t="s">
        <v>961</v>
      </c>
      <c r="C4676" s="488" t="s">
        <v>15332</v>
      </c>
      <c r="D4676" s="489" t="s">
        <v>15333</v>
      </c>
      <c r="E4676" s="487" t="s">
        <v>12790</v>
      </c>
      <c r="F4676" s="490">
        <v>209526.73</v>
      </c>
      <c r="G4676" s="489">
        <v>2106.9</v>
      </c>
      <c r="H4676" s="489">
        <v>99.447879999999998</v>
      </c>
      <c r="I4676" s="487" t="s">
        <v>1499</v>
      </c>
      <c r="J4676" s="487" t="s">
        <v>963</v>
      </c>
    </row>
    <row r="4677" spans="1:10" ht="15" x14ac:dyDescent="0.2">
      <c r="A4677" s="486" t="s">
        <v>962</v>
      </c>
      <c r="B4677" s="487" t="s">
        <v>961</v>
      </c>
      <c r="C4677" s="488" t="s">
        <v>15334</v>
      </c>
      <c r="D4677" s="489" t="s">
        <v>15335</v>
      </c>
      <c r="E4677" s="487" t="s">
        <v>15336</v>
      </c>
      <c r="F4677" s="490">
        <v>24520</v>
      </c>
      <c r="G4677" s="489">
        <v>317.2</v>
      </c>
      <c r="H4677" s="489">
        <v>77.301389999999998</v>
      </c>
      <c r="I4677" s="487" t="s">
        <v>1499</v>
      </c>
      <c r="J4677" s="487" t="s">
        <v>963</v>
      </c>
    </row>
    <row r="4678" spans="1:10" ht="15" x14ac:dyDescent="0.2">
      <c r="A4678" s="486" t="s">
        <v>962</v>
      </c>
      <c r="B4678" s="487" t="s">
        <v>961</v>
      </c>
      <c r="C4678" s="488" t="s">
        <v>15337</v>
      </c>
      <c r="D4678" s="489" t="s">
        <v>15338</v>
      </c>
      <c r="E4678" s="487" t="s">
        <v>15339</v>
      </c>
      <c r="F4678" s="490">
        <v>31850</v>
      </c>
      <c r="G4678" s="489">
        <v>814.2</v>
      </c>
      <c r="H4678" s="489">
        <v>39.11815</v>
      </c>
      <c r="I4678" s="487" t="s">
        <v>1499</v>
      </c>
      <c r="J4678" s="487" t="s">
        <v>963</v>
      </c>
    </row>
    <row r="4679" spans="1:10" ht="15" x14ac:dyDescent="0.2">
      <c r="A4679" s="486" t="s">
        <v>962</v>
      </c>
      <c r="B4679" s="487" t="s">
        <v>961</v>
      </c>
      <c r="C4679" s="488" t="s">
        <v>15340</v>
      </c>
      <c r="D4679" s="489" t="s">
        <v>15341</v>
      </c>
      <c r="E4679" s="487" t="s">
        <v>15342</v>
      </c>
      <c r="F4679" s="490">
        <v>0</v>
      </c>
      <c r="G4679" s="489">
        <v>93.9</v>
      </c>
      <c r="H4679" s="489">
        <v>0</v>
      </c>
      <c r="I4679" s="487" t="s">
        <v>1593</v>
      </c>
      <c r="J4679" s="487" t="s">
        <v>963</v>
      </c>
    </row>
    <row r="4680" spans="1:10" ht="15" x14ac:dyDescent="0.2">
      <c r="A4680" s="486" t="s">
        <v>962</v>
      </c>
      <c r="B4680" s="487" t="s">
        <v>961</v>
      </c>
      <c r="C4680" s="488" t="s">
        <v>15343</v>
      </c>
      <c r="D4680" s="489" t="s">
        <v>15344</v>
      </c>
      <c r="E4680" s="487" t="s">
        <v>15345</v>
      </c>
      <c r="F4680" s="490">
        <v>300000</v>
      </c>
      <c r="G4680" s="489">
        <v>3008.5</v>
      </c>
      <c r="H4680" s="489">
        <v>99.717470000000006</v>
      </c>
      <c r="I4680" s="487" t="s">
        <v>1499</v>
      </c>
      <c r="J4680" s="487" t="s">
        <v>963</v>
      </c>
    </row>
    <row r="4681" spans="1:10" ht="15" x14ac:dyDescent="0.2">
      <c r="A4681" s="486" t="s">
        <v>962</v>
      </c>
      <c r="B4681" s="487" t="s">
        <v>961</v>
      </c>
      <c r="C4681" s="488" t="s">
        <v>15346</v>
      </c>
      <c r="D4681" s="489" t="s">
        <v>15347</v>
      </c>
      <c r="E4681" s="487" t="s">
        <v>15348</v>
      </c>
      <c r="F4681" s="490">
        <v>17900</v>
      </c>
      <c r="G4681" s="489">
        <v>331</v>
      </c>
      <c r="H4681" s="489">
        <v>54.07855</v>
      </c>
      <c r="I4681" s="487" t="s">
        <v>1499</v>
      </c>
      <c r="J4681" s="487" t="s">
        <v>963</v>
      </c>
    </row>
    <row r="4682" spans="1:10" ht="15" x14ac:dyDescent="0.2">
      <c r="A4682" s="486" t="s">
        <v>962</v>
      </c>
      <c r="B4682" s="487" t="s">
        <v>961</v>
      </c>
      <c r="C4682" s="488" t="s">
        <v>15349</v>
      </c>
      <c r="D4682" s="489" t="s">
        <v>15350</v>
      </c>
      <c r="E4682" s="487" t="s">
        <v>15351</v>
      </c>
      <c r="F4682" s="490">
        <v>86350</v>
      </c>
      <c r="G4682" s="489">
        <v>784.6</v>
      </c>
      <c r="H4682" s="489">
        <v>110.05607999999999</v>
      </c>
      <c r="I4682" s="487" t="s">
        <v>1499</v>
      </c>
      <c r="J4682" s="487" t="s">
        <v>963</v>
      </c>
    </row>
    <row r="4683" spans="1:10" ht="15" x14ac:dyDescent="0.2">
      <c r="A4683" s="486" t="s">
        <v>962</v>
      </c>
      <c r="B4683" s="487" t="s">
        <v>961</v>
      </c>
      <c r="C4683" s="488" t="s">
        <v>15352</v>
      </c>
      <c r="D4683" s="489" t="s">
        <v>15353</v>
      </c>
      <c r="E4683" s="487" t="s">
        <v>15354</v>
      </c>
      <c r="F4683" s="490">
        <v>33250</v>
      </c>
      <c r="G4683" s="489">
        <v>317</v>
      </c>
      <c r="H4683" s="489">
        <v>104.88959</v>
      </c>
      <c r="I4683" s="487" t="s">
        <v>1499</v>
      </c>
      <c r="J4683" s="487" t="s">
        <v>963</v>
      </c>
    </row>
    <row r="4684" spans="1:10" ht="15" x14ac:dyDescent="0.2">
      <c r="A4684" s="486" t="s">
        <v>962</v>
      </c>
      <c r="B4684" s="487" t="s">
        <v>961</v>
      </c>
      <c r="C4684" s="488" t="s">
        <v>15355</v>
      </c>
      <c r="D4684" s="489" t="s">
        <v>15356</v>
      </c>
      <c r="E4684" s="487" t="s">
        <v>15357</v>
      </c>
      <c r="F4684" s="490">
        <v>26810</v>
      </c>
      <c r="G4684" s="489">
        <v>762.9</v>
      </c>
      <c r="H4684" s="489">
        <v>35.142220000000002</v>
      </c>
      <c r="I4684" s="487" t="s">
        <v>1499</v>
      </c>
      <c r="J4684" s="487" t="s">
        <v>963</v>
      </c>
    </row>
    <row r="4685" spans="1:10" ht="15" x14ac:dyDescent="0.2">
      <c r="A4685" s="486" t="s">
        <v>962</v>
      </c>
      <c r="B4685" s="487" t="s">
        <v>961</v>
      </c>
      <c r="C4685" s="488" t="s">
        <v>15358</v>
      </c>
      <c r="D4685" s="489" t="s">
        <v>15359</v>
      </c>
      <c r="E4685" s="487" t="s">
        <v>15360</v>
      </c>
      <c r="F4685" s="490">
        <v>86437</v>
      </c>
      <c r="G4685" s="489">
        <v>1354.8</v>
      </c>
      <c r="H4685" s="489">
        <v>63.800559999999997</v>
      </c>
      <c r="I4685" s="487" t="s">
        <v>1499</v>
      </c>
      <c r="J4685" s="487" t="s">
        <v>963</v>
      </c>
    </row>
    <row r="4686" spans="1:10" ht="15" x14ac:dyDescent="0.2">
      <c r="A4686" s="486" t="s">
        <v>962</v>
      </c>
      <c r="B4686" s="487" t="s">
        <v>961</v>
      </c>
      <c r="C4686" s="488" t="s">
        <v>15361</v>
      </c>
      <c r="D4686" s="489" t="s">
        <v>15362</v>
      </c>
      <c r="E4686" s="487" t="s">
        <v>15363</v>
      </c>
      <c r="F4686" s="490">
        <v>26590</v>
      </c>
      <c r="G4686" s="489">
        <v>413.3</v>
      </c>
      <c r="H4686" s="489">
        <v>64.335830000000001</v>
      </c>
      <c r="I4686" s="487" t="s">
        <v>1499</v>
      </c>
      <c r="J4686" s="487" t="s">
        <v>963</v>
      </c>
    </row>
    <row r="4687" spans="1:10" ht="15" x14ac:dyDescent="0.2">
      <c r="A4687" s="486" t="s">
        <v>962</v>
      </c>
      <c r="B4687" s="487" t="s">
        <v>961</v>
      </c>
      <c r="C4687" s="488" t="s">
        <v>15364</v>
      </c>
      <c r="D4687" s="489" t="s">
        <v>15365</v>
      </c>
      <c r="E4687" s="487" t="s">
        <v>15366</v>
      </c>
      <c r="F4687" s="490">
        <v>29000</v>
      </c>
      <c r="G4687" s="489">
        <v>252.4</v>
      </c>
      <c r="H4687" s="489">
        <v>114.89699</v>
      </c>
      <c r="I4687" s="487" t="s">
        <v>1499</v>
      </c>
      <c r="J4687" s="487" t="s">
        <v>963</v>
      </c>
    </row>
    <row r="4688" spans="1:10" ht="15" x14ac:dyDescent="0.2">
      <c r="A4688" s="486" t="s">
        <v>962</v>
      </c>
      <c r="B4688" s="487" t="s">
        <v>961</v>
      </c>
      <c r="C4688" s="488" t="s">
        <v>15367</v>
      </c>
      <c r="D4688" s="489" t="s">
        <v>15368</v>
      </c>
      <c r="E4688" s="487" t="s">
        <v>15369</v>
      </c>
      <c r="F4688" s="490">
        <v>0</v>
      </c>
      <c r="G4688" s="489">
        <v>58.8</v>
      </c>
      <c r="H4688" s="489">
        <v>0</v>
      </c>
      <c r="I4688" s="487" t="s">
        <v>1593</v>
      </c>
      <c r="J4688" s="487" t="s">
        <v>963</v>
      </c>
    </row>
    <row r="4689" spans="1:10" ht="15" x14ac:dyDescent="0.2">
      <c r="A4689" s="486" t="s">
        <v>962</v>
      </c>
      <c r="B4689" s="487" t="s">
        <v>961</v>
      </c>
      <c r="C4689" s="488" t="s">
        <v>15370</v>
      </c>
      <c r="D4689" s="489" t="s">
        <v>15371</v>
      </c>
      <c r="E4689" s="487" t="s">
        <v>15372</v>
      </c>
      <c r="F4689" s="490">
        <v>0</v>
      </c>
      <c r="G4689" s="489">
        <v>103.4</v>
      </c>
      <c r="H4689" s="489">
        <v>0</v>
      </c>
      <c r="I4689" s="487" t="s">
        <v>1593</v>
      </c>
      <c r="J4689" s="487" t="s">
        <v>963</v>
      </c>
    </row>
    <row r="4690" spans="1:10" ht="15" x14ac:dyDescent="0.2">
      <c r="A4690" s="486" t="s">
        <v>962</v>
      </c>
      <c r="B4690" s="487" t="s">
        <v>961</v>
      </c>
      <c r="C4690" s="488" t="s">
        <v>15373</v>
      </c>
      <c r="D4690" s="489" t="s">
        <v>15374</v>
      </c>
      <c r="E4690" s="487" t="s">
        <v>15375</v>
      </c>
      <c r="F4690" s="490">
        <v>85000</v>
      </c>
      <c r="G4690" s="489">
        <v>1070.3</v>
      </c>
      <c r="H4690" s="489">
        <v>79.416989999999998</v>
      </c>
      <c r="I4690" s="487" t="s">
        <v>1499</v>
      </c>
      <c r="J4690" s="487" t="s">
        <v>963</v>
      </c>
    </row>
    <row r="4691" spans="1:10" ht="15" x14ac:dyDescent="0.2">
      <c r="A4691" s="486" t="s">
        <v>1164</v>
      </c>
      <c r="B4691" s="487" t="s">
        <v>1163</v>
      </c>
      <c r="C4691" s="488" t="s">
        <v>15376</v>
      </c>
      <c r="D4691" s="489" t="s">
        <v>15377</v>
      </c>
      <c r="E4691" s="487" t="s">
        <v>15378</v>
      </c>
      <c r="F4691" s="490">
        <v>240800</v>
      </c>
      <c r="G4691" s="489">
        <v>2477.0500000000002</v>
      </c>
      <c r="H4691" s="489">
        <v>97.212410000000006</v>
      </c>
      <c r="I4691" s="487" t="s">
        <v>1499</v>
      </c>
      <c r="J4691" s="487" t="s">
        <v>1165</v>
      </c>
    </row>
    <row r="4692" spans="1:10" ht="15" x14ac:dyDescent="0.2">
      <c r="A4692" s="486" t="s">
        <v>1164</v>
      </c>
      <c r="B4692" s="487" t="s">
        <v>1163</v>
      </c>
      <c r="C4692" s="488" t="s">
        <v>15379</v>
      </c>
      <c r="D4692" s="489" t="s">
        <v>15380</v>
      </c>
      <c r="E4692" s="487" t="s">
        <v>15381</v>
      </c>
      <c r="F4692" s="490">
        <v>40059</v>
      </c>
      <c r="G4692" s="489">
        <v>817.27</v>
      </c>
      <c r="H4692" s="489">
        <v>49.015630000000002</v>
      </c>
      <c r="I4692" s="487" t="s">
        <v>1499</v>
      </c>
      <c r="J4692" s="487" t="s">
        <v>1165</v>
      </c>
    </row>
    <row r="4693" spans="1:10" ht="15" x14ac:dyDescent="0.2">
      <c r="A4693" s="486" t="s">
        <v>1164</v>
      </c>
      <c r="B4693" s="487" t="s">
        <v>1163</v>
      </c>
      <c r="C4693" s="488" t="s">
        <v>15382</v>
      </c>
      <c r="D4693" s="489" t="s">
        <v>15383</v>
      </c>
      <c r="E4693" s="487" t="s">
        <v>15384</v>
      </c>
      <c r="F4693" s="490">
        <v>75000</v>
      </c>
      <c r="G4693" s="489">
        <v>1471.62</v>
      </c>
      <c r="H4693" s="489">
        <v>50.964239999999997</v>
      </c>
      <c r="I4693" s="487" t="s">
        <v>1499</v>
      </c>
      <c r="J4693" s="487" t="s">
        <v>1165</v>
      </c>
    </row>
    <row r="4694" spans="1:10" ht="15" x14ac:dyDescent="0.2">
      <c r="A4694" s="486" t="s">
        <v>1164</v>
      </c>
      <c r="B4694" s="487" t="s">
        <v>1163</v>
      </c>
      <c r="C4694" s="488" t="s">
        <v>15385</v>
      </c>
      <c r="D4694" s="489" t="s">
        <v>15386</v>
      </c>
      <c r="E4694" s="487" t="s">
        <v>15387</v>
      </c>
      <c r="F4694" s="490">
        <v>51000</v>
      </c>
      <c r="G4694" s="489">
        <v>632.98</v>
      </c>
      <c r="H4694" s="489">
        <v>80.571269999999998</v>
      </c>
      <c r="I4694" s="487" t="s">
        <v>1499</v>
      </c>
      <c r="J4694" s="487" t="s">
        <v>1165</v>
      </c>
    </row>
    <row r="4695" spans="1:10" ht="15" x14ac:dyDescent="0.2">
      <c r="A4695" s="486" t="s">
        <v>1164</v>
      </c>
      <c r="B4695" s="487" t="s">
        <v>1163</v>
      </c>
      <c r="C4695" s="488" t="s">
        <v>15388</v>
      </c>
      <c r="D4695" s="489" t="s">
        <v>15389</v>
      </c>
      <c r="E4695" s="487" t="s">
        <v>15390</v>
      </c>
      <c r="F4695" s="490">
        <v>25000</v>
      </c>
      <c r="G4695" s="489">
        <v>471.45</v>
      </c>
      <c r="H4695" s="489">
        <v>53.027889999999999</v>
      </c>
      <c r="I4695" s="487" t="s">
        <v>1499</v>
      </c>
      <c r="J4695" s="487" t="s">
        <v>1165</v>
      </c>
    </row>
    <row r="4696" spans="1:10" ht="15" x14ac:dyDescent="0.2">
      <c r="A4696" s="486" t="s">
        <v>1164</v>
      </c>
      <c r="B4696" s="487" t="s">
        <v>1163</v>
      </c>
      <c r="C4696" s="488" t="s">
        <v>15391</v>
      </c>
      <c r="D4696" s="489" t="s">
        <v>15392</v>
      </c>
      <c r="E4696" s="487" t="s">
        <v>15393</v>
      </c>
      <c r="F4696" s="490">
        <v>86000</v>
      </c>
      <c r="G4696" s="489">
        <v>672.54</v>
      </c>
      <c r="H4696" s="489">
        <v>127.87344</v>
      </c>
      <c r="I4696" s="487" t="s">
        <v>1499</v>
      </c>
      <c r="J4696" s="487" t="s">
        <v>1165</v>
      </c>
    </row>
    <row r="4697" spans="1:10" ht="15" x14ac:dyDescent="0.2">
      <c r="A4697" s="486" t="s">
        <v>1164</v>
      </c>
      <c r="B4697" s="487" t="s">
        <v>1163</v>
      </c>
      <c r="C4697" s="488" t="s">
        <v>15394</v>
      </c>
      <c r="D4697" s="489" t="s">
        <v>15395</v>
      </c>
      <c r="E4697" s="487" t="s">
        <v>15396</v>
      </c>
      <c r="F4697" s="490">
        <v>139500</v>
      </c>
      <c r="G4697" s="489">
        <v>1360.29</v>
      </c>
      <c r="H4697" s="489">
        <v>102.55166</v>
      </c>
      <c r="I4697" s="487" t="s">
        <v>1499</v>
      </c>
      <c r="J4697" s="487" t="s">
        <v>1165</v>
      </c>
    </row>
    <row r="4698" spans="1:10" ht="15" x14ac:dyDescent="0.2">
      <c r="A4698" s="486" t="s">
        <v>1164</v>
      </c>
      <c r="B4698" s="487" t="s">
        <v>1163</v>
      </c>
      <c r="C4698" s="488" t="s">
        <v>15397</v>
      </c>
      <c r="D4698" s="489" t="s">
        <v>15398</v>
      </c>
      <c r="E4698" s="487" t="s">
        <v>15399</v>
      </c>
      <c r="F4698" s="490">
        <v>804054</v>
      </c>
      <c r="G4698" s="489">
        <v>3998.66</v>
      </c>
      <c r="H4698" s="489">
        <v>201.08086</v>
      </c>
      <c r="I4698" s="487" t="s">
        <v>1499</v>
      </c>
      <c r="J4698" s="487" t="s">
        <v>1165</v>
      </c>
    </row>
    <row r="4699" spans="1:10" ht="15" x14ac:dyDescent="0.2">
      <c r="A4699" s="486" t="s">
        <v>1164</v>
      </c>
      <c r="B4699" s="487" t="s">
        <v>1163</v>
      </c>
      <c r="C4699" s="488" t="s">
        <v>15400</v>
      </c>
      <c r="D4699" s="489" t="s">
        <v>15401</v>
      </c>
      <c r="E4699" s="487" t="s">
        <v>15402</v>
      </c>
      <c r="F4699" s="490">
        <v>108882</v>
      </c>
      <c r="G4699" s="489">
        <v>971.14</v>
      </c>
      <c r="H4699" s="489">
        <v>112.11772000000001</v>
      </c>
      <c r="I4699" s="487" t="s">
        <v>1499</v>
      </c>
      <c r="J4699" s="487" t="s">
        <v>1165</v>
      </c>
    </row>
    <row r="4700" spans="1:10" ht="15" x14ac:dyDescent="0.2">
      <c r="A4700" s="486" t="s">
        <v>1164</v>
      </c>
      <c r="B4700" s="487" t="s">
        <v>1163</v>
      </c>
      <c r="C4700" s="488" t="s">
        <v>15403</v>
      </c>
      <c r="D4700" s="489" t="s">
        <v>15404</v>
      </c>
      <c r="E4700" s="487" t="s">
        <v>15405</v>
      </c>
      <c r="F4700" s="490">
        <v>52360</v>
      </c>
      <c r="G4700" s="489">
        <v>694.41</v>
      </c>
      <c r="H4700" s="489">
        <v>75.402140000000003</v>
      </c>
      <c r="I4700" s="487" t="s">
        <v>1499</v>
      </c>
      <c r="J4700" s="487" t="s">
        <v>1165</v>
      </c>
    </row>
    <row r="4701" spans="1:10" ht="15" x14ac:dyDescent="0.2">
      <c r="A4701" s="486" t="s">
        <v>1164</v>
      </c>
      <c r="B4701" s="487" t="s">
        <v>1163</v>
      </c>
      <c r="C4701" s="488" t="s">
        <v>15406</v>
      </c>
      <c r="D4701" s="489" t="s">
        <v>15407</v>
      </c>
      <c r="E4701" s="487" t="s">
        <v>15408</v>
      </c>
      <c r="F4701" s="490">
        <v>25790</v>
      </c>
      <c r="G4701" s="489">
        <v>351.08</v>
      </c>
      <c r="H4701" s="489">
        <v>73.459040000000002</v>
      </c>
      <c r="I4701" s="487" t="s">
        <v>1499</v>
      </c>
      <c r="J4701" s="487" t="s">
        <v>1165</v>
      </c>
    </row>
    <row r="4702" spans="1:10" ht="15" x14ac:dyDescent="0.2">
      <c r="A4702" s="486" t="s">
        <v>1164</v>
      </c>
      <c r="B4702" s="487" t="s">
        <v>1163</v>
      </c>
      <c r="C4702" s="488" t="s">
        <v>15409</v>
      </c>
      <c r="D4702" s="489" t="s">
        <v>15410</v>
      </c>
      <c r="E4702" s="487" t="s">
        <v>10005</v>
      </c>
      <c r="F4702" s="490">
        <v>68570</v>
      </c>
      <c r="G4702" s="489">
        <v>844.7</v>
      </c>
      <c r="H4702" s="489">
        <v>81.176749999999998</v>
      </c>
      <c r="I4702" s="487" t="s">
        <v>1499</v>
      </c>
      <c r="J4702" s="487" t="s">
        <v>1165</v>
      </c>
    </row>
    <row r="4703" spans="1:10" ht="15" x14ac:dyDescent="0.2">
      <c r="A4703" s="486" t="s">
        <v>1164</v>
      </c>
      <c r="B4703" s="487" t="s">
        <v>1163</v>
      </c>
      <c r="C4703" s="488" t="s">
        <v>15411</v>
      </c>
      <c r="D4703" s="489" t="s">
        <v>15412</v>
      </c>
      <c r="E4703" s="487" t="s">
        <v>6021</v>
      </c>
      <c r="F4703" s="490">
        <v>222096</v>
      </c>
      <c r="G4703" s="489">
        <v>2600.6999999999998</v>
      </c>
      <c r="H4703" s="489">
        <v>85.39855</v>
      </c>
      <c r="I4703" s="487" t="s">
        <v>1499</v>
      </c>
      <c r="J4703" s="487" t="s">
        <v>1165</v>
      </c>
    </row>
    <row r="4704" spans="1:10" ht="15" x14ac:dyDescent="0.2">
      <c r="A4704" s="486" t="s">
        <v>1164</v>
      </c>
      <c r="B4704" s="487" t="s">
        <v>1163</v>
      </c>
      <c r="C4704" s="488" t="s">
        <v>15413</v>
      </c>
      <c r="D4704" s="489" t="s">
        <v>15414</v>
      </c>
      <c r="E4704" s="487" t="s">
        <v>15415</v>
      </c>
      <c r="F4704" s="490">
        <v>53000</v>
      </c>
      <c r="G4704" s="489">
        <v>666.28</v>
      </c>
      <c r="H4704" s="489">
        <v>79.546139999999994</v>
      </c>
      <c r="I4704" s="487" t="s">
        <v>1499</v>
      </c>
      <c r="J4704" s="487" t="s">
        <v>1165</v>
      </c>
    </row>
    <row r="4705" spans="1:10" ht="15" x14ac:dyDescent="0.2">
      <c r="A4705" s="486" t="s">
        <v>1164</v>
      </c>
      <c r="B4705" s="487" t="s">
        <v>1163</v>
      </c>
      <c r="C4705" s="488" t="s">
        <v>15416</v>
      </c>
      <c r="D4705" s="489" t="s">
        <v>15417</v>
      </c>
      <c r="E4705" s="487" t="s">
        <v>15418</v>
      </c>
      <c r="F4705" s="490">
        <v>194415</v>
      </c>
      <c r="G4705" s="489">
        <v>1714.55</v>
      </c>
      <c r="H4705" s="489">
        <v>113.39127000000001</v>
      </c>
      <c r="I4705" s="487" t="s">
        <v>1499</v>
      </c>
      <c r="J4705" s="487" t="s">
        <v>1165</v>
      </c>
    </row>
    <row r="4706" spans="1:10" ht="15" x14ac:dyDescent="0.2">
      <c r="A4706" s="486" t="s">
        <v>1164</v>
      </c>
      <c r="B4706" s="487" t="s">
        <v>1163</v>
      </c>
      <c r="C4706" s="488" t="s">
        <v>15419</v>
      </c>
      <c r="D4706" s="489" t="s">
        <v>15420</v>
      </c>
      <c r="E4706" s="487" t="s">
        <v>15421</v>
      </c>
      <c r="F4706" s="490">
        <v>154133</v>
      </c>
      <c r="G4706" s="489">
        <v>1312.78</v>
      </c>
      <c r="H4706" s="489">
        <v>117.40962</v>
      </c>
      <c r="I4706" s="487" t="s">
        <v>1499</v>
      </c>
      <c r="J4706" s="487" t="s">
        <v>1165</v>
      </c>
    </row>
    <row r="4707" spans="1:10" ht="15" x14ac:dyDescent="0.2">
      <c r="A4707" s="486" t="s">
        <v>1164</v>
      </c>
      <c r="B4707" s="487" t="s">
        <v>1163</v>
      </c>
      <c r="C4707" s="488" t="s">
        <v>15422</v>
      </c>
      <c r="D4707" s="489" t="s">
        <v>15423</v>
      </c>
      <c r="E4707" s="487" t="s">
        <v>15424</v>
      </c>
      <c r="F4707" s="490">
        <v>190600</v>
      </c>
      <c r="G4707" s="489">
        <v>1889.49</v>
      </c>
      <c r="H4707" s="489">
        <v>100.87378</v>
      </c>
      <c r="I4707" s="487" t="s">
        <v>1499</v>
      </c>
      <c r="J4707" s="487" t="s">
        <v>1165</v>
      </c>
    </row>
    <row r="4708" spans="1:10" ht="15" x14ac:dyDescent="0.2">
      <c r="A4708" s="486" t="s">
        <v>1164</v>
      </c>
      <c r="B4708" s="487" t="s">
        <v>1163</v>
      </c>
      <c r="C4708" s="488" t="s">
        <v>15425</v>
      </c>
      <c r="D4708" s="489" t="s">
        <v>15426</v>
      </c>
      <c r="E4708" s="487" t="s">
        <v>15427</v>
      </c>
      <c r="F4708" s="490">
        <v>47100</v>
      </c>
      <c r="G4708" s="489">
        <v>650.77</v>
      </c>
      <c r="H4708" s="489">
        <v>72.375799999999998</v>
      </c>
      <c r="I4708" s="487" t="s">
        <v>1499</v>
      </c>
      <c r="J4708" s="487" t="s">
        <v>1165</v>
      </c>
    </row>
    <row r="4709" spans="1:10" ht="15" x14ac:dyDescent="0.2">
      <c r="A4709" s="486" t="s">
        <v>1164</v>
      </c>
      <c r="B4709" s="487" t="s">
        <v>1163</v>
      </c>
      <c r="C4709" s="488" t="s">
        <v>15428</v>
      </c>
      <c r="D4709" s="489" t="s">
        <v>15429</v>
      </c>
      <c r="E4709" s="487" t="s">
        <v>8661</v>
      </c>
      <c r="F4709" s="490">
        <v>55250</v>
      </c>
      <c r="G4709" s="489">
        <v>971.93</v>
      </c>
      <c r="H4709" s="489">
        <v>56.845660000000002</v>
      </c>
      <c r="I4709" s="487" t="s">
        <v>1499</v>
      </c>
      <c r="J4709" s="487" t="s">
        <v>1165</v>
      </c>
    </row>
    <row r="4710" spans="1:10" ht="15" x14ac:dyDescent="0.2">
      <c r="A4710" s="486" t="s">
        <v>1164</v>
      </c>
      <c r="B4710" s="487" t="s">
        <v>1163</v>
      </c>
      <c r="C4710" s="488" t="s">
        <v>15430</v>
      </c>
      <c r="D4710" s="489" t="s">
        <v>15431</v>
      </c>
      <c r="E4710" s="487" t="s">
        <v>15432</v>
      </c>
      <c r="F4710" s="490">
        <v>221935</v>
      </c>
      <c r="G4710" s="489">
        <v>1734.33</v>
      </c>
      <c r="H4710" s="489">
        <v>127.96584</v>
      </c>
      <c r="I4710" s="487" t="s">
        <v>1499</v>
      </c>
      <c r="J4710" s="487" t="s">
        <v>1165</v>
      </c>
    </row>
    <row r="4711" spans="1:10" ht="15" x14ac:dyDescent="0.2">
      <c r="A4711" s="486" t="s">
        <v>1164</v>
      </c>
      <c r="B4711" s="487" t="s">
        <v>1163</v>
      </c>
      <c r="C4711" s="488" t="s">
        <v>15433</v>
      </c>
      <c r="D4711" s="489" t="s">
        <v>15434</v>
      </c>
      <c r="E4711" s="487" t="s">
        <v>15435</v>
      </c>
      <c r="F4711" s="490">
        <v>21850</v>
      </c>
      <c r="G4711" s="489">
        <v>875.12</v>
      </c>
      <c r="H4711" s="489">
        <v>24.968</v>
      </c>
      <c r="I4711" s="487" t="s">
        <v>1499</v>
      </c>
      <c r="J4711" s="487" t="s">
        <v>1165</v>
      </c>
    </row>
    <row r="4712" spans="1:10" ht="15" x14ac:dyDescent="0.2">
      <c r="A4712" s="486" t="s">
        <v>1164</v>
      </c>
      <c r="B4712" s="487" t="s">
        <v>1163</v>
      </c>
      <c r="C4712" s="488" t="s">
        <v>15436</v>
      </c>
      <c r="D4712" s="489" t="s">
        <v>15437</v>
      </c>
      <c r="E4712" s="487" t="s">
        <v>15438</v>
      </c>
      <c r="F4712" s="490">
        <v>60576</v>
      </c>
      <c r="G4712" s="489">
        <v>1285.8399999999999</v>
      </c>
      <c r="H4712" s="489">
        <v>47.110059999999997</v>
      </c>
      <c r="I4712" s="487" t="s">
        <v>1499</v>
      </c>
      <c r="J4712" s="487" t="s">
        <v>1165</v>
      </c>
    </row>
    <row r="4713" spans="1:10" ht="15" x14ac:dyDescent="0.2">
      <c r="A4713" s="486" t="s">
        <v>1164</v>
      </c>
      <c r="B4713" s="487" t="s">
        <v>1163</v>
      </c>
      <c r="C4713" s="488" t="s">
        <v>15439</v>
      </c>
      <c r="D4713" s="489" t="s">
        <v>15440</v>
      </c>
      <c r="E4713" s="487" t="s">
        <v>15441</v>
      </c>
      <c r="F4713" s="490">
        <v>85330</v>
      </c>
      <c r="G4713" s="489">
        <v>1375.2</v>
      </c>
      <c r="H4713" s="489">
        <v>62.049160000000001</v>
      </c>
      <c r="I4713" s="487" t="s">
        <v>1499</v>
      </c>
      <c r="J4713" s="487" t="s">
        <v>1165</v>
      </c>
    </row>
    <row r="4714" spans="1:10" ht="15" x14ac:dyDescent="0.2">
      <c r="A4714" s="486" t="s">
        <v>1164</v>
      </c>
      <c r="B4714" s="487" t="s">
        <v>1163</v>
      </c>
      <c r="C4714" s="488" t="s">
        <v>15442</v>
      </c>
      <c r="D4714" s="489" t="s">
        <v>15443</v>
      </c>
      <c r="E4714" s="487" t="s">
        <v>1163</v>
      </c>
      <c r="F4714" s="490">
        <v>1545147</v>
      </c>
      <c r="G4714" s="489">
        <v>10054.81</v>
      </c>
      <c r="H4714" s="489">
        <v>153.67241999999999</v>
      </c>
      <c r="I4714" s="487" t="s">
        <v>1499</v>
      </c>
      <c r="J4714" s="487" t="s">
        <v>1165</v>
      </c>
    </row>
    <row r="4715" spans="1:10" ht="15" x14ac:dyDescent="0.2">
      <c r="A4715" s="486" t="s">
        <v>1164</v>
      </c>
      <c r="B4715" s="487" t="s">
        <v>1163</v>
      </c>
      <c r="C4715" s="488" t="s">
        <v>15444</v>
      </c>
      <c r="D4715" s="489" t="s">
        <v>15445</v>
      </c>
      <c r="E4715" s="487" t="s">
        <v>15446</v>
      </c>
      <c r="F4715" s="490">
        <v>47400</v>
      </c>
      <c r="G4715" s="489">
        <v>640.33000000000004</v>
      </c>
      <c r="H4715" s="489">
        <v>74.024330000000006</v>
      </c>
      <c r="I4715" s="487" t="s">
        <v>1499</v>
      </c>
      <c r="J4715" s="487" t="s">
        <v>1165</v>
      </c>
    </row>
    <row r="4716" spans="1:10" ht="15" x14ac:dyDescent="0.2">
      <c r="A4716" s="486" t="s">
        <v>1164</v>
      </c>
      <c r="B4716" s="487" t="s">
        <v>1163</v>
      </c>
      <c r="C4716" s="488" t="s">
        <v>15447</v>
      </c>
      <c r="D4716" s="489" t="s">
        <v>15448</v>
      </c>
      <c r="E4716" s="487" t="s">
        <v>15449</v>
      </c>
      <c r="F4716" s="490">
        <v>52000</v>
      </c>
      <c r="G4716" s="489">
        <v>740.53</v>
      </c>
      <c r="H4716" s="489">
        <v>70.219980000000007</v>
      </c>
      <c r="I4716" s="487" t="s">
        <v>1499</v>
      </c>
      <c r="J4716" s="487" t="s">
        <v>1165</v>
      </c>
    </row>
    <row r="4717" spans="1:10" ht="15" x14ac:dyDescent="0.2">
      <c r="A4717" s="486" t="s">
        <v>1164</v>
      </c>
      <c r="B4717" s="487" t="s">
        <v>1163</v>
      </c>
      <c r="C4717" s="488" t="s">
        <v>15450</v>
      </c>
      <c r="D4717" s="489" t="s">
        <v>15451</v>
      </c>
      <c r="E4717" s="487" t="s">
        <v>15452</v>
      </c>
      <c r="F4717" s="490">
        <v>85000</v>
      </c>
      <c r="G4717" s="489">
        <v>945.99</v>
      </c>
      <c r="H4717" s="489">
        <v>89.852959999999996</v>
      </c>
      <c r="I4717" s="487" t="s">
        <v>1499</v>
      </c>
      <c r="J4717" s="487" t="s">
        <v>1165</v>
      </c>
    </row>
    <row r="4718" spans="1:10" ht="15" x14ac:dyDescent="0.2">
      <c r="A4718" s="486" t="s">
        <v>1164</v>
      </c>
      <c r="B4718" s="487" t="s">
        <v>1163</v>
      </c>
      <c r="C4718" s="488" t="s">
        <v>15453</v>
      </c>
      <c r="D4718" s="489" t="s">
        <v>15454</v>
      </c>
      <c r="E4718" s="487" t="s">
        <v>15455</v>
      </c>
      <c r="F4718" s="490">
        <v>713315</v>
      </c>
      <c r="G4718" s="489">
        <v>5841.44</v>
      </c>
      <c r="H4718" s="489">
        <v>122.11287</v>
      </c>
      <c r="I4718" s="487" t="s">
        <v>1499</v>
      </c>
      <c r="J4718" s="487" t="s">
        <v>1165</v>
      </c>
    </row>
    <row r="4719" spans="1:10" ht="15" x14ac:dyDescent="0.2">
      <c r="A4719" s="486" t="s">
        <v>1164</v>
      </c>
      <c r="B4719" s="487" t="s">
        <v>1163</v>
      </c>
      <c r="C4719" s="488" t="s">
        <v>15456</v>
      </c>
      <c r="D4719" s="489" t="s">
        <v>15457</v>
      </c>
      <c r="E4719" s="487" t="s">
        <v>15458</v>
      </c>
      <c r="F4719" s="490">
        <v>122960</v>
      </c>
      <c r="G4719" s="489">
        <v>2449.41</v>
      </c>
      <c r="H4719" s="489">
        <v>50.199840000000002</v>
      </c>
      <c r="I4719" s="487" t="s">
        <v>1499</v>
      </c>
      <c r="J4719" s="487" t="s">
        <v>1165</v>
      </c>
    </row>
    <row r="4720" spans="1:10" ht="15" x14ac:dyDescent="0.2">
      <c r="A4720" s="486" t="s">
        <v>1164</v>
      </c>
      <c r="B4720" s="487" t="s">
        <v>1163</v>
      </c>
      <c r="C4720" s="488" t="s">
        <v>15459</v>
      </c>
      <c r="D4720" s="489" t="s">
        <v>15460</v>
      </c>
      <c r="E4720" s="487" t="s">
        <v>15461</v>
      </c>
      <c r="F4720" s="490">
        <v>341235</v>
      </c>
      <c r="G4720" s="489">
        <v>2146.15</v>
      </c>
      <c r="H4720" s="489">
        <v>158.99867</v>
      </c>
      <c r="I4720" s="487" t="s">
        <v>1499</v>
      </c>
      <c r="J4720" s="487" t="s">
        <v>1165</v>
      </c>
    </row>
    <row r="4721" spans="1:10" ht="15" x14ac:dyDescent="0.2">
      <c r="A4721" s="486" t="s">
        <v>1164</v>
      </c>
      <c r="B4721" s="487" t="s">
        <v>1163</v>
      </c>
      <c r="C4721" s="488" t="s">
        <v>15462</v>
      </c>
      <c r="D4721" s="489" t="s">
        <v>15463</v>
      </c>
      <c r="E4721" s="487" t="s">
        <v>15464</v>
      </c>
      <c r="F4721" s="490">
        <v>18920</v>
      </c>
      <c r="G4721" s="489">
        <v>349.49</v>
      </c>
      <c r="H4721" s="489">
        <v>54.136029999999998</v>
      </c>
      <c r="I4721" s="487" t="s">
        <v>1499</v>
      </c>
      <c r="J4721" s="487" t="s">
        <v>1165</v>
      </c>
    </row>
    <row r="4722" spans="1:10" ht="15" x14ac:dyDescent="0.2">
      <c r="A4722" s="486" t="s">
        <v>792</v>
      </c>
      <c r="B4722" s="487" t="s">
        <v>791</v>
      </c>
      <c r="C4722" s="488" t="s">
        <v>15465</v>
      </c>
      <c r="D4722" s="489" t="s">
        <v>15466</v>
      </c>
      <c r="E4722" s="487" t="s">
        <v>15467</v>
      </c>
      <c r="F4722" s="490">
        <v>200</v>
      </c>
      <c r="G4722" s="489">
        <v>88.23</v>
      </c>
      <c r="H4722" s="489">
        <v>2.2667999999999999</v>
      </c>
      <c r="I4722" s="487" t="s">
        <v>1499</v>
      </c>
      <c r="J4722" s="487" t="s">
        <v>793</v>
      </c>
    </row>
    <row r="4723" spans="1:10" ht="15" x14ac:dyDescent="0.2">
      <c r="A4723" s="486" t="s">
        <v>792</v>
      </c>
      <c r="B4723" s="487" t="s">
        <v>791</v>
      </c>
      <c r="C4723" s="488" t="s">
        <v>15468</v>
      </c>
      <c r="D4723" s="489" t="s">
        <v>15469</v>
      </c>
      <c r="E4723" s="487" t="s">
        <v>15470</v>
      </c>
      <c r="F4723" s="490">
        <v>8000</v>
      </c>
      <c r="G4723" s="489">
        <v>152.6</v>
      </c>
      <c r="H4723" s="489">
        <v>52.424639999999997</v>
      </c>
      <c r="I4723" s="487" t="s">
        <v>1499</v>
      </c>
      <c r="J4723" s="487" t="s">
        <v>793</v>
      </c>
    </row>
    <row r="4724" spans="1:10" ht="15" x14ac:dyDescent="0.2">
      <c r="A4724" s="486" t="s">
        <v>792</v>
      </c>
      <c r="B4724" s="487" t="s">
        <v>791</v>
      </c>
      <c r="C4724" s="488" t="s">
        <v>15471</v>
      </c>
      <c r="D4724" s="489" t="s">
        <v>15472</v>
      </c>
      <c r="E4724" s="487" t="s">
        <v>15473</v>
      </c>
      <c r="F4724" s="490">
        <v>12870</v>
      </c>
      <c r="G4724" s="489">
        <v>179.57</v>
      </c>
      <c r="H4724" s="489">
        <v>71.671210000000002</v>
      </c>
      <c r="I4724" s="487" t="s">
        <v>1499</v>
      </c>
      <c r="J4724" s="487" t="s">
        <v>793</v>
      </c>
    </row>
    <row r="4725" spans="1:10" ht="15" x14ac:dyDescent="0.2">
      <c r="A4725" s="486" t="s">
        <v>792</v>
      </c>
      <c r="B4725" s="487" t="s">
        <v>791</v>
      </c>
      <c r="C4725" s="488" t="s">
        <v>15474</v>
      </c>
      <c r="D4725" s="489" t="s">
        <v>15475</v>
      </c>
      <c r="E4725" s="487" t="s">
        <v>15476</v>
      </c>
      <c r="F4725" s="490">
        <v>6393</v>
      </c>
      <c r="G4725" s="489">
        <v>111.6</v>
      </c>
      <c r="H4725" s="489">
        <v>57.284950000000002</v>
      </c>
      <c r="I4725" s="487" t="s">
        <v>1499</v>
      </c>
      <c r="J4725" s="487" t="s">
        <v>793</v>
      </c>
    </row>
    <row r="4726" spans="1:10" ht="15" x14ac:dyDescent="0.2">
      <c r="A4726" s="486" t="s">
        <v>792</v>
      </c>
      <c r="B4726" s="487" t="s">
        <v>791</v>
      </c>
      <c r="C4726" s="488" t="s">
        <v>15477</v>
      </c>
      <c r="D4726" s="489" t="s">
        <v>15478</v>
      </c>
      <c r="E4726" s="487" t="s">
        <v>15479</v>
      </c>
      <c r="F4726" s="490">
        <v>86845</v>
      </c>
      <c r="G4726" s="489">
        <v>1366.79</v>
      </c>
      <c r="H4726" s="489">
        <v>63.539389999999997</v>
      </c>
      <c r="I4726" s="487" t="s">
        <v>1499</v>
      </c>
      <c r="J4726" s="487" t="s">
        <v>793</v>
      </c>
    </row>
    <row r="4727" spans="1:10" ht="15" x14ac:dyDescent="0.2">
      <c r="A4727" s="486" t="s">
        <v>792</v>
      </c>
      <c r="B4727" s="487" t="s">
        <v>791</v>
      </c>
      <c r="C4727" s="488" t="s">
        <v>15480</v>
      </c>
      <c r="D4727" s="489" t="s">
        <v>15481</v>
      </c>
      <c r="E4727" s="487" t="s">
        <v>15482</v>
      </c>
      <c r="F4727" s="490">
        <v>88627</v>
      </c>
      <c r="G4727" s="489">
        <v>726.43</v>
      </c>
      <c r="H4727" s="489">
        <v>122.0035</v>
      </c>
      <c r="I4727" s="487" t="s">
        <v>1499</v>
      </c>
      <c r="J4727" s="487" t="s">
        <v>793</v>
      </c>
    </row>
    <row r="4728" spans="1:10" ht="15" x14ac:dyDescent="0.2">
      <c r="A4728" s="486" t="s">
        <v>792</v>
      </c>
      <c r="B4728" s="487" t="s">
        <v>791</v>
      </c>
      <c r="C4728" s="488" t="s">
        <v>15483</v>
      </c>
      <c r="D4728" s="489" t="s">
        <v>15484</v>
      </c>
      <c r="E4728" s="487" t="s">
        <v>15485</v>
      </c>
      <c r="F4728" s="490">
        <v>2250</v>
      </c>
      <c r="G4728" s="489">
        <v>200.66</v>
      </c>
      <c r="H4728" s="489">
        <v>11.212999999999999</v>
      </c>
      <c r="I4728" s="487" t="s">
        <v>1499</v>
      </c>
      <c r="J4728" s="487" t="s">
        <v>793</v>
      </c>
    </row>
    <row r="4729" spans="1:10" ht="15" x14ac:dyDescent="0.2">
      <c r="A4729" s="486" t="s">
        <v>792</v>
      </c>
      <c r="B4729" s="487" t="s">
        <v>791</v>
      </c>
      <c r="C4729" s="488" t="s">
        <v>15486</v>
      </c>
      <c r="D4729" s="489" t="s">
        <v>15487</v>
      </c>
      <c r="E4729" s="487" t="s">
        <v>15488</v>
      </c>
      <c r="F4729" s="490">
        <v>1082720</v>
      </c>
      <c r="G4729" s="489">
        <v>15230.46</v>
      </c>
      <c r="H4729" s="489">
        <v>71.089119999999994</v>
      </c>
      <c r="I4729" s="487" t="s">
        <v>1499</v>
      </c>
      <c r="J4729" s="487" t="s">
        <v>793</v>
      </c>
    </row>
    <row r="4730" spans="1:10" ht="15" x14ac:dyDescent="0.2">
      <c r="A4730" s="486" t="s">
        <v>792</v>
      </c>
      <c r="B4730" s="487" t="s">
        <v>791</v>
      </c>
      <c r="C4730" s="488" t="s">
        <v>15489</v>
      </c>
      <c r="D4730" s="489" t="s">
        <v>15490</v>
      </c>
      <c r="E4730" s="487" t="s">
        <v>15491</v>
      </c>
      <c r="F4730" s="490">
        <v>327000</v>
      </c>
      <c r="G4730" s="489">
        <v>3121.13</v>
      </c>
      <c r="H4730" s="489">
        <v>104.76975</v>
      </c>
      <c r="I4730" s="487" t="s">
        <v>1499</v>
      </c>
      <c r="J4730" s="487" t="s">
        <v>793</v>
      </c>
    </row>
    <row r="4731" spans="1:10" ht="15" x14ac:dyDescent="0.2">
      <c r="A4731" s="486" t="s">
        <v>792</v>
      </c>
      <c r="B4731" s="487" t="s">
        <v>791</v>
      </c>
      <c r="C4731" s="488" t="s">
        <v>15492</v>
      </c>
      <c r="D4731" s="489" t="s">
        <v>15493</v>
      </c>
      <c r="E4731" s="487" t="s">
        <v>15494</v>
      </c>
      <c r="F4731" s="490">
        <v>415522</v>
      </c>
      <c r="G4731" s="489">
        <v>6446.53</v>
      </c>
      <c r="H4731" s="489">
        <v>64.456689999999995</v>
      </c>
      <c r="I4731" s="487" t="s">
        <v>1499</v>
      </c>
      <c r="J4731" s="487" t="s">
        <v>793</v>
      </c>
    </row>
    <row r="4732" spans="1:10" ht="15" x14ac:dyDescent="0.2">
      <c r="A4732" s="486" t="s">
        <v>792</v>
      </c>
      <c r="B4732" s="487" t="s">
        <v>791</v>
      </c>
      <c r="C4732" s="488" t="s">
        <v>15495</v>
      </c>
      <c r="D4732" s="489" t="s">
        <v>15496</v>
      </c>
      <c r="E4732" s="487" t="s">
        <v>15497</v>
      </c>
      <c r="F4732" s="490">
        <v>5370</v>
      </c>
      <c r="G4732" s="489">
        <v>92.18</v>
      </c>
      <c r="H4732" s="489">
        <v>58.255589999999998</v>
      </c>
      <c r="I4732" s="487" t="s">
        <v>1499</v>
      </c>
      <c r="J4732" s="487" t="s">
        <v>793</v>
      </c>
    </row>
    <row r="4733" spans="1:10" ht="15" x14ac:dyDescent="0.2">
      <c r="A4733" s="486" t="s">
        <v>792</v>
      </c>
      <c r="B4733" s="487" t="s">
        <v>791</v>
      </c>
      <c r="C4733" s="488" t="s">
        <v>15498</v>
      </c>
      <c r="D4733" s="489" t="s">
        <v>15499</v>
      </c>
      <c r="E4733" s="487" t="s">
        <v>15500</v>
      </c>
      <c r="F4733" s="490">
        <v>179000</v>
      </c>
      <c r="G4733" s="489">
        <v>2262.1999999999998</v>
      </c>
      <c r="H4733" s="489">
        <v>79.126509999999996</v>
      </c>
      <c r="I4733" s="487" t="s">
        <v>1499</v>
      </c>
      <c r="J4733" s="487" t="s">
        <v>793</v>
      </c>
    </row>
    <row r="4734" spans="1:10" ht="15" x14ac:dyDescent="0.2">
      <c r="A4734" s="486" t="s">
        <v>792</v>
      </c>
      <c r="B4734" s="487" t="s">
        <v>791</v>
      </c>
      <c r="C4734" s="488" t="s">
        <v>15501</v>
      </c>
      <c r="D4734" s="489" t="s">
        <v>15502</v>
      </c>
      <c r="E4734" s="487" t="s">
        <v>15503</v>
      </c>
      <c r="F4734" s="490">
        <v>152349</v>
      </c>
      <c r="G4734" s="489">
        <v>1135.19</v>
      </c>
      <c r="H4734" s="489">
        <v>134.20572999999999</v>
      </c>
      <c r="I4734" s="487" t="s">
        <v>1499</v>
      </c>
      <c r="J4734" s="487" t="s">
        <v>793</v>
      </c>
    </row>
    <row r="4735" spans="1:10" ht="15" x14ac:dyDescent="0.2">
      <c r="A4735" s="486" t="s">
        <v>792</v>
      </c>
      <c r="B4735" s="487" t="s">
        <v>791</v>
      </c>
      <c r="C4735" s="488" t="s">
        <v>15504</v>
      </c>
      <c r="D4735" s="489" t="s">
        <v>15505</v>
      </c>
      <c r="E4735" s="487" t="s">
        <v>15506</v>
      </c>
      <c r="F4735" s="490">
        <v>36000</v>
      </c>
      <c r="G4735" s="489">
        <v>647.64</v>
      </c>
      <c r="H4735" s="489">
        <v>55.586440000000003</v>
      </c>
      <c r="I4735" s="487" t="s">
        <v>1499</v>
      </c>
      <c r="J4735" s="487" t="s">
        <v>793</v>
      </c>
    </row>
    <row r="4736" spans="1:10" ht="15" x14ac:dyDescent="0.2">
      <c r="A4736" s="486" t="s">
        <v>792</v>
      </c>
      <c r="B4736" s="487" t="s">
        <v>791</v>
      </c>
      <c r="C4736" s="488" t="s">
        <v>15507</v>
      </c>
      <c r="D4736" s="489" t="s">
        <v>15508</v>
      </c>
      <c r="E4736" s="487" t="s">
        <v>15509</v>
      </c>
      <c r="F4736" s="490">
        <v>2000</v>
      </c>
      <c r="G4736" s="489">
        <v>64.260000000000005</v>
      </c>
      <c r="H4736" s="489">
        <v>31.123560000000001</v>
      </c>
      <c r="I4736" s="487" t="s">
        <v>1499</v>
      </c>
      <c r="J4736" s="487" t="s">
        <v>793</v>
      </c>
    </row>
    <row r="4737" spans="1:10" ht="15" x14ac:dyDescent="0.2">
      <c r="A4737" s="486" t="s">
        <v>792</v>
      </c>
      <c r="B4737" s="487" t="s">
        <v>791</v>
      </c>
      <c r="C4737" s="488" t="s">
        <v>15510</v>
      </c>
      <c r="D4737" s="489" t="s">
        <v>15511</v>
      </c>
      <c r="E4737" s="487" t="s">
        <v>15512</v>
      </c>
      <c r="F4737" s="490">
        <v>429562</v>
      </c>
      <c r="G4737" s="489">
        <v>3077.06</v>
      </c>
      <c r="H4737" s="489">
        <v>139.60144</v>
      </c>
      <c r="I4737" s="487" t="s">
        <v>1499</v>
      </c>
      <c r="J4737" s="487" t="s">
        <v>793</v>
      </c>
    </row>
    <row r="4738" spans="1:10" ht="15" x14ac:dyDescent="0.2">
      <c r="A4738" s="486" t="s">
        <v>792</v>
      </c>
      <c r="B4738" s="487" t="s">
        <v>791</v>
      </c>
      <c r="C4738" s="488" t="s">
        <v>15513</v>
      </c>
      <c r="D4738" s="489" t="s">
        <v>15514</v>
      </c>
      <c r="E4738" s="487" t="s">
        <v>14814</v>
      </c>
      <c r="F4738" s="490">
        <v>6500</v>
      </c>
      <c r="G4738" s="489">
        <v>119.94</v>
      </c>
      <c r="H4738" s="489">
        <v>54.193759999999997</v>
      </c>
      <c r="I4738" s="487" t="s">
        <v>1499</v>
      </c>
      <c r="J4738" s="487" t="s">
        <v>793</v>
      </c>
    </row>
    <row r="4739" spans="1:10" ht="15" x14ac:dyDescent="0.2">
      <c r="A4739" s="486" t="s">
        <v>792</v>
      </c>
      <c r="B4739" s="487" t="s">
        <v>791</v>
      </c>
      <c r="C4739" s="488" t="s">
        <v>15515</v>
      </c>
      <c r="D4739" s="489" t="s">
        <v>15516</v>
      </c>
      <c r="E4739" s="487" t="s">
        <v>15517</v>
      </c>
      <c r="F4739" s="490">
        <v>9218</v>
      </c>
      <c r="G4739" s="489">
        <v>147.63999999999999</v>
      </c>
      <c r="H4739" s="489">
        <v>62.435650000000003</v>
      </c>
      <c r="I4739" s="487" t="s">
        <v>1499</v>
      </c>
      <c r="J4739" s="487" t="s">
        <v>793</v>
      </c>
    </row>
    <row r="4740" spans="1:10" ht="15" x14ac:dyDescent="0.2">
      <c r="A4740" s="486" t="s">
        <v>792</v>
      </c>
      <c r="B4740" s="487" t="s">
        <v>791</v>
      </c>
      <c r="C4740" s="488" t="s">
        <v>15518</v>
      </c>
      <c r="D4740" s="489" t="s">
        <v>15519</v>
      </c>
      <c r="E4740" s="487" t="s">
        <v>15520</v>
      </c>
      <c r="F4740" s="490">
        <v>0</v>
      </c>
      <c r="G4740" s="489">
        <v>89.52</v>
      </c>
      <c r="H4740" s="489">
        <v>0</v>
      </c>
      <c r="I4740" s="487" t="s">
        <v>1593</v>
      </c>
      <c r="J4740" s="487" t="s">
        <v>793</v>
      </c>
    </row>
    <row r="4741" spans="1:10" ht="15" x14ac:dyDescent="0.2">
      <c r="A4741" s="486" t="s">
        <v>792</v>
      </c>
      <c r="B4741" s="487" t="s">
        <v>791</v>
      </c>
      <c r="C4741" s="488" t="s">
        <v>15521</v>
      </c>
      <c r="D4741" s="489" t="s">
        <v>15522</v>
      </c>
      <c r="E4741" s="487" t="s">
        <v>15523</v>
      </c>
      <c r="F4741" s="490">
        <v>200</v>
      </c>
      <c r="G4741" s="489">
        <v>19.440000000000001</v>
      </c>
      <c r="H4741" s="489">
        <v>10.288069999999999</v>
      </c>
      <c r="I4741" s="487" t="s">
        <v>1499</v>
      </c>
      <c r="J4741" s="487" t="s">
        <v>793</v>
      </c>
    </row>
    <row r="4742" spans="1:10" ht="15" x14ac:dyDescent="0.2">
      <c r="A4742" s="486" t="s">
        <v>792</v>
      </c>
      <c r="B4742" s="487" t="s">
        <v>791</v>
      </c>
      <c r="C4742" s="488" t="s">
        <v>15524</v>
      </c>
      <c r="D4742" s="489" t="s">
        <v>15525</v>
      </c>
      <c r="E4742" s="487" t="s">
        <v>15526</v>
      </c>
      <c r="F4742" s="490">
        <v>4632</v>
      </c>
      <c r="G4742" s="489">
        <v>108.67</v>
      </c>
      <c r="H4742" s="489">
        <v>42.624459999999999</v>
      </c>
      <c r="I4742" s="487" t="s">
        <v>1499</v>
      </c>
      <c r="J4742" s="487" t="s">
        <v>793</v>
      </c>
    </row>
    <row r="4743" spans="1:10" ht="15" x14ac:dyDescent="0.2">
      <c r="A4743" s="486" t="s">
        <v>792</v>
      </c>
      <c r="B4743" s="487" t="s">
        <v>791</v>
      </c>
      <c r="C4743" s="488" t="s">
        <v>15527</v>
      </c>
      <c r="D4743" s="489" t="s">
        <v>15528</v>
      </c>
      <c r="E4743" s="487" t="s">
        <v>15529</v>
      </c>
      <c r="F4743" s="490">
        <v>13635</v>
      </c>
      <c r="G4743" s="489">
        <v>395.68</v>
      </c>
      <c r="H4743" s="489">
        <v>34.45966</v>
      </c>
      <c r="I4743" s="487" t="s">
        <v>1499</v>
      </c>
      <c r="J4743" s="487" t="s">
        <v>793</v>
      </c>
    </row>
    <row r="4744" spans="1:10" ht="15" x14ac:dyDescent="0.2">
      <c r="A4744" s="486" t="s">
        <v>792</v>
      </c>
      <c r="B4744" s="487" t="s">
        <v>791</v>
      </c>
      <c r="C4744" s="488" t="s">
        <v>15530</v>
      </c>
      <c r="D4744" s="489" t="s">
        <v>15531</v>
      </c>
      <c r="E4744" s="487" t="s">
        <v>15532</v>
      </c>
      <c r="F4744" s="490">
        <v>120668</v>
      </c>
      <c r="G4744" s="489">
        <v>2384.65</v>
      </c>
      <c r="H4744" s="489">
        <v>50.601979999999998</v>
      </c>
      <c r="I4744" s="487" t="s">
        <v>1499</v>
      </c>
      <c r="J4744" s="487" t="s">
        <v>793</v>
      </c>
    </row>
    <row r="4745" spans="1:10" ht="15" x14ac:dyDescent="0.2">
      <c r="A4745" s="486" t="s">
        <v>792</v>
      </c>
      <c r="B4745" s="487" t="s">
        <v>791</v>
      </c>
      <c r="C4745" s="488" t="s">
        <v>15533</v>
      </c>
      <c r="D4745" s="489" t="s">
        <v>15534</v>
      </c>
      <c r="E4745" s="487" t="s">
        <v>15535</v>
      </c>
      <c r="F4745" s="490">
        <v>73500</v>
      </c>
      <c r="G4745" s="489">
        <v>893.14</v>
      </c>
      <c r="H4745" s="489">
        <v>82.293930000000003</v>
      </c>
      <c r="I4745" s="487" t="s">
        <v>1499</v>
      </c>
      <c r="J4745" s="487" t="s">
        <v>793</v>
      </c>
    </row>
    <row r="4746" spans="1:10" ht="15" x14ac:dyDescent="0.2">
      <c r="A4746" s="486" t="s">
        <v>792</v>
      </c>
      <c r="B4746" s="487" t="s">
        <v>791</v>
      </c>
      <c r="C4746" s="488" t="s">
        <v>15536</v>
      </c>
      <c r="D4746" s="489" t="s">
        <v>15537</v>
      </c>
      <c r="E4746" s="487" t="s">
        <v>15538</v>
      </c>
      <c r="F4746" s="490">
        <v>0</v>
      </c>
      <c r="G4746" s="489">
        <v>59.1</v>
      </c>
      <c r="H4746" s="489">
        <v>0</v>
      </c>
      <c r="I4746" s="487" t="s">
        <v>1593</v>
      </c>
      <c r="J4746" s="487" t="s">
        <v>793</v>
      </c>
    </row>
    <row r="4747" spans="1:10" ht="15" x14ac:dyDescent="0.2">
      <c r="A4747" s="486" t="s">
        <v>792</v>
      </c>
      <c r="B4747" s="487" t="s">
        <v>791</v>
      </c>
      <c r="C4747" s="488" t="s">
        <v>15539</v>
      </c>
      <c r="D4747" s="489" t="s">
        <v>15540</v>
      </c>
      <c r="E4747" s="487" t="s">
        <v>15541</v>
      </c>
      <c r="F4747" s="490">
        <v>45000</v>
      </c>
      <c r="G4747" s="489">
        <v>1217.1600000000001</v>
      </c>
      <c r="H4747" s="489">
        <v>36.971310000000003</v>
      </c>
      <c r="I4747" s="487" t="s">
        <v>1499</v>
      </c>
      <c r="J4747" s="487" t="s">
        <v>793</v>
      </c>
    </row>
    <row r="4748" spans="1:10" ht="15" x14ac:dyDescent="0.2">
      <c r="A4748" s="486" t="s">
        <v>792</v>
      </c>
      <c r="B4748" s="487" t="s">
        <v>791</v>
      </c>
      <c r="C4748" s="488" t="s">
        <v>15542</v>
      </c>
      <c r="D4748" s="489" t="s">
        <v>15543</v>
      </c>
      <c r="E4748" s="487" t="s">
        <v>15544</v>
      </c>
      <c r="F4748" s="490">
        <v>10000</v>
      </c>
      <c r="G4748" s="489">
        <v>190.45</v>
      </c>
      <c r="H4748" s="489">
        <v>52.507219999999997</v>
      </c>
      <c r="I4748" s="487" t="s">
        <v>1499</v>
      </c>
      <c r="J4748" s="487" t="s">
        <v>793</v>
      </c>
    </row>
    <row r="4749" spans="1:10" ht="15" x14ac:dyDescent="0.2">
      <c r="A4749" s="486" t="s">
        <v>792</v>
      </c>
      <c r="B4749" s="487" t="s">
        <v>791</v>
      </c>
      <c r="C4749" s="488" t="s">
        <v>15545</v>
      </c>
      <c r="D4749" s="489" t="s">
        <v>15546</v>
      </c>
      <c r="E4749" s="487" t="s">
        <v>15547</v>
      </c>
      <c r="F4749" s="490">
        <v>8359</v>
      </c>
      <c r="G4749" s="489">
        <v>282.66000000000003</v>
      </c>
      <c r="H4749" s="489">
        <v>29.57263</v>
      </c>
      <c r="I4749" s="487" t="s">
        <v>1499</v>
      </c>
      <c r="J4749" s="487" t="s">
        <v>793</v>
      </c>
    </row>
    <row r="4750" spans="1:10" ht="15" x14ac:dyDescent="0.2">
      <c r="A4750" s="486" t="s">
        <v>792</v>
      </c>
      <c r="B4750" s="487" t="s">
        <v>791</v>
      </c>
      <c r="C4750" s="488" t="s">
        <v>15548</v>
      </c>
      <c r="D4750" s="489" t="s">
        <v>15549</v>
      </c>
      <c r="E4750" s="487" t="s">
        <v>15550</v>
      </c>
      <c r="F4750" s="490">
        <v>4000</v>
      </c>
      <c r="G4750" s="489">
        <v>119.44</v>
      </c>
      <c r="H4750" s="489">
        <v>33.489620000000002</v>
      </c>
      <c r="I4750" s="487" t="s">
        <v>1499</v>
      </c>
      <c r="J4750" s="487" t="s">
        <v>793</v>
      </c>
    </row>
    <row r="4751" spans="1:10" ht="15" x14ac:dyDescent="0.2">
      <c r="A4751" s="486" t="s">
        <v>792</v>
      </c>
      <c r="B4751" s="487" t="s">
        <v>791</v>
      </c>
      <c r="C4751" s="488" t="s">
        <v>15551</v>
      </c>
      <c r="D4751" s="489" t="s">
        <v>15552</v>
      </c>
      <c r="E4751" s="487" t="s">
        <v>15553</v>
      </c>
      <c r="F4751" s="490">
        <v>31020</v>
      </c>
      <c r="G4751" s="489">
        <v>483.62</v>
      </c>
      <c r="H4751" s="489">
        <v>64.141270000000006</v>
      </c>
      <c r="I4751" s="487" t="s">
        <v>1499</v>
      </c>
      <c r="J4751" s="487" t="s">
        <v>793</v>
      </c>
    </row>
    <row r="4752" spans="1:10" ht="15" x14ac:dyDescent="0.2">
      <c r="A4752" s="486" t="s">
        <v>1267</v>
      </c>
      <c r="B4752" s="487" t="s">
        <v>1266</v>
      </c>
      <c r="C4752" s="488" t="s">
        <v>15554</v>
      </c>
      <c r="D4752" s="489" t="s">
        <v>15555</v>
      </c>
      <c r="E4752" s="487" t="s">
        <v>15556</v>
      </c>
      <c r="F4752" s="490">
        <v>0</v>
      </c>
      <c r="G4752" s="489">
        <v>0</v>
      </c>
      <c r="H4752" s="489">
        <v>0</v>
      </c>
      <c r="I4752" s="487" t="s">
        <v>2465</v>
      </c>
      <c r="J4752" s="487" t="s">
        <v>1268</v>
      </c>
    </row>
    <row r="4753" spans="1:10" ht="15" x14ac:dyDescent="0.2">
      <c r="A4753" s="486" t="s">
        <v>1267</v>
      </c>
      <c r="B4753" s="487" t="s">
        <v>1266</v>
      </c>
      <c r="C4753" s="488" t="s">
        <v>15557</v>
      </c>
      <c r="D4753" s="489" t="s">
        <v>15558</v>
      </c>
      <c r="E4753" s="487" t="s">
        <v>15559</v>
      </c>
      <c r="F4753" s="490">
        <v>13780</v>
      </c>
      <c r="G4753" s="489">
        <v>689.68</v>
      </c>
      <c r="H4753" s="489">
        <v>19.98028</v>
      </c>
      <c r="I4753" s="487" t="s">
        <v>1499</v>
      </c>
      <c r="J4753" s="487" t="s">
        <v>1268</v>
      </c>
    </row>
    <row r="4754" spans="1:10" ht="15" x14ac:dyDescent="0.2">
      <c r="A4754" s="486" t="s">
        <v>1267</v>
      </c>
      <c r="B4754" s="487" t="s">
        <v>1266</v>
      </c>
      <c r="C4754" s="488" t="s">
        <v>15560</v>
      </c>
      <c r="D4754" s="489" t="s">
        <v>15561</v>
      </c>
      <c r="E4754" s="487" t="s">
        <v>15562</v>
      </c>
      <c r="F4754" s="490">
        <v>53718</v>
      </c>
      <c r="G4754" s="489">
        <v>1005.24</v>
      </c>
      <c r="H4754" s="489">
        <v>53.437980000000003</v>
      </c>
      <c r="I4754" s="487" t="s">
        <v>1499</v>
      </c>
      <c r="J4754" s="487" t="s">
        <v>1268</v>
      </c>
    </row>
    <row r="4755" spans="1:10" ht="15" x14ac:dyDescent="0.2">
      <c r="A4755" s="486" t="s">
        <v>1267</v>
      </c>
      <c r="B4755" s="487" t="s">
        <v>1266</v>
      </c>
      <c r="C4755" s="488" t="s">
        <v>15563</v>
      </c>
      <c r="D4755" s="489" t="s">
        <v>15564</v>
      </c>
      <c r="E4755" s="487" t="s">
        <v>15565</v>
      </c>
      <c r="F4755" s="490">
        <v>82527</v>
      </c>
      <c r="G4755" s="489">
        <v>1143.3800000000001</v>
      </c>
      <c r="H4755" s="489">
        <v>72.178100000000001</v>
      </c>
      <c r="I4755" s="487" t="s">
        <v>1499</v>
      </c>
      <c r="J4755" s="487" t="s">
        <v>1268</v>
      </c>
    </row>
    <row r="4756" spans="1:10" ht="15" x14ac:dyDescent="0.2">
      <c r="A4756" s="486" t="s">
        <v>1267</v>
      </c>
      <c r="B4756" s="487" t="s">
        <v>1266</v>
      </c>
      <c r="C4756" s="488" t="s">
        <v>15566</v>
      </c>
      <c r="D4756" s="489" t="s">
        <v>15567</v>
      </c>
      <c r="E4756" s="487" t="s">
        <v>15568</v>
      </c>
      <c r="F4756" s="490">
        <v>100140</v>
      </c>
      <c r="G4756" s="489">
        <v>707.36</v>
      </c>
      <c r="H4756" s="489">
        <v>141.56864999999999</v>
      </c>
      <c r="I4756" s="487" t="s">
        <v>1499</v>
      </c>
      <c r="J4756" s="487" t="s">
        <v>1268</v>
      </c>
    </row>
    <row r="4757" spans="1:10" ht="15" x14ac:dyDescent="0.2">
      <c r="A4757" s="486" t="s">
        <v>1267</v>
      </c>
      <c r="B4757" s="487" t="s">
        <v>1266</v>
      </c>
      <c r="C4757" s="488" t="s">
        <v>15569</v>
      </c>
      <c r="D4757" s="489" t="s">
        <v>15570</v>
      </c>
      <c r="E4757" s="487" t="s">
        <v>15571</v>
      </c>
      <c r="F4757" s="490">
        <v>12714</v>
      </c>
      <c r="G4757" s="489">
        <v>301.2</v>
      </c>
      <c r="H4757" s="489">
        <v>42.21116</v>
      </c>
      <c r="I4757" s="487" t="s">
        <v>1499</v>
      </c>
      <c r="J4757" s="487" t="s">
        <v>1268</v>
      </c>
    </row>
    <row r="4758" spans="1:10" ht="15" x14ac:dyDescent="0.2">
      <c r="A4758" s="486" t="s">
        <v>1267</v>
      </c>
      <c r="B4758" s="487" t="s">
        <v>1266</v>
      </c>
      <c r="C4758" s="488" t="s">
        <v>15572</v>
      </c>
      <c r="D4758" s="489" t="s">
        <v>15573</v>
      </c>
      <c r="E4758" s="487" t="s">
        <v>3461</v>
      </c>
      <c r="F4758" s="490">
        <v>9390</v>
      </c>
      <c r="G4758" s="489">
        <v>234.1</v>
      </c>
      <c r="H4758" s="489">
        <v>40.111060000000002</v>
      </c>
      <c r="I4758" s="487" t="s">
        <v>1499</v>
      </c>
      <c r="J4758" s="487" t="s">
        <v>1268</v>
      </c>
    </row>
    <row r="4759" spans="1:10" ht="15" x14ac:dyDescent="0.2">
      <c r="A4759" s="486" t="s">
        <v>1267</v>
      </c>
      <c r="B4759" s="487" t="s">
        <v>1266</v>
      </c>
      <c r="C4759" s="488" t="s">
        <v>15574</v>
      </c>
      <c r="D4759" s="489" t="s">
        <v>15575</v>
      </c>
      <c r="E4759" s="487" t="s">
        <v>15576</v>
      </c>
      <c r="F4759" s="490">
        <v>32663</v>
      </c>
      <c r="G4759" s="489">
        <v>524.79999999999995</v>
      </c>
      <c r="H4759" s="489">
        <v>62.238950000000003</v>
      </c>
      <c r="I4759" s="487" t="s">
        <v>1499</v>
      </c>
      <c r="J4759" s="487" t="s">
        <v>1268</v>
      </c>
    </row>
    <row r="4760" spans="1:10" ht="15" x14ac:dyDescent="0.2">
      <c r="A4760" s="486" t="s">
        <v>1267</v>
      </c>
      <c r="B4760" s="487" t="s">
        <v>1266</v>
      </c>
      <c r="C4760" s="488" t="s">
        <v>15577</v>
      </c>
      <c r="D4760" s="489" t="s">
        <v>15578</v>
      </c>
      <c r="E4760" s="487" t="s">
        <v>15579</v>
      </c>
      <c r="F4760" s="490">
        <v>82281</v>
      </c>
      <c r="G4760" s="489">
        <v>842.58</v>
      </c>
      <c r="H4760" s="489">
        <v>97.653639999999996</v>
      </c>
      <c r="I4760" s="487" t="s">
        <v>1499</v>
      </c>
      <c r="J4760" s="487" t="s">
        <v>1268</v>
      </c>
    </row>
    <row r="4761" spans="1:10" ht="15" x14ac:dyDescent="0.2">
      <c r="A4761" s="486" t="s">
        <v>1267</v>
      </c>
      <c r="B4761" s="487" t="s">
        <v>1266</v>
      </c>
      <c r="C4761" s="488" t="s">
        <v>15580</v>
      </c>
      <c r="D4761" s="489" t="s">
        <v>15581</v>
      </c>
      <c r="E4761" s="487" t="s">
        <v>15582</v>
      </c>
      <c r="F4761" s="490">
        <v>5524</v>
      </c>
      <c r="G4761" s="489">
        <v>157.84</v>
      </c>
      <c r="H4761" s="489">
        <v>34.99747</v>
      </c>
      <c r="I4761" s="487" t="s">
        <v>1499</v>
      </c>
      <c r="J4761" s="487" t="s">
        <v>1268</v>
      </c>
    </row>
    <row r="4762" spans="1:10" ht="15" x14ac:dyDescent="0.2">
      <c r="A4762" s="486" t="s">
        <v>1267</v>
      </c>
      <c r="B4762" s="487" t="s">
        <v>1266</v>
      </c>
      <c r="C4762" s="488" t="s">
        <v>15583</v>
      </c>
      <c r="D4762" s="489" t="s">
        <v>15584</v>
      </c>
      <c r="E4762" s="487" t="s">
        <v>15585</v>
      </c>
      <c r="F4762" s="490">
        <v>755000</v>
      </c>
      <c r="G4762" s="489">
        <v>7450.97</v>
      </c>
      <c r="H4762" s="489">
        <v>101.32908999999999</v>
      </c>
      <c r="I4762" s="487" t="s">
        <v>1499</v>
      </c>
      <c r="J4762" s="487" t="s">
        <v>1268</v>
      </c>
    </row>
    <row r="4763" spans="1:10" ht="15" x14ac:dyDescent="0.2">
      <c r="A4763" s="486" t="s">
        <v>1267</v>
      </c>
      <c r="B4763" s="487" t="s">
        <v>1266</v>
      </c>
      <c r="C4763" s="488" t="s">
        <v>15586</v>
      </c>
      <c r="D4763" s="489" t="s">
        <v>15587</v>
      </c>
      <c r="E4763" s="487" t="s">
        <v>15588</v>
      </c>
      <c r="F4763" s="490">
        <v>13620</v>
      </c>
      <c r="G4763" s="489">
        <v>188.1</v>
      </c>
      <c r="H4763" s="489">
        <v>72.408289999999994</v>
      </c>
      <c r="I4763" s="487" t="s">
        <v>1499</v>
      </c>
      <c r="J4763" s="487" t="s">
        <v>1268</v>
      </c>
    </row>
    <row r="4764" spans="1:10" ht="15" x14ac:dyDescent="0.2">
      <c r="A4764" s="486" t="s">
        <v>1267</v>
      </c>
      <c r="B4764" s="487" t="s">
        <v>1266</v>
      </c>
      <c r="C4764" s="488" t="s">
        <v>15589</v>
      </c>
      <c r="D4764" s="489" t="s">
        <v>15590</v>
      </c>
      <c r="E4764" s="487" t="s">
        <v>15591</v>
      </c>
      <c r="F4764" s="490">
        <v>21546</v>
      </c>
      <c r="G4764" s="489">
        <v>377.49</v>
      </c>
      <c r="H4764" s="489">
        <v>57.077010000000001</v>
      </c>
      <c r="I4764" s="487" t="s">
        <v>1499</v>
      </c>
      <c r="J4764" s="487" t="s">
        <v>1268</v>
      </c>
    </row>
    <row r="4765" spans="1:10" ht="15" x14ac:dyDescent="0.2">
      <c r="A4765" s="486" t="s">
        <v>1267</v>
      </c>
      <c r="B4765" s="487" t="s">
        <v>1266</v>
      </c>
      <c r="C4765" s="488" t="s">
        <v>15592</v>
      </c>
      <c r="D4765" s="489" t="s">
        <v>15593</v>
      </c>
      <c r="E4765" s="487" t="s">
        <v>15594</v>
      </c>
      <c r="F4765" s="490">
        <v>17863</v>
      </c>
      <c r="G4765" s="489">
        <v>320.81</v>
      </c>
      <c r="H4765" s="489">
        <v>55.680929999999996</v>
      </c>
      <c r="I4765" s="487" t="s">
        <v>1499</v>
      </c>
      <c r="J4765" s="487" t="s">
        <v>1268</v>
      </c>
    </row>
    <row r="4766" spans="1:10" ht="15" x14ac:dyDescent="0.2">
      <c r="A4766" s="486" t="s">
        <v>1267</v>
      </c>
      <c r="B4766" s="487" t="s">
        <v>1266</v>
      </c>
      <c r="C4766" s="488" t="s">
        <v>15595</v>
      </c>
      <c r="D4766" s="489" t="s">
        <v>15596</v>
      </c>
      <c r="E4766" s="487" t="s">
        <v>15597</v>
      </c>
      <c r="F4766" s="490">
        <v>69000</v>
      </c>
      <c r="G4766" s="489">
        <v>1477.7</v>
      </c>
      <c r="H4766" s="489">
        <v>46.694189999999999</v>
      </c>
      <c r="I4766" s="487" t="s">
        <v>1499</v>
      </c>
      <c r="J4766" s="487" t="s">
        <v>1268</v>
      </c>
    </row>
    <row r="4767" spans="1:10" ht="15" x14ac:dyDescent="0.2">
      <c r="A4767" s="486" t="s">
        <v>1267</v>
      </c>
      <c r="B4767" s="487" t="s">
        <v>1266</v>
      </c>
      <c r="C4767" s="488" t="s">
        <v>15598</v>
      </c>
      <c r="D4767" s="489" t="s">
        <v>15599</v>
      </c>
      <c r="E4767" s="487" t="s">
        <v>15600</v>
      </c>
      <c r="F4767" s="490">
        <v>0</v>
      </c>
      <c r="G4767" s="489">
        <v>0</v>
      </c>
      <c r="H4767" s="489">
        <v>0</v>
      </c>
      <c r="I4767" s="487" t="s">
        <v>2465</v>
      </c>
      <c r="J4767" s="487" t="s">
        <v>1268</v>
      </c>
    </row>
    <row r="4768" spans="1:10" ht="15" x14ac:dyDescent="0.2">
      <c r="A4768" s="486" t="s">
        <v>1267</v>
      </c>
      <c r="B4768" s="487" t="s">
        <v>1266</v>
      </c>
      <c r="C4768" s="488" t="s">
        <v>15601</v>
      </c>
      <c r="D4768" s="489" t="s">
        <v>15602</v>
      </c>
      <c r="E4768" s="487" t="s">
        <v>15603</v>
      </c>
      <c r="F4768" s="490">
        <v>83956</v>
      </c>
      <c r="G4768" s="489">
        <v>1241.57</v>
      </c>
      <c r="H4768" s="489">
        <v>67.620829999999998</v>
      </c>
      <c r="I4768" s="487" t="s">
        <v>1499</v>
      </c>
      <c r="J4768" s="487" t="s">
        <v>1268</v>
      </c>
    </row>
    <row r="4769" spans="1:10" ht="15" x14ac:dyDescent="0.2">
      <c r="A4769" s="486" t="s">
        <v>1267</v>
      </c>
      <c r="B4769" s="487" t="s">
        <v>1266</v>
      </c>
      <c r="C4769" s="488" t="s">
        <v>15604</v>
      </c>
      <c r="D4769" s="489" t="s">
        <v>15605</v>
      </c>
      <c r="E4769" s="487" t="s">
        <v>15606</v>
      </c>
      <c r="F4769" s="490">
        <v>38240</v>
      </c>
      <c r="G4769" s="489">
        <v>462.26</v>
      </c>
      <c r="H4769" s="489">
        <v>82.724010000000007</v>
      </c>
      <c r="I4769" s="487" t="s">
        <v>1499</v>
      </c>
      <c r="J4769" s="487" t="s">
        <v>1268</v>
      </c>
    </row>
    <row r="4770" spans="1:10" ht="15" x14ac:dyDescent="0.2">
      <c r="A4770" s="486" t="s">
        <v>1267</v>
      </c>
      <c r="B4770" s="487" t="s">
        <v>1266</v>
      </c>
      <c r="C4770" s="488" t="s">
        <v>15607</v>
      </c>
      <c r="D4770" s="489" t="s">
        <v>15608</v>
      </c>
      <c r="E4770" s="487" t="s">
        <v>15609</v>
      </c>
      <c r="F4770" s="490">
        <v>0</v>
      </c>
      <c r="G4770" s="489">
        <v>42.52</v>
      </c>
      <c r="H4770" s="489">
        <v>0</v>
      </c>
      <c r="I4770" s="487" t="s">
        <v>1593</v>
      </c>
      <c r="J4770" s="487" t="s">
        <v>1268</v>
      </c>
    </row>
    <row r="4771" spans="1:10" ht="15" x14ac:dyDescent="0.2">
      <c r="A4771" s="486" t="s">
        <v>1267</v>
      </c>
      <c r="B4771" s="487" t="s">
        <v>1266</v>
      </c>
      <c r="C4771" s="488" t="s">
        <v>15610</v>
      </c>
      <c r="D4771" s="489" t="s">
        <v>15611</v>
      </c>
      <c r="E4771" s="487" t="s">
        <v>15612</v>
      </c>
      <c r="F4771" s="490">
        <v>35446</v>
      </c>
      <c r="G4771" s="489">
        <v>480.02</v>
      </c>
      <c r="H4771" s="489">
        <v>73.842759999999998</v>
      </c>
      <c r="I4771" s="487" t="s">
        <v>1499</v>
      </c>
      <c r="J4771" s="487" t="s">
        <v>1268</v>
      </c>
    </row>
    <row r="4772" spans="1:10" ht="15" x14ac:dyDescent="0.2">
      <c r="A4772" s="486" t="s">
        <v>1267</v>
      </c>
      <c r="B4772" s="487" t="s">
        <v>1266</v>
      </c>
      <c r="C4772" s="488" t="s">
        <v>15613</v>
      </c>
      <c r="D4772" s="489" t="s">
        <v>15614</v>
      </c>
      <c r="E4772" s="487" t="s">
        <v>15615</v>
      </c>
      <c r="F4772" s="490">
        <v>7000</v>
      </c>
      <c r="G4772" s="489">
        <v>100.68</v>
      </c>
      <c r="H4772" s="489">
        <v>69.527209999999997</v>
      </c>
      <c r="I4772" s="487" t="s">
        <v>1499</v>
      </c>
      <c r="J4772" s="487" t="s">
        <v>1268</v>
      </c>
    </row>
    <row r="4773" spans="1:10" ht="15" x14ac:dyDescent="0.2">
      <c r="A4773" s="486" t="s">
        <v>1267</v>
      </c>
      <c r="B4773" s="487" t="s">
        <v>1266</v>
      </c>
      <c r="C4773" s="488" t="s">
        <v>15616</v>
      </c>
      <c r="D4773" s="489" t="s">
        <v>15617</v>
      </c>
      <c r="E4773" s="487" t="s">
        <v>15618</v>
      </c>
      <c r="F4773" s="490">
        <v>200408</v>
      </c>
      <c r="G4773" s="489">
        <v>5725.95</v>
      </c>
      <c r="H4773" s="489">
        <v>34.999960000000002</v>
      </c>
      <c r="I4773" s="487" t="s">
        <v>1499</v>
      </c>
      <c r="J4773" s="487" t="s">
        <v>1268</v>
      </c>
    </row>
    <row r="4774" spans="1:10" ht="15" x14ac:dyDescent="0.2">
      <c r="A4774" s="486" t="s">
        <v>1267</v>
      </c>
      <c r="B4774" s="487" t="s">
        <v>1266</v>
      </c>
      <c r="C4774" s="488" t="s">
        <v>15619</v>
      </c>
      <c r="D4774" s="489" t="s">
        <v>15620</v>
      </c>
      <c r="E4774" s="487" t="s">
        <v>15517</v>
      </c>
      <c r="F4774" s="490">
        <v>61671</v>
      </c>
      <c r="G4774" s="489">
        <v>1068.6300000000001</v>
      </c>
      <c r="H4774" s="489">
        <v>57.710340000000002</v>
      </c>
      <c r="I4774" s="487" t="s">
        <v>1499</v>
      </c>
      <c r="J4774" s="487" t="s">
        <v>1268</v>
      </c>
    </row>
    <row r="4775" spans="1:10" ht="15" x14ac:dyDescent="0.2">
      <c r="A4775" s="486" t="s">
        <v>1267</v>
      </c>
      <c r="B4775" s="487" t="s">
        <v>1266</v>
      </c>
      <c r="C4775" s="488" t="s">
        <v>15621</v>
      </c>
      <c r="D4775" s="489" t="s">
        <v>15622</v>
      </c>
      <c r="E4775" s="487" t="s">
        <v>11212</v>
      </c>
      <c r="F4775" s="490">
        <v>5449</v>
      </c>
      <c r="G4775" s="489">
        <v>158.91999999999999</v>
      </c>
      <c r="H4775" s="489">
        <v>34.287689999999998</v>
      </c>
      <c r="I4775" s="487" t="s">
        <v>1499</v>
      </c>
      <c r="J4775" s="487" t="s">
        <v>1268</v>
      </c>
    </row>
    <row r="4776" spans="1:10" ht="15" x14ac:dyDescent="0.2">
      <c r="A4776" s="486" t="s">
        <v>1267</v>
      </c>
      <c r="B4776" s="487" t="s">
        <v>1266</v>
      </c>
      <c r="C4776" s="488" t="s">
        <v>15623</v>
      </c>
      <c r="D4776" s="489" t="s">
        <v>15624</v>
      </c>
      <c r="E4776" s="487" t="s">
        <v>15625</v>
      </c>
      <c r="F4776" s="490">
        <v>0</v>
      </c>
      <c r="G4776" s="489">
        <v>0</v>
      </c>
      <c r="H4776" s="489">
        <v>0</v>
      </c>
      <c r="I4776" s="487" t="s">
        <v>2465</v>
      </c>
      <c r="J4776" s="487" t="s">
        <v>1268</v>
      </c>
    </row>
    <row r="4777" spans="1:10" ht="15" x14ac:dyDescent="0.2">
      <c r="A4777" s="486" t="s">
        <v>1267</v>
      </c>
      <c r="B4777" s="487" t="s">
        <v>1266</v>
      </c>
      <c r="C4777" s="488" t="s">
        <v>15626</v>
      </c>
      <c r="D4777" s="489" t="s">
        <v>15627</v>
      </c>
      <c r="E4777" s="487" t="s">
        <v>15628</v>
      </c>
      <c r="F4777" s="490">
        <v>15700</v>
      </c>
      <c r="G4777" s="489">
        <v>182.97</v>
      </c>
      <c r="H4777" s="489">
        <v>85.806420000000003</v>
      </c>
      <c r="I4777" s="487" t="s">
        <v>1499</v>
      </c>
      <c r="J4777" s="487" t="s">
        <v>1268</v>
      </c>
    </row>
    <row r="4778" spans="1:10" ht="15" x14ac:dyDescent="0.2">
      <c r="A4778" s="486" t="s">
        <v>1267</v>
      </c>
      <c r="B4778" s="487" t="s">
        <v>1266</v>
      </c>
      <c r="C4778" s="488" t="s">
        <v>15629</v>
      </c>
      <c r="D4778" s="489" t="s">
        <v>15630</v>
      </c>
      <c r="E4778" s="487" t="s">
        <v>15631</v>
      </c>
      <c r="F4778" s="490">
        <v>14000</v>
      </c>
      <c r="G4778" s="489">
        <v>284.93</v>
      </c>
      <c r="H4778" s="489">
        <v>49.134880000000003</v>
      </c>
      <c r="I4778" s="487" t="s">
        <v>1499</v>
      </c>
      <c r="J4778" s="487" t="s">
        <v>1268</v>
      </c>
    </row>
    <row r="4779" spans="1:10" ht="15" x14ac:dyDescent="0.2">
      <c r="A4779" s="486" t="s">
        <v>1267</v>
      </c>
      <c r="B4779" s="487" t="s">
        <v>1266</v>
      </c>
      <c r="C4779" s="488" t="s">
        <v>15632</v>
      </c>
      <c r="D4779" s="489" t="s">
        <v>15633</v>
      </c>
      <c r="E4779" s="487" t="s">
        <v>15634</v>
      </c>
      <c r="F4779" s="490">
        <v>72000</v>
      </c>
      <c r="G4779" s="489">
        <v>902.74</v>
      </c>
      <c r="H4779" s="489">
        <v>79.757180000000005</v>
      </c>
      <c r="I4779" s="487" t="s">
        <v>1499</v>
      </c>
      <c r="J4779" s="487" t="s">
        <v>1268</v>
      </c>
    </row>
    <row r="4780" spans="1:10" ht="15" x14ac:dyDescent="0.2">
      <c r="A4780" s="486" t="s">
        <v>1267</v>
      </c>
      <c r="B4780" s="487" t="s">
        <v>1266</v>
      </c>
      <c r="C4780" s="488" t="s">
        <v>15635</v>
      </c>
      <c r="D4780" s="489" t="s">
        <v>15636</v>
      </c>
      <c r="E4780" s="487" t="s">
        <v>15637</v>
      </c>
      <c r="F4780" s="490">
        <v>13500</v>
      </c>
      <c r="G4780" s="489">
        <v>240.32</v>
      </c>
      <c r="H4780" s="489">
        <v>56.1751</v>
      </c>
      <c r="I4780" s="487" t="s">
        <v>1499</v>
      </c>
      <c r="J4780" s="487" t="s">
        <v>1268</v>
      </c>
    </row>
    <row r="4781" spans="1:10" ht="15" x14ac:dyDescent="0.2">
      <c r="A4781" s="486" t="s">
        <v>1267</v>
      </c>
      <c r="B4781" s="487" t="s">
        <v>1266</v>
      </c>
      <c r="C4781" s="488" t="s">
        <v>15638</v>
      </c>
      <c r="D4781" s="489" t="s">
        <v>15639</v>
      </c>
      <c r="E4781" s="487" t="s">
        <v>15640</v>
      </c>
      <c r="F4781" s="490">
        <v>18320</v>
      </c>
      <c r="G4781" s="489">
        <v>374.56</v>
      </c>
      <c r="H4781" s="489">
        <v>48.910719999999998</v>
      </c>
      <c r="I4781" s="487" t="s">
        <v>1499</v>
      </c>
      <c r="J4781" s="487" t="s">
        <v>1268</v>
      </c>
    </row>
    <row r="4782" spans="1:10" ht="15" x14ac:dyDescent="0.2">
      <c r="A4782" s="486" t="s">
        <v>1267</v>
      </c>
      <c r="B4782" s="487" t="s">
        <v>1266</v>
      </c>
      <c r="C4782" s="488" t="s">
        <v>15641</v>
      </c>
      <c r="D4782" s="489" t="s">
        <v>15642</v>
      </c>
      <c r="E4782" s="487" t="s">
        <v>15643</v>
      </c>
      <c r="F4782" s="490">
        <v>139962</v>
      </c>
      <c r="G4782" s="489">
        <v>2817.1</v>
      </c>
      <c r="H4782" s="489">
        <v>49.683010000000003</v>
      </c>
      <c r="I4782" s="487" t="s">
        <v>1499</v>
      </c>
      <c r="J4782" s="487" t="s">
        <v>1268</v>
      </c>
    </row>
    <row r="4783" spans="1:10" ht="15" x14ac:dyDescent="0.2">
      <c r="A4783" s="486" t="s">
        <v>1267</v>
      </c>
      <c r="B4783" s="487" t="s">
        <v>1266</v>
      </c>
      <c r="C4783" s="488" t="s">
        <v>15644</v>
      </c>
      <c r="D4783" s="489" t="s">
        <v>15645</v>
      </c>
      <c r="E4783" s="487" t="s">
        <v>15646</v>
      </c>
      <c r="F4783" s="490">
        <v>3439</v>
      </c>
      <c r="G4783" s="489">
        <v>110.14</v>
      </c>
      <c r="H4783" s="489">
        <v>31.2239</v>
      </c>
      <c r="I4783" s="487" t="s">
        <v>1499</v>
      </c>
      <c r="J4783" s="487" t="s">
        <v>1268</v>
      </c>
    </row>
    <row r="4784" spans="1:10" ht="15" x14ac:dyDescent="0.2">
      <c r="A4784" s="486" t="s">
        <v>1267</v>
      </c>
      <c r="B4784" s="487" t="s">
        <v>1266</v>
      </c>
      <c r="C4784" s="488" t="s">
        <v>15647</v>
      </c>
      <c r="D4784" s="489" t="s">
        <v>15648</v>
      </c>
      <c r="E4784" s="487" t="s">
        <v>15649</v>
      </c>
      <c r="F4784" s="490">
        <v>74000</v>
      </c>
      <c r="G4784" s="489">
        <v>993.51</v>
      </c>
      <c r="H4784" s="489">
        <v>74.483400000000003</v>
      </c>
      <c r="I4784" s="487" t="s">
        <v>1499</v>
      </c>
      <c r="J4784" s="487" t="s">
        <v>1268</v>
      </c>
    </row>
    <row r="4785" spans="1:10" ht="15" x14ac:dyDescent="0.2">
      <c r="A4785" s="486" t="s">
        <v>1267</v>
      </c>
      <c r="B4785" s="487" t="s">
        <v>1266</v>
      </c>
      <c r="C4785" s="488" t="s">
        <v>15650</v>
      </c>
      <c r="D4785" s="489" t="s">
        <v>15651</v>
      </c>
      <c r="E4785" s="487" t="s">
        <v>15652</v>
      </c>
      <c r="F4785" s="490">
        <v>4226</v>
      </c>
      <c r="G4785" s="489">
        <v>144.07</v>
      </c>
      <c r="H4785" s="489">
        <v>29.33296</v>
      </c>
      <c r="I4785" s="487" t="s">
        <v>1499</v>
      </c>
      <c r="J4785" s="487" t="s">
        <v>1268</v>
      </c>
    </row>
    <row r="4786" spans="1:10" ht="15" x14ac:dyDescent="0.2">
      <c r="A4786" s="486" t="s">
        <v>1267</v>
      </c>
      <c r="B4786" s="487" t="s">
        <v>1266</v>
      </c>
      <c r="C4786" s="488" t="s">
        <v>15653</v>
      </c>
      <c r="D4786" s="489" t="s">
        <v>15654</v>
      </c>
      <c r="E4786" s="487" t="s">
        <v>15655</v>
      </c>
      <c r="F4786" s="490">
        <v>11000</v>
      </c>
      <c r="G4786" s="489">
        <v>466.57</v>
      </c>
      <c r="H4786" s="489">
        <v>23.576309999999999</v>
      </c>
      <c r="I4786" s="487" t="s">
        <v>1499</v>
      </c>
      <c r="J4786" s="487" t="s">
        <v>1268</v>
      </c>
    </row>
    <row r="4787" spans="1:10" ht="15" x14ac:dyDescent="0.2">
      <c r="A4787" s="486" t="s">
        <v>1267</v>
      </c>
      <c r="B4787" s="487" t="s">
        <v>1266</v>
      </c>
      <c r="C4787" s="488" t="s">
        <v>15656</v>
      </c>
      <c r="D4787" s="489" t="s">
        <v>15657</v>
      </c>
      <c r="E4787" s="487" t="s">
        <v>15658</v>
      </c>
      <c r="F4787" s="490">
        <v>7500</v>
      </c>
      <c r="G4787" s="489">
        <v>688.77</v>
      </c>
      <c r="H4787" s="489">
        <v>10.88898</v>
      </c>
      <c r="I4787" s="487" t="s">
        <v>1499</v>
      </c>
      <c r="J4787" s="487" t="s">
        <v>1268</v>
      </c>
    </row>
    <row r="4788" spans="1:10" ht="15" x14ac:dyDescent="0.2">
      <c r="A4788" s="486" t="s">
        <v>1267</v>
      </c>
      <c r="B4788" s="487" t="s">
        <v>1266</v>
      </c>
      <c r="C4788" s="488" t="s">
        <v>15659</v>
      </c>
      <c r="D4788" s="489" t="s">
        <v>15660</v>
      </c>
      <c r="E4788" s="487" t="s">
        <v>15661</v>
      </c>
      <c r="F4788" s="490">
        <v>52311</v>
      </c>
      <c r="G4788" s="489">
        <v>1053.94</v>
      </c>
      <c r="H4788" s="489">
        <v>49.633760000000002</v>
      </c>
      <c r="I4788" s="487" t="s">
        <v>1499</v>
      </c>
      <c r="J4788" s="487" t="s">
        <v>1268</v>
      </c>
    </row>
    <row r="4789" spans="1:10" ht="15" x14ac:dyDescent="0.2">
      <c r="A4789" s="486" t="s">
        <v>1267</v>
      </c>
      <c r="B4789" s="487" t="s">
        <v>1266</v>
      </c>
      <c r="C4789" s="488" t="s">
        <v>15662</v>
      </c>
      <c r="D4789" s="489" t="s">
        <v>15663</v>
      </c>
      <c r="E4789" s="487" t="s">
        <v>15664</v>
      </c>
      <c r="F4789" s="490">
        <v>16500</v>
      </c>
      <c r="G4789" s="489">
        <v>509.6</v>
      </c>
      <c r="H4789" s="489">
        <v>32.378340000000001</v>
      </c>
      <c r="I4789" s="487" t="s">
        <v>1499</v>
      </c>
      <c r="J4789" s="487" t="s">
        <v>1268</v>
      </c>
    </row>
    <row r="4790" spans="1:10" ht="15" x14ac:dyDescent="0.2">
      <c r="A4790" s="486" t="s">
        <v>1267</v>
      </c>
      <c r="B4790" s="487" t="s">
        <v>1266</v>
      </c>
      <c r="C4790" s="488" t="s">
        <v>15665</v>
      </c>
      <c r="D4790" s="489" t="s">
        <v>15666</v>
      </c>
      <c r="E4790" s="487" t="s">
        <v>15667</v>
      </c>
      <c r="F4790" s="490">
        <v>9231</v>
      </c>
      <c r="G4790" s="489">
        <v>200.35</v>
      </c>
      <c r="H4790" s="489">
        <v>46.074370000000002</v>
      </c>
      <c r="I4790" s="487" t="s">
        <v>2465</v>
      </c>
      <c r="J4790" s="487" t="s">
        <v>1268</v>
      </c>
    </row>
    <row r="4791" spans="1:10" ht="15" x14ac:dyDescent="0.2">
      <c r="A4791" s="486" t="s">
        <v>1267</v>
      </c>
      <c r="B4791" s="487" t="s">
        <v>1266</v>
      </c>
      <c r="C4791" s="488" t="s">
        <v>15668</v>
      </c>
      <c r="D4791" s="489" t="s">
        <v>15669</v>
      </c>
      <c r="E4791" s="487" t="s">
        <v>15670</v>
      </c>
      <c r="F4791" s="490">
        <v>0</v>
      </c>
      <c r="G4791" s="489">
        <v>0</v>
      </c>
      <c r="H4791" s="489">
        <v>0</v>
      </c>
      <c r="I4791" s="487" t="s">
        <v>2465</v>
      </c>
      <c r="J4791" s="487" t="s">
        <v>1268</v>
      </c>
    </row>
    <row r="4792" spans="1:10" ht="15" x14ac:dyDescent="0.2">
      <c r="A4792" s="486" t="s">
        <v>1267</v>
      </c>
      <c r="B4792" s="487" t="s">
        <v>1266</v>
      </c>
      <c r="C4792" s="488" t="s">
        <v>15671</v>
      </c>
      <c r="D4792" s="489" t="s">
        <v>15672</v>
      </c>
      <c r="E4792" s="487" t="s">
        <v>15673</v>
      </c>
      <c r="F4792" s="490">
        <v>12728</v>
      </c>
      <c r="G4792" s="489">
        <v>369.45</v>
      </c>
      <c r="H4792" s="489">
        <v>34.451210000000003</v>
      </c>
      <c r="I4792" s="487" t="s">
        <v>1499</v>
      </c>
      <c r="J4792" s="487" t="s">
        <v>1268</v>
      </c>
    </row>
    <row r="4793" spans="1:10" ht="15" x14ac:dyDescent="0.2">
      <c r="A4793" s="486" t="s">
        <v>1299</v>
      </c>
      <c r="B4793" s="487" t="s">
        <v>1298</v>
      </c>
      <c r="C4793" s="488" t="s">
        <v>15674</v>
      </c>
      <c r="D4793" s="489" t="s">
        <v>15675</v>
      </c>
      <c r="E4793" s="487" t="s">
        <v>15676</v>
      </c>
      <c r="F4793" s="490">
        <v>10833.5</v>
      </c>
      <c r="G4793" s="489">
        <v>117.66</v>
      </c>
      <c r="H4793" s="489">
        <v>92.074619999999996</v>
      </c>
      <c r="I4793" s="487" t="s">
        <v>1499</v>
      </c>
      <c r="J4793" s="487" t="s">
        <v>1300</v>
      </c>
    </row>
    <row r="4794" spans="1:10" ht="15" x14ac:dyDescent="0.2">
      <c r="A4794" s="486" t="s">
        <v>1299</v>
      </c>
      <c r="B4794" s="487" t="s">
        <v>1298</v>
      </c>
      <c r="C4794" s="488" t="s">
        <v>15677</v>
      </c>
      <c r="D4794" s="489" t="s">
        <v>15678</v>
      </c>
      <c r="E4794" s="487" t="s">
        <v>15679</v>
      </c>
      <c r="F4794" s="490">
        <v>190154</v>
      </c>
      <c r="G4794" s="489">
        <v>4094.6</v>
      </c>
      <c r="H4794" s="489">
        <v>46.440190000000001</v>
      </c>
      <c r="I4794" s="487" t="s">
        <v>1499</v>
      </c>
      <c r="J4794" s="487" t="s">
        <v>1300</v>
      </c>
    </row>
    <row r="4795" spans="1:10" ht="15" x14ac:dyDescent="0.2">
      <c r="A4795" s="486" t="s">
        <v>1299</v>
      </c>
      <c r="B4795" s="487" t="s">
        <v>1298</v>
      </c>
      <c r="C4795" s="488" t="s">
        <v>15680</v>
      </c>
      <c r="D4795" s="489" t="s">
        <v>15681</v>
      </c>
      <c r="E4795" s="487" t="s">
        <v>15682</v>
      </c>
      <c r="F4795" s="490">
        <v>893160</v>
      </c>
      <c r="G4795" s="489">
        <v>10568.71</v>
      </c>
      <c r="H4795" s="489">
        <v>84.509839999999997</v>
      </c>
      <c r="I4795" s="487" t="s">
        <v>1499</v>
      </c>
      <c r="J4795" s="487" t="s">
        <v>1300</v>
      </c>
    </row>
    <row r="4796" spans="1:10" ht="15" x14ac:dyDescent="0.2">
      <c r="A4796" s="486" t="s">
        <v>1299</v>
      </c>
      <c r="B4796" s="487" t="s">
        <v>1298</v>
      </c>
      <c r="C4796" s="488" t="s">
        <v>15683</v>
      </c>
      <c r="D4796" s="489" t="s">
        <v>15684</v>
      </c>
      <c r="E4796" s="487" t="s">
        <v>15685</v>
      </c>
      <c r="F4796" s="490">
        <v>27049</v>
      </c>
      <c r="G4796" s="489">
        <v>863.77</v>
      </c>
      <c r="H4796" s="489">
        <v>31.315049999999999</v>
      </c>
      <c r="I4796" s="487" t="s">
        <v>1499</v>
      </c>
      <c r="J4796" s="487" t="s">
        <v>1300</v>
      </c>
    </row>
    <row r="4797" spans="1:10" ht="15" x14ac:dyDescent="0.2">
      <c r="A4797" s="486" t="s">
        <v>1299</v>
      </c>
      <c r="B4797" s="487" t="s">
        <v>1298</v>
      </c>
      <c r="C4797" s="488" t="s">
        <v>15686</v>
      </c>
      <c r="D4797" s="489" t="s">
        <v>15687</v>
      </c>
      <c r="E4797" s="487" t="s">
        <v>8700</v>
      </c>
      <c r="F4797" s="490">
        <v>30325</v>
      </c>
      <c r="G4797" s="489">
        <v>893.63</v>
      </c>
      <c r="H4797" s="489">
        <v>33.934629999999999</v>
      </c>
      <c r="I4797" s="487" t="s">
        <v>1499</v>
      </c>
      <c r="J4797" s="487" t="s">
        <v>1300</v>
      </c>
    </row>
    <row r="4798" spans="1:10" ht="15" x14ac:dyDescent="0.2">
      <c r="A4798" s="486" t="s">
        <v>1299</v>
      </c>
      <c r="B4798" s="487" t="s">
        <v>1298</v>
      </c>
      <c r="C4798" s="488" t="s">
        <v>15688</v>
      </c>
      <c r="D4798" s="489" t="s">
        <v>15689</v>
      </c>
      <c r="E4798" s="487" t="s">
        <v>15690</v>
      </c>
      <c r="F4798" s="490">
        <v>118940</v>
      </c>
      <c r="G4798" s="489">
        <v>1391.11</v>
      </c>
      <c r="H4798" s="489">
        <v>85.500069999999994</v>
      </c>
      <c r="I4798" s="487" t="s">
        <v>1499</v>
      </c>
      <c r="J4798" s="487" t="s">
        <v>1300</v>
      </c>
    </row>
    <row r="4799" spans="1:10" ht="15" x14ac:dyDescent="0.2">
      <c r="A4799" s="486" t="s">
        <v>1299</v>
      </c>
      <c r="B4799" s="487" t="s">
        <v>1298</v>
      </c>
      <c r="C4799" s="488" t="s">
        <v>15691</v>
      </c>
      <c r="D4799" s="489" t="s">
        <v>15692</v>
      </c>
      <c r="E4799" s="487" t="s">
        <v>7181</v>
      </c>
      <c r="F4799" s="490">
        <v>19237</v>
      </c>
      <c r="G4799" s="489">
        <v>321.41000000000003</v>
      </c>
      <c r="H4799" s="489">
        <v>59.851900000000001</v>
      </c>
      <c r="I4799" s="487" t="s">
        <v>1499</v>
      </c>
      <c r="J4799" s="487" t="s">
        <v>1300</v>
      </c>
    </row>
    <row r="4800" spans="1:10" ht="15" x14ac:dyDescent="0.2">
      <c r="A4800" s="486" t="s">
        <v>1299</v>
      </c>
      <c r="B4800" s="487" t="s">
        <v>1298</v>
      </c>
      <c r="C4800" s="488" t="s">
        <v>15693</v>
      </c>
      <c r="D4800" s="489" t="s">
        <v>15694</v>
      </c>
      <c r="E4800" s="487" t="s">
        <v>15695</v>
      </c>
      <c r="F4800" s="490">
        <v>1127760</v>
      </c>
      <c r="G4800" s="489">
        <v>12786.39</v>
      </c>
      <c r="H4800" s="489">
        <v>88.200029999999998</v>
      </c>
      <c r="I4800" s="487" t="s">
        <v>1499</v>
      </c>
      <c r="J4800" s="487" t="s">
        <v>1300</v>
      </c>
    </row>
    <row r="4801" spans="1:10" ht="15" x14ac:dyDescent="0.2">
      <c r="A4801" s="486" t="s">
        <v>1299</v>
      </c>
      <c r="B4801" s="487" t="s">
        <v>1298</v>
      </c>
      <c r="C4801" s="488" t="s">
        <v>15696</v>
      </c>
      <c r="D4801" s="489" t="s">
        <v>15697</v>
      </c>
      <c r="E4801" s="487" t="s">
        <v>15698</v>
      </c>
      <c r="F4801" s="490">
        <v>251622</v>
      </c>
      <c r="G4801" s="489">
        <v>13978.99</v>
      </c>
      <c r="H4801" s="489">
        <v>18.00001</v>
      </c>
      <c r="I4801" s="487" t="s">
        <v>1654</v>
      </c>
      <c r="J4801" s="487" t="s">
        <v>1300</v>
      </c>
    </row>
    <row r="4802" spans="1:10" ht="15" x14ac:dyDescent="0.2">
      <c r="A4802" s="486" t="s">
        <v>1299</v>
      </c>
      <c r="B4802" s="487" t="s">
        <v>1298</v>
      </c>
      <c r="C4802" s="488" t="s">
        <v>15699</v>
      </c>
      <c r="D4802" s="489" t="s">
        <v>15700</v>
      </c>
      <c r="E4802" s="487" t="s">
        <v>15701</v>
      </c>
      <c r="F4802" s="490">
        <v>30189</v>
      </c>
      <c r="G4802" s="489">
        <v>546.30999999999995</v>
      </c>
      <c r="H4802" s="489">
        <v>55.259830000000001</v>
      </c>
      <c r="I4802" s="487" t="s">
        <v>1499</v>
      </c>
      <c r="J4802" s="487" t="s">
        <v>1300</v>
      </c>
    </row>
    <row r="4803" spans="1:10" ht="15" x14ac:dyDescent="0.2">
      <c r="A4803" s="486" t="s">
        <v>1299</v>
      </c>
      <c r="B4803" s="487" t="s">
        <v>1298</v>
      </c>
      <c r="C4803" s="488" t="s">
        <v>15702</v>
      </c>
      <c r="D4803" s="489" t="s">
        <v>15703</v>
      </c>
      <c r="E4803" s="487" t="s">
        <v>15704</v>
      </c>
      <c r="F4803" s="490">
        <v>388557</v>
      </c>
      <c r="G4803" s="489">
        <v>2698.31</v>
      </c>
      <c r="H4803" s="489">
        <v>144.00013000000001</v>
      </c>
      <c r="I4803" s="487" t="s">
        <v>1499</v>
      </c>
      <c r="J4803" s="487" t="s">
        <v>1300</v>
      </c>
    </row>
    <row r="4804" spans="1:10" ht="15" x14ac:dyDescent="0.2">
      <c r="A4804" s="486" t="s">
        <v>1308</v>
      </c>
      <c r="B4804" s="487" t="s">
        <v>1307</v>
      </c>
      <c r="C4804" s="488" t="s">
        <v>15705</v>
      </c>
      <c r="D4804" s="489" t="s">
        <v>15706</v>
      </c>
      <c r="E4804" s="487" t="s">
        <v>2755</v>
      </c>
      <c r="F4804" s="490">
        <v>35000</v>
      </c>
      <c r="G4804" s="489">
        <v>440.53</v>
      </c>
      <c r="H4804" s="489">
        <v>79.449749999999995</v>
      </c>
      <c r="I4804" s="487" t="s">
        <v>1499</v>
      </c>
      <c r="J4804" s="487" t="s">
        <v>1309</v>
      </c>
    </row>
    <row r="4805" spans="1:10" ht="15" x14ac:dyDescent="0.2">
      <c r="A4805" s="486" t="s">
        <v>1308</v>
      </c>
      <c r="B4805" s="487" t="s">
        <v>1307</v>
      </c>
      <c r="C4805" s="488" t="s">
        <v>15707</v>
      </c>
      <c r="D4805" s="489" t="s">
        <v>15708</v>
      </c>
      <c r="E4805" s="487" t="s">
        <v>15709</v>
      </c>
      <c r="F4805" s="490">
        <v>318394.89</v>
      </c>
      <c r="G4805" s="489">
        <v>4593.21</v>
      </c>
      <c r="H4805" s="489">
        <v>69.318600000000004</v>
      </c>
      <c r="I4805" s="487" t="s">
        <v>1499</v>
      </c>
      <c r="J4805" s="487" t="s">
        <v>1309</v>
      </c>
    </row>
    <row r="4806" spans="1:10" ht="15" x14ac:dyDescent="0.2">
      <c r="A4806" s="486" t="s">
        <v>1308</v>
      </c>
      <c r="B4806" s="487" t="s">
        <v>1307</v>
      </c>
      <c r="C4806" s="488" t="s">
        <v>15710</v>
      </c>
      <c r="D4806" s="489" t="s">
        <v>15711</v>
      </c>
      <c r="E4806" s="487" t="s">
        <v>15712</v>
      </c>
      <c r="F4806" s="490">
        <v>13270</v>
      </c>
      <c r="G4806" s="489">
        <v>201.77</v>
      </c>
      <c r="H4806" s="489">
        <v>65.767949999999999</v>
      </c>
      <c r="I4806" s="487" t="s">
        <v>1499</v>
      </c>
      <c r="J4806" s="487" t="s">
        <v>1309</v>
      </c>
    </row>
    <row r="4807" spans="1:10" ht="15" x14ac:dyDescent="0.2">
      <c r="A4807" s="486" t="s">
        <v>1308</v>
      </c>
      <c r="B4807" s="487" t="s">
        <v>1307</v>
      </c>
      <c r="C4807" s="488" t="s">
        <v>15713</v>
      </c>
      <c r="D4807" s="489" t="s">
        <v>15714</v>
      </c>
      <c r="E4807" s="487" t="s">
        <v>15715</v>
      </c>
      <c r="F4807" s="490">
        <v>259850</v>
      </c>
      <c r="G4807" s="489">
        <v>1736.49</v>
      </c>
      <c r="H4807" s="489">
        <v>149.64094</v>
      </c>
      <c r="I4807" s="487" t="s">
        <v>1499</v>
      </c>
      <c r="J4807" s="487" t="s">
        <v>1309</v>
      </c>
    </row>
    <row r="4808" spans="1:10" ht="15" x14ac:dyDescent="0.2">
      <c r="A4808" s="486" t="s">
        <v>1308</v>
      </c>
      <c r="B4808" s="487" t="s">
        <v>1307</v>
      </c>
      <c r="C4808" s="488" t="s">
        <v>15716</v>
      </c>
      <c r="D4808" s="489" t="s">
        <v>15717</v>
      </c>
      <c r="E4808" s="487" t="s">
        <v>15718</v>
      </c>
      <c r="F4808" s="490">
        <v>30779.02</v>
      </c>
      <c r="G4808" s="489">
        <v>477.01</v>
      </c>
      <c r="H4808" s="489">
        <v>64.524889999999999</v>
      </c>
      <c r="I4808" s="487" t="s">
        <v>1499</v>
      </c>
      <c r="J4808" s="487" t="s">
        <v>1309</v>
      </c>
    </row>
    <row r="4809" spans="1:10" ht="15" x14ac:dyDescent="0.2">
      <c r="A4809" s="486" t="s">
        <v>1308</v>
      </c>
      <c r="B4809" s="487" t="s">
        <v>1307</v>
      </c>
      <c r="C4809" s="488" t="s">
        <v>15719</v>
      </c>
      <c r="D4809" s="489" t="s">
        <v>15720</v>
      </c>
      <c r="E4809" s="487" t="s">
        <v>15721</v>
      </c>
      <c r="F4809" s="490">
        <v>296465</v>
      </c>
      <c r="G4809" s="489">
        <v>1824.19</v>
      </c>
      <c r="H4809" s="489">
        <v>162.51871</v>
      </c>
      <c r="I4809" s="487" t="s">
        <v>1499</v>
      </c>
      <c r="J4809" s="487" t="s">
        <v>1309</v>
      </c>
    </row>
    <row r="4810" spans="1:10" ht="15" x14ac:dyDescent="0.2">
      <c r="A4810" s="486" t="s">
        <v>1308</v>
      </c>
      <c r="B4810" s="487" t="s">
        <v>1307</v>
      </c>
      <c r="C4810" s="488" t="s">
        <v>15722</v>
      </c>
      <c r="D4810" s="489" t="s">
        <v>15723</v>
      </c>
      <c r="E4810" s="487" t="s">
        <v>15724</v>
      </c>
      <c r="F4810" s="490">
        <v>511625</v>
      </c>
      <c r="G4810" s="489">
        <v>5250.09</v>
      </c>
      <c r="H4810" s="489">
        <v>97.450710000000001</v>
      </c>
      <c r="I4810" s="487" t="s">
        <v>1499</v>
      </c>
      <c r="J4810" s="487" t="s">
        <v>1309</v>
      </c>
    </row>
    <row r="4811" spans="1:10" ht="15" x14ac:dyDescent="0.2">
      <c r="A4811" s="486" t="s">
        <v>1308</v>
      </c>
      <c r="B4811" s="487" t="s">
        <v>1307</v>
      </c>
      <c r="C4811" s="488" t="s">
        <v>15725</v>
      </c>
      <c r="D4811" s="489" t="s">
        <v>15726</v>
      </c>
      <c r="E4811" s="487" t="s">
        <v>15727</v>
      </c>
      <c r="F4811" s="490">
        <v>174154</v>
      </c>
      <c r="G4811" s="489">
        <v>1349.45</v>
      </c>
      <c r="H4811" s="489">
        <v>129.05554000000001</v>
      </c>
      <c r="I4811" s="487" t="s">
        <v>1499</v>
      </c>
      <c r="J4811" s="487" t="s">
        <v>1309</v>
      </c>
    </row>
    <row r="4812" spans="1:10" ht="15" x14ac:dyDescent="0.2">
      <c r="A4812" s="486" t="s">
        <v>1308</v>
      </c>
      <c r="B4812" s="487" t="s">
        <v>1307</v>
      </c>
      <c r="C4812" s="488" t="s">
        <v>15728</v>
      </c>
      <c r="D4812" s="489" t="s">
        <v>15729</v>
      </c>
      <c r="E4812" s="487" t="s">
        <v>15730</v>
      </c>
      <c r="F4812" s="490">
        <v>181415</v>
      </c>
      <c r="G4812" s="489">
        <v>1587.91</v>
      </c>
      <c r="H4812" s="489">
        <v>114.24766</v>
      </c>
      <c r="I4812" s="487" t="s">
        <v>1499</v>
      </c>
      <c r="J4812" s="487" t="s">
        <v>1309</v>
      </c>
    </row>
    <row r="4813" spans="1:10" ht="15" x14ac:dyDescent="0.2">
      <c r="A4813" s="486" t="s">
        <v>1308</v>
      </c>
      <c r="B4813" s="487" t="s">
        <v>1307</v>
      </c>
      <c r="C4813" s="488" t="s">
        <v>15731</v>
      </c>
      <c r="D4813" s="489" t="s">
        <v>15732</v>
      </c>
      <c r="E4813" s="487" t="s">
        <v>15733</v>
      </c>
      <c r="F4813" s="490">
        <v>138990</v>
      </c>
      <c r="G4813" s="489">
        <v>2344.16</v>
      </c>
      <c r="H4813" s="489">
        <v>59.292029999999997</v>
      </c>
      <c r="I4813" s="487" t="s">
        <v>1499</v>
      </c>
      <c r="J4813" s="487" t="s">
        <v>1309</v>
      </c>
    </row>
    <row r="4814" spans="1:10" ht="15" x14ac:dyDescent="0.2">
      <c r="A4814" s="486" t="s">
        <v>1308</v>
      </c>
      <c r="B4814" s="487" t="s">
        <v>1307</v>
      </c>
      <c r="C4814" s="488" t="s">
        <v>15734</v>
      </c>
      <c r="D4814" s="489" t="s">
        <v>15735</v>
      </c>
      <c r="E4814" s="487" t="s">
        <v>15736</v>
      </c>
      <c r="F4814" s="490">
        <v>132151</v>
      </c>
      <c r="G4814" s="489">
        <v>1154.46</v>
      </c>
      <c r="H4814" s="489">
        <v>114.46997</v>
      </c>
      <c r="I4814" s="487" t="s">
        <v>1499</v>
      </c>
      <c r="J4814" s="487" t="s">
        <v>1309</v>
      </c>
    </row>
    <row r="4815" spans="1:10" ht="15" x14ac:dyDescent="0.2">
      <c r="A4815" s="486" t="s">
        <v>1308</v>
      </c>
      <c r="B4815" s="487" t="s">
        <v>1307</v>
      </c>
      <c r="C4815" s="488" t="s">
        <v>15737</v>
      </c>
      <c r="D4815" s="489" t="s">
        <v>15738</v>
      </c>
      <c r="E4815" s="487" t="s">
        <v>15739</v>
      </c>
      <c r="F4815" s="490">
        <v>500000</v>
      </c>
      <c r="G4815" s="489">
        <v>4751.8100000000004</v>
      </c>
      <c r="H4815" s="489">
        <v>105.22306</v>
      </c>
      <c r="I4815" s="487" t="s">
        <v>1499</v>
      </c>
      <c r="J4815" s="487" t="s">
        <v>1309</v>
      </c>
    </row>
    <row r="4816" spans="1:10" ht="15" x14ac:dyDescent="0.2">
      <c r="A4816" s="486" t="s">
        <v>1308</v>
      </c>
      <c r="B4816" s="487" t="s">
        <v>1307</v>
      </c>
      <c r="C4816" s="488" t="s">
        <v>15740</v>
      </c>
      <c r="D4816" s="489" t="s">
        <v>15741</v>
      </c>
      <c r="E4816" s="487" t="s">
        <v>15742</v>
      </c>
      <c r="F4816" s="490">
        <v>163342</v>
      </c>
      <c r="G4816" s="489">
        <v>1919.03</v>
      </c>
      <c r="H4816" s="489">
        <v>85.116960000000006</v>
      </c>
      <c r="I4816" s="487" t="s">
        <v>1499</v>
      </c>
      <c r="J4816" s="487" t="s">
        <v>1309</v>
      </c>
    </row>
    <row r="4817" spans="1:10" ht="15" x14ac:dyDescent="0.2">
      <c r="A4817" s="486" t="s">
        <v>1308</v>
      </c>
      <c r="B4817" s="487" t="s">
        <v>1307</v>
      </c>
      <c r="C4817" s="488" t="s">
        <v>15743</v>
      </c>
      <c r="D4817" s="489" t="s">
        <v>15744</v>
      </c>
      <c r="E4817" s="487" t="s">
        <v>15745</v>
      </c>
      <c r="F4817" s="490">
        <v>46070</v>
      </c>
      <c r="G4817" s="489">
        <v>465.49</v>
      </c>
      <c r="H4817" s="489">
        <v>98.970979999999997</v>
      </c>
      <c r="I4817" s="487" t="s">
        <v>1499</v>
      </c>
      <c r="J4817" s="487" t="s">
        <v>1309</v>
      </c>
    </row>
    <row r="4818" spans="1:10" ht="15" x14ac:dyDescent="0.2">
      <c r="A4818" s="486" t="s">
        <v>1308</v>
      </c>
      <c r="B4818" s="487" t="s">
        <v>1307</v>
      </c>
      <c r="C4818" s="488" t="s">
        <v>15746</v>
      </c>
      <c r="D4818" s="489" t="s">
        <v>15747</v>
      </c>
      <c r="E4818" s="487" t="s">
        <v>15748</v>
      </c>
      <c r="F4818" s="490">
        <v>27729</v>
      </c>
      <c r="G4818" s="489">
        <v>412.45</v>
      </c>
      <c r="H4818" s="489">
        <v>67.229969999999994</v>
      </c>
      <c r="I4818" s="487" t="s">
        <v>1499</v>
      </c>
      <c r="J4818" s="487" t="s">
        <v>1309</v>
      </c>
    </row>
    <row r="4819" spans="1:10" ht="15" x14ac:dyDescent="0.2">
      <c r="A4819" s="486" t="s">
        <v>1308</v>
      </c>
      <c r="B4819" s="487" t="s">
        <v>1307</v>
      </c>
      <c r="C4819" s="488" t="s">
        <v>15749</v>
      </c>
      <c r="D4819" s="489" t="s">
        <v>15750</v>
      </c>
      <c r="E4819" s="487" t="s">
        <v>15751</v>
      </c>
      <c r="F4819" s="490">
        <v>82000</v>
      </c>
      <c r="G4819" s="489">
        <v>917.17</v>
      </c>
      <c r="H4819" s="489">
        <v>89.405450000000002</v>
      </c>
      <c r="I4819" s="487" t="s">
        <v>1499</v>
      </c>
      <c r="J4819" s="487" t="s">
        <v>1309</v>
      </c>
    </row>
    <row r="4820" spans="1:10" ht="15" x14ac:dyDescent="0.2">
      <c r="A4820" s="486" t="s">
        <v>1308</v>
      </c>
      <c r="B4820" s="487" t="s">
        <v>1307</v>
      </c>
      <c r="C4820" s="488" t="s">
        <v>15752</v>
      </c>
      <c r="D4820" s="489" t="s">
        <v>15753</v>
      </c>
      <c r="E4820" s="487" t="s">
        <v>15754</v>
      </c>
      <c r="F4820" s="490">
        <v>60088</v>
      </c>
      <c r="G4820" s="489">
        <v>613.29999999999995</v>
      </c>
      <c r="H4820" s="489">
        <v>97.974890000000002</v>
      </c>
      <c r="I4820" s="487" t="s">
        <v>1499</v>
      </c>
      <c r="J4820" s="487" t="s">
        <v>1309</v>
      </c>
    </row>
    <row r="4821" spans="1:10" ht="15" x14ac:dyDescent="0.2">
      <c r="A4821" s="486" t="s">
        <v>1308</v>
      </c>
      <c r="B4821" s="487" t="s">
        <v>1307</v>
      </c>
      <c r="C4821" s="488" t="s">
        <v>15755</v>
      </c>
      <c r="D4821" s="489" t="s">
        <v>15756</v>
      </c>
      <c r="E4821" s="487" t="s">
        <v>15757</v>
      </c>
      <c r="F4821" s="490">
        <v>29232</v>
      </c>
      <c r="G4821" s="489">
        <v>375.74</v>
      </c>
      <c r="H4821" s="489">
        <v>77.798479999999998</v>
      </c>
      <c r="I4821" s="487" t="s">
        <v>1499</v>
      </c>
      <c r="J4821" s="487" t="s">
        <v>1309</v>
      </c>
    </row>
    <row r="4822" spans="1:10" ht="15" x14ac:dyDescent="0.2">
      <c r="A4822" s="486" t="s">
        <v>1308</v>
      </c>
      <c r="B4822" s="487" t="s">
        <v>1307</v>
      </c>
      <c r="C4822" s="488" t="s">
        <v>15758</v>
      </c>
      <c r="D4822" s="489" t="s">
        <v>15759</v>
      </c>
      <c r="E4822" s="487" t="s">
        <v>15760</v>
      </c>
      <c r="F4822" s="490">
        <v>17515</v>
      </c>
      <c r="G4822" s="489">
        <v>297.57</v>
      </c>
      <c r="H4822" s="489">
        <v>58.860100000000003</v>
      </c>
      <c r="I4822" s="487" t="s">
        <v>1499</v>
      </c>
      <c r="J4822" s="487" t="s">
        <v>1309</v>
      </c>
    </row>
    <row r="4823" spans="1:10" ht="15" x14ac:dyDescent="0.2">
      <c r="A4823" s="486" t="s">
        <v>1308</v>
      </c>
      <c r="B4823" s="487" t="s">
        <v>1307</v>
      </c>
      <c r="C4823" s="488" t="s">
        <v>15761</v>
      </c>
      <c r="D4823" s="489" t="s">
        <v>15762</v>
      </c>
      <c r="E4823" s="487" t="s">
        <v>15763</v>
      </c>
      <c r="F4823" s="490">
        <v>349077</v>
      </c>
      <c r="G4823" s="489">
        <v>3944.9</v>
      </c>
      <c r="H4823" s="489">
        <v>88.488169999999997</v>
      </c>
      <c r="I4823" s="487" t="s">
        <v>1499</v>
      </c>
      <c r="J4823" s="487" t="s">
        <v>1309</v>
      </c>
    </row>
    <row r="4824" spans="1:10" ht="15" x14ac:dyDescent="0.2">
      <c r="A4824" s="486" t="s">
        <v>1308</v>
      </c>
      <c r="B4824" s="487" t="s">
        <v>1307</v>
      </c>
      <c r="C4824" s="488" t="s">
        <v>15764</v>
      </c>
      <c r="D4824" s="489" t="s">
        <v>15765</v>
      </c>
      <c r="E4824" s="487" t="s">
        <v>15766</v>
      </c>
      <c r="F4824" s="490">
        <v>17780</v>
      </c>
      <c r="G4824" s="489">
        <v>296.64</v>
      </c>
      <c r="H4824" s="489">
        <v>59.93797</v>
      </c>
      <c r="I4824" s="487" t="s">
        <v>1499</v>
      </c>
      <c r="J4824" s="487" t="s">
        <v>1309</v>
      </c>
    </row>
    <row r="4825" spans="1:10" ht="15" x14ac:dyDescent="0.2">
      <c r="A4825" s="486" t="s">
        <v>1308</v>
      </c>
      <c r="B4825" s="487" t="s">
        <v>1307</v>
      </c>
      <c r="C4825" s="488" t="s">
        <v>15767</v>
      </c>
      <c r="D4825" s="489" t="s">
        <v>15768</v>
      </c>
      <c r="E4825" s="487" t="s">
        <v>15769</v>
      </c>
      <c r="F4825" s="490">
        <v>35000</v>
      </c>
      <c r="G4825" s="489">
        <v>284.81</v>
      </c>
      <c r="H4825" s="489">
        <v>122.88894000000001</v>
      </c>
      <c r="I4825" s="487" t="s">
        <v>1499</v>
      </c>
      <c r="J4825" s="487" t="s">
        <v>1309</v>
      </c>
    </row>
    <row r="4826" spans="1:10" ht="15" x14ac:dyDescent="0.2">
      <c r="A4826" s="486" t="s">
        <v>1308</v>
      </c>
      <c r="B4826" s="487" t="s">
        <v>1307</v>
      </c>
      <c r="C4826" s="488" t="s">
        <v>15770</v>
      </c>
      <c r="D4826" s="489" t="s">
        <v>15771</v>
      </c>
      <c r="E4826" s="487" t="s">
        <v>15772</v>
      </c>
      <c r="F4826" s="490">
        <v>150000</v>
      </c>
      <c r="G4826" s="489">
        <v>961.34</v>
      </c>
      <c r="H4826" s="489">
        <v>156.03220999999999</v>
      </c>
      <c r="I4826" s="487" t="s">
        <v>1499</v>
      </c>
      <c r="J4826" s="487" t="s">
        <v>1309</v>
      </c>
    </row>
    <row r="4827" spans="1:10" ht="15" x14ac:dyDescent="0.2">
      <c r="A4827" s="486" t="s">
        <v>1308</v>
      </c>
      <c r="B4827" s="487" t="s">
        <v>1307</v>
      </c>
      <c r="C4827" s="488" t="s">
        <v>15773</v>
      </c>
      <c r="D4827" s="489" t="s">
        <v>15774</v>
      </c>
      <c r="E4827" s="487" t="s">
        <v>15775</v>
      </c>
      <c r="F4827" s="490">
        <v>159578.82</v>
      </c>
      <c r="G4827" s="489">
        <v>1302.42</v>
      </c>
      <c r="H4827" s="489">
        <v>122.52485</v>
      </c>
      <c r="I4827" s="487" t="s">
        <v>1499</v>
      </c>
      <c r="J4827" s="487" t="s">
        <v>1309</v>
      </c>
    </row>
    <row r="4828" spans="1:10" ht="15" x14ac:dyDescent="0.2">
      <c r="A4828" s="486" t="s">
        <v>1308</v>
      </c>
      <c r="B4828" s="487" t="s">
        <v>1307</v>
      </c>
      <c r="C4828" s="488" t="s">
        <v>15776</v>
      </c>
      <c r="D4828" s="489" t="s">
        <v>15777</v>
      </c>
      <c r="E4828" s="487" t="s">
        <v>15778</v>
      </c>
      <c r="F4828" s="490">
        <v>7330</v>
      </c>
      <c r="G4828" s="489">
        <v>183.15</v>
      </c>
      <c r="H4828" s="489">
        <v>40.021839999999997</v>
      </c>
      <c r="I4828" s="487" t="s">
        <v>1499</v>
      </c>
      <c r="J4828" s="487" t="s">
        <v>1309</v>
      </c>
    </row>
    <row r="4829" spans="1:10" ht="15" x14ac:dyDescent="0.2">
      <c r="A4829" s="486" t="s">
        <v>1308</v>
      </c>
      <c r="B4829" s="487" t="s">
        <v>1307</v>
      </c>
      <c r="C4829" s="488" t="s">
        <v>15779</v>
      </c>
      <c r="D4829" s="489" t="s">
        <v>15780</v>
      </c>
      <c r="E4829" s="487" t="s">
        <v>15781</v>
      </c>
      <c r="F4829" s="490">
        <v>70433.820000000007</v>
      </c>
      <c r="G4829" s="489">
        <v>1301.6500000000001</v>
      </c>
      <c r="H4829" s="489">
        <v>54.111179999999997</v>
      </c>
      <c r="I4829" s="487" t="s">
        <v>1499</v>
      </c>
      <c r="J4829" s="487" t="s">
        <v>1309</v>
      </c>
    </row>
    <row r="4830" spans="1:10" ht="15" x14ac:dyDescent="0.2">
      <c r="A4830" s="486" t="s">
        <v>1308</v>
      </c>
      <c r="B4830" s="487" t="s">
        <v>1307</v>
      </c>
      <c r="C4830" s="488" t="s">
        <v>15782</v>
      </c>
      <c r="D4830" s="489" t="s">
        <v>15783</v>
      </c>
      <c r="E4830" s="487" t="s">
        <v>15784</v>
      </c>
      <c r="F4830" s="490">
        <v>138337</v>
      </c>
      <c r="G4830" s="489">
        <v>844.86</v>
      </c>
      <c r="H4830" s="489">
        <v>163.73955000000001</v>
      </c>
      <c r="I4830" s="487" t="s">
        <v>1499</v>
      </c>
      <c r="J4830" s="487" t="s">
        <v>1309</v>
      </c>
    </row>
    <row r="4831" spans="1:10" ht="15" x14ac:dyDescent="0.2">
      <c r="A4831" s="486" t="s">
        <v>1322</v>
      </c>
      <c r="B4831" s="487" t="s">
        <v>1321</v>
      </c>
      <c r="C4831" s="488" t="s">
        <v>15785</v>
      </c>
      <c r="D4831" s="489" t="s">
        <v>15786</v>
      </c>
      <c r="E4831" s="487" t="s">
        <v>15787</v>
      </c>
      <c r="F4831" s="490">
        <v>52000</v>
      </c>
      <c r="G4831" s="489">
        <v>964.82</v>
      </c>
      <c r="H4831" s="489">
        <v>53.896059999999999</v>
      </c>
      <c r="I4831" s="487" t="s">
        <v>1499</v>
      </c>
      <c r="J4831" s="487" t="s">
        <v>1323</v>
      </c>
    </row>
    <row r="4832" spans="1:10" ht="15" x14ac:dyDescent="0.2">
      <c r="A4832" s="486" t="s">
        <v>1322</v>
      </c>
      <c r="B4832" s="487" t="s">
        <v>1321</v>
      </c>
      <c r="C4832" s="488" t="s">
        <v>15788</v>
      </c>
      <c r="D4832" s="489" t="s">
        <v>15789</v>
      </c>
      <c r="E4832" s="487" t="s">
        <v>15790</v>
      </c>
      <c r="F4832" s="490">
        <v>76970</v>
      </c>
      <c r="G4832" s="489">
        <v>564.66999999999996</v>
      </c>
      <c r="H4832" s="489">
        <v>136.30969999999999</v>
      </c>
      <c r="I4832" s="487" t="s">
        <v>1499</v>
      </c>
      <c r="J4832" s="487" t="s">
        <v>1323</v>
      </c>
    </row>
    <row r="4833" spans="1:10" ht="15" x14ac:dyDescent="0.2">
      <c r="A4833" s="486" t="s">
        <v>1322</v>
      </c>
      <c r="B4833" s="487" t="s">
        <v>1321</v>
      </c>
      <c r="C4833" s="488" t="s">
        <v>15791</v>
      </c>
      <c r="D4833" s="489" t="s">
        <v>15792</v>
      </c>
      <c r="E4833" s="487" t="s">
        <v>15793</v>
      </c>
      <c r="F4833" s="490">
        <v>145500</v>
      </c>
      <c r="G4833" s="489">
        <v>1569.7</v>
      </c>
      <c r="H4833" s="489">
        <v>92.692869999999999</v>
      </c>
      <c r="I4833" s="487" t="s">
        <v>1499</v>
      </c>
      <c r="J4833" s="487" t="s">
        <v>1323</v>
      </c>
    </row>
    <row r="4834" spans="1:10" ht="15" x14ac:dyDescent="0.2">
      <c r="A4834" s="486" t="s">
        <v>1322</v>
      </c>
      <c r="B4834" s="487" t="s">
        <v>1321</v>
      </c>
      <c r="C4834" s="488" t="s">
        <v>15794</v>
      </c>
      <c r="D4834" s="489" t="s">
        <v>15795</v>
      </c>
      <c r="E4834" s="487" t="s">
        <v>15796</v>
      </c>
      <c r="F4834" s="490">
        <v>101000</v>
      </c>
      <c r="G4834" s="489">
        <v>968.86</v>
      </c>
      <c r="H4834" s="489">
        <v>104.24623</v>
      </c>
      <c r="I4834" s="487" t="s">
        <v>1499</v>
      </c>
      <c r="J4834" s="487" t="s">
        <v>1323</v>
      </c>
    </row>
    <row r="4835" spans="1:10" ht="15" x14ac:dyDescent="0.2">
      <c r="A4835" s="486" t="s">
        <v>1322</v>
      </c>
      <c r="B4835" s="487" t="s">
        <v>1321</v>
      </c>
      <c r="C4835" s="488" t="s">
        <v>15797</v>
      </c>
      <c r="D4835" s="489" t="s">
        <v>15798</v>
      </c>
      <c r="E4835" s="487" t="s">
        <v>7266</v>
      </c>
      <c r="F4835" s="490">
        <v>416277</v>
      </c>
      <c r="G4835" s="489">
        <v>2853.22</v>
      </c>
      <c r="H4835" s="489">
        <v>145.89726999999999</v>
      </c>
      <c r="I4835" s="487" t="s">
        <v>1499</v>
      </c>
      <c r="J4835" s="487" t="s">
        <v>1323</v>
      </c>
    </row>
    <row r="4836" spans="1:10" ht="15" x14ac:dyDescent="0.2">
      <c r="A4836" s="486" t="s">
        <v>1322</v>
      </c>
      <c r="B4836" s="487" t="s">
        <v>1321</v>
      </c>
      <c r="C4836" s="488" t="s">
        <v>15799</v>
      </c>
      <c r="D4836" s="489" t="s">
        <v>15800</v>
      </c>
      <c r="E4836" s="487" t="s">
        <v>15801</v>
      </c>
      <c r="F4836" s="490">
        <v>17000</v>
      </c>
      <c r="G4836" s="489">
        <v>422.47</v>
      </c>
      <c r="H4836" s="489">
        <v>40.239539999999998</v>
      </c>
      <c r="I4836" s="487" t="s">
        <v>1499</v>
      </c>
      <c r="J4836" s="487" t="s">
        <v>1323</v>
      </c>
    </row>
    <row r="4837" spans="1:10" ht="15" x14ac:dyDescent="0.2">
      <c r="A4837" s="486" t="s">
        <v>1322</v>
      </c>
      <c r="B4837" s="487" t="s">
        <v>1321</v>
      </c>
      <c r="C4837" s="488" t="s">
        <v>15802</v>
      </c>
      <c r="D4837" s="489" t="s">
        <v>15803</v>
      </c>
      <c r="E4837" s="487" t="s">
        <v>15804</v>
      </c>
      <c r="F4837" s="490">
        <v>243900</v>
      </c>
      <c r="G4837" s="489">
        <v>1382.37</v>
      </c>
      <c r="H4837" s="489">
        <v>176.43611999999999</v>
      </c>
      <c r="I4837" s="487" t="s">
        <v>1499</v>
      </c>
      <c r="J4837" s="487" t="s">
        <v>1323</v>
      </c>
    </row>
    <row r="4838" spans="1:10" ht="15" x14ac:dyDescent="0.2">
      <c r="A4838" s="486" t="s">
        <v>1322</v>
      </c>
      <c r="B4838" s="487" t="s">
        <v>1321</v>
      </c>
      <c r="C4838" s="488" t="s">
        <v>15805</v>
      </c>
      <c r="D4838" s="489" t="s">
        <v>15806</v>
      </c>
      <c r="E4838" s="487" t="s">
        <v>15807</v>
      </c>
      <c r="F4838" s="490">
        <v>269000</v>
      </c>
      <c r="G4838" s="489">
        <v>2183.85</v>
      </c>
      <c r="H4838" s="489">
        <v>123.17695999999999</v>
      </c>
      <c r="I4838" s="487" t="s">
        <v>1499</v>
      </c>
      <c r="J4838" s="487" t="s">
        <v>1323</v>
      </c>
    </row>
    <row r="4839" spans="1:10" ht="15" x14ac:dyDescent="0.2">
      <c r="A4839" s="486" t="s">
        <v>1322</v>
      </c>
      <c r="B4839" s="487" t="s">
        <v>1321</v>
      </c>
      <c r="C4839" s="488" t="s">
        <v>15808</v>
      </c>
      <c r="D4839" s="489" t="s">
        <v>15809</v>
      </c>
      <c r="E4839" s="487" t="s">
        <v>15810</v>
      </c>
      <c r="F4839" s="490">
        <v>127330</v>
      </c>
      <c r="G4839" s="489">
        <v>1120.17</v>
      </c>
      <c r="H4839" s="489">
        <v>113.67025</v>
      </c>
      <c r="I4839" s="487" t="s">
        <v>1499</v>
      </c>
      <c r="J4839" s="487" t="s">
        <v>1323</v>
      </c>
    </row>
    <row r="4840" spans="1:10" ht="15" x14ac:dyDescent="0.2">
      <c r="A4840" s="486" t="s">
        <v>1322</v>
      </c>
      <c r="B4840" s="487" t="s">
        <v>1321</v>
      </c>
      <c r="C4840" s="488" t="s">
        <v>15811</v>
      </c>
      <c r="D4840" s="489" t="s">
        <v>15812</v>
      </c>
      <c r="E4840" s="487" t="s">
        <v>15813</v>
      </c>
      <c r="F4840" s="490">
        <v>64975</v>
      </c>
      <c r="G4840" s="489">
        <v>765.91</v>
      </c>
      <c r="H4840" s="489">
        <v>84.833730000000003</v>
      </c>
      <c r="I4840" s="487" t="s">
        <v>1499</v>
      </c>
      <c r="J4840" s="487" t="s">
        <v>1323</v>
      </c>
    </row>
    <row r="4841" spans="1:10" ht="15" x14ac:dyDescent="0.2">
      <c r="A4841" s="486" t="s">
        <v>1322</v>
      </c>
      <c r="B4841" s="487" t="s">
        <v>1321</v>
      </c>
      <c r="C4841" s="488" t="s">
        <v>15814</v>
      </c>
      <c r="D4841" s="489" t="s">
        <v>15815</v>
      </c>
      <c r="E4841" s="487" t="s">
        <v>15816</v>
      </c>
      <c r="F4841" s="490">
        <v>903490</v>
      </c>
      <c r="G4841" s="489">
        <v>3829.63</v>
      </c>
      <c r="H4841" s="489">
        <v>235.92096000000001</v>
      </c>
      <c r="I4841" s="487" t="s">
        <v>1499</v>
      </c>
      <c r="J4841" s="487" t="s">
        <v>1323</v>
      </c>
    </row>
    <row r="4842" spans="1:10" ht="15" x14ac:dyDescent="0.2">
      <c r="A4842" s="486" t="s">
        <v>1322</v>
      </c>
      <c r="B4842" s="487" t="s">
        <v>1321</v>
      </c>
      <c r="C4842" s="488" t="s">
        <v>15817</v>
      </c>
      <c r="D4842" s="489" t="s">
        <v>15818</v>
      </c>
      <c r="E4842" s="487" t="s">
        <v>15819</v>
      </c>
      <c r="F4842" s="490">
        <v>297500</v>
      </c>
      <c r="G4842" s="489">
        <v>2361.7399999999998</v>
      </c>
      <c r="H4842" s="489">
        <v>125.96644999999999</v>
      </c>
      <c r="I4842" s="487" t="s">
        <v>1499</v>
      </c>
      <c r="J4842" s="487" t="s">
        <v>1323</v>
      </c>
    </row>
    <row r="4843" spans="1:10" ht="15" x14ac:dyDescent="0.2">
      <c r="A4843" s="486" t="s">
        <v>1322</v>
      </c>
      <c r="B4843" s="487" t="s">
        <v>1321</v>
      </c>
      <c r="C4843" s="488" t="s">
        <v>15820</v>
      </c>
      <c r="D4843" s="489" t="s">
        <v>15821</v>
      </c>
      <c r="E4843" s="487" t="s">
        <v>15822</v>
      </c>
      <c r="F4843" s="490">
        <v>127000</v>
      </c>
      <c r="G4843" s="489">
        <v>1627.93</v>
      </c>
      <c r="H4843" s="489">
        <v>78.013180000000006</v>
      </c>
      <c r="I4843" s="487" t="s">
        <v>1499</v>
      </c>
      <c r="J4843" s="487" t="s">
        <v>1323</v>
      </c>
    </row>
    <row r="4844" spans="1:10" ht="15" x14ac:dyDescent="0.2">
      <c r="A4844" s="486" t="s">
        <v>1322</v>
      </c>
      <c r="B4844" s="487" t="s">
        <v>1321</v>
      </c>
      <c r="C4844" s="488" t="s">
        <v>15823</v>
      </c>
      <c r="D4844" s="489" t="s">
        <v>15824</v>
      </c>
      <c r="E4844" s="487" t="s">
        <v>2313</v>
      </c>
      <c r="F4844" s="490">
        <v>105000</v>
      </c>
      <c r="G4844" s="489">
        <v>633.37</v>
      </c>
      <c r="H4844" s="489">
        <v>165.77987999999999</v>
      </c>
      <c r="I4844" s="487" t="s">
        <v>1499</v>
      </c>
      <c r="J4844" s="487" t="s">
        <v>1323</v>
      </c>
    </row>
    <row r="4845" spans="1:10" ht="15" x14ac:dyDescent="0.2">
      <c r="A4845" s="486" t="s">
        <v>1322</v>
      </c>
      <c r="B4845" s="487" t="s">
        <v>1321</v>
      </c>
      <c r="C4845" s="488" t="s">
        <v>15825</v>
      </c>
      <c r="D4845" s="489" t="s">
        <v>15826</v>
      </c>
      <c r="E4845" s="487" t="s">
        <v>15827</v>
      </c>
      <c r="F4845" s="490">
        <v>728246</v>
      </c>
      <c r="G4845" s="489">
        <v>4506.8</v>
      </c>
      <c r="H4845" s="489">
        <v>161.58826999999999</v>
      </c>
      <c r="I4845" s="487" t="s">
        <v>1499</v>
      </c>
      <c r="J4845" s="487" t="s">
        <v>1323</v>
      </c>
    </row>
    <row r="4846" spans="1:10" ht="15" x14ac:dyDescent="0.2">
      <c r="A4846" s="486" t="s">
        <v>1322</v>
      </c>
      <c r="B4846" s="487" t="s">
        <v>1321</v>
      </c>
      <c r="C4846" s="488" t="s">
        <v>15828</v>
      </c>
      <c r="D4846" s="489" t="s">
        <v>15829</v>
      </c>
      <c r="E4846" s="487" t="s">
        <v>15830</v>
      </c>
      <c r="F4846" s="490">
        <v>245361</v>
      </c>
      <c r="G4846" s="489">
        <v>2465.5500000000002</v>
      </c>
      <c r="H4846" s="489">
        <v>99.515730000000005</v>
      </c>
      <c r="I4846" s="487" t="s">
        <v>1499</v>
      </c>
      <c r="J4846" s="487" t="s">
        <v>1323</v>
      </c>
    </row>
    <row r="4847" spans="1:10" ht="15" x14ac:dyDescent="0.2">
      <c r="A4847" s="486" t="s">
        <v>461</v>
      </c>
      <c r="B4847" s="487" t="s">
        <v>460</v>
      </c>
      <c r="C4847" s="488" t="s">
        <v>15831</v>
      </c>
      <c r="D4847" s="489" t="s">
        <v>15832</v>
      </c>
      <c r="E4847" s="487" t="s">
        <v>15833</v>
      </c>
      <c r="F4847" s="490">
        <v>98095</v>
      </c>
      <c r="G4847" s="489">
        <v>7956.45</v>
      </c>
      <c r="H4847" s="489">
        <v>12.328989999999999</v>
      </c>
      <c r="I4847" s="487" t="s">
        <v>1499</v>
      </c>
      <c r="J4847" s="487" t="s">
        <v>462</v>
      </c>
    </row>
    <row r="4848" spans="1:10" ht="15" x14ac:dyDescent="0.2">
      <c r="A4848" s="486" t="s">
        <v>461</v>
      </c>
      <c r="B4848" s="487" t="s">
        <v>460</v>
      </c>
      <c r="C4848" s="488" t="s">
        <v>15834</v>
      </c>
      <c r="D4848" s="489" t="s">
        <v>15835</v>
      </c>
      <c r="E4848" s="487" t="s">
        <v>15836</v>
      </c>
      <c r="F4848" s="490">
        <v>2737</v>
      </c>
      <c r="G4848" s="489">
        <v>120.67</v>
      </c>
      <c r="H4848" s="489">
        <v>22.68169</v>
      </c>
      <c r="I4848" s="487" t="s">
        <v>1499</v>
      </c>
      <c r="J4848" s="487" t="s">
        <v>462</v>
      </c>
    </row>
    <row r="4849" spans="1:10" ht="15" x14ac:dyDescent="0.2">
      <c r="A4849" s="486" t="s">
        <v>461</v>
      </c>
      <c r="B4849" s="487" t="s">
        <v>460</v>
      </c>
      <c r="C4849" s="488" t="s">
        <v>15837</v>
      </c>
      <c r="D4849" s="489" t="s">
        <v>15838</v>
      </c>
      <c r="E4849" s="487" t="s">
        <v>15839</v>
      </c>
      <c r="F4849" s="490">
        <v>24887</v>
      </c>
      <c r="G4849" s="489">
        <v>2681.77</v>
      </c>
      <c r="H4849" s="489">
        <v>9.2800700000000003</v>
      </c>
      <c r="I4849" s="487" t="s">
        <v>1499</v>
      </c>
      <c r="J4849" s="487" t="s">
        <v>462</v>
      </c>
    </row>
    <row r="4850" spans="1:10" ht="15" x14ac:dyDescent="0.2">
      <c r="A4850" s="486" t="s">
        <v>461</v>
      </c>
      <c r="B4850" s="487" t="s">
        <v>460</v>
      </c>
      <c r="C4850" s="488" t="s">
        <v>15840</v>
      </c>
      <c r="D4850" s="489" t="s">
        <v>15841</v>
      </c>
      <c r="E4850" s="487" t="s">
        <v>15842</v>
      </c>
      <c r="F4850" s="490">
        <v>51364</v>
      </c>
      <c r="G4850" s="489">
        <v>1765.56</v>
      </c>
      <c r="H4850" s="489">
        <v>29.092189999999999</v>
      </c>
      <c r="I4850" s="487" t="s">
        <v>1499</v>
      </c>
      <c r="J4850" s="487" t="s">
        <v>462</v>
      </c>
    </row>
    <row r="4851" spans="1:10" ht="15" x14ac:dyDescent="0.2">
      <c r="A4851" s="486" t="s">
        <v>461</v>
      </c>
      <c r="B4851" s="487" t="s">
        <v>460</v>
      </c>
      <c r="C4851" s="488" t="s">
        <v>15843</v>
      </c>
      <c r="D4851" s="489" t="s">
        <v>15844</v>
      </c>
      <c r="E4851" s="487" t="s">
        <v>15845</v>
      </c>
      <c r="F4851" s="490">
        <v>1650</v>
      </c>
      <c r="G4851" s="489">
        <v>249.92</v>
      </c>
      <c r="H4851" s="489">
        <v>6.6021099999999997</v>
      </c>
      <c r="I4851" s="487" t="s">
        <v>1499</v>
      </c>
      <c r="J4851" s="487" t="s">
        <v>462</v>
      </c>
    </row>
    <row r="4852" spans="1:10" ht="15" x14ac:dyDescent="0.2">
      <c r="A4852" s="486" t="s">
        <v>461</v>
      </c>
      <c r="B4852" s="487" t="s">
        <v>460</v>
      </c>
      <c r="C4852" s="488" t="s">
        <v>15846</v>
      </c>
      <c r="D4852" s="489" t="s">
        <v>15847</v>
      </c>
      <c r="E4852" s="487" t="s">
        <v>15848</v>
      </c>
      <c r="F4852" s="490">
        <v>9632</v>
      </c>
      <c r="G4852" s="489">
        <v>208.66</v>
      </c>
      <c r="H4852" s="489">
        <v>46.16122</v>
      </c>
      <c r="I4852" s="487" t="s">
        <v>1499</v>
      </c>
      <c r="J4852" s="487" t="s">
        <v>462</v>
      </c>
    </row>
    <row r="4853" spans="1:10" ht="15" x14ac:dyDescent="0.2">
      <c r="A4853" s="486" t="s">
        <v>461</v>
      </c>
      <c r="B4853" s="487" t="s">
        <v>460</v>
      </c>
      <c r="C4853" s="488" t="s">
        <v>15849</v>
      </c>
      <c r="D4853" s="489" t="s">
        <v>15850</v>
      </c>
      <c r="E4853" s="487" t="s">
        <v>15851</v>
      </c>
      <c r="F4853" s="490">
        <v>3240</v>
      </c>
      <c r="G4853" s="489">
        <v>146.61000000000001</v>
      </c>
      <c r="H4853" s="489">
        <v>22.099450000000001</v>
      </c>
      <c r="I4853" s="487" t="s">
        <v>1499</v>
      </c>
      <c r="J4853" s="487" t="s">
        <v>462</v>
      </c>
    </row>
    <row r="4854" spans="1:10" ht="15" x14ac:dyDescent="0.2">
      <c r="A4854" s="486" t="s">
        <v>570</v>
      </c>
      <c r="B4854" s="487" t="s">
        <v>569</v>
      </c>
      <c r="C4854" s="488" t="s">
        <v>15852</v>
      </c>
      <c r="D4854" s="489" t="s">
        <v>15853</v>
      </c>
      <c r="E4854" s="487" t="s">
        <v>15854</v>
      </c>
      <c r="F4854" s="490">
        <v>23000</v>
      </c>
      <c r="G4854" s="489">
        <v>1250</v>
      </c>
      <c r="H4854" s="489">
        <v>18.399999999999999</v>
      </c>
      <c r="I4854" s="487" t="s">
        <v>1499</v>
      </c>
      <c r="J4854" s="487" t="s">
        <v>571</v>
      </c>
    </row>
    <row r="4855" spans="1:10" ht="15" x14ac:dyDescent="0.2">
      <c r="A4855" s="486" t="s">
        <v>570</v>
      </c>
      <c r="B4855" s="487" t="s">
        <v>569</v>
      </c>
      <c r="C4855" s="488" t="s">
        <v>15855</v>
      </c>
      <c r="D4855" s="489" t="s">
        <v>15856</v>
      </c>
      <c r="E4855" s="487" t="s">
        <v>15857</v>
      </c>
      <c r="F4855" s="490">
        <v>10000</v>
      </c>
      <c r="G4855" s="489">
        <v>1017</v>
      </c>
      <c r="H4855" s="489">
        <v>9.8328399999999991</v>
      </c>
      <c r="I4855" s="487" t="s">
        <v>1499</v>
      </c>
      <c r="J4855" s="487" t="s">
        <v>571</v>
      </c>
    </row>
    <row r="4856" spans="1:10" ht="15" x14ac:dyDescent="0.2">
      <c r="A4856" s="486" t="s">
        <v>570</v>
      </c>
      <c r="B4856" s="487" t="s">
        <v>569</v>
      </c>
      <c r="C4856" s="488" t="s">
        <v>15858</v>
      </c>
      <c r="D4856" s="489" t="s">
        <v>15859</v>
      </c>
      <c r="E4856" s="487" t="s">
        <v>15860</v>
      </c>
      <c r="F4856" s="490">
        <v>2000</v>
      </c>
      <c r="G4856" s="489">
        <v>66</v>
      </c>
      <c r="H4856" s="489">
        <v>30.30303</v>
      </c>
      <c r="I4856" s="487" t="s">
        <v>1499</v>
      </c>
      <c r="J4856" s="487" t="s">
        <v>571</v>
      </c>
    </row>
    <row r="4857" spans="1:10" ht="15" x14ac:dyDescent="0.2">
      <c r="A4857" s="486" t="s">
        <v>570</v>
      </c>
      <c r="B4857" s="487" t="s">
        <v>569</v>
      </c>
      <c r="C4857" s="488" t="s">
        <v>15861</v>
      </c>
      <c r="D4857" s="489" t="s">
        <v>15862</v>
      </c>
      <c r="E4857" s="487" t="s">
        <v>15863</v>
      </c>
      <c r="F4857" s="490">
        <v>9000</v>
      </c>
      <c r="G4857" s="489">
        <v>546</v>
      </c>
      <c r="H4857" s="489">
        <v>16.483519999999999</v>
      </c>
      <c r="I4857" s="487" t="s">
        <v>1499</v>
      </c>
      <c r="J4857" s="487" t="s">
        <v>571</v>
      </c>
    </row>
    <row r="4858" spans="1:10" ht="15" x14ac:dyDescent="0.2">
      <c r="A4858" s="486" t="s">
        <v>570</v>
      </c>
      <c r="B4858" s="487" t="s">
        <v>569</v>
      </c>
      <c r="C4858" s="488" t="s">
        <v>15864</v>
      </c>
      <c r="D4858" s="489" t="s">
        <v>15865</v>
      </c>
      <c r="E4858" s="487" t="s">
        <v>15866</v>
      </c>
      <c r="F4858" s="490">
        <v>21000</v>
      </c>
      <c r="G4858" s="489">
        <v>795</v>
      </c>
      <c r="H4858" s="489">
        <v>26.415089999999999</v>
      </c>
      <c r="I4858" s="487" t="s">
        <v>1499</v>
      </c>
      <c r="J4858" s="487" t="s">
        <v>571</v>
      </c>
    </row>
    <row r="4859" spans="1:10" ht="15" x14ac:dyDescent="0.2">
      <c r="A4859" s="486" t="s">
        <v>570</v>
      </c>
      <c r="B4859" s="487" t="s">
        <v>569</v>
      </c>
      <c r="C4859" s="488" t="s">
        <v>15867</v>
      </c>
      <c r="D4859" s="489" t="s">
        <v>15868</v>
      </c>
      <c r="E4859" s="487" t="s">
        <v>15869</v>
      </c>
      <c r="F4859" s="490">
        <v>4900</v>
      </c>
      <c r="G4859" s="489">
        <v>708</v>
      </c>
      <c r="H4859" s="489">
        <v>6.9208999999999996</v>
      </c>
      <c r="I4859" s="487" t="s">
        <v>1499</v>
      </c>
      <c r="J4859" s="487" t="s">
        <v>571</v>
      </c>
    </row>
    <row r="4860" spans="1:10" ht="15" x14ac:dyDescent="0.2">
      <c r="A4860" s="486" t="s">
        <v>570</v>
      </c>
      <c r="B4860" s="487" t="s">
        <v>569</v>
      </c>
      <c r="C4860" s="488" t="s">
        <v>15870</v>
      </c>
      <c r="D4860" s="489" t="s">
        <v>15871</v>
      </c>
      <c r="E4860" s="487" t="s">
        <v>15872</v>
      </c>
      <c r="F4860" s="490">
        <v>104900</v>
      </c>
      <c r="G4860" s="489">
        <v>2715</v>
      </c>
      <c r="H4860" s="489">
        <v>38.6372</v>
      </c>
      <c r="I4860" s="487" t="s">
        <v>1499</v>
      </c>
      <c r="J4860" s="487" t="s">
        <v>571</v>
      </c>
    </row>
    <row r="4861" spans="1:10" ht="15" x14ac:dyDescent="0.2">
      <c r="A4861" s="486" t="s">
        <v>570</v>
      </c>
      <c r="B4861" s="487" t="s">
        <v>569</v>
      </c>
      <c r="C4861" s="488" t="s">
        <v>15873</v>
      </c>
      <c r="D4861" s="489" t="s">
        <v>15874</v>
      </c>
      <c r="E4861" s="487" t="s">
        <v>15875</v>
      </c>
      <c r="F4861" s="490">
        <v>26000</v>
      </c>
      <c r="G4861" s="489">
        <v>1068</v>
      </c>
      <c r="H4861" s="489">
        <v>24.344570000000001</v>
      </c>
      <c r="I4861" s="487" t="s">
        <v>1499</v>
      </c>
      <c r="J4861" s="487" t="s">
        <v>571</v>
      </c>
    </row>
    <row r="4862" spans="1:10" ht="15" x14ac:dyDescent="0.2">
      <c r="A4862" s="486" t="s">
        <v>647</v>
      </c>
      <c r="B4862" s="487" t="s">
        <v>646</v>
      </c>
      <c r="C4862" s="488" t="s">
        <v>15876</v>
      </c>
      <c r="D4862" s="489" t="s">
        <v>15877</v>
      </c>
      <c r="E4862" s="487" t="s">
        <v>4109</v>
      </c>
      <c r="F4862" s="490">
        <v>20678</v>
      </c>
      <c r="G4862" s="489">
        <v>2045.75</v>
      </c>
      <c r="H4862" s="489">
        <v>10.10778</v>
      </c>
      <c r="I4862" s="487" t="s">
        <v>1499</v>
      </c>
      <c r="J4862" s="487" t="s">
        <v>648</v>
      </c>
    </row>
    <row r="4863" spans="1:10" ht="15" x14ac:dyDescent="0.2">
      <c r="A4863" s="486" t="s">
        <v>647</v>
      </c>
      <c r="B4863" s="487" t="s">
        <v>646</v>
      </c>
      <c r="C4863" s="488" t="s">
        <v>15878</v>
      </c>
      <c r="D4863" s="489" t="s">
        <v>15879</v>
      </c>
      <c r="E4863" s="487" t="s">
        <v>15880</v>
      </c>
      <c r="F4863" s="490">
        <v>5606</v>
      </c>
      <c r="G4863" s="489">
        <v>499.49</v>
      </c>
      <c r="H4863" s="489">
        <v>11.22345</v>
      </c>
      <c r="I4863" s="487" t="s">
        <v>1499</v>
      </c>
      <c r="J4863" s="487" t="s">
        <v>648</v>
      </c>
    </row>
    <row r="4864" spans="1:10" ht="15" x14ac:dyDescent="0.2">
      <c r="A4864" s="486" t="s">
        <v>647</v>
      </c>
      <c r="B4864" s="487" t="s">
        <v>646</v>
      </c>
      <c r="C4864" s="488" t="s">
        <v>15881</v>
      </c>
      <c r="D4864" s="489" t="s">
        <v>15882</v>
      </c>
      <c r="E4864" s="487" t="s">
        <v>15883</v>
      </c>
      <c r="F4864" s="490">
        <v>0</v>
      </c>
      <c r="G4864" s="489">
        <v>18.22</v>
      </c>
      <c r="H4864" s="489">
        <v>0</v>
      </c>
      <c r="I4864" s="487" t="s">
        <v>1593</v>
      </c>
      <c r="J4864" s="487" t="s">
        <v>648</v>
      </c>
    </row>
    <row r="4865" spans="1:10" ht="15" x14ac:dyDescent="0.2">
      <c r="A4865" s="486" t="s">
        <v>647</v>
      </c>
      <c r="B4865" s="487" t="s">
        <v>646</v>
      </c>
      <c r="C4865" s="488" t="s">
        <v>15884</v>
      </c>
      <c r="D4865" s="489" t="s">
        <v>15885</v>
      </c>
      <c r="E4865" s="487" t="s">
        <v>15886</v>
      </c>
      <c r="F4865" s="490">
        <v>20278</v>
      </c>
      <c r="G4865" s="489">
        <v>921.86</v>
      </c>
      <c r="H4865" s="489">
        <v>21.996829999999999</v>
      </c>
      <c r="I4865" s="487" t="s">
        <v>1499</v>
      </c>
      <c r="J4865" s="487" t="s">
        <v>648</v>
      </c>
    </row>
    <row r="4866" spans="1:10" ht="15" x14ac:dyDescent="0.2">
      <c r="A4866" s="486" t="s">
        <v>647</v>
      </c>
      <c r="B4866" s="487" t="s">
        <v>646</v>
      </c>
      <c r="C4866" s="488" t="s">
        <v>15887</v>
      </c>
      <c r="D4866" s="489" t="s">
        <v>15888</v>
      </c>
      <c r="E4866" s="487" t="s">
        <v>15889</v>
      </c>
      <c r="F4866" s="490">
        <v>18355.5</v>
      </c>
      <c r="G4866" s="489">
        <v>317.99</v>
      </c>
      <c r="H4866" s="489">
        <v>57.723509999999997</v>
      </c>
      <c r="I4866" s="487" t="s">
        <v>1499</v>
      </c>
      <c r="J4866" s="487" t="s">
        <v>648</v>
      </c>
    </row>
    <row r="4867" spans="1:10" ht="15" x14ac:dyDescent="0.2">
      <c r="A4867" s="486" t="s">
        <v>647</v>
      </c>
      <c r="B4867" s="487" t="s">
        <v>646</v>
      </c>
      <c r="C4867" s="488" t="s">
        <v>15890</v>
      </c>
      <c r="D4867" s="489" t="s">
        <v>15891</v>
      </c>
      <c r="E4867" s="487" t="s">
        <v>15892</v>
      </c>
      <c r="F4867" s="490">
        <v>19898</v>
      </c>
      <c r="G4867" s="489">
        <v>488.88</v>
      </c>
      <c r="H4867" s="489">
        <v>40.701189999999997</v>
      </c>
      <c r="I4867" s="487" t="s">
        <v>1499</v>
      </c>
      <c r="J4867" s="487" t="s">
        <v>648</v>
      </c>
    </row>
    <row r="4868" spans="1:10" ht="15" x14ac:dyDescent="0.2">
      <c r="A4868" s="486" t="s">
        <v>647</v>
      </c>
      <c r="B4868" s="487" t="s">
        <v>646</v>
      </c>
      <c r="C4868" s="488" t="s">
        <v>15893</v>
      </c>
      <c r="D4868" s="489" t="s">
        <v>15894</v>
      </c>
      <c r="E4868" s="487" t="s">
        <v>15895</v>
      </c>
      <c r="F4868" s="490">
        <v>37655</v>
      </c>
      <c r="G4868" s="489">
        <v>711.74</v>
      </c>
      <c r="H4868" s="489">
        <v>52.905560000000001</v>
      </c>
      <c r="I4868" s="487" t="s">
        <v>1499</v>
      </c>
      <c r="J4868" s="487" t="s">
        <v>648</v>
      </c>
    </row>
    <row r="4869" spans="1:10" ht="15" x14ac:dyDescent="0.2">
      <c r="A4869" s="486" t="s">
        <v>647</v>
      </c>
      <c r="B4869" s="487" t="s">
        <v>646</v>
      </c>
      <c r="C4869" s="488" t="s">
        <v>15896</v>
      </c>
      <c r="D4869" s="489" t="s">
        <v>15897</v>
      </c>
      <c r="E4869" s="487" t="s">
        <v>15898</v>
      </c>
      <c r="F4869" s="490">
        <v>170475</v>
      </c>
      <c r="G4869" s="489">
        <v>5165.91</v>
      </c>
      <c r="H4869" s="489">
        <v>32.999989999999997</v>
      </c>
      <c r="I4869" s="487" t="s">
        <v>1499</v>
      </c>
      <c r="J4869" s="487" t="s">
        <v>648</v>
      </c>
    </row>
    <row r="4870" spans="1:10" ht="15" x14ac:dyDescent="0.2">
      <c r="A4870" s="486" t="s">
        <v>647</v>
      </c>
      <c r="B4870" s="487" t="s">
        <v>646</v>
      </c>
      <c r="C4870" s="488" t="s">
        <v>15899</v>
      </c>
      <c r="D4870" s="489" t="s">
        <v>15900</v>
      </c>
      <c r="E4870" s="487" t="s">
        <v>15901</v>
      </c>
      <c r="F4870" s="490">
        <v>125124</v>
      </c>
      <c r="G4870" s="489">
        <v>2371.6799999999998</v>
      </c>
      <c r="H4870" s="489">
        <v>52.757539999999999</v>
      </c>
      <c r="I4870" s="487" t="s">
        <v>1499</v>
      </c>
      <c r="J4870" s="487" t="s">
        <v>648</v>
      </c>
    </row>
    <row r="4871" spans="1:10" ht="15" x14ac:dyDescent="0.2">
      <c r="A4871" s="486" t="s">
        <v>647</v>
      </c>
      <c r="B4871" s="487" t="s">
        <v>646</v>
      </c>
      <c r="C4871" s="488" t="s">
        <v>15902</v>
      </c>
      <c r="D4871" s="489" t="s">
        <v>15903</v>
      </c>
      <c r="E4871" s="487" t="s">
        <v>15904</v>
      </c>
      <c r="F4871" s="490">
        <v>38160</v>
      </c>
      <c r="G4871" s="489">
        <v>1072.73</v>
      </c>
      <c r="H4871" s="489">
        <v>35.572789999999998</v>
      </c>
      <c r="I4871" s="487" t="s">
        <v>1499</v>
      </c>
      <c r="J4871" s="487" t="s">
        <v>648</v>
      </c>
    </row>
    <row r="4872" spans="1:10" ht="15" x14ac:dyDescent="0.2">
      <c r="A4872" s="486" t="s">
        <v>647</v>
      </c>
      <c r="B4872" s="487" t="s">
        <v>646</v>
      </c>
      <c r="C4872" s="488" t="s">
        <v>15905</v>
      </c>
      <c r="D4872" s="489" t="s">
        <v>15906</v>
      </c>
      <c r="E4872" s="487" t="s">
        <v>15907</v>
      </c>
      <c r="F4872" s="490">
        <v>1288</v>
      </c>
      <c r="G4872" s="489">
        <v>41.47</v>
      </c>
      <c r="H4872" s="489">
        <v>31.058599999999998</v>
      </c>
      <c r="I4872" s="487" t="s">
        <v>1499</v>
      </c>
      <c r="J4872" s="487" t="s">
        <v>648</v>
      </c>
    </row>
    <row r="4873" spans="1:10" ht="15" x14ac:dyDescent="0.2">
      <c r="A4873" s="486" t="s">
        <v>647</v>
      </c>
      <c r="B4873" s="487" t="s">
        <v>646</v>
      </c>
      <c r="C4873" s="488" t="s">
        <v>15908</v>
      </c>
      <c r="D4873" s="489" t="s">
        <v>15909</v>
      </c>
      <c r="E4873" s="487" t="s">
        <v>15910</v>
      </c>
      <c r="F4873" s="490">
        <v>61999</v>
      </c>
      <c r="G4873" s="489">
        <v>1717.36</v>
      </c>
      <c r="H4873" s="489">
        <v>36.10134</v>
      </c>
      <c r="I4873" s="487" t="s">
        <v>1499</v>
      </c>
      <c r="J4873" s="487" t="s">
        <v>648</v>
      </c>
    </row>
    <row r="4874" spans="1:10" ht="15" x14ac:dyDescent="0.2">
      <c r="A4874" s="486" t="s">
        <v>647</v>
      </c>
      <c r="B4874" s="487" t="s">
        <v>646</v>
      </c>
      <c r="C4874" s="488" t="s">
        <v>15911</v>
      </c>
      <c r="D4874" s="489" t="s">
        <v>15912</v>
      </c>
      <c r="E4874" s="487" t="s">
        <v>15913</v>
      </c>
      <c r="F4874" s="490">
        <v>190655</v>
      </c>
      <c r="G4874" s="489">
        <v>5055.8100000000004</v>
      </c>
      <c r="H4874" s="489">
        <v>37.710079999999998</v>
      </c>
      <c r="I4874" s="487" t="s">
        <v>1499</v>
      </c>
      <c r="J4874" s="487" t="s">
        <v>648</v>
      </c>
    </row>
    <row r="4875" spans="1:10" ht="15" x14ac:dyDescent="0.2">
      <c r="A4875" s="486" t="s">
        <v>647</v>
      </c>
      <c r="B4875" s="487" t="s">
        <v>646</v>
      </c>
      <c r="C4875" s="488" t="s">
        <v>15914</v>
      </c>
      <c r="D4875" s="489" t="s">
        <v>15915</v>
      </c>
      <c r="E4875" s="487" t="s">
        <v>15916</v>
      </c>
      <c r="F4875" s="490">
        <v>8973</v>
      </c>
      <c r="G4875" s="489">
        <v>378.2</v>
      </c>
      <c r="H4875" s="489">
        <v>23.725539999999999</v>
      </c>
      <c r="I4875" s="487" t="s">
        <v>1499</v>
      </c>
      <c r="J4875" s="487" t="s">
        <v>648</v>
      </c>
    </row>
    <row r="4876" spans="1:10" ht="15" x14ac:dyDescent="0.2">
      <c r="A4876" s="486" t="s">
        <v>647</v>
      </c>
      <c r="B4876" s="487" t="s">
        <v>646</v>
      </c>
      <c r="C4876" s="488" t="s">
        <v>15917</v>
      </c>
      <c r="D4876" s="489" t="s">
        <v>15918</v>
      </c>
      <c r="E4876" s="487" t="s">
        <v>15919</v>
      </c>
      <c r="F4876" s="490">
        <v>8590</v>
      </c>
      <c r="G4876" s="489">
        <v>809.43</v>
      </c>
      <c r="H4876" s="489">
        <v>10.612410000000001</v>
      </c>
      <c r="I4876" s="487" t="s">
        <v>1499</v>
      </c>
      <c r="J4876" s="487" t="s">
        <v>648</v>
      </c>
    </row>
    <row r="4877" spans="1:10" ht="15" x14ac:dyDescent="0.2">
      <c r="A4877" s="486" t="s">
        <v>647</v>
      </c>
      <c r="B4877" s="487" t="s">
        <v>646</v>
      </c>
      <c r="C4877" s="488" t="s">
        <v>15920</v>
      </c>
      <c r="D4877" s="489" t="s">
        <v>15921</v>
      </c>
      <c r="E4877" s="487" t="s">
        <v>15922</v>
      </c>
      <c r="F4877" s="490">
        <v>15441</v>
      </c>
      <c r="G4877" s="489">
        <v>368.19</v>
      </c>
      <c r="H4877" s="489">
        <v>41.93759</v>
      </c>
      <c r="I4877" s="487" t="s">
        <v>1499</v>
      </c>
      <c r="J4877" s="487" t="s">
        <v>648</v>
      </c>
    </row>
    <row r="4878" spans="1:10" ht="15" x14ac:dyDescent="0.2">
      <c r="A4878" s="486" t="s">
        <v>647</v>
      </c>
      <c r="B4878" s="487" t="s">
        <v>646</v>
      </c>
      <c r="C4878" s="488" t="s">
        <v>15923</v>
      </c>
      <c r="D4878" s="489" t="s">
        <v>15924</v>
      </c>
      <c r="E4878" s="487" t="s">
        <v>15925</v>
      </c>
      <c r="F4878" s="490">
        <v>12523</v>
      </c>
      <c r="G4878" s="489">
        <v>366.05</v>
      </c>
      <c r="H4878" s="489">
        <v>34.211170000000003</v>
      </c>
      <c r="I4878" s="487" t="s">
        <v>1499</v>
      </c>
      <c r="J4878" s="487" t="s">
        <v>648</v>
      </c>
    </row>
    <row r="4879" spans="1:10" ht="15" x14ac:dyDescent="0.2">
      <c r="A4879" s="486" t="s">
        <v>647</v>
      </c>
      <c r="B4879" s="487" t="s">
        <v>646</v>
      </c>
      <c r="C4879" s="488" t="s">
        <v>15926</v>
      </c>
      <c r="D4879" s="489" t="s">
        <v>15927</v>
      </c>
      <c r="E4879" s="487" t="s">
        <v>15928</v>
      </c>
      <c r="F4879" s="490">
        <v>41347</v>
      </c>
      <c r="G4879" s="489">
        <v>891.89</v>
      </c>
      <c r="H4879" s="489">
        <v>46.35886</v>
      </c>
      <c r="I4879" s="487" t="s">
        <v>1499</v>
      </c>
      <c r="J4879" s="487" t="s">
        <v>648</v>
      </c>
    </row>
    <row r="4880" spans="1:10" ht="15" x14ac:dyDescent="0.2">
      <c r="A4880" s="486" t="s">
        <v>647</v>
      </c>
      <c r="B4880" s="487" t="s">
        <v>646</v>
      </c>
      <c r="C4880" s="488" t="s">
        <v>15929</v>
      </c>
      <c r="D4880" s="489" t="s">
        <v>15930</v>
      </c>
      <c r="E4880" s="487" t="s">
        <v>15931</v>
      </c>
      <c r="F4880" s="490">
        <v>8830.5</v>
      </c>
      <c r="G4880" s="489">
        <v>55.65</v>
      </c>
      <c r="H4880" s="489">
        <v>158.67925</v>
      </c>
      <c r="I4880" s="487" t="s">
        <v>1499</v>
      </c>
      <c r="J4880" s="487" t="s">
        <v>648</v>
      </c>
    </row>
    <row r="4881" spans="1:10" ht="15" x14ac:dyDescent="0.2">
      <c r="A4881" s="486" t="s">
        <v>647</v>
      </c>
      <c r="B4881" s="487" t="s">
        <v>646</v>
      </c>
      <c r="C4881" s="488" t="s">
        <v>15932</v>
      </c>
      <c r="D4881" s="489" t="s">
        <v>15933</v>
      </c>
      <c r="E4881" s="487" t="s">
        <v>15934</v>
      </c>
      <c r="F4881" s="490">
        <v>6230</v>
      </c>
      <c r="G4881" s="489">
        <v>266.87</v>
      </c>
      <c r="H4881" s="489">
        <v>23.3447</v>
      </c>
      <c r="I4881" s="487" t="s">
        <v>1499</v>
      </c>
      <c r="J4881" s="487" t="s">
        <v>648</v>
      </c>
    </row>
    <row r="4882" spans="1:10" ht="15" x14ac:dyDescent="0.2">
      <c r="A4882" s="486" t="s">
        <v>647</v>
      </c>
      <c r="B4882" s="487" t="s">
        <v>646</v>
      </c>
      <c r="C4882" s="488" t="s">
        <v>15935</v>
      </c>
      <c r="D4882" s="489" t="s">
        <v>15936</v>
      </c>
      <c r="E4882" s="487" t="s">
        <v>15937</v>
      </c>
      <c r="F4882" s="490">
        <v>16089</v>
      </c>
      <c r="G4882" s="489">
        <v>419.22</v>
      </c>
      <c r="H4882" s="489">
        <v>38.378419999999998</v>
      </c>
      <c r="I4882" s="487" t="s">
        <v>1499</v>
      </c>
      <c r="J4882" s="487" t="s">
        <v>648</v>
      </c>
    </row>
    <row r="4883" spans="1:10" ht="15" x14ac:dyDescent="0.2">
      <c r="A4883" s="486" t="s">
        <v>647</v>
      </c>
      <c r="B4883" s="487" t="s">
        <v>646</v>
      </c>
      <c r="C4883" s="488" t="s">
        <v>15938</v>
      </c>
      <c r="D4883" s="489" t="s">
        <v>15939</v>
      </c>
      <c r="E4883" s="487" t="s">
        <v>15940</v>
      </c>
      <c r="F4883" s="490">
        <v>67000</v>
      </c>
      <c r="G4883" s="489">
        <v>2614.29</v>
      </c>
      <c r="H4883" s="489">
        <v>25.62837</v>
      </c>
      <c r="I4883" s="487" t="s">
        <v>1499</v>
      </c>
      <c r="J4883" s="487" t="s">
        <v>648</v>
      </c>
    </row>
    <row r="4884" spans="1:10" ht="15" x14ac:dyDescent="0.2">
      <c r="A4884" s="486" t="s">
        <v>647</v>
      </c>
      <c r="B4884" s="487" t="s">
        <v>646</v>
      </c>
      <c r="C4884" s="488" t="s">
        <v>15941</v>
      </c>
      <c r="D4884" s="489" t="s">
        <v>15942</v>
      </c>
      <c r="E4884" s="487" t="s">
        <v>15943</v>
      </c>
      <c r="F4884" s="490">
        <v>32492</v>
      </c>
      <c r="G4884" s="489">
        <v>1254.3</v>
      </c>
      <c r="H4884" s="489">
        <v>25.904489999999999</v>
      </c>
      <c r="I4884" s="487" t="s">
        <v>1499</v>
      </c>
      <c r="J4884" s="487" t="s">
        <v>648</v>
      </c>
    </row>
    <row r="4885" spans="1:10" ht="15" x14ac:dyDescent="0.2">
      <c r="A4885" s="486" t="s">
        <v>798</v>
      </c>
      <c r="B4885" s="487" t="s">
        <v>797</v>
      </c>
      <c r="C4885" s="488" t="s">
        <v>15944</v>
      </c>
      <c r="D4885" s="489" t="s">
        <v>15945</v>
      </c>
      <c r="E4885" s="487" t="s">
        <v>15946</v>
      </c>
      <c r="F4885" s="490">
        <v>168554</v>
      </c>
      <c r="G4885" s="489">
        <v>1945</v>
      </c>
      <c r="H4885" s="489">
        <v>86.660150000000002</v>
      </c>
      <c r="I4885" s="487" t="s">
        <v>1499</v>
      </c>
      <c r="J4885" s="487" t="s">
        <v>799</v>
      </c>
    </row>
    <row r="4886" spans="1:10" ht="15" x14ac:dyDescent="0.2">
      <c r="A4886" s="486" t="s">
        <v>798</v>
      </c>
      <c r="B4886" s="487" t="s">
        <v>797</v>
      </c>
      <c r="C4886" s="488" t="s">
        <v>15947</v>
      </c>
      <c r="D4886" s="489" t="s">
        <v>15948</v>
      </c>
      <c r="E4886" s="487" t="s">
        <v>15949</v>
      </c>
      <c r="F4886" s="490">
        <v>45160</v>
      </c>
      <c r="G4886" s="489">
        <v>516</v>
      </c>
      <c r="H4886" s="489">
        <v>87.519379999999998</v>
      </c>
      <c r="I4886" s="487" t="s">
        <v>1499</v>
      </c>
      <c r="J4886" s="487" t="s">
        <v>799</v>
      </c>
    </row>
    <row r="4887" spans="1:10" ht="15" x14ac:dyDescent="0.2">
      <c r="A4887" s="486" t="s">
        <v>798</v>
      </c>
      <c r="B4887" s="487" t="s">
        <v>797</v>
      </c>
      <c r="C4887" s="488" t="s">
        <v>15950</v>
      </c>
      <c r="D4887" s="489" t="s">
        <v>15951</v>
      </c>
      <c r="E4887" s="487" t="s">
        <v>15952</v>
      </c>
      <c r="F4887" s="490">
        <v>115220</v>
      </c>
      <c r="G4887" s="489">
        <v>2047</v>
      </c>
      <c r="H4887" s="489">
        <v>56.28725</v>
      </c>
      <c r="I4887" s="487" t="s">
        <v>1499</v>
      </c>
      <c r="J4887" s="487" t="s">
        <v>799</v>
      </c>
    </row>
    <row r="4888" spans="1:10" ht="15" x14ac:dyDescent="0.2">
      <c r="A4888" s="486" t="s">
        <v>798</v>
      </c>
      <c r="B4888" s="487" t="s">
        <v>797</v>
      </c>
      <c r="C4888" s="488" t="s">
        <v>15953</v>
      </c>
      <c r="D4888" s="489" t="s">
        <v>15954</v>
      </c>
      <c r="E4888" s="487" t="s">
        <v>15955</v>
      </c>
      <c r="F4888" s="490">
        <v>13416</v>
      </c>
      <c r="G4888" s="489">
        <v>200</v>
      </c>
      <c r="H4888" s="489">
        <v>67.08</v>
      </c>
      <c r="I4888" s="487" t="s">
        <v>1499</v>
      </c>
      <c r="J4888" s="487" t="s">
        <v>799</v>
      </c>
    </row>
    <row r="4889" spans="1:10" ht="15" x14ac:dyDescent="0.2">
      <c r="A4889" s="486" t="s">
        <v>798</v>
      </c>
      <c r="B4889" s="487" t="s">
        <v>797</v>
      </c>
      <c r="C4889" s="488" t="s">
        <v>15956</v>
      </c>
      <c r="D4889" s="489" t="s">
        <v>15957</v>
      </c>
      <c r="E4889" s="487" t="s">
        <v>15958</v>
      </c>
      <c r="F4889" s="490">
        <v>289270</v>
      </c>
      <c r="G4889" s="489">
        <v>2514</v>
      </c>
      <c r="H4889" s="489">
        <v>115.06364000000001</v>
      </c>
      <c r="I4889" s="487" t="s">
        <v>1499</v>
      </c>
      <c r="J4889" s="487" t="s">
        <v>799</v>
      </c>
    </row>
    <row r="4890" spans="1:10" ht="15" x14ac:dyDescent="0.2">
      <c r="A4890" s="486" t="s">
        <v>798</v>
      </c>
      <c r="B4890" s="487" t="s">
        <v>797</v>
      </c>
      <c r="C4890" s="488" t="s">
        <v>15959</v>
      </c>
      <c r="D4890" s="489" t="s">
        <v>15960</v>
      </c>
      <c r="E4890" s="487" t="s">
        <v>15961</v>
      </c>
      <c r="F4890" s="490">
        <v>19800</v>
      </c>
      <c r="G4890" s="489">
        <v>249</v>
      </c>
      <c r="H4890" s="489">
        <v>79.518069999999994</v>
      </c>
      <c r="I4890" s="487" t="s">
        <v>1499</v>
      </c>
      <c r="J4890" s="487" t="s">
        <v>799</v>
      </c>
    </row>
    <row r="4891" spans="1:10" ht="15" x14ac:dyDescent="0.2">
      <c r="A4891" s="486" t="s">
        <v>798</v>
      </c>
      <c r="B4891" s="487" t="s">
        <v>797</v>
      </c>
      <c r="C4891" s="488" t="s">
        <v>15962</v>
      </c>
      <c r="D4891" s="489" t="s">
        <v>15963</v>
      </c>
      <c r="E4891" s="487" t="s">
        <v>15964</v>
      </c>
      <c r="F4891" s="490">
        <v>74000</v>
      </c>
      <c r="G4891" s="489">
        <v>1452</v>
      </c>
      <c r="H4891" s="489">
        <v>50.964190000000002</v>
      </c>
      <c r="I4891" s="487" t="s">
        <v>1499</v>
      </c>
      <c r="J4891" s="487" t="s">
        <v>799</v>
      </c>
    </row>
    <row r="4892" spans="1:10" ht="15" x14ac:dyDescent="0.2">
      <c r="A4892" s="486" t="s">
        <v>798</v>
      </c>
      <c r="B4892" s="487" t="s">
        <v>797</v>
      </c>
      <c r="C4892" s="488" t="s">
        <v>15965</v>
      </c>
      <c r="D4892" s="489" t="s">
        <v>15966</v>
      </c>
      <c r="E4892" s="487" t="s">
        <v>15967</v>
      </c>
      <c r="F4892" s="490">
        <v>85319</v>
      </c>
      <c r="G4892" s="489">
        <v>1300</v>
      </c>
      <c r="H4892" s="489">
        <v>65.63</v>
      </c>
      <c r="I4892" s="487" t="s">
        <v>1499</v>
      </c>
      <c r="J4892" s="487" t="s">
        <v>799</v>
      </c>
    </row>
    <row r="4893" spans="1:10" ht="15" x14ac:dyDescent="0.2">
      <c r="A4893" s="486" t="s">
        <v>798</v>
      </c>
      <c r="B4893" s="487" t="s">
        <v>797</v>
      </c>
      <c r="C4893" s="488" t="s">
        <v>15968</v>
      </c>
      <c r="D4893" s="489" t="s">
        <v>15969</v>
      </c>
      <c r="E4893" s="487" t="s">
        <v>15970</v>
      </c>
      <c r="F4893" s="490">
        <v>83528</v>
      </c>
      <c r="G4893" s="489">
        <v>1054</v>
      </c>
      <c r="H4893" s="489">
        <v>79.248580000000004</v>
      </c>
      <c r="I4893" s="487" t="s">
        <v>1499</v>
      </c>
      <c r="J4893" s="487" t="s">
        <v>799</v>
      </c>
    </row>
    <row r="4894" spans="1:10" ht="15" x14ac:dyDescent="0.2">
      <c r="A4894" s="486" t="s">
        <v>798</v>
      </c>
      <c r="B4894" s="487" t="s">
        <v>797</v>
      </c>
      <c r="C4894" s="488" t="s">
        <v>15971</v>
      </c>
      <c r="D4894" s="489" t="s">
        <v>15972</v>
      </c>
      <c r="E4894" s="487" t="s">
        <v>15973</v>
      </c>
      <c r="F4894" s="490">
        <v>445460</v>
      </c>
      <c r="G4894" s="489">
        <v>10805</v>
      </c>
      <c r="H4894" s="489">
        <v>41.227209999999999</v>
      </c>
      <c r="I4894" s="487" t="s">
        <v>1499</v>
      </c>
      <c r="J4894" s="487" t="s">
        <v>799</v>
      </c>
    </row>
    <row r="4895" spans="1:10" ht="15" x14ac:dyDescent="0.2">
      <c r="A4895" s="486" t="s">
        <v>798</v>
      </c>
      <c r="B4895" s="487" t="s">
        <v>797</v>
      </c>
      <c r="C4895" s="488" t="s">
        <v>15974</v>
      </c>
      <c r="D4895" s="489" t="s">
        <v>15975</v>
      </c>
      <c r="E4895" s="487" t="s">
        <v>15976</v>
      </c>
      <c r="F4895" s="490">
        <v>25686</v>
      </c>
      <c r="G4895" s="489">
        <v>460</v>
      </c>
      <c r="H4895" s="489">
        <v>55.839129999999997</v>
      </c>
      <c r="I4895" s="487" t="s">
        <v>1499</v>
      </c>
      <c r="J4895" s="487" t="s">
        <v>799</v>
      </c>
    </row>
    <row r="4896" spans="1:10" ht="15" x14ac:dyDescent="0.2">
      <c r="A4896" s="486" t="s">
        <v>798</v>
      </c>
      <c r="B4896" s="487" t="s">
        <v>797</v>
      </c>
      <c r="C4896" s="488" t="s">
        <v>15977</v>
      </c>
      <c r="D4896" s="489" t="s">
        <v>15978</v>
      </c>
      <c r="E4896" s="487" t="s">
        <v>15979</v>
      </c>
      <c r="F4896" s="490">
        <v>98672</v>
      </c>
      <c r="G4896" s="489">
        <v>901</v>
      </c>
      <c r="H4896" s="489">
        <v>109.51387</v>
      </c>
      <c r="I4896" s="487" t="s">
        <v>1499</v>
      </c>
      <c r="J4896" s="487" t="s">
        <v>799</v>
      </c>
    </row>
    <row r="4897" spans="1:10" ht="15" x14ac:dyDescent="0.2">
      <c r="A4897" s="486" t="s">
        <v>798</v>
      </c>
      <c r="B4897" s="487" t="s">
        <v>797</v>
      </c>
      <c r="C4897" s="488" t="s">
        <v>15980</v>
      </c>
      <c r="D4897" s="489" t="s">
        <v>15981</v>
      </c>
      <c r="E4897" s="487" t="s">
        <v>15982</v>
      </c>
      <c r="F4897" s="490">
        <v>14332</v>
      </c>
      <c r="G4897" s="489">
        <v>248</v>
      </c>
      <c r="H4897" s="489">
        <v>57.790320000000001</v>
      </c>
      <c r="I4897" s="487" t="s">
        <v>1499</v>
      </c>
      <c r="J4897" s="487" t="s">
        <v>799</v>
      </c>
    </row>
    <row r="4898" spans="1:10" ht="15" x14ac:dyDescent="0.2">
      <c r="A4898" s="486" t="s">
        <v>798</v>
      </c>
      <c r="B4898" s="487" t="s">
        <v>797</v>
      </c>
      <c r="C4898" s="488" t="s">
        <v>15983</v>
      </c>
      <c r="D4898" s="489" t="s">
        <v>15984</v>
      </c>
      <c r="E4898" s="487" t="s">
        <v>15985</v>
      </c>
      <c r="F4898" s="490">
        <v>28981</v>
      </c>
      <c r="G4898" s="489">
        <v>307</v>
      </c>
      <c r="H4898" s="489">
        <v>94.400649999999999</v>
      </c>
      <c r="I4898" s="487" t="s">
        <v>1499</v>
      </c>
      <c r="J4898" s="487" t="s">
        <v>799</v>
      </c>
    </row>
    <row r="4899" spans="1:10" ht="15" x14ac:dyDescent="0.2">
      <c r="A4899" s="486" t="s">
        <v>798</v>
      </c>
      <c r="B4899" s="487" t="s">
        <v>797</v>
      </c>
      <c r="C4899" s="488" t="s">
        <v>15986</v>
      </c>
      <c r="D4899" s="489" t="s">
        <v>15987</v>
      </c>
      <c r="E4899" s="487" t="s">
        <v>15988</v>
      </c>
      <c r="F4899" s="490">
        <v>18380</v>
      </c>
      <c r="G4899" s="489">
        <v>853</v>
      </c>
      <c r="H4899" s="489">
        <v>21.54748</v>
      </c>
      <c r="I4899" s="487" t="s">
        <v>1499</v>
      </c>
      <c r="J4899" s="487" t="s">
        <v>799</v>
      </c>
    </row>
    <row r="4900" spans="1:10" ht="15" x14ac:dyDescent="0.2">
      <c r="A4900" s="486" t="s">
        <v>798</v>
      </c>
      <c r="B4900" s="487" t="s">
        <v>797</v>
      </c>
      <c r="C4900" s="488" t="s">
        <v>15989</v>
      </c>
      <c r="D4900" s="489" t="s">
        <v>15990</v>
      </c>
      <c r="E4900" s="487" t="s">
        <v>15991</v>
      </c>
      <c r="F4900" s="490">
        <v>99475</v>
      </c>
      <c r="G4900" s="489">
        <v>3979</v>
      </c>
      <c r="H4900" s="489">
        <v>25</v>
      </c>
      <c r="I4900" s="487" t="s">
        <v>1499</v>
      </c>
      <c r="J4900" s="487" t="s">
        <v>799</v>
      </c>
    </row>
    <row r="4901" spans="1:10" ht="15" x14ac:dyDescent="0.2">
      <c r="A4901" s="486" t="s">
        <v>798</v>
      </c>
      <c r="B4901" s="487" t="s">
        <v>797</v>
      </c>
      <c r="C4901" s="488" t="s">
        <v>15992</v>
      </c>
      <c r="D4901" s="489" t="s">
        <v>15993</v>
      </c>
      <c r="E4901" s="487" t="s">
        <v>15994</v>
      </c>
      <c r="F4901" s="490">
        <v>95875</v>
      </c>
      <c r="G4901" s="489">
        <v>3835</v>
      </c>
      <c r="H4901" s="489">
        <v>25</v>
      </c>
      <c r="I4901" s="487" t="s">
        <v>1499</v>
      </c>
      <c r="J4901" s="487" t="s">
        <v>799</v>
      </c>
    </row>
    <row r="4902" spans="1:10" ht="15" x14ac:dyDescent="0.2">
      <c r="A4902" s="486" t="s">
        <v>895</v>
      </c>
      <c r="B4902" s="487" t="s">
        <v>894</v>
      </c>
      <c r="C4902" s="488" t="s">
        <v>15995</v>
      </c>
      <c r="D4902" s="489" t="s">
        <v>15996</v>
      </c>
      <c r="E4902" s="487" t="s">
        <v>15997</v>
      </c>
      <c r="F4902" s="490">
        <v>14185.6</v>
      </c>
      <c r="G4902" s="489">
        <v>320</v>
      </c>
      <c r="H4902" s="489">
        <v>44.33</v>
      </c>
      <c r="I4902" s="487" t="s">
        <v>1499</v>
      </c>
      <c r="J4902" s="487" t="s">
        <v>896</v>
      </c>
    </row>
    <row r="4903" spans="1:10" ht="15" x14ac:dyDescent="0.2">
      <c r="A4903" s="486" t="s">
        <v>935</v>
      </c>
      <c r="B4903" s="487" t="s">
        <v>934</v>
      </c>
      <c r="C4903" s="488" t="s">
        <v>15998</v>
      </c>
      <c r="D4903" s="489" t="s">
        <v>15999</v>
      </c>
      <c r="E4903" s="487" t="s">
        <v>16000</v>
      </c>
      <c r="F4903" s="490">
        <v>3900</v>
      </c>
      <c r="G4903" s="489">
        <v>175.95</v>
      </c>
      <c r="H4903" s="489">
        <v>22.165389999999999</v>
      </c>
      <c r="I4903" s="487" t="s">
        <v>1499</v>
      </c>
      <c r="J4903" s="487" t="s">
        <v>936</v>
      </c>
    </row>
    <row r="4904" spans="1:10" ht="15" x14ac:dyDescent="0.2">
      <c r="A4904" s="486" t="s">
        <v>935</v>
      </c>
      <c r="B4904" s="487" t="s">
        <v>934</v>
      </c>
      <c r="C4904" s="488" t="s">
        <v>16001</v>
      </c>
      <c r="D4904" s="489" t="s">
        <v>16002</v>
      </c>
      <c r="E4904" s="487" t="s">
        <v>16003</v>
      </c>
      <c r="F4904" s="490">
        <v>44509.02</v>
      </c>
      <c r="G4904" s="489">
        <v>1698.36</v>
      </c>
      <c r="H4904" s="489">
        <v>26.207059999999998</v>
      </c>
      <c r="I4904" s="487" t="s">
        <v>1499</v>
      </c>
      <c r="J4904" s="487" t="s">
        <v>936</v>
      </c>
    </row>
    <row r="4905" spans="1:10" ht="15" x14ac:dyDescent="0.2">
      <c r="A4905" s="486" t="s">
        <v>935</v>
      </c>
      <c r="B4905" s="487" t="s">
        <v>934</v>
      </c>
      <c r="C4905" s="488" t="s">
        <v>16004</v>
      </c>
      <c r="D4905" s="489" t="s">
        <v>16005</v>
      </c>
      <c r="E4905" s="487" t="s">
        <v>16006</v>
      </c>
      <c r="F4905" s="490">
        <v>1750</v>
      </c>
      <c r="G4905" s="489">
        <v>93.29</v>
      </c>
      <c r="H4905" s="489">
        <v>18.758710000000001</v>
      </c>
      <c r="I4905" s="487" t="s">
        <v>1499</v>
      </c>
      <c r="J4905" s="487" t="s">
        <v>936</v>
      </c>
    </row>
    <row r="4906" spans="1:10" ht="15" x14ac:dyDescent="0.2">
      <c r="A4906" s="486" t="s">
        <v>935</v>
      </c>
      <c r="B4906" s="487" t="s">
        <v>934</v>
      </c>
      <c r="C4906" s="488" t="s">
        <v>16007</v>
      </c>
      <c r="D4906" s="489" t="s">
        <v>16008</v>
      </c>
      <c r="E4906" s="487" t="s">
        <v>16009</v>
      </c>
      <c r="F4906" s="490">
        <v>2200</v>
      </c>
      <c r="G4906" s="489">
        <v>114.28</v>
      </c>
      <c r="H4906" s="489">
        <v>19.250959999999999</v>
      </c>
      <c r="I4906" s="487" t="s">
        <v>1499</v>
      </c>
      <c r="J4906" s="487" t="s">
        <v>936</v>
      </c>
    </row>
    <row r="4907" spans="1:10" ht="15" x14ac:dyDescent="0.2">
      <c r="A4907" s="486" t="s">
        <v>935</v>
      </c>
      <c r="B4907" s="487" t="s">
        <v>934</v>
      </c>
      <c r="C4907" s="488" t="s">
        <v>16010</v>
      </c>
      <c r="D4907" s="489" t="s">
        <v>16011</v>
      </c>
      <c r="E4907" s="487" t="s">
        <v>16012</v>
      </c>
      <c r="F4907" s="490">
        <v>0</v>
      </c>
      <c r="G4907" s="489">
        <v>56.14</v>
      </c>
      <c r="H4907" s="489">
        <v>0</v>
      </c>
      <c r="I4907" s="487" t="s">
        <v>1593</v>
      </c>
      <c r="J4907" s="487" t="s">
        <v>936</v>
      </c>
    </row>
    <row r="4908" spans="1:10" ht="15" x14ac:dyDescent="0.2">
      <c r="A4908" s="486" t="s">
        <v>935</v>
      </c>
      <c r="B4908" s="487" t="s">
        <v>934</v>
      </c>
      <c r="C4908" s="488" t="s">
        <v>16013</v>
      </c>
      <c r="D4908" s="489" t="s">
        <v>16014</v>
      </c>
      <c r="E4908" s="487" t="s">
        <v>16015</v>
      </c>
      <c r="F4908" s="490">
        <v>187500</v>
      </c>
      <c r="G4908" s="489">
        <v>1764.41</v>
      </c>
      <c r="H4908" s="489">
        <v>106.26782</v>
      </c>
      <c r="I4908" s="487" t="s">
        <v>1499</v>
      </c>
      <c r="J4908" s="487" t="s">
        <v>936</v>
      </c>
    </row>
    <row r="4909" spans="1:10" ht="15" x14ac:dyDescent="0.2">
      <c r="A4909" s="486" t="s">
        <v>935</v>
      </c>
      <c r="B4909" s="487" t="s">
        <v>934</v>
      </c>
      <c r="C4909" s="488" t="s">
        <v>16016</v>
      </c>
      <c r="D4909" s="489" t="s">
        <v>16017</v>
      </c>
      <c r="E4909" s="487" t="s">
        <v>16018</v>
      </c>
      <c r="F4909" s="490">
        <v>39720.51</v>
      </c>
      <c r="G4909" s="489">
        <v>1107.58</v>
      </c>
      <c r="H4909" s="489">
        <v>35.862430000000003</v>
      </c>
      <c r="I4909" s="487" t="s">
        <v>1499</v>
      </c>
      <c r="J4909" s="487" t="s">
        <v>936</v>
      </c>
    </row>
    <row r="4910" spans="1:10" ht="15" x14ac:dyDescent="0.2">
      <c r="A4910" s="486" t="s">
        <v>935</v>
      </c>
      <c r="B4910" s="487" t="s">
        <v>934</v>
      </c>
      <c r="C4910" s="488" t="s">
        <v>16019</v>
      </c>
      <c r="D4910" s="489" t="s">
        <v>16020</v>
      </c>
      <c r="E4910" s="487" t="s">
        <v>16021</v>
      </c>
      <c r="F4910" s="490">
        <v>0</v>
      </c>
      <c r="G4910" s="489">
        <v>53.42</v>
      </c>
      <c r="H4910" s="489">
        <v>0</v>
      </c>
      <c r="I4910" s="487" t="s">
        <v>1593</v>
      </c>
      <c r="J4910" s="487" t="s">
        <v>936</v>
      </c>
    </row>
    <row r="4911" spans="1:10" ht="15" x14ac:dyDescent="0.2">
      <c r="A4911" s="486" t="s">
        <v>935</v>
      </c>
      <c r="B4911" s="487" t="s">
        <v>934</v>
      </c>
      <c r="C4911" s="488" t="s">
        <v>16022</v>
      </c>
      <c r="D4911" s="489" t="s">
        <v>16023</v>
      </c>
      <c r="E4911" s="487" t="s">
        <v>16024</v>
      </c>
      <c r="F4911" s="490">
        <v>15500</v>
      </c>
      <c r="G4911" s="489">
        <v>291.07</v>
      </c>
      <c r="H4911" s="489">
        <v>53.251800000000003</v>
      </c>
      <c r="I4911" s="487" t="s">
        <v>1499</v>
      </c>
      <c r="J4911" s="487" t="s">
        <v>936</v>
      </c>
    </row>
    <row r="4912" spans="1:10" ht="15" x14ac:dyDescent="0.2">
      <c r="A4912" s="486" t="s">
        <v>935</v>
      </c>
      <c r="B4912" s="487" t="s">
        <v>934</v>
      </c>
      <c r="C4912" s="488" t="s">
        <v>16025</v>
      </c>
      <c r="D4912" s="489" t="s">
        <v>16026</v>
      </c>
      <c r="E4912" s="487" t="s">
        <v>16027</v>
      </c>
      <c r="F4912" s="490">
        <v>38520</v>
      </c>
      <c r="G4912" s="489">
        <v>1122.96</v>
      </c>
      <c r="H4912" s="489">
        <v>34.302199999999999</v>
      </c>
      <c r="I4912" s="487" t="s">
        <v>1499</v>
      </c>
      <c r="J4912" s="487" t="s">
        <v>936</v>
      </c>
    </row>
    <row r="4913" spans="1:10" ht="15" x14ac:dyDescent="0.2">
      <c r="A4913" s="486" t="s">
        <v>935</v>
      </c>
      <c r="B4913" s="487" t="s">
        <v>934</v>
      </c>
      <c r="C4913" s="488" t="s">
        <v>16028</v>
      </c>
      <c r="D4913" s="489" t="s">
        <v>16029</v>
      </c>
      <c r="E4913" s="487" t="s">
        <v>16030</v>
      </c>
      <c r="F4913" s="490">
        <v>4000</v>
      </c>
      <c r="G4913" s="489">
        <v>81.81</v>
      </c>
      <c r="H4913" s="489">
        <v>48.89378</v>
      </c>
      <c r="I4913" s="487" t="s">
        <v>1499</v>
      </c>
      <c r="J4913" s="487" t="s">
        <v>936</v>
      </c>
    </row>
    <row r="4914" spans="1:10" ht="15" x14ac:dyDescent="0.2">
      <c r="A4914" s="486" t="s">
        <v>935</v>
      </c>
      <c r="B4914" s="487" t="s">
        <v>934</v>
      </c>
      <c r="C4914" s="488" t="s">
        <v>16031</v>
      </c>
      <c r="D4914" s="489" t="s">
        <v>16032</v>
      </c>
      <c r="E4914" s="487" t="s">
        <v>16033</v>
      </c>
      <c r="F4914" s="490">
        <v>51400</v>
      </c>
      <c r="G4914" s="489">
        <v>1147.52</v>
      </c>
      <c r="H4914" s="489">
        <v>44.792250000000003</v>
      </c>
      <c r="I4914" s="487" t="s">
        <v>1499</v>
      </c>
      <c r="J4914" s="487" t="s">
        <v>936</v>
      </c>
    </row>
    <row r="4915" spans="1:10" ht="15" x14ac:dyDescent="0.2">
      <c r="A4915" s="486" t="s">
        <v>935</v>
      </c>
      <c r="B4915" s="487" t="s">
        <v>934</v>
      </c>
      <c r="C4915" s="488" t="s">
        <v>16034</v>
      </c>
      <c r="D4915" s="489" t="s">
        <v>16035</v>
      </c>
      <c r="E4915" s="487" t="s">
        <v>16036</v>
      </c>
      <c r="F4915" s="490">
        <v>13169.8</v>
      </c>
      <c r="G4915" s="489">
        <v>662.48</v>
      </c>
      <c r="H4915" s="489">
        <v>19.879539999999999</v>
      </c>
      <c r="I4915" s="487" t="s">
        <v>1499</v>
      </c>
      <c r="J4915" s="487" t="s">
        <v>936</v>
      </c>
    </row>
    <row r="4916" spans="1:10" ht="15" x14ac:dyDescent="0.2">
      <c r="A4916" s="486" t="s">
        <v>935</v>
      </c>
      <c r="B4916" s="487" t="s">
        <v>934</v>
      </c>
      <c r="C4916" s="488" t="s">
        <v>16037</v>
      </c>
      <c r="D4916" s="489" t="s">
        <v>16038</v>
      </c>
      <c r="E4916" s="487" t="s">
        <v>16039</v>
      </c>
      <c r="F4916" s="490">
        <v>18608</v>
      </c>
      <c r="G4916" s="489">
        <v>352.3</v>
      </c>
      <c r="H4916" s="489">
        <v>52.818620000000003</v>
      </c>
      <c r="I4916" s="487" t="s">
        <v>1499</v>
      </c>
      <c r="J4916" s="487" t="s">
        <v>936</v>
      </c>
    </row>
    <row r="4917" spans="1:10" ht="15" x14ac:dyDescent="0.2">
      <c r="A4917" s="486" t="s">
        <v>935</v>
      </c>
      <c r="B4917" s="487" t="s">
        <v>934</v>
      </c>
      <c r="C4917" s="488" t="s">
        <v>16040</v>
      </c>
      <c r="D4917" s="489" t="s">
        <v>16041</v>
      </c>
      <c r="E4917" s="487" t="s">
        <v>16042</v>
      </c>
      <c r="F4917" s="490">
        <v>7100</v>
      </c>
      <c r="G4917" s="489">
        <v>114.73</v>
      </c>
      <c r="H4917" s="489">
        <v>61.884419999999999</v>
      </c>
      <c r="I4917" s="487" t="s">
        <v>1499</v>
      </c>
      <c r="J4917" s="487" t="s">
        <v>936</v>
      </c>
    </row>
    <row r="4918" spans="1:10" ht="15" x14ac:dyDescent="0.2">
      <c r="A4918" s="486" t="s">
        <v>935</v>
      </c>
      <c r="B4918" s="487" t="s">
        <v>934</v>
      </c>
      <c r="C4918" s="488" t="s">
        <v>16043</v>
      </c>
      <c r="D4918" s="489" t="s">
        <v>16044</v>
      </c>
      <c r="E4918" s="487" t="s">
        <v>16045</v>
      </c>
      <c r="F4918" s="490">
        <v>14700</v>
      </c>
      <c r="G4918" s="489">
        <v>149.80000000000001</v>
      </c>
      <c r="H4918" s="489">
        <v>98.130840000000006</v>
      </c>
      <c r="I4918" s="487" t="s">
        <v>1499</v>
      </c>
      <c r="J4918" s="487" t="s">
        <v>936</v>
      </c>
    </row>
    <row r="4919" spans="1:10" ht="15" x14ac:dyDescent="0.2">
      <c r="A4919" s="486" t="s">
        <v>935</v>
      </c>
      <c r="B4919" s="487" t="s">
        <v>934</v>
      </c>
      <c r="C4919" s="488" t="s">
        <v>16046</v>
      </c>
      <c r="D4919" s="489" t="s">
        <v>16047</v>
      </c>
      <c r="E4919" s="487" t="s">
        <v>6142</v>
      </c>
      <c r="F4919" s="490">
        <v>16880</v>
      </c>
      <c r="G4919" s="489">
        <v>217.88</v>
      </c>
      <c r="H4919" s="489">
        <v>77.473839999999996</v>
      </c>
      <c r="I4919" s="487" t="s">
        <v>1499</v>
      </c>
      <c r="J4919" s="487" t="s">
        <v>936</v>
      </c>
    </row>
    <row r="4920" spans="1:10" ht="15" x14ac:dyDescent="0.2">
      <c r="A4920" s="486" t="s">
        <v>935</v>
      </c>
      <c r="B4920" s="487" t="s">
        <v>934</v>
      </c>
      <c r="C4920" s="488" t="s">
        <v>16048</v>
      </c>
      <c r="D4920" s="489" t="s">
        <v>16049</v>
      </c>
      <c r="E4920" s="487" t="s">
        <v>16050</v>
      </c>
      <c r="F4920" s="490">
        <v>1007671.93</v>
      </c>
      <c r="G4920" s="489">
        <v>9922.82</v>
      </c>
      <c r="H4920" s="489">
        <v>101.55096</v>
      </c>
      <c r="I4920" s="487" t="s">
        <v>1499</v>
      </c>
      <c r="J4920" s="487" t="s">
        <v>936</v>
      </c>
    </row>
    <row r="4921" spans="1:10" ht="15" x14ac:dyDescent="0.2">
      <c r="A4921" s="486" t="s">
        <v>935</v>
      </c>
      <c r="B4921" s="487" t="s">
        <v>934</v>
      </c>
      <c r="C4921" s="488" t="s">
        <v>16051</v>
      </c>
      <c r="D4921" s="489" t="s">
        <v>16052</v>
      </c>
      <c r="E4921" s="487" t="s">
        <v>16053</v>
      </c>
      <c r="F4921" s="490">
        <v>12699.75</v>
      </c>
      <c r="G4921" s="489">
        <v>281.23</v>
      </c>
      <c r="H4921" s="489">
        <v>45.157879999999999</v>
      </c>
      <c r="I4921" s="487" t="s">
        <v>1499</v>
      </c>
      <c r="J4921" s="487" t="s">
        <v>936</v>
      </c>
    </row>
    <row r="4922" spans="1:10" ht="15" x14ac:dyDescent="0.2">
      <c r="A4922" s="486" t="s">
        <v>935</v>
      </c>
      <c r="B4922" s="487" t="s">
        <v>934</v>
      </c>
      <c r="C4922" s="488" t="s">
        <v>16054</v>
      </c>
      <c r="D4922" s="489" t="s">
        <v>16055</v>
      </c>
      <c r="E4922" s="487" t="s">
        <v>16056</v>
      </c>
      <c r="F4922" s="490">
        <v>10000</v>
      </c>
      <c r="G4922" s="489">
        <v>404.74</v>
      </c>
      <c r="H4922" s="489">
        <v>24.70722</v>
      </c>
      <c r="I4922" s="487" t="s">
        <v>1499</v>
      </c>
      <c r="J4922" s="487" t="s">
        <v>936</v>
      </c>
    </row>
    <row r="4923" spans="1:10" ht="15" x14ac:dyDescent="0.2">
      <c r="A4923" s="486" t="s">
        <v>935</v>
      </c>
      <c r="B4923" s="487" t="s">
        <v>934</v>
      </c>
      <c r="C4923" s="488" t="s">
        <v>16057</v>
      </c>
      <c r="D4923" s="489" t="s">
        <v>16058</v>
      </c>
      <c r="E4923" s="487" t="s">
        <v>16059</v>
      </c>
      <c r="F4923" s="490">
        <v>1600</v>
      </c>
      <c r="G4923" s="489">
        <v>127.74</v>
      </c>
      <c r="H4923" s="489">
        <v>12.52544</v>
      </c>
      <c r="I4923" s="487" t="s">
        <v>1499</v>
      </c>
      <c r="J4923" s="487" t="s">
        <v>936</v>
      </c>
    </row>
    <row r="4924" spans="1:10" ht="15" x14ac:dyDescent="0.2">
      <c r="A4924" s="486" t="s">
        <v>935</v>
      </c>
      <c r="B4924" s="487" t="s">
        <v>934</v>
      </c>
      <c r="C4924" s="488" t="s">
        <v>16060</v>
      </c>
      <c r="D4924" s="489" t="s">
        <v>16061</v>
      </c>
      <c r="E4924" s="487" t="s">
        <v>11662</v>
      </c>
      <c r="F4924" s="490">
        <v>10950</v>
      </c>
      <c r="G4924" s="489">
        <v>377.5</v>
      </c>
      <c r="H4924" s="489">
        <v>29.006620000000002</v>
      </c>
      <c r="I4924" s="487" t="s">
        <v>1499</v>
      </c>
      <c r="J4924" s="487" t="s">
        <v>936</v>
      </c>
    </row>
    <row r="4925" spans="1:10" ht="15" x14ac:dyDescent="0.2">
      <c r="A4925" s="486" t="s">
        <v>935</v>
      </c>
      <c r="B4925" s="487" t="s">
        <v>934</v>
      </c>
      <c r="C4925" s="488" t="s">
        <v>16062</v>
      </c>
      <c r="D4925" s="489" t="s">
        <v>16063</v>
      </c>
      <c r="E4925" s="487" t="s">
        <v>16064</v>
      </c>
      <c r="F4925" s="490">
        <v>3000</v>
      </c>
      <c r="G4925" s="489">
        <v>97.61</v>
      </c>
      <c r="H4925" s="489">
        <v>30.734559999999998</v>
      </c>
      <c r="I4925" s="487" t="s">
        <v>1499</v>
      </c>
      <c r="J4925" s="487" t="s">
        <v>936</v>
      </c>
    </row>
    <row r="4926" spans="1:10" ht="15" x14ac:dyDescent="0.2">
      <c r="A4926" s="486" t="s">
        <v>935</v>
      </c>
      <c r="B4926" s="487" t="s">
        <v>934</v>
      </c>
      <c r="C4926" s="488" t="s">
        <v>16065</v>
      </c>
      <c r="D4926" s="489" t="s">
        <v>16066</v>
      </c>
      <c r="E4926" s="487" t="s">
        <v>16067</v>
      </c>
      <c r="F4926" s="490">
        <v>4000</v>
      </c>
      <c r="G4926" s="489">
        <v>246.64</v>
      </c>
      <c r="H4926" s="489">
        <v>16.217970000000001</v>
      </c>
      <c r="I4926" s="487" t="s">
        <v>1499</v>
      </c>
      <c r="J4926" s="487" t="s">
        <v>936</v>
      </c>
    </row>
    <row r="4927" spans="1:10" ht="15" x14ac:dyDescent="0.2">
      <c r="A4927" s="486" t="s">
        <v>935</v>
      </c>
      <c r="B4927" s="487" t="s">
        <v>934</v>
      </c>
      <c r="C4927" s="488" t="s">
        <v>16068</v>
      </c>
      <c r="D4927" s="489" t="s">
        <v>16069</v>
      </c>
      <c r="E4927" s="487" t="s">
        <v>16070</v>
      </c>
      <c r="F4927" s="490">
        <v>0</v>
      </c>
      <c r="G4927" s="489">
        <v>20.53</v>
      </c>
      <c r="H4927" s="489">
        <v>0</v>
      </c>
      <c r="I4927" s="487" t="s">
        <v>1593</v>
      </c>
      <c r="J4927" s="487" t="s">
        <v>936</v>
      </c>
    </row>
    <row r="4928" spans="1:10" ht="15" x14ac:dyDescent="0.2">
      <c r="A4928" s="486" t="s">
        <v>935</v>
      </c>
      <c r="B4928" s="487" t="s">
        <v>934</v>
      </c>
      <c r="C4928" s="488" t="s">
        <v>16071</v>
      </c>
      <c r="D4928" s="489" t="s">
        <v>16072</v>
      </c>
      <c r="E4928" s="487" t="s">
        <v>16073</v>
      </c>
      <c r="F4928" s="490">
        <v>3350</v>
      </c>
      <c r="G4928" s="489">
        <v>166.74</v>
      </c>
      <c r="H4928" s="489">
        <v>20.091159999999999</v>
      </c>
      <c r="I4928" s="487" t="s">
        <v>1499</v>
      </c>
      <c r="J4928" s="487" t="s">
        <v>936</v>
      </c>
    </row>
    <row r="4929" spans="1:10" ht="15" x14ac:dyDescent="0.2">
      <c r="A4929" s="486" t="s">
        <v>935</v>
      </c>
      <c r="B4929" s="487" t="s">
        <v>934</v>
      </c>
      <c r="C4929" s="488" t="s">
        <v>16074</v>
      </c>
      <c r="D4929" s="489" t="s">
        <v>16075</v>
      </c>
      <c r="E4929" s="487" t="s">
        <v>16076</v>
      </c>
      <c r="F4929" s="490">
        <v>77047</v>
      </c>
      <c r="G4929" s="489">
        <v>825.41</v>
      </c>
      <c r="H4929" s="489">
        <v>93.343909999999994</v>
      </c>
      <c r="I4929" s="487" t="s">
        <v>1499</v>
      </c>
      <c r="J4929" s="487" t="s">
        <v>936</v>
      </c>
    </row>
    <row r="4930" spans="1:10" ht="15" x14ac:dyDescent="0.2">
      <c r="A4930" s="486" t="s">
        <v>935</v>
      </c>
      <c r="B4930" s="487" t="s">
        <v>934</v>
      </c>
      <c r="C4930" s="488" t="s">
        <v>16077</v>
      </c>
      <c r="D4930" s="489" t="s">
        <v>16078</v>
      </c>
      <c r="E4930" s="487" t="s">
        <v>16079</v>
      </c>
      <c r="F4930" s="490">
        <v>71500</v>
      </c>
      <c r="G4930" s="489">
        <v>1321.38</v>
      </c>
      <c r="H4930" s="489">
        <v>54.110100000000003</v>
      </c>
      <c r="I4930" s="487" t="s">
        <v>1499</v>
      </c>
      <c r="J4930" s="487" t="s">
        <v>936</v>
      </c>
    </row>
    <row r="4931" spans="1:10" ht="15" x14ac:dyDescent="0.2">
      <c r="A4931" s="486" t="s">
        <v>935</v>
      </c>
      <c r="B4931" s="487" t="s">
        <v>934</v>
      </c>
      <c r="C4931" s="488" t="s">
        <v>16080</v>
      </c>
      <c r="D4931" s="489" t="s">
        <v>16081</v>
      </c>
      <c r="E4931" s="487" t="s">
        <v>16082</v>
      </c>
      <c r="F4931" s="490">
        <v>6162.84</v>
      </c>
      <c r="G4931" s="489">
        <v>213.1</v>
      </c>
      <c r="H4931" s="489">
        <v>28.91994</v>
      </c>
      <c r="I4931" s="487" t="s">
        <v>1499</v>
      </c>
      <c r="J4931" s="487" t="s">
        <v>936</v>
      </c>
    </row>
    <row r="4932" spans="1:10" ht="15" x14ac:dyDescent="0.2">
      <c r="A4932" s="486" t="s">
        <v>935</v>
      </c>
      <c r="B4932" s="487" t="s">
        <v>934</v>
      </c>
      <c r="C4932" s="488" t="s">
        <v>16083</v>
      </c>
      <c r="D4932" s="489" t="s">
        <v>16084</v>
      </c>
      <c r="E4932" s="487" t="s">
        <v>15357</v>
      </c>
      <c r="F4932" s="490">
        <v>6700</v>
      </c>
      <c r="G4932" s="489">
        <v>242.4</v>
      </c>
      <c r="H4932" s="489">
        <v>27.640260000000001</v>
      </c>
      <c r="I4932" s="487" t="s">
        <v>1499</v>
      </c>
      <c r="J4932" s="487" t="s">
        <v>936</v>
      </c>
    </row>
    <row r="4933" spans="1:10" ht="15" x14ac:dyDescent="0.2">
      <c r="A4933" s="486" t="s">
        <v>935</v>
      </c>
      <c r="B4933" s="487" t="s">
        <v>934</v>
      </c>
      <c r="C4933" s="488" t="s">
        <v>16085</v>
      </c>
      <c r="D4933" s="489" t="s">
        <v>16086</v>
      </c>
      <c r="E4933" s="487" t="s">
        <v>15658</v>
      </c>
      <c r="F4933" s="490">
        <v>3000</v>
      </c>
      <c r="G4933" s="489">
        <v>63.42</v>
      </c>
      <c r="H4933" s="489">
        <v>47.303690000000003</v>
      </c>
      <c r="I4933" s="487" t="s">
        <v>1499</v>
      </c>
      <c r="J4933" s="487" t="s">
        <v>936</v>
      </c>
    </row>
    <row r="4934" spans="1:10" ht="15" x14ac:dyDescent="0.2">
      <c r="A4934" s="486" t="s">
        <v>935</v>
      </c>
      <c r="B4934" s="487" t="s">
        <v>934</v>
      </c>
      <c r="C4934" s="488" t="s">
        <v>16087</v>
      </c>
      <c r="D4934" s="489" t="s">
        <v>16088</v>
      </c>
      <c r="E4934" s="487" t="s">
        <v>16089</v>
      </c>
      <c r="F4934" s="490">
        <v>22776</v>
      </c>
      <c r="G4934" s="489">
        <v>888.83</v>
      </c>
      <c r="H4934" s="489">
        <v>25.624700000000001</v>
      </c>
      <c r="I4934" s="487" t="s">
        <v>1499</v>
      </c>
      <c r="J4934" s="487" t="s">
        <v>936</v>
      </c>
    </row>
    <row r="4935" spans="1:10" ht="15" x14ac:dyDescent="0.2">
      <c r="A4935" s="486" t="s">
        <v>935</v>
      </c>
      <c r="B4935" s="487" t="s">
        <v>934</v>
      </c>
      <c r="C4935" s="488" t="s">
        <v>16090</v>
      </c>
      <c r="D4935" s="489" t="s">
        <v>16091</v>
      </c>
      <c r="E4935" s="487" t="s">
        <v>16092</v>
      </c>
      <c r="F4935" s="490">
        <v>27050</v>
      </c>
      <c r="G4935" s="489">
        <v>61.31</v>
      </c>
      <c r="H4935" s="489">
        <v>441.20046000000002</v>
      </c>
      <c r="I4935" s="487" t="s">
        <v>1499</v>
      </c>
      <c r="J4935" s="487" t="s">
        <v>936</v>
      </c>
    </row>
    <row r="4936" spans="1:10" ht="15" x14ac:dyDescent="0.2">
      <c r="A4936" s="486" t="s">
        <v>935</v>
      </c>
      <c r="B4936" s="487" t="s">
        <v>934</v>
      </c>
      <c r="C4936" s="488" t="s">
        <v>16093</v>
      </c>
      <c r="D4936" s="489" t="s">
        <v>16094</v>
      </c>
      <c r="E4936" s="487" t="s">
        <v>11113</v>
      </c>
      <c r="F4936" s="490">
        <v>6200</v>
      </c>
      <c r="G4936" s="489">
        <v>171.16</v>
      </c>
      <c r="H4936" s="489">
        <v>36.223419999999997</v>
      </c>
      <c r="I4936" s="487" t="s">
        <v>1499</v>
      </c>
      <c r="J4936" s="487" t="s">
        <v>936</v>
      </c>
    </row>
    <row r="4937" spans="1:10" ht="15" x14ac:dyDescent="0.2">
      <c r="A4937" s="486" t="s">
        <v>935</v>
      </c>
      <c r="B4937" s="487" t="s">
        <v>934</v>
      </c>
      <c r="C4937" s="488" t="s">
        <v>16095</v>
      </c>
      <c r="D4937" s="489" t="s">
        <v>16096</v>
      </c>
      <c r="E4937" s="487" t="s">
        <v>16097</v>
      </c>
      <c r="F4937" s="490">
        <v>10898.77</v>
      </c>
      <c r="G4937" s="489">
        <v>220.91</v>
      </c>
      <c r="H4937" s="489">
        <v>49.335790000000003</v>
      </c>
      <c r="I4937" s="487" t="s">
        <v>1499</v>
      </c>
      <c r="J4937" s="487" t="s">
        <v>936</v>
      </c>
    </row>
    <row r="4938" spans="1:10" ht="15" x14ac:dyDescent="0.2">
      <c r="A4938" s="486" t="s">
        <v>935</v>
      </c>
      <c r="B4938" s="487" t="s">
        <v>934</v>
      </c>
      <c r="C4938" s="488" t="s">
        <v>16098</v>
      </c>
      <c r="D4938" s="489" t="s">
        <v>16099</v>
      </c>
      <c r="E4938" s="487" t="s">
        <v>16100</v>
      </c>
      <c r="F4938" s="490">
        <v>6050</v>
      </c>
      <c r="G4938" s="489">
        <v>145.99</v>
      </c>
      <c r="H4938" s="489">
        <v>41.441189999999999</v>
      </c>
      <c r="I4938" s="487" t="s">
        <v>1499</v>
      </c>
      <c r="J4938" s="487" t="s">
        <v>936</v>
      </c>
    </row>
    <row r="4939" spans="1:10" ht="15" x14ac:dyDescent="0.2">
      <c r="A4939" s="486" t="s">
        <v>935</v>
      </c>
      <c r="B4939" s="487" t="s">
        <v>934</v>
      </c>
      <c r="C4939" s="488" t="s">
        <v>16101</v>
      </c>
      <c r="D4939" s="489" t="s">
        <v>16102</v>
      </c>
      <c r="E4939" s="487" t="s">
        <v>16103</v>
      </c>
      <c r="F4939" s="490">
        <v>9902</v>
      </c>
      <c r="G4939" s="489">
        <v>270.57</v>
      </c>
      <c r="H4939" s="489">
        <v>36.596809999999998</v>
      </c>
      <c r="I4939" s="487" t="s">
        <v>1499</v>
      </c>
      <c r="J4939" s="487" t="s">
        <v>936</v>
      </c>
    </row>
    <row r="4940" spans="1:10" ht="15" x14ac:dyDescent="0.2">
      <c r="A4940" s="486" t="s">
        <v>1089</v>
      </c>
      <c r="B4940" s="487" t="s">
        <v>1088</v>
      </c>
      <c r="C4940" s="488" t="s">
        <v>16104</v>
      </c>
      <c r="D4940" s="489" t="s">
        <v>16105</v>
      </c>
      <c r="E4940" s="487" t="s">
        <v>16106</v>
      </c>
      <c r="F4940" s="490">
        <v>0</v>
      </c>
      <c r="G4940" s="489">
        <v>122.6</v>
      </c>
      <c r="H4940" s="489">
        <v>0</v>
      </c>
      <c r="I4940" s="487" t="s">
        <v>1593</v>
      </c>
      <c r="J4940" s="487" t="s">
        <v>1090</v>
      </c>
    </row>
    <row r="4941" spans="1:10" ht="15" x14ac:dyDescent="0.2">
      <c r="A4941" s="486" t="s">
        <v>1089</v>
      </c>
      <c r="B4941" s="487" t="s">
        <v>1088</v>
      </c>
      <c r="C4941" s="488" t="s">
        <v>16107</v>
      </c>
      <c r="D4941" s="489" t="s">
        <v>16108</v>
      </c>
      <c r="E4941" s="487" t="s">
        <v>16109</v>
      </c>
      <c r="F4941" s="490">
        <v>371460</v>
      </c>
      <c r="G4941" s="489">
        <v>3284.1</v>
      </c>
      <c r="H4941" s="489">
        <v>113.10861</v>
      </c>
      <c r="I4941" s="487" t="s">
        <v>1499</v>
      </c>
      <c r="J4941" s="487" t="s">
        <v>1090</v>
      </c>
    </row>
    <row r="4942" spans="1:10" ht="15" x14ac:dyDescent="0.2">
      <c r="A4942" s="486" t="s">
        <v>1089</v>
      </c>
      <c r="B4942" s="487" t="s">
        <v>1088</v>
      </c>
      <c r="C4942" s="488" t="s">
        <v>16110</v>
      </c>
      <c r="D4942" s="489" t="s">
        <v>16111</v>
      </c>
      <c r="E4942" s="487" t="s">
        <v>16112</v>
      </c>
      <c r="F4942" s="490">
        <v>243500</v>
      </c>
      <c r="G4942" s="489">
        <v>2224.4</v>
      </c>
      <c r="H4942" s="489">
        <v>109.46772</v>
      </c>
      <c r="I4942" s="487" t="s">
        <v>1499</v>
      </c>
      <c r="J4942" s="487" t="s">
        <v>1090</v>
      </c>
    </row>
    <row r="4943" spans="1:10" ht="15" x14ac:dyDescent="0.2">
      <c r="A4943" s="486" t="s">
        <v>1089</v>
      </c>
      <c r="B4943" s="487" t="s">
        <v>1088</v>
      </c>
      <c r="C4943" s="488" t="s">
        <v>16113</v>
      </c>
      <c r="D4943" s="489" t="s">
        <v>16114</v>
      </c>
      <c r="E4943" s="487" t="s">
        <v>16115</v>
      </c>
      <c r="F4943" s="490">
        <v>10952</v>
      </c>
      <c r="G4943" s="489">
        <v>305.10000000000002</v>
      </c>
      <c r="H4943" s="489">
        <v>35.896430000000002</v>
      </c>
      <c r="I4943" s="487" t="s">
        <v>1499</v>
      </c>
      <c r="J4943" s="487" t="s">
        <v>1090</v>
      </c>
    </row>
    <row r="4944" spans="1:10" ht="15" x14ac:dyDescent="0.2">
      <c r="A4944" s="486" t="s">
        <v>1089</v>
      </c>
      <c r="B4944" s="487" t="s">
        <v>1088</v>
      </c>
      <c r="C4944" s="488" t="s">
        <v>16116</v>
      </c>
      <c r="D4944" s="489" t="s">
        <v>16117</v>
      </c>
      <c r="E4944" s="487" t="s">
        <v>16118</v>
      </c>
      <c r="F4944" s="490">
        <v>186906</v>
      </c>
      <c r="G4944" s="489">
        <v>2152.3000000000002</v>
      </c>
      <c r="H4944" s="489">
        <v>86.840119999999999</v>
      </c>
      <c r="I4944" s="487" t="s">
        <v>1499</v>
      </c>
      <c r="J4944" s="487" t="s">
        <v>1090</v>
      </c>
    </row>
    <row r="4945" spans="1:10" ht="15" x14ac:dyDescent="0.2">
      <c r="A4945" s="486" t="s">
        <v>1089</v>
      </c>
      <c r="B4945" s="487" t="s">
        <v>1088</v>
      </c>
      <c r="C4945" s="488" t="s">
        <v>16119</v>
      </c>
      <c r="D4945" s="489" t="s">
        <v>16120</v>
      </c>
      <c r="E4945" s="487" t="s">
        <v>3851</v>
      </c>
      <c r="F4945" s="490">
        <v>1105379</v>
      </c>
      <c r="G4945" s="489">
        <v>5016.7</v>
      </c>
      <c r="H4945" s="489">
        <v>220.33985999999999</v>
      </c>
      <c r="I4945" s="487" t="s">
        <v>1499</v>
      </c>
      <c r="J4945" s="487" t="s">
        <v>1090</v>
      </c>
    </row>
    <row r="4946" spans="1:10" ht="15" x14ac:dyDescent="0.2">
      <c r="A4946" s="486" t="s">
        <v>1089</v>
      </c>
      <c r="B4946" s="487" t="s">
        <v>1088</v>
      </c>
      <c r="C4946" s="488" t="s">
        <v>16121</v>
      </c>
      <c r="D4946" s="489" t="s">
        <v>16122</v>
      </c>
      <c r="E4946" s="487" t="s">
        <v>16123</v>
      </c>
      <c r="F4946" s="490">
        <v>136986</v>
      </c>
      <c r="G4946" s="489">
        <v>1256.0999999999999</v>
      </c>
      <c r="H4946" s="489">
        <v>109.0566</v>
      </c>
      <c r="I4946" s="487" t="s">
        <v>1499</v>
      </c>
      <c r="J4946" s="487" t="s">
        <v>1090</v>
      </c>
    </row>
    <row r="4947" spans="1:10" ht="15" x14ac:dyDescent="0.2">
      <c r="A4947" s="486" t="s">
        <v>1089</v>
      </c>
      <c r="B4947" s="487" t="s">
        <v>1088</v>
      </c>
      <c r="C4947" s="488" t="s">
        <v>16124</v>
      </c>
      <c r="D4947" s="489" t="s">
        <v>16125</v>
      </c>
      <c r="E4947" s="487" t="s">
        <v>16126</v>
      </c>
      <c r="F4947" s="490">
        <v>41346</v>
      </c>
      <c r="G4947" s="489">
        <v>605.66</v>
      </c>
      <c r="H4947" s="489">
        <v>68.266019999999997</v>
      </c>
      <c r="I4947" s="487" t="s">
        <v>1499</v>
      </c>
      <c r="J4947" s="487" t="s">
        <v>1090</v>
      </c>
    </row>
    <row r="4948" spans="1:10" ht="15" x14ac:dyDescent="0.2">
      <c r="A4948" s="486" t="s">
        <v>1089</v>
      </c>
      <c r="B4948" s="487" t="s">
        <v>1088</v>
      </c>
      <c r="C4948" s="488" t="s">
        <v>16127</v>
      </c>
      <c r="D4948" s="489" t="s">
        <v>16128</v>
      </c>
      <c r="E4948" s="487" t="s">
        <v>16129</v>
      </c>
      <c r="F4948" s="490">
        <v>11000</v>
      </c>
      <c r="G4948" s="489">
        <v>140.83000000000001</v>
      </c>
      <c r="H4948" s="489">
        <v>78.108360000000005</v>
      </c>
      <c r="I4948" s="487" t="s">
        <v>1499</v>
      </c>
      <c r="J4948" s="487" t="s">
        <v>1090</v>
      </c>
    </row>
    <row r="4949" spans="1:10" ht="15" x14ac:dyDescent="0.2">
      <c r="A4949" s="486" t="s">
        <v>1089</v>
      </c>
      <c r="B4949" s="487" t="s">
        <v>1088</v>
      </c>
      <c r="C4949" s="488" t="s">
        <v>16130</v>
      </c>
      <c r="D4949" s="489" t="s">
        <v>16131</v>
      </c>
      <c r="E4949" s="487" t="s">
        <v>16132</v>
      </c>
      <c r="F4949" s="490">
        <v>23014</v>
      </c>
      <c r="G4949" s="489">
        <v>354.72</v>
      </c>
      <c r="H4949" s="489">
        <v>64.879339999999999</v>
      </c>
      <c r="I4949" s="487" t="s">
        <v>1499</v>
      </c>
      <c r="J4949" s="487" t="s">
        <v>1090</v>
      </c>
    </row>
    <row r="4950" spans="1:10" ht="15" x14ac:dyDescent="0.2">
      <c r="A4950" s="486" t="s">
        <v>1089</v>
      </c>
      <c r="B4950" s="487" t="s">
        <v>1088</v>
      </c>
      <c r="C4950" s="488" t="s">
        <v>16133</v>
      </c>
      <c r="D4950" s="489" t="s">
        <v>16134</v>
      </c>
      <c r="E4950" s="487" t="s">
        <v>16135</v>
      </c>
      <c r="F4950" s="490">
        <v>15767</v>
      </c>
      <c r="G4950" s="489">
        <v>349.82</v>
      </c>
      <c r="H4950" s="489">
        <v>45.071750000000002</v>
      </c>
      <c r="I4950" s="487" t="s">
        <v>1499</v>
      </c>
      <c r="J4950" s="487" t="s">
        <v>1090</v>
      </c>
    </row>
    <row r="4951" spans="1:10" ht="15" x14ac:dyDescent="0.2">
      <c r="A4951" s="486" t="s">
        <v>1089</v>
      </c>
      <c r="B4951" s="487" t="s">
        <v>1088</v>
      </c>
      <c r="C4951" s="488" t="s">
        <v>16136</v>
      </c>
      <c r="D4951" s="489" t="s">
        <v>16137</v>
      </c>
      <c r="E4951" s="487" t="s">
        <v>16138</v>
      </c>
      <c r="F4951" s="490">
        <v>59747</v>
      </c>
      <c r="G4951" s="489">
        <v>321.41000000000003</v>
      </c>
      <c r="H4951" s="489">
        <v>185.8903</v>
      </c>
      <c r="I4951" s="487" t="s">
        <v>1499</v>
      </c>
      <c r="J4951" s="487" t="s">
        <v>1090</v>
      </c>
    </row>
    <row r="4952" spans="1:10" ht="15" x14ac:dyDescent="0.2">
      <c r="A4952" s="486" t="s">
        <v>1089</v>
      </c>
      <c r="B4952" s="487" t="s">
        <v>1088</v>
      </c>
      <c r="C4952" s="488" t="s">
        <v>16139</v>
      </c>
      <c r="D4952" s="489" t="s">
        <v>16140</v>
      </c>
      <c r="E4952" s="487" t="s">
        <v>16141</v>
      </c>
      <c r="F4952" s="490">
        <v>729945</v>
      </c>
      <c r="G4952" s="489">
        <v>6204.77</v>
      </c>
      <c r="H4952" s="489">
        <v>117.64256</v>
      </c>
      <c r="I4952" s="487" t="s">
        <v>1499</v>
      </c>
      <c r="J4952" s="487" t="s">
        <v>1090</v>
      </c>
    </row>
    <row r="4953" spans="1:10" ht="15" x14ac:dyDescent="0.2">
      <c r="A4953" s="486" t="s">
        <v>1089</v>
      </c>
      <c r="B4953" s="487" t="s">
        <v>1088</v>
      </c>
      <c r="C4953" s="488" t="s">
        <v>16142</v>
      </c>
      <c r="D4953" s="489" t="s">
        <v>16143</v>
      </c>
      <c r="E4953" s="487" t="s">
        <v>16144</v>
      </c>
      <c r="F4953" s="490">
        <v>13000</v>
      </c>
      <c r="G4953" s="489">
        <v>662.78</v>
      </c>
      <c r="H4953" s="489">
        <v>19.614350000000002</v>
      </c>
      <c r="I4953" s="487" t="s">
        <v>1499</v>
      </c>
      <c r="J4953" s="487" t="s">
        <v>1090</v>
      </c>
    </row>
    <row r="4954" spans="1:10" ht="15" x14ac:dyDescent="0.2">
      <c r="A4954" s="486" t="s">
        <v>1089</v>
      </c>
      <c r="B4954" s="487" t="s">
        <v>1088</v>
      </c>
      <c r="C4954" s="488" t="s">
        <v>16145</v>
      </c>
      <c r="D4954" s="489" t="s">
        <v>16146</v>
      </c>
      <c r="E4954" s="487" t="s">
        <v>16147</v>
      </c>
      <c r="F4954" s="490">
        <v>11976.35</v>
      </c>
      <c r="G4954" s="489">
        <v>716.74</v>
      </c>
      <c r="H4954" s="489">
        <v>16.709479999999999</v>
      </c>
      <c r="I4954" s="487" t="s">
        <v>1499</v>
      </c>
      <c r="J4954" s="487" t="s">
        <v>1090</v>
      </c>
    </row>
    <row r="4955" spans="1:10" ht="15" x14ac:dyDescent="0.2">
      <c r="A4955" s="486" t="s">
        <v>1089</v>
      </c>
      <c r="B4955" s="487" t="s">
        <v>1088</v>
      </c>
      <c r="C4955" s="488" t="s">
        <v>16148</v>
      </c>
      <c r="D4955" s="489" t="s">
        <v>16149</v>
      </c>
      <c r="E4955" s="487" t="s">
        <v>16150</v>
      </c>
      <c r="F4955" s="490">
        <v>8591</v>
      </c>
      <c r="G4955" s="489">
        <v>165.12</v>
      </c>
      <c r="H4955" s="489">
        <v>52.028829999999999</v>
      </c>
      <c r="I4955" s="487" t="s">
        <v>1499</v>
      </c>
      <c r="J4955" s="487" t="s">
        <v>1090</v>
      </c>
    </row>
    <row r="4956" spans="1:10" ht="15" x14ac:dyDescent="0.2">
      <c r="A4956" s="486" t="s">
        <v>1089</v>
      </c>
      <c r="B4956" s="487" t="s">
        <v>1088</v>
      </c>
      <c r="C4956" s="488" t="s">
        <v>16151</v>
      </c>
      <c r="D4956" s="489" t="s">
        <v>16152</v>
      </c>
      <c r="E4956" s="487" t="s">
        <v>16153</v>
      </c>
      <c r="F4956" s="490">
        <v>24000</v>
      </c>
      <c r="G4956" s="489">
        <v>319.97000000000003</v>
      </c>
      <c r="H4956" s="489">
        <v>75.00703</v>
      </c>
      <c r="I4956" s="487" t="s">
        <v>1499</v>
      </c>
      <c r="J4956" s="487" t="s">
        <v>1090</v>
      </c>
    </row>
    <row r="4957" spans="1:10" ht="15" x14ac:dyDescent="0.2">
      <c r="A4957" s="486" t="s">
        <v>1089</v>
      </c>
      <c r="B4957" s="487" t="s">
        <v>1088</v>
      </c>
      <c r="C4957" s="488" t="s">
        <v>16154</v>
      </c>
      <c r="D4957" s="489" t="s">
        <v>16155</v>
      </c>
      <c r="E4957" s="487" t="s">
        <v>16156</v>
      </c>
      <c r="F4957" s="490">
        <v>140000</v>
      </c>
      <c r="G4957" s="489">
        <v>914.69</v>
      </c>
      <c r="H4957" s="489">
        <v>153.05732</v>
      </c>
      <c r="I4957" s="487" t="s">
        <v>1499</v>
      </c>
      <c r="J4957" s="487" t="s">
        <v>1090</v>
      </c>
    </row>
    <row r="4958" spans="1:10" ht="15" x14ac:dyDescent="0.2">
      <c r="A4958" s="486" t="s">
        <v>1101</v>
      </c>
      <c r="B4958" s="487" t="s">
        <v>1100</v>
      </c>
      <c r="C4958" s="488" t="s">
        <v>16157</v>
      </c>
      <c r="D4958" s="489" t="s">
        <v>16158</v>
      </c>
      <c r="E4958" s="487" t="s">
        <v>3521</v>
      </c>
      <c r="F4958" s="490">
        <v>26000</v>
      </c>
      <c r="G4958" s="489">
        <v>669.6</v>
      </c>
      <c r="H4958" s="489">
        <v>38.829149999999998</v>
      </c>
      <c r="I4958" s="487" t="s">
        <v>1499</v>
      </c>
      <c r="J4958" s="487" t="s">
        <v>1102</v>
      </c>
    </row>
    <row r="4959" spans="1:10" ht="15" x14ac:dyDescent="0.2">
      <c r="A4959" s="486" t="s">
        <v>1101</v>
      </c>
      <c r="B4959" s="487" t="s">
        <v>1100</v>
      </c>
      <c r="C4959" s="488" t="s">
        <v>16159</v>
      </c>
      <c r="D4959" s="489" t="s">
        <v>16160</v>
      </c>
      <c r="E4959" s="487" t="s">
        <v>2627</v>
      </c>
      <c r="F4959" s="490">
        <v>45000</v>
      </c>
      <c r="G4959" s="489">
        <v>1594.4</v>
      </c>
      <c r="H4959" s="489">
        <v>28.223780000000001</v>
      </c>
      <c r="I4959" s="487" t="s">
        <v>1499</v>
      </c>
      <c r="J4959" s="487" t="s">
        <v>1102</v>
      </c>
    </row>
    <row r="4960" spans="1:10" ht="15" x14ac:dyDescent="0.2">
      <c r="A4960" s="486" t="s">
        <v>1101</v>
      </c>
      <c r="B4960" s="487" t="s">
        <v>1100</v>
      </c>
      <c r="C4960" s="488" t="s">
        <v>16161</v>
      </c>
      <c r="D4960" s="489" t="s">
        <v>16162</v>
      </c>
      <c r="E4960" s="487" t="s">
        <v>16163</v>
      </c>
      <c r="F4960" s="490">
        <v>6750</v>
      </c>
      <c r="G4960" s="489">
        <v>712.3</v>
      </c>
      <c r="H4960" s="489">
        <v>9.4763400000000004</v>
      </c>
      <c r="I4960" s="487" t="s">
        <v>1499</v>
      </c>
      <c r="J4960" s="487" t="s">
        <v>1102</v>
      </c>
    </row>
    <row r="4961" spans="1:10" ht="15" x14ac:dyDescent="0.2">
      <c r="A4961" s="486" t="s">
        <v>1101</v>
      </c>
      <c r="B4961" s="487" t="s">
        <v>1100</v>
      </c>
      <c r="C4961" s="488" t="s">
        <v>16164</v>
      </c>
      <c r="D4961" s="489" t="s">
        <v>16165</v>
      </c>
      <c r="E4961" s="487" t="s">
        <v>16166</v>
      </c>
      <c r="F4961" s="490">
        <v>45000</v>
      </c>
      <c r="G4961" s="489">
        <v>1353.3</v>
      </c>
      <c r="H4961" s="489">
        <v>33.252049999999997</v>
      </c>
      <c r="I4961" s="487" t="s">
        <v>1499</v>
      </c>
      <c r="J4961" s="487" t="s">
        <v>1102</v>
      </c>
    </row>
    <row r="4962" spans="1:10" ht="15" x14ac:dyDescent="0.2">
      <c r="A4962" s="486" t="s">
        <v>1101</v>
      </c>
      <c r="B4962" s="487" t="s">
        <v>1100</v>
      </c>
      <c r="C4962" s="488" t="s">
        <v>16167</v>
      </c>
      <c r="D4962" s="489" t="s">
        <v>16168</v>
      </c>
      <c r="E4962" s="487" t="s">
        <v>16169</v>
      </c>
      <c r="F4962" s="490">
        <v>1315</v>
      </c>
      <c r="G4962" s="489">
        <v>113.1</v>
      </c>
      <c r="H4962" s="489">
        <v>11.62688</v>
      </c>
      <c r="I4962" s="487" t="s">
        <v>1499</v>
      </c>
      <c r="J4962" s="487" t="s">
        <v>1102</v>
      </c>
    </row>
    <row r="4963" spans="1:10" ht="15" x14ac:dyDescent="0.2">
      <c r="A4963" s="486" t="s">
        <v>1101</v>
      </c>
      <c r="B4963" s="487" t="s">
        <v>1100</v>
      </c>
      <c r="C4963" s="488" t="s">
        <v>16170</v>
      </c>
      <c r="D4963" s="489" t="s">
        <v>16171</v>
      </c>
      <c r="E4963" s="487" t="s">
        <v>12700</v>
      </c>
      <c r="F4963" s="490">
        <v>137000</v>
      </c>
      <c r="G4963" s="489">
        <v>2915.7</v>
      </c>
      <c r="H4963" s="489">
        <v>46.987000000000002</v>
      </c>
      <c r="I4963" s="487" t="s">
        <v>1499</v>
      </c>
      <c r="J4963" s="487" t="s">
        <v>1102</v>
      </c>
    </row>
    <row r="4964" spans="1:10" ht="15" x14ac:dyDescent="0.2">
      <c r="A4964" s="486" t="s">
        <v>1101</v>
      </c>
      <c r="B4964" s="487" t="s">
        <v>1100</v>
      </c>
      <c r="C4964" s="488" t="s">
        <v>16172</v>
      </c>
      <c r="D4964" s="489" t="s">
        <v>16173</v>
      </c>
      <c r="E4964" s="487" t="s">
        <v>16174</v>
      </c>
      <c r="F4964" s="490">
        <v>30500</v>
      </c>
      <c r="G4964" s="489">
        <v>1653.3</v>
      </c>
      <c r="H4964" s="489">
        <v>18.447949999999999</v>
      </c>
      <c r="I4964" s="487" t="s">
        <v>1499</v>
      </c>
      <c r="J4964" s="487" t="s">
        <v>1102</v>
      </c>
    </row>
    <row r="4965" spans="1:10" ht="15" x14ac:dyDescent="0.2">
      <c r="A4965" s="486" t="s">
        <v>1101</v>
      </c>
      <c r="B4965" s="487" t="s">
        <v>1100</v>
      </c>
      <c r="C4965" s="488" t="s">
        <v>16175</v>
      </c>
      <c r="D4965" s="489" t="s">
        <v>16176</v>
      </c>
      <c r="E4965" s="487" t="s">
        <v>16177</v>
      </c>
      <c r="F4965" s="490">
        <v>55275</v>
      </c>
      <c r="G4965" s="489">
        <v>2670.8</v>
      </c>
      <c r="H4965" s="489">
        <v>20.69605</v>
      </c>
      <c r="I4965" s="487" t="s">
        <v>1499</v>
      </c>
      <c r="J4965" s="487" t="s">
        <v>1102</v>
      </c>
    </row>
    <row r="4966" spans="1:10" ht="15" x14ac:dyDescent="0.2">
      <c r="A4966" s="486" t="s">
        <v>1101</v>
      </c>
      <c r="B4966" s="487" t="s">
        <v>1100</v>
      </c>
      <c r="C4966" s="488" t="s">
        <v>16178</v>
      </c>
      <c r="D4966" s="489" t="s">
        <v>16179</v>
      </c>
      <c r="E4966" s="487" t="s">
        <v>16180</v>
      </c>
      <c r="F4966" s="490">
        <v>116280</v>
      </c>
      <c r="G4966" s="489">
        <v>2039.9</v>
      </c>
      <c r="H4966" s="489">
        <v>57.002789999999997</v>
      </c>
      <c r="I4966" s="487" t="s">
        <v>1499</v>
      </c>
      <c r="J4966" s="487" t="s">
        <v>1102</v>
      </c>
    </row>
    <row r="4967" spans="1:10" ht="15" x14ac:dyDescent="0.2">
      <c r="A4967" s="486" t="s">
        <v>1119</v>
      </c>
      <c r="B4967" s="487" t="s">
        <v>1118</v>
      </c>
      <c r="C4967" s="488" t="s">
        <v>16181</v>
      </c>
      <c r="D4967" s="489" t="s">
        <v>16182</v>
      </c>
      <c r="E4967" s="487" t="s">
        <v>16183</v>
      </c>
      <c r="F4967" s="490">
        <v>11500</v>
      </c>
      <c r="G4967" s="489">
        <v>483</v>
      </c>
      <c r="H4967" s="489">
        <v>23.809519999999999</v>
      </c>
      <c r="I4967" s="487" t="s">
        <v>1499</v>
      </c>
      <c r="J4967" s="487" t="s">
        <v>1120</v>
      </c>
    </row>
    <row r="4968" spans="1:10" ht="15" x14ac:dyDescent="0.2">
      <c r="A4968" s="486" t="s">
        <v>1119</v>
      </c>
      <c r="B4968" s="487" t="s">
        <v>1118</v>
      </c>
      <c r="C4968" s="488" t="s">
        <v>16184</v>
      </c>
      <c r="D4968" s="489" t="s">
        <v>16185</v>
      </c>
      <c r="E4968" s="487" t="s">
        <v>16186</v>
      </c>
      <c r="F4968" s="490">
        <v>4000</v>
      </c>
      <c r="G4968" s="489">
        <v>202</v>
      </c>
      <c r="H4968" s="489">
        <v>19.80198</v>
      </c>
      <c r="I4968" s="487" t="s">
        <v>1499</v>
      </c>
      <c r="J4968" s="487" t="s">
        <v>1120</v>
      </c>
    </row>
    <row r="4969" spans="1:10" ht="15" x14ac:dyDescent="0.2">
      <c r="A4969" s="486" t="s">
        <v>1119</v>
      </c>
      <c r="B4969" s="487" t="s">
        <v>1118</v>
      </c>
      <c r="C4969" s="488" t="s">
        <v>16187</v>
      </c>
      <c r="D4969" s="489" t="s">
        <v>16188</v>
      </c>
      <c r="E4969" s="487" t="s">
        <v>16189</v>
      </c>
      <c r="F4969" s="490">
        <v>1838</v>
      </c>
      <c r="G4969" s="489">
        <v>203</v>
      </c>
      <c r="H4969" s="489">
        <v>9.0541900000000002</v>
      </c>
      <c r="I4969" s="487" t="s">
        <v>2465</v>
      </c>
      <c r="J4969" s="487" t="s">
        <v>1120</v>
      </c>
    </row>
    <row r="4970" spans="1:10" ht="15" x14ac:dyDescent="0.2">
      <c r="A4970" s="486" t="s">
        <v>1119</v>
      </c>
      <c r="B4970" s="487" t="s">
        <v>1118</v>
      </c>
      <c r="C4970" s="488" t="s">
        <v>16190</v>
      </c>
      <c r="D4970" s="489" t="s">
        <v>16191</v>
      </c>
      <c r="E4970" s="487" t="s">
        <v>16192</v>
      </c>
      <c r="F4970" s="490">
        <v>28934</v>
      </c>
      <c r="G4970" s="489">
        <v>2222</v>
      </c>
      <c r="H4970" s="489">
        <v>13.021599999999999</v>
      </c>
      <c r="I4970" s="487" t="s">
        <v>1499</v>
      </c>
      <c r="J4970" s="487" t="s">
        <v>1120</v>
      </c>
    </row>
    <row r="4971" spans="1:10" ht="15" x14ac:dyDescent="0.2">
      <c r="A4971" s="486" t="s">
        <v>1119</v>
      </c>
      <c r="B4971" s="487" t="s">
        <v>1118</v>
      </c>
      <c r="C4971" s="488" t="s">
        <v>16193</v>
      </c>
      <c r="D4971" s="489" t="s">
        <v>16194</v>
      </c>
      <c r="E4971" s="487" t="s">
        <v>16195</v>
      </c>
      <c r="F4971" s="490">
        <v>20000</v>
      </c>
      <c r="G4971" s="489">
        <v>492</v>
      </c>
      <c r="H4971" s="489">
        <v>40.650410000000001</v>
      </c>
      <c r="I4971" s="487" t="s">
        <v>2465</v>
      </c>
      <c r="J4971" s="487" t="s">
        <v>1120</v>
      </c>
    </row>
    <row r="4972" spans="1:10" ht="15" x14ac:dyDescent="0.2">
      <c r="A4972" s="486" t="s">
        <v>1119</v>
      </c>
      <c r="B4972" s="487" t="s">
        <v>1118</v>
      </c>
      <c r="C4972" s="488" t="s">
        <v>16196</v>
      </c>
      <c r="D4972" s="489" t="s">
        <v>16197</v>
      </c>
      <c r="E4972" s="487" t="s">
        <v>16198</v>
      </c>
      <c r="F4972" s="490">
        <v>2600</v>
      </c>
      <c r="G4972" s="489">
        <v>73</v>
      </c>
      <c r="H4972" s="489">
        <v>35.616439999999997</v>
      </c>
      <c r="I4972" s="487" t="s">
        <v>1499</v>
      </c>
      <c r="J4972" s="487" t="s">
        <v>1120</v>
      </c>
    </row>
    <row r="4973" spans="1:10" ht="15" x14ac:dyDescent="0.2">
      <c r="A4973" s="486" t="s">
        <v>1119</v>
      </c>
      <c r="B4973" s="487" t="s">
        <v>1118</v>
      </c>
      <c r="C4973" s="488" t="s">
        <v>16199</v>
      </c>
      <c r="D4973" s="489" t="s">
        <v>16200</v>
      </c>
      <c r="E4973" s="487" t="s">
        <v>16201</v>
      </c>
      <c r="F4973" s="490">
        <v>1650</v>
      </c>
      <c r="G4973" s="489">
        <v>83</v>
      </c>
      <c r="H4973" s="489">
        <v>19.879519999999999</v>
      </c>
      <c r="I4973" s="487" t="s">
        <v>1499</v>
      </c>
      <c r="J4973" s="487" t="s">
        <v>1120</v>
      </c>
    </row>
    <row r="4974" spans="1:10" ht="15" x14ac:dyDescent="0.2">
      <c r="A4974" s="486" t="s">
        <v>1119</v>
      </c>
      <c r="B4974" s="487" t="s">
        <v>1118</v>
      </c>
      <c r="C4974" s="488" t="s">
        <v>16202</v>
      </c>
      <c r="D4974" s="489" t="s">
        <v>16203</v>
      </c>
      <c r="E4974" s="487" t="s">
        <v>16204</v>
      </c>
      <c r="F4974" s="490">
        <v>1380</v>
      </c>
      <c r="G4974" s="489">
        <v>85</v>
      </c>
      <c r="H4974" s="489">
        <v>16.235289999999999</v>
      </c>
      <c r="I4974" s="487" t="s">
        <v>1499</v>
      </c>
      <c r="J4974" s="487" t="s">
        <v>1120</v>
      </c>
    </row>
    <row r="4975" spans="1:10" ht="15" x14ac:dyDescent="0.2">
      <c r="A4975" s="486" t="s">
        <v>1119</v>
      </c>
      <c r="B4975" s="487" t="s">
        <v>1118</v>
      </c>
      <c r="C4975" s="488" t="s">
        <v>16205</v>
      </c>
      <c r="D4975" s="489" t="s">
        <v>16206</v>
      </c>
      <c r="E4975" s="487" t="s">
        <v>16207</v>
      </c>
      <c r="F4975" s="490">
        <v>11940</v>
      </c>
      <c r="G4975" s="489">
        <v>401</v>
      </c>
      <c r="H4975" s="489">
        <v>29.775559999999999</v>
      </c>
      <c r="I4975" s="487" t="s">
        <v>1499</v>
      </c>
      <c r="J4975" s="487" t="s">
        <v>1120</v>
      </c>
    </row>
    <row r="4976" spans="1:10" ht="15" x14ac:dyDescent="0.2">
      <c r="A4976" s="486" t="s">
        <v>1119</v>
      </c>
      <c r="B4976" s="487" t="s">
        <v>1118</v>
      </c>
      <c r="C4976" s="488" t="s">
        <v>16208</v>
      </c>
      <c r="D4976" s="489" t="s">
        <v>16209</v>
      </c>
      <c r="E4976" s="487" t="s">
        <v>16210</v>
      </c>
      <c r="F4976" s="490">
        <v>12500</v>
      </c>
      <c r="G4976" s="489">
        <v>555</v>
      </c>
      <c r="H4976" s="489">
        <v>22.52252</v>
      </c>
      <c r="I4976" s="487" t="s">
        <v>1499</v>
      </c>
      <c r="J4976" s="487" t="s">
        <v>1120</v>
      </c>
    </row>
    <row r="4977" spans="1:10" ht="15" x14ac:dyDescent="0.2">
      <c r="A4977" s="486" t="s">
        <v>1119</v>
      </c>
      <c r="B4977" s="487" t="s">
        <v>1118</v>
      </c>
      <c r="C4977" s="488" t="s">
        <v>16211</v>
      </c>
      <c r="D4977" s="489" t="s">
        <v>16212</v>
      </c>
      <c r="E4977" s="487" t="s">
        <v>16213</v>
      </c>
      <c r="F4977" s="490">
        <v>4000</v>
      </c>
      <c r="G4977" s="489">
        <v>519</v>
      </c>
      <c r="H4977" s="489">
        <v>7.7071300000000003</v>
      </c>
      <c r="I4977" s="487" t="s">
        <v>1499</v>
      </c>
      <c r="J4977" s="487" t="s">
        <v>1120</v>
      </c>
    </row>
    <row r="4978" spans="1:10" ht="15" x14ac:dyDescent="0.2">
      <c r="A4978" s="486" t="s">
        <v>1119</v>
      </c>
      <c r="B4978" s="487" t="s">
        <v>1118</v>
      </c>
      <c r="C4978" s="488" t="s">
        <v>16214</v>
      </c>
      <c r="D4978" s="489" t="s">
        <v>16215</v>
      </c>
      <c r="E4978" s="487" t="s">
        <v>16216</v>
      </c>
      <c r="F4978" s="490">
        <v>148779</v>
      </c>
      <c r="G4978" s="489">
        <v>6328</v>
      </c>
      <c r="H4978" s="489">
        <v>23.511220000000002</v>
      </c>
      <c r="I4978" s="487" t="s">
        <v>1499</v>
      </c>
      <c r="J4978" s="487" t="s">
        <v>1120</v>
      </c>
    </row>
    <row r="4979" spans="1:10" ht="15" x14ac:dyDescent="0.2">
      <c r="A4979" s="486" t="s">
        <v>1119</v>
      </c>
      <c r="B4979" s="487" t="s">
        <v>1118</v>
      </c>
      <c r="C4979" s="488" t="s">
        <v>16217</v>
      </c>
      <c r="D4979" s="489" t="s">
        <v>16218</v>
      </c>
      <c r="E4979" s="487" t="s">
        <v>16219</v>
      </c>
      <c r="F4979" s="490">
        <v>0</v>
      </c>
      <c r="G4979" s="489">
        <v>46</v>
      </c>
      <c r="H4979" s="489">
        <v>0</v>
      </c>
      <c r="I4979" s="487" t="s">
        <v>1593</v>
      </c>
      <c r="J4979" s="487" t="s">
        <v>1120</v>
      </c>
    </row>
    <row r="4980" spans="1:10" ht="15" x14ac:dyDescent="0.2">
      <c r="A4980" s="486" t="s">
        <v>1119</v>
      </c>
      <c r="B4980" s="487" t="s">
        <v>1118</v>
      </c>
      <c r="C4980" s="488" t="s">
        <v>16220</v>
      </c>
      <c r="D4980" s="489" t="s">
        <v>16221</v>
      </c>
      <c r="E4980" s="487" t="s">
        <v>3373</v>
      </c>
      <c r="F4980" s="490">
        <v>0</v>
      </c>
      <c r="G4980" s="489">
        <v>49</v>
      </c>
      <c r="H4980" s="489">
        <v>0</v>
      </c>
      <c r="I4980" s="487" t="s">
        <v>1593</v>
      </c>
      <c r="J4980" s="487" t="s">
        <v>1120</v>
      </c>
    </row>
    <row r="4981" spans="1:10" ht="15" x14ac:dyDescent="0.2">
      <c r="A4981" s="486" t="s">
        <v>1119</v>
      </c>
      <c r="B4981" s="487" t="s">
        <v>1118</v>
      </c>
      <c r="C4981" s="488" t="s">
        <v>16222</v>
      </c>
      <c r="D4981" s="489" t="s">
        <v>16223</v>
      </c>
      <c r="E4981" s="487" t="s">
        <v>4514</v>
      </c>
      <c r="F4981" s="490">
        <v>1000</v>
      </c>
      <c r="G4981" s="489">
        <v>108</v>
      </c>
      <c r="H4981" s="489">
        <v>9.2592599999999994</v>
      </c>
      <c r="I4981" s="487" t="s">
        <v>1499</v>
      </c>
      <c r="J4981" s="487" t="s">
        <v>1120</v>
      </c>
    </row>
    <row r="4982" spans="1:10" ht="15" x14ac:dyDescent="0.2">
      <c r="A4982" s="486" t="s">
        <v>1119</v>
      </c>
      <c r="B4982" s="487" t="s">
        <v>1118</v>
      </c>
      <c r="C4982" s="488" t="s">
        <v>16224</v>
      </c>
      <c r="D4982" s="489" t="s">
        <v>16225</v>
      </c>
      <c r="E4982" s="487" t="s">
        <v>16226</v>
      </c>
      <c r="F4982" s="490">
        <v>0</v>
      </c>
      <c r="G4982" s="489">
        <v>0</v>
      </c>
      <c r="H4982" s="489">
        <v>0</v>
      </c>
      <c r="I4982" s="487" t="s">
        <v>2465</v>
      </c>
      <c r="J4982" s="487" t="s">
        <v>1120</v>
      </c>
    </row>
    <row r="4983" spans="1:10" ht="15" x14ac:dyDescent="0.2">
      <c r="A4983" s="486" t="s">
        <v>1119</v>
      </c>
      <c r="B4983" s="487" t="s">
        <v>1118</v>
      </c>
      <c r="C4983" s="488" t="s">
        <v>16227</v>
      </c>
      <c r="D4983" s="489" t="s">
        <v>16228</v>
      </c>
      <c r="E4983" s="487" t="s">
        <v>16229</v>
      </c>
      <c r="F4983" s="490">
        <v>7500</v>
      </c>
      <c r="G4983" s="489">
        <v>243</v>
      </c>
      <c r="H4983" s="489">
        <v>30.8642</v>
      </c>
      <c r="I4983" s="487" t="s">
        <v>1499</v>
      </c>
      <c r="J4983" s="487" t="s">
        <v>1120</v>
      </c>
    </row>
    <row r="4984" spans="1:10" ht="15" x14ac:dyDescent="0.2">
      <c r="A4984" s="486" t="s">
        <v>1119</v>
      </c>
      <c r="B4984" s="487" t="s">
        <v>1118</v>
      </c>
      <c r="C4984" s="488" t="s">
        <v>16230</v>
      </c>
      <c r="D4984" s="489" t="s">
        <v>16231</v>
      </c>
      <c r="E4984" s="487" t="s">
        <v>16232</v>
      </c>
      <c r="F4984" s="490">
        <v>0</v>
      </c>
      <c r="G4984" s="489">
        <v>0</v>
      </c>
      <c r="H4984" s="489">
        <v>0</v>
      </c>
      <c r="I4984" s="487" t="s">
        <v>2465</v>
      </c>
      <c r="J4984" s="487" t="s">
        <v>1120</v>
      </c>
    </row>
    <row r="4985" spans="1:10" ht="15" x14ac:dyDescent="0.2">
      <c r="A4985" s="486" t="s">
        <v>1119</v>
      </c>
      <c r="B4985" s="487" t="s">
        <v>1118</v>
      </c>
      <c r="C4985" s="488" t="s">
        <v>16233</v>
      </c>
      <c r="D4985" s="489" t="s">
        <v>16234</v>
      </c>
      <c r="E4985" s="487" t="s">
        <v>16235</v>
      </c>
      <c r="F4985" s="490">
        <v>0</v>
      </c>
      <c r="G4985" s="489">
        <v>0</v>
      </c>
      <c r="H4985" s="489">
        <v>0</v>
      </c>
      <c r="I4985" s="487" t="s">
        <v>2465</v>
      </c>
      <c r="J4985" s="487" t="s">
        <v>1120</v>
      </c>
    </row>
    <row r="4986" spans="1:10" ht="15" x14ac:dyDescent="0.2">
      <c r="A4986" s="486" t="s">
        <v>1119</v>
      </c>
      <c r="B4986" s="487" t="s">
        <v>1118</v>
      </c>
      <c r="C4986" s="488" t="s">
        <v>16236</v>
      </c>
      <c r="D4986" s="489" t="s">
        <v>16237</v>
      </c>
      <c r="E4986" s="487" t="s">
        <v>16238</v>
      </c>
      <c r="F4986" s="490">
        <v>9933</v>
      </c>
      <c r="G4986" s="489">
        <v>356</v>
      </c>
      <c r="H4986" s="489">
        <v>27.901689999999999</v>
      </c>
      <c r="I4986" s="487" t="s">
        <v>1499</v>
      </c>
      <c r="J4986" s="487" t="s">
        <v>1120</v>
      </c>
    </row>
    <row r="4987" spans="1:10" ht="15" x14ac:dyDescent="0.2">
      <c r="A4987" s="486" t="s">
        <v>1119</v>
      </c>
      <c r="B4987" s="487" t="s">
        <v>1118</v>
      </c>
      <c r="C4987" s="488" t="s">
        <v>16239</v>
      </c>
      <c r="D4987" s="489" t="s">
        <v>16240</v>
      </c>
      <c r="E4987" s="487" t="s">
        <v>1720</v>
      </c>
      <c r="F4987" s="490">
        <v>0</v>
      </c>
      <c r="G4987" s="489">
        <v>53</v>
      </c>
      <c r="H4987" s="489">
        <v>0</v>
      </c>
      <c r="I4987" s="487" t="s">
        <v>1593</v>
      </c>
      <c r="J4987" s="487" t="s">
        <v>1120</v>
      </c>
    </row>
    <row r="4988" spans="1:10" ht="15" x14ac:dyDescent="0.2">
      <c r="A4988" s="486" t="s">
        <v>1119</v>
      </c>
      <c r="B4988" s="487" t="s">
        <v>1118</v>
      </c>
      <c r="C4988" s="488" t="s">
        <v>16241</v>
      </c>
      <c r="D4988" s="489" t="s">
        <v>16242</v>
      </c>
      <c r="E4988" s="487" t="s">
        <v>16243</v>
      </c>
      <c r="F4988" s="490">
        <v>1400</v>
      </c>
      <c r="G4988" s="489">
        <v>77</v>
      </c>
      <c r="H4988" s="489">
        <v>18.181819999999998</v>
      </c>
      <c r="I4988" s="487" t="s">
        <v>1499</v>
      </c>
      <c r="J4988" s="487" t="s">
        <v>1120</v>
      </c>
    </row>
    <row r="4989" spans="1:10" ht="15" x14ac:dyDescent="0.2">
      <c r="A4989" s="486" t="s">
        <v>1119</v>
      </c>
      <c r="B4989" s="487" t="s">
        <v>1118</v>
      </c>
      <c r="C4989" s="488" t="s">
        <v>16244</v>
      </c>
      <c r="D4989" s="489" t="s">
        <v>16245</v>
      </c>
      <c r="E4989" s="487" t="s">
        <v>16246</v>
      </c>
      <c r="F4989" s="490">
        <v>0</v>
      </c>
      <c r="G4989" s="489">
        <v>0</v>
      </c>
      <c r="H4989" s="489">
        <v>0</v>
      </c>
      <c r="I4989" s="487" t="s">
        <v>2465</v>
      </c>
      <c r="J4989" s="487" t="s">
        <v>1120</v>
      </c>
    </row>
    <row r="4990" spans="1:10" ht="15" x14ac:dyDescent="0.2">
      <c r="A4990" s="486" t="s">
        <v>1119</v>
      </c>
      <c r="B4990" s="487" t="s">
        <v>1118</v>
      </c>
      <c r="C4990" s="488" t="s">
        <v>16247</v>
      </c>
      <c r="D4990" s="489" t="s">
        <v>16248</v>
      </c>
      <c r="E4990" s="487" t="s">
        <v>16249</v>
      </c>
      <c r="F4990" s="490">
        <v>98195</v>
      </c>
      <c r="G4990" s="489">
        <v>3271</v>
      </c>
      <c r="H4990" s="489">
        <v>30.019870000000001</v>
      </c>
      <c r="I4990" s="487" t="s">
        <v>1499</v>
      </c>
      <c r="J4990" s="487" t="s">
        <v>1120</v>
      </c>
    </row>
    <row r="4991" spans="1:10" ht="15" x14ac:dyDescent="0.2">
      <c r="A4991" s="486" t="s">
        <v>1119</v>
      </c>
      <c r="B4991" s="487" t="s">
        <v>1118</v>
      </c>
      <c r="C4991" s="488" t="s">
        <v>16250</v>
      </c>
      <c r="D4991" s="489" t="s">
        <v>16251</v>
      </c>
      <c r="E4991" s="487" t="s">
        <v>16252</v>
      </c>
      <c r="F4991" s="490">
        <v>0</v>
      </c>
      <c r="G4991" s="489">
        <v>8</v>
      </c>
      <c r="H4991" s="489">
        <v>0</v>
      </c>
      <c r="I4991" s="487" t="s">
        <v>1593</v>
      </c>
      <c r="J4991" s="487" t="s">
        <v>1120</v>
      </c>
    </row>
    <row r="4992" spans="1:10" ht="15" x14ac:dyDescent="0.2">
      <c r="A4992" s="486" t="s">
        <v>1119</v>
      </c>
      <c r="B4992" s="487" t="s">
        <v>1118</v>
      </c>
      <c r="C4992" s="488" t="s">
        <v>16253</v>
      </c>
      <c r="D4992" s="489" t="s">
        <v>16254</v>
      </c>
      <c r="E4992" s="487" t="s">
        <v>16255</v>
      </c>
      <c r="F4992" s="490">
        <v>28154</v>
      </c>
      <c r="G4992" s="489">
        <v>997</v>
      </c>
      <c r="H4992" s="489">
        <v>28.238720000000001</v>
      </c>
      <c r="I4992" s="487" t="s">
        <v>1499</v>
      </c>
      <c r="J4992" s="487" t="s">
        <v>1120</v>
      </c>
    </row>
    <row r="4993" spans="1:10" ht="15" x14ac:dyDescent="0.2">
      <c r="A4993" s="486" t="s">
        <v>1119</v>
      </c>
      <c r="B4993" s="487" t="s">
        <v>1118</v>
      </c>
      <c r="C4993" s="488" t="s">
        <v>16256</v>
      </c>
      <c r="D4993" s="489" t="s">
        <v>16257</v>
      </c>
      <c r="E4993" s="487" t="s">
        <v>16258</v>
      </c>
      <c r="F4993" s="490">
        <v>0</v>
      </c>
      <c r="G4993" s="489">
        <v>0</v>
      </c>
      <c r="H4993" s="489">
        <v>0</v>
      </c>
      <c r="I4993" s="487" t="s">
        <v>2465</v>
      </c>
      <c r="J4993" s="487" t="s">
        <v>1120</v>
      </c>
    </row>
    <row r="4994" spans="1:10" ht="15" x14ac:dyDescent="0.2">
      <c r="A4994" s="486" t="s">
        <v>1119</v>
      </c>
      <c r="B4994" s="487" t="s">
        <v>1118</v>
      </c>
      <c r="C4994" s="488" t="s">
        <v>16259</v>
      </c>
      <c r="D4994" s="489" t="s">
        <v>16260</v>
      </c>
      <c r="E4994" s="487" t="s">
        <v>16261</v>
      </c>
      <c r="F4994" s="490">
        <v>0</v>
      </c>
      <c r="G4994" s="489">
        <v>20</v>
      </c>
      <c r="H4994" s="489">
        <v>0</v>
      </c>
      <c r="I4994" s="487" t="s">
        <v>1593</v>
      </c>
      <c r="J4994" s="487" t="s">
        <v>1120</v>
      </c>
    </row>
    <row r="4995" spans="1:10" ht="15" x14ac:dyDescent="0.2">
      <c r="A4995" s="486" t="s">
        <v>1119</v>
      </c>
      <c r="B4995" s="487" t="s">
        <v>1118</v>
      </c>
      <c r="C4995" s="488" t="s">
        <v>16262</v>
      </c>
      <c r="D4995" s="489" t="s">
        <v>16263</v>
      </c>
      <c r="E4995" s="487" t="s">
        <v>3479</v>
      </c>
      <c r="F4995" s="490">
        <v>2250</v>
      </c>
      <c r="G4995" s="489">
        <v>144</v>
      </c>
      <c r="H4995" s="489">
        <v>15.625</v>
      </c>
      <c r="I4995" s="487" t="s">
        <v>1499</v>
      </c>
      <c r="J4995" s="487" t="s">
        <v>1120</v>
      </c>
    </row>
    <row r="4996" spans="1:10" ht="15" x14ac:dyDescent="0.2">
      <c r="A4996" s="486" t="s">
        <v>1119</v>
      </c>
      <c r="B4996" s="487" t="s">
        <v>1118</v>
      </c>
      <c r="C4996" s="488" t="s">
        <v>16264</v>
      </c>
      <c r="D4996" s="489" t="s">
        <v>16265</v>
      </c>
      <c r="E4996" s="487" t="s">
        <v>16266</v>
      </c>
      <c r="F4996" s="490">
        <v>1000</v>
      </c>
      <c r="G4996" s="489">
        <v>105</v>
      </c>
      <c r="H4996" s="489">
        <v>9.5238099999999992</v>
      </c>
      <c r="I4996" s="487" t="s">
        <v>1499</v>
      </c>
      <c r="J4996" s="487" t="s">
        <v>1120</v>
      </c>
    </row>
    <row r="4997" spans="1:10" ht="15" x14ac:dyDescent="0.2">
      <c r="A4997" s="486" t="s">
        <v>1119</v>
      </c>
      <c r="B4997" s="487" t="s">
        <v>1118</v>
      </c>
      <c r="C4997" s="488" t="s">
        <v>16267</v>
      </c>
      <c r="D4997" s="489" t="s">
        <v>16268</v>
      </c>
      <c r="E4997" s="487" t="s">
        <v>16269</v>
      </c>
      <c r="F4997" s="490">
        <v>0</v>
      </c>
      <c r="G4997" s="489">
        <v>45</v>
      </c>
      <c r="H4997" s="489">
        <v>0</v>
      </c>
      <c r="I4997" s="487" t="s">
        <v>1593</v>
      </c>
      <c r="J4997" s="487" t="s">
        <v>1120</v>
      </c>
    </row>
    <row r="4998" spans="1:10" ht="15" x14ac:dyDescent="0.2">
      <c r="A4998" s="486" t="s">
        <v>1119</v>
      </c>
      <c r="B4998" s="487" t="s">
        <v>1118</v>
      </c>
      <c r="C4998" s="488" t="s">
        <v>16270</v>
      </c>
      <c r="D4998" s="489" t="s">
        <v>16271</v>
      </c>
      <c r="E4998" s="487" t="s">
        <v>16272</v>
      </c>
      <c r="F4998" s="490">
        <v>3500</v>
      </c>
      <c r="G4998" s="489">
        <v>112</v>
      </c>
      <c r="H4998" s="489">
        <v>31.25</v>
      </c>
      <c r="I4998" s="487" t="s">
        <v>1499</v>
      </c>
      <c r="J4998" s="487" t="s">
        <v>1120</v>
      </c>
    </row>
    <row r="4999" spans="1:10" ht="15" x14ac:dyDescent="0.2">
      <c r="A4999" s="486" t="s">
        <v>1119</v>
      </c>
      <c r="B4999" s="487" t="s">
        <v>1118</v>
      </c>
      <c r="C4999" s="488" t="s">
        <v>16273</v>
      </c>
      <c r="D4999" s="489" t="s">
        <v>16274</v>
      </c>
      <c r="E4999" s="487" t="s">
        <v>16275</v>
      </c>
      <c r="F4999" s="490">
        <v>4000</v>
      </c>
      <c r="G4999" s="489">
        <v>293</v>
      </c>
      <c r="H4999" s="489">
        <v>13.65188</v>
      </c>
      <c r="I4999" s="487" t="s">
        <v>1499</v>
      </c>
      <c r="J4999" s="487" t="s">
        <v>1120</v>
      </c>
    </row>
    <row r="5000" spans="1:10" ht="15" x14ac:dyDescent="0.2">
      <c r="A5000" s="486" t="s">
        <v>1119</v>
      </c>
      <c r="B5000" s="487" t="s">
        <v>1118</v>
      </c>
      <c r="C5000" s="488" t="s">
        <v>16276</v>
      </c>
      <c r="D5000" s="489" t="s">
        <v>16277</v>
      </c>
      <c r="E5000" s="487" t="s">
        <v>16278</v>
      </c>
      <c r="F5000" s="490">
        <v>14824</v>
      </c>
      <c r="G5000" s="489">
        <v>586</v>
      </c>
      <c r="H5000" s="489">
        <v>25.29693</v>
      </c>
      <c r="I5000" s="487" t="s">
        <v>1499</v>
      </c>
      <c r="J5000" s="487" t="s">
        <v>1120</v>
      </c>
    </row>
    <row r="5001" spans="1:10" ht="15" x14ac:dyDescent="0.2">
      <c r="A5001" s="486" t="s">
        <v>1119</v>
      </c>
      <c r="B5001" s="487" t="s">
        <v>1118</v>
      </c>
      <c r="C5001" s="488" t="s">
        <v>16279</v>
      </c>
      <c r="D5001" s="489" t="s">
        <v>16280</v>
      </c>
      <c r="E5001" s="487" t="s">
        <v>16281</v>
      </c>
      <c r="F5001" s="490">
        <v>16535</v>
      </c>
      <c r="G5001" s="489">
        <v>681</v>
      </c>
      <c r="H5001" s="489">
        <v>24.280470000000001</v>
      </c>
      <c r="I5001" s="487" t="s">
        <v>1499</v>
      </c>
      <c r="J5001" s="487" t="s">
        <v>1120</v>
      </c>
    </row>
    <row r="5002" spans="1:10" ht="15" x14ac:dyDescent="0.2">
      <c r="A5002" s="486" t="s">
        <v>1119</v>
      </c>
      <c r="B5002" s="487" t="s">
        <v>1118</v>
      </c>
      <c r="C5002" s="488" t="s">
        <v>16282</v>
      </c>
      <c r="D5002" s="489" t="s">
        <v>16283</v>
      </c>
      <c r="E5002" s="487" t="s">
        <v>16284</v>
      </c>
      <c r="F5002" s="490">
        <v>6500</v>
      </c>
      <c r="G5002" s="489">
        <v>236</v>
      </c>
      <c r="H5002" s="489">
        <v>27.542369999999998</v>
      </c>
      <c r="I5002" s="487" t="s">
        <v>2465</v>
      </c>
      <c r="J5002" s="487" t="s">
        <v>1120</v>
      </c>
    </row>
    <row r="5003" spans="1:10" ht="15" x14ac:dyDescent="0.2">
      <c r="A5003" s="486" t="s">
        <v>1119</v>
      </c>
      <c r="B5003" s="487" t="s">
        <v>1118</v>
      </c>
      <c r="C5003" s="488" t="s">
        <v>16285</v>
      </c>
      <c r="D5003" s="489" t="s">
        <v>16286</v>
      </c>
      <c r="E5003" s="487" t="s">
        <v>16287</v>
      </c>
      <c r="F5003" s="490">
        <v>24350</v>
      </c>
      <c r="G5003" s="489">
        <v>551</v>
      </c>
      <c r="H5003" s="489">
        <v>44.19238</v>
      </c>
      <c r="I5003" s="487" t="s">
        <v>1499</v>
      </c>
      <c r="J5003" s="487" t="s">
        <v>1120</v>
      </c>
    </row>
    <row r="5004" spans="1:10" ht="15" x14ac:dyDescent="0.2">
      <c r="A5004" s="486" t="s">
        <v>1119</v>
      </c>
      <c r="B5004" s="487" t="s">
        <v>1118</v>
      </c>
      <c r="C5004" s="488" t="s">
        <v>16288</v>
      </c>
      <c r="D5004" s="489" t="s">
        <v>16289</v>
      </c>
      <c r="E5004" s="487" t="s">
        <v>16290</v>
      </c>
      <c r="F5004" s="490">
        <v>5544</v>
      </c>
      <c r="G5004" s="489">
        <v>196</v>
      </c>
      <c r="H5004" s="489">
        <v>28.285710000000002</v>
      </c>
      <c r="I5004" s="487" t="s">
        <v>1499</v>
      </c>
      <c r="J5004" s="487" t="s">
        <v>1120</v>
      </c>
    </row>
    <row r="5005" spans="1:10" ht="15" x14ac:dyDescent="0.2">
      <c r="A5005" s="486" t="s">
        <v>1119</v>
      </c>
      <c r="B5005" s="487" t="s">
        <v>1118</v>
      </c>
      <c r="C5005" s="488" t="s">
        <v>16291</v>
      </c>
      <c r="D5005" s="489" t="s">
        <v>16292</v>
      </c>
      <c r="E5005" s="487" t="s">
        <v>16293</v>
      </c>
      <c r="F5005" s="490">
        <v>0</v>
      </c>
      <c r="G5005" s="489">
        <v>0</v>
      </c>
      <c r="H5005" s="489">
        <v>0</v>
      </c>
      <c r="I5005" s="487" t="s">
        <v>2465</v>
      </c>
      <c r="J5005" s="487" t="s">
        <v>1120</v>
      </c>
    </row>
    <row r="5006" spans="1:10" ht="15" x14ac:dyDescent="0.2">
      <c r="A5006" s="486" t="s">
        <v>1119</v>
      </c>
      <c r="B5006" s="487" t="s">
        <v>1118</v>
      </c>
      <c r="C5006" s="488" t="s">
        <v>16294</v>
      </c>
      <c r="D5006" s="489" t="s">
        <v>16295</v>
      </c>
      <c r="E5006" s="487" t="s">
        <v>16296</v>
      </c>
      <c r="F5006" s="490">
        <v>9000</v>
      </c>
      <c r="G5006" s="489">
        <v>504</v>
      </c>
      <c r="H5006" s="489">
        <v>17.857140000000001</v>
      </c>
      <c r="I5006" s="487" t="s">
        <v>1499</v>
      </c>
      <c r="J5006" s="487" t="s">
        <v>1120</v>
      </c>
    </row>
    <row r="5007" spans="1:10" ht="15" x14ac:dyDescent="0.2">
      <c r="A5007" s="486" t="s">
        <v>1119</v>
      </c>
      <c r="B5007" s="487" t="s">
        <v>1118</v>
      </c>
      <c r="C5007" s="488" t="s">
        <v>16297</v>
      </c>
      <c r="D5007" s="489" t="s">
        <v>16298</v>
      </c>
      <c r="E5007" s="487" t="s">
        <v>16299</v>
      </c>
      <c r="F5007" s="490">
        <v>2050</v>
      </c>
      <c r="G5007" s="489">
        <v>152</v>
      </c>
      <c r="H5007" s="489">
        <v>13.486840000000001</v>
      </c>
      <c r="I5007" s="487" t="s">
        <v>2465</v>
      </c>
      <c r="J5007" s="487" t="s">
        <v>1120</v>
      </c>
    </row>
    <row r="5008" spans="1:10" ht="15" x14ac:dyDescent="0.2">
      <c r="A5008" s="486" t="s">
        <v>1119</v>
      </c>
      <c r="B5008" s="487" t="s">
        <v>1118</v>
      </c>
      <c r="C5008" s="488" t="s">
        <v>16300</v>
      </c>
      <c r="D5008" s="489" t="s">
        <v>16301</v>
      </c>
      <c r="E5008" s="487" t="s">
        <v>16302</v>
      </c>
      <c r="F5008" s="490">
        <v>1500</v>
      </c>
      <c r="G5008" s="489">
        <v>175</v>
      </c>
      <c r="H5008" s="489">
        <v>8.5714299999999994</v>
      </c>
      <c r="I5008" s="487" t="s">
        <v>1499</v>
      </c>
      <c r="J5008" s="487" t="s">
        <v>1120</v>
      </c>
    </row>
    <row r="5009" spans="1:10" ht="15" x14ac:dyDescent="0.2">
      <c r="A5009" s="486" t="s">
        <v>1119</v>
      </c>
      <c r="B5009" s="487" t="s">
        <v>1118</v>
      </c>
      <c r="C5009" s="488" t="s">
        <v>16303</v>
      </c>
      <c r="D5009" s="489" t="s">
        <v>16304</v>
      </c>
      <c r="E5009" s="487" t="s">
        <v>16305</v>
      </c>
      <c r="F5009" s="490">
        <v>0</v>
      </c>
      <c r="G5009" s="489">
        <v>36</v>
      </c>
      <c r="H5009" s="489">
        <v>0</v>
      </c>
      <c r="I5009" s="487" t="s">
        <v>1593</v>
      </c>
      <c r="J5009" s="487" t="s">
        <v>1120</v>
      </c>
    </row>
    <row r="5010" spans="1:10" ht="15" x14ac:dyDescent="0.2">
      <c r="A5010" s="486" t="s">
        <v>1119</v>
      </c>
      <c r="B5010" s="487" t="s">
        <v>1118</v>
      </c>
      <c r="C5010" s="488" t="s">
        <v>16306</v>
      </c>
      <c r="D5010" s="489" t="s">
        <v>16307</v>
      </c>
      <c r="E5010" s="487" t="s">
        <v>16308</v>
      </c>
      <c r="F5010" s="490">
        <v>24350</v>
      </c>
      <c r="G5010" s="489">
        <v>451</v>
      </c>
      <c r="H5010" s="489">
        <v>53.991129999999998</v>
      </c>
      <c r="I5010" s="487" t="s">
        <v>1499</v>
      </c>
      <c r="J5010" s="487" t="s">
        <v>1120</v>
      </c>
    </row>
    <row r="5011" spans="1:10" ht="15" x14ac:dyDescent="0.2">
      <c r="A5011" s="486" t="s">
        <v>1119</v>
      </c>
      <c r="B5011" s="487" t="s">
        <v>1118</v>
      </c>
      <c r="C5011" s="488" t="s">
        <v>16309</v>
      </c>
      <c r="D5011" s="489" t="s">
        <v>16310</v>
      </c>
      <c r="E5011" s="487" t="s">
        <v>16311</v>
      </c>
      <c r="F5011" s="490">
        <v>9310</v>
      </c>
      <c r="G5011" s="489">
        <v>380</v>
      </c>
      <c r="H5011" s="489">
        <v>24.5</v>
      </c>
      <c r="I5011" s="487" t="s">
        <v>1499</v>
      </c>
      <c r="J5011" s="487" t="s">
        <v>1120</v>
      </c>
    </row>
    <row r="5012" spans="1:10" ht="15" x14ac:dyDescent="0.2">
      <c r="A5012" s="486" t="s">
        <v>1119</v>
      </c>
      <c r="B5012" s="487" t="s">
        <v>1118</v>
      </c>
      <c r="C5012" s="488" t="s">
        <v>16312</v>
      </c>
      <c r="D5012" s="489" t="s">
        <v>16313</v>
      </c>
      <c r="E5012" s="487" t="s">
        <v>16314</v>
      </c>
      <c r="F5012" s="490">
        <v>84150</v>
      </c>
      <c r="G5012" s="489">
        <v>2014</v>
      </c>
      <c r="H5012" s="489">
        <v>41.782519999999998</v>
      </c>
      <c r="I5012" s="487" t="s">
        <v>1499</v>
      </c>
      <c r="J5012" s="487" t="s">
        <v>1120</v>
      </c>
    </row>
    <row r="5013" spans="1:10" ht="15" x14ac:dyDescent="0.2">
      <c r="A5013" s="486" t="s">
        <v>1119</v>
      </c>
      <c r="B5013" s="487" t="s">
        <v>1118</v>
      </c>
      <c r="C5013" s="488" t="s">
        <v>16315</v>
      </c>
      <c r="D5013" s="489" t="s">
        <v>16316</v>
      </c>
      <c r="E5013" s="487" t="s">
        <v>16317</v>
      </c>
      <c r="F5013" s="490">
        <v>23200</v>
      </c>
      <c r="G5013" s="489">
        <v>1074</v>
      </c>
      <c r="H5013" s="489">
        <v>21.601489999999998</v>
      </c>
      <c r="I5013" s="487" t="s">
        <v>1499</v>
      </c>
      <c r="J5013" s="487" t="s">
        <v>1120</v>
      </c>
    </row>
    <row r="5014" spans="1:10" ht="15" x14ac:dyDescent="0.2">
      <c r="A5014" s="486" t="s">
        <v>1119</v>
      </c>
      <c r="B5014" s="487" t="s">
        <v>1118</v>
      </c>
      <c r="C5014" s="488" t="s">
        <v>16318</v>
      </c>
      <c r="D5014" s="489" t="s">
        <v>16319</v>
      </c>
      <c r="E5014" s="487" t="s">
        <v>16320</v>
      </c>
      <c r="F5014" s="490">
        <v>9750</v>
      </c>
      <c r="G5014" s="489">
        <v>181</v>
      </c>
      <c r="H5014" s="489">
        <v>53.867400000000004</v>
      </c>
      <c r="I5014" s="487" t="s">
        <v>1499</v>
      </c>
      <c r="J5014" s="487" t="s">
        <v>1120</v>
      </c>
    </row>
    <row r="5015" spans="1:10" ht="15" x14ac:dyDescent="0.2">
      <c r="A5015" s="486" t="s">
        <v>1119</v>
      </c>
      <c r="B5015" s="487" t="s">
        <v>1118</v>
      </c>
      <c r="C5015" s="488" t="s">
        <v>16321</v>
      </c>
      <c r="D5015" s="489" t="s">
        <v>16322</v>
      </c>
      <c r="E5015" s="487" t="s">
        <v>16323</v>
      </c>
      <c r="F5015" s="490">
        <v>0</v>
      </c>
      <c r="G5015" s="489">
        <v>43</v>
      </c>
      <c r="H5015" s="489">
        <v>0</v>
      </c>
      <c r="I5015" s="487" t="s">
        <v>1593</v>
      </c>
      <c r="J5015" s="487" t="s">
        <v>1120</v>
      </c>
    </row>
    <row r="5016" spans="1:10" ht="15" x14ac:dyDescent="0.2">
      <c r="A5016" s="486" t="s">
        <v>1119</v>
      </c>
      <c r="B5016" s="487" t="s">
        <v>1118</v>
      </c>
      <c r="C5016" s="488" t="s">
        <v>16324</v>
      </c>
      <c r="D5016" s="489" t="s">
        <v>16325</v>
      </c>
      <c r="E5016" s="487" t="s">
        <v>16326</v>
      </c>
      <c r="F5016" s="490">
        <v>29050</v>
      </c>
      <c r="G5016" s="489">
        <v>816</v>
      </c>
      <c r="H5016" s="489">
        <v>35.600490000000001</v>
      </c>
      <c r="I5016" s="487" t="s">
        <v>1499</v>
      </c>
      <c r="J5016" s="487" t="s">
        <v>1120</v>
      </c>
    </row>
    <row r="5017" spans="1:10" ht="15" x14ac:dyDescent="0.2">
      <c r="A5017" s="486" t="s">
        <v>1131</v>
      </c>
      <c r="B5017" s="487" t="s">
        <v>1130</v>
      </c>
      <c r="C5017" s="488" t="s">
        <v>16327</v>
      </c>
      <c r="D5017" s="489" t="s">
        <v>16328</v>
      </c>
      <c r="E5017" s="487" t="s">
        <v>16329</v>
      </c>
      <c r="F5017" s="490">
        <v>80079</v>
      </c>
      <c r="G5017" s="489">
        <v>2365</v>
      </c>
      <c r="H5017" s="489">
        <v>33.860039999999998</v>
      </c>
      <c r="I5017" s="487" t="s">
        <v>1499</v>
      </c>
      <c r="J5017" s="487" t="s">
        <v>1132</v>
      </c>
    </row>
    <row r="5018" spans="1:10" ht="15" x14ac:dyDescent="0.2">
      <c r="A5018" s="486" t="s">
        <v>1207</v>
      </c>
      <c r="B5018" s="487" t="s">
        <v>1206</v>
      </c>
      <c r="C5018" s="488" t="s">
        <v>16330</v>
      </c>
      <c r="D5018" s="489" t="s">
        <v>16331</v>
      </c>
      <c r="E5018" s="487" t="s">
        <v>16332</v>
      </c>
      <c r="F5018" s="490">
        <v>97120</v>
      </c>
      <c r="G5018" s="489">
        <v>3004.6</v>
      </c>
      <c r="H5018" s="489">
        <v>32.323770000000003</v>
      </c>
      <c r="I5018" s="487" t="s">
        <v>1499</v>
      </c>
      <c r="J5018" s="487" t="s">
        <v>1208</v>
      </c>
    </row>
    <row r="5019" spans="1:10" ht="15" x14ac:dyDescent="0.2">
      <c r="A5019" s="486" t="s">
        <v>1207</v>
      </c>
      <c r="B5019" s="487" t="s">
        <v>1206</v>
      </c>
      <c r="C5019" s="488" t="s">
        <v>16333</v>
      </c>
      <c r="D5019" s="489" t="s">
        <v>16334</v>
      </c>
      <c r="E5019" s="487" t="s">
        <v>1855</v>
      </c>
      <c r="F5019" s="490">
        <v>29000</v>
      </c>
      <c r="G5019" s="489">
        <v>992.2</v>
      </c>
      <c r="H5019" s="489">
        <v>29.227979999999999</v>
      </c>
      <c r="I5019" s="487" t="s">
        <v>1499</v>
      </c>
      <c r="J5019" s="487" t="s">
        <v>1208</v>
      </c>
    </row>
    <row r="5020" spans="1:10" ht="15" x14ac:dyDescent="0.2">
      <c r="A5020" s="486" t="s">
        <v>1207</v>
      </c>
      <c r="B5020" s="487" t="s">
        <v>1206</v>
      </c>
      <c r="C5020" s="488" t="s">
        <v>16335</v>
      </c>
      <c r="D5020" s="489" t="s">
        <v>16336</v>
      </c>
      <c r="E5020" s="487" t="s">
        <v>16337</v>
      </c>
      <c r="F5020" s="490">
        <v>21200</v>
      </c>
      <c r="G5020" s="489">
        <v>857.4</v>
      </c>
      <c r="H5020" s="489">
        <v>24.725919999999999</v>
      </c>
      <c r="I5020" s="487" t="s">
        <v>1499</v>
      </c>
      <c r="J5020" s="487" t="s">
        <v>1208</v>
      </c>
    </row>
    <row r="5021" spans="1:10" ht="15" x14ac:dyDescent="0.2">
      <c r="A5021" s="486" t="s">
        <v>1207</v>
      </c>
      <c r="B5021" s="487" t="s">
        <v>1206</v>
      </c>
      <c r="C5021" s="488" t="s">
        <v>16338</v>
      </c>
      <c r="D5021" s="489" t="s">
        <v>16339</v>
      </c>
      <c r="E5021" s="487" t="s">
        <v>16340</v>
      </c>
      <c r="F5021" s="490">
        <v>20000</v>
      </c>
      <c r="G5021" s="489">
        <v>3191.1</v>
      </c>
      <c r="H5021" s="489">
        <v>6.2674300000000001</v>
      </c>
      <c r="I5021" s="487" t="s">
        <v>1499</v>
      </c>
      <c r="J5021" s="487" t="s">
        <v>1208</v>
      </c>
    </row>
    <row r="5022" spans="1:10" ht="15" x14ac:dyDescent="0.2">
      <c r="A5022" s="486" t="s">
        <v>1207</v>
      </c>
      <c r="B5022" s="487" t="s">
        <v>1206</v>
      </c>
      <c r="C5022" s="488" t="s">
        <v>16341</v>
      </c>
      <c r="D5022" s="489" t="s">
        <v>16342</v>
      </c>
      <c r="E5022" s="487" t="s">
        <v>16343</v>
      </c>
      <c r="F5022" s="490">
        <v>18770</v>
      </c>
      <c r="G5022" s="489">
        <v>752.6</v>
      </c>
      <c r="H5022" s="489">
        <v>24.94021</v>
      </c>
      <c r="I5022" s="487" t="s">
        <v>1499</v>
      </c>
      <c r="J5022" s="487" t="s">
        <v>1208</v>
      </c>
    </row>
    <row r="5023" spans="1:10" ht="15" x14ac:dyDescent="0.2">
      <c r="A5023" s="486" t="s">
        <v>1207</v>
      </c>
      <c r="B5023" s="487" t="s">
        <v>1206</v>
      </c>
      <c r="C5023" s="488" t="s">
        <v>16344</v>
      </c>
      <c r="D5023" s="489" t="s">
        <v>16345</v>
      </c>
      <c r="E5023" s="487" t="s">
        <v>16346</v>
      </c>
      <c r="F5023" s="490">
        <v>267755</v>
      </c>
      <c r="G5023" s="489">
        <v>7720</v>
      </c>
      <c r="H5023" s="489">
        <v>34.68329</v>
      </c>
      <c r="I5023" s="487" t="s">
        <v>1499</v>
      </c>
      <c r="J5023" s="487" t="s">
        <v>1208</v>
      </c>
    </row>
    <row r="5024" spans="1:10" ht="15" x14ac:dyDescent="0.2">
      <c r="A5024" s="486" t="s">
        <v>1207</v>
      </c>
      <c r="B5024" s="487" t="s">
        <v>1206</v>
      </c>
      <c r="C5024" s="488" t="s">
        <v>16347</v>
      </c>
      <c r="D5024" s="489" t="s">
        <v>16348</v>
      </c>
      <c r="E5024" s="487" t="s">
        <v>16349</v>
      </c>
      <c r="F5024" s="490">
        <v>21000</v>
      </c>
      <c r="G5024" s="489">
        <v>521.9</v>
      </c>
      <c r="H5024" s="489">
        <v>40.237589999999997</v>
      </c>
      <c r="I5024" s="487" t="s">
        <v>1499</v>
      </c>
      <c r="J5024" s="487" t="s">
        <v>1208</v>
      </c>
    </row>
    <row r="5025" spans="1:10" ht="15" x14ac:dyDescent="0.2">
      <c r="A5025" s="486" t="s">
        <v>1366</v>
      </c>
      <c r="B5025" s="487" t="s">
        <v>1365</v>
      </c>
      <c r="C5025" s="488" t="s">
        <v>16350</v>
      </c>
      <c r="D5025" s="489" t="s">
        <v>16351</v>
      </c>
      <c r="E5025" s="487" t="s">
        <v>16352</v>
      </c>
      <c r="F5025" s="490">
        <v>87246</v>
      </c>
      <c r="G5025" s="489">
        <v>3668.67</v>
      </c>
      <c r="H5025" s="489">
        <v>23.781369999999999</v>
      </c>
      <c r="I5025" s="487" t="s">
        <v>1499</v>
      </c>
      <c r="J5025" s="487" t="s">
        <v>1367</v>
      </c>
    </row>
    <row r="5026" spans="1:10" ht="15" x14ac:dyDescent="0.2">
      <c r="A5026" s="486" t="s">
        <v>1366</v>
      </c>
      <c r="B5026" s="487" t="s">
        <v>1365</v>
      </c>
      <c r="C5026" s="488" t="s">
        <v>16353</v>
      </c>
      <c r="D5026" s="489" t="s">
        <v>16354</v>
      </c>
      <c r="E5026" s="487" t="s">
        <v>16355</v>
      </c>
      <c r="F5026" s="490">
        <v>22359</v>
      </c>
      <c r="G5026" s="489">
        <v>484.49</v>
      </c>
      <c r="H5026" s="489">
        <v>46.149560000000001</v>
      </c>
      <c r="I5026" s="487" t="s">
        <v>1499</v>
      </c>
      <c r="J5026" s="487" t="s">
        <v>1367</v>
      </c>
    </row>
    <row r="5027" spans="1:10" ht="15" x14ac:dyDescent="0.2">
      <c r="A5027" s="486" t="s">
        <v>1366</v>
      </c>
      <c r="B5027" s="487" t="s">
        <v>1365</v>
      </c>
      <c r="C5027" s="488" t="s">
        <v>16356</v>
      </c>
      <c r="D5027" s="489" t="s">
        <v>16357</v>
      </c>
      <c r="E5027" s="487" t="s">
        <v>16358</v>
      </c>
      <c r="F5027" s="490">
        <v>0</v>
      </c>
      <c r="G5027" s="489">
        <v>99.69</v>
      </c>
      <c r="H5027" s="489">
        <v>0</v>
      </c>
      <c r="I5027" s="487" t="s">
        <v>1593</v>
      </c>
      <c r="J5027" s="487" t="s">
        <v>1367</v>
      </c>
    </row>
    <row r="5028" spans="1:10" ht="15" x14ac:dyDescent="0.2">
      <c r="A5028" s="486" t="s">
        <v>1366</v>
      </c>
      <c r="B5028" s="487" t="s">
        <v>1365</v>
      </c>
      <c r="C5028" s="488" t="s">
        <v>16359</v>
      </c>
      <c r="D5028" s="489" t="s">
        <v>16360</v>
      </c>
      <c r="E5028" s="487" t="s">
        <v>16361</v>
      </c>
      <c r="F5028" s="490">
        <v>152745</v>
      </c>
      <c r="G5028" s="489">
        <v>3858.21</v>
      </c>
      <c r="H5028" s="489">
        <v>39.589599999999997</v>
      </c>
      <c r="I5028" s="487" t="s">
        <v>1499</v>
      </c>
      <c r="J5028" s="487" t="s">
        <v>1367</v>
      </c>
    </row>
    <row r="5029" spans="1:10" ht="15" x14ac:dyDescent="0.2">
      <c r="A5029" s="486" t="s">
        <v>1366</v>
      </c>
      <c r="B5029" s="487" t="s">
        <v>1365</v>
      </c>
      <c r="C5029" s="488" t="s">
        <v>16362</v>
      </c>
      <c r="D5029" s="489" t="s">
        <v>16363</v>
      </c>
      <c r="E5029" s="487" t="s">
        <v>16364</v>
      </c>
      <c r="F5029" s="490">
        <v>6000</v>
      </c>
      <c r="G5029" s="489">
        <v>212.48</v>
      </c>
      <c r="H5029" s="489">
        <v>28.237950000000001</v>
      </c>
      <c r="I5029" s="487" t="s">
        <v>1499</v>
      </c>
      <c r="J5029" s="487" t="s">
        <v>1367</v>
      </c>
    </row>
    <row r="5030" spans="1:10" ht="15" x14ac:dyDescent="0.2">
      <c r="A5030" s="486" t="s">
        <v>1366</v>
      </c>
      <c r="B5030" s="487" t="s">
        <v>1365</v>
      </c>
      <c r="C5030" s="488" t="s">
        <v>16365</v>
      </c>
      <c r="D5030" s="489" t="s">
        <v>16366</v>
      </c>
      <c r="E5030" s="487" t="s">
        <v>16367</v>
      </c>
      <c r="F5030" s="490">
        <v>18480</v>
      </c>
      <c r="G5030" s="489">
        <v>426.95</v>
      </c>
      <c r="H5030" s="489">
        <v>43.283760000000001</v>
      </c>
      <c r="I5030" s="487" t="s">
        <v>1499</v>
      </c>
      <c r="J5030" s="487" t="s">
        <v>1367</v>
      </c>
    </row>
    <row r="5031" spans="1:10" ht="15" x14ac:dyDescent="0.2">
      <c r="A5031" s="486" t="s">
        <v>1366</v>
      </c>
      <c r="B5031" s="487" t="s">
        <v>1365</v>
      </c>
      <c r="C5031" s="488" t="s">
        <v>16368</v>
      </c>
      <c r="D5031" s="489" t="s">
        <v>16369</v>
      </c>
      <c r="E5031" s="487" t="s">
        <v>16370</v>
      </c>
      <c r="F5031" s="490">
        <v>1190</v>
      </c>
      <c r="G5031" s="489">
        <v>82.95</v>
      </c>
      <c r="H5031" s="489">
        <v>14.34599</v>
      </c>
      <c r="I5031" s="487" t="s">
        <v>1499</v>
      </c>
      <c r="J5031" s="487" t="s">
        <v>1367</v>
      </c>
    </row>
    <row r="5032" spans="1:10" ht="15" x14ac:dyDescent="0.2">
      <c r="A5032" s="486" t="s">
        <v>1366</v>
      </c>
      <c r="B5032" s="487" t="s">
        <v>1365</v>
      </c>
      <c r="C5032" s="488" t="s">
        <v>16371</v>
      </c>
      <c r="D5032" s="489" t="s">
        <v>16372</v>
      </c>
      <c r="E5032" s="487" t="s">
        <v>16373</v>
      </c>
      <c r="F5032" s="490">
        <v>34546</v>
      </c>
      <c r="G5032" s="489">
        <v>917.52</v>
      </c>
      <c r="H5032" s="489">
        <v>37.651499999999999</v>
      </c>
      <c r="I5032" s="487" t="s">
        <v>1499</v>
      </c>
      <c r="J5032" s="487" t="s">
        <v>1367</v>
      </c>
    </row>
    <row r="5033" spans="1:10" ht="15" x14ac:dyDescent="0.2">
      <c r="A5033" s="486" t="s">
        <v>1366</v>
      </c>
      <c r="B5033" s="487" t="s">
        <v>1365</v>
      </c>
      <c r="C5033" s="488" t="s">
        <v>16374</v>
      </c>
      <c r="D5033" s="489" t="s">
        <v>16375</v>
      </c>
      <c r="E5033" s="487" t="s">
        <v>16376</v>
      </c>
      <c r="F5033" s="490">
        <v>71098.97</v>
      </c>
      <c r="G5033" s="489">
        <v>1603.69</v>
      </c>
      <c r="H5033" s="489">
        <v>44.334609999999998</v>
      </c>
      <c r="I5033" s="487" t="s">
        <v>1499</v>
      </c>
      <c r="J5033" s="487" t="s">
        <v>1367</v>
      </c>
    </row>
    <row r="5034" spans="1:10" ht="15" x14ac:dyDescent="0.2">
      <c r="A5034" s="486" t="s">
        <v>1366</v>
      </c>
      <c r="B5034" s="487" t="s">
        <v>1365</v>
      </c>
      <c r="C5034" s="488" t="s">
        <v>16377</v>
      </c>
      <c r="D5034" s="489" t="s">
        <v>16378</v>
      </c>
      <c r="E5034" s="487" t="s">
        <v>16379</v>
      </c>
      <c r="F5034" s="490">
        <v>17448</v>
      </c>
      <c r="G5034" s="489">
        <v>269.43</v>
      </c>
      <c r="H5034" s="489">
        <v>64.758939999999996</v>
      </c>
      <c r="I5034" s="487" t="s">
        <v>1499</v>
      </c>
      <c r="J5034" s="487" t="s">
        <v>1367</v>
      </c>
    </row>
    <row r="5035" spans="1:10" ht="15" x14ac:dyDescent="0.2">
      <c r="A5035" s="486" t="s">
        <v>1366</v>
      </c>
      <c r="B5035" s="487" t="s">
        <v>1365</v>
      </c>
      <c r="C5035" s="488" t="s">
        <v>16380</v>
      </c>
      <c r="D5035" s="489" t="s">
        <v>16381</v>
      </c>
      <c r="E5035" s="487" t="s">
        <v>16382</v>
      </c>
      <c r="F5035" s="490">
        <v>8649.4699999999993</v>
      </c>
      <c r="G5035" s="489">
        <v>419.32</v>
      </c>
      <c r="H5035" s="489">
        <v>20.627369999999999</v>
      </c>
      <c r="I5035" s="487" t="s">
        <v>1499</v>
      </c>
      <c r="J5035" s="487" t="s">
        <v>1367</v>
      </c>
    </row>
    <row r="5036" spans="1:10" ht="15" x14ac:dyDescent="0.2">
      <c r="A5036" s="486" t="s">
        <v>1366</v>
      </c>
      <c r="B5036" s="487" t="s">
        <v>1365</v>
      </c>
      <c r="C5036" s="488" t="s">
        <v>16383</v>
      </c>
      <c r="D5036" s="489" t="s">
        <v>16384</v>
      </c>
      <c r="E5036" s="487" t="s">
        <v>16385</v>
      </c>
      <c r="F5036" s="490">
        <v>13220</v>
      </c>
      <c r="G5036" s="489">
        <v>461.31</v>
      </c>
      <c r="H5036" s="489">
        <v>28.657520000000002</v>
      </c>
      <c r="I5036" s="487" t="s">
        <v>1499</v>
      </c>
      <c r="J5036" s="487" t="s">
        <v>1367</v>
      </c>
    </row>
    <row r="5037" spans="1:10" ht="15" x14ac:dyDescent="0.2">
      <c r="A5037" s="486" t="s">
        <v>1366</v>
      </c>
      <c r="B5037" s="487" t="s">
        <v>1365</v>
      </c>
      <c r="C5037" s="488" t="s">
        <v>16386</v>
      </c>
      <c r="D5037" s="489" t="s">
        <v>16387</v>
      </c>
      <c r="E5037" s="487" t="s">
        <v>16388</v>
      </c>
      <c r="F5037" s="490">
        <v>23272</v>
      </c>
      <c r="G5037" s="489">
        <v>477.29</v>
      </c>
      <c r="H5037" s="489">
        <v>48.758620000000001</v>
      </c>
      <c r="I5037" s="487" t="s">
        <v>1499</v>
      </c>
      <c r="J5037" s="487" t="s">
        <v>1367</v>
      </c>
    </row>
    <row r="5038" spans="1:10" ht="15" x14ac:dyDescent="0.2">
      <c r="A5038" s="486" t="s">
        <v>1366</v>
      </c>
      <c r="B5038" s="487" t="s">
        <v>1365</v>
      </c>
      <c r="C5038" s="488" t="s">
        <v>16389</v>
      </c>
      <c r="D5038" s="489" t="s">
        <v>16390</v>
      </c>
      <c r="E5038" s="487" t="s">
        <v>16391</v>
      </c>
      <c r="F5038" s="490">
        <v>58000</v>
      </c>
      <c r="G5038" s="489">
        <v>1651.96</v>
      </c>
      <c r="H5038" s="489">
        <v>35.109810000000003</v>
      </c>
      <c r="I5038" s="487" t="s">
        <v>1499</v>
      </c>
      <c r="J5038" s="487" t="s">
        <v>1367</v>
      </c>
    </row>
    <row r="5039" spans="1:10" ht="15" x14ac:dyDescent="0.2">
      <c r="A5039" s="486" t="s">
        <v>1366</v>
      </c>
      <c r="B5039" s="487" t="s">
        <v>1365</v>
      </c>
      <c r="C5039" s="488" t="s">
        <v>16392</v>
      </c>
      <c r="D5039" s="489" t="s">
        <v>16393</v>
      </c>
      <c r="E5039" s="487" t="s">
        <v>16394</v>
      </c>
      <c r="F5039" s="490">
        <v>40069</v>
      </c>
      <c r="G5039" s="489">
        <v>1036.57</v>
      </c>
      <c r="H5039" s="489">
        <v>38.655369999999998</v>
      </c>
      <c r="I5039" s="487" t="s">
        <v>1499</v>
      </c>
      <c r="J5039" s="487" t="s">
        <v>1367</v>
      </c>
    </row>
    <row r="5040" spans="1:10" ht="15" x14ac:dyDescent="0.2">
      <c r="A5040" s="486" t="s">
        <v>1366</v>
      </c>
      <c r="B5040" s="487" t="s">
        <v>1365</v>
      </c>
      <c r="C5040" s="488" t="s">
        <v>16395</v>
      </c>
      <c r="D5040" s="489" t="s">
        <v>16396</v>
      </c>
      <c r="E5040" s="487" t="s">
        <v>16397</v>
      </c>
      <c r="F5040" s="490">
        <v>39952</v>
      </c>
      <c r="G5040" s="489">
        <v>921.07</v>
      </c>
      <c r="H5040" s="489">
        <v>43.375639999999997</v>
      </c>
      <c r="I5040" s="487" t="s">
        <v>1499</v>
      </c>
      <c r="J5040" s="487" t="s">
        <v>1367</v>
      </c>
    </row>
    <row r="5041" spans="1:10" ht="15" x14ac:dyDescent="0.2">
      <c r="A5041" s="486" t="s">
        <v>1366</v>
      </c>
      <c r="B5041" s="487" t="s">
        <v>1365</v>
      </c>
      <c r="C5041" s="488" t="s">
        <v>16398</v>
      </c>
      <c r="D5041" s="489" t="s">
        <v>16399</v>
      </c>
      <c r="E5041" s="487" t="s">
        <v>16400</v>
      </c>
      <c r="F5041" s="490">
        <v>28772</v>
      </c>
      <c r="G5041" s="489">
        <v>1466.93</v>
      </c>
      <c r="H5041" s="489">
        <v>19.61375</v>
      </c>
      <c r="I5041" s="487" t="s">
        <v>1499</v>
      </c>
      <c r="J5041" s="487" t="s">
        <v>1367</v>
      </c>
    </row>
    <row r="5042" spans="1:10" ht="15" x14ac:dyDescent="0.2">
      <c r="A5042" s="486" t="s">
        <v>1366</v>
      </c>
      <c r="B5042" s="487" t="s">
        <v>1365</v>
      </c>
      <c r="C5042" s="488" t="s">
        <v>16401</v>
      </c>
      <c r="D5042" s="489" t="s">
        <v>16402</v>
      </c>
      <c r="E5042" s="487" t="s">
        <v>16403</v>
      </c>
      <c r="F5042" s="490">
        <v>2857</v>
      </c>
      <c r="G5042" s="489">
        <v>60.52</v>
      </c>
      <c r="H5042" s="489">
        <v>47.207529999999998</v>
      </c>
      <c r="I5042" s="487" t="s">
        <v>1499</v>
      </c>
      <c r="J5042" s="487" t="s">
        <v>1367</v>
      </c>
    </row>
    <row r="5043" spans="1:10" ht="15" x14ac:dyDescent="0.2">
      <c r="A5043" s="486" t="s">
        <v>1366</v>
      </c>
      <c r="B5043" s="487" t="s">
        <v>1365</v>
      </c>
      <c r="C5043" s="488" t="s">
        <v>16404</v>
      </c>
      <c r="D5043" s="489" t="s">
        <v>16405</v>
      </c>
      <c r="E5043" s="487" t="s">
        <v>16406</v>
      </c>
      <c r="F5043" s="490">
        <v>89472</v>
      </c>
      <c r="G5043" s="489">
        <v>2400.69</v>
      </c>
      <c r="H5043" s="489">
        <v>37.269289999999998</v>
      </c>
      <c r="I5043" s="487" t="s">
        <v>1499</v>
      </c>
      <c r="J5043" s="487" t="s">
        <v>1367</v>
      </c>
    </row>
    <row r="5044" spans="1:10" ht="15" x14ac:dyDescent="0.2">
      <c r="A5044" s="486" t="s">
        <v>1366</v>
      </c>
      <c r="B5044" s="487" t="s">
        <v>1365</v>
      </c>
      <c r="C5044" s="488" t="s">
        <v>16407</v>
      </c>
      <c r="D5044" s="489" t="s">
        <v>16408</v>
      </c>
      <c r="E5044" s="487" t="s">
        <v>16409</v>
      </c>
      <c r="F5044" s="490">
        <v>68000</v>
      </c>
      <c r="G5044" s="489">
        <v>2630.73</v>
      </c>
      <c r="H5044" s="489">
        <v>25.84834</v>
      </c>
      <c r="I5044" s="487" t="s">
        <v>1499</v>
      </c>
      <c r="J5044" s="487" t="s">
        <v>1367</v>
      </c>
    </row>
    <row r="5045" spans="1:10" ht="15" x14ac:dyDescent="0.2">
      <c r="A5045" s="486" t="s">
        <v>1366</v>
      </c>
      <c r="B5045" s="487" t="s">
        <v>1365</v>
      </c>
      <c r="C5045" s="488" t="s">
        <v>16410</v>
      </c>
      <c r="D5045" s="489" t="s">
        <v>16411</v>
      </c>
      <c r="E5045" s="487" t="s">
        <v>16412</v>
      </c>
      <c r="F5045" s="490">
        <v>21625</v>
      </c>
      <c r="G5045" s="489">
        <v>1203.6199999999999</v>
      </c>
      <c r="H5045" s="489">
        <v>17.966629999999999</v>
      </c>
      <c r="I5045" s="487" t="s">
        <v>1499</v>
      </c>
      <c r="J5045" s="487" t="s">
        <v>1367</v>
      </c>
    </row>
    <row r="5046" spans="1:10" ht="15" x14ac:dyDescent="0.2">
      <c r="A5046" s="486" t="s">
        <v>1419</v>
      </c>
      <c r="B5046" s="487" t="s">
        <v>1418</v>
      </c>
      <c r="C5046" s="488" t="s">
        <v>16413</v>
      </c>
      <c r="D5046" s="489" t="s">
        <v>16414</v>
      </c>
      <c r="E5046" s="487" t="s">
        <v>16415</v>
      </c>
      <c r="F5046" s="490">
        <v>13415</v>
      </c>
      <c r="G5046" s="489">
        <v>1117.8900000000001</v>
      </c>
      <c r="H5046" s="489">
        <v>12.00029</v>
      </c>
      <c r="I5046" s="487" t="s">
        <v>1499</v>
      </c>
      <c r="J5046" s="487" t="s">
        <v>1420</v>
      </c>
    </row>
    <row r="5047" spans="1:10" ht="15" x14ac:dyDescent="0.2">
      <c r="A5047" s="486" t="s">
        <v>1419</v>
      </c>
      <c r="B5047" s="487" t="s">
        <v>1418</v>
      </c>
      <c r="C5047" s="488" t="s">
        <v>16416</v>
      </c>
      <c r="D5047" s="489" t="s">
        <v>16417</v>
      </c>
      <c r="E5047" s="487" t="s">
        <v>16418</v>
      </c>
      <c r="F5047" s="490">
        <v>1000</v>
      </c>
      <c r="G5047" s="489">
        <v>53.95</v>
      </c>
      <c r="H5047" s="489">
        <v>18.535679999999999</v>
      </c>
      <c r="I5047" s="487" t="s">
        <v>1499</v>
      </c>
      <c r="J5047" s="487" t="s">
        <v>1420</v>
      </c>
    </row>
    <row r="5048" spans="1:10" ht="15" x14ac:dyDescent="0.2">
      <c r="A5048" s="486" t="s">
        <v>1419</v>
      </c>
      <c r="B5048" s="487" t="s">
        <v>1418</v>
      </c>
      <c r="C5048" s="488" t="s">
        <v>16419</v>
      </c>
      <c r="D5048" s="489" t="s">
        <v>16420</v>
      </c>
      <c r="E5048" s="487" t="s">
        <v>16421</v>
      </c>
      <c r="F5048" s="490">
        <v>9000</v>
      </c>
      <c r="G5048" s="489">
        <v>633.54</v>
      </c>
      <c r="H5048" s="489">
        <v>14.20589</v>
      </c>
      <c r="I5048" s="487" t="s">
        <v>1499</v>
      </c>
      <c r="J5048" s="487" t="s">
        <v>1420</v>
      </c>
    </row>
    <row r="5049" spans="1:10" ht="15" x14ac:dyDescent="0.2">
      <c r="A5049" s="486" t="s">
        <v>1419</v>
      </c>
      <c r="B5049" s="487" t="s">
        <v>1418</v>
      </c>
      <c r="C5049" s="488" t="s">
        <v>16422</v>
      </c>
      <c r="D5049" s="489" t="s">
        <v>16423</v>
      </c>
      <c r="E5049" s="487" t="s">
        <v>16424</v>
      </c>
      <c r="F5049" s="490">
        <v>105500</v>
      </c>
      <c r="G5049" s="489">
        <v>1111.3499999999999</v>
      </c>
      <c r="H5049" s="489">
        <v>94.929590000000005</v>
      </c>
      <c r="I5049" s="487" t="s">
        <v>1499</v>
      </c>
      <c r="J5049" s="487" t="s">
        <v>1420</v>
      </c>
    </row>
    <row r="5050" spans="1:10" ht="15" x14ac:dyDescent="0.2">
      <c r="A5050" s="486" t="s">
        <v>1419</v>
      </c>
      <c r="B5050" s="487" t="s">
        <v>1418</v>
      </c>
      <c r="C5050" s="488" t="s">
        <v>16425</v>
      </c>
      <c r="D5050" s="489" t="s">
        <v>16426</v>
      </c>
      <c r="E5050" s="487" t="s">
        <v>16021</v>
      </c>
      <c r="F5050" s="490">
        <v>30107</v>
      </c>
      <c r="G5050" s="489">
        <v>438.87</v>
      </c>
      <c r="H5050" s="489">
        <v>68.601179999999999</v>
      </c>
      <c r="I5050" s="487" t="s">
        <v>1499</v>
      </c>
      <c r="J5050" s="487" t="s">
        <v>1420</v>
      </c>
    </row>
    <row r="5051" spans="1:10" ht="15" x14ac:dyDescent="0.2">
      <c r="A5051" s="486" t="s">
        <v>1419</v>
      </c>
      <c r="B5051" s="487" t="s">
        <v>1418</v>
      </c>
      <c r="C5051" s="488" t="s">
        <v>16427</v>
      </c>
      <c r="D5051" s="489" t="s">
        <v>16428</v>
      </c>
      <c r="E5051" s="487" t="s">
        <v>16429</v>
      </c>
      <c r="F5051" s="490">
        <v>371409</v>
      </c>
      <c r="G5051" s="489">
        <v>6438.7</v>
      </c>
      <c r="H5051" s="489">
        <v>57.68385</v>
      </c>
      <c r="I5051" s="487" t="s">
        <v>1499</v>
      </c>
      <c r="J5051" s="487" t="s">
        <v>1420</v>
      </c>
    </row>
    <row r="5052" spans="1:10" ht="15" x14ac:dyDescent="0.2">
      <c r="A5052" s="486" t="s">
        <v>1419</v>
      </c>
      <c r="B5052" s="487" t="s">
        <v>1418</v>
      </c>
      <c r="C5052" s="488" t="s">
        <v>16430</v>
      </c>
      <c r="D5052" s="489" t="s">
        <v>16431</v>
      </c>
      <c r="E5052" s="487" t="s">
        <v>16432</v>
      </c>
      <c r="F5052" s="490">
        <v>25000</v>
      </c>
      <c r="G5052" s="489">
        <v>708.97</v>
      </c>
      <c r="H5052" s="489">
        <v>35.262419999999999</v>
      </c>
      <c r="I5052" s="487" t="s">
        <v>1499</v>
      </c>
      <c r="J5052" s="487" t="s">
        <v>1420</v>
      </c>
    </row>
    <row r="5053" spans="1:10" ht="15" x14ac:dyDescent="0.2">
      <c r="A5053" s="486" t="s">
        <v>1419</v>
      </c>
      <c r="B5053" s="487" t="s">
        <v>1418</v>
      </c>
      <c r="C5053" s="488" t="s">
        <v>16433</v>
      </c>
      <c r="D5053" s="489" t="s">
        <v>16434</v>
      </c>
      <c r="E5053" s="487" t="s">
        <v>16435</v>
      </c>
      <c r="F5053" s="490">
        <v>143056</v>
      </c>
      <c r="G5053" s="489">
        <v>1949.65</v>
      </c>
      <c r="H5053" s="489">
        <v>73.375219999999999</v>
      </c>
      <c r="I5053" s="487" t="s">
        <v>1499</v>
      </c>
      <c r="J5053" s="487" t="s">
        <v>1420</v>
      </c>
    </row>
    <row r="5054" spans="1:10" ht="15" x14ac:dyDescent="0.2">
      <c r="A5054" s="486" t="s">
        <v>1419</v>
      </c>
      <c r="B5054" s="487" t="s">
        <v>1418</v>
      </c>
      <c r="C5054" s="488" t="s">
        <v>16436</v>
      </c>
      <c r="D5054" s="489" t="s">
        <v>16437</v>
      </c>
      <c r="E5054" s="487" t="s">
        <v>16438</v>
      </c>
      <c r="F5054" s="490">
        <v>64000</v>
      </c>
      <c r="G5054" s="489">
        <v>776.06</v>
      </c>
      <c r="H5054" s="489">
        <v>82.467849999999999</v>
      </c>
      <c r="I5054" s="487" t="s">
        <v>1499</v>
      </c>
      <c r="J5054" s="487" t="s">
        <v>1420</v>
      </c>
    </row>
    <row r="5055" spans="1:10" ht="15" x14ac:dyDescent="0.2">
      <c r="A5055" s="486" t="s">
        <v>1419</v>
      </c>
      <c r="B5055" s="487" t="s">
        <v>1418</v>
      </c>
      <c r="C5055" s="488" t="s">
        <v>16439</v>
      </c>
      <c r="D5055" s="489" t="s">
        <v>16440</v>
      </c>
      <c r="E5055" s="487" t="s">
        <v>1456</v>
      </c>
      <c r="F5055" s="490">
        <v>80000</v>
      </c>
      <c r="G5055" s="489">
        <v>1214.27</v>
      </c>
      <c r="H5055" s="489">
        <v>65.883210000000005</v>
      </c>
      <c r="I5055" s="487" t="s">
        <v>1499</v>
      </c>
      <c r="J5055" s="487" t="s">
        <v>1420</v>
      </c>
    </row>
    <row r="5056" spans="1:10" ht="15" x14ac:dyDescent="0.2">
      <c r="A5056" s="486" t="s">
        <v>1419</v>
      </c>
      <c r="B5056" s="487" t="s">
        <v>1418</v>
      </c>
      <c r="C5056" s="488" t="s">
        <v>16441</v>
      </c>
      <c r="D5056" s="489" t="s">
        <v>16442</v>
      </c>
      <c r="E5056" s="487" t="s">
        <v>16443</v>
      </c>
      <c r="F5056" s="490">
        <v>14500</v>
      </c>
      <c r="G5056" s="489">
        <v>423.51</v>
      </c>
      <c r="H5056" s="489">
        <v>34.237679999999997</v>
      </c>
      <c r="I5056" s="487" t="s">
        <v>1499</v>
      </c>
      <c r="J5056" s="487" t="s">
        <v>1420</v>
      </c>
    </row>
    <row r="5057" spans="1:10" ht="15" x14ac:dyDescent="0.2">
      <c r="A5057" s="486" t="s">
        <v>1419</v>
      </c>
      <c r="B5057" s="487" t="s">
        <v>1418</v>
      </c>
      <c r="C5057" s="488" t="s">
        <v>16444</v>
      </c>
      <c r="D5057" s="489" t="s">
        <v>16445</v>
      </c>
      <c r="E5057" s="487" t="s">
        <v>16446</v>
      </c>
      <c r="F5057" s="490">
        <v>17900</v>
      </c>
      <c r="G5057" s="489">
        <v>140.44</v>
      </c>
      <c r="H5057" s="489">
        <v>127.45657</v>
      </c>
      <c r="I5057" s="487" t="s">
        <v>1499</v>
      </c>
      <c r="J5057" s="487" t="s">
        <v>1420</v>
      </c>
    </row>
    <row r="5058" spans="1:10" ht="15" x14ac:dyDescent="0.2">
      <c r="A5058" s="486" t="s">
        <v>1419</v>
      </c>
      <c r="B5058" s="487" t="s">
        <v>1418</v>
      </c>
      <c r="C5058" s="488" t="s">
        <v>16447</v>
      </c>
      <c r="D5058" s="489" t="s">
        <v>16448</v>
      </c>
      <c r="E5058" s="487" t="s">
        <v>16449</v>
      </c>
      <c r="F5058" s="490">
        <v>21500</v>
      </c>
      <c r="G5058" s="489">
        <v>537.46</v>
      </c>
      <c r="H5058" s="489">
        <v>40.002980000000001</v>
      </c>
      <c r="I5058" s="487" t="s">
        <v>1499</v>
      </c>
      <c r="J5058" s="487" t="s">
        <v>1420</v>
      </c>
    </row>
    <row r="5059" spans="1:10" ht="15" x14ac:dyDescent="0.2">
      <c r="A5059" s="486" t="s">
        <v>1419</v>
      </c>
      <c r="B5059" s="487" t="s">
        <v>1418</v>
      </c>
      <c r="C5059" s="488" t="s">
        <v>16450</v>
      </c>
      <c r="D5059" s="489" t="s">
        <v>16451</v>
      </c>
      <c r="E5059" s="487" t="s">
        <v>6163</v>
      </c>
      <c r="F5059" s="490">
        <v>6715</v>
      </c>
      <c r="G5059" s="489">
        <v>206.49</v>
      </c>
      <c r="H5059" s="489">
        <v>32.519730000000003</v>
      </c>
      <c r="I5059" s="487" t="s">
        <v>1499</v>
      </c>
      <c r="J5059" s="487" t="s">
        <v>1420</v>
      </c>
    </row>
    <row r="5060" spans="1:10" ht="15" x14ac:dyDescent="0.2">
      <c r="A5060" s="486" t="s">
        <v>1419</v>
      </c>
      <c r="B5060" s="487" t="s">
        <v>1418</v>
      </c>
      <c r="C5060" s="488" t="s">
        <v>16452</v>
      </c>
      <c r="D5060" s="489" t="s">
        <v>16453</v>
      </c>
      <c r="E5060" s="487" t="s">
        <v>16454</v>
      </c>
      <c r="F5060" s="490">
        <v>28000</v>
      </c>
      <c r="G5060" s="489">
        <v>336.49</v>
      </c>
      <c r="H5060" s="489">
        <v>83.211979999999997</v>
      </c>
      <c r="I5060" s="487" t="s">
        <v>1499</v>
      </c>
      <c r="J5060" s="487" t="s">
        <v>1420</v>
      </c>
    </row>
    <row r="5061" spans="1:10" ht="15" x14ac:dyDescent="0.2">
      <c r="A5061" s="486" t="s">
        <v>1419</v>
      </c>
      <c r="B5061" s="487" t="s">
        <v>1418</v>
      </c>
      <c r="C5061" s="488" t="s">
        <v>16455</v>
      </c>
      <c r="D5061" s="489" t="s">
        <v>16456</v>
      </c>
      <c r="E5061" s="487" t="s">
        <v>16457</v>
      </c>
      <c r="F5061" s="490">
        <v>8000</v>
      </c>
      <c r="G5061" s="489">
        <v>266.62</v>
      </c>
      <c r="H5061" s="489">
        <v>30.00525</v>
      </c>
      <c r="I5061" s="487" t="s">
        <v>1499</v>
      </c>
      <c r="J5061" s="487" t="s">
        <v>1420</v>
      </c>
    </row>
    <row r="5062" spans="1:10" ht="15" x14ac:dyDescent="0.2">
      <c r="A5062" s="486" t="s">
        <v>1419</v>
      </c>
      <c r="B5062" s="487" t="s">
        <v>1418</v>
      </c>
      <c r="C5062" s="488" t="s">
        <v>16458</v>
      </c>
      <c r="D5062" s="489" t="s">
        <v>16459</v>
      </c>
      <c r="E5062" s="487" t="s">
        <v>16460</v>
      </c>
      <c r="F5062" s="490">
        <v>80000</v>
      </c>
      <c r="G5062" s="489">
        <v>857.69</v>
      </c>
      <c r="H5062" s="489">
        <v>93.273790000000005</v>
      </c>
      <c r="I5062" s="487" t="s">
        <v>1499</v>
      </c>
      <c r="J5062" s="487" t="s">
        <v>1420</v>
      </c>
    </row>
    <row r="5063" spans="1:10" ht="15" x14ac:dyDescent="0.2">
      <c r="A5063" s="486" t="s">
        <v>1419</v>
      </c>
      <c r="B5063" s="487" t="s">
        <v>1418</v>
      </c>
      <c r="C5063" s="488" t="s">
        <v>16461</v>
      </c>
      <c r="D5063" s="489" t="s">
        <v>16462</v>
      </c>
      <c r="E5063" s="487" t="s">
        <v>16463</v>
      </c>
      <c r="F5063" s="490">
        <v>100797</v>
      </c>
      <c r="G5063" s="489">
        <v>1918.67</v>
      </c>
      <c r="H5063" s="489">
        <v>52.534829999999999</v>
      </c>
      <c r="I5063" s="487" t="s">
        <v>1499</v>
      </c>
      <c r="J5063" s="487" t="s">
        <v>1420</v>
      </c>
    </row>
    <row r="5064" spans="1:10" ht="15" x14ac:dyDescent="0.2">
      <c r="A5064" s="486" t="s">
        <v>1419</v>
      </c>
      <c r="B5064" s="487" t="s">
        <v>1418</v>
      </c>
      <c r="C5064" s="488" t="s">
        <v>16464</v>
      </c>
      <c r="D5064" s="489" t="s">
        <v>16465</v>
      </c>
      <c r="E5064" s="487" t="s">
        <v>16466</v>
      </c>
      <c r="F5064" s="490">
        <v>43809</v>
      </c>
      <c r="G5064" s="489">
        <v>734.83</v>
      </c>
      <c r="H5064" s="489">
        <v>59.617870000000003</v>
      </c>
      <c r="I5064" s="487" t="s">
        <v>1499</v>
      </c>
      <c r="J5064" s="487" t="s">
        <v>1420</v>
      </c>
    </row>
    <row r="5065" spans="1:10" ht="15" x14ac:dyDescent="0.2">
      <c r="A5065" s="486" t="s">
        <v>1419</v>
      </c>
      <c r="B5065" s="487" t="s">
        <v>1418</v>
      </c>
      <c r="C5065" s="488" t="s">
        <v>16467</v>
      </c>
      <c r="D5065" s="489" t="s">
        <v>16468</v>
      </c>
      <c r="E5065" s="487" t="s">
        <v>16469</v>
      </c>
      <c r="F5065" s="490">
        <v>10000</v>
      </c>
      <c r="G5065" s="489">
        <v>292.19</v>
      </c>
      <c r="H5065" s="489">
        <v>34.224310000000003</v>
      </c>
      <c r="I5065" s="487" t="s">
        <v>1499</v>
      </c>
      <c r="J5065" s="487" t="s">
        <v>1420</v>
      </c>
    </row>
    <row r="5066" spans="1:10" ht="15" x14ac:dyDescent="0.2">
      <c r="A5066" s="486" t="s">
        <v>1419</v>
      </c>
      <c r="B5066" s="487" t="s">
        <v>1418</v>
      </c>
      <c r="C5066" s="488" t="s">
        <v>16470</v>
      </c>
      <c r="D5066" s="489" t="s">
        <v>16471</v>
      </c>
      <c r="E5066" s="487" t="s">
        <v>16472</v>
      </c>
      <c r="F5066" s="490">
        <v>8905</v>
      </c>
      <c r="G5066" s="489">
        <v>114.44</v>
      </c>
      <c r="H5066" s="489">
        <v>77.813699999999997</v>
      </c>
      <c r="I5066" s="487" t="s">
        <v>1499</v>
      </c>
      <c r="J5066" s="487" t="s">
        <v>1420</v>
      </c>
    </row>
    <row r="5067" spans="1:10" ht="15" x14ac:dyDescent="0.2">
      <c r="A5067" s="486" t="s">
        <v>1152</v>
      </c>
      <c r="B5067" s="487" t="s">
        <v>1151</v>
      </c>
      <c r="C5067" s="488" t="s">
        <v>16473</v>
      </c>
      <c r="D5067" s="489" t="s">
        <v>16474</v>
      </c>
      <c r="E5067" s="487" t="s">
        <v>13862</v>
      </c>
      <c r="F5067" s="490">
        <v>5000</v>
      </c>
      <c r="G5067" s="489">
        <v>140.4</v>
      </c>
      <c r="H5067" s="489">
        <v>35.612540000000003</v>
      </c>
      <c r="I5067" s="487" t="s">
        <v>1499</v>
      </c>
      <c r="J5067" s="487" t="s">
        <v>1153</v>
      </c>
    </row>
    <row r="5068" spans="1:10" ht="15" x14ac:dyDescent="0.2">
      <c r="A5068" s="486" t="s">
        <v>1152</v>
      </c>
      <c r="B5068" s="487" t="s">
        <v>1151</v>
      </c>
      <c r="C5068" s="488" t="s">
        <v>16475</v>
      </c>
      <c r="D5068" s="489" t="s">
        <v>16476</v>
      </c>
      <c r="E5068" s="487" t="s">
        <v>16477</v>
      </c>
      <c r="F5068" s="490">
        <v>0</v>
      </c>
      <c r="G5068" s="489">
        <v>23.24</v>
      </c>
      <c r="H5068" s="489">
        <v>0</v>
      </c>
      <c r="I5068" s="487" t="s">
        <v>1593</v>
      </c>
      <c r="J5068" s="487" t="s">
        <v>1153</v>
      </c>
    </row>
    <row r="5069" spans="1:10" ht="15" x14ac:dyDescent="0.2">
      <c r="A5069" s="486" t="s">
        <v>1152</v>
      </c>
      <c r="B5069" s="487" t="s">
        <v>1151</v>
      </c>
      <c r="C5069" s="488" t="s">
        <v>16478</v>
      </c>
      <c r="D5069" s="489" t="s">
        <v>16479</v>
      </c>
      <c r="E5069" s="487" t="s">
        <v>16480</v>
      </c>
      <c r="F5069" s="490">
        <v>23820</v>
      </c>
      <c r="G5069" s="489">
        <v>905.45</v>
      </c>
      <c r="H5069" s="489">
        <v>26.307359999999999</v>
      </c>
      <c r="I5069" s="487" t="s">
        <v>1499</v>
      </c>
      <c r="J5069" s="487" t="s">
        <v>1153</v>
      </c>
    </row>
    <row r="5070" spans="1:10" ht="15" x14ac:dyDescent="0.2">
      <c r="A5070" s="486" t="s">
        <v>1152</v>
      </c>
      <c r="B5070" s="487" t="s">
        <v>1151</v>
      </c>
      <c r="C5070" s="488" t="s">
        <v>16481</v>
      </c>
      <c r="D5070" s="489" t="s">
        <v>16482</v>
      </c>
      <c r="E5070" s="487" t="s">
        <v>4451</v>
      </c>
      <c r="F5070" s="490">
        <v>440</v>
      </c>
      <c r="G5070" s="489">
        <v>41.14</v>
      </c>
      <c r="H5070" s="489">
        <v>10.69519</v>
      </c>
      <c r="I5070" s="487" t="s">
        <v>1499</v>
      </c>
      <c r="J5070" s="487" t="s">
        <v>1153</v>
      </c>
    </row>
    <row r="5071" spans="1:10" ht="15" x14ac:dyDescent="0.2">
      <c r="A5071" s="486" t="s">
        <v>1152</v>
      </c>
      <c r="B5071" s="487" t="s">
        <v>1151</v>
      </c>
      <c r="C5071" s="488" t="s">
        <v>16483</v>
      </c>
      <c r="D5071" s="489" t="s">
        <v>16484</v>
      </c>
      <c r="E5071" s="487" t="s">
        <v>16485</v>
      </c>
      <c r="F5071" s="490">
        <v>19465</v>
      </c>
      <c r="G5071" s="489">
        <v>278.76</v>
      </c>
      <c r="H5071" s="489">
        <v>69.827089999999998</v>
      </c>
      <c r="I5071" s="487" t="s">
        <v>1499</v>
      </c>
      <c r="J5071" s="487" t="s">
        <v>1153</v>
      </c>
    </row>
    <row r="5072" spans="1:10" ht="15" x14ac:dyDescent="0.2">
      <c r="A5072" s="486" t="s">
        <v>1152</v>
      </c>
      <c r="B5072" s="487" t="s">
        <v>1151</v>
      </c>
      <c r="C5072" s="488" t="s">
        <v>16486</v>
      </c>
      <c r="D5072" s="489" t="s">
        <v>16487</v>
      </c>
      <c r="E5072" s="487" t="s">
        <v>16488</v>
      </c>
      <c r="F5072" s="490">
        <v>0</v>
      </c>
      <c r="G5072" s="489">
        <v>1.43</v>
      </c>
      <c r="H5072" s="489">
        <v>0</v>
      </c>
      <c r="I5072" s="487" t="s">
        <v>1593</v>
      </c>
      <c r="J5072" s="487" t="s">
        <v>1153</v>
      </c>
    </row>
    <row r="5073" spans="1:10" ht="15" x14ac:dyDescent="0.2">
      <c r="A5073" s="486" t="s">
        <v>1152</v>
      </c>
      <c r="B5073" s="487" t="s">
        <v>1151</v>
      </c>
      <c r="C5073" s="488" t="s">
        <v>16489</v>
      </c>
      <c r="D5073" s="489" t="s">
        <v>16490</v>
      </c>
      <c r="E5073" s="487" t="s">
        <v>16491</v>
      </c>
      <c r="F5073" s="490">
        <v>9316</v>
      </c>
      <c r="G5073" s="489">
        <v>201</v>
      </c>
      <c r="H5073" s="489">
        <v>46.348260000000003</v>
      </c>
      <c r="I5073" s="487" t="s">
        <v>1499</v>
      </c>
      <c r="J5073" s="487" t="s">
        <v>1153</v>
      </c>
    </row>
    <row r="5074" spans="1:10" ht="15" x14ac:dyDescent="0.2">
      <c r="A5074" s="486" t="s">
        <v>1152</v>
      </c>
      <c r="B5074" s="487" t="s">
        <v>1151</v>
      </c>
      <c r="C5074" s="488" t="s">
        <v>16492</v>
      </c>
      <c r="D5074" s="489" t="s">
        <v>16493</v>
      </c>
      <c r="E5074" s="487" t="s">
        <v>16494</v>
      </c>
      <c r="F5074" s="490">
        <v>1820</v>
      </c>
      <c r="G5074" s="489">
        <v>112.59</v>
      </c>
      <c r="H5074" s="489">
        <v>16.164850000000001</v>
      </c>
      <c r="I5074" s="487" t="s">
        <v>1499</v>
      </c>
      <c r="J5074" s="487" t="s">
        <v>1153</v>
      </c>
    </row>
    <row r="5075" spans="1:10" ht="15" x14ac:dyDescent="0.2">
      <c r="A5075" s="486" t="s">
        <v>1152</v>
      </c>
      <c r="B5075" s="487" t="s">
        <v>1151</v>
      </c>
      <c r="C5075" s="488" t="s">
        <v>16495</v>
      </c>
      <c r="D5075" s="489" t="s">
        <v>16496</v>
      </c>
      <c r="E5075" s="487" t="s">
        <v>16497</v>
      </c>
      <c r="F5075" s="490">
        <v>12250</v>
      </c>
      <c r="G5075" s="489">
        <v>219.85</v>
      </c>
      <c r="H5075" s="489">
        <v>55.719810000000003</v>
      </c>
      <c r="I5075" s="487" t="s">
        <v>1499</v>
      </c>
      <c r="J5075" s="487" t="s">
        <v>1153</v>
      </c>
    </row>
    <row r="5076" spans="1:10" ht="15" x14ac:dyDescent="0.2">
      <c r="A5076" s="486" t="s">
        <v>1152</v>
      </c>
      <c r="B5076" s="487" t="s">
        <v>1151</v>
      </c>
      <c r="C5076" s="488" t="s">
        <v>16498</v>
      </c>
      <c r="D5076" s="489" t="s">
        <v>16499</v>
      </c>
      <c r="E5076" s="487" t="s">
        <v>16500</v>
      </c>
      <c r="F5076" s="490">
        <v>0</v>
      </c>
      <c r="G5076" s="489">
        <v>35.69</v>
      </c>
      <c r="H5076" s="489">
        <v>0</v>
      </c>
      <c r="I5076" s="487" t="s">
        <v>1593</v>
      </c>
      <c r="J5076" s="487" t="s">
        <v>1153</v>
      </c>
    </row>
    <row r="5077" spans="1:10" ht="15" x14ac:dyDescent="0.2">
      <c r="A5077" s="486" t="s">
        <v>1152</v>
      </c>
      <c r="B5077" s="487" t="s">
        <v>1151</v>
      </c>
      <c r="C5077" s="488" t="s">
        <v>16501</v>
      </c>
      <c r="D5077" s="489" t="s">
        <v>16502</v>
      </c>
      <c r="E5077" s="487" t="s">
        <v>11960</v>
      </c>
      <c r="F5077" s="490">
        <v>231</v>
      </c>
      <c r="G5077" s="489">
        <v>134.21</v>
      </c>
      <c r="H5077" s="489">
        <v>1.7211799999999999</v>
      </c>
      <c r="I5077" s="487" t="s">
        <v>1499</v>
      </c>
      <c r="J5077" s="487" t="s">
        <v>1153</v>
      </c>
    </row>
    <row r="5078" spans="1:10" ht="15" x14ac:dyDescent="0.2">
      <c r="A5078" s="486" t="s">
        <v>1152</v>
      </c>
      <c r="B5078" s="487" t="s">
        <v>1151</v>
      </c>
      <c r="C5078" s="488" t="s">
        <v>16503</v>
      </c>
      <c r="D5078" s="489" t="s">
        <v>16504</v>
      </c>
      <c r="E5078" s="487" t="s">
        <v>16505</v>
      </c>
      <c r="F5078" s="490">
        <v>8441</v>
      </c>
      <c r="G5078" s="489">
        <v>123.22</v>
      </c>
      <c r="H5078" s="489">
        <v>68.503489999999999</v>
      </c>
      <c r="I5078" s="487" t="s">
        <v>1499</v>
      </c>
      <c r="J5078" s="487" t="s">
        <v>1153</v>
      </c>
    </row>
    <row r="5079" spans="1:10" ht="15" x14ac:dyDescent="0.2">
      <c r="A5079" s="486" t="s">
        <v>1152</v>
      </c>
      <c r="B5079" s="487" t="s">
        <v>1151</v>
      </c>
      <c r="C5079" s="488" t="s">
        <v>16506</v>
      </c>
      <c r="D5079" s="489" t="s">
        <v>16507</v>
      </c>
      <c r="E5079" s="487" t="s">
        <v>16508</v>
      </c>
      <c r="F5079" s="490">
        <v>0</v>
      </c>
      <c r="G5079" s="489">
        <v>78.099999999999994</v>
      </c>
      <c r="H5079" s="489">
        <v>0</v>
      </c>
      <c r="I5079" s="487" t="s">
        <v>1593</v>
      </c>
      <c r="J5079" s="487" t="s">
        <v>1153</v>
      </c>
    </row>
    <row r="5080" spans="1:10" ht="15" x14ac:dyDescent="0.2">
      <c r="A5080" s="486" t="s">
        <v>1152</v>
      </c>
      <c r="B5080" s="487" t="s">
        <v>1151</v>
      </c>
      <c r="C5080" s="488" t="s">
        <v>16509</v>
      </c>
      <c r="D5080" s="489" t="s">
        <v>16510</v>
      </c>
      <c r="E5080" s="487" t="s">
        <v>16511</v>
      </c>
      <c r="F5080" s="490">
        <v>37676</v>
      </c>
      <c r="G5080" s="489">
        <v>722.94</v>
      </c>
      <c r="H5080" s="489">
        <v>52.11497</v>
      </c>
      <c r="I5080" s="487" t="s">
        <v>1499</v>
      </c>
      <c r="J5080" s="487" t="s">
        <v>1153</v>
      </c>
    </row>
    <row r="5081" spans="1:10" ht="15" x14ac:dyDescent="0.2">
      <c r="A5081" s="486" t="s">
        <v>1152</v>
      </c>
      <c r="B5081" s="487" t="s">
        <v>1151</v>
      </c>
      <c r="C5081" s="488" t="s">
        <v>16512</v>
      </c>
      <c r="D5081" s="489" t="s">
        <v>16513</v>
      </c>
      <c r="E5081" s="487" t="s">
        <v>16514</v>
      </c>
      <c r="F5081" s="490">
        <v>22479</v>
      </c>
      <c r="G5081" s="489">
        <v>323.64</v>
      </c>
      <c r="H5081" s="489">
        <v>69.456800000000001</v>
      </c>
      <c r="I5081" s="487" t="s">
        <v>1499</v>
      </c>
      <c r="J5081" s="487" t="s">
        <v>1153</v>
      </c>
    </row>
    <row r="5082" spans="1:10" ht="15" x14ac:dyDescent="0.2">
      <c r="A5082" s="486" t="s">
        <v>1152</v>
      </c>
      <c r="B5082" s="487" t="s">
        <v>1151</v>
      </c>
      <c r="C5082" s="488" t="s">
        <v>16515</v>
      </c>
      <c r="D5082" s="489" t="s">
        <v>16516</v>
      </c>
      <c r="E5082" s="487" t="s">
        <v>16517</v>
      </c>
      <c r="F5082" s="490">
        <v>1400</v>
      </c>
      <c r="G5082" s="489">
        <v>55.03</v>
      </c>
      <c r="H5082" s="489">
        <v>25.440670000000001</v>
      </c>
      <c r="I5082" s="487" t="s">
        <v>1499</v>
      </c>
      <c r="J5082" s="487" t="s">
        <v>1153</v>
      </c>
    </row>
    <row r="5083" spans="1:10" ht="15" x14ac:dyDescent="0.2">
      <c r="A5083" s="486" t="s">
        <v>1152</v>
      </c>
      <c r="B5083" s="487" t="s">
        <v>1151</v>
      </c>
      <c r="C5083" s="488" t="s">
        <v>16518</v>
      </c>
      <c r="D5083" s="489" t="s">
        <v>16519</v>
      </c>
      <c r="E5083" s="487" t="s">
        <v>16520</v>
      </c>
      <c r="F5083" s="490">
        <v>25000</v>
      </c>
      <c r="G5083" s="489">
        <v>448.87</v>
      </c>
      <c r="H5083" s="489">
        <v>55.695410000000003</v>
      </c>
      <c r="I5083" s="487" t="s">
        <v>1499</v>
      </c>
      <c r="J5083" s="487" t="s">
        <v>1153</v>
      </c>
    </row>
    <row r="5084" spans="1:10" ht="15" x14ac:dyDescent="0.2">
      <c r="A5084" s="486" t="s">
        <v>1152</v>
      </c>
      <c r="B5084" s="487" t="s">
        <v>1151</v>
      </c>
      <c r="C5084" s="488" t="s">
        <v>16521</v>
      </c>
      <c r="D5084" s="489" t="s">
        <v>16522</v>
      </c>
      <c r="E5084" s="487" t="s">
        <v>16523</v>
      </c>
      <c r="F5084" s="490">
        <v>15238</v>
      </c>
      <c r="G5084" s="489">
        <v>174.89</v>
      </c>
      <c r="H5084" s="489">
        <v>87.129050000000007</v>
      </c>
      <c r="I5084" s="487" t="s">
        <v>1499</v>
      </c>
      <c r="J5084" s="487" t="s">
        <v>1153</v>
      </c>
    </row>
    <row r="5085" spans="1:10" ht="15" x14ac:dyDescent="0.2">
      <c r="A5085" s="486" t="s">
        <v>1152</v>
      </c>
      <c r="B5085" s="487" t="s">
        <v>1151</v>
      </c>
      <c r="C5085" s="488" t="s">
        <v>16524</v>
      </c>
      <c r="D5085" s="489" t="s">
        <v>16525</v>
      </c>
      <c r="E5085" s="487" t="s">
        <v>16526</v>
      </c>
      <c r="F5085" s="490">
        <v>187</v>
      </c>
      <c r="G5085" s="489">
        <v>96.34</v>
      </c>
      <c r="H5085" s="489">
        <v>1.9410400000000001</v>
      </c>
      <c r="I5085" s="487" t="s">
        <v>1499</v>
      </c>
      <c r="J5085" s="487" t="s">
        <v>1153</v>
      </c>
    </row>
    <row r="5086" spans="1:10" ht="15" x14ac:dyDescent="0.2">
      <c r="A5086" s="486" t="s">
        <v>1152</v>
      </c>
      <c r="B5086" s="487" t="s">
        <v>1151</v>
      </c>
      <c r="C5086" s="488" t="s">
        <v>16527</v>
      </c>
      <c r="D5086" s="489" t="s">
        <v>16528</v>
      </c>
      <c r="E5086" s="487" t="s">
        <v>16529</v>
      </c>
      <c r="F5086" s="490">
        <v>6770</v>
      </c>
      <c r="G5086" s="489">
        <v>189.4</v>
      </c>
      <c r="H5086" s="489">
        <v>35.744459999999997</v>
      </c>
      <c r="I5086" s="487" t="s">
        <v>1499</v>
      </c>
      <c r="J5086" s="487" t="s">
        <v>1153</v>
      </c>
    </row>
    <row r="5087" spans="1:10" ht="15" x14ac:dyDescent="0.2">
      <c r="A5087" s="486" t="s">
        <v>1152</v>
      </c>
      <c r="B5087" s="487" t="s">
        <v>1151</v>
      </c>
      <c r="C5087" s="488" t="s">
        <v>16530</v>
      </c>
      <c r="D5087" s="489" t="s">
        <v>16531</v>
      </c>
      <c r="E5087" s="487" t="s">
        <v>16532</v>
      </c>
      <c r="F5087" s="490">
        <v>20500</v>
      </c>
      <c r="G5087" s="489">
        <v>324.39999999999998</v>
      </c>
      <c r="H5087" s="489">
        <v>63.19359</v>
      </c>
      <c r="I5087" s="487" t="s">
        <v>1499</v>
      </c>
      <c r="J5087" s="487" t="s">
        <v>1153</v>
      </c>
    </row>
    <row r="5088" spans="1:10" ht="15" x14ac:dyDescent="0.2">
      <c r="A5088" s="486" t="s">
        <v>1152</v>
      </c>
      <c r="B5088" s="487" t="s">
        <v>1151</v>
      </c>
      <c r="C5088" s="488" t="s">
        <v>16533</v>
      </c>
      <c r="D5088" s="489" t="s">
        <v>16534</v>
      </c>
      <c r="E5088" s="487" t="s">
        <v>16535</v>
      </c>
      <c r="F5088" s="490">
        <v>0</v>
      </c>
      <c r="G5088" s="489">
        <v>14.26</v>
      </c>
      <c r="H5088" s="489">
        <v>0</v>
      </c>
      <c r="I5088" s="487" t="s">
        <v>1593</v>
      </c>
      <c r="J5088" s="487" t="s">
        <v>1153</v>
      </c>
    </row>
    <row r="5089" spans="1:10" ht="15" x14ac:dyDescent="0.2">
      <c r="A5089" s="486" t="s">
        <v>1152</v>
      </c>
      <c r="B5089" s="487" t="s">
        <v>1151</v>
      </c>
      <c r="C5089" s="488" t="s">
        <v>16536</v>
      </c>
      <c r="D5089" s="489" t="s">
        <v>16537</v>
      </c>
      <c r="E5089" s="487" t="s">
        <v>1456</v>
      </c>
      <c r="F5089" s="490">
        <v>4077</v>
      </c>
      <c r="G5089" s="489">
        <v>96.97</v>
      </c>
      <c r="H5089" s="489">
        <v>42.043930000000003</v>
      </c>
      <c r="I5089" s="487" t="s">
        <v>1499</v>
      </c>
      <c r="J5089" s="487" t="s">
        <v>1153</v>
      </c>
    </row>
    <row r="5090" spans="1:10" ht="15" x14ac:dyDescent="0.2">
      <c r="A5090" s="486" t="s">
        <v>1152</v>
      </c>
      <c r="B5090" s="487" t="s">
        <v>1151</v>
      </c>
      <c r="C5090" s="488" t="s">
        <v>16538</v>
      </c>
      <c r="D5090" s="489" t="s">
        <v>16539</v>
      </c>
      <c r="E5090" s="487" t="s">
        <v>16540</v>
      </c>
      <c r="F5090" s="490">
        <v>70919</v>
      </c>
      <c r="G5090" s="489">
        <v>810.34</v>
      </c>
      <c r="H5090" s="489">
        <v>87.517589999999998</v>
      </c>
      <c r="I5090" s="487" t="s">
        <v>1499</v>
      </c>
      <c r="J5090" s="487" t="s">
        <v>1153</v>
      </c>
    </row>
    <row r="5091" spans="1:10" ht="15" x14ac:dyDescent="0.2">
      <c r="A5091" s="486" t="s">
        <v>1152</v>
      </c>
      <c r="B5091" s="487" t="s">
        <v>1151</v>
      </c>
      <c r="C5091" s="488" t="s">
        <v>16541</v>
      </c>
      <c r="D5091" s="489" t="s">
        <v>16542</v>
      </c>
      <c r="E5091" s="487" t="s">
        <v>10271</v>
      </c>
      <c r="F5091" s="490">
        <v>33650</v>
      </c>
      <c r="G5091" s="489">
        <v>649.03</v>
      </c>
      <c r="H5091" s="489">
        <v>51.846600000000002</v>
      </c>
      <c r="I5091" s="487" t="s">
        <v>1499</v>
      </c>
      <c r="J5091" s="487" t="s">
        <v>1153</v>
      </c>
    </row>
    <row r="5092" spans="1:10" ht="15" x14ac:dyDescent="0.2">
      <c r="A5092" s="486" t="s">
        <v>1152</v>
      </c>
      <c r="B5092" s="487" t="s">
        <v>1151</v>
      </c>
      <c r="C5092" s="488" t="s">
        <v>16543</v>
      </c>
      <c r="D5092" s="489" t="s">
        <v>16544</v>
      </c>
      <c r="E5092" s="487" t="s">
        <v>16545</v>
      </c>
      <c r="F5092" s="490">
        <v>0</v>
      </c>
      <c r="G5092" s="489">
        <v>5.32</v>
      </c>
      <c r="H5092" s="489">
        <v>0</v>
      </c>
      <c r="I5092" s="487" t="s">
        <v>1593</v>
      </c>
      <c r="J5092" s="487" t="s">
        <v>1153</v>
      </c>
    </row>
    <row r="5093" spans="1:10" ht="15" x14ac:dyDescent="0.2">
      <c r="A5093" s="486" t="s">
        <v>1152</v>
      </c>
      <c r="B5093" s="487" t="s">
        <v>1151</v>
      </c>
      <c r="C5093" s="488" t="s">
        <v>16546</v>
      </c>
      <c r="D5093" s="489" t="s">
        <v>16547</v>
      </c>
      <c r="E5093" s="487" t="s">
        <v>16548</v>
      </c>
      <c r="F5093" s="490">
        <v>2842</v>
      </c>
      <c r="G5093" s="489">
        <v>111.45</v>
      </c>
      <c r="H5093" s="489">
        <v>25.500219999999999</v>
      </c>
      <c r="I5093" s="487" t="s">
        <v>1499</v>
      </c>
      <c r="J5093" s="487" t="s">
        <v>1153</v>
      </c>
    </row>
    <row r="5094" spans="1:10" ht="15" x14ac:dyDescent="0.2">
      <c r="A5094" s="486" t="s">
        <v>1152</v>
      </c>
      <c r="B5094" s="487" t="s">
        <v>1151</v>
      </c>
      <c r="C5094" s="488" t="s">
        <v>16549</v>
      </c>
      <c r="D5094" s="489" t="s">
        <v>16550</v>
      </c>
      <c r="E5094" s="487" t="s">
        <v>16551</v>
      </c>
      <c r="F5094" s="490">
        <v>16463</v>
      </c>
      <c r="G5094" s="489">
        <v>207.04</v>
      </c>
      <c r="H5094" s="489">
        <v>79.516040000000004</v>
      </c>
      <c r="I5094" s="487" t="s">
        <v>1499</v>
      </c>
      <c r="J5094" s="487" t="s">
        <v>1153</v>
      </c>
    </row>
    <row r="5095" spans="1:10" ht="15" x14ac:dyDescent="0.2">
      <c r="A5095" s="486" t="s">
        <v>1152</v>
      </c>
      <c r="B5095" s="487" t="s">
        <v>1151</v>
      </c>
      <c r="C5095" s="488" t="s">
        <v>16552</v>
      </c>
      <c r="D5095" s="489" t="s">
        <v>16553</v>
      </c>
      <c r="E5095" s="487" t="s">
        <v>16554</v>
      </c>
      <c r="F5095" s="490">
        <v>0</v>
      </c>
      <c r="G5095" s="489">
        <v>43.79</v>
      </c>
      <c r="H5095" s="489">
        <v>0</v>
      </c>
      <c r="I5095" s="487" t="s">
        <v>1593</v>
      </c>
      <c r="J5095" s="487" t="s">
        <v>1153</v>
      </c>
    </row>
    <row r="5096" spans="1:10" ht="15" x14ac:dyDescent="0.2">
      <c r="A5096" s="486" t="s">
        <v>1152</v>
      </c>
      <c r="B5096" s="487" t="s">
        <v>1151</v>
      </c>
      <c r="C5096" s="488" t="s">
        <v>16555</v>
      </c>
      <c r="D5096" s="489" t="s">
        <v>16556</v>
      </c>
      <c r="E5096" s="487" t="s">
        <v>14696</v>
      </c>
      <c r="F5096" s="490">
        <v>21500</v>
      </c>
      <c r="G5096" s="489">
        <v>175.91</v>
      </c>
      <c r="H5096" s="489">
        <v>122.22159000000001</v>
      </c>
      <c r="I5096" s="487" t="s">
        <v>1499</v>
      </c>
      <c r="J5096" s="487" t="s">
        <v>1153</v>
      </c>
    </row>
    <row r="5097" spans="1:10" ht="15" x14ac:dyDescent="0.2">
      <c r="A5097" s="486" t="s">
        <v>1152</v>
      </c>
      <c r="B5097" s="487" t="s">
        <v>1151</v>
      </c>
      <c r="C5097" s="488" t="s">
        <v>16557</v>
      </c>
      <c r="D5097" s="489" t="s">
        <v>16558</v>
      </c>
      <c r="E5097" s="487" t="s">
        <v>16559</v>
      </c>
      <c r="F5097" s="490">
        <v>11532</v>
      </c>
      <c r="G5097" s="489">
        <v>216.79</v>
      </c>
      <c r="H5097" s="489">
        <v>53.194339999999997</v>
      </c>
      <c r="I5097" s="487" t="s">
        <v>1499</v>
      </c>
      <c r="J5097" s="487" t="s">
        <v>1153</v>
      </c>
    </row>
    <row r="5098" spans="1:10" ht="15" x14ac:dyDescent="0.2">
      <c r="A5098" s="486" t="s">
        <v>1152</v>
      </c>
      <c r="B5098" s="487" t="s">
        <v>1151</v>
      </c>
      <c r="C5098" s="488" t="s">
        <v>16560</v>
      </c>
      <c r="D5098" s="489" t="s">
        <v>16561</v>
      </c>
      <c r="E5098" s="487" t="s">
        <v>16562</v>
      </c>
      <c r="F5098" s="490">
        <v>0</v>
      </c>
      <c r="G5098" s="489">
        <v>1.65</v>
      </c>
      <c r="H5098" s="489">
        <v>0</v>
      </c>
      <c r="I5098" s="487" t="s">
        <v>1593</v>
      </c>
      <c r="J5098" s="487" t="s">
        <v>1153</v>
      </c>
    </row>
    <row r="5099" spans="1:10" ht="15" x14ac:dyDescent="0.2">
      <c r="A5099" s="486" t="s">
        <v>1152</v>
      </c>
      <c r="B5099" s="487" t="s">
        <v>1151</v>
      </c>
      <c r="C5099" s="488" t="s">
        <v>16563</v>
      </c>
      <c r="D5099" s="489" t="s">
        <v>16564</v>
      </c>
      <c r="E5099" s="487" t="s">
        <v>16565</v>
      </c>
      <c r="F5099" s="490">
        <v>9875</v>
      </c>
      <c r="G5099" s="489">
        <v>199.46</v>
      </c>
      <c r="H5099" s="489">
        <v>49.508670000000002</v>
      </c>
      <c r="I5099" s="487" t="s">
        <v>1499</v>
      </c>
      <c r="J5099" s="487" t="s">
        <v>1153</v>
      </c>
    </row>
    <row r="5100" spans="1:10" ht="15" x14ac:dyDescent="0.2">
      <c r="A5100" s="486" t="s">
        <v>1152</v>
      </c>
      <c r="B5100" s="487" t="s">
        <v>1151</v>
      </c>
      <c r="C5100" s="488" t="s">
        <v>16566</v>
      </c>
      <c r="D5100" s="489" t="s">
        <v>16567</v>
      </c>
      <c r="E5100" s="487" t="s">
        <v>16568</v>
      </c>
      <c r="F5100" s="490">
        <v>0</v>
      </c>
      <c r="G5100" s="489">
        <v>23.72</v>
      </c>
      <c r="H5100" s="489">
        <v>0</v>
      </c>
      <c r="I5100" s="487" t="s">
        <v>1593</v>
      </c>
      <c r="J5100" s="487" t="s">
        <v>1153</v>
      </c>
    </row>
    <row r="5101" spans="1:10" ht="15" x14ac:dyDescent="0.2">
      <c r="A5101" s="486" t="s">
        <v>1152</v>
      </c>
      <c r="B5101" s="487" t="s">
        <v>1151</v>
      </c>
      <c r="C5101" s="488" t="s">
        <v>16569</v>
      </c>
      <c r="D5101" s="489" t="s">
        <v>16570</v>
      </c>
      <c r="E5101" s="487" t="s">
        <v>16571</v>
      </c>
      <c r="F5101" s="490">
        <v>26015</v>
      </c>
      <c r="G5101" s="489">
        <v>326.35000000000002</v>
      </c>
      <c r="H5101" s="489">
        <v>79.715029999999999</v>
      </c>
      <c r="I5101" s="487" t="s">
        <v>1499</v>
      </c>
      <c r="J5101" s="487" t="s">
        <v>1153</v>
      </c>
    </row>
    <row r="5102" spans="1:10" ht="15" x14ac:dyDescent="0.2">
      <c r="A5102" s="486" t="s">
        <v>1152</v>
      </c>
      <c r="B5102" s="487" t="s">
        <v>1151</v>
      </c>
      <c r="C5102" s="488" t="s">
        <v>16572</v>
      </c>
      <c r="D5102" s="489" t="s">
        <v>16573</v>
      </c>
      <c r="E5102" s="487" t="s">
        <v>16574</v>
      </c>
      <c r="F5102" s="490">
        <v>293794</v>
      </c>
      <c r="G5102" s="489">
        <v>4254.83</v>
      </c>
      <c r="H5102" s="489">
        <v>69.049530000000004</v>
      </c>
      <c r="I5102" s="487" t="s">
        <v>1499</v>
      </c>
      <c r="J5102" s="487" t="s">
        <v>1153</v>
      </c>
    </row>
    <row r="5103" spans="1:10" ht="15" x14ac:dyDescent="0.2">
      <c r="A5103" s="486" t="s">
        <v>1152</v>
      </c>
      <c r="B5103" s="487" t="s">
        <v>1151</v>
      </c>
      <c r="C5103" s="488" t="s">
        <v>16575</v>
      </c>
      <c r="D5103" s="489" t="s">
        <v>16576</v>
      </c>
      <c r="E5103" s="487" t="s">
        <v>16577</v>
      </c>
      <c r="F5103" s="490">
        <v>0</v>
      </c>
      <c r="G5103" s="489">
        <v>32.43</v>
      </c>
      <c r="H5103" s="489">
        <v>0</v>
      </c>
      <c r="I5103" s="487" t="s">
        <v>1593</v>
      </c>
      <c r="J5103" s="487" t="s">
        <v>1153</v>
      </c>
    </row>
    <row r="5104" spans="1:10" ht="15" x14ac:dyDescent="0.2">
      <c r="A5104" s="486" t="s">
        <v>1152</v>
      </c>
      <c r="B5104" s="487" t="s">
        <v>1151</v>
      </c>
      <c r="C5104" s="488" t="s">
        <v>16578</v>
      </c>
      <c r="D5104" s="489" t="s">
        <v>16579</v>
      </c>
      <c r="E5104" s="487" t="s">
        <v>16580</v>
      </c>
      <c r="F5104" s="490">
        <v>0</v>
      </c>
      <c r="G5104" s="489">
        <v>21.13</v>
      </c>
      <c r="H5104" s="489">
        <v>0</v>
      </c>
      <c r="I5104" s="487" t="s">
        <v>1593</v>
      </c>
      <c r="J5104" s="487" t="s">
        <v>1153</v>
      </c>
    </row>
    <row r="5105" spans="1:10" ht="15" x14ac:dyDescent="0.2">
      <c r="A5105" s="486" t="s">
        <v>1152</v>
      </c>
      <c r="B5105" s="487" t="s">
        <v>1151</v>
      </c>
      <c r="C5105" s="488" t="s">
        <v>16581</v>
      </c>
      <c r="D5105" s="489" t="s">
        <v>16582</v>
      </c>
      <c r="E5105" s="487" t="s">
        <v>1100</v>
      </c>
      <c r="F5105" s="490">
        <v>1710</v>
      </c>
      <c r="G5105" s="489">
        <v>105.36</v>
      </c>
      <c r="H5105" s="489">
        <v>16.230070000000001</v>
      </c>
      <c r="I5105" s="487" t="s">
        <v>1499</v>
      </c>
      <c r="J5105" s="487" t="s">
        <v>1153</v>
      </c>
    </row>
    <row r="5106" spans="1:10" ht="15" x14ac:dyDescent="0.2">
      <c r="A5106" s="486" t="s">
        <v>1152</v>
      </c>
      <c r="B5106" s="487" t="s">
        <v>1151</v>
      </c>
      <c r="C5106" s="488" t="s">
        <v>16583</v>
      </c>
      <c r="D5106" s="489" t="s">
        <v>16584</v>
      </c>
      <c r="E5106" s="487" t="s">
        <v>16585</v>
      </c>
      <c r="F5106" s="490">
        <v>8137</v>
      </c>
      <c r="G5106" s="489">
        <v>97.92</v>
      </c>
      <c r="H5106" s="489">
        <v>83.09845</v>
      </c>
      <c r="I5106" s="487" t="s">
        <v>1499</v>
      </c>
      <c r="J5106" s="487" t="s">
        <v>1153</v>
      </c>
    </row>
    <row r="5107" spans="1:10" ht="15" x14ac:dyDescent="0.2">
      <c r="A5107" s="486" t="s">
        <v>1152</v>
      </c>
      <c r="B5107" s="487" t="s">
        <v>1151</v>
      </c>
      <c r="C5107" s="488" t="s">
        <v>16586</v>
      </c>
      <c r="D5107" s="489" t="s">
        <v>16587</v>
      </c>
      <c r="E5107" s="487" t="s">
        <v>16588</v>
      </c>
      <c r="F5107" s="490">
        <v>47455</v>
      </c>
      <c r="G5107" s="489">
        <v>618.80999999999995</v>
      </c>
      <c r="H5107" s="489">
        <v>76.687510000000003</v>
      </c>
      <c r="I5107" s="487" t="s">
        <v>1499</v>
      </c>
      <c r="J5107" s="487" t="s">
        <v>1153</v>
      </c>
    </row>
    <row r="5108" spans="1:10" ht="15" x14ac:dyDescent="0.2">
      <c r="A5108" s="486" t="s">
        <v>1152</v>
      </c>
      <c r="B5108" s="487" t="s">
        <v>1151</v>
      </c>
      <c r="C5108" s="488" t="s">
        <v>16589</v>
      </c>
      <c r="D5108" s="489" t="s">
        <v>16590</v>
      </c>
      <c r="E5108" s="487" t="s">
        <v>5789</v>
      </c>
      <c r="F5108" s="490">
        <v>8100</v>
      </c>
      <c r="G5108" s="489">
        <v>111.06</v>
      </c>
      <c r="H5108" s="489">
        <v>72.933549999999997</v>
      </c>
      <c r="I5108" s="487" t="s">
        <v>1499</v>
      </c>
      <c r="J5108" s="487" t="s">
        <v>1153</v>
      </c>
    </row>
    <row r="5109" spans="1:10" ht="15" x14ac:dyDescent="0.2">
      <c r="A5109" s="486" t="s">
        <v>1152</v>
      </c>
      <c r="B5109" s="487" t="s">
        <v>1151</v>
      </c>
      <c r="C5109" s="488" t="s">
        <v>16591</v>
      </c>
      <c r="D5109" s="489" t="s">
        <v>16592</v>
      </c>
      <c r="E5109" s="487" t="s">
        <v>16593</v>
      </c>
      <c r="F5109" s="490">
        <v>19500</v>
      </c>
      <c r="G5109" s="489">
        <v>241.48</v>
      </c>
      <c r="H5109" s="489">
        <v>80.752030000000005</v>
      </c>
      <c r="I5109" s="487" t="s">
        <v>1499</v>
      </c>
      <c r="J5109" s="487" t="s">
        <v>1153</v>
      </c>
    </row>
    <row r="5110" spans="1:10" ht="15" x14ac:dyDescent="0.2">
      <c r="A5110" s="486" t="s">
        <v>1152</v>
      </c>
      <c r="B5110" s="487" t="s">
        <v>1151</v>
      </c>
      <c r="C5110" s="488" t="s">
        <v>16594</v>
      </c>
      <c r="D5110" s="489" t="s">
        <v>16595</v>
      </c>
      <c r="E5110" s="487" t="s">
        <v>16596</v>
      </c>
      <c r="F5110" s="490">
        <v>0</v>
      </c>
      <c r="G5110" s="489">
        <v>21.1</v>
      </c>
      <c r="H5110" s="489">
        <v>0</v>
      </c>
      <c r="I5110" s="487" t="s">
        <v>1593</v>
      </c>
      <c r="J5110" s="487" t="s">
        <v>1153</v>
      </c>
    </row>
    <row r="5111" spans="1:10" ht="15" x14ac:dyDescent="0.2">
      <c r="A5111" s="486" t="s">
        <v>1152</v>
      </c>
      <c r="B5111" s="487" t="s">
        <v>1151</v>
      </c>
      <c r="C5111" s="488" t="s">
        <v>16597</v>
      </c>
      <c r="D5111" s="489" t="s">
        <v>16598</v>
      </c>
      <c r="E5111" s="487" t="s">
        <v>4099</v>
      </c>
      <c r="F5111" s="490">
        <v>5800</v>
      </c>
      <c r="G5111" s="489">
        <v>134.91999999999999</v>
      </c>
      <c r="H5111" s="489">
        <v>42.988439999999997</v>
      </c>
      <c r="I5111" s="487" t="s">
        <v>1499</v>
      </c>
      <c r="J5111" s="487" t="s">
        <v>1153</v>
      </c>
    </row>
    <row r="5112" spans="1:10" ht="15" x14ac:dyDescent="0.2">
      <c r="A5112" s="486" t="s">
        <v>1152</v>
      </c>
      <c r="B5112" s="487" t="s">
        <v>1151</v>
      </c>
      <c r="C5112" s="488" t="s">
        <v>16599</v>
      </c>
      <c r="D5112" s="489" t="s">
        <v>16600</v>
      </c>
      <c r="E5112" s="487" t="s">
        <v>16601</v>
      </c>
      <c r="F5112" s="490">
        <v>165</v>
      </c>
      <c r="G5112" s="489">
        <v>37.979999999999997</v>
      </c>
      <c r="H5112" s="489">
        <v>4.3443899999999998</v>
      </c>
      <c r="I5112" s="487" t="s">
        <v>1499</v>
      </c>
      <c r="J5112" s="487" t="s">
        <v>1153</v>
      </c>
    </row>
    <row r="5113" spans="1:10" ht="15" x14ac:dyDescent="0.2">
      <c r="A5113" s="486" t="s">
        <v>1152</v>
      </c>
      <c r="B5113" s="487" t="s">
        <v>1151</v>
      </c>
      <c r="C5113" s="488" t="s">
        <v>16602</v>
      </c>
      <c r="D5113" s="489" t="s">
        <v>16603</v>
      </c>
      <c r="E5113" s="487" t="s">
        <v>16604</v>
      </c>
      <c r="F5113" s="490">
        <v>363</v>
      </c>
      <c r="G5113" s="489">
        <v>52.63</v>
      </c>
      <c r="H5113" s="489">
        <v>6.8972100000000003</v>
      </c>
      <c r="I5113" s="487" t="s">
        <v>1499</v>
      </c>
      <c r="J5113" s="487" t="s">
        <v>1153</v>
      </c>
    </row>
    <row r="5114" spans="1:10" ht="15" x14ac:dyDescent="0.2">
      <c r="A5114" s="486" t="s">
        <v>1152</v>
      </c>
      <c r="B5114" s="487" t="s">
        <v>1151</v>
      </c>
      <c r="C5114" s="488" t="s">
        <v>16605</v>
      </c>
      <c r="D5114" s="489" t="s">
        <v>16606</v>
      </c>
      <c r="E5114" s="487" t="s">
        <v>16607</v>
      </c>
      <c r="F5114" s="490">
        <v>0</v>
      </c>
      <c r="G5114" s="489">
        <v>42.13</v>
      </c>
      <c r="H5114" s="489">
        <v>0</v>
      </c>
      <c r="I5114" s="487" t="s">
        <v>1593</v>
      </c>
      <c r="J5114" s="487" t="s">
        <v>1153</v>
      </c>
    </row>
    <row r="5115" spans="1:10" ht="15" x14ac:dyDescent="0.2">
      <c r="A5115" s="486" t="s">
        <v>1152</v>
      </c>
      <c r="B5115" s="487" t="s">
        <v>1151</v>
      </c>
      <c r="C5115" s="488" t="s">
        <v>16608</v>
      </c>
      <c r="D5115" s="489" t="s">
        <v>16609</v>
      </c>
      <c r="E5115" s="487" t="s">
        <v>16610</v>
      </c>
      <c r="F5115" s="490">
        <v>539</v>
      </c>
      <c r="G5115" s="489">
        <v>40.630000000000003</v>
      </c>
      <c r="H5115" s="489">
        <v>13.26606</v>
      </c>
      <c r="I5115" s="487" t="s">
        <v>1499</v>
      </c>
      <c r="J5115" s="487" t="s">
        <v>1153</v>
      </c>
    </row>
    <row r="5116" spans="1:10" ht="15" x14ac:dyDescent="0.2">
      <c r="A5116" s="486" t="s">
        <v>1152</v>
      </c>
      <c r="B5116" s="487" t="s">
        <v>1151</v>
      </c>
      <c r="C5116" s="488" t="s">
        <v>16611</v>
      </c>
      <c r="D5116" s="489" t="s">
        <v>16612</v>
      </c>
      <c r="E5116" s="487" t="s">
        <v>16613</v>
      </c>
      <c r="F5116" s="490">
        <v>2680</v>
      </c>
      <c r="G5116" s="489">
        <v>130.66999999999999</v>
      </c>
      <c r="H5116" s="489">
        <v>20.509679999999999</v>
      </c>
      <c r="I5116" s="487" t="s">
        <v>1499</v>
      </c>
      <c r="J5116" s="487" t="s">
        <v>1153</v>
      </c>
    </row>
    <row r="5117" spans="1:10" ht="15" x14ac:dyDescent="0.2">
      <c r="A5117" s="486" t="s">
        <v>1152</v>
      </c>
      <c r="B5117" s="487" t="s">
        <v>1151</v>
      </c>
      <c r="C5117" s="488" t="s">
        <v>16614</v>
      </c>
      <c r="D5117" s="489" t="s">
        <v>16615</v>
      </c>
      <c r="E5117" s="487" t="s">
        <v>16616</v>
      </c>
      <c r="F5117" s="490">
        <v>0</v>
      </c>
      <c r="G5117" s="489">
        <v>67.94</v>
      </c>
      <c r="H5117" s="489">
        <v>0</v>
      </c>
      <c r="I5117" s="487" t="s">
        <v>1593</v>
      </c>
      <c r="J5117" s="487" t="s">
        <v>1153</v>
      </c>
    </row>
    <row r="5118" spans="1:10" ht="15" x14ac:dyDescent="0.2">
      <c r="A5118" s="486" t="s">
        <v>1152</v>
      </c>
      <c r="B5118" s="487" t="s">
        <v>1151</v>
      </c>
      <c r="C5118" s="488" t="s">
        <v>16617</v>
      </c>
      <c r="D5118" s="489" t="s">
        <v>16618</v>
      </c>
      <c r="E5118" s="487" t="s">
        <v>16619</v>
      </c>
      <c r="F5118" s="490">
        <v>201126</v>
      </c>
      <c r="G5118" s="489">
        <v>1702.87</v>
      </c>
      <c r="H5118" s="489">
        <v>118.11001</v>
      </c>
      <c r="I5118" s="487" t="s">
        <v>1499</v>
      </c>
      <c r="J5118" s="487" t="s">
        <v>1153</v>
      </c>
    </row>
    <row r="5119" spans="1:10" ht="15" x14ac:dyDescent="0.2">
      <c r="A5119" s="486" t="s">
        <v>1152</v>
      </c>
      <c r="B5119" s="487" t="s">
        <v>1151</v>
      </c>
      <c r="C5119" s="488" t="s">
        <v>16620</v>
      </c>
      <c r="D5119" s="489" t="s">
        <v>16621</v>
      </c>
      <c r="E5119" s="487" t="s">
        <v>16622</v>
      </c>
      <c r="F5119" s="490">
        <v>0</v>
      </c>
      <c r="G5119" s="489">
        <v>18.07</v>
      </c>
      <c r="H5119" s="489">
        <v>0</v>
      </c>
      <c r="I5119" s="487" t="s">
        <v>1593</v>
      </c>
      <c r="J5119" s="487" t="s">
        <v>1153</v>
      </c>
    </row>
    <row r="5120" spans="1:10" ht="15" x14ac:dyDescent="0.2">
      <c r="A5120" s="486" t="s">
        <v>1152</v>
      </c>
      <c r="B5120" s="487" t="s">
        <v>1151</v>
      </c>
      <c r="C5120" s="488" t="s">
        <v>16623</v>
      </c>
      <c r="D5120" s="489" t="s">
        <v>16624</v>
      </c>
      <c r="E5120" s="487" t="s">
        <v>16625</v>
      </c>
      <c r="F5120" s="490">
        <v>36635</v>
      </c>
      <c r="G5120" s="489">
        <v>589.92999999999995</v>
      </c>
      <c r="H5120" s="489">
        <v>62.100589999999997</v>
      </c>
      <c r="I5120" s="487" t="s">
        <v>1499</v>
      </c>
      <c r="J5120" s="487" t="s">
        <v>1153</v>
      </c>
    </row>
    <row r="5121" spans="1:10" ht="15" x14ac:dyDescent="0.2">
      <c r="A5121" s="486" t="s">
        <v>1152</v>
      </c>
      <c r="B5121" s="487" t="s">
        <v>1151</v>
      </c>
      <c r="C5121" s="488" t="s">
        <v>16626</v>
      </c>
      <c r="D5121" s="489" t="s">
        <v>16627</v>
      </c>
      <c r="E5121" s="487" t="s">
        <v>6444</v>
      </c>
      <c r="F5121" s="490">
        <v>0</v>
      </c>
      <c r="G5121" s="489">
        <v>36.049999999999997</v>
      </c>
      <c r="H5121" s="489">
        <v>0</v>
      </c>
      <c r="I5121" s="487" t="s">
        <v>1593</v>
      </c>
      <c r="J5121" s="487" t="s">
        <v>1153</v>
      </c>
    </row>
    <row r="5122" spans="1:10" ht="15" x14ac:dyDescent="0.2">
      <c r="A5122" s="486" t="s">
        <v>1152</v>
      </c>
      <c r="B5122" s="487" t="s">
        <v>1151</v>
      </c>
      <c r="C5122" s="488" t="s">
        <v>16628</v>
      </c>
      <c r="D5122" s="489" t="s">
        <v>16629</v>
      </c>
      <c r="E5122" s="487" t="s">
        <v>3230</v>
      </c>
      <c r="F5122" s="490">
        <v>13312</v>
      </c>
      <c r="G5122" s="489">
        <v>157.41999999999999</v>
      </c>
      <c r="H5122" s="489">
        <v>84.563590000000005</v>
      </c>
      <c r="I5122" s="487" t="s">
        <v>1499</v>
      </c>
      <c r="J5122" s="487" t="s">
        <v>1153</v>
      </c>
    </row>
    <row r="5123" spans="1:10" ht="15" x14ac:dyDescent="0.2">
      <c r="A5123" s="486" t="s">
        <v>1152</v>
      </c>
      <c r="B5123" s="487" t="s">
        <v>1151</v>
      </c>
      <c r="C5123" s="488" t="s">
        <v>16630</v>
      </c>
      <c r="D5123" s="489" t="s">
        <v>16631</v>
      </c>
      <c r="E5123" s="487" t="s">
        <v>16632</v>
      </c>
      <c r="F5123" s="490">
        <v>15782</v>
      </c>
      <c r="G5123" s="489">
        <v>265.13</v>
      </c>
      <c r="H5123" s="489">
        <v>59.52552</v>
      </c>
      <c r="I5123" s="487" t="s">
        <v>1499</v>
      </c>
      <c r="J5123" s="487" t="s">
        <v>1153</v>
      </c>
    </row>
    <row r="5124" spans="1:10" ht="15" x14ac:dyDescent="0.2">
      <c r="A5124" s="486" t="s">
        <v>452</v>
      </c>
      <c r="B5124" s="487" t="s">
        <v>451</v>
      </c>
      <c r="C5124" s="488" t="s">
        <v>16633</v>
      </c>
      <c r="D5124" s="489" t="s">
        <v>16634</v>
      </c>
      <c r="E5124" s="487" t="s">
        <v>16635</v>
      </c>
      <c r="F5124" s="490">
        <v>0</v>
      </c>
      <c r="G5124" s="489">
        <v>111.28</v>
      </c>
      <c r="H5124" s="489">
        <v>0</v>
      </c>
      <c r="I5124" s="487" t="s">
        <v>1593</v>
      </c>
      <c r="J5124" s="487" t="s">
        <v>453</v>
      </c>
    </row>
    <row r="5125" spans="1:10" ht="15" x14ac:dyDescent="0.2">
      <c r="A5125" s="486" t="s">
        <v>452</v>
      </c>
      <c r="B5125" s="487" t="s">
        <v>451</v>
      </c>
      <c r="C5125" s="488" t="s">
        <v>16636</v>
      </c>
      <c r="D5125" s="489" t="s">
        <v>16637</v>
      </c>
      <c r="E5125" s="487" t="s">
        <v>451</v>
      </c>
      <c r="F5125" s="490">
        <v>456881</v>
      </c>
      <c r="G5125" s="489">
        <v>2199.62</v>
      </c>
      <c r="H5125" s="489">
        <v>207.70905999999999</v>
      </c>
      <c r="I5125" s="487" t="s">
        <v>1499</v>
      </c>
      <c r="J5125" s="487" t="s">
        <v>453</v>
      </c>
    </row>
    <row r="5126" spans="1:10" ht="15" x14ac:dyDescent="0.2">
      <c r="A5126" s="486" t="s">
        <v>452</v>
      </c>
      <c r="B5126" s="487" t="s">
        <v>451</v>
      </c>
      <c r="C5126" s="488" t="s">
        <v>16638</v>
      </c>
      <c r="D5126" s="489" t="s">
        <v>16639</v>
      </c>
      <c r="E5126" s="487" t="s">
        <v>16640</v>
      </c>
      <c r="F5126" s="490">
        <v>1128399</v>
      </c>
      <c r="G5126" s="489">
        <v>4899.2</v>
      </c>
      <c r="H5126" s="489">
        <v>230.32311000000001</v>
      </c>
      <c r="I5126" s="487" t="s">
        <v>1499</v>
      </c>
      <c r="J5126" s="487" t="s">
        <v>453</v>
      </c>
    </row>
    <row r="5127" spans="1:10" ht="15" x14ac:dyDescent="0.2">
      <c r="A5127" s="486" t="s">
        <v>452</v>
      </c>
      <c r="B5127" s="487" t="s">
        <v>451</v>
      </c>
      <c r="C5127" s="488" t="s">
        <v>16641</v>
      </c>
      <c r="D5127" s="489" t="s">
        <v>16642</v>
      </c>
      <c r="E5127" s="487" t="s">
        <v>16643</v>
      </c>
      <c r="F5127" s="490">
        <v>176764</v>
      </c>
      <c r="G5127" s="489">
        <v>1183.79</v>
      </c>
      <c r="H5127" s="489">
        <v>149.32040000000001</v>
      </c>
      <c r="I5127" s="487" t="s">
        <v>1499</v>
      </c>
      <c r="J5127" s="487" t="s">
        <v>453</v>
      </c>
    </row>
    <row r="5128" spans="1:10" ht="15" x14ac:dyDescent="0.2">
      <c r="A5128" s="486" t="s">
        <v>452</v>
      </c>
      <c r="B5128" s="487" t="s">
        <v>451</v>
      </c>
      <c r="C5128" s="488" t="s">
        <v>16644</v>
      </c>
      <c r="D5128" s="489" t="s">
        <v>16645</v>
      </c>
      <c r="E5128" s="487" t="s">
        <v>16646</v>
      </c>
      <c r="F5128" s="490">
        <v>454328</v>
      </c>
      <c r="G5128" s="489">
        <v>2586.08</v>
      </c>
      <c r="H5128" s="489">
        <v>175.68210999999999</v>
      </c>
      <c r="I5128" s="487" t="s">
        <v>1499</v>
      </c>
      <c r="J5128" s="487" t="s">
        <v>453</v>
      </c>
    </row>
    <row r="5129" spans="1:10" ht="15" x14ac:dyDescent="0.2">
      <c r="A5129" s="486" t="s">
        <v>452</v>
      </c>
      <c r="B5129" s="487" t="s">
        <v>451</v>
      </c>
      <c r="C5129" s="488" t="s">
        <v>16647</v>
      </c>
      <c r="D5129" s="489" t="s">
        <v>16648</v>
      </c>
      <c r="E5129" s="487" t="s">
        <v>4066</v>
      </c>
      <c r="F5129" s="490">
        <v>107300</v>
      </c>
      <c r="G5129" s="489">
        <v>561.4</v>
      </c>
      <c r="H5129" s="489">
        <v>191.12932000000001</v>
      </c>
      <c r="I5129" s="487" t="s">
        <v>1499</v>
      </c>
      <c r="J5129" s="487" t="s">
        <v>453</v>
      </c>
    </row>
    <row r="5130" spans="1:10" ht="15" x14ac:dyDescent="0.2">
      <c r="A5130" s="486" t="s">
        <v>452</v>
      </c>
      <c r="B5130" s="487" t="s">
        <v>451</v>
      </c>
      <c r="C5130" s="488" t="s">
        <v>16649</v>
      </c>
      <c r="D5130" s="489" t="s">
        <v>16650</v>
      </c>
      <c r="E5130" s="487" t="s">
        <v>16651</v>
      </c>
      <c r="F5130" s="490">
        <v>12994</v>
      </c>
      <c r="G5130" s="489">
        <v>306.48</v>
      </c>
      <c r="H5130" s="489">
        <v>42.397550000000003</v>
      </c>
      <c r="I5130" s="487" t="s">
        <v>1499</v>
      </c>
      <c r="J5130" s="487" t="s">
        <v>453</v>
      </c>
    </row>
    <row r="5131" spans="1:10" ht="15" x14ac:dyDescent="0.2">
      <c r="A5131" s="486" t="s">
        <v>452</v>
      </c>
      <c r="B5131" s="487" t="s">
        <v>451</v>
      </c>
      <c r="C5131" s="488" t="s">
        <v>16652</v>
      </c>
      <c r="D5131" s="489" t="s">
        <v>16653</v>
      </c>
      <c r="E5131" s="487" t="s">
        <v>16654</v>
      </c>
      <c r="F5131" s="490">
        <v>274985</v>
      </c>
      <c r="G5131" s="489">
        <v>1957.24</v>
      </c>
      <c r="H5131" s="489">
        <v>140.49630999999999</v>
      </c>
      <c r="I5131" s="487" t="s">
        <v>1499</v>
      </c>
      <c r="J5131" s="487" t="s">
        <v>453</v>
      </c>
    </row>
    <row r="5132" spans="1:10" ht="15" x14ac:dyDescent="0.2">
      <c r="A5132" s="486" t="s">
        <v>452</v>
      </c>
      <c r="B5132" s="487" t="s">
        <v>451</v>
      </c>
      <c r="C5132" s="488" t="s">
        <v>16655</v>
      </c>
      <c r="D5132" s="489" t="s">
        <v>16656</v>
      </c>
      <c r="E5132" s="487" t="s">
        <v>16657</v>
      </c>
      <c r="F5132" s="490">
        <v>288161</v>
      </c>
      <c r="G5132" s="489">
        <v>1881.92</v>
      </c>
      <c r="H5132" s="489">
        <v>153.12074999999999</v>
      </c>
      <c r="I5132" s="487" t="s">
        <v>1499</v>
      </c>
      <c r="J5132" s="487" t="s">
        <v>453</v>
      </c>
    </row>
    <row r="5133" spans="1:10" ht="15" x14ac:dyDescent="0.2">
      <c r="A5133" s="486" t="s">
        <v>452</v>
      </c>
      <c r="B5133" s="487" t="s">
        <v>451</v>
      </c>
      <c r="C5133" s="488" t="s">
        <v>16658</v>
      </c>
      <c r="D5133" s="489" t="s">
        <v>16659</v>
      </c>
      <c r="E5133" s="487" t="s">
        <v>16660</v>
      </c>
      <c r="F5133" s="490">
        <v>419008</v>
      </c>
      <c r="G5133" s="489">
        <v>3809.26</v>
      </c>
      <c r="H5133" s="489">
        <v>109.99722</v>
      </c>
      <c r="I5133" s="487" t="s">
        <v>1499</v>
      </c>
      <c r="J5133" s="487" t="s">
        <v>453</v>
      </c>
    </row>
    <row r="5134" spans="1:10" ht="15" x14ac:dyDescent="0.2">
      <c r="A5134" s="486" t="s">
        <v>452</v>
      </c>
      <c r="B5134" s="487" t="s">
        <v>451</v>
      </c>
      <c r="C5134" s="488" t="s">
        <v>16661</v>
      </c>
      <c r="D5134" s="489" t="s">
        <v>16662</v>
      </c>
      <c r="E5134" s="487" t="s">
        <v>16663</v>
      </c>
      <c r="F5134" s="490">
        <v>93909</v>
      </c>
      <c r="G5134" s="489">
        <v>641.35</v>
      </c>
      <c r="H5134" s="489">
        <v>146.42394999999999</v>
      </c>
      <c r="I5134" s="487" t="s">
        <v>1499</v>
      </c>
      <c r="J5134" s="487" t="s">
        <v>453</v>
      </c>
    </row>
    <row r="5135" spans="1:10" ht="15" x14ac:dyDescent="0.2">
      <c r="A5135" s="486" t="s">
        <v>452</v>
      </c>
      <c r="B5135" s="487" t="s">
        <v>451</v>
      </c>
      <c r="C5135" s="488" t="s">
        <v>16664</v>
      </c>
      <c r="D5135" s="489" t="s">
        <v>16665</v>
      </c>
      <c r="E5135" s="487" t="s">
        <v>16666</v>
      </c>
      <c r="F5135" s="490">
        <v>9955</v>
      </c>
      <c r="G5135" s="489">
        <v>128.78</v>
      </c>
      <c r="H5135" s="489">
        <v>77.302379999999999</v>
      </c>
      <c r="I5135" s="487" t="s">
        <v>1499</v>
      </c>
      <c r="J5135" s="487" t="s">
        <v>453</v>
      </c>
    </row>
    <row r="5136" spans="1:10" ht="15" x14ac:dyDescent="0.2">
      <c r="A5136" s="486" t="s">
        <v>452</v>
      </c>
      <c r="B5136" s="487" t="s">
        <v>451</v>
      </c>
      <c r="C5136" s="488" t="s">
        <v>16667</v>
      </c>
      <c r="D5136" s="489" t="s">
        <v>16668</v>
      </c>
      <c r="E5136" s="487" t="s">
        <v>16669</v>
      </c>
      <c r="F5136" s="490">
        <v>231276</v>
      </c>
      <c r="G5136" s="489">
        <v>2058.6999999999998</v>
      </c>
      <c r="H5136" s="489">
        <v>112.3408</v>
      </c>
      <c r="I5136" s="487" t="s">
        <v>1499</v>
      </c>
      <c r="J5136" s="487" t="s">
        <v>453</v>
      </c>
    </row>
    <row r="5137" spans="1:10" ht="15" x14ac:dyDescent="0.2">
      <c r="A5137" s="486" t="s">
        <v>452</v>
      </c>
      <c r="B5137" s="487" t="s">
        <v>451</v>
      </c>
      <c r="C5137" s="488" t="s">
        <v>16670</v>
      </c>
      <c r="D5137" s="489" t="s">
        <v>16671</v>
      </c>
      <c r="E5137" s="487" t="s">
        <v>16672</v>
      </c>
      <c r="F5137" s="490">
        <v>191983</v>
      </c>
      <c r="G5137" s="489">
        <v>2475.41</v>
      </c>
      <c r="H5137" s="489">
        <v>77.556039999999996</v>
      </c>
      <c r="I5137" s="487" t="s">
        <v>1499</v>
      </c>
      <c r="J5137" s="487" t="s">
        <v>453</v>
      </c>
    </row>
    <row r="5138" spans="1:10" ht="15" x14ac:dyDescent="0.2">
      <c r="A5138" s="486" t="s">
        <v>452</v>
      </c>
      <c r="B5138" s="487" t="s">
        <v>451</v>
      </c>
      <c r="C5138" s="488" t="s">
        <v>16673</v>
      </c>
      <c r="D5138" s="489" t="s">
        <v>16674</v>
      </c>
      <c r="E5138" s="487" t="s">
        <v>16675</v>
      </c>
      <c r="F5138" s="490">
        <v>0</v>
      </c>
      <c r="G5138" s="489">
        <v>17.14</v>
      </c>
      <c r="H5138" s="489">
        <v>0</v>
      </c>
      <c r="I5138" s="487" t="s">
        <v>1593</v>
      </c>
      <c r="J5138" s="487" t="s">
        <v>453</v>
      </c>
    </row>
    <row r="5139" spans="1:10" ht="15" x14ac:dyDescent="0.2">
      <c r="A5139" s="486" t="s">
        <v>452</v>
      </c>
      <c r="B5139" s="487" t="s">
        <v>451</v>
      </c>
      <c r="C5139" s="488" t="s">
        <v>16676</v>
      </c>
      <c r="D5139" s="489" t="s">
        <v>16677</v>
      </c>
      <c r="E5139" s="487" t="s">
        <v>16678</v>
      </c>
      <c r="F5139" s="490">
        <v>55112</v>
      </c>
      <c r="G5139" s="489">
        <v>982.32</v>
      </c>
      <c r="H5139" s="489">
        <v>56.103920000000002</v>
      </c>
      <c r="I5139" s="487" t="s">
        <v>1499</v>
      </c>
      <c r="J5139" s="487" t="s">
        <v>453</v>
      </c>
    </row>
    <row r="5140" spans="1:10" ht="15" x14ac:dyDescent="0.2">
      <c r="A5140" s="486" t="s">
        <v>452</v>
      </c>
      <c r="B5140" s="487" t="s">
        <v>451</v>
      </c>
      <c r="C5140" s="488" t="s">
        <v>16679</v>
      </c>
      <c r="D5140" s="489" t="s">
        <v>16680</v>
      </c>
      <c r="E5140" s="487" t="s">
        <v>16681</v>
      </c>
      <c r="F5140" s="490">
        <v>430000</v>
      </c>
      <c r="G5140" s="489">
        <v>3014.46</v>
      </c>
      <c r="H5140" s="489">
        <v>142.64578</v>
      </c>
      <c r="I5140" s="487" t="s">
        <v>1499</v>
      </c>
      <c r="J5140" s="487" t="s">
        <v>453</v>
      </c>
    </row>
    <row r="5141" spans="1:10" ht="15" x14ac:dyDescent="0.2">
      <c r="A5141" s="486" t="s">
        <v>452</v>
      </c>
      <c r="B5141" s="487" t="s">
        <v>451</v>
      </c>
      <c r="C5141" s="488" t="s">
        <v>16682</v>
      </c>
      <c r="D5141" s="489" t="s">
        <v>16683</v>
      </c>
      <c r="E5141" s="487" t="s">
        <v>16684</v>
      </c>
      <c r="F5141" s="490">
        <v>0</v>
      </c>
      <c r="G5141" s="489">
        <v>12.41</v>
      </c>
      <c r="H5141" s="489">
        <v>0</v>
      </c>
      <c r="I5141" s="487" t="s">
        <v>1593</v>
      </c>
      <c r="J5141" s="487" t="s">
        <v>453</v>
      </c>
    </row>
    <row r="5142" spans="1:10" ht="15" x14ac:dyDescent="0.2">
      <c r="A5142" s="486" t="s">
        <v>452</v>
      </c>
      <c r="B5142" s="487" t="s">
        <v>451</v>
      </c>
      <c r="C5142" s="488" t="s">
        <v>16685</v>
      </c>
      <c r="D5142" s="489" t="s">
        <v>16686</v>
      </c>
      <c r="E5142" s="487" t="s">
        <v>16687</v>
      </c>
      <c r="F5142" s="490">
        <v>157985</v>
      </c>
      <c r="G5142" s="489">
        <v>1254.04</v>
      </c>
      <c r="H5142" s="489">
        <v>125.98083</v>
      </c>
      <c r="I5142" s="487" t="s">
        <v>1499</v>
      </c>
      <c r="J5142" s="487" t="s">
        <v>453</v>
      </c>
    </row>
    <row r="5143" spans="1:10" ht="15" x14ac:dyDescent="0.2">
      <c r="A5143" s="486" t="s">
        <v>452</v>
      </c>
      <c r="B5143" s="487" t="s">
        <v>451</v>
      </c>
      <c r="C5143" s="488" t="s">
        <v>16688</v>
      </c>
      <c r="D5143" s="489" t="s">
        <v>16689</v>
      </c>
      <c r="E5143" s="487" t="s">
        <v>16690</v>
      </c>
      <c r="F5143" s="490">
        <v>40000</v>
      </c>
      <c r="G5143" s="489">
        <v>393.73</v>
      </c>
      <c r="H5143" s="489">
        <v>101.59246</v>
      </c>
      <c r="I5143" s="487" t="s">
        <v>1499</v>
      </c>
      <c r="J5143" s="487" t="s">
        <v>453</v>
      </c>
    </row>
    <row r="5144" spans="1:10" ht="15" x14ac:dyDescent="0.2">
      <c r="A5144" s="486" t="s">
        <v>452</v>
      </c>
      <c r="B5144" s="487" t="s">
        <v>451</v>
      </c>
      <c r="C5144" s="488" t="s">
        <v>16691</v>
      </c>
      <c r="D5144" s="489" t="s">
        <v>16692</v>
      </c>
      <c r="E5144" s="487" t="s">
        <v>16693</v>
      </c>
      <c r="F5144" s="490">
        <v>142219</v>
      </c>
      <c r="G5144" s="489">
        <v>1471.47</v>
      </c>
      <c r="H5144" s="489">
        <v>96.650970000000001</v>
      </c>
      <c r="I5144" s="487" t="s">
        <v>1499</v>
      </c>
      <c r="J5144" s="487" t="s">
        <v>453</v>
      </c>
    </row>
    <row r="5145" spans="1:10" ht="15" x14ac:dyDescent="0.2">
      <c r="A5145" s="486" t="s">
        <v>452</v>
      </c>
      <c r="B5145" s="487" t="s">
        <v>451</v>
      </c>
      <c r="C5145" s="488" t="s">
        <v>16694</v>
      </c>
      <c r="D5145" s="489" t="s">
        <v>16695</v>
      </c>
      <c r="E5145" s="487" t="s">
        <v>16696</v>
      </c>
      <c r="F5145" s="490">
        <v>33097</v>
      </c>
      <c r="G5145" s="489">
        <v>286.83</v>
      </c>
      <c r="H5145" s="489">
        <v>115.38891</v>
      </c>
      <c r="I5145" s="487" t="s">
        <v>1499</v>
      </c>
      <c r="J5145" s="487" t="s">
        <v>453</v>
      </c>
    </row>
    <row r="5146" spans="1:10" ht="15" x14ac:dyDescent="0.2">
      <c r="A5146" s="486" t="s">
        <v>452</v>
      </c>
      <c r="B5146" s="487" t="s">
        <v>451</v>
      </c>
      <c r="C5146" s="488" t="s">
        <v>16697</v>
      </c>
      <c r="D5146" s="489" t="s">
        <v>16698</v>
      </c>
      <c r="E5146" s="487" t="s">
        <v>16699</v>
      </c>
      <c r="F5146" s="490">
        <v>274636</v>
      </c>
      <c r="G5146" s="489">
        <v>2421.08</v>
      </c>
      <c r="H5146" s="489">
        <v>113.43532999999999</v>
      </c>
      <c r="I5146" s="487" t="s">
        <v>1499</v>
      </c>
      <c r="J5146" s="487" t="s">
        <v>453</v>
      </c>
    </row>
    <row r="5147" spans="1:10" ht="15" x14ac:dyDescent="0.2">
      <c r="A5147" s="486" t="s">
        <v>452</v>
      </c>
      <c r="B5147" s="487" t="s">
        <v>451</v>
      </c>
      <c r="C5147" s="488" t="s">
        <v>16700</v>
      </c>
      <c r="D5147" s="489" t="s">
        <v>16701</v>
      </c>
      <c r="E5147" s="487" t="s">
        <v>16702</v>
      </c>
      <c r="F5147" s="490">
        <v>0</v>
      </c>
      <c r="G5147" s="489">
        <v>18.760000000000002</v>
      </c>
      <c r="H5147" s="489">
        <v>0</v>
      </c>
      <c r="I5147" s="487" t="s">
        <v>1593</v>
      </c>
      <c r="J5147" s="487" t="s">
        <v>453</v>
      </c>
    </row>
    <row r="5148" spans="1:10" ht="15" x14ac:dyDescent="0.2">
      <c r="A5148" s="486" t="s">
        <v>613</v>
      </c>
      <c r="B5148" s="487" t="s">
        <v>612</v>
      </c>
      <c r="C5148" s="488" t="s">
        <v>16703</v>
      </c>
      <c r="D5148" s="489" t="s">
        <v>16704</v>
      </c>
      <c r="E5148" s="487" t="s">
        <v>13706</v>
      </c>
      <c r="F5148" s="490">
        <v>404680</v>
      </c>
      <c r="G5148" s="489">
        <v>2696</v>
      </c>
      <c r="H5148" s="489">
        <v>150.10386</v>
      </c>
      <c r="I5148" s="487" t="s">
        <v>1499</v>
      </c>
      <c r="J5148" s="487" t="s">
        <v>614</v>
      </c>
    </row>
    <row r="5149" spans="1:10" ht="15" x14ac:dyDescent="0.2">
      <c r="A5149" s="486" t="s">
        <v>613</v>
      </c>
      <c r="B5149" s="487" t="s">
        <v>612</v>
      </c>
      <c r="C5149" s="488" t="s">
        <v>16705</v>
      </c>
      <c r="D5149" s="489" t="s">
        <v>16706</v>
      </c>
      <c r="E5149" s="487" t="s">
        <v>16707</v>
      </c>
      <c r="F5149" s="490">
        <v>14587.35</v>
      </c>
      <c r="G5149" s="489">
        <v>150.6</v>
      </c>
      <c r="H5149" s="489">
        <v>96.861549999999994</v>
      </c>
      <c r="I5149" s="487" t="s">
        <v>1499</v>
      </c>
      <c r="J5149" s="487" t="s">
        <v>614</v>
      </c>
    </row>
    <row r="5150" spans="1:10" ht="15" x14ac:dyDescent="0.2">
      <c r="A5150" s="486" t="s">
        <v>613</v>
      </c>
      <c r="B5150" s="487" t="s">
        <v>612</v>
      </c>
      <c r="C5150" s="488" t="s">
        <v>16708</v>
      </c>
      <c r="D5150" s="489" t="s">
        <v>16709</v>
      </c>
      <c r="E5150" s="487" t="s">
        <v>16710</v>
      </c>
      <c r="F5150" s="490">
        <v>1646.65</v>
      </c>
      <c r="G5150" s="489">
        <v>17</v>
      </c>
      <c r="H5150" s="489">
        <v>96.861760000000004</v>
      </c>
      <c r="I5150" s="487" t="s">
        <v>1499</v>
      </c>
      <c r="J5150" s="487" t="s">
        <v>614</v>
      </c>
    </row>
    <row r="5151" spans="1:10" ht="15" x14ac:dyDescent="0.2">
      <c r="A5151" s="486" t="s">
        <v>613</v>
      </c>
      <c r="B5151" s="487" t="s">
        <v>612</v>
      </c>
      <c r="C5151" s="488" t="s">
        <v>16711</v>
      </c>
      <c r="D5151" s="489" t="s">
        <v>16712</v>
      </c>
      <c r="E5151" s="487" t="s">
        <v>16713</v>
      </c>
      <c r="F5151" s="490">
        <v>280837</v>
      </c>
      <c r="G5151" s="489">
        <v>2582.8000000000002</v>
      </c>
      <c r="H5151" s="489">
        <v>108.73354</v>
      </c>
      <c r="I5151" s="487" t="s">
        <v>1499</v>
      </c>
      <c r="J5151" s="487" t="s">
        <v>614</v>
      </c>
    </row>
    <row r="5152" spans="1:10" ht="15" x14ac:dyDescent="0.2">
      <c r="A5152" s="486" t="s">
        <v>613</v>
      </c>
      <c r="B5152" s="487" t="s">
        <v>612</v>
      </c>
      <c r="C5152" s="488" t="s">
        <v>16714</v>
      </c>
      <c r="D5152" s="489" t="s">
        <v>16715</v>
      </c>
      <c r="E5152" s="487" t="s">
        <v>16716</v>
      </c>
      <c r="F5152" s="490">
        <v>0</v>
      </c>
      <c r="G5152" s="489">
        <v>37.4</v>
      </c>
      <c r="H5152" s="489">
        <v>0</v>
      </c>
      <c r="I5152" s="487" t="s">
        <v>1593</v>
      </c>
      <c r="J5152" s="487" t="s">
        <v>614</v>
      </c>
    </row>
    <row r="5153" spans="1:10" ht="15" x14ac:dyDescent="0.2">
      <c r="A5153" s="486" t="s">
        <v>613</v>
      </c>
      <c r="B5153" s="487" t="s">
        <v>612</v>
      </c>
      <c r="C5153" s="488" t="s">
        <v>16717</v>
      </c>
      <c r="D5153" s="489" t="s">
        <v>16718</v>
      </c>
      <c r="E5153" s="487" t="s">
        <v>16719</v>
      </c>
      <c r="F5153" s="490">
        <v>529777</v>
      </c>
      <c r="G5153" s="489">
        <v>4623.8</v>
      </c>
      <c r="H5153" s="489">
        <v>114.57611</v>
      </c>
      <c r="I5153" s="487" t="s">
        <v>1499</v>
      </c>
      <c r="J5153" s="487" t="s">
        <v>614</v>
      </c>
    </row>
    <row r="5154" spans="1:10" ht="15" x14ac:dyDescent="0.2">
      <c r="A5154" s="486" t="s">
        <v>613</v>
      </c>
      <c r="B5154" s="487" t="s">
        <v>612</v>
      </c>
      <c r="C5154" s="488" t="s">
        <v>16720</v>
      </c>
      <c r="D5154" s="489" t="s">
        <v>16721</v>
      </c>
      <c r="E5154" s="487" t="s">
        <v>16722</v>
      </c>
      <c r="F5154" s="490">
        <v>39314.78</v>
      </c>
      <c r="G5154" s="489">
        <v>554.9</v>
      </c>
      <c r="H5154" s="489">
        <v>70.850210000000004</v>
      </c>
      <c r="I5154" s="487" t="s">
        <v>1499</v>
      </c>
      <c r="J5154" s="487" t="s">
        <v>614</v>
      </c>
    </row>
    <row r="5155" spans="1:10" ht="15" x14ac:dyDescent="0.2">
      <c r="A5155" s="486" t="s">
        <v>613</v>
      </c>
      <c r="B5155" s="487" t="s">
        <v>612</v>
      </c>
      <c r="C5155" s="488" t="s">
        <v>16723</v>
      </c>
      <c r="D5155" s="489" t="s">
        <v>16724</v>
      </c>
      <c r="E5155" s="487" t="s">
        <v>16725</v>
      </c>
      <c r="F5155" s="490">
        <v>18400</v>
      </c>
      <c r="G5155" s="489">
        <v>223</v>
      </c>
      <c r="H5155" s="489">
        <v>82.511210000000005</v>
      </c>
      <c r="I5155" s="487" t="s">
        <v>1499</v>
      </c>
      <c r="J5155" s="487" t="s">
        <v>614</v>
      </c>
    </row>
    <row r="5156" spans="1:10" ht="15" x14ac:dyDescent="0.2">
      <c r="A5156" s="486" t="s">
        <v>613</v>
      </c>
      <c r="B5156" s="487" t="s">
        <v>612</v>
      </c>
      <c r="C5156" s="488" t="s">
        <v>16726</v>
      </c>
      <c r="D5156" s="489" t="s">
        <v>16727</v>
      </c>
      <c r="E5156" s="487" t="s">
        <v>16728</v>
      </c>
      <c r="F5156" s="490">
        <v>1650.81</v>
      </c>
      <c r="G5156" s="489">
        <v>23.3</v>
      </c>
      <c r="H5156" s="489">
        <v>70.850210000000004</v>
      </c>
      <c r="I5156" s="487" t="s">
        <v>1499</v>
      </c>
      <c r="J5156" s="487" t="s">
        <v>614</v>
      </c>
    </row>
    <row r="5157" spans="1:10" ht="15" x14ac:dyDescent="0.2">
      <c r="A5157" s="486" t="s">
        <v>613</v>
      </c>
      <c r="B5157" s="487" t="s">
        <v>612</v>
      </c>
      <c r="C5157" s="488" t="s">
        <v>16729</v>
      </c>
      <c r="D5157" s="489" t="s">
        <v>16730</v>
      </c>
      <c r="E5157" s="487" t="s">
        <v>16731</v>
      </c>
      <c r="F5157" s="490">
        <v>79000</v>
      </c>
      <c r="G5157" s="489">
        <v>935.6</v>
      </c>
      <c r="H5157" s="489">
        <v>84.437790000000007</v>
      </c>
      <c r="I5157" s="487" t="s">
        <v>1499</v>
      </c>
      <c r="J5157" s="487" t="s">
        <v>614</v>
      </c>
    </row>
    <row r="5158" spans="1:10" ht="15" x14ac:dyDescent="0.2">
      <c r="A5158" s="486" t="s">
        <v>613</v>
      </c>
      <c r="B5158" s="487" t="s">
        <v>612</v>
      </c>
      <c r="C5158" s="488" t="s">
        <v>16732</v>
      </c>
      <c r="D5158" s="489" t="s">
        <v>16733</v>
      </c>
      <c r="E5158" s="487" t="s">
        <v>16734</v>
      </c>
      <c r="F5158" s="490">
        <v>0</v>
      </c>
      <c r="G5158" s="489">
        <v>286.3</v>
      </c>
      <c r="H5158" s="489">
        <v>0</v>
      </c>
      <c r="I5158" s="487" t="s">
        <v>1593</v>
      </c>
      <c r="J5158" s="487" t="s">
        <v>614</v>
      </c>
    </row>
    <row r="5159" spans="1:10" ht="15" x14ac:dyDescent="0.2">
      <c r="A5159" s="486" t="s">
        <v>613</v>
      </c>
      <c r="B5159" s="487" t="s">
        <v>612</v>
      </c>
      <c r="C5159" s="488" t="s">
        <v>16735</v>
      </c>
      <c r="D5159" s="489" t="s">
        <v>16736</v>
      </c>
      <c r="E5159" s="487" t="s">
        <v>16737</v>
      </c>
      <c r="F5159" s="490">
        <v>52000</v>
      </c>
      <c r="G5159" s="489">
        <v>905.6</v>
      </c>
      <c r="H5159" s="489">
        <v>57.420490000000001</v>
      </c>
      <c r="I5159" s="487" t="s">
        <v>1499</v>
      </c>
      <c r="J5159" s="487" t="s">
        <v>614</v>
      </c>
    </row>
    <row r="5160" spans="1:10" ht="15" x14ac:dyDescent="0.2">
      <c r="A5160" s="486" t="s">
        <v>613</v>
      </c>
      <c r="B5160" s="487" t="s">
        <v>612</v>
      </c>
      <c r="C5160" s="488" t="s">
        <v>16738</v>
      </c>
      <c r="D5160" s="489" t="s">
        <v>16739</v>
      </c>
      <c r="E5160" s="487" t="s">
        <v>16740</v>
      </c>
      <c r="F5160" s="490">
        <v>13673</v>
      </c>
      <c r="G5160" s="489">
        <v>148.9</v>
      </c>
      <c r="H5160" s="489">
        <v>91.826729999999998</v>
      </c>
      <c r="I5160" s="487" t="s">
        <v>1499</v>
      </c>
      <c r="J5160" s="487" t="s">
        <v>614</v>
      </c>
    </row>
    <row r="5161" spans="1:10" ht="15" x14ac:dyDescent="0.2">
      <c r="A5161" s="486" t="s">
        <v>613</v>
      </c>
      <c r="B5161" s="487" t="s">
        <v>612</v>
      </c>
      <c r="C5161" s="488" t="s">
        <v>16741</v>
      </c>
      <c r="D5161" s="489" t="s">
        <v>16742</v>
      </c>
      <c r="E5161" s="487" t="s">
        <v>16743</v>
      </c>
      <c r="F5161" s="490">
        <v>603224</v>
      </c>
      <c r="G5161" s="489">
        <v>3093.4</v>
      </c>
      <c r="H5161" s="489">
        <v>195.00355999999999</v>
      </c>
      <c r="I5161" s="487" t="s">
        <v>1499</v>
      </c>
      <c r="J5161" s="487" t="s">
        <v>614</v>
      </c>
    </row>
    <row r="5162" spans="1:10" ht="15" x14ac:dyDescent="0.2">
      <c r="A5162" s="486" t="s">
        <v>613</v>
      </c>
      <c r="B5162" s="487" t="s">
        <v>612</v>
      </c>
      <c r="C5162" s="488" t="s">
        <v>16744</v>
      </c>
      <c r="D5162" s="489" t="s">
        <v>16745</v>
      </c>
      <c r="E5162" s="487" t="s">
        <v>16746</v>
      </c>
      <c r="F5162" s="490">
        <v>65729</v>
      </c>
      <c r="G5162" s="489">
        <v>535.29999999999995</v>
      </c>
      <c r="H5162" s="489">
        <v>122.78909</v>
      </c>
      <c r="I5162" s="487" t="s">
        <v>1499</v>
      </c>
      <c r="J5162" s="487" t="s">
        <v>614</v>
      </c>
    </row>
    <row r="5163" spans="1:10" ht="15" x14ac:dyDescent="0.2">
      <c r="A5163" s="486" t="s">
        <v>613</v>
      </c>
      <c r="B5163" s="487" t="s">
        <v>612</v>
      </c>
      <c r="C5163" s="488" t="s">
        <v>16747</v>
      </c>
      <c r="D5163" s="489" t="s">
        <v>16748</v>
      </c>
      <c r="E5163" s="487" t="s">
        <v>16749</v>
      </c>
      <c r="F5163" s="490">
        <v>1034.4100000000001</v>
      </c>
      <c r="G5163" s="489">
        <v>14.6</v>
      </c>
      <c r="H5163" s="489">
        <v>70.849999999999994</v>
      </c>
      <c r="I5163" s="487" t="s">
        <v>1499</v>
      </c>
      <c r="J5163" s="487" t="s">
        <v>614</v>
      </c>
    </row>
    <row r="5164" spans="1:10" ht="15" x14ac:dyDescent="0.2">
      <c r="A5164" s="486" t="s">
        <v>613</v>
      </c>
      <c r="B5164" s="487" t="s">
        <v>612</v>
      </c>
      <c r="C5164" s="488" t="s">
        <v>16750</v>
      </c>
      <c r="D5164" s="489" t="s">
        <v>16751</v>
      </c>
      <c r="E5164" s="487" t="s">
        <v>16752</v>
      </c>
      <c r="F5164" s="490">
        <v>73039</v>
      </c>
      <c r="G5164" s="489">
        <v>1229.2</v>
      </c>
      <c r="H5164" s="489">
        <v>59.41995</v>
      </c>
      <c r="I5164" s="487" t="s">
        <v>1499</v>
      </c>
      <c r="J5164" s="487" t="s">
        <v>614</v>
      </c>
    </row>
    <row r="5165" spans="1:10" ht="15" x14ac:dyDescent="0.2">
      <c r="A5165" s="486" t="s">
        <v>613</v>
      </c>
      <c r="B5165" s="487" t="s">
        <v>612</v>
      </c>
      <c r="C5165" s="488" t="s">
        <v>16753</v>
      </c>
      <c r="D5165" s="489" t="s">
        <v>16754</v>
      </c>
      <c r="E5165" s="487" t="s">
        <v>16755</v>
      </c>
      <c r="F5165" s="490">
        <v>376922</v>
      </c>
      <c r="G5165" s="489">
        <v>2597.9</v>
      </c>
      <c r="H5165" s="489">
        <v>145.08718999999999</v>
      </c>
      <c r="I5165" s="487" t="s">
        <v>1499</v>
      </c>
      <c r="J5165" s="487" t="s">
        <v>614</v>
      </c>
    </row>
    <row r="5166" spans="1:10" ht="15" x14ac:dyDescent="0.2">
      <c r="A5166" s="486" t="s">
        <v>613</v>
      </c>
      <c r="B5166" s="487" t="s">
        <v>612</v>
      </c>
      <c r="C5166" s="488" t="s">
        <v>16756</v>
      </c>
      <c r="D5166" s="489" t="s">
        <v>16757</v>
      </c>
      <c r="E5166" s="487" t="s">
        <v>16758</v>
      </c>
      <c r="F5166" s="490">
        <v>3500</v>
      </c>
      <c r="G5166" s="489">
        <v>88.4</v>
      </c>
      <c r="H5166" s="489">
        <v>39.592759999999998</v>
      </c>
      <c r="I5166" s="487" t="s">
        <v>1499</v>
      </c>
      <c r="J5166" s="487" t="s">
        <v>614</v>
      </c>
    </row>
    <row r="5167" spans="1:10" ht="15" x14ac:dyDescent="0.2">
      <c r="A5167" s="486" t="s">
        <v>613</v>
      </c>
      <c r="B5167" s="487" t="s">
        <v>612</v>
      </c>
      <c r="C5167" s="488" t="s">
        <v>16759</v>
      </c>
      <c r="D5167" s="489" t="s">
        <v>16760</v>
      </c>
      <c r="E5167" s="487" t="s">
        <v>16761</v>
      </c>
      <c r="F5167" s="490">
        <v>26752</v>
      </c>
      <c r="G5167" s="489">
        <v>508.9</v>
      </c>
      <c r="H5167" s="489">
        <v>52.568280000000001</v>
      </c>
      <c r="I5167" s="487" t="s">
        <v>1499</v>
      </c>
      <c r="J5167" s="487" t="s">
        <v>614</v>
      </c>
    </row>
    <row r="5168" spans="1:10" ht="15" x14ac:dyDescent="0.2">
      <c r="A5168" s="486" t="s">
        <v>613</v>
      </c>
      <c r="B5168" s="487" t="s">
        <v>612</v>
      </c>
      <c r="C5168" s="488" t="s">
        <v>16762</v>
      </c>
      <c r="D5168" s="489" t="s">
        <v>16763</v>
      </c>
      <c r="E5168" s="487" t="s">
        <v>16764</v>
      </c>
      <c r="F5168" s="490">
        <v>217384</v>
      </c>
      <c r="G5168" s="489">
        <v>2399.6</v>
      </c>
      <c r="H5168" s="489">
        <v>90.591769999999997</v>
      </c>
      <c r="I5168" s="487" t="s">
        <v>1499</v>
      </c>
      <c r="J5168" s="487" t="s">
        <v>614</v>
      </c>
    </row>
    <row r="5169" spans="1:10" ht="15" x14ac:dyDescent="0.2">
      <c r="A5169" s="486" t="s">
        <v>613</v>
      </c>
      <c r="B5169" s="487" t="s">
        <v>612</v>
      </c>
      <c r="C5169" s="488" t="s">
        <v>16765</v>
      </c>
      <c r="D5169" s="489" t="s">
        <v>16766</v>
      </c>
      <c r="E5169" s="487" t="s">
        <v>16767</v>
      </c>
      <c r="F5169" s="490">
        <v>25000</v>
      </c>
      <c r="G5169" s="489">
        <v>286</v>
      </c>
      <c r="H5169" s="489">
        <v>87.412589999999994</v>
      </c>
      <c r="I5169" s="487" t="s">
        <v>1499</v>
      </c>
      <c r="J5169" s="487" t="s">
        <v>614</v>
      </c>
    </row>
    <row r="5170" spans="1:10" ht="15" x14ac:dyDescent="0.2">
      <c r="A5170" s="486" t="s">
        <v>613</v>
      </c>
      <c r="B5170" s="487" t="s">
        <v>612</v>
      </c>
      <c r="C5170" s="488" t="s">
        <v>16768</v>
      </c>
      <c r="D5170" s="489" t="s">
        <v>16769</v>
      </c>
      <c r="E5170" s="487" t="s">
        <v>16770</v>
      </c>
      <c r="F5170" s="490">
        <v>470500</v>
      </c>
      <c r="G5170" s="489">
        <v>5289.7</v>
      </c>
      <c r="H5170" s="489">
        <v>88.946439999999996</v>
      </c>
      <c r="I5170" s="487" t="s">
        <v>1499</v>
      </c>
      <c r="J5170" s="487" t="s">
        <v>614</v>
      </c>
    </row>
    <row r="5171" spans="1:10" ht="15" x14ac:dyDescent="0.2">
      <c r="A5171" s="486" t="s">
        <v>613</v>
      </c>
      <c r="B5171" s="487" t="s">
        <v>612</v>
      </c>
      <c r="C5171" s="488" t="s">
        <v>16771</v>
      </c>
      <c r="D5171" s="489" t="s">
        <v>16772</v>
      </c>
      <c r="E5171" s="487" t="s">
        <v>16773</v>
      </c>
      <c r="F5171" s="490">
        <v>282565</v>
      </c>
      <c r="G5171" s="489">
        <v>3189.1</v>
      </c>
      <c r="H5171" s="489">
        <v>88.603369999999998</v>
      </c>
      <c r="I5171" s="487" t="s">
        <v>1499</v>
      </c>
      <c r="J5171" s="487" t="s">
        <v>614</v>
      </c>
    </row>
    <row r="5172" spans="1:10" ht="15" x14ac:dyDescent="0.2">
      <c r="A5172" s="486" t="s">
        <v>613</v>
      </c>
      <c r="B5172" s="487" t="s">
        <v>612</v>
      </c>
      <c r="C5172" s="488" t="s">
        <v>16774</v>
      </c>
      <c r="D5172" s="489" t="s">
        <v>16775</v>
      </c>
      <c r="E5172" s="487" t="s">
        <v>16776</v>
      </c>
      <c r="F5172" s="490">
        <v>13003</v>
      </c>
      <c r="G5172" s="489">
        <v>136</v>
      </c>
      <c r="H5172" s="489">
        <v>95.610290000000006</v>
      </c>
      <c r="I5172" s="487" t="s">
        <v>1499</v>
      </c>
      <c r="J5172" s="487" t="s">
        <v>614</v>
      </c>
    </row>
    <row r="5173" spans="1:10" ht="15" x14ac:dyDescent="0.2">
      <c r="A5173" s="486" t="s">
        <v>613</v>
      </c>
      <c r="B5173" s="487" t="s">
        <v>612</v>
      </c>
      <c r="C5173" s="488" t="s">
        <v>16777</v>
      </c>
      <c r="D5173" s="489" t="s">
        <v>16778</v>
      </c>
      <c r="E5173" s="487" t="s">
        <v>16779</v>
      </c>
      <c r="F5173" s="490">
        <v>0</v>
      </c>
      <c r="G5173" s="489">
        <v>99.6</v>
      </c>
      <c r="H5173" s="489">
        <v>0</v>
      </c>
      <c r="I5173" s="487" t="s">
        <v>1593</v>
      </c>
      <c r="J5173" s="487" t="s">
        <v>614</v>
      </c>
    </row>
    <row r="5174" spans="1:10" ht="15" x14ac:dyDescent="0.2">
      <c r="A5174" s="486" t="s">
        <v>613</v>
      </c>
      <c r="B5174" s="487" t="s">
        <v>612</v>
      </c>
      <c r="C5174" s="488" t="s">
        <v>16780</v>
      </c>
      <c r="D5174" s="489" t="s">
        <v>16781</v>
      </c>
      <c r="E5174" s="487" t="s">
        <v>16782</v>
      </c>
      <c r="F5174" s="490">
        <v>6000</v>
      </c>
      <c r="G5174" s="489">
        <v>156.5</v>
      </c>
      <c r="H5174" s="489">
        <v>38.338659999999997</v>
      </c>
      <c r="I5174" s="487" t="s">
        <v>1499</v>
      </c>
      <c r="J5174" s="487" t="s">
        <v>614</v>
      </c>
    </row>
    <row r="5175" spans="1:10" ht="15" x14ac:dyDescent="0.2">
      <c r="A5175" s="486" t="s">
        <v>613</v>
      </c>
      <c r="B5175" s="487" t="s">
        <v>612</v>
      </c>
      <c r="C5175" s="488" t="s">
        <v>16783</v>
      </c>
      <c r="D5175" s="489" t="s">
        <v>16784</v>
      </c>
      <c r="E5175" s="487" t="s">
        <v>16785</v>
      </c>
      <c r="F5175" s="490">
        <v>756014</v>
      </c>
      <c r="G5175" s="489">
        <v>4408.5</v>
      </c>
      <c r="H5175" s="489">
        <v>171.49008000000001</v>
      </c>
      <c r="I5175" s="487" t="s">
        <v>1499</v>
      </c>
      <c r="J5175" s="487" t="s">
        <v>614</v>
      </c>
    </row>
    <row r="5176" spans="1:10" ht="15" x14ac:dyDescent="0.2">
      <c r="A5176" s="486" t="s">
        <v>613</v>
      </c>
      <c r="B5176" s="487" t="s">
        <v>612</v>
      </c>
      <c r="C5176" s="488" t="s">
        <v>16786</v>
      </c>
      <c r="D5176" s="489" t="s">
        <v>16787</v>
      </c>
      <c r="E5176" s="487" t="s">
        <v>16788</v>
      </c>
      <c r="F5176" s="490">
        <v>15000</v>
      </c>
      <c r="G5176" s="489">
        <v>256.3</v>
      </c>
      <c r="H5176" s="489">
        <v>58.525170000000003</v>
      </c>
      <c r="I5176" s="487" t="s">
        <v>1499</v>
      </c>
      <c r="J5176" s="487" t="s">
        <v>614</v>
      </c>
    </row>
    <row r="5177" spans="1:10" ht="15" x14ac:dyDescent="0.2">
      <c r="A5177" s="486" t="s">
        <v>613</v>
      </c>
      <c r="B5177" s="487" t="s">
        <v>612</v>
      </c>
      <c r="C5177" s="488" t="s">
        <v>16789</v>
      </c>
      <c r="D5177" s="489" t="s">
        <v>16790</v>
      </c>
      <c r="E5177" s="487" t="s">
        <v>16791</v>
      </c>
      <c r="F5177" s="490">
        <v>53913</v>
      </c>
      <c r="G5177" s="489">
        <v>933.1</v>
      </c>
      <c r="H5177" s="489">
        <v>57.778370000000002</v>
      </c>
      <c r="I5177" s="487" t="s">
        <v>1499</v>
      </c>
      <c r="J5177" s="487" t="s">
        <v>614</v>
      </c>
    </row>
    <row r="5178" spans="1:10" ht="15" x14ac:dyDescent="0.2">
      <c r="A5178" s="486" t="s">
        <v>613</v>
      </c>
      <c r="B5178" s="487" t="s">
        <v>612</v>
      </c>
      <c r="C5178" s="488" t="s">
        <v>16792</v>
      </c>
      <c r="D5178" s="489" t="s">
        <v>16793</v>
      </c>
      <c r="E5178" s="487" t="s">
        <v>16794</v>
      </c>
      <c r="F5178" s="490">
        <v>588402</v>
      </c>
      <c r="G5178" s="489">
        <v>3036.6</v>
      </c>
      <c r="H5178" s="489">
        <v>193.77001000000001</v>
      </c>
      <c r="I5178" s="487" t="s">
        <v>1499</v>
      </c>
      <c r="J5178" s="487" t="s">
        <v>614</v>
      </c>
    </row>
    <row r="5179" spans="1:10" ht="15" x14ac:dyDescent="0.2">
      <c r="A5179" s="486" t="s">
        <v>613</v>
      </c>
      <c r="B5179" s="487" t="s">
        <v>612</v>
      </c>
      <c r="C5179" s="488" t="s">
        <v>16795</v>
      </c>
      <c r="D5179" s="489" t="s">
        <v>16796</v>
      </c>
      <c r="E5179" s="487" t="s">
        <v>16797</v>
      </c>
      <c r="F5179" s="490">
        <v>0</v>
      </c>
      <c r="G5179" s="489">
        <v>62.4</v>
      </c>
      <c r="H5179" s="489">
        <v>0</v>
      </c>
      <c r="I5179" s="487" t="s">
        <v>1593</v>
      </c>
      <c r="J5179" s="487" t="s">
        <v>614</v>
      </c>
    </row>
    <row r="5180" spans="1:10" ht="15" x14ac:dyDescent="0.2">
      <c r="A5180" s="486" t="s">
        <v>613</v>
      </c>
      <c r="B5180" s="487" t="s">
        <v>612</v>
      </c>
      <c r="C5180" s="488" t="s">
        <v>16798</v>
      </c>
      <c r="D5180" s="489" t="s">
        <v>16799</v>
      </c>
      <c r="E5180" s="487" t="s">
        <v>16800</v>
      </c>
      <c r="F5180" s="490">
        <v>14000</v>
      </c>
      <c r="G5180" s="489">
        <v>130.30000000000001</v>
      </c>
      <c r="H5180" s="489">
        <v>107.44436</v>
      </c>
      <c r="I5180" s="487" t="s">
        <v>1499</v>
      </c>
      <c r="J5180" s="487" t="s">
        <v>614</v>
      </c>
    </row>
    <row r="5181" spans="1:10" ht="15" x14ac:dyDescent="0.2">
      <c r="A5181" s="486" t="s">
        <v>613</v>
      </c>
      <c r="B5181" s="487" t="s">
        <v>612</v>
      </c>
      <c r="C5181" s="488" t="s">
        <v>16801</v>
      </c>
      <c r="D5181" s="489" t="s">
        <v>16802</v>
      </c>
      <c r="E5181" s="487" t="s">
        <v>16803</v>
      </c>
      <c r="F5181" s="490">
        <v>4400</v>
      </c>
      <c r="G5181" s="489">
        <v>87.9</v>
      </c>
      <c r="H5181" s="489">
        <v>50.05688</v>
      </c>
      <c r="I5181" s="487" t="s">
        <v>1499</v>
      </c>
      <c r="J5181" s="487" t="s">
        <v>614</v>
      </c>
    </row>
    <row r="5182" spans="1:10" ht="15" x14ac:dyDescent="0.2">
      <c r="A5182" s="486" t="s">
        <v>613</v>
      </c>
      <c r="B5182" s="487" t="s">
        <v>612</v>
      </c>
      <c r="C5182" s="488" t="s">
        <v>16804</v>
      </c>
      <c r="D5182" s="489" t="s">
        <v>16805</v>
      </c>
      <c r="E5182" s="487" t="s">
        <v>16806</v>
      </c>
      <c r="F5182" s="490">
        <v>102507</v>
      </c>
      <c r="G5182" s="489">
        <v>994.2</v>
      </c>
      <c r="H5182" s="489">
        <v>103.10500999999999</v>
      </c>
      <c r="I5182" s="487" t="s">
        <v>1499</v>
      </c>
      <c r="J5182" s="487" t="s">
        <v>614</v>
      </c>
    </row>
    <row r="5183" spans="1:10" ht="15" x14ac:dyDescent="0.2">
      <c r="A5183" s="486" t="s">
        <v>613</v>
      </c>
      <c r="B5183" s="487" t="s">
        <v>612</v>
      </c>
      <c r="C5183" s="488" t="s">
        <v>16807</v>
      </c>
      <c r="D5183" s="489" t="s">
        <v>16808</v>
      </c>
      <c r="E5183" s="487" t="s">
        <v>16809</v>
      </c>
      <c r="F5183" s="490">
        <v>50426</v>
      </c>
      <c r="G5183" s="489">
        <v>645.6</v>
      </c>
      <c r="H5183" s="489">
        <v>78.107190000000003</v>
      </c>
      <c r="I5183" s="487" t="s">
        <v>1499</v>
      </c>
      <c r="J5183" s="487" t="s">
        <v>614</v>
      </c>
    </row>
    <row r="5184" spans="1:10" ht="15" x14ac:dyDescent="0.2">
      <c r="A5184" s="486" t="s">
        <v>840</v>
      </c>
      <c r="B5184" s="487" t="s">
        <v>839</v>
      </c>
      <c r="C5184" s="488" t="s">
        <v>16810</v>
      </c>
      <c r="D5184" s="489" t="s">
        <v>16811</v>
      </c>
      <c r="E5184" s="487" t="s">
        <v>16812</v>
      </c>
      <c r="F5184" s="490">
        <v>1230</v>
      </c>
      <c r="G5184" s="489">
        <v>37.6</v>
      </c>
      <c r="H5184" s="489">
        <v>32.712769999999999</v>
      </c>
      <c r="I5184" s="487" t="s">
        <v>1499</v>
      </c>
      <c r="J5184" s="487" t="s">
        <v>841</v>
      </c>
    </row>
    <row r="5185" spans="1:10" ht="15" x14ac:dyDescent="0.2">
      <c r="A5185" s="486" t="s">
        <v>840</v>
      </c>
      <c r="B5185" s="487" t="s">
        <v>839</v>
      </c>
      <c r="C5185" s="488" t="s">
        <v>16813</v>
      </c>
      <c r="D5185" s="489" t="s">
        <v>16814</v>
      </c>
      <c r="E5185" s="487" t="s">
        <v>16815</v>
      </c>
      <c r="F5185" s="490">
        <v>16750</v>
      </c>
      <c r="G5185" s="489">
        <v>176.9</v>
      </c>
      <c r="H5185" s="489">
        <v>94.686260000000004</v>
      </c>
      <c r="I5185" s="487" t="s">
        <v>1499</v>
      </c>
      <c r="J5185" s="487" t="s">
        <v>841</v>
      </c>
    </row>
    <row r="5186" spans="1:10" ht="15" x14ac:dyDescent="0.2">
      <c r="A5186" s="486" t="s">
        <v>840</v>
      </c>
      <c r="B5186" s="487" t="s">
        <v>839</v>
      </c>
      <c r="C5186" s="488" t="s">
        <v>16816</v>
      </c>
      <c r="D5186" s="489" t="s">
        <v>16817</v>
      </c>
      <c r="E5186" s="487" t="s">
        <v>16818</v>
      </c>
      <c r="F5186" s="490">
        <v>11350</v>
      </c>
      <c r="G5186" s="489">
        <v>169.1</v>
      </c>
      <c r="H5186" s="489">
        <v>67.120050000000006</v>
      </c>
      <c r="I5186" s="487" t="s">
        <v>1499</v>
      </c>
      <c r="J5186" s="487" t="s">
        <v>841</v>
      </c>
    </row>
    <row r="5187" spans="1:10" ht="15" x14ac:dyDescent="0.2">
      <c r="A5187" s="486" t="s">
        <v>840</v>
      </c>
      <c r="B5187" s="487" t="s">
        <v>839</v>
      </c>
      <c r="C5187" s="488" t="s">
        <v>16819</v>
      </c>
      <c r="D5187" s="489" t="s">
        <v>16820</v>
      </c>
      <c r="E5187" s="487" t="s">
        <v>16821</v>
      </c>
      <c r="F5187" s="490">
        <v>6690</v>
      </c>
      <c r="G5187" s="489">
        <v>120.8</v>
      </c>
      <c r="H5187" s="489">
        <v>55.380789999999998</v>
      </c>
      <c r="I5187" s="487" t="s">
        <v>1499</v>
      </c>
      <c r="J5187" s="487" t="s">
        <v>841</v>
      </c>
    </row>
    <row r="5188" spans="1:10" ht="15" x14ac:dyDescent="0.2">
      <c r="A5188" s="486" t="s">
        <v>840</v>
      </c>
      <c r="B5188" s="487" t="s">
        <v>839</v>
      </c>
      <c r="C5188" s="488" t="s">
        <v>16822</v>
      </c>
      <c r="D5188" s="489" t="s">
        <v>16823</v>
      </c>
      <c r="E5188" s="487" t="s">
        <v>16824</v>
      </c>
      <c r="F5188" s="490">
        <v>20490</v>
      </c>
      <c r="G5188" s="489">
        <v>445.5</v>
      </c>
      <c r="H5188" s="489">
        <v>45.993270000000003</v>
      </c>
      <c r="I5188" s="487" t="s">
        <v>1499</v>
      </c>
      <c r="J5188" s="487" t="s">
        <v>841</v>
      </c>
    </row>
    <row r="5189" spans="1:10" ht="15" x14ac:dyDescent="0.2">
      <c r="A5189" s="486" t="s">
        <v>840</v>
      </c>
      <c r="B5189" s="487" t="s">
        <v>839</v>
      </c>
      <c r="C5189" s="488" t="s">
        <v>16825</v>
      </c>
      <c r="D5189" s="489" t="s">
        <v>16826</v>
      </c>
      <c r="E5189" s="487" t="s">
        <v>16827</v>
      </c>
      <c r="F5189" s="490">
        <v>0</v>
      </c>
      <c r="G5189" s="489">
        <v>33.4</v>
      </c>
      <c r="H5189" s="489">
        <v>0</v>
      </c>
      <c r="I5189" s="487" t="s">
        <v>1593</v>
      </c>
      <c r="J5189" s="487" t="s">
        <v>841</v>
      </c>
    </row>
    <row r="5190" spans="1:10" ht="15" x14ac:dyDescent="0.2">
      <c r="A5190" s="486" t="s">
        <v>840</v>
      </c>
      <c r="B5190" s="487" t="s">
        <v>839</v>
      </c>
      <c r="C5190" s="488" t="s">
        <v>16828</v>
      </c>
      <c r="D5190" s="489" t="s">
        <v>16829</v>
      </c>
      <c r="E5190" s="487" t="s">
        <v>16830</v>
      </c>
      <c r="F5190" s="490">
        <v>2175</v>
      </c>
      <c r="G5190" s="489">
        <v>24.3</v>
      </c>
      <c r="H5190" s="489">
        <v>89.506169999999997</v>
      </c>
      <c r="I5190" s="487" t="s">
        <v>1499</v>
      </c>
      <c r="J5190" s="487" t="s">
        <v>841</v>
      </c>
    </row>
    <row r="5191" spans="1:10" ht="15" x14ac:dyDescent="0.2">
      <c r="A5191" s="486" t="s">
        <v>840</v>
      </c>
      <c r="B5191" s="487" t="s">
        <v>839</v>
      </c>
      <c r="C5191" s="488" t="s">
        <v>16831</v>
      </c>
      <c r="D5191" s="489" t="s">
        <v>16832</v>
      </c>
      <c r="E5191" s="487" t="s">
        <v>16833</v>
      </c>
      <c r="F5191" s="490">
        <v>400712</v>
      </c>
      <c r="G5191" s="489">
        <v>3436.7</v>
      </c>
      <c r="H5191" s="489">
        <v>116.5979</v>
      </c>
      <c r="I5191" s="487" t="s">
        <v>1499</v>
      </c>
      <c r="J5191" s="487" t="s">
        <v>841</v>
      </c>
    </row>
    <row r="5192" spans="1:10" ht="15" x14ac:dyDescent="0.2">
      <c r="A5192" s="486" t="s">
        <v>840</v>
      </c>
      <c r="B5192" s="487" t="s">
        <v>839</v>
      </c>
      <c r="C5192" s="488" t="s">
        <v>16834</v>
      </c>
      <c r="D5192" s="489" t="s">
        <v>16835</v>
      </c>
      <c r="E5192" s="487" t="s">
        <v>16836</v>
      </c>
      <c r="F5192" s="490">
        <v>6700</v>
      </c>
      <c r="G5192" s="489">
        <v>175.9</v>
      </c>
      <c r="H5192" s="489">
        <v>38.089820000000003</v>
      </c>
      <c r="I5192" s="487" t="s">
        <v>1499</v>
      </c>
      <c r="J5192" s="487" t="s">
        <v>841</v>
      </c>
    </row>
    <row r="5193" spans="1:10" ht="15" x14ac:dyDescent="0.2">
      <c r="A5193" s="486" t="s">
        <v>840</v>
      </c>
      <c r="B5193" s="487" t="s">
        <v>839</v>
      </c>
      <c r="C5193" s="488" t="s">
        <v>16837</v>
      </c>
      <c r="D5193" s="489" t="s">
        <v>16838</v>
      </c>
      <c r="E5193" s="487" t="s">
        <v>16839</v>
      </c>
      <c r="F5193" s="490">
        <v>16105</v>
      </c>
      <c r="G5193" s="489">
        <v>157.69999999999999</v>
      </c>
      <c r="H5193" s="489">
        <v>102.12429</v>
      </c>
      <c r="I5193" s="487" t="s">
        <v>1499</v>
      </c>
      <c r="J5193" s="487" t="s">
        <v>841</v>
      </c>
    </row>
    <row r="5194" spans="1:10" ht="15" x14ac:dyDescent="0.2">
      <c r="A5194" s="486" t="s">
        <v>840</v>
      </c>
      <c r="B5194" s="487" t="s">
        <v>839</v>
      </c>
      <c r="C5194" s="488" t="s">
        <v>16840</v>
      </c>
      <c r="D5194" s="489" t="s">
        <v>16841</v>
      </c>
      <c r="E5194" s="487" t="s">
        <v>16842</v>
      </c>
      <c r="F5194" s="490">
        <v>0</v>
      </c>
      <c r="G5194" s="489">
        <v>20.9</v>
      </c>
      <c r="H5194" s="489">
        <v>0</v>
      </c>
      <c r="I5194" s="487" t="s">
        <v>1593</v>
      </c>
      <c r="J5194" s="487" t="s">
        <v>841</v>
      </c>
    </row>
    <row r="5195" spans="1:10" ht="15" x14ac:dyDescent="0.2">
      <c r="A5195" s="486" t="s">
        <v>840</v>
      </c>
      <c r="B5195" s="487" t="s">
        <v>839</v>
      </c>
      <c r="C5195" s="488" t="s">
        <v>16843</v>
      </c>
      <c r="D5195" s="489" t="s">
        <v>16844</v>
      </c>
      <c r="E5195" s="487" t="s">
        <v>16845</v>
      </c>
      <c r="F5195" s="490">
        <v>0</v>
      </c>
      <c r="G5195" s="489">
        <v>88.9</v>
      </c>
      <c r="H5195" s="489">
        <v>0</v>
      </c>
      <c r="I5195" s="487" t="s">
        <v>1593</v>
      </c>
      <c r="J5195" s="487" t="s">
        <v>841</v>
      </c>
    </row>
    <row r="5196" spans="1:10" ht="15" x14ac:dyDescent="0.2">
      <c r="A5196" s="486" t="s">
        <v>840</v>
      </c>
      <c r="B5196" s="487" t="s">
        <v>839</v>
      </c>
      <c r="C5196" s="488" t="s">
        <v>16846</v>
      </c>
      <c r="D5196" s="489" t="s">
        <v>16847</v>
      </c>
      <c r="E5196" s="487" t="s">
        <v>16848</v>
      </c>
      <c r="F5196" s="490">
        <v>12368</v>
      </c>
      <c r="G5196" s="489">
        <v>262.2</v>
      </c>
      <c r="H5196" s="489">
        <v>47.170099999999998</v>
      </c>
      <c r="I5196" s="487" t="s">
        <v>1499</v>
      </c>
      <c r="J5196" s="487" t="s">
        <v>841</v>
      </c>
    </row>
    <row r="5197" spans="1:10" ht="15" x14ac:dyDescent="0.2">
      <c r="A5197" s="486" t="s">
        <v>840</v>
      </c>
      <c r="B5197" s="487" t="s">
        <v>839</v>
      </c>
      <c r="C5197" s="488" t="s">
        <v>16849</v>
      </c>
      <c r="D5197" s="489" t="s">
        <v>16850</v>
      </c>
      <c r="E5197" s="487" t="s">
        <v>16851</v>
      </c>
      <c r="F5197" s="490">
        <v>5721</v>
      </c>
      <c r="G5197" s="489">
        <v>88.1</v>
      </c>
      <c r="H5197" s="489">
        <v>64.937569999999994</v>
      </c>
      <c r="I5197" s="487" t="s">
        <v>1499</v>
      </c>
      <c r="J5197" s="487" t="s">
        <v>841</v>
      </c>
    </row>
    <row r="5198" spans="1:10" ht="15" x14ac:dyDescent="0.2">
      <c r="A5198" s="486" t="s">
        <v>840</v>
      </c>
      <c r="B5198" s="487" t="s">
        <v>839</v>
      </c>
      <c r="C5198" s="488" t="s">
        <v>16852</v>
      </c>
      <c r="D5198" s="489" t="s">
        <v>16853</v>
      </c>
      <c r="E5198" s="487" t="s">
        <v>16854</v>
      </c>
      <c r="F5198" s="490">
        <v>0</v>
      </c>
      <c r="G5198" s="489">
        <v>24.6</v>
      </c>
      <c r="H5198" s="489">
        <v>0</v>
      </c>
      <c r="I5198" s="487" t="s">
        <v>1593</v>
      </c>
      <c r="J5198" s="487" t="s">
        <v>841</v>
      </c>
    </row>
    <row r="5199" spans="1:10" ht="15" x14ac:dyDescent="0.2">
      <c r="A5199" s="486" t="s">
        <v>840</v>
      </c>
      <c r="B5199" s="487" t="s">
        <v>839</v>
      </c>
      <c r="C5199" s="488" t="s">
        <v>16855</v>
      </c>
      <c r="D5199" s="489" t="s">
        <v>16856</v>
      </c>
      <c r="E5199" s="487" t="s">
        <v>16857</v>
      </c>
      <c r="F5199" s="490">
        <v>4028</v>
      </c>
      <c r="G5199" s="489">
        <v>106.5</v>
      </c>
      <c r="H5199" s="489">
        <v>37.821599999999997</v>
      </c>
      <c r="I5199" s="487" t="s">
        <v>1499</v>
      </c>
      <c r="J5199" s="487" t="s">
        <v>841</v>
      </c>
    </row>
    <row r="5200" spans="1:10" ht="15" x14ac:dyDescent="0.2">
      <c r="A5200" s="486" t="s">
        <v>840</v>
      </c>
      <c r="B5200" s="487" t="s">
        <v>839</v>
      </c>
      <c r="C5200" s="488" t="s">
        <v>16858</v>
      </c>
      <c r="D5200" s="489" t="s">
        <v>16859</v>
      </c>
      <c r="E5200" s="487" t="s">
        <v>16860</v>
      </c>
      <c r="F5200" s="490">
        <v>0</v>
      </c>
      <c r="G5200" s="489">
        <v>18</v>
      </c>
      <c r="H5200" s="489">
        <v>0</v>
      </c>
      <c r="I5200" s="487" t="s">
        <v>1593</v>
      </c>
      <c r="J5200" s="487" t="s">
        <v>841</v>
      </c>
    </row>
    <row r="5201" spans="1:10" ht="15" x14ac:dyDescent="0.2">
      <c r="A5201" s="486" t="s">
        <v>840</v>
      </c>
      <c r="B5201" s="487" t="s">
        <v>839</v>
      </c>
      <c r="C5201" s="488" t="s">
        <v>16861</v>
      </c>
      <c r="D5201" s="489" t="s">
        <v>16862</v>
      </c>
      <c r="E5201" s="487" t="s">
        <v>16863</v>
      </c>
      <c r="F5201" s="490">
        <v>3130</v>
      </c>
      <c r="G5201" s="489">
        <v>82.8</v>
      </c>
      <c r="H5201" s="489">
        <v>37.801929999999999</v>
      </c>
      <c r="I5201" s="487" t="s">
        <v>1499</v>
      </c>
      <c r="J5201" s="487" t="s">
        <v>841</v>
      </c>
    </row>
    <row r="5202" spans="1:10" ht="15" x14ac:dyDescent="0.2">
      <c r="A5202" s="486" t="s">
        <v>840</v>
      </c>
      <c r="B5202" s="487" t="s">
        <v>839</v>
      </c>
      <c r="C5202" s="488" t="s">
        <v>16864</v>
      </c>
      <c r="D5202" s="489" t="s">
        <v>16865</v>
      </c>
      <c r="E5202" s="487" t="s">
        <v>16866</v>
      </c>
      <c r="F5202" s="490">
        <v>16973</v>
      </c>
      <c r="G5202" s="489">
        <v>318.3</v>
      </c>
      <c r="H5202" s="489">
        <v>53.323909999999998</v>
      </c>
      <c r="I5202" s="487" t="s">
        <v>1499</v>
      </c>
      <c r="J5202" s="487" t="s">
        <v>841</v>
      </c>
    </row>
    <row r="5203" spans="1:10" ht="15" x14ac:dyDescent="0.2">
      <c r="A5203" s="486" t="s">
        <v>840</v>
      </c>
      <c r="B5203" s="487" t="s">
        <v>839</v>
      </c>
      <c r="C5203" s="488" t="s">
        <v>16867</v>
      </c>
      <c r="D5203" s="489" t="s">
        <v>16868</v>
      </c>
      <c r="E5203" s="487" t="s">
        <v>16869</v>
      </c>
      <c r="F5203" s="490">
        <v>10759</v>
      </c>
      <c r="G5203" s="489">
        <v>201.1</v>
      </c>
      <c r="H5203" s="489">
        <v>53.500749999999996</v>
      </c>
      <c r="I5203" s="487" t="s">
        <v>1499</v>
      </c>
      <c r="J5203" s="487" t="s">
        <v>841</v>
      </c>
    </row>
    <row r="5204" spans="1:10" ht="15" x14ac:dyDescent="0.2">
      <c r="A5204" s="486" t="s">
        <v>840</v>
      </c>
      <c r="B5204" s="487" t="s">
        <v>839</v>
      </c>
      <c r="C5204" s="488" t="s">
        <v>16870</v>
      </c>
      <c r="D5204" s="489" t="s">
        <v>16871</v>
      </c>
      <c r="E5204" s="487" t="s">
        <v>16872</v>
      </c>
      <c r="F5204" s="490">
        <v>0</v>
      </c>
      <c r="G5204" s="489">
        <v>48.1</v>
      </c>
      <c r="H5204" s="489">
        <v>0</v>
      </c>
      <c r="I5204" s="487" t="s">
        <v>1593</v>
      </c>
      <c r="J5204" s="487" t="s">
        <v>841</v>
      </c>
    </row>
    <row r="5205" spans="1:10" ht="15" x14ac:dyDescent="0.2">
      <c r="A5205" s="486" t="s">
        <v>840</v>
      </c>
      <c r="B5205" s="487" t="s">
        <v>839</v>
      </c>
      <c r="C5205" s="488" t="s">
        <v>16873</v>
      </c>
      <c r="D5205" s="489" t="s">
        <v>16874</v>
      </c>
      <c r="E5205" s="487" t="s">
        <v>16875</v>
      </c>
      <c r="F5205" s="490">
        <v>369000</v>
      </c>
      <c r="G5205" s="489">
        <v>1916.3</v>
      </c>
      <c r="H5205" s="489">
        <v>192.55858000000001</v>
      </c>
      <c r="I5205" s="487" t="s">
        <v>1499</v>
      </c>
      <c r="J5205" s="487" t="s">
        <v>841</v>
      </c>
    </row>
    <row r="5206" spans="1:10" ht="15" x14ac:dyDescent="0.2">
      <c r="A5206" s="486" t="s">
        <v>840</v>
      </c>
      <c r="B5206" s="487" t="s">
        <v>839</v>
      </c>
      <c r="C5206" s="488" t="s">
        <v>16876</v>
      </c>
      <c r="D5206" s="489" t="s">
        <v>16877</v>
      </c>
      <c r="E5206" s="487" t="s">
        <v>3589</v>
      </c>
      <c r="F5206" s="490">
        <v>14881</v>
      </c>
      <c r="G5206" s="489">
        <v>240.8</v>
      </c>
      <c r="H5206" s="489">
        <v>61.798169999999999</v>
      </c>
      <c r="I5206" s="487" t="s">
        <v>1499</v>
      </c>
      <c r="J5206" s="487" t="s">
        <v>841</v>
      </c>
    </row>
    <row r="5207" spans="1:10" ht="15" x14ac:dyDescent="0.2">
      <c r="A5207" s="486" t="s">
        <v>840</v>
      </c>
      <c r="B5207" s="487" t="s">
        <v>839</v>
      </c>
      <c r="C5207" s="488" t="s">
        <v>16878</v>
      </c>
      <c r="D5207" s="489" t="s">
        <v>16879</v>
      </c>
      <c r="E5207" s="487" t="s">
        <v>16880</v>
      </c>
      <c r="F5207" s="490">
        <v>0</v>
      </c>
      <c r="G5207" s="489">
        <v>13.8</v>
      </c>
      <c r="H5207" s="489">
        <v>0</v>
      </c>
      <c r="I5207" s="487" t="s">
        <v>1593</v>
      </c>
      <c r="J5207" s="487" t="s">
        <v>841</v>
      </c>
    </row>
    <row r="5208" spans="1:10" ht="15" x14ac:dyDescent="0.2">
      <c r="A5208" s="486" t="s">
        <v>840</v>
      </c>
      <c r="B5208" s="487" t="s">
        <v>839</v>
      </c>
      <c r="C5208" s="488" t="s">
        <v>16881</v>
      </c>
      <c r="D5208" s="489" t="s">
        <v>16882</v>
      </c>
      <c r="E5208" s="487" t="s">
        <v>16883</v>
      </c>
      <c r="F5208" s="490">
        <v>5000</v>
      </c>
      <c r="G5208" s="489">
        <v>136.19999999999999</v>
      </c>
      <c r="H5208" s="489">
        <v>36.710720000000002</v>
      </c>
      <c r="I5208" s="487" t="s">
        <v>1499</v>
      </c>
      <c r="J5208" s="487" t="s">
        <v>841</v>
      </c>
    </row>
    <row r="5209" spans="1:10" ht="15" x14ac:dyDescent="0.2">
      <c r="A5209" s="486" t="s">
        <v>840</v>
      </c>
      <c r="B5209" s="487" t="s">
        <v>839</v>
      </c>
      <c r="C5209" s="488" t="s">
        <v>16884</v>
      </c>
      <c r="D5209" s="489" t="s">
        <v>16885</v>
      </c>
      <c r="E5209" s="487" t="s">
        <v>16886</v>
      </c>
      <c r="F5209" s="490">
        <v>0</v>
      </c>
      <c r="G5209" s="489">
        <v>78.5</v>
      </c>
      <c r="H5209" s="489">
        <v>0</v>
      </c>
      <c r="I5209" s="487" t="s">
        <v>1593</v>
      </c>
      <c r="J5209" s="487" t="s">
        <v>841</v>
      </c>
    </row>
    <row r="5210" spans="1:10" ht="15" x14ac:dyDescent="0.2">
      <c r="A5210" s="486" t="s">
        <v>840</v>
      </c>
      <c r="B5210" s="487" t="s">
        <v>839</v>
      </c>
      <c r="C5210" s="488" t="s">
        <v>16887</v>
      </c>
      <c r="D5210" s="489" t="s">
        <v>16888</v>
      </c>
      <c r="E5210" s="487" t="s">
        <v>16889</v>
      </c>
      <c r="F5210" s="490">
        <v>48890</v>
      </c>
      <c r="G5210" s="489">
        <v>620.70000000000005</v>
      </c>
      <c r="H5210" s="489">
        <v>78.765910000000005</v>
      </c>
      <c r="I5210" s="487" t="s">
        <v>1499</v>
      </c>
      <c r="J5210" s="487" t="s">
        <v>841</v>
      </c>
    </row>
    <row r="5211" spans="1:10" ht="15" x14ac:dyDescent="0.2">
      <c r="A5211" s="486" t="s">
        <v>840</v>
      </c>
      <c r="B5211" s="487" t="s">
        <v>839</v>
      </c>
      <c r="C5211" s="488" t="s">
        <v>16890</v>
      </c>
      <c r="D5211" s="489" t="s">
        <v>16891</v>
      </c>
      <c r="E5211" s="487" t="s">
        <v>16892</v>
      </c>
      <c r="F5211" s="490">
        <v>0</v>
      </c>
      <c r="G5211" s="489">
        <v>38.200000000000003</v>
      </c>
      <c r="H5211" s="489">
        <v>0</v>
      </c>
      <c r="I5211" s="487" t="s">
        <v>1593</v>
      </c>
      <c r="J5211" s="487" t="s">
        <v>841</v>
      </c>
    </row>
    <row r="5212" spans="1:10" ht="15" x14ac:dyDescent="0.2">
      <c r="A5212" s="486" t="s">
        <v>840</v>
      </c>
      <c r="B5212" s="487" t="s">
        <v>839</v>
      </c>
      <c r="C5212" s="488" t="s">
        <v>16893</v>
      </c>
      <c r="D5212" s="489" t="s">
        <v>16894</v>
      </c>
      <c r="E5212" s="487" t="s">
        <v>16895</v>
      </c>
      <c r="F5212" s="490">
        <v>500</v>
      </c>
      <c r="G5212" s="489">
        <v>48.2</v>
      </c>
      <c r="H5212" s="489">
        <v>10.37344</v>
      </c>
      <c r="I5212" s="487" t="s">
        <v>1499</v>
      </c>
      <c r="J5212" s="487" t="s">
        <v>841</v>
      </c>
    </row>
    <row r="5213" spans="1:10" ht="15" x14ac:dyDescent="0.2">
      <c r="A5213" s="486" t="s">
        <v>840</v>
      </c>
      <c r="B5213" s="487" t="s">
        <v>839</v>
      </c>
      <c r="C5213" s="488" t="s">
        <v>16896</v>
      </c>
      <c r="D5213" s="489" t="s">
        <v>16897</v>
      </c>
      <c r="E5213" s="487" t="s">
        <v>16898</v>
      </c>
      <c r="F5213" s="490">
        <v>41400</v>
      </c>
      <c r="G5213" s="489">
        <v>659.1</v>
      </c>
      <c r="H5213" s="489">
        <v>62.812930000000001</v>
      </c>
      <c r="I5213" s="487" t="s">
        <v>1499</v>
      </c>
      <c r="J5213" s="487" t="s">
        <v>841</v>
      </c>
    </row>
    <row r="5214" spans="1:10" ht="15" x14ac:dyDescent="0.2">
      <c r="A5214" s="486" t="s">
        <v>840</v>
      </c>
      <c r="B5214" s="487" t="s">
        <v>839</v>
      </c>
      <c r="C5214" s="488" t="s">
        <v>16899</v>
      </c>
      <c r="D5214" s="489" t="s">
        <v>16900</v>
      </c>
      <c r="E5214" s="487" t="s">
        <v>16901</v>
      </c>
      <c r="F5214" s="490">
        <v>12849</v>
      </c>
      <c r="G5214" s="489">
        <v>343.6</v>
      </c>
      <c r="H5214" s="489">
        <v>37.395229999999998</v>
      </c>
      <c r="I5214" s="487" t="s">
        <v>1499</v>
      </c>
      <c r="J5214" s="487" t="s">
        <v>841</v>
      </c>
    </row>
    <row r="5215" spans="1:10" ht="15" x14ac:dyDescent="0.2">
      <c r="A5215" s="486" t="s">
        <v>840</v>
      </c>
      <c r="B5215" s="487" t="s">
        <v>839</v>
      </c>
      <c r="C5215" s="488" t="s">
        <v>16902</v>
      </c>
      <c r="D5215" s="489" t="s">
        <v>16903</v>
      </c>
      <c r="E5215" s="487" t="s">
        <v>16904</v>
      </c>
      <c r="F5215" s="490">
        <v>262650</v>
      </c>
      <c r="G5215" s="489">
        <v>1954.5</v>
      </c>
      <c r="H5215" s="489">
        <v>134.38219000000001</v>
      </c>
      <c r="I5215" s="487" t="s">
        <v>1499</v>
      </c>
      <c r="J5215" s="487" t="s">
        <v>841</v>
      </c>
    </row>
    <row r="5216" spans="1:10" ht="15" x14ac:dyDescent="0.2">
      <c r="A5216" s="486" t="s">
        <v>840</v>
      </c>
      <c r="B5216" s="487" t="s">
        <v>839</v>
      </c>
      <c r="C5216" s="488" t="s">
        <v>16905</v>
      </c>
      <c r="D5216" s="489" t="s">
        <v>16906</v>
      </c>
      <c r="E5216" s="487" t="s">
        <v>16907</v>
      </c>
      <c r="F5216" s="490">
        <v>1000</v>
      </c>
      <c r="G5216" s="489">
        <v>69.3</v>
      </c>
      <c r="H5216" s="489">
        <v>14.430009999999999</v>
      </c>
      <c r="I5216" s="487" t="s">
        <v>1499</v>
      </c>
      <c r="J5216" s="487" t="s">
        <v>841</v>
      </c>
    </row>
    <row r="5217" spans="1:10" ht="15" x14ac:dyDescent="0.2">
      <c r="A5217" s="486" t="s">
        <v>840</v>
      </c>
      <c r="B5217" s="487" t="s">
        <v>839</v>
      </c>
      <c r="C5217" s="488" t="s">
        <v>16908</v>
      </c>
      <c r="D5217" s="489" t="s">
        <v>16909</v>
      </c>
      <c r="E5217" s="487" t="s">
        <v>16910</v>
      </c>
      <c r="F5217" s="490">
        <v>32000</v>
      </c>
      <c r="G5217" s="489">
        <v>294</v>
      </c>
      <c r="H5217" s="489">
        <v>108.84354</v>
      </c>
      <c r="I5217" s="487" t="s">
        <v>1499</v>
      </c>
      <c r="J5217" s="487" t="s">
        <v>841</v>
      </c>
    </row>
    <row r="5218" spans="1:10" ht="15" x14ac:dyDescent="0.2">
      <c r="A5218" s="486" t="s">
        <v>840</v>
      </c>
      <c r="B5218" s="487" t="s">
        <v>839</v>
      </c>
      <c r="C5218" s="488" t="s">
        <v>16911</v>
      </c>
      <c r="D5218" s="489" t="s">
        <v>16912</v>
      </c>
      <c r="E5218" s="487" t="s">
        <v>16913</v>
      </c>
      <c r="F5218" s="490">
        <v>500</v>
      </c>
      <c r="G5218" s="489">
        <v>50.4</v>
      </c>
      <c r="H5218" s="489">
        <v>9.9206299999999992</v>
      </c>
      <c r="I5218" s="487" t="s">
        <v>1499</v>
      </c>
      <c r="J5218" s="487" t="s">
        <v>841</v>
      </c>
    </row>
    <row r="5219" spans="1:10" ht="15" x14ac:dyDescent="0.2">
      <c r="A5219" s="486" t="s">
        <v>840</v>
      </c>
      <c r="B5219" s="487" t="s">
        <v>839</v>
      </c>
      <c r="C5219" s="488" t="s">
        <v>16914</v>
      </c>
      <c r="D5219" s="489" t="s">
        <v>16915</v>
      </c>
      <c r="E5219" s="487" t="s">
        <v>16916</v>
      </c>
      <c r="F5219" s="490">
        <v>45829</v>
      </c>
      <c r="G5219" s="489">
        <v>764.1</v>
      </c>
      <c r="H5219" s="489">
        <v>59.97775</v>
      </c>
      <c r="I5219" s="487" t="s">
        <v>1499</v>
      </c>
      <c r="J5219" s="487" t="s">
        <v>841</v>
      </c>
    </row>
    <row r="5220" spans="1:10" ht="15" x14ac:dyDescent="0.2">
      <c r="A5220" s="486" t="s">
        <v>840</v>
      </c>
      <c r="B5220" s="487" t="s">
        <v>839</v>
      </c>
      <c r="C5220" s="488" t="s">
        <v>16917</v>
      </c>
      <c r="D5220" s="489" t="s">
        <v>16918</v>
      </c>
      <c r="E5220" s="487" t="s">
        <v>16919</v>
      </c>
      <c r="F5220" s="490">
        <v>17875</v>
      </c>
      <c r="G5220" s="489">
        <v>138</v>
      </c>
      <c r="H5220" s="489">
        <v>129.52898999999999</v>
      </c>
      <c r="I5220" s="487" t="s">
        <v>1499</v>
      </c>
      <c r="J5220" s="487" t="s">
        <v>841</v>
      </c>
    </row>
    <row r="5221" spans="1:10" ht="15" x14ac:dyDescent="0.2">
      <c r="A5221" s="486" t="s">
        <v>840</v>
      </c>
      <c r="B5221" s="487" t="s">
        <v>839</v>
      </c>
      <c r="C5221" s="488" t="s">
        <v>16920</v>
      </c>
      <c r="D5221" s="489" t="s">
        <v>16921</v>
      </c>
      <c r="E5221" s="487" t="s">
        <v>16922</v>
      </c>
      <c r="F5221" s="490">
        <v>77500</v>
      </c>
      <c r="G5221" s="489">
        <v>563.1</v>
      </c>
      <c r="H5221" s="489">
        <v>137.63096999999999</v>
      </c>
      <c r="I5221" s="487" t="s">
        <v>1499</v>
      </c>
      <c r="J5221" s="487" t="s">
        <v>841</v>
      </c>
    </row>
    <row r="5222" spans="1:10" ht="15" x14ac:dyDescent="0.2">
      <c r="A5222" s="486" t="s">
        <v>840</v>
      </c>
      <c r="B5222" s="487" t="s">
        <v>839</v>
      </c>
      <c r="C5222" s="488" t="s">
        <v>16923</v>
      </c>
      <c r="D5222" s="489" t="s">
        <v>16924</v>
      </c>
      <c r="E5222" s="487" t="s">
        <v>16925</v>
      </c>
      <c r="F5222" s="490">
        <v>4637</v>
      </c>
      <c r="G5222" s="489">
        <v>88.6</v>
      </c>
      <c r="H5222" s="489">
        <v>52.33634</v>
      </c>
      <c r="I5222" s="487" t="s">
        <v>1499</v>
      </c>
      <c r="J5222" s="487" t="s">
        <v>841</v>
      </c>
    </row>
    <row r="5223" spans="1:10" ht="15" x14ac:dyDescent="0.2">
      <c r="A5223" s="486" t="s">
        <v>840</v>
      </c>
      <c r="B5223" s="487" t="s">
        <v>839</v>
      </c>
      <c r="C5223" s="488" t="s">
        <v>16926</v>
      </c>
      <c r="D5223" s="489" t="s">
        <v>16927</v>
      </c>
      <c r="E5223" s="487" t="s">
        <v>16928</v>
      </c>
      <c r="F5223" s="490">
        <v>4950</v>
      </c>
      <c r="G5223" s="489">
        <v>67.7</v>
      </c>
      <c r="H5223" s="489">
        <v>73.116690000000006</v>
      </c>
      <c r="I5223" s="487" t="s">
        <v>1499</v>
      </c>
      <c r="J5223" s="487" t="s">
        <v>841</v>
      </c>
    </row>
    <row r="5224" spans="1:10" ht="15" x14ac:dyDescent="0.2">
      <c r="A5224" s="486" t="s">
        <v>840</v>
      </c>
      <c r="B5224" s="487" t="s">
        <v>839</v>
      </c>
      <c r="C5224" s="488" t="s">
        <v>16929</v>
      </c>
      <c r="D5224" s="489" t="s">
        <v>16930</v>
      </c>
      <c r="E5224" s="487" t="s">
        <v>16931</v>
      </c>
      <c r="F5224" s="490">
        <v>210865</v>
      </c>
      <c r="G5224" s="489">
        <v>1861.3</v>
      </c>
      <c r="H5224" s="489">
        <v>113.2891</v>
      </c>
      <c r="I5224" s="487" t="s">
        <v>1499</v>
      </c>
      <c r="J5224" s="487" t="s">
        <v>841</v>
      </c>
    </row>
    <row r="5225" spans="1:10" ht="15" x14ac:dyDescent="0.2">
      <c r="A5225" s="486" t="s">
        <v>840</v>
      </c>
      <c r="B5225" s="487" t="s">
        <v>839</v>
      </c>
      <c r="C5225" s="488" t="s">
        <v>16932</v>
      </c>
      <c r="D5225" s="489" t="s">
        <v>16933</v>
      </c>
      <c r="E5225" s="487" t="s">
        <v>16934</v>
      </c>
      <c r="F5225" s="490">
        <v>133037</v>
      </c>
      <c r="G5225" s="489">
        <v>1005.4</v>
      </c>
      <c r="H5225" s="489">
        <v>132.32246000000001</v>
      </c>
      <c r="I5225" s="487" t="s">
        <v>1499</v>
      </c>
      <c r="J5225" s="487" t="s">
        <v>841</v>
      </c>
    </row>
    <row r="5226" spans="1:10" ht="15" x14ac:dyDescent="0.2">
      <c r="A5226" s="486" t="s">
        <v>840</v>
      </c>
      <c r="B5226" s="487" t="s">
        <v>839</v>
      </c>
      <c r="C5226" s="488" t="s">
        <v>16935</v>
      </c>
      <c r="D5226" s="489" t="s">
        <v>16936</v>
      </c>
      <c r="E5226" s="487" t="s">
        <v>16937</v>
      </c>
      <c r="F5226" s="490">
        <v>18442</v>
      </c>
      <c r="G5226" s="489">
        <v>293</v>
      </c>
      <c r="H5226" s="489">
        <v>62.941980000000001</v>
      </c>
      <c r="I5226" s="487" t="s">
        <v>1499</v>
      </c>
      <c r="J5226" s="487" t="s">
        <v>841</v>
      </c>
    </row>
    <row r="5227" spans="1:10" ht="15" x14ac:dyDescent="0.2">
      <c r="A5227" s="486" t="s">
        <v>840</v>
      </c>
      <c r="B5227" s="487" t="s">
        <v>839</v>
      </c>
      <c r="C5227" s="488" t="s">
        <v>16938</v>
      </c>
      <c r="D5227" s="489" t="s">
        <v>16939</v>
      </c>
      <c r="E5227" s="487" t="s">
        <v>16940</v>
      </c>
      <c r="F5227" s="490">
        <v>0</v>
      </c>
      <c r="G5227" s="489">
        <v>33.5</v>
      </c>
      <c r="H5227" s="489">
        <v>0</v>
      </c>
      <c r="I5227" s="487" t="s">
        <v>1593</v>
      </c>
      <c r="J5227" s="487" t="s">
        <v>841</v>
      </c>
    </row>
    <row r="5228" spans="1:10" ht="15" x14ac:dyDescent="0.2">
      <c r="A5228" s="486" t="s">
        <v>840</v>
      </c>
      <c r="B5228" s="487" t="s">
        <v>839</v>
      </c>
      <c r="C5228" s="488" t="s">
        <v>16941</v>
      </c>
      <c r="D5228" s="489" t="s">
        <v>16942</v>
      </c>
      <c r="E5228" s="487" t="s">
        <v>16943</v>
      </c>
      <c r="F5228" s="490">
        <v>0</v>
      </c>
      <c r="G5228" s="489">
        <v>36.6</v>
      </c>
      <c r="H5228" s="489">
        <v>0</v>
      </c>
      <c r="I5228" s="487" t="s">
        <v>1593</v>
      </c>
      <c r="J5228" s="487" t="s">
        <v>841</v>
      </c>
    </row>
    <row r="5229" spans="1:10" ht="15" x14ac:dyDescent="0.2">
      <c r="A5229" s="486" t="s">
        <v>840</v>
      </c>
      <c r="B5229" s="487" t="s">
        <v>839</v>
      </c>
      <c r="C5229" s="488" t="s">
        <v>16944</v>
      </c>
      <c r="D5229" s="489" t="s">
        <v>16945</v>
      </c>
      <c r="E5229" s="487" t="s">
        <v>9838</v>
      </c>
      <c r="F5229" s="490">
        <v>0</v>
      </c>
      <c r="G5229" s="489">
        <v>46.9</v>
      </c>
      <c r="H5229" s="489">
        <v>0</v>
      </c>
      <c r="I5229" s="487" t="s">
        <v>1593</v>
      </c>
      <c r="J5229" s="487" t="s">
        <v>841</v>
      </c>
    </row>
    <row r="5230" spans="1:10" ht="15" x14ac:dyDescent="0.2">
      <c r="A5230" s="486" t="s">
        <v>840</v>
      </c>
      <c r="B5230" s="487" t="s">
        <v>839</v>
      </c>
      <c r="C5230" s="488" t="s">
        <v>16946</v>
      </c>
      <c r="D5230" s="489" t="s">
        <v>16947</v>
      </c>
      <c r="E5230" s="487" t="s">
        <v>16948</v>
      </c>
      <c r="F5230" s="490">
        <v>0</v>
      </c>
      <c r="G5230" s="489">
        <v>12.8</v>
      </c>
      <c r="H5230" s="489">
        <v>0</v>
      </c>
      <c r="I5230" s="487" t="s">
        <v>1593</v>
      </c>
      <c r="J5230" s="487" t="s">
        <v>841</v>
      </c>
    </row>
    <row r="5231" spans="1:10" ht="15" x14ac:dyDescent="0.2">
      <c r="A5231" s="486" t="s">
        <v>840</v>
      </c>
      <c r="B5231" s="487" t="s">
        <v>839</v>
      </c>
      <c r="C5231" s="488" t="s">
        <v>16949</v>
      </c>
      <c r="D5231" s="489" t="s">
        <v>16950</v>
      </c>
      <c r="E5231" s="487" t="s">
        <v>16951</v>
      </c>
      <c r="F5231" s="490">
        <v>16975</v>
      </c>
      <c r="G5231" s="489">
        <v>281.3</v>
      </c>
      <c r="H5231" s="489">
        <v>60.344830000000002</v>
      </c>
      <c r="I5231" s="487" t="s">
        <v>1499</v>
      </c>
      <c r="J5231" s="487" t="s">
        <v>841</v>
      </c>
    </row>
    <row r="5232" spans="1:10" ht="15" x14ac:dyDescent="0.2">
      <c r="A5232" s="486" t="s">
        <v>840</v>
      </c>
      <c r="B5232" s="487" t="s">
        <v>839</v>
      </c>
      <c r="C5232" s="488" t="s">
        <v>16952</v>
      </c>
      <c r="D5232" s="489" t="s">
        <v>16953</v>
      </c>
      <c r="E5232" s="487" t="s">
        <v>16954</v>
      </c>
      <c r="F5232" s="490">
        <v>2000</v>
      </c>
      <c r="G5232" s="489">
        <v>57.3</v>
      </c>
      <c r="H5232" s="489">
        <v>34.90401</v>
      </c>
      <c r="I5232" s="487" t="s">
        <v>1499</v>
      </c>
      <c r="J5232" s="487" t="s">
        <v>841</v>
      </c>
    </row>
    <row r="5233" spans="1:10" ht="15" x14ac:dyDescent="0.2">
      <c r="A5233" s="486" t="s">
        <v>840</v>
      </c>
      <c r="B5233" s="487" t="s">
        <v>839</v>
      </c>
      <c r="C5233" s="488" t="s">
        <v>16955</v>
      </c>
      <c r="D5233" s="489" t="s">
        <v>16956</v>
      </c>
      <c r="E5233" s="487" t="s">
        <v>16957</v>
      </c>
      <c r="F5233" s="490">
        <v>0</v>
      </c>
      <c r="G5233" s="489">
        <v>33.200000000000003</v>
      </c>
      <c r="H5233" s="489">
        <v>0</v>
      </c>
      <c r="I5233" s="487" t="s">
        <v>1593</v>
      </c>
      <c r="J5233" s="487" t="s">
        <v>841</v>
      </c>
    </row>
    <row r="5234" spans="1:10" ht="15" x14ac:dyDescent="0.2">
      <c r="A5234" s="486" t="s">
        <v>840</v>
      </c>
      <c r="B5234" s="487" t="s">
        <v>839</v>
      </c>
      <c r="C5234" s="488" t="s">
        <v>16958</v>
      </c>
      <c r="D5234" s="489" t="s">
        <v>16959</v>
      </c>
      <c r="E5234" s="487" t="s">
        <v>16960</v>
      </c>
      <c r="F5234" s="490">
        <v>0</v>
      </c>
      <c r="G5234" s="489">
        <v>38.9</v>
      </c>
      <c r="H5234" s="489">
        <v>0</v>
      </c>
      <c r="I5234" s="487" t="s">
        <v>1593</v>
      </c>
      <c r="J5234" s="487" t="s">
        <v>841</v>
      </c>
    </row>
    <row r="5235" spans="1:10" ht="15" x14ac:dyDescent="0.2">
      <c r="A5235" s="486" t="s">
        <v>840</v>
      </c>
      <c r="B5235" s="487" t="s">
        <v>839</v>
      </c>
      <c r="C5235" s="488" t="s">
        <v>16961</v>
      </c>
      <c r="D5235" s="489" t="s">
        <v>16962</v>
      </c>
      <c r="E5235" s="487" t="s">
        <v>16963</v>
      </c>
      <c r="F5235" s="490">
        <v>22200</v>
      </c>
      <c r="G5235" s="489">
        <v>464.2</v>
      </c>
      <c r="H5235" s="489">
        <v>47.824210000000001</v>
      </c>
      <c r="I5235" s="487" t="s">
        <v>1499</v>
      </c>
      <c r="J5235" s="487" t="s">
        <v>841</v>
      </c>
    </row>
    <row r="5236" spans="1:10" ht="15" x14ac:dyDescent="0.2">
      <c r="A5236" s="486" t="s">
        <v>840</v>
      </c>
      <c r="B5236" s="487" t="s">
        <v>839</v>
      </c>
      <c r="C5236" s="488" t="s">
        <v>16964</v>
      </c>
      <c r="D5236" s="489" t="s">
        <v>16965</v>
      </c>
      <c r="E5236" s="487" t="s">
        <v>16966</v>
      </c>
      <c r="F5236" s="490">
        <v>503439</v>
      </c>
      <c r="G5236" s="489">
        <v>3863.7</v>
      </c>
      <c r="H5236" s="489">
        <v>130.29971</v>
      </c>
      <c r="I5236" s="487" t="s">
        <v>1499</v>
      </c>
      <c r="J5236" s="487" t="s">
        <v>841</v>
      </c>
    </row>
    <row r="5237" spans="1:10" ht="15" x14ac:dyDescent="0.2">
      <c r="A5237" s="486" t="s">
        <v>840</v>
      </c>
      <c r="B5237" s="487" t="s">
        <v>839</v>
      </c>
      <c r="C5237" s="488" t="s">
        <v>16967</v>
      </c>
      <c r="D5237" s="489" t="s">
        <v>16968</v>
      </c>
      <c r="E5237" s="487" t="s">
        <v>16969</v>
      </c>
      <c r="F5237" s="490">
        <v>0</v>
      </c>
      <c r="G5237" s="489">
        <v>10.7</v>
      </c>
      <c r="H5237" s="489">
        <v>0</v>
      </c>
      <c r="I5237" s="487" t="s">
        <v>1593</v>
      </c>
      <c r="J5237" s="487" t="s">
        <v>841</v>
      </c>
    </row>
    <row r="5238" spans="1:10" ht="15" x14ac:dyDescent="0.2">
      <c r="A5238" s="486" t="s">
        <v>840</v>
      </c>
      <c r="B5238" s="487" t="s">
        <v>839</v>
      </c>
      <c r="C5238" s="488" t="s">
        <v>16970</v>
      </c>
      <c r="D5238" s="489" t="s">
        <v>16971</v>
      </c>
      <c r="E5238" s="487" t="s">
        <v>16972</v>
      </c>
      <c r="F5238" s="490">
        <v>16618</v>
      </c>
      <c r="G5238" s="489">
        <v>245.6</v>
      </c>
      <c r="H5238" s="489">
        <v>67.662869999999998</v>
      </c>
      <c r="I5238" s="487" t="s">
        <v>1499</v>
      </c>
      <c r="J5238" s="487" t="s">
        <v>841</v>
      </c>
    </row>
    <row r="5239" spans="1:10" ht="15" x14ac:dyDescent="0.2">
      <c r="A5239" s="486" t="s">
        <v>840</v>
      </c>
      <c r="B5239" s="487" t="s">
        <v>839</v>
      </c>
      <c r="C5239" s="488" t="s">
        <v>16973</v>
      </c>
      <c r="D5239" s="489" t="s">
        <v>16974</v>
      </c>
      <c r="E5239" s="487" t="s">
        <v>16975</v>
      </c>
      <c r="F5239" s="490">
        <v>29700</v>
      </c>
      <c r="G5239" s="489">
        <v>201.7</v>
      </c>
      <c r="H5239" s="489">
        <v>147.24839</v>
      </c>
      <c r="I5239" s="487" t="s">
        <v>1499</v>
      </c>
      <c r="J5239" s="487" t="s">
        <v>841</v>
      </c>
    </row>
    <row r="5240" spans="1:10" ht="15" x14ac:dyDescent="0.2">
      <c r="A5240" s="486" t="s">
        <v>840</v>
      </c>
      <c r="B5240" s="487" t="s">
        <v>839</v>
      </c>
      <c r="C5240" s="488" t="s">
        <v>16976</v>
      </c>
      <c r="D5240" s="489" t="s">
        <v>16977</v>
      </c>
      <c r="E5240" s="487" t="s">
        <v>16978</v>
      </c>
      <c r="F5240" s="490">
        <v>8000</v>
      </c>
      <c r="G5240" s="489">
        <v>131</v>
      </c>
      <c r="H5240" s="489">
        <v>61.0687</v>
      </c>
      <c r="I5240" s="487" t="s">
        <v>1499</v>
      </c>
      <c r="J5240" s="487" t="s">
        <v>841</v>
      </c>
    </row>
    <row r="5241" spans="1:10" ht="15" x14ac:dyDescent="0.2">
      <c r="A5241" s="486" t="s">
        <v>840</v>
      </c>
      <c r="B5241" s="487" t="s">
        <v>839</v>
      </c>
      <c r="C5241" s="488" t="s">
        <v>16979</v>
      </c>
      <c r="D5241" s="489" t="s">
        <v>16980</v>
      </c>
      <c r="E5241" s="487" t="s">
        <v>16981</v>
      </c>
      <c r="F5241" s="490">
        <v>1050</v>
      </c>
      <c r="G5241" s="489">
        <v>26.2</v>
      </c>
      <c r="H5241" s="489">
        <v>40.076340000000002</v>
      </c>
      <c r="I5241" s="487" t="s">
        <v>1499</v>
      </c>
      <c r="J5241" s="487" t="s">
        <v>841</v>
      </c>
    </row>
    <row r="5242" spans="1:10" ht="15" x14ac:dyDescent="0.2">
      <c r="A5242" s="486" t="s">
        <v>840</v>
      </c>
      <c r="B5242" s="487" t="s">
        <v>839</v>
      </c>
      <c r="C5242" s="488" t="s">
        <v>16982</v>
      </c>
      <c r="D5242" s="489" t="s">
        <v>16983</v>
      </c>
      <c r="E5242" s="487" t="s">
        <v>16984</v>
      </c>
      <c r="F5242" s="490">
        <v>26489</v>
      </c>
      <c r="G5242" s="489">
        <v>388.4</v>
      </c>
      <c r="H5242" s="489">
        <v>68.200310000000002</v>
      </c>
      <c r="I5242" s="487" t="s">
        <v>1499</v>
      </c>
      <c r="J5242" s="487" t="s">
        <v>841</v>
      </c>
    </row>
    <row r="5243" spans="1:10" ht="15" x14ac:dyDescent="0.2">
      <c r="A5243" s="486" t="s">
        <v>840</v>
      </c>
      <c r="B5243" s="487" t="s">
        <v>839</v>
      </c>
      <c r="C5243" s="488" t="s">
        <v>16985</v>
      </c>
      <c r="D5243" s="489" t="s">
        <v>16986</v>
      </c>
      <c r="E5243" s="487" t="s">
        <v>16987</v>
      </c>
      <c r="F5243" s="490">
        <v>0</v>
      </c>
      <c r="G5243" s="489">
        <v>13.8</v>
      </c>
      <c r="H5243" s="489">
        <v>0</v>
      </c>
      <c r="I5243" s="487" t="s">
        <v>1593</v>
      </c>
      <c r="J5243" s="487" t="s">
        <v>841</v>
      </c>
    </row>
    <row r="5244" spans="1:10" ht="15" x14ac:dyDescent="0.2">
      <c r="A5244" s="486" t="s">
        <v>840</v>
      </c>
      <c r="B5244" s="487" t="s">
        <v>839</v>
      </c>
      <c r="C5244" s="488" t="s">
        <v>16988</v>
      </c>
      <c r="D5244" s="489" t="s">
        <v>16989</v>
      </c>
      <c r="E5244" s="487" t="s">
        <v>16990</v>
      </c>
      <c r="F5244" s="490">
        <v>0</v>
      </c>
      <c r="G5244" s="489">
        <v>62.1</v>
      </c>
      <c r="H5244" s="489">
        <v>0</v>
      </c>
      <c r="I5244" s="487" t="s">
        <v>1593</v>
      </c>
      <c r="J5244" s="487" t="s">
        <v>841</v>
      </c>
    </row>
    <row r="5245" spans="1:10" ht="15" x14ac:dyDescent="0.2">
      <c r="A5245" s="486" t="s">
        <v>840</v>
      </c>
      <c r="B5245" s="487" t="s">
        <v>839</v>
      </c>
      <c r="C5245" s="488" t="s">
        <v>16991</v>
      </c>
      <c r="D5245" s="489" t="s">
        <v>16992</v>
      </c>
      <c r="E5245" s="487" t="s">
        <v>16993</v>
      </c>
      <c r="F5245" s="490">
        <v>3198</v>
      </c>
      <c r="G5245" s="489">
        <v>107.1</v>
      </c>
      <c r="H5245" s="489">
        <v>29.859940000000002</v>
      </c>
      <c r="I5245" s="487" t="s">
        <v>1499</v>
      </c>
      <c r="J5245" s="487" t="s">
        <v>841</v>
      </c>
    </row>
    <row r="5246" spans="1:10" ht="15" x14ac:dyDescent="0.2">
      <c r="A5246" s="486" t="s">
        <v>840</v>
      </c>
      <c r="B5246" s="487" t="s">
        <v>839</v>
      </c>
      <c r="C5246" s="488" t="s">
        <v>16994</v>
      </c>
      <c r="D5246" s="489" t="s">
        <v>16995</v>
      </c>
      <c r="E5246" s="487" t="s">
        <v>16996</v>
      </c>
      <c r="F5246" s="490">
        <v>0</v>
      </c>
      <c r="G5246" s="489">
        <v>93.1</v>
      </c>
      <c r="H5246" s="489">
        <v>0</v>
      </c>
      <c r="I5246" s="487" t="s">
        <v>1593</v>
      </c>
      <c r="J5246" s="487" t="s">
        <v>841</v>
      </c>
    </row>
    <row r="5247" spans="1:10" ht="15" x14ac:dyDescent="0.2">
      <c r="A5247" s="486" t="s">
        <v>840</v>
      </c>
      <c r="B5247" s="487" t="s">
        <v>839</v>
      </c>
      <c r="C5247" s="488" t="s">
        <v>16997</v>
      </c>
      <c r="D5247" s="489" t="s">
        <v>16998</v>
      </c>
      <c r="E5247" s="487" t="s">
        <v>16999</v>
      </c>
      <c r="F5247" s="490">
        <v>0</v>
      </c>
      <c r="G5247" s="489">
        <v>36.299999999999997</v>
      </c>
      <c r="H5247" s="489">
        <v>0</v>
      </c>
      <c r="I5247" s="487" t="s">
        <v>1593</v>
      </c>
      <c r="J5247" s="487" t="s">
        <v>841</v>
      </c>
    </row>
    <row r="5248" spans="1:10" ht="15" x14ac:dyDescent="0.2">
      <c r="A5248" s="486" t="s">
        <v>840</v>
      </c>
      <c r="B5248" s="487" t="s">
        <v>839</v>
      </c>
      <c r="C5248" s="488" t="s">
        <v>17000</v>
      </c>
      <c r="D5248" s="489" t="s">
        <v>17001</v>
      </c>
      <c r="E5248" s="487" t="s">
        <v>17002</v>
      </c>
      <c r="F5248" s="490">
        <v>2550</v>
      </c>
      <c r="G5248" s="489">
        <v>105.6</v>
      </c>
      <c r="H5248" s="489">
        <v>24.147729999999999</v>
      </c>
      <c r="I5248" s="487" t="s">
        <v>1499</v>
      </c>
      <c r="J5248" s="487" t="s">
        <v>841</v>
      </c>
    </row>
    <row r="5249" spans="1:10" ht="15" x14ac:dyDescent="0.2">
      <c r="A5249" s="486" t="s">
        <v>840</v>
      </c>
      <c r="B5249" s="487" t="s">
        <v>839</v>
      </c>
      <c r="C5249" s="488" t="s">
        <v>17003</v>
      </c>
      <c r="D5249" s="489" t="s">
        <v>17004</v>
      </c>
      <c r="E5249" s="487" t="s">
        <v>17005</v>
      </c>
      <c r="F5249" s="490">
        <v>128170</v>
      </c>
      <c r="G5249" s="489">
        <v>1111</v>
      </c>
      <c r="H5249" s="489">
        <v>115.36454000000001</v>
      </c>
      <c r="I5249" s="487" t="s">
        <v>1499</v>
      </c>
      <c r="J5249" s="487" t="s">
        <v>841</v>
      </c>
    </row>
    <row r="5250" spans="1:10" ht="15" x14ac:dyDescent="0.2">
      <c r="A5250" s="486" t="s">
        <v>840</v>
      </c>
      <c r="B5250" s="487" t="s">
        <v>839</v>
      </c>
      <c r="C5250" s="488" t="s">
        <v>17006</v>
      </c>
      <c r="D5250" s="489" t="s">
        <v>17007</v>
      </c>
      <c r="E5250" s="487" t="s">
        <v>17008</v>
      </c>
      <c r="F5250" s="490">
        <v>0</v>
      </c>
      <c r="G5250" s="489">
        <v>75.599999999999994</v>
      </c>
      <c r="H5250" s="489">
        <v>0</v>
      </c>
      <c r="I5250" s="487" t="s">
        <v>1593</v>
      </c>
      <c r="J5250" s="487" t="s">
        <v>841</v>
      </c>
    </row>
    <row r="5251" spans="1:10" ht="15" x14ac:dyDescent="0.2">
      <c r="A5251" s="486" t="s">
        <v>840</v>
      </c>
      <c r="B5251" s="487" t="s">
        <v>839</v>
      </c>
      <c r="C5251" s="488" t="s">
        <v>17009</v>
      </c>
      <c r="D5251" s="489" t="s">
        <v>17010</v>
      </c>
      <c r="E5251" s="487" t="s">
        <v>17011</v>
      </c>
      <c r="F5251" s="490">
        <v>2440</v>
      </c>
      <c r="G5251" s="489">
        <v>93.5</v>
      </c>
      <c r="H5251" s="489">
        <v>26.096260000000001</v>
      </c>
      <c r="I5251" s="487" t="s">
        <v>1499</v>
      </c>
      <c r="J5251" s="487" t="s">
        <v>841</v>
      </c>
    </row>
    <row r="5252" spans="1:10" ht="15" x14ac:dyDescent="0.2">
      <c r="A5252" s="486" t="s">
        <v>840</v>
      </c>
      <c r="B5252" s="487" t="s">
        <v>839</v>
      </c>
      <c r="C5252" s="488" t="s">
        <v>17012</v>
      </c>
      <c r="D5252" s="489" t="s">
        <v>17013</v>
      </c>
      <c r="E5252" s="487" t="s">
        <v>17014</v>
      </c>
      <c r="F5252" s="490">
        <v>18262</v>
      </c>
      <c r="G5252" s="489">
        <v>114.6</v>
      </c>
      <c r="H5252" s="489">
        <v>159.35427999999999</v>
      </c>
      <c r="I5252" s="487" t="s">
        <v>1499</v>
      </c>
      <c r="J5252" s="487" t="s">
        <v>841</v>
      </c>
    </row>
    <row r="5253" spans="1:10" ht="15" x14ac:dyDescent="0.2">
      <c r="A5253" s="486" t="s">
        <v>840</v>
      </c>
      <c r="B5253" s="487" t="s">
        <v>839</v>
      </c>
      <c r="C5253" s="488" t="s">
        <v>17015</v>
      </c>
      <c r="D5253" s="489" t="s">
        <v>17016</v>
      </c>
      <c r="E5253" s="487" t="s">
        <v>17017</v>
      </c>
      <c r="F5253" s="490">
        <v>4800</v>
      </c>
      <c r="G5253" s="489">
        <v>114.5</v>
      </c>
      <c r="H5253" s="489">
        <v>41.921399999999998</v>
      </c>
      <c r="I5253" s="487" t="s">
        <v>1499</v>
      </c>
      <c r="J5253" s="487" t="s">
        <v>841</v>
      </c>
    </row>
    <row r="5254" spans="1:10" ht="15" x14ac:dyDescent="0.2">
      <c r="A5254" s="486" t="s">
        <v>840</v>
      </c>
      <c r="B5254" s="487" t="s">
        <v>839</v>
      </c>
      <c r="C5254" s="488" t="s">
        <v>17018</v>
      </c>
      <c r="D5254" s="489" t="s">
        <v>17019</v>
      </c>
      <c r="E5254" s="487" t="s">
        <v>17020</v>
      </c>
      <c r="F5254" s="490">
        <v>0</v>
      </c>
      <c r="G5254" s="489">
        <v>76.099999999999994</v>
      </c>
      <c r="H5254" s="489">
        <v>0</v>
      </c>
      <c r="I5254" s="487" t="s">
        <v>1593</v>
      </c>
      <c r="J5254" s="487" t="s">
        <v>841</v>
      </c>
    </row>
    <row r="5255" spans="1:10" ht="15" x14ac:dyDescent="0.2">
      <c r="A5255" s="486" t="s">
        <v>840</v>
      </c>
      <c r="B5255" s="487" t="s">
        <v>839</v>
      </c>
      <c r="C5255" s="488" t="s">
        <v>17021</v>
      </c>
      <c r="D5255" s="489" t="s">
        <v>17022</v>
      </c>
      <c r="E5255" s="487" t="s">
        <v>17023</v>
      </c>
      <c r="F5255" s="490">
        <v>9900</v>
      </c>
      <c r="G5255" s="489">
        <v>172.3</v>
      </c>
      <c r="H5255" s="489">
        <v>57.457920000000001</v>
      </c>
      <c r="I5255" s="487" t="s">
        <v>1499</v>
      </c>
      <c r="J5255" s="487" t="s">
        <v>841</v>
      </c>
    </row>
    <row r="5256" spans="1:10" ht="15" x14ac:dyDescent="0.2">
      <c r="A5256" s="486" t="s">
        <v>840</v>
      </c>
      <c r="B5256" s="487" t="s">
        <v>839</v>
      </c>
      <c r="C5256" s="488" t="s">
        <v>17024</v>
      </c>
      <c r="D5256" s="489" t="s">
        <v>17025</v>
      </c>
      <c r="E5256" s="487" t="s">
        <v>17026</v>
      </c>
      <c r="F5256" s="490">
        <v>21075</v>
      </c>
      <c r="G5256" s="489">
        <v>248.6</v>
      </c>
      <c r="H5256" s="489">
        <v>84.774739999999994</v>
      </c>
      <c r="I5256" s="487" t="s">
        <v>1499</v>
      </c>
      <c r="J5256" s="487" t="s">
        <v>841</v>
      </c>
    </row>
    <row r="5257" spans="1:10" ht="15" x14ac:dyDescent="0.2">
      <c r="A5257" s="486" t="s">
        <v>840</v>
      </c>
      <c r="B5257" s="487" t="s">
        <v>839</v>
      </c>
      <c r="C5257" s="488" t="s">
        <v>17027</v>
      </c>
      <c r="D5257" s="489" t="s">
        <v>17028</v>
      </c>
      <c r="E5257" s="487" t="s">
        <v>17029</v>
      </c>
      <c r="F5257" s="490">
        <v>0</v>
      </c>
      <c r="G5257" s="489">
        <v>20.2</v>
      </c>
      <c r="H5257" s="489">
        <v>0</v>
      </c>
      <c r="I5257" s="487" t="s">
        <v>1593</v>
      </c>
      <c r="J5257" s="487" t="s">
        <v>841</v>
      </c>
    </row>
    <row r="5258" spans="1:10" ht="15" x14ac:dyDescent="0.2">
      <c r="A5258" s="486" t="s">
        <v>840</v>
      </c>
      <c r="B5258" s="487" t="s">
        <v>839</v>
      </c>
      <c r="C5258" s="488" t="s">
        <v>17030</v>
      </c>
      <c r="D5258" s="489" t="s">
        <v>17031</v>
      </c>
      <c r="E5258" s="487" t="s">
        <v>17032</v>
      </c>
      <c r="F5258" s="490">
        <v>0</v>
      </c>
      <c r="G5258" s="489">
        <v>16.100000000000001</v>
      </c>
      <c r="H5258" s="489">
        <v>0</v>
      </c>
      <c r="I5258" s="487" t="s">
        <v>1593</v>
      </c>
      <c r="J5258" s="487" t="s">
        <v>841</v>
      </c>
    </row>
    <row r="5259" spans="1:10" ht="15" x14ac:dyDescent="0.2">
      <c r="A5259" s="486" t="s">
        <v>840</v>
      </c>
      <c r="B5259" s="487" t="s">
        <v>839</v>
      </c>
      <c r="C5259" s="488" t="s">
        <v>17033</v>
      </c>
      <c r="D5259" s="489" t="s">
        <v>17034</v>
      </c>
      <c r="E5259" s="487" t="s">
        <v>17035</v>
      </c>
      <c r="F5259" s="490">
        <v>12121</v>
      </c>
      <c r="G5259" s="489">
        <v>169.8</v>
      </c>
      <c r="H5259" s="489">
        <v>71.383979999999994</v>
      </c>
      <c r="I5259" s="487" t="s">
        <v>1499</v>
      </c>
      <c r="J5259" s="487" t="s">
        <v>841</v>
      </c>
    </row>
    <row r="5260" spans="1:10" ht="15" x14ac:dyDescent="0.2">
      <c r="A5260" s="486" t="s">
        <v>840</v>
      </c>
      <c r="B5260" s="487" t="s">
        <v>839</v>
      </c>
      <c r="C5260" s="488" t="s">
        <v>17036</v>
      </c>
      <c r="D5260" s="489" t="s">
        <v>17037</v>
      </c>
      <c r="E5260" s="487" t="s">
        <v>17038</v>
      </c>
      <c r="F5260" s="490">
        <v>23985</v>
      </c>
      <c r="G5260" s="489">
        <v>303.89999999999998</v>
      </c>
      <c r="H5260" s="489">
        <v>78.923990000000003</v>
      </c>
      <c r="I5260" s="487" t="s">
        <v>1499</v>
      </c>
      <c r="J5260" s="487" t="s">
        <v>841</v>
      </c>
    </row>
    <row r="5261" spans="1:10" ht="15" x14ac:dyDescent="0.2">
      <c r="A5261" s="486" t="s">
        <v>840</v>
      </c>
      <c r="B5261" s="487" t="s">
        <v>839</v>
      </c>
      <c r="C5261" s="488" t="s">
        <v>17039</v>
      </c>
      <c r="D5261" s="489" t="s">
        <v>17040</v>
      </c>
      <c r="E5261" s="487" t="s">
        <v>17041</v>
      </c>
      <c r="F5261" s="490">
        <v>4170</v>
      </c>
      <c r="G5261" s="489">
        <v>104.2</v>
      </c>
      <c r="H5261" s="489">
        <v>40.019190000000002</v>
      </c>
      <c r="I5261" s="487" t="s">
        <v>1499</v>
      </c>
      <c r="J5261" s="487" t="s">
        <v>841</v>
      </c>
    </row>
    <row r="5262" spans="1:10" ht="15" x14ac:dyDescent="0.2">
      <c r="A5262" s="486" t="s">
        <v>840</v>
      </c>
      <c r="B5262" s="487" t="s">
        <v>839</v>
      </c>
      <c r="C5262" s="488" t="s">
        <v>17042</v>
      </c>
      <c r="D5262" s="489" t="s">
        <v>17043</v>
      </c>
      <c r="E5262" s="487" t="s">
        <v>17044</v>
      </c>
      <c r="F5262" s="490">
        <v>0</v>
      </c>
      <c r="G5262" s="489">
        <v>112.9</v>
      </c>
      <c r="H5262" s="489">
        <v>0</v>
      </c>
      <c r="I5262" s="487" t="s">
        <v>1593</v>
      </c>
      <c r="J5262" s="487" t="s">
        <v>841</v>
      </c>
    </row>
    <row r="5263" spans="1:10" ht="15" x14ac:dyDescent="0.2">
      <c r="A5263" s="486" t="s">
        <v>840</v>
      </c>
      <c r="B5263" s="487" t="s">
        <v>839</v>
      </c>
      <c r="C5263" s="488" t="s">
        <v>17045</v>
      </c>
      <c r="D5263" s="489" t="s">
        <v>17046</v>
      </c>
      <c r="E5263" s="487" t="s">
        <v>17047</v>
      </c>
      <c r="F5263" s="490">
        <v>91048</v>
      </c>
      <c r="G5263" s="489">
        <v>1642</v>
      </c>
      <c r="H5263" s="489">
        <v>55.449449999999999</v>
      </c>
      <c r="I5263" s="487" t="s">
        <v>1499</v>
      </c>
      <c r="J5263" s="487" t="s">
        <v>841</v>
      </c>
    </row>
    <row r="5264" spans="1:10" ht="15" x14ac:dyDescent="0.2">
      <c r="A5264" s="486" t="s">
        <v>840</v>
      </c>
      <c r="B5264" s="487" t="s">
        <v>839</v>
      </c>
      <c r="C5264" s="488" t="s">
        <v>17048</v>
      </c>
      <c r="D5264" s="489" t="s">
        <v>17049</v>
      </c>
      <c r="E5264" s="487" t="s">
        <v>17050</v>
      </c>
      <c r="F5264" s="490">
        <v>18700</v>
      </c>
      <c r="G5264" s="489">
        <v>286.2</v>
      </c>
      <c r="H5264" s="489">
        <v>65.338920000000002</v>
      </c>
      <c r="I5264" s="487" t="s">
        <v>1499</v>
      </c>
      <c r="J5264" s="487" t="s">
        <v>841</v>
      </c>
    </row>
    <row r="5265" spans="1:10" ht="15" x14ac:dyDescent="0.2">
      <c r="A5265" s="486" t="s">
        <v>840</v>
      </c>
      <c r="B5265" s="487" t="s">
        <v>839</v>
      </c>
      <c r="C5265" s="488" t="s">
        <v>17051</v>
      </c>
      <c r="D5265" s="489" t="s">
        <v>17052</v>
      </c>
      <c r="E5265" s="487" t="s">
        <v>17053</v>
      </c>
      <c r="F5265" s="490">
        <v>15400</v>
      </c>
      <c r="G5265" s="489">
        <v>187.5</v>
      </c>
      <c r="H5265" s="489">
        <v>82.133330000000001</v>
      </c>
      <c r="I5265" s="487" t="s">
        <v>1499</v>
      </c>
      <c r="J5265" s="487" t="s">
        <v>841</v>
      </c>
    </row>
    <row r="5266" spans="1:10" ht="15" x14ac:dyDescent="0.2">
      <c r="A5266" s="486" t="s">
        <v>840</v>
      </c>
      <c r="B5266" s="487" t="s">
        <v>839</v>
      </c>
      <c r="C5266" s="488" t="s">
        <v>17054</v>
      </c>
      <c r="D5266" s="489" t="s">
        <v>17055</v>
      </c>
      <c r="E5266" s="487" t="s">
        <v>17056</v>
      </c>
      <c r="F5266" s="490">
        <v>11079</v>
      </c>
      <c r="G5266" s="489">
        <v>112</v>
      </c>
      <c r="H5266" s="489">
        <v>98.919640000000001</v>
      </c>
      <c r="I5266" s="487" t="s">
        <v>1499</v>
      </c>
      <c r="J5266" s="487" t="s">
        <v>841</v>
      </c>
    </row>
    <row r="5267" spans="1:10" ht="15" x14ac:dyDescent="0.2">
      <c r="A5267" s="486" t="s">
        <v>840</v>
      </c>
      <c r="B5267" s="487" t="s">
        <v>839</v>
      </c>
      <c r="C5267" s="488" t="s">
        <v>17057</v>
      </c>
      <c r="D5267" s="489" t="s">
        <v>17058</v>
      </c>
      <c r="E5267" s="487" t="s">
        <v>17059</v>
      </c>
      <c r="F5267" s="490">
        <v>22945</v>
      </c>
      <c r="G5267" s="489">
        <v>484.2</v>
      </c>
      <c r="H5267" s="489">
        <v>47.387439999999998</v>
      </c>
      <c r="I5267" s="487" t="s">
        <v>1499</v>
      </c>
      <c r="J5267" s="487" t="s">
        <v>841</v>
      </c>
    </row>
    <row r="5268" spans="1:10" ht="15" x14ac:dyDescent="0.2">
      <c r="A5268" s="486" t="s">
        <v>840</v>
      </c>
      <c r="B5268" s="487" t="s">
        <v>839</v>
      </c>
      <c r="C5268" s="488" t="s">
        <v>17060</v>
      </c>
      <c r="D5268" s="489" t="s">
        <v>17061</v>
      </c>
      <c r="E5268" s="487" t="s">
        <v>17062</v>
      </c>
      <c r="F5268" s="490">
        <v>0</v>
      </c>
      <c r="G5268" s="489">
        <v>20.6</v>
      </c>
      <c r="H5268" s="489">
        <v>0</v>
      </c>
      <c r="I5268" s="487" t="s">
        <v>1593</v>
      </c>
      <c r="J5268" s="487" t="s">
        <v>841</v>
      </c>
    </row>
    <row r="5269" spans="1:10" ht="15" x14ac:dyDescent="0.2">
      <c r="A5269" s="486" t="s">
        <v>840</v>
      </c>
      <c r="B5269" s="487" t="s">
        <v>839</v>
      </c>
      <c r="C5269" s="488" t="s">
        <v>17063</v>
      </c>
      <c r="D5269" s="489" t="s">
        <v>17064</v>
      </c>
      <c r="E5269" s="487" t="s">
        <v>17065</v>
      </c>
      <c r="F5269" s="490">
        <v>0</v>
      </c>
      <c r="G5269" s="489">
        <v>54.1</v>
      </c>
      <c r="H5269" s="489">
        <v>0</v>
      </c>
      <c r="I5269" s="487" t="s">
        <v>1593</v>
      </c>
      <c r="J5269" s="487" t="s">
        <v>841</v>
      </c>
    </row>
    <row r="5270" spans="1:10" ht="15" x14ac:dyDescent="0.2">
      <c r="A5270" s="486" t="s">
        <v>840</v>
      </c>
      <c r="B5270" s="487" t="s">
        <v>839</v>
      </c>
      <c r="C5270" s="488" t="s">
        <v>17066</v>
      </c>
      <c r="D5270" s="489" t="s">
        <v>17067</v>
      </c>
      <c r="E5270" s="487" t="s">
        <v>17068</v>
      </c>
      <c r="F5270" s="490">
        <v>0</v>
      </c>
      <c r="G5270" s="489">
        <v>1.7</v>
      </c>
      <c r="H5270" s="489">
        <v>0</v>
      </c>
      <c r="I5270" s="487" t="s">
        <v>1593</v>
      </c>
      <c r="J5270" s="487" t="s">
        <v>841</v>
      </c>
    </row>
    <row r="5271" spans="1:10" ht="15" x14ac:dyDescent="0.2">
      <c r="A5271" s="486" t="s">
        <v>840</v>
      </c>
      <c r="B5271" s="487" t="s">
        <v>839</v>
      </c>
      <c r="C5271" s="488" t="s">
        <v>17069</v>
      </c>
      <c r="D5271" s="489" t="s">
        <v>17070</v>
      </c>
      <c r="E5271" s="487" t="s">
        <v>17071</v>
      </c>
      <c r="F5271" s="490">
        <v>10858</v>
      </c>
      <c r="G5271" s="489">
        <v>150.6</v>
      </c>
      <c r="H5271" s="489">
        <v>72.098269999999999</v>
      </c>
      <c r="I5271" s="487" t="s">
        <v>1499</v>
      </c>
      <c r="J5271" s="487" t="s">
        <v>841</v>
      </c>
    </row>
    <row r="5272" spans="1:10" ht="15" x14ac:dyDescent="0.2">
      <c r="A5272" s="486" t="s">
        <v>840</v>
      </c>
      <c r="B5272" s="487" t="s">
        <v>839</v>
      </c>
      <c r="C5272" s="488" t="s">
        <v>17072</v>
      </c>
      <c r="D5272" s="489" t="s">
        <v>17073</v>
      </c>
      <c r="E5272" s="487" t="s">
        <v>4021</v>
      </c>
      <c r="F5272" s="490">
        <v>0</v>
      </c>
      <c r="G5272" s="489">
        <v>122.7</v>
      </c>
      <c r="H5272" s="489">
        <v>0</v>
      </c>
      <c r="I5272" s="487" t="s">
        <v>1593</v>
      </c>
      <c r="J5272" s="487" t="s">
        <v>841</v>
      </c>
    </row>
    <row r="5273" spans="1:10" ht="15" x14ac:dyDescent="0.2">
      <c r="A5273" s="486" t="s">
        <v>840</v>
      </c>
      <c r="B5273" s="487" t="s">
        <v>839</v>
      </c>
      <c r="C5273" s="488" t="s">
        <v>17074</v>
      </c>
      <c r="D5273" s="489" t="s">
        <v>17075</v>
      </c>
      <c r="E5273" s="487" t="s">
        <v>17076</v>
      </c>
      <c r="F5273" s="490">
        <v>0</v>
      </c>
      <c r="G5273" s="489">
        <v>12</v>
      </c>
      <c r="H5273" s="489">
        <v>0</v>
      </c>
      <c r="I5273" s="487" t="s">
        <v>1593</v>
      </c>
      <c r="J5273" s="487" t="s">
        <v>841</v>
      </c>
    </row>
    <row r="5274" spans="1:10" ht="15" x14ac:dyDescent="0.2">
      <c r="A5274" s="486" t="s">
        <v>840</v>
      </c>
      <c r="B5274" s="487" t="s">
        <v>839</v>
      </c>
      <c r="C5274" s="488" t="s">
        <v>17077</v>
      </c>
      <c r="D5274" s="489" t="s">
        <v>17078</v>
      </c>
      <c r="E5274" s="487" t="s">
        <v>17079</v>
      </c>
      <c r="F5274" s="490">
        <v>36575</v>
      </c>
      <c r="G5274" s="489">
        <v>244.4</v>
      </c>
      <c r="H5274" s="489">
        <v>149.65221</v>
      </c>
      <c r="I5274" s="487" t="s">
        <v>1499</v>
      </c>
      <c r="J5274" s="487" t="s">
        <v>841</v>
      </c>
    </row>
    <row r="5275" spans="1:10" ht="15" x14ac:dyDescent="0.2">
      <c r="A5275" s="486" t="s">
        <v>883</v>
      </c>
      <c r="B5275" s="487" t="s">
        <v>882</v>
      </c>
      <c r="C5275" s="488" t="s">
        <v>17080</v>
      </c>
      <c r="D5275" s="489" t="s">
        <v>17081</v>
      </c>
      <c r="E5275" s="487" t="s">
        <v>17082</v>
      </c>
      <c r="F5275" s="490">
        <v>163498</v>
      </c>
      <c r="G5275" s="489">
        <v>1017.6</v>
      </c>
      <c r="H5275" s="489">
        <v>160.67019999999999</v>
      </c>
      <c r="I5275" s="487" t="s">
        <v>1499</v>
      </c>
      <c r="J5275" s="487" t="s">
        <v>884</v>
      </c>
    </row>
    <row r="5276" spans="1:10" ht="15" x14ac:dyDescent="0.2">
      <c r="A5276" s="486" t="s">
        <v>883</v>
      </c>
      <c r="B5276" s="487" t="s">
        <v>882</v>
      </c>
      <c r="C5276" s="488" t="s">
        <v>17083</v>
      </c>
      <c r="D5276" s="489" t="s">
        <v>17084</v>
      </c>
      <c r="E5276" s="487" t="s">
        <v>17085</v>
      </c>
      <c r="F5276" s="490">
        <v>105898</v>
      </c>
      <c r="G5276" s="489">
        <v>850.4</v>
      </c>
      <c r="H5276" s="489">
        <v>124.52728</v>
      </c>
      <c r="I5276" s="487" t="s">
        <v>1499</v>
      </c>
      <c r="J5276" s="487" t="s">
        <v>884</v>
      </c>
    </row>
    <row r="5277" spans="1:10" ht="15" x14ac:dyDescent="0.2">
      <c r="A5277" s="486" t="s">
        <v>883</v>
      </c>
      <c r="B5277" s="487" t="s">
        <v>882</v>
      </c>
      <c r="C5277" s="488" t="s">
        <v>17086</v>
      </c>
      <c r="D5277" s="489" t="s">
        <v>17087</v>
      </c>
      <c r="E5277" s="487" t="s">
        <v>17088</v>
      </c>
      <c r="F5277" s="490">
        <v>294669</v>
      </c>
      <c r="G5277" s="489">
        <v>2775</v>
      </c>
      <c r="H5277" s="489">
        <v>106.18702999999999</v>
      </c>
      <c r="I5277" s="487" t="s">
        <v>1499</v>
      </c>
      <c r="J5277" s="487" t="s">
        <v>884</v>
      </c>
    </row>
    <row r="5278" spans="1:10" ht="15" x14ac:dyDescent="0.2">
      <c r="A5278" s="486" t="s">
        <v>883</v>
      </c>
      <c r="B5278" s="487" t="s">
        <v>882</v>
      </c>
      <c r="C5278" s="488" t="s">
        <v>17089</v>
      </c>
      <c r="D5278" s="489" t="s">
        <v>17090</v>
      </c>
      <c r="E5278" s="487" t="s">
        <v>17091</v>
      </c>
      <c r="F5278" s="490">
        <v>486266</v>
      </c>
      <c r="G5278" s="489">
        <v>6090.5</v>
      </c>
      <c r="H5278" s="489">
        <v>79.84008</v>
      </c>
      <c r="I5278" s="487" t="s">
        <v>1499</v>
      </c>
      <c r="J5278" s="487" t="s">
        <v>884</v>
      </c>
    </row>
    <row r="5279" spans="1:10" ht="15" x14ac:dyDescent="0.2">
      <c r="A5279" s="486" t="s">
        <v>883</v>
      </c>
      <c r="B5279" s="487" t="s">
        <v>882</v>
      </c>
      <c r="C5279" s="488" t="s">
        <v>17092</v>
      </c>
      <c r="D5279" s="489" t="s">
        <v>17093</v>
      </c>
      <c r="E5279" s="487" t="s">
        <v>17094</v>
      </c>
      <c r="F5279" s="490">
        <v>6160</v>
      </c>
      <c r="G5279" s="489">
        <v>112.7</v>
      </c>
      <c r="H5279" s="489">
        <v>54.658389999999997</v>
      </c>
      <c r="I5279" s="487" t="s">
        <v>1499</v>
      </c>
      <c r="J5279" s="487" t="s">
        <v>884</v>
      </c>
    </row>
    <row r="5280" spans="1:10" ht="15" x14ac:dyDescent="0.2">
      <c r="A5280" s="486" t="s">
        <v>883</v>
      </c>
      <c r="B5280" s="487" t="s">
        <v>882</v>
      </c>
      <c r="C5280" s="488" t="s">
        <v>17095</v>
      </c>
      <c r="D5280" s="489" t="s">
        <v>17096</v>
      </c>
      <c r="E5280" s="487" t="s">
        <v>3539</v>
      </c>
      <c r="F5280" s="490">
        <v>10000</v>
      </c>
      <c r="G5280" s="489">
        <v>175.3</v>
      </c>
      <c r="H5280" s="489">
        <v>57.045070000000003</v>
      </c>
      <c r="I5280" s="487" t="s">
        <v>1499</v>
      </c>
      <c r="J5280" s="487" t="s">
        <v>884</v>
      </c>
    </row>
    <row r="5281" spans="1:10" ht="15" x14ac:dyDescent="0.2">
      <c r="A5281" s="486" t="s">
        <v>883</v>
      </c>
      <c r="B5281" s="487" t="s">
        <v>882</v>
      </c>
      <c r="C5281" s="488" t="s">
        <v>17097</v>
      </c>
      <c r="D5281" s="489" t="s">
        <v>17098</v>
      </c>
      <c r="E5281" s="487" t="s">
        <v>17099</v>
      </c>
      <c r="F5281" s="490">
        <v>194779</v>
      </c>
      <c r="G5281" s="489">
        <v>1797.8</v>
      </c>
      <c r="H5281" s="489">
        <v>108.34296999999999</v>
      </c>
      <c r="I5281" s="487" t="s">
        <v>1499</v>
      </c>
      <c r="J5281" s="487" t="s">
        <v>884</v>
      </c>
    </row>
    <row r="5282" spans="1:10" ht="15" x14ac:dyDescent="0.2">
      <c r="A5282" s="486" t="s">
        <v>883</v>
      </c>
      <c r="B5282" s="487" t="s">
        <v>882</v>
      </c>
      <c r="C5282" s="488" t="s">
        <v>17100</v>
      </c>
      <c r="D5282" s="489" t="s">
        <v>17101</v>
      </c>
      <c r="E5282" s="487" t="s">
        <v>17102</v>
      </c>
      <c r="F5282" s="490">
        <v>385456</v>
      </c>
      <c r="G5282" s="489">
        <v>3420.8</v>
      </c>
      <c r="H5282" s="489">
        <v>112.68007</v>
      </c>
      <c r="I5282" s="487" t="s">
        <v>1499</v>
      </c>
      <c r="J5282" s="487" t="s">
        <v>884</v>
      </c>
    </row>
    <row r="5283" spans="1:10" ht="15" x14ac:dyDescent="0.2">
      <c r="A5283" s="486" t="s">
        <v>883</v>
      </c>
      <c r="B5283" s="487" t="s">
        <v>882</v>
      </c>
      <c r="C5283" s="488" t="s">
        <v>17103</v>
      </c>
      <c r="D5283" s="489" t="s">
        <v>17104</v>
      </c>
      <c r="E5283" s="487" t="s">
        <v>17105</v>
      </c>
      <c r="F5283" s="490">
        <v>350434</v>
      </c>
      <c r="G5283" s="489">
        <v>2639.8</v>
      </c>
      <c r="H5283" s="489">
        <v>132.75021000000001</v>
      </c>
      <c r="I5283" s="487" t="s">
        <v>1499</v>
      </c>
      <c r="J5283" s="487" t="s">
        <v>884</v>
      </c>
    </row>
    <row r="5284" spans="1:10" ht="15" x14ac:dyDescent="0.2">
      <c r="A5284" s="486" t="s">
        <v>883</v>
      </c>
      <c r="B5284" s="487" t="s">
        <v>882</v>
      </c>
      <c r="C5284" s="488" t="s">
        <v>17106</v>
      </c>
      <c r="D5284" s="489" t="s">
        <v>17107</v>
      </c>
      <c r="E5284" s="487" t="s">
        <v>17108</v>
      </c>
      <c r="F5284" s="490">
        <v>18880</v>
      </c>
      <c r="G5284" s="489">
        <v>313.89999999999998</v>
      </c>
      <c r="H5284" s="489">
        <v>60.146540000000002</v>
      </c>
      <c r="I5284" s="487" t="s">
        <v>1499</v>
      </c>
      <c r="J5284" s="487" t="s">
        <v>884</v>
      </c>
    </row>
    <row r="5285" spans="1:10" ht="15" x14ac:dyDescent="0.2">
      <c r="A5285" s="486" t="s">
        <v>883</v>
      </c>
      <c r="B5285" s="487" t="s">
        <v>882</v>
      </c>
      <c r="C5285" s="488" t="s">
        <v>17109</v>
      </c>
      <c r="D5285" s="489" t="s">
        <v>17110</v>
      </c>
      <c r="E5285" s="487" t="s">
        <v>17111</v>
      </c>
      <c r="F5285" s="490">
        <v>133078</v>
      </c>
      <c r="G5285" s="489">
        <v>955.4</v>
      </c>
      <c r="H5285" s="489">
        <v>139.29034999999999</v>
      </c>
      <c r="I5285" s="487" t="s">
        <v>1499</v>
      </c>
      <c r="J5285" s="487" t="s">
        <v>884</v>
      </c>
    </row>
    <row r="5286" spans="1:10" ht="15" x14ac:dyDescent="0.2">
      <c r="A5286" s="486" t="s">
        <v>883</v>
      </c>
      <c r="B5286" s="487" t="s">
        <v>882</v>
      </c>
      <c r="C5286" s="488" t="s">
        <v>17112</v>
      </c>
      <c r="D5286" s="489" t="s">
        <v>17113</v>
      </c>
      <c r="E5286" s="487" t="s">
        <v>17114</v>
      </c>
      <c r="F5286" s="490">
        <v>189987</v>
      </c>
      <c r="G5286" s="489">
        <v>1728.5</v>
      </c>
      <c r="H5286" s="489">
        <v>109.91437999999999</v>
      </c>
      <c r="I5286" s="487" t="s">
        <v>1499</v>
      </c>
      <c r="J5286" s="487" t="s">
        <v>884</v>
      </c>
    </row>
    <row r="5287" spans="1:10" ht="15" x14ac:dyDescent="0.2">
      <c r="A5287" s="486" t="s">
        <v>883</v>
      </c>
      <c r="B5287" s="487" t="s">
        <v>882</v>
      </c>
      <c r="C5287" s="488" t="s">
        <v>17115</v>
      </c>
      <c r="D5287" s="489" t="s">
        <v>17116</v>
      </c>
      <c r="E5287" s="487" t="s">
        <v>17117</v>
      </c>
      <c r="F5287" s="490">
        <v>23125</v>
      </c>
      <c r="G5287" s="489">
        <v>227.5</v>
      </c>
      <c r="H5287" s="489">
        <v>101.64834999999999</v>
      </c>
      <c r="I5287" s="487" t="s">
        <v>1499</v>
      </c>
      <c r="J5287" s="487" t="s">
        <v>884</v>
      </c>
    </row>
    <row r="5288" spans="1:10" ht="15" x14ac:dyDescent="0.2">
      <c r="A5288" s="486" t="s">
        <v>883</v>
      </c>
      <c r="B5288" s="487" t="s">
        <v>882</v>
      </c>
      <c r="C5288" s="488" t="s">
        <v>17118</v>
      </c>
      <c r="D5288" s="489" t="s">
        <v>17119</v>
      </c>
      <c r="E5288" s="487" t="s">
        <v>17120</v>
      </c>
      <c r="F5288" s="490">
        <v>96000</v>
      </c>
      <c r="G5288" s="489">
        <v>1113.3</v>
      </c>
      <c r="H5288" s="489">
        <v>86.230130000000003</v>
      </c>
      <c r="I5288" s="487" t="s">
        <v>1499</v>
      </c>
      <c r="J5288" s="487" t="s">
        <v>884</v>
      </c>
    </row>
    <row r="5289" spans="1:10" ht="15" x14ac:dyDescent="0.2">
      <c r="A5289" s="486" t="s">
        <v>883</v>
      </c>
      <c r="B5289" s="487" t="s">
        <v>882</v>
      </c>
      <c r="C5289" s="488" t="s">
        <v>17121</v>
      </c>
      <c r="D5289" s="489" t="s">
        <v>17122</v>
      </c>
      <c r="E5289" s="487" t="s">
        <v>17123</v>
      </c>
      <c r="F5289" s="490">
        <v>8372</v>
      </c>
      <c r="G5289" s="489">
        <v>96.7</v>
      </c>
      <c r="H5289" s="489">
        <v>86.577039999999997</v>
      </c>
      <c r="I5289" s="487" t="s">
        <v>1499</v>
      </c>
      <c r="J5289" s="487" t="s">
        <v>884</v>
      </c>
    </row>
    <row r="5290" spans="1:10" ht="15" x14ac:dyDescent="0.2">
      <c r="A5290" s="486" t="s">
        <v>883</v>
      </c>
      <c r="B5290" s="487" t="s">
        <v>882</v>
      </c>
      <c r="C5290" s="488" t="s">
        <v>17124</v>
      </c>
      <c r="D5290" s="489" t="s">
        <v>17125</v>
      </c>
      <c r="E5290" s="487" t="s">
        <v>17126</v>
      </c>
      <c r="F5290" s="490">
        <v>43118</v>
      </c>
      <c r="G5290" s="489">
        <v>489.6</v>
      </c>
      <c r="H5290" s="489">
        <v>88.067809999999994</v>
      </c>
      <c r="I5290" s="487" t="s">
        <v>1499</v>
      </c>
      <c r="J5290" s="487" t="s">
        <v>884</v>
      </c>
    </row>
    <row r="5291" spans="1:10" ht="15" x14ac:dyDescent="0.2">
      <c r="A5291" s="486" t="s">
        <v>883</v>
      </c>
      <c r="B5291" s="487" t="s">
        <v>882</v>
      </c>
      <c r="C5291" s="488" t="s">
        <v>17127</v>
      </c>
      <c r="D5291" s="489" t="s">
        <v>17128</v>
      </c>
      <c r="E5291" s="487" t="s">
        <v>17129</v>
      </c>
      <c r="F5291" s="490">
        <v>244077</v>
      </c>
      <c r="G5291" s="489">
        <v>1607.3</v>
      </c>
      <c r="H5291" s="489">
        <v>151.85529</v>
      </c>
      <c r="I5291" s="487" t="s">
        <v>1499</v>
      </c>
      <c r="J5291" s="487" t="s">
        <v>884</v>
      </c>
    </row>
    <row r="5292" spans="1:10" ht="15" x14ac:dyDescent="0.2">
      <c r="A5292" s="486" t="s">
        <v>883</v>
      </c>
      <c r="B5292" s="487" t="s">
        <v>882</v>
      </c>
      <c r="C5292" s="488" t="s">
        <v>17130</v>
      </c>
      <c r="D5292" s="489" t="s">
        <v>17131</v>
      </c>
      <c r="E5292" s="487" t="s">
        <v>17132</v>
      </c>
      <c r="F5292" s="490">
        <v>41000</v>
      </c>
      <c r="G5292" s="489">
        <v>448.7</v>
      </c>
      <c r="H5292" s="489">
        <v>91.375079999999997</v>
      </c>
      <c r="I5292" s="487" t="s">
        <v>1499</v>
      </c>
      <c r="J5292" s="487" t="s">
        <v>884</v>
      </c>
    </row>
    <row r="5293" spans="1:10" ht="15" x14ac:dyDescent="0.2">
      <c r="A5293" s="486" t="s">
        <v>883</v>
      </c>
      <c r="B5293" s="487" t="s">
        <v>882</v>
      </c>
      <c r="C5293" s="488" t="s">
        <v>17133</v>
      </c>
      <c r="D5293" s="489" t="s">
        <v>17134</v>
      </c>
      <c r="E5293" s="487" t="s">
        <v>17135</v>
      </c>
      <c r="F5293" s="490">
        <v>35000</v>
      </c>
      <c r="G5293" s="489">
        <v>583.5</v>
      </c>
      <c r="H5293" s="489">
        <v>59.982860000000002</v>
      </c>
      <c r="I5293" s="487" t="s">
        <v>1499</v>
      </c>
      <c r="J5293" s="487" t="s">
        <v>884</v>
      </c>
    </row>
    <row r="5294" spans="1:10" ht="15" x14ac:dyDescent="0.2">
      <c r="A5294" s="486" t="s">
        <v>883</v>
      </c>
      <c r="B5294" s="487" t="s">
        <v>882</v>
      </c>
      <c r="C5294" s="488" t="s">
        <v>17136</v>
      </c>
      <c r="D5294" s="489" t="s">
        <v>17137</v>
      </c>
      <c r="E5294" s="487" t="s">
        <v>17138</v>
      </c>
      <c r="F5294" s="490">
        <v>19957</v>
      </c>
      <c r="G5294" s="489">
        <v>291.2</v>
      </c>
      <c r="H5294" s="489">
        <v>68.533649999999994</v>
      </c>
      <c r="I5294" s="487" t="s">
        <v>1499</v>
      </c>
      <c r="J5294" s="487" t="s">
        <v>884</v>
      </c>
    </row>
    <row r="5295" spans="1:10" ht="15" x14ac:dyDescent="0.2">
      <c r="A5295" s="486" t="s">
        <v>883</v>
      </c>
      <c r="B5295" s="487" t="s">
        <v>882</v>
      </c>
      <c r="C5295" s="488" t="s">
        <v>17139</v>
      </c>
      <c r="D5295" s="489" t="s">
        <v>17140</v>
      </c>
      <c r="E5295" s="487" t="s">
        <v>17141</v>
      </c>
      <c r="F5295" s="490">
        <v>88000</v>
      </c>
      <c r="G5295" s="489">
        <v>856.5</v>
      </c>
      <c r="H5295" s="489">
        <v>102.74372</v>
      </c>
      <c r="I5295" s="487" t="s">
        <v>1499</v>
      </c>
      <c r="J5295" s="487" t="s">
        <v>884</v>
      </c>
    </row>
    <row r="5296" spans="1:10" ht="15" x14ac:dyDescent="0.2">
      <c r="A5296" s="486" t="s">
        <v>883</v>
      </c>
      <c r="B5296" s="487" t="s">
        <v>882</v>
      </c>
      <c r="C5296" s="488" t="s">
        <v>17142</v>
      </c>
      <c r="D5296" s="489" t="s">
        <v>17143</v>
      </c>
      <c r="E5296" s="487" t="s">
        <v>17144</v>
      </c>
      <c r="F5296" s="490">
        <v>23984</v>
      </c>
      <c r="G5296" s="489">
        <v>240.8</v>
      </c>
      <c r="H5296" s="489">
        <v>99.601330000000004</v>
      </c>
      <c r="I5296" s="487" t="s">
        <v>1499</v>
      </c>
      <c r="J5296" s="487" t="s">
        <v>884</v>
      </c>
    </row>
    <row r="5297" spans="1:10" ht="15" x14ac:dyDescent="0.2">
      <c r="A5297" s="486" t="s">
        <v>883</v>
      </c>
      <c r="B5297" s="487" t="s">
        <v>882</v>
      </c>
      <c r="C5297" s="488" t="s">
        <v>17145</v>
      </c>
      <c r="D5297" s="489" t="s">
        <v>17146</v>
      </c>
      <c r="E5297" s="487" t="s">
        <v>17147</v>
      </c>
      <c r="F5297" s="490">
        <v>31740</v>
      </c>
      <c r="G5297" s="489">
        <v>387.4</v>
      </c>
      <c r="H5297" s="489">
        <v>81.930819999999997</v>
      </c>
      <c r="I5297" s="487" t="s">
        <v>1499</v>
      </c>
      <c r="J5297" s="487" t="s">
        <v>884</v>
      </c>
    </row>
    <row r="5298" spans="1:10" ht="15" x14ac:dyDescent="0.2">
      <c r="A5298" s="486" t="s">
        <v>883</v>
      </c>
      <c r="B5298" s="487" t="s">
        <v>882</v>
      </c>
      <c r="C5298" s="488" t="s">
        <v>17148</v>
      </c>
      <c r="D5298" s="489" t="s">
        <v>17149</v>
      </c>
      <c r="E5298" s="487" t="s">
        <v>17150</v>
      </c>
      <c r="F5298" s="490">
        <v>52545</v>
      </c>
      <c r="G5298" s="489">
        <v>638.79999999999995</v>
      </c>
      <c r="H5298" s="489">
        <v>82.255790000000005</v>
      </c>
      <c r="I5298" s="487" t="s">
        <v>1499</v>
      </c>
      <c r="J5298" s="487" t="s">
        <v>884</v>
      </c>
    </row>
    <row r="5299" spans="1:10" ht="15" x14ac:dyDescent="0.2">
      <c r="A5299" s="486" t="s">
        <v>980</v>
      </c>
      <c r="B5299" s="487" t="s">
        <v>979</v>
      </c>
      <c r="C5299" s="488" t="s">
        <v>17151</v>
      </c>
      <c r="D5299" s="489" t="s">
        <v>17152</v>
      </c>
      <c r="E5299" s="487" t="s">
        <v>17153</v>
      </c>
      <c r="F5299" s="490">
        <v>10500</v>
      </c>
      <c r="G5299" s="489">
        <v>256.44</v>
      </c>
      <c r="H5299" s="489">
        <v>40.945250000000001</v>
      </c>
      <c r="I5299" s="487" t="s">
        <v>1499</v>
      </c>
      <c r="J5299" s="487" t="s">
        <v>981</v>
      </c>
    </row>
    <row r="5300" spans="1:10" ht="15" x14ac:dyDescent="0.2">
      <c r="A5300" s="486" t="s">
        <v>980</v>
      </c>
      <c r="B5300" s="487" t="s">
        <v>979</v>
      </c>
      <c r="C5300" s="488" t="s">
        <v>17154</v>
      </c>
      <c r="D5300" s="489" t="s">
        <v>17155</v>
      </c>
      <c r="E5300" s="487" t="s">
        <v>17156</v>
      </c>
      <c r="F5300" s="490">
        <v>148564</v>
      </c>
      <c r="G5300" s="489">
        <v>1226.75</v>
      </c>
      <c r="H5300" s="489">
        <v>121.10373</v>
      </c>
      <c r="I5300" s="487" t="s">
        <v>1499</v>
      </c>
      <c r="J5300" s="487" t="s">
        <v>981</v>
      </c>
    </row>
    <row r="5301" spans="1:10" ht="15" x14ac:dyDescent="0.2">
      <c r="A5301" s="486" t="s">
        <v>980</v>
      </c>
      <c r="B5301" s="487" t="s">
        <v>979</v>
      </c>
      <c r="C5301" s="488" t="s">
        <v>17157</v>
      </c>
      <c r="D5301" s="489" t="s">
        <v>17158</v>
      </c>
      <c r="E5301" s="487" t="s">
        <v>17159</v>
      </c>
      <c r="F5301" s="490">
        <v>19000</v>
      </c>
      <c r="G5301" s="489">
        <v>130.58000000000001</v>
      </c>
      <c r="H5301" s="489">
        <v>145.50467</v>
      </c>
      <c r="I5301" s="487" t="s">
        <v>1499</v>
      </c>
      <c r="J5301" s="487" t="s">
        <v>981</v>
      </c>
    </row>
    <row r="5302" spans="1:10" ht="15" x14ac:dyDescent="0.2">
      <c r="A5302" s="486" t="s">
        <v>980</v>
      </c>
      <c r="B5302" s="487" t="s">
        <v>979</v>
      </c>
      <c r="C5302" s="488" t="s">
        <v>17160</v>
      </c>
      <c r="D5302" s="489" t="s">
        <v>17161</v>
      </c>
      <c r="E5302" s="487" t="s">
        <v>14628</v>
      </c>
      <c r="F5302" s="490">
        <v>141725</v>
      </c>
      <c r="G5302" s="489">
        <v>1558.48</v>
      </c>
      <c r="H5302" s="489">
        <v>90.937970000000007</v>
      </c>
      <c r="I5302" s="487" t="s">
        <v>1499</v>
      </c>
      <c r="J5302" s="487" t="s">
        <v>981</v>
      </c>
    </row>
    <row r="5303" spans="1:10" ht="15" x14ac:dyDescent="0.2">
      <c r="A5303" s="486" t="s">
        <v>980</v>
      </c>
      <c r="B5303" s="487" t="s">
        <v>979</v>
      </c>
      <c r="C5303" s="488" t="s">
        <v>17162</v>
      </c>
      <c r="D5303" s="489" t="s">
        <v>17163</v>
      </c>
      <c r="E5303" s="487" t="s">
        <v>17164</v>
      </c>
      <c r="F5303" s="490">
        <v>39000</v>
      </c>
      <c r="G5303" s="489">
        <v>676.35</v>
      </c>
      <c r="H5303" s="489">
        <v>57.66245</v>
      </c>
      <c r="I5303" s="487" t="s">
        <v>1499</v>
      </c>
      <c r="J5303" s="487" t="s">
        <v>981</v>
      </c>
    </row>
    <row r="5304" spans="1:10" ht="15" x14ac:dyDescent="0.2">
      <c r="A5304" s="486" t="s">
        <v>980</v>
      </c>
      <c r="B5304" s="487" t="s">
        <v>979</v>
      </c>
      <c r="C5304" s="488" t="s">
        <v>17165</v>
      </c>
      <c r="D5304" s="489" t="s">
        <v>17166</v>
      </c>
      <c r="E5304" s="487" t="s">
        <v>17167</v>
      </c>
      <c r="F5304" s="490">
        <v>6750</v>
      </c>
      <c r="G5304" s="489">
        <v>146.41</v>
      </c>
      <c r="H5304" s="489">
        <v>46.103409999999997</v>
      </c>
      <c r="I5304" s="487" t="s">
        <v>1499</v>
      </c>
      <c r="J5304" s="487" t="s">
        <v>981</v>
      </c>
    </row>
    <row r="5305" spans="1:10" ht="15" x14ac:dyDescent="0.2">
      <c r="A5305" s="486" t="s">
        <v>980</v>
      </c>
      <c r="B5305" s="487" t="s">
        <v>979</v>
      </c>
      <c r="C5305" s="488" t="s">
        <v>17168</v>
      </c>
      <c r="D5305" s="489" t="s">
        <v>17169</v>
      </c>
      <c r="E5305" s="487" t="s">
        <v>17170</v>
      </c>
      <c r="F5305" s="490">
        <v>34017</v>
      </c>
      <c r="G5305" s="489">
        <v>462.11</v>
      </c>
      <c r="H5305" s="489">
        <v>73.612340000000003</v>
      </c>
      <c r="I5305" s="487" t="s">
        <v>1499</v>
      </c>
      <c r="J5305" s="487" t="s">
        <v>981</v>
      </c>
    </row>
    <row r="5306" spans="1:10" ht="15" x14ac:dyDescent="0.2">
      <c r="A5306" s="486" t="s">
        <v>980</v>
      </c>
      <c r="B5306" s="487" t="s">
        <v>979</v>
      </c>
      <c r="C5306" s="488" t="s">
        <v>17171</v>
      </c>
      <c r="D5306" s="489" t="s">
        <v>17172</v>
      </c>
      <c r="E5306" s="487" t="s">
        <v>17173</v>
      </c>
      <c r="F5306" s="490">
        <v>120000</v>
      </c>
      <c r="G5306" s="489">
        <v>1157.52</v>
      </c>
      <c r="H5306" s="489">
        <v>103.66991</v>
      </c>
      <c r="I5306" s="487" t="s">
        <v>1499</v>
      </c>
      <c r="J5306" s="487" t="s">
        <v>981</v>
      </c>
    </row>
    <row r="5307" spans="1:10" ht="15" x14ac:dyDescent="0.2">
      <c r="A5307" s="486" t="s">
        <v>980</v>
      </c>
      <c r="B5307" s="487" t="s">
        <v>979</v>
      </c>
      <c r="C5307" s="488" t="s">
        <v>17174</v>
      </c>
      <c r="D5307" s="489" t="s">
        <v>17175</v>
      </c>
      <c r="E5307" s="487" t="s">
        <v>17176</v>
      </c>
      <c r="F5307" s="490">
        <v>17325</v>
      </c>
      <c r="G5307" s="489">
        <v>237.57</v>
      </c>
      <c r="H5307" s="489">
        <v>72.925870000000003</v>
      </c>
      <c r="I5307" s="487" t="s">
        <v>1499</v>
      </c>
      <c r="J5307" s="487" t="s">
        <v>981</v>
      </c>
    </row>
    <row r="5308" spans="1:10" ht="15" x14ac:dyDescent="0.2">
      <c r="A5308" s="486" t="s">
        <v>980</v>
      </c>
      <c r="B5308" s="487" t="s">
        <v>979</v>
      </c>
      <c r="C5308" s="488" t="s">
        <v>17177</v>
      </c>
      <c r="D5308" s="489" t="s">
        <v>17178</v>
      </c>
      <c r="E5308" s="487" t="s">
        <v>4191</v>
      </c>
      <c r="F5308" s="490">
        <v>30000</v>
      </c>
      <c r="G5308" s="489">
        <v>335.03</v>
      </c>
      <c r="H5308" s="489">
        <v>89.544219999999996</v>
      </c>
      <c r="I5308" s="487" t="s">
        <v>1499</v>
      </c>
      <c r="J5308" s="487" t="s">
        <v>981</v>
      </c>
    </row>
    <row r="5309" spans="1:10" ht="15" x14ac:dyDescent="0.2">
      <c r="A5309" s="486" t="s">
        <v>980</v>
      </c>
      <c r="B5309" s="487" t="s">
        <v>979</v>
      </c>
      <c r="C5309" s="488" t="s">
        <v>17179</v>
      </c>
      <c r="D5309" s="489" t="s">
        <v>17180</v>
      </c>
      <c r="E5309" s="487" t="s">
        <v>17181</v>
      </c>
      <c r="F5309" s="490">
        <v>3064</v>
      </c>
      <c r="G5309" s="489">
        <v>122.93</v>
      </c>
      <c r="H5309" s="489">
        <v>24.92475</v>
      </c>
      <c r="I5309" s="487" t="s">
        <v>1499</v>
      </c>
      <c r="J5309" s="487" t="s">
        <v>981</v>
      </c>
    </row>
    <row r="5310" spans="1:10" ht="15" x14ac:dyDescent="0.2">
      <c r="A5310" s="486" t="s">
        <v>980</v>
      </c>
      <c r="B5310" s="487" t="s">
        <v>979</v>
      </c>
      <c r="C5310" s="488" t="s">
        <v>17182</v>
      </c>
      <c r="D5310" s="489" t="s">
        <v>17183</v>
      </c>
      <c r="E5310" s="487" t="s">
        <v>17184</v>
      </c>
      <c r="F5310" s="490">
        <v>13250</v>
      </c>
      <c r="G5310" s="489">
        <v>345.9</v>
      </c>
      <c r="H5310" s="489">
        <v>38.305869999999999</v>
      </c>
      <c r="I5310" s="487" t="s">
        <v>1499</v>
      </c>
      <c r="J5310" s="487" t="s">
        <v>981</v>
      </c>
    </row>
    <row r="5311" spans="1:10" ht="15" x14ac:dyDescent="0.2">
      <c r="A5311" s="486" t="s">
        <v>980</v>
      </c>
      <c r="B5311" s="487" t="s">
        <v>979</v>
      </c>
      <c r="C5311" s="488" t="s">
        <v>17185</v>
      </c>
      <c r="D5311" s="489" t="s">
        <v>17186</v>
      </c>
      <c r="E5311" s="487" t="s">
        <v>17187</v>
      </c>
      <c r="F5311" s="490">
        <v>21000</v>
      </c>
      <c r="G5311" s="489">
        <v>381.73</v>
      </c>
      <c r="H5311" s="489">
        <v>55.012709999999998</v>
      </c>
      <c r="I5311" s="487" t="s">
        <v>1499</v>
      </c>
      <c r="J5311" s="487" t="s">
        <v>981</v>
      </c>
    </row>
    <row r="5312" spans="1:10" ht="15" x14ac:dyDescent="0.2">
      <c r="A5312" s="486" t="s">
        <v>980</v>
      </c>
      <c r="B5312" s="487" t="s">
        <v>979</v>
      </c>
      <c r="C5312" s="488" t="s">
        <v>17188</v>
      </c>
      <c r="D5312" s="489" t="s">
        <v>17189</v>
      </c>
      <c r="E5312" s="487" t="s">
        <v>17190</v>
      </c>
      <c r="F5312" s="490">
        <v>2500</v>
      </c>
      <c r="G5312" s="489">
        <v>33.369999999999997</v>
      </c>
      <c r="H5312" s="489">
        <v>74.917590000000004</v>
      </c>
      <c r="I5312" s="487" t="s">
        <v>1499</v>
      </c>
      <c r="J5312" s="487" t="s">
        <v>981</v>
      </c>
    </row>
    <row r="5313" spans="1:10" ht="15" x14ac:dyDescent="0.2">
      <c r="A5313" s="486" t="s">
        <v>980</v>
      </c>
      <c r="B5313" s="487" t="s">
        <v>979</v>
      </c>
      <c r="C5313" s="488" t="s">
        <v>17191</v>
      </c>
      <c r="D5313" s="489" t="s">
        <v>17192</v>
      </c>
      <c r="E5313" s="487" t="s">
        <v>17193</v>
      </c>
      <c r="F5313" s="490">
        <v>11300</v>
      </c>
      <c r="G5313" s="489">
        <v>134.4</v>
      </c>
      <c r="H5313" s="489">
        <v>84.077380000000005</v>
      </c>
      <c r="I5313" s="487" t="s">
        <v>1499</v>
      </c>
      <c r="J5313" s="487" t="s">
        <v>981</v>
      </c>
    </row>
    <row r="5314" spans="1:10" ht="15" x14ac:dyDescent="0.2">
      <c r="A5314" s="486" t="s">
        <v>980</v>
      </c>
      <c r="B5314" s="487" t="s">
        <v>979</v>
      </c>
      <c r="C5314" s="488" t="s">
        <v>17194</v>
      </c>
      <c r="D5314" s="489" t="s">
        <v>17195</v>
      </c>
      <c r="E5314" s="487" t="s">
        <v>17196</v>
      </c>
      <c r="F5314" s="490">
        <v>30500</v>
      </c>
      <c r="G5314" s="489">
        <v>329.99</v>
      </c>
      <c r="H5314" s="489">
        <v>92.427040000000005</v>
      </c>
      <c r="I5314" s="487" t="s">
        <v>1499</v>
      </c>
      <c r="J5314" s="487" t="s">
        <v>981</v>
      </c>
    </row>
    <row r="5315" spans="1:10" ht="15" x14ac:dyDescent="0.2">
      <c r="A5315" s="486" t="s">
        <v>980</v>
      </c>
      <c r="B5315" s="487" t="s">
        <v>979</v>
      </c>
      <c r="C5315" s="488" t="s">
        <v>17197</v>
      </c>
      <c r="D5315" s="489" t="s">
        <v>17198</v>
      </c>
      <c r="E5315" s="487" t="s">
        <v>17199</v>
      </c>
      <c r="F5315" s="490">
        <v>10558</v>
      </c>
      <c r="G5315" s="489">
        <v>160.31</v>
      </c>
      <c r="H5315" s="489">
        <v>65.859899999999996</v>
      </c>
      <c r="I5315" s="487" t="s">
        <v>1499</v>
      </c>
      <c r="J5315" s="487" t="s">
        <v>981</v>
      </c>
    </row>
    <row r="5316" spans="1:10" ht="15" x14ac:dyDescent="0.2">
      <c r="A5316" s="486" t="s">
        <v>980</v>
      </c>
      <c r="B5316" s="487" t="s">
        <v>979</v>
      </c>
      <c r="C5316" s="488" t="s">
        <v>17200</v>
      </c>
      <c r="D5316" s="489" t="s">
        <v>17201</v>
      </c>
      <c r="E5316" s="487" t="s">
        <v>17202</v>
      </c>
      <c r="F5316" s="490">
        <v>19764</v>
      </c>
      <c r="G5316" s="489">
        <v>157.19</v>
      </c>
      <c r="H5316" s="489">
        <v>125.73318999999999</v>
      </c>
      <c r="I5316" s="487" t="s">
        <v>1499</v>
      </c>
      <c r="J5316" s="487" t="s">
        <v>981</v>
      </c>
    </row>
    <row r="5317" spans="1:10" ht="15" x14ac:dyDescent="0.2">
      <c r="A5317" s="486" t="s">
        <v>980</v>
      </c>
      <c r="B5317" s="487" t="s">
        <v>979</v>
      </c>
      <c r="C5317" s="488" t="s">
        <v>17203</v>
      </c>
      <c r="D5317" s="489" t="s">
        <v>17204</v>
      </c>
      <c r="E5317" s="487" t="s">
        <v>17205</v>
      </c>
      <c r="F5317" s="490">
        <v>45000</v>
      </c>
      <c r="G5317" s="489">
        <v>397.74</v>
      </c>
      <c r="H5317" s="489">
        <v>113.13924</v>
      </c>
      <c r="I5317" s="487" t="s">
        <v>1499</v>
      </c>
      <c r="J5317" s="487" t="s">
        <v>981</v>
      </c>
    </row>
    <row r="5318" spans="1:10" ht="15" x14ac:dyDescent="0.2">
      <c r="A5318" s="486" t="s">
        <v>980</v>
      </c>
      <c r="B5318" s="487" t="s">
        <v>979</v>
      </c>
      <c r="C5318" s="488" t="s">
        <v>17206</v>
      </c>
      <c r="D5318" s="489" t="s">
        <v>17207</v>
      </c>
      <c r="E5318" s="487" t="s">
        <v>17208</v>
      </c>
      <c r="F5318" s="490">
        <v>25000</v>
      </c>
      <c r="G5318" s="489">
        <v>270.41000000000003</v>
      </c>
      <c r="H5318" s="489">
        <v>92.452200000000005</v>
      </c>
      <c r="I5318" s="487" t="s">
        <v>1499</v>
      </c>
      <c r="J5318" s="487" t="s">
        <v>981</v>
      </c>
    </row>
    <row r="5319" spans="1:10" ht="15" x14ac:dyDescent="0.2">
      <c r="A5319" s="486" t="s">
        <v>980</v>
      </c>
      <c r="B5319" s="487" t="s">
        <v>979</v>
      </c>
      <c r="C5319" s="488" t="s">
        <v>17209</v>
      </c>
      <c r="D5319" s="489" t="s">
        <v>17210</v>
      </c>
      <c r="E5319" s="487" t="s">
        <v>17211</v>
      </c>
      <c r="F5319" s="490">
        <v>39000</v>
      </c>
      <c r="G5319" s="489">
        <v>412.82</v>
      </c>
      <c r="H5319" s="489">
        <v>94.472170000000006</v>
      </c>
      <c r="I5319" s="487" t="s">
        <v>1499</v>
      </c>
      <c r="J5319" s="487" t="s">
        <v>981</v>
      </c>
    </row>
    <row r="5320" spans="1:10" ht="15" x14ac:dyDescent="0.2">
      <c r="A5320" s="486" t="s">
        <v>980</v>
      </c>
      <c r="B5320" s="487" t="s">
        <v>979</v>
      </c>
      <c r="C5320" s="488" t="s">
        <v>17212</v>
      </c>
      <c r="D5320" s="489" t="s">
        <v>17213</v>
      </c>
      <c r="E5320" s="487" t="s">
        <v>17214</v>
      </c>
      <c r="F5320" s="490">
        <v>8000</v>
      </c>
      <c r="G5320" s="489">
        <v>260.7</v>
      </c>
      <c r="H5320" s="489">
        <v>30.686610000000002</v>
      </c>
      <c r="I5320" s="487" t="s">
        <v>1499</v>
      </c>
      <c r="J5320" s="487" t="s">
        <v>981</v>
      </c>
    </row>
    <row r="5321" spans="1:10" ht="15" x14ac:dyDescent="0.2">
      <c r="A5321" s="486" t="s">
        <v>980</v>
      </c>
      <c r="B5321" s="487" t="s">
        <v>979</v>
      </c>
      <c r="C5321" s="488" t="s">
        <v>17215</v>
      </c>
      <c r="D5321" s="489" t="s">
        <v>17216</v>
      </c>
      <c r="E5321" s="487" t="s">
        <v>17217</v>
      </c>
      <c r="F5321" s="490">
        <v>34500</v>
      </c>
      <c r="G5321" s="489">
        <v>340.42</v>
      </c>
      <c r="H5321" s="489">
        <v>101.3454</v>
      </c>
      <c r="I5321" s="487" t="s">
        <v>1499</v>
      </c>
      <c r="J5321" s="487" t="s">
        <v>981</v>
      </c>
    </row>
    <row r="5322" spans="1:10" ht="15" x14ac:dyDescent="0.2">
      <c r="A5322" s="486" t="s">
        <v>980</v>
      </c>
      <c r="B5322" s="487" t="s">
        <v>979</v>
      </c>
      <c r="C5322" s="488" t="s">
        <v>17218</v>
      </c>
      <c r="D5322" s="489" t="s">
        <v>17219</v>
      </c>
      <c r="E5322" s="487" t="s">
        <v>17220</v>
      </c>
      <c r="F5322" s="490">
        <v>11000</v>
      </c>
      <c r="G5322" s="489">
        <v>307.29000000000002</v>
      </c>
      <c r="H5322" s="489">
        <v>35.796799999999998</v>
      </c>
      <c r="I5322" s="487" t="s">
        <v>1499</v>
      </c>
      <c r="J5322" s="487" t="s">
        <v>981</v>
      </c>
    </row>
    <row r="5323" spans="1:10" ht="15" x14ac:dyDescent="0.2">
      <c r="A5323" s="486" t="s">
        <v>980</v>
      </c>
      <c r="B5323" s="487" t="s">
        <v>979</v>
      </c>
      <c r="C5323" s="488" t="s">
        <v>17221</v>
      </c>
      <c r="D5323" s="489" t="s">
        <v>17222</v>
      </c>
      <c r="E5323" s="487" t="s">
        <v>17223</v>
      </c>
      <c r="F5323" s="490">
        <v>46953</v>
      </c>
      <c r="G5323" s="489">
        <v>580.29</v>
      </c>
      <c r="H5323" s="489">
        <v>80.912989999999994</v>
      </c>
      <c r="I5323" s="487" t="s">
        <v>1499</v>
      </c>
      <c r="J5323" s="487" t="s">
        <v>981</v>
      </c>
    </row>
    <row r="5324" spans="1:10" ht="15" x14ac:dyDescent="0.2">
      <c r="A5324" s="486" t="s">
        <v>980</v>
      </c>
      <c r="B5324" s="487" t="s">
        <v>979</v>
      </c>
      <c r="C5324" s="488" t="s">
        <v>17224</v>
      </c>
      <c r="D5324" s="489" t="s">
        <v>17225</v>
      </c>
      <c r="E5324" s="487" t="s">
        <v>17226</v>
      </c>
      <c r="F5324" s="490">
        <v>23000</v>
      </c>
      <c r="G5324" s="489">
        <v>342.33</v>
      </c>
      <c r="H5324" s="489">
        <v>67.186629999999994</v>
      </c>
      <c r="I5324" s="487" t="s">
        <v>1499</v>
      </c>
      <c r="J5324" s="487" t="s">
        <v>981</v>
      </c>
    </row>
    <row r="5325" spans="1:10" ht="15" x14ac:dyDescent="0.2">
      <c r="A5325" s="486" t="s">
        <v>1059</v>
      </c>
      <c r="B5325" s="487" t="s">
        <v>1058</v>
      </c>
      <c r="C5325" s="488" t="s">
        <v>17227</v>
      </c>
      <c r="D5325" s="489" t="s">
        <v>17228</v>
      </c>
      <c r="E5325" s="487" t="s">
        <v>17229</v>
      </c>
      <c r="F5325" s="490">
        <v>28000</v>
      </c>
      <c r="G5325" s="489">
        <v>550</v>
      </c>
      <c r="H5325" s="489">
        <v>50.909089999999999</v>
      </c>
      <c r="I5325" s="487" t="s">
        <v>1499</v>
      </c>
      <c r="J5325" s="487" t="s">
        <v>1060</v>
      </c>
    </row>
    <row r="5326" spans="1:10" ht="15" x14ac:dyDescent="0.2">
      <c r="A5326" s="486" t="s">
        <v>1059</v>
      </c>
      <c r="B5326" s="487" t="s">
        <v>1058</v>
      </c>
      <c r="C5326" s="488" t="s">
        <v>17230</v>
      </c>
      <c r="D5326" s="489" t="s">
        <v>17231</v>
      </c>
      <c r="E5326" s="487" t="s">
        <v>17232</v>
      </c>
      <c r="F5326" s="490">
        <v>137416</v>
      </c>
      <c r="G5326" s="489">
        <v>1413</v>
      </c>
      <c r="H5326" s="489">
        <v>97.251239999999996</v>
      </c>
      <c r="I5326" s="487" t="s">
        <v>1499</v>
      </c>
      <c r="J5326" s="487" t="s">
        <v>1060</v>
      </c>
    </row>
    <row r="5327" spans="1:10" ht="15" x14ac:dyDescent="0.2">
      <c r="A5327" s="486" t="s">
        <v>1059</v>
      </c>
      <c r="B5327" s="487" t="s">
        <v>1058</v>
      </c>
      <c r="C5327" s="488" t="s">
        <v>17233</v>
      </c>
      <c r="D5327" s="489" t="s">
        <v>17234</v>
      </c>
      <c r="E5327" s="487" t="s">
        <v>17235</v>
      </c>
      <c r="F5327" s="490">
        <v>825089.76</v>
      </c>
      <c r="G5327" s="489">
        <v>6444</v>
      </c>
      <c r="H5327" s="489">
        <v>128.04</v>
      </c>
      <c r="I5327" s="487" t="s">
        <v>1499</v>
      </c>
      <c r="J5327" s="487" t="s">
        <v>1060</v>
      </c>
    </row>
    <row r="5328" spans="1:10" ht="15" x14ac:dyDescent="0.2">
      <c r="A5328" s="486" t="s">
        <v>1059</v>
      </c>
      <c r="B5328" s="487" t="s">
        <v>1058</v>
      </c>
      <c r="C5328" s="488" t="s">
        <v>17236</v>
      </c>
      <c r="D5328" s="489" t="s">
        <v>17237</v>
      </c>
      <c r="E5328" s="487" t="s">
        <v>14622</v>
      </c>
      <c r="F5328" s="490">
        <v>31500</v>
      </c>
      <c r="G5328" s="489">
        <v>312</v>
      </c>
      <c r="H5328" s="489">
        <v>100.96154</v>
      </c>
      <c r="I5328" s="487" t="s">
        <v>1499</v>
      </c>
      <c r="J5328" s="487" t="s">
        <v>1060</v>
      </c>
    </row>
    <row r="5329" spans="1:10" ht="15" x14ac:dyDescent="0.2">
      <c r="A5329" s="486" t="s">
        <v>1059</v>
      </c>
      <c r="B5329" s="487" t="s">
        <v>1058</v>
      </c>
      <c r="C5329" s="488" t="s">
        <v>17238</v>
      </c>
      <c r="D5329" s="489" t="s">
        <v>17239</v>
      </c>
      <c r="E5329" s="487" t="s">
        <v>17240</v>
      </c>
      <c r="F5329" s="490">
        <v>32089</v>
      </c>
      <c r="G5329" s="489">
        <v>513</v>
      </c>
      <c r="H5329" s="489">
        <v>62.551659999999998</v>
      </c>
      <c r="I5329" s="487" t="s">
        <v>1499</v>
      </c>
      <c r="J5329" s="487" t="s">
        <v>1060</v>
      </c>
    </row>
    <row r="5330" spans="1:10" ht="15" x14ac:dyDescent="0.2">
      <c r="A5330" s="486" t="s">
        <v>1059</v>
      </c>
      <c r="B5330" s="487" t="s">
        <v>1058</v>
      </c>
      <c r="C5330" s="488" t="s">
        <v>17241</v>
      </c>
      <c r="D5330" s="489" t="s">
        <v>17242</v>
      </c>
      <c r="E5330" s="487" t="s">
        <v>17243</v>
      </c>
      <c r="F5330" s="490">
        <v>503777</v>
      </c>
      <c r="G5330" s="489">
        <v>3024</v>
      </c>
      <c r="H5330" s="489">
        <v>166.59291999999999</v>
      </c>
      <c r="I5330" s="487" t="s">
        <v>1499</v>
      </c>
      <c r="J5330" s="487" t="s">
        <v>1060</v>
      </c>
    </row>
    <row r="5331" spans="1:10" ht="15" x14ac:dyDescent="0.2">
      <c r="A5331" s="486" t="s">
        <v>1059</v>
      </c>
      <c r="B5331" s="487" t="s">
        <v>1058</v>
      </c>
      <c r="C5331" s="488" t="s">
        <v>17244</v>
      </c>
      <c r="D5331" s="489" t="s">
        <v>17245</v>
      </c>
      <c r="E5331" s="487" t="s">
        <v>17246</v>
      </c>
      <c r="F5331" s="490">
        <v>12894</v>
      </c>
      <c r="G5331" s="489">
        <v>77</v>
      </c>
      <c r="H5331" s="489">
        <v>167.45455000000001</v>
      </c>
      <c r="I5331" s="487" t="s">
        <v>1499</v>
      </c>
      <c r="J5331" s="487" t="s">
        <v>1060</v>
      </c>
    </row>
    <row r="5332" spans="1:10" ht="15" x14ac:dyDescent="0.2">
      <c r="A5332" s="486" t="s">
        <v>1059</v>
      </c>
      <c r="B5332" s="487" t="s">
        <v>1058</v>
      </c>
      <c r="C5332" s="488" t="s">
        <v>17247</v>
      </c>
      <c r="D5332" s="489" t="s">
        <v>17248</v>
      </c>
      <c r="E5332" s="487" t="s">
        <v>17249</v>
      </c>
      <c r="F5332" s="490">
        <v>0</v>
      </c>
      <c r="G5332" s="489">
        <v>59</v>
      </c>
      <c r="H5332" s="489">
        <v>0</v>
      </c>
      <c r="I5332" s="487" t="s">
        <v>1593</v>
      </c>
      <c r="J5332" s="487" t="s">
        <v>1060</v>
      </c>
    </row>
    <row r="5333" spans="1:10" ht="15" x14ac:dyDescent="0.2">
      <c r="A5333" s="486" t="s">
        <v>1059</v>
      </c>
      <c r="B5333" s="487" t="s">
        <v>1058</v>
      </c>
      <c r="C5333" s="488" t="s">
        <v>17250</v>
      </c>
      <c r="D5333" s="489" t="s">
        <v>17251</v>
      </c>
      <c r="E5333" s="487" t="s">
        <v>17252</v>
      </c>
      <c r="F5333" s="490">
        <v>31058</v>
      </c>
      <c r="G5333" s="489">
        <v>588</v>
      </c>
      <c r="H5333" s="489">
        <v>52.81973</v>
      </c>
      <c r="I5333" s="487" t="s">
        <v>1499</v>
      </c>
      <c r="J5333" s="487" t="s">
        <v>1060</v>
      </c>
    </row>
    <row r="5334" spans="1:10" ht="15" x14ac:dyDescent="0.2">
      <c r="A5334" s="486" t="s">
        <v>1059</v>
      </c>
      <c r="B5334" s="487" t="s">
        <v>1058</v>
      </c>
      <c r="C5334" s="488" t="s">
        <v>17253</v>
      </c>
      <c r="D5334" s="489" t="s">
        <v>17254</v>
      </c>
      <c r="E5334" s="487" t="s">
        <v>17255</v>
      </c>
      <c r="F5334" s="490">
        <v>81364.600000000006</v>
      </c>
      <c r="G5334" s="489">
        <v>803</v>
      </c>
      <c r="H5334" s="489">
        <v>101.32577999999999</v>
      </c>
      <c r="I5334" s="487" t="s">
        <v>1499</v>
      </c>
      <c r="J5334" s="487" t="s">
        <v>1060</v>
      </c>
    </row>
    <row r="5335" spans="1:10" ht="15" x14ac:dyDescent="0.2">
      <c r="A5335" s="486" t="s">
        <v>1059</v>
      </c>
      <c r="B5335" s="487" t="s">
        <v>1058</v>
      </c>
      <c r="C5335" s="488" t="s">
        <v>17256</v>
      </c>
      <c r="D5335" s="489" t="s">
        <v>17257</v>
      </c>
      <c r="E5335" s="487" t="s">
        <v>17258</v>
      </c>
      <c r="F5335" s="490">
        <v>16000</v>
      </c>
      <c r="G5335" s="489">
        <v>366</v>
      </c>
      <c r="H5335" s="489">
        <v>43.715850000000003</v>
      </c>
      <c r="I5335" s="487" t="s">
        <v>1499</v>
      </c>
      <c r="J5335" s="487" t="s">
        <v>1060</v>
      </c>
    </row>
    <row r="5336" spans="1:10" ht="15" x14ac:dyDescent="0.2">
      <c r="A5336" s="486" t="s">
        <v>1059</v>
      </c>
      <c r="B5336" s="487" t="s">
        <v>1058</v>
      </c>
      <c r="C5336" s="488" t="s">
        <v>17259</v>
      </c>
      <c r="D5336" s="489" t="s">
        <v>17260</v>
      </c>
      <c r="E5336" s="487" t="s">
        <v>17261</v>
      </c>
      <c r="F5336" s="490">
        <v>179999</v>
      </c>
      <c r="G5336" s="489">
        <v>2642</v>
      </c>
      <c r="H5336" s="489">
        <v>68.129829999999998</v>
      </c>
      <c r="I5336" s="487" t="s">
        <v>1499</v>
      </c>
      <c r="J5336" s="487" t="s">
        <v>1060</v>
      </c>
    </row>
    <row r="5337" spans="1:10" ht="15" x14ac:dyDescent="0.2">
      <c r="A5337" s="486" t="s">
        <v>1059</v>
      </c>
      <c r="B5337" s="487" t="s">
        <v>1058</v>
      </c>
      <c r="C5337" s="488" t="s">
        <v>17262</v>
      </c>
      <c r="D5337" s="489" t="s">
        <v>17263</v>
      </c>
      <c r="E5337" s="487" t="s">
        <v>17264</v>
      </c>
      <c r="F5337" s="490">
        <v>260000</v>
      </c>
      <c r="G5337" s="489">
        <v>2359</v>
      </c>
      <c r="H5337" s="489">
        <v>110.21619</v>
      </c>
      <c r="I5337" s="487" t="s">
        <v>1499</v>
      </c>
      <c r="J5337" s="487" t="s">
        <v>1060</v>
      </c>
    </row>
    <row r="5338" spans="1:10" ht="15" x14ac:dyDescent="0.2">
      <c r="A5338" s="486" t="s">
        <v>1059</v>
      </c>
      <c r="B5338" s="487" t="s">
        <v>1058</v>
      </c>
      <c r="C5338" s="488" t="s">
        <v>17265</v>
      </c>
      <c r="D5338" s="489" t="s">
        <v>17266</v>
      </c>
      <c r="E5338" s="487" t="s">
        <v>17267</v>
      </c>
      <c r="F5338" s="490">
        <v>423</v>
      </c>
      <c r="G5338" s="489">
        <v>31</v>
      </c>
      <c r="H5338" s="489">
        <v>13.645160000000001</v>
      </c>
      <c r="I5338" s="487" t="s">
        <v>1499</v>
      </c>
      <c r="J5338" s="487" t="s">
        <v>1060</v>
      </c>
    </row>
    <row r="5339" spans="1:10" ht="15" x14ac:dyDescent="0.2">
      <c r="A5339" s="486" t="s">
        <v>1059</v>
      </c>
      <c r="B5339" s="487" t="s">
        <v>1058</v>
      </c>
      <c r="C5339" s="488" t="s">
        <v>17268</v>
      </c>
      <c r="D5339" s="489" t="s">
        <v>17269</v>
      </c>
      <c r="E5339" s="487" t="s">
        <v>17270</v>
      </c>
      <c r="F5339" s="490">
        <v>137364</v>
      </c>
      <c r="G5339" s="489">
        <v>1352</v>
      </c>
      <c r="H5339" s="489">
        <v>101.60059</v>
      </c>
      <c r="I5339" s="487" t="s">
        <v>1499</v>
      </c>
      <c r="J5339" s="487" t="s">
        <v>1060</v>
      </c>
    </row>
    <row r="5340" spans="1:10" ht="15" x14ac:dyDescent="0.2">
      <c r="A5340" s="486" t="s">
        <v>1059</v>
      </c>
      <c r="B5340" s="487" t="s">
        <v>1058</v>
      </c>
      <c r="C5340" s="488" t="s">
        <v>17271</v>
      </c>
      <c r="D5340" s="489" t="s">
        <v>17272</v>
      </c>
      <c r="E5340" s="487" t="s">
        <v>17273</v>
      </c>
      <c r="F5340" s="490">
        <v>27000</v>
      </c>
      <c r="G5340" s="489">
        <v>248</v>
      </c>
      <c r="H5340" s="489">
        <v>108.87097</v>
      </c>
      <c r="I5340" s="487" t="s">
        <v>1499</v>
      </c>
      <c r="J5340" s="487" t="s">
        <v>1060</v>
      </c>
    </row>
    <row r="5341" spans="1:10" ht="15" x14ac:dyDescent="0.2">
      <c r="A5341" s="486" t="s">
        <v>1059</v>
      </c>
      <c r="B5341" s="487" t="s">
        <v>1058</v>
      </c>
      <c r="C5341" s="488" t="s">
        <v>17274</v>
      </c>
      <c r="D5341" s="489" t="s">
        <v>17275</v>
      </c>
      <c r="E5341" s="487" t="s">
        <v>17276</v>
      </c>
      <c r="F5341" s="490">
        <v>41795</v>
      </c>
      <c r="G5341" s="489">
        <v>820</v>
      </c>
      <c r="H5341" s="489">
        <v>50.96951</v>
      </c>
      <c r="I5341" s="487" t="s">
        <v>1499</v>
      </c>
      <c r="J5341" s="487" t="s">
        <v>1060</v>
      </c>
    </row>
    <row r="5342" spans="1:10" ht="15" x14ac:dyDescent="0.2">
      <c r="A5342" s="486" t="s">
        <v>1059</v>
      </c>
      <c r="B5342" s="487" t="s">
        <v>1058</v>
      </c>
      <c r="C5342" s="488" t="s">
        <v>17277</v>
      </c>
      <c r="D5342" s="489" t="s">
        <v>17278</v>
      </c>
      <c r="E5342" s="487" t="s">
        <v>17279</v>
      </c>
      <c r="F5342" s="490">
        <v>159500</v>
      </c>
      <c r="G5342" s="489">
        <v>1734</v>
      </c>
      <c r="H5342" s="489">
        <v>91.983850000000004</v>
      </c>
      <c r="I5342" s="487" t="s">
        <v>1499</v>
      </c>
      <c r="J5342" s="487" t="s">
        <v>1060</v>
      </c>
    </row>
    <row r="5343" spans="1:10" ht="15" x14ac:dyDescent="0.2">
      <c r="A5343" s="486" t="s">
        <v>1059</v>
      </c>
      <c r="B5343" s="487" t="s">
        <v>1058</v>
      </c>
      <c r="C5343" s="488" t="s">
        <v>17280</v>
      </c>
      <c r="D5343" s="489" t="s">
        <v>17281</v>
      </c>
      <c r="E5343" s="487" t="s">
        <v>17282</v>
      </c>
      <c r="F5343" s="490">
        <v>0</v>
      </c>
      <c r="G5343" s="489">
        <v>70</v>
      </c>
      <c r="H5343" s="489">
        <v>0</v>
      </c>
      <c r="I5343" s="487" t="s">
        <v>1593</v>
      </c>
      <c r="J5343" s="487" t="s">
        <v>1060</v>
      </c>
    </row>
    <row r="5344" spans="1:10" ht="15" x14ac:dyDescent="0.2">
      <c r="A5344" s="486" t="s">
        <v>1059</v>
      </c>
      <c r="B5344" s="487" t="s">
        <v>1058</v>
      </c>
      <c r="C5344" s="488" t="s">
        <v>17283</v>
      </c>
      <c r="D5344" s="489" t="s">
        <v>17284</v>
      </c>
      <c r="E5344" s="487" t="s">
        <v>17285</v>
      </c>
      <c r="F5344" s="490">
        <v>104317</v>
      </c>
      <c r="G5344" s="489">
        <v>957</v>
      </c>
      <c r="H5344" s="489">
        <v>109.00418000000001</v>
      </c>
      <c r="I5344" s="487" t="s">
        <v>1499</v>
      </c>
      <c r="J5344" s="487" t="s">
        <v>1060</v>
      </c>
    </row>
    <row r="5345" spans="1:10" ht="15" x14ac:dyDescent="0.2">
      <c r="A5345" s="486" t="s">
        <v>1059</v>
      </c>
      <c r="B5345" s="487" t="s">
        <v>1058</v>
      </c>
      <c r="C5345" s="488" t="s">
        <v>17286</v>
      </c>
      <c r="D5345" s="489" t="s">
        <v>17287</v>
      </c>
      <c r="E5345" s="487" t="s">
        <v>17288</v>
      </c>
      <c r="F5345" s="490">
        <v>14134</v>
      </c>
      <c r="G5345" s="489">
        <v>216</v>
      </c>
      <c r="H5345" s="489">
        <v>65.435190000000006</v>
      </c>
      <c r="I5345" s="487" t="s">
        <v>1499</v>
      </c>
      <c r="J5345" s="487" t="s">
        <v>1060</v>
      </c>
    </row>
    <row r="5346" spans="1:10" ht="15" x14ac:dyDescent="0.2">
      <c r="A5346" s="486" t="s">
        <v>1059</v>
      </c>
      <c r="B5346" s="487" t="s">
        <v>1058</v>
      </c>
      <c r="C5346" s="488" t="s">
        <v>17289</v>
      </c>
      <c r="D5346" s="489" t="s">
        <v>17290</v>
      </c>
      <c r="E5346" s="487" t="s">
        <v>17291</v>
      </c>
      <c r="F5346" s="490">
        <v>24758</v>
      </c>
      <c r="G5346" s="489">
        <v>414</v>
      </c>
      <c r="H5346" s="489">
        <v>59.801929999999999</v>
      </c>
      <c r="I5346" s="487" t="s">
        <v>1499</v>
      </c>
      <c r="J5346" s="487" t="s">
        <v>1060</v>
      </c>
    </row>
    <row r="5347" spans="1:10" ht="15" x14ac:dyDescent="0.2">
      <c r="A5347" s="486" t="s">
        <v>1059</v>
      </c>
      <c r="B5347" s="487" t="s">
        <v>1058</v>
      </c>
      <c r="C5347" s="488" t="s">
        <v>17292</v>
      </c>
      <c r="D5347" s="489" t="s">
        <v>17293</v>
      </c>
      <c r="E5347" s="487" t="s">
        <v>17294</v>
      </c>
      <c r="F5347" s="490">
        <v>132500</v>
      </c>
      <c r="G5347" s="489">
        <v>1068</v>
      </c>
      <c r="H5347" s="489">
        <v>124.06367</v>
      </c>
      <c r="I5347" s="487" t="s">
        <v>1499</v>
      </c>
      <c r="J5347" s="487" t="s">
        <v>1060</v>
      </c>
    </row>
    <row r="5348" spans="1:10" ht="15" x14ac:dyDescent="0.2">
      <c r="A5348" s="486" t="s">
        <v>1059</v>
      </c>
      <c r="B5348" s="487" t="s">
        <v>1058</v>
      </c>
      <c r="C5348" s="488" t="s">
        <v>17295</v>
      </c>
      <c r="D5348" s="489" t="s">
        <v>17296</v>
      </c>
      <c r="E5348" s="487" t="s">
        <v>17297</v>
      </c>
      <c r="F5348" s="490">
        <v>10416</v>
      </c>
      <c r="G5348" s="489">
        <v>150</v>
      </c>
      <c r="H5348" s="489">
        <v>69.44</v>
      </c>
      <c r="I5348" s="487" t="s">
        <v>1499</v>
      </c>
      <c r="J5348" s="487" t="s">
        <v>1060</v>
      </c>
    </row>
    <row r="5349" spans="1:10" ht="15" x14ac:dyDescent="0.2">
      <c r="A5349" s="486" t="s">
        <v>1059</v>
      </c>
      <c r="B5349" s="487" t="s">
        <v>1058</v>
      </c>
      <c r="C5349" s="488" t="s">
        <v>17298</v>
      </c>
      <c r="D5349" s="489" t="s">
        <v>17299</v>
      </c>
      <c r="E5349" s="487" t="s">
        <v>17300</v>
      </c>
      <c r="F5349" s="490">
        <v>199</v>
      </c>
      <c r="G5349" s="489">
        <v>62</v>
      </c>
      <c r="H5349" s="489">
        <v>3.2096800000000001</v>
      </c>
      <c r="I5349" s="487" t="s">
        <v>1499</v>
      </c>
      <c r="J5349" s="487" t="s">
        <v>1060</v>
      </c>
    </row>
    <row r="5350" spans="1:10" ht="15" x14ac:dyDescent="0.2">
      <c r="A5350" s="486" t="s">
        <v>1059</v>
      </c>
      <c r="B5350" s="487" t="s">
        <v>1058</v>
      </c>
      <c r="C5350" s="488" t="s">
        <v>17301</v>
      </c>
      <c r="D5350" s="489" t="s">
        <v>17302</v>
      </c>
      <c r="E5350" s="487" t="s">
        <v>17303</v>
      </c>
      <c r="F5350" s="490">
        <v>0</v>
      </c>
      <c r="G5350" s="489">
        <v>19</v>
      </c>
      <c r="H5350" s="489">
        <v>0</v>
      </c>
      <c r="I5350" s="487" t="s">
        <v>1593</v>
      </c>
      <c r="J5350" s="487" t="s">
        <v>1060</v>
      </c>
    </row>
    <row r="5351" spans="1:10" ht="15" x14ac:dyDescent="0.2">
      <c r="A5351" s="486" t="s">
        <v>1059</v>
      </c>
      <c r="B5351" s="487" t="s">
        <v>1058</v>
      </c>
      <c r="C5351" s="488" t="s">
        <v>17304</v>
      </c>
      <c r="D5351" s="489" t="s">
        <v>17305</v>
      </c>
      <c r="E5351" s="487" t="s">
        <v>17306</v>
      </c>
      <c r="F5351" s="490">
        <v>41933</v>
      </c>
      <c r="G5351" s="489">
        <v>479</v>
      </c>
      <c r="H5351" s="489">
        <v>87.5428</v>
      </c>
      <c r="I5351" s="487" t="s">
        <v>1499</v>
      </c>
      <c r="J5351" s="487" t="s">
        <v>1060</v>
      </c>
    </row>
    <row r="5352" spans="1:10" ht="15" x14ac:dyDescent="0.2">
      <c r="A5352" s="486" t="s">
        <v>1059</v>
      </c>
      <c r="B5352" s="487" t="s">
        <v>1058</v>
      </c>
      <c r="C5352" s="488" t="s">
        <v>17307</v>
      </c>
      <c r="D5352" s="489" t="s">
        <v>17308</v>
      </c>
      <c r="E5352" s="487" t="s">
        <v>17309</v>
      </c>
      <c r="F5352" s="490">
        <v>24500</v>
      </c>
      <c r="G5352" s="489">
        <v>275</v>
      </c>
      <c r="H5352" s="489">
        <v>89.090909999999994</v>
      </c>
      <c r="I5352" s="487" t="s">
        <v>1499</v>
      </c>
      <c r="J5352" s="487" t="s">
        <v>1060</v>
      </c>
    </row>
    <row r="5353" spans="1:10" ht="15" x14ac:dyDescent="0.2">
      <c r="A5353" s="486" t="s">
        <v>1059</v>
      </c>
      <c r="B5353" s="487" t="s">
        <v>1058</v>
      </c>
      <c r="C5353" s="488" t="s">
        <v>17310</v>
      </c>
      <c r="D5353" s="489" t="s">
        <v>17311</v>
      </c>
      <c r="E5353" s="487" t="s">
        <v>17312</v>
      </c>
      <c r="F5353" s="490">
        <v>331925</v>
      </c>
      <c r="G5353" s="489">
        <v>2755</v>
      </c>
      <c r="H5353" s="489">
        <v>120.48094</v>
      </c>
      <c r="I5353" s="487" t="s">
        <v>1499</v>
      </c>
      <c r="J5353" s="487" t="s">
        <v>1060</v>
      </c>
    </row>
    <row r="5354" spans="1:10" ht="15" x14ac:dyDescent="0.2">
      <c r="A5354" s="486" t="s">
        <v>1059</v>
      </c>
      <c r="B5354" s="487" t="s">
        <v>1058</v>
      </c>
      <c r="C5354" s="488" t="s">
        <v>17313</v>
      </c>
      <c r="D5354" s="489" t="s">
        <v>17314</v>
      </c>
      <c r="E5354" s="487" t="s">
        <v>17315</v>
      </c>
      <c r="F5354" s="490">
        <v>25875</v>
      </c>
      <c r="G5354" s="489">
        <v>638</v>
      </c>
      <c r="H5354" s="489">
        <v>40.556429999999999</v>
      </c>
      <c r="I5354" s="487" t="s">
        <v>1499</v>
      </c>
      <c r="J5354" s="487" t="s">
        <v>1060</v>
      </c>
    </row>
    <row r="5355" spans="1:10" ht="15" x14ac:dyDescent="0.2">
      <c r="A5355" s="486" t="s">
        <v>481</v>
      </c>
      <c r="B5355" s="487" t="s">
        <v>480</v>
      </c>
      <c r="C5355" s="488" t="s">
        <v>17316</v>
      </c>
      <c r="D5355" s="489" t="s">
        <v>17317</v>
      </c>
      <c r="E5355" s="487" t="s">
        <v>17318</v>
      </c>
      <c r="F5355" s="490">
        <v>9500</v>
      </c>
      <c r="G5355" s="489">
        <v>107</v>
      </c>
      <c r="H5355" s="489">
        <v>88.785049999999998</v>
      </c>
      <c r="I5355" s="487" t="s">
        <v>1499</v>
      </c>
      <c r="J5355" s="487" t="s">
        <v>482</v>
      </c>
    </row>
    <row r="5356" spans="1:10" ht="15" x14ac:dyDescent="0.2">
      <c r="A5356" s="486" t="s">
        <v>481</v>
      </c>
      <c r="B5356" s="487" t="s">
        <v>480</v>
      </c>
      <c r="C5356" s="488" t="s">
        <v>17319</v>
      </c>
      <c r="D5356" s="489" t="s">
        <v>17320</v>
      </c>
      <c r="E5356" s="487" t="s">
        <v>17321</v>
      </c>
      <c r="F5356" s="490">
        <v>3914</v>
      </c>
      <c r="G5356" s="489">
        <v>85</v>
      </c>
      <c r="H5356" s="489">
        <v>46.047060000000002</v>
      </c>
      <c r="I5356" s="487" t="s">
        <v>1499</v>
      </c>
      <c r="J5356" s="487" t="s">
        <v>482</v>
      </c>
    </row>
    <row r="5357" spans="1:10" ht="15" x14ac:dyDescent="0.2">
      <c r="A5357" s="486" t="s">
        <v>481</v>
      </c>
      <c r="B5357" s="487" t="s">
        <v>480</v>
      </c>
      <c r="C5357" s="488" t="s">
        <v>17322</v>
      </c>
      <c r="D5357" s="489" t="s">
        <v>17323</v>
      </c>
      <c r="E5357" s="487" t="s">
        <v>13723</v>
      </c>
      <c r="F5357" s="490">
        <v>19000</v>
      </c>
      <c r="G5357" s="489">
        <v>167</v>
      </c>
      <c r="H5357" s="489">
        <v>113.77246</v>
      </c>
      <c r="I5357" s="487" t="s">
        <v>1499</v>
      </c>
      <c r="J5357" s="487" t="s">
        <v>482</v>
      </c>
    </row>
    <row r="5358" spans="1:10" ht="15" x14ac:dyDescent="0.2">
      <c r="A5358" s="486" t="s">
        <v>481</v>
      </c>
      <c r="B5358" s="487" t="s">
        <v>480</v>
      </c>
      <c r="C5358" s="488" t="s">
        <v>17324</v>
      </c>
      <c r="D5358" s="489" t="s">
        <v>17325</v>
      </c>
      <c r="E5358" s="487" t="s">
        <v>17326</v>
      </c>
      <c r="F5358" s="490">
        <v>39780</v>
      </c>
      <c r="G5358" s="489">
        <v>285</v>
      </c>
      <c r="H5358" s="489">
        <v>139.57894999999999</v>
      </c>
      <c r="I5358" s="487" t="s">
        <v>1499</v>
      </c>
      <c r="J5358" s="487" t="s">
        <v>482</v>
      </c>
    </row>
    <row r="5359" spans="1:10" ht="15" x14ac:dyDescent="0.2">
      <c r="A5359" s="486" t="s">
        <v>481</v>
      </c>
      <c r="B5359" s="487" t="s">
        <v>480</v>
      </c>
      <c r="C5359" s="488" t="s">
        <v>17327</v>
      </c>
      <c r="D5359" s="489" t="s">
        <v>17328</v>
      </c>
      <c r="E5359" s="487" t="s">
        <v>17329</v>
      </c>
      <c r="F5359" s="490">
        <v>30000</v>
      </c>
      <c r="G5359" s="489">
        <v>423</v>
      </c>
      <c r="H5359" s="489">
        <v>70.921989999999994</v>
      </c>
      <c r="I5359" s="487" t="s">
        <v>1499</v>
      </c>
      <c r="J5359" s="487" t="s">
        <v>482</v>
      </c>
    </row>
    <row r="5360" spans="1:10" ht="15" x14ac:dyDescent="0.2">
      <c r="A5360" s="486" t="s">
        <v>481</v>
      </c>
      <c r="B5360" s="487" t="s">
        <v>480</v>
      </c>
      <c r="C5360" s="488" t="s">
        <v>17330</v>
      </c>
      <c r="D5360" s="489" t="s">
        <v>17331</v>
      </c>
      <c r="E5360" s="487" t="s">
        <v>17332</v>
      </c>
      <c r="F5360" s="490">
        <v>48350</v>
      </c>
      <c r="G5360" s="489">
        <v>2305</v>
      </c>
      <c r="H5360" s="489">
        <v>20.976140000000001</v>
      </c>
      <c r="I5360" s="487" t="s">
        <v>1499</v>
      </c>
      <c r="J5360" s="487" t="s">
        <v>482</v>
      </c>
    </row>
    <row r="5361" spans="1:10" ht="15" x14ac:dyDescent="0.2">
      <c r="A5361" s="486" t="s">
        <v>481</v>
      </c>
      <c r="B5361" s="487" t="s">
        <v>480</v>
      </c>
      <c r="C5361" s="488" t="s">
        <v>17333</v>
      </c>
      <c r="D5361" s="489" t="s">
        <v>17334</v>
      </c>
      <c r="E5361" s="487" t="s">
        <v>17335</v>
      </c>
      <c r="F5361" s="490">
        <v>15032</v>
      </c>
      <c r="G5361" s="489">
        <v>156</v>
      </c>
      <c r="H5361" s="489">
        <v>96.358969999999999</v>
      </c>
      <c r="I5361" s="487" t="s">
        <v>1499</v>
      </c>
      <c r="J5361" s="487" t="s">
        <v>482</v>
      </c>
    </row>
    <row r="5362" spans="1:10" ht="15" x14ac:dyDescent="0.2">
      <c r="A5362" s="486" t="s">
        <v>481</v>
      </c>
      <c r="B5362" s="487" t="s">
        <v>480</v>
      </c>
      <c r="C5362" s="488" t="s">
        <v>17336</v>
      </c>
      <c r="D5362" s="489" t="s">
        <v>17337</v>
      </c>
      <c r="E5362" s="487" t="s">
        <v>8560</v>
      </c>
      <c r="F5362" s="490">
        <v>24880</v>
      </c>
      <c r="G5362" s="489">
        <v>504</v>
      </c>
      <c r="H5362" s="489">
        <v>49.365079999999999</v>
      </c>
      <c r="I5362" s="487" t="s">
        <v>1499</v>
      </c>
      <c r="J5362" s="487" t="s">
        <v>482</v>
      </c>
    </row>
    <row r="5363" spans="1:10" ht="15" x14ac:dyDescent="0.2">
      <c r="A5363" s="486" t="s">
        <v>481</v>
      </c>
      <c r="B5363" s="487" t="s">
        <v>480</v>
      </c>
      <c r="C5363" s="488" t="s">
        <v>17338</v>
      </c>
      <c r="D5363" s="489" t="s">
        <v>17339</v>
      </c>
      <c r="E5363" s="487" t="s">
        <v>17340</v>
      </c>
      <c r="F5363" s="490">
        <v>36000</v>
      </c>
      <c r="G5363" s="489">
        <v>343</v>
      </c>
      <c r="H5363" s="489">
        <v>104.95627</v>
      </c>
      <c r="I5363" s="487" t="s">
        <v>1499</v>
      </c>
      <c r="J5363" s="487" t="s">
        <v>482</v>
      </c>
    </row>
    <row r="5364" spans="1:10" ht="15" x14ac:dyDescent="0.2">
      <c r="A5364" s="486" t="s">
        <v>481</v>
      </c>
      <c r="B5364" s="487" t="s">
        <v>480</v>
      </c>
      <c r="C5364" s="488" t="s">
        <v>17341</v>
      </c>
      <c r="D5364" s="489" t="s">
        <v>17342</v>
      </c>
      <c r="E5364" s="487" t="s">
        <v>17343</v>
      </c>
      <c r="F5364" s="490">
        <v>5250</v>
      </c>
      <c r="G5364" s="489">
        <v>210</v>
      </c>
      <c r="H5364" s="489">
        <v>25</v>
      </c>
      <c r="I5364" s="487" t="s">
        <v>1499</v>
      </c>
      <c r="J5364" s="487" t="s">
        <v>482</v>
      </c>
    </row>
    <row r="5365" spans="1:10" ht="15" x14ac:dyDescent="0.2">
      <c r="A5365" s="486" t="s">
        <v>481</v>
      </c>
      <c r="B5365" s="487" t="s">
        <v>480</v>
      </c>
      <c r="C5365" s="488" t="s">
        <v>17344</v>
      </c>
      <c r="D5365" s="489" t="s">
        <v>17345</v>
      </c>
      <c r="E5365" s="487" t="s">
        <v>17346</v>
      </c>
      <c r="F5365" s="490">
        <v>97900</v>
      </c>
      <c r="G5365" s="489">
        <v>1826</v>
      </c>
      <c r="H5365" s="489">
        <v>53.614460000000001</v>
      </c>
      <c r="I5365" s="487" t="s">
        <v>1499</v>
      </c>
      <c r="J5365" s="487" t="s">
        <v>482</v>
      </c>
    </row>
    <row r="5366" spans="1:10" ht="15" x14ac:dyDescent="0.2">
      <c r="A5366" s="486" t="s">
        <v>481</v>
      </c>
      <c r="B5366" s="487" t="s">
        <v>480</v>
      </c>
      <c r="C5366" s="488" t="s">
        <v>17347</v>
      </c>
      <c r="D5366" s="489" t="s">
        <v>17348</v>
      </c>
      <c r="E5366" s="487" t="s">
        <v>17349</v>
      </c>
      <c r="F5366" s="490">
        <v>15000</v>
      </c>
      <c r="G5366" s="489">
        <v>201</v>
      </c>
      <c r="H5366" s="489">
        <v>74.626869999999997</v>
      </c>
      <c r="I5366" s="487" t="s">
        <v>1499</v>
      </c>
      <c r="J5366" s="487" t="s">
        <v>482</v>
      </c>
    </row>
    <row r="5367" spans="1:10" ht="15" x14ac:dyDescent="0.2">
      <c r="A5367" s="486" t="s">
        <v>481</v>
      </c>
      <c r="B5367" s="487" t="s">
        <v>480</v>
      </c>
      <c r="C5367" s="488" t="s">
        <v>17350</v>
      </c>
      <c r="D5367" s="489" t="s">
        <v>17351</v>
      </c>
      <c r="E5367" s="487" t="s">
        <v>17352</v>
      </c>
      <c r="F5367" s="490">
        <v>63000</v>
      </c>
      <c r="G5367" s="489">
        <v>644</v>
      </c>
      <c r="H5367" s="489">
        <v>97.826089999999994</v>
      </c>
      <c r="I5367" s="487" t="s">
        <v>1499</v>
      </c>
      <c r="J5367" s="487" t="s">
        <v>482</v>
      </c>
    </row>
    <row r="5368" spans="1:10" ht="15" x14ac:dyDescent="0.2">
      <c r="A5368" s="486" t="s">
        <v>481</v>
      </c>
      <c r="B5368" s="487" t="s">
        <v>480</v>
      </c>
      <c r="C5368" s="488" t="s">
        <v>17353</v>
      </c>
      <c r="D5368" s="489" t="s">
        <v>17354</v>
      </c>
      <c r="E5368" s="487" t="s">
        <v>17355</v>
      </c>
      <c r="F5368" s="490">
        <v>34445</v>
      </c>
      <c r="G5368" s="489">
        <v>567</v>
      </c>
      <c r="H5368" s="489">
        <v>60.749560000000002</v>
      </c>
      <c r="I5368" s="487" t="s">
        <v>1499</v>
      </c>
      <c r="J5368" s="487" t="s">
        <v>482</v>
      </c>
    </row>
    <row r="5369" spans="1:10" ht="15" x14ac:dyDescent="0.2">
      <c r="A5369" s="486" t="s">
        <v>481</v>
      </c>
      <c r="B5369" s="487" t="s">
        <v>480</v>
      </c>
      <c r="C5369" s="488" t="s">
        <v>17356</v>
      </c>
      <c r="D5369" s="489" t="s">
        <v>17357</v>
      </c>
      <c r="E5369" s="487" t="s">
        <v>17358</v>
      </c>
      <c r="F5369" s="490">
        <v>55000</v>
      </c>
      <c r="G5369" s="489">
        <v>1056</v>
      </c>
      <c r="H5369" s="489">
        <v>52.083329999999997</v>
      </c>
      <c r="I5369" s="487" t="s">
        <v>1499</v>
      </c>
      <c r="J5369" s="487" t="s">
        <v>482</v>
      </c>
    </row>
    <row r="5370" spans="1:10" ht="15" x14ac:dyDescent="0.2">
      <c r="A5370" s="486" t="s">
        <v>481</v>
      </c>
      <c r="B5370" s="487" t="s">
        <v>480</v>
      </c>
      <c r="C5370" s="488" t="s">
        <v>17359</v>
      </c>
      <c r="D5370" s="489" t="s">
        <v>17360</v>
      </c>
      <c r="E5370" s="487" t="s">
        <v>17361</v>
      </c>
      <c r="F5370" s="490">
        <v>13792</v>
      </c>
      <c r="G5370" s="489">
        <v>151</v>
      </c>
      <c r="H5370" s="489">
        <v>91.33775</v>
      </c>
      <c r="I5370" s="487" t="s">
        <v>1499</v>
      </c>
      <c r="J5370" s="487" t="s">
        <v>482</v>
      </c>
    </row>
    <row r="5371" spans="1:10" ht="15" x14ac:dyDescent="0.2">
      <c r="A5371" s="486" t="s">
        <v>481</v>
      </c>
      <c r="B5371" s="487" t="s">
        <v>480</v>
      </c>
      <c r="C5371" s="488" t="s">
        <v>17362</v>
      </c>
      <c r="D5371" s="489" t="s">
        <v>17363</v>
      </c>
      <c r="E5371" s="487" t="s">
        <v>17364</v>
      </c>
      <c r="F5371" s="490">
        <v>48000</v>
      </c>
      <c r="G5371" s="489">
        <v>443</v>
      </c>
      <c r="H5371" s="489">
        <v>108.35214000000001</v>
      </c>
      <c r="I5371" s="487" t="s">
        <v>1499</v>
      </c>
      <c r="J5371" s="487" t="s">
        <v>482</v>
      </c>
    </row>
    <row r="5372" spans="1:10" ht="15" x14ac:dyDescent="0.2">
      <c r="A5372" s="486" t="s">
        <v>481</v>
      </c>
      <c r="B5372" s="487" t="s">
        <v>480</v>
      </c>
      <c r="C5372" s="488" t="s">
        <v>17365</v>
      </c>
      <c r="D5372" s="489" t="s">
        <v>17366</v>
      </c>
      <c r="E5372" s="487" t="s">
        <v>17367</v>
      </c>
      <c r="F5372" s="490">
        <v>71473</v>
      </c>
      <c r="G5372" s="489">
        <v>1334</v>
      </c>
      <c r="H5372" s="489">
        <v>53.577959999999997</v>
      </c>
      <c r="I5372" s="487" t="s">
        <v>1499</v>
      </c>
      <c r="J5372" s="487" t="s">
        <v>482</v>
      </c>
    </row>
    <row r="5373" spans="1:10" ht="15" x14ac:dyDescent="0.2">
      <c r="A5373" s="486" t="s">
        <v>738</v>
      </c>
      <c r="B5373" s="487" t="s">
        <v>737</v>
      </c>
      <c r="C5373" s="488" t="s">
        <v>17368</v>
      </c>
      <c r="D5373" s="489" t="s">
        <v>17369</v>
      </c>
      <c r="E5373" s="487" t="s">
        <v>17370</v>
      </c>
      <c r="F5373" s="490">
        <v>2000</v>
      </c>
      <c r="G5373" s="489">
        <v>60</v>
      </c>
      <c r="H5373" s="489">
        <v>33.333329999999997</v>
      </c>
      <c r="I5373" s="487" t="s">
        <v>1499</v>
      </c>
      <c r="J5373" s="487" t="s">
        <v>739</v>
      </c>
    </row>
    <row r="5374" spans="1:10" ht="15" x14ac:dyDescent="0.2">
      <c r="A5374" s="486" t="s">
        <v>738</v>
      </c>
      <c r="B5374" s="487" t="s">
        <v>737</v>
      </c>
      <c r="C5374" s="488" t="s">
        <v>17371</v>
      </c>
      <c r="D5374" s="489" t="s">
        <v>17372</v>
      </c>
      <c r="E5374" s="487" t="s">
        <v>17373</v>
      </c>
      <c r="F5374" s="490">
        <v>10000</v>
      </c>
      <c r="G5374" s="489">
        <v>120</v>
      </c>
      <c r="H5374" s="489">
        <v>83.333330000000004</v>
      </c>
      <c r="I5374" s="487" t="s">
        <v>1499</v>
      </c>
      <c r="J5374" s="487" t="s">
        <v>739</v>
      </c>
    </row>
    <row r="5375" spans="1:10" ht="15" x14ac:dyDescent="0.2">
      <c r="A5375" s="486" t="s">
        <v>738</v>
      </c>
      <c r="B5375" s="487" t="s">
        <v>737</v>
      </c>
      <c r="C5375" s="488" t="s">
        <v>17374</v>
      </c>
      <c r="D5375" s="489" t="s">
        <v>17375</v>
      </c>
      <c r="E5375" s="487" t="s">
        <v>17376</v>
      </c>
      <c r="F5375" s="490">
        <v>236435</v>
      </c>
      <c r="G5375" s="489">
        <v>1094</v>
      </c>
      <c r="H5375" s="489">
        <v>216.11974000000001</v>
      </c>
      <c r="I5375" s="487" t="s">
        <v>1499</v>
      </c>
      <c r="J5375" s="487" t="s">
        <v>739</v>
      </c>
    </row>
    <row r="5376" spans="1:10" ht="15" x14ac:dyDescent="0.2">
      <c r="A5376" s="486" t="s">
        <v>738</v>
      </c>
      <c r="B5376" s="487" t="s">
        <v>737</v>
      </c>
      <c r="C5376" s="488" t="s">
        <v>17377</v>
      </c>
      <c r="D5376" s="489" t="s">
        <v>17378</v>
      </c>
      <c r="E5376" s="487" t="s">
        <v>17379</v>
      </c>
      <c r="F5376" s="490">
        <v>2430</v>
      </c>
      <c r="G5376" s="489">
        <v>108</v>
      </c>
      <c r="H5376" s="489">
        <v>22.5</v>
      </c>
      <c r="I5376" s="487" t="s">
        <v>1499</v>
      </c>
      <c r="J5376" s="487" t="s">
        <v>739</v>
      </c>
    </row>
    <row r="5377" spans="1:10" ht="15" x14ac:dyDescent="0.2">
      <c r="A5377" s="486" t="s">
        <v>738</v>
      </c>
      <c r="B5377" s="487" t="s">
        <v>737</v>
      </c>
      <c r="C5377" s="488" t="s">
        <v>17380</v>
      </c>
      <c r="D5377" s="489" t="s">
        <v>17381</v>
      </c>
      <c r="E5377" s="487" t="s">
        <v>17382</v>
      </c>
      <c r="F5377" s="490">
        <v>6615</v>
      </c>
      <c r="G5377" s="489">
        <v>177</v>
      </c>
      <c r="H5377" s="489">
        <v>37.372880000000002</v>
      </c>
      <c r="I5377" s="487" t="s">
        <v>1499</v>
      </c>
      <c r="J5377" s="487" t="s">
        <v>739</v>
      </c>
    </row>
    <row r="5378" spans="1:10" ht="15" x14ac:dyDescent="0.2">
      <c r="A5378" s="486" t="s">
        <v>738</v>
      </c>
      <c r="B5378" s="487" t="s">
        <v>737</v>
      </c>
      <c r="C5378" s="488" t="s">
        <v>17383</v>
      </c>
      <c r="D5378" s="489" t="s">
        <v>17384</v>
      </c>
      <c r="E5378" s="487" t="s">
        <v>17385</v>
      </c>
      <c r="F5378" s="490">
        <v>0</v>
      </c>
      <c r="G5378" s="489">
        <v>63</v>
      </c>
      <c r="H5378" s="489">
        <v>0</v>
      </c>
      <c r="I5378" s="487" t="s">
        <v>1593</v>
      </c>
      <c r="J5378" s="487" t="s">
        <v>739</v>
      </c>
    </row>
    <row r="5379" spans="1:10" ht="15" x14ac:dyDescent="0.2">
      <c r="A5379" s="486" t="s">
        <v>738</v>
      </c>
      <c r="B5379" s="487" t="s">
        <v>737</v>
      </c>
      <c r="C5379" s="488" t="s">
        <v>17386</v>
      </c>
      <c r="D5379" s="489" t="s">
        <v>17387</v>
      </c>
      <c r="E5379" s="487" t="s">
        <v>17388</v>
      </c>
      <c r="F5379" s="490">
        <v>4078</v>
      </c>
      <c r="G5379" s="489">
        <v>128</v>
      </c>
      <c r="H5379" s="489">
        <v>31.859380000000002</v>
      </c>
      <c r="I5379" s="487" t="s">
        <v>1499</v>
      </c>
      <c r="J5379" s="487" t="s">
        <v>739</v>
      </c>
    </row>
    <row r="5380" spans="1:10" ht="15" x14ac:dyDescent="0.2">
      <c r="A5380" s="486" t="s">
        <v>738</v>
      </c>
      <c r="B5380" s="487" t="s">
        <v>737</v>
      </c>
      <c r="C5380" s="488" t="s">
        <v>17389</v>
      </c>
      <c r="D5380" s="489" t="s">
        <v>17390</v>
      </c>
      <c r="E5380" s="487" t="s">
        <v>17391</v>
      </c>
      <c r="F5380" s="490">
        <v>0</v>
      </c>
      <c r="G5380" s="489">
        <v>20</v>
      </c>
      <c r="H5380" s="489">
        <v>0</v>
      </c>
      <c r="I5380" s="487" t="s">
        <v>1593</v>
      </c>
      <c r="J5380" s="487" t="s">
        <v>739</v>
      </c>
    </row>
    <row r="5381" spans="1:10" ht="15" x14ac:dyDescent="0.2">
      <c r="A5381" s="486" t="s">
        <v>738</v>
      </c>
      <c r="B5381" s="487" t="s">
        <v>737</v>
      </c>
      <c r="C5381" s="488" t="s">
        <v>17392</v>
      </c>
      <c r="D5381" s="489" t="s">
        <v>17393</v>
      </c>
      <c r="E5381" s="487" t="s">
        <v>17394</v>
      </c>
      <c r="F5381" s="490">
        <v>0</v>
      </c>
      <c r="G5381" s="489">
        <v>42</v>
      </c>
      <c r="H5381" s="489">
        <v>0</v>
      </c>
      <c r="I5381" s="487" t="s">
        <v>1593</v>
      </c>
      <c r="J5381" s="487" t="s">
        <v>739</v>
      </c>
    </row>
    <row r="5382" spans="1:10" ht="15" x14ac:dyDescent="0.2">
      <c r="A5382" s="486" t="s">
        <v>738</v>
      </c>
      <c r="B5382" s="487" t="s">
        <v>737</v>
      </c>
      <c r="C5382" s="488" t="s">
        <v>17395</v>
      </c>
      <c r="D5382" s="489" t="s">
        <v>17396</v>
      </c>
      <c r="E5382" s="487" t="s">
        <v>17397</v>
      </c>
      <c r="F5382" s="490">
        <v>3268</v>
      </c>
      <c r="G5382" s="489">
        <v>63</v>
      </c>
      <c r="H5382" s="489">
        <v>51.873019999999997</v>
      </c>
      <c r="I5382" s="487" t="s">
        <v>1499</v>
      </c>
      <c r="J5382" s="487" t="s">
        <v>739</v>
      </c>
    </row>
    <row r="5383" spans="1:10" ht="15" x14ac:dyDescent="0.2">
      <c r="A5383" s="486" t="s">
        <v>738</v>
      </c>
      <c r="B5383" s="487" t="s">
        <v>737</v>
      </c>
      <c r="C5383" s="488" t="s">
        <v>17398</v>
      </c>
      <c r="D5383" s="489" t="s">
        <v>17399</v>
      </c>
      <c r="E5383" s="487" t="s">
        <v>17400</v>
      </c>
      <c r="F5383" s="490">
        <v>-198</v>
      </c>
      <c r="G5383" s="489">
        <v>76</v>
      </c>
      <c r="H5383" s="489">
        <v>-2.6052599999999999</v>
      </c>
      <c r="I5383" s="487" t="s">
        <v>1499</v>
      </c>
      <c r="J5383" s="487" t="s">
        <v>739</v>
      </c>
    </row>
    <row r="5384" spans="1:10" ht="15" x14ac:dyDescent="0.2">
      <c r="A5384" s="486" t="s">
        <v>738</v>
      </c>
      <c r="B5384" s="487" t="s">
        <v>737</v>
      </c>
      <c r="C5384" s="488" t="s">
        <v>17401</v>
      </c>
      <c r="D5384" s="489" t="s">
        <v>17402</v>
      </c>
      <c r="E5384" s="487" t="s">
        <v>17403</v>
      </c>
      <c r="F5384" s="490">
        <v>4000</v>
      </c>
      <c r="G5384" s="489">
        <v>159</v>
      </c>
      <c r="H5384" s="489">
        <v>25.157229999999998</v>
      </c>
      <c r="I5384" s="487" t="s">
        <v>1499</v>
      </c>
      <c r="J5384" s="487" t="s">
        <v>739</v>
      </c>
    </row>
    <row r="5385" spans="1:10" ht="15" x14ac:dyDescent="0.2">
      <c r="A5385" s="486" t="s">
        <v>738</v>
      </c>
      <c r="B5385" s="487" t="s">
        <v>737</v>
      </c>
      <c r="C5385" s="488" t="s">
        <v>17404</v>
      </c>
      <c r="D5385" s="489" t="s">
        <v>17405</v>
      </c>
      <c r="E5385" s="487" t="s">
        <v>17406</v>
      </c>
      <c r="F5385" s="490">
        <v>0</v>
      </c>
      <c r="G5385" s="489">
        <v>11</v>
      </c>
      <c r="H5385" s="489">
        <v>0</v>
      </c>
      <c r="I5385" s="487" t="s">
        <v>1593</v>
      </c>
      <c r="J5385" s="487" t="s">
        <v>739</v>
      </c>
    </row>
    <row r="5386" spans="1:10" ht="15" x14ac:dyDescent="0.2">
      <c r="A5386" s="486" t="s">
        <v>738</v>
      </c>
      <c r="B5386" s="487" t="s">
        <v>737</v>
      </c>
      <c r="C5386" s="488" t="s">
        <v>17407</v>
      </c>
      <c r="D5386" s="489" t="s">
        <v>17408</v>
      </c>
      <c r="E5386" s="487" t="s">
        <v>17409</v>
      </c>
      <c r="F5386" s="490">
        <v>2000</v>
      </c>
      <c r="G5386" s="489">
        <v>80</v>
      </c>
      <c r="H5386" s="489">
        <v>25</v>
      </c>
      <c r="I5386" s="487" t="s">
        <v>1499</v>
      </c>
      <c r="J5386" s="487" t="s">
        <v>739</v>
      </c>
    </row>
    <row r="5387" spans="1:10" ht="15" x14ac:dyDescent="0.2">
      <c r="A5387" s="486" t="s">
        <v>738</v>
      </c>
      <c r="B5387" s="487" t="s">
        <v>737</v>
      </c>
      <c r="C5387" s="488" t="s">
        <v>17410</v>
      </c>
      <c r="D5387" s="489" t="s">
        <v>17411</v>
      </c>
      <c r="E5387" s="487" t="s">
        <v>17412</v>
      </c>
      <c r="F5387" s="490">
        <v>4370</v>
      </c>
      <c r="G5387" s="489">
        <v>181</v>
      </c>
      <c r="H5387" s="489">
        <v>24.143650000000001</v>
      </c>
      <c r="I5387" s="487" t="s">
        <v>1499</v>
      </c>
      <c r="J5387" s="487" t="s">
        <v>739</v>
      </c>
    </row>
    <row r="5388" spans="1:10" ht="15" x14ac:dyDescent="0.2">
      <c r="A5388" s="486" t="s">
        <v>738</v>
      </c>
      <c r="B5388" s="487" t="s">
        <v>737</v>
      </c>
      <c r="C5388" s="488" t="s">
        <v>17413</v>
      </c>
      <c r="D5388" s="489" t="s">
        <v>17414</v>
      </c>
      <c r="E5388" s="487" t="s">
        <v>17415</v>
      </c>
      <c r="F5388" s="490">
        <v>19320</v>
      </c>
      <c r="G5388" s="489">
        <v>307</v>
      </c>
      <c r="H5388" s="489">
        <v>62.931600000000003</v>
      </c>
      <c r="I5388" s="487" t="s">
        <v>1499</v>
      </c>
      <c r="J5388" s="487" t="s">
        <v>739</v>
      </c>
    </row>
    <row r="5389" spans="1:10" ht="15" x14ac:dyDescent="0.2">
      <c r="A5389" s="486" t="s">
        <v>738</v>
      </c>
      <c r="B5389" s="487" t="s">
        <v>737</v>
      </c>
      <c r="C5389" s="488" t="s">
        <v>17416</v>
      </c>
      <c r="D5389" s="489" t="s">
        <v>17417</v>
      </c>
      <c r="E5389" s="487" t="s">
        <v>17418</v>
      </c>
      <c r="F5389" s="490">
        <v>11424</v>
      </c>
      <c r="G5389" s="489">
        <v>140</v>
      </c>
      <c r="H5389" s="489">
        <v>81.599999999999994</v>
      </c>
      <c r="I5389" s="487" t="s">
        <v>1499</v>
      </c>
      <c r="J5389" s="487" t="s">
        <v>739</v>
      </c>
    </row>
    <row r="5390" spans="1:10" ht="15" x14ac:dyDescent="0.2">
      <c r="A5390" s="486" t="s">
        <v>738</v>
      </c>
      <c r="B5390" s="487" t="s">
        <v>737</v>
      </c>
      <c r="C5390" s="488" t="s">
        <v>17419</v>
      </c>
      <c r="D5390" s="489" t="s">
        <v>17420</v>
      </c>
      <c r="E5390" s="487" t="s">
        <v>17421</v>
      </c>
      <c r="F5390" s="490">
        <v>0</v>
      </c>
      <c r="G5390" s="489">
        <v>37</v>
      </c>
      <c r="H5390" s="489">
        <v>0</v>
      </c>
      <c r="I5390" s="487" t="s">
        <v>1593</v>
      </c>
      <c r="J5390" s="487" t="s">
        <v>739</v>
      </c>
    </row>
    <row r="5391" spans="1:10" ht="15" x14ac:dyDescent="0.2">
      <c r="A5391" s="486" t="s">
        <v>738</v>
      </c>
      <c r="B5391" s="487" t="s">
        <v>737</v>
      </c>
      <c r="C5391" s="488" t="s">
        <v>17422</v>
      </c>
      <c r="D5391" s="489" t="s">
        <v>17423</v>
      </c>
      <c r="E5391" s="487" t="s">
        <v>17424</v>
      </c>
      <c r="F5391" s="490">
        <v>0</v>
      </c>
      <c r="G5391" s="489">
        <v>46</v>
      </c>
      <c r="H5391" s="489">
        <v>0</v>
      </c>
      <c r="I5391" s="487" t="s">
        <v>1593</v>
      </c>
      <c r="J5391" s="487" t="s">
        <v>739</v>
      </c>
    </row>
    <row r="5392" spans="1:10" ht="15" x14ac:dyDescent="0.2">
      <c r="A5392" s="486" t="s">
        <v>738</v>
      </c>
      <c r="B5392" s="487" t="s">
        <v>737</v>
      </c>
      <c r="C5392" s="488" t="s">
        <v>17425</v>
      </c>
      <c r="D5392" s="489" t="s">
        <v>17426</v>
      </c>
      <c r="E5392" s="487" t="s">
        <v>17427</v>
      </c>
      <c r="F5392" s="490">
        <v>2100</v>
      </c>
      <c r="G5392" s="489">
        <v>137</v>
      </c>
      <c r="H5392" s="489">
        <v>15.328469999999999</v>
      </c>
      <c r="I5392" s="487" t="s">
        <v>1499</v>
      </c>
      <c r="J5392" s="487" t="s">
        <v>739</v>
      </c>
    </row>
    <row r="5393" spans="1:10" ht="15" x14ac:dyDescent="0.2">
      <c r="A5393" s="486" t="s">
        <v>738</v>
      </c>
      <c r="B5393" s="487" t="s">
        <v>737</v>
      </c>
      <c r="C5393" s="488" t="s">
        <v>17428</v>
      </c>
      <c r="D5393" s="489" t="s">
        <v>17429</v>
      </c>
      <c r="E5393" s="487" t="s">
        <v>17430</v>
      </c>
      <c r="F5393" s="490">
        <v>85095</v>
      </c>
      <c r="G5393" s="489">
        <v>908</v>
      </c>
      <c r="H5393" s="489">
        <v>93.71696</v>
      </c>
      <c r="I5393" s="487" t="s">
        <v>1499</v>
      </c>
      <c r="J5393" s="487" t="s">
        <v>739</v>
      </c>
    </row>
    <row r="5394" spans="1:10" ht="15" x14ac:dyDescent="0.2">
      <c r="A5394" s="486" t="s">
        <v>738</v>
      </c>
      <c r="B5394" s="487" t="s">
        <v>737</v>
      </c>
      <c r="C5394" s="488" t="s">
        <v>17431</v>
      </c>
      <c r="D5394" s="489" t="s">
        <v>17432</v>
      </c>
      <c r="E5394" s="487" t="s">
        <v>17433</v>
      </c>
      <c r="F5394" s="490">
        <v>0</v>
      </c>
      <c r="G5394" s="489">
        <v>46</v>
      </c>
      <c r="H5394" s="489">
        <v>0</v>
      </c>
      <c r="I5394" s="487" t="s">
        <v>1593</v>
      </c>
      <c r="J5394" s="487" t="s">
        <v>739</v>
      </c>
    </row>
    <row r="5395" spans="1:10" ht="15" x14ac:dyDescent="0.2">
      <c r="A5395" s="486" t="s">
        <v>738</v>
      </c>
      <c r="B5395" s="487" t="s">
        <v>737</v>
      </c>
      <c r="C5395" s="488" t="s">
        <v>17434</v>
      </c>
      <c r="D5395" s="489" t="s">
        <v>17435</v>
      </c>
      <c r="E5395" s="487" t="s">
        <v>3361</v>
      </c>
      <c r="F5395" s="490">
        <v>0</v>
      </c>
      <c r="G5395" s="489">
        <v>26</v>
      </c>
      <c r="H5395" s="489">
        <v>0</v>
      </c>
      <c r="I5395" s="487" t="s">
        <v>1593</v>
      </c>
      <c r="J5395" s="487" t="s">
        <v>739</v>
      </c>
    </row>
    <row r="5396" spans="1:10" ht="15" x14ac:dyDescent="0.2">
      <c r="A5396" s="486" t="s">
        <v>738</v>
      </c>
      <c r="B5396" s="487" t="s">
        <v>737</v>
      </c>
      <c r="C5396" s="488" t="s">
        <v>17436</v>
      </c>
      <c r="D5396" s="489" t="s">
        <v>17437</v>
      </c>
      <c r="E5396" s="487" t="s">
        <v>17438</v>
      </c>
      <c r="F5396" s="490">
        <v>0</v>
      </c>
      <c r="G5396" s="489">
        <v>21</v>
      </c>
      <c r="H5396" s="489">
        <v>0</v>
      </c>
      <c r="I5396" s="487" t="s">
        <v>1593</v>
      </c>
      <c r="J5396" s="487" t="s">
        <v>739</v>
      </c>
    </row>
    <row r="5397" spans="1:10" ht="15" x14ac:dyDescent="0.2">
      <c r="A5397" s="486" t="s">
        <v>738</v>
      </c>
      <c r="B5397" s="487" t="s">
        <v>737</v>
      </c>
      <c r="C5397" s="488" t="s">
        <v>17439</v>
      </c>
      <c r="D5397" s="489" t="s">
        <v>17440</v>
      </c>
      <c r="E5397" s="487" t="s">
        <v>17441</v>
      </c>
      <c r="F5397" s="490">
        <v>0</v>
      </c>
      <c r="G5397" s="489">
        <v>53</v>
      </c>
      <c r="H5397" s="489">
        <v>0</v>
      </c>
      <c r="I5397" s="487" t="s">
        <v>1593</v>
      </c>
      <c r="J5397" s="487" t="s">
        <v>739</v>
      </c>
    </row>
    <row r="5398" spans="1:10" ht="15" x14ac:dyDescent="0.2">
      <c r="A5398" s="486" t="s">
        <v>738</v>
      </c>
      <c r="B5398" s="487" t="s">
        <v>737</v>
      </c>
      <c r="C5398" s="488" t="s">
        <v>17442</v>
      </c>
      <c r="D5398" s="489" t="s">
        <v>17443</v>
      </c>
      <c r="E5398" s="487" t="s">
        <v>17444</v>
      </c>
      <c r="F5398" s="490">
        <v>10000</v>
      </c>
      <c r="G5398" s="489">
        <v>180</v>
      </c>
      <c r="H5398" s="489">
        <v>55.55556</v>
      </c>
      <c r="I5398" s="487" t="s">
        <v>1499</v>
      </c>
      <c r="J5398" s="487" t="s">
        <v>739</v>
      </c>
    </row>
    <row r="5399" spans="1:10" ht="15" x14ac:dyDescent="0.2">
      <c r="A5399" s="486" t="s">
        <v>738</v>
      </c>
      <c r="B5399" s="487" t="s">
        <v>737</v>
      </c>
      <c r="C5399" s="488" t="s">
        <v>17445</v>
      </c>
      <c r="D5399" s="489" t="s">
        <v>17446</v>
      </c>
      <c r="E5399" s="487" t="s">
        <v>17447</v>
      </c>
      <c r="F5399" s="490">
        <v>141498</v>
      </c>
      <c r="G5399" s="489">
        <v>1293</v>
      </c>
      <c r="H5399" s="489">
        <v>109.43387</v>
      </c>
      <c r="I5399" s="487" t="s">
        <v>1499</v>
      </c>
      <c r="J5399" s="487" t="s">
        <v>739</v>
      </c>
    </row>
    <row r="5400" spans="1:10" ht="15" x14ac:dyDescent="0.2">
      <c r="A5400" s="486" t="s">
        <v>738</v>
      </c>
      <c r="B5400" s="487" t="s">
        <v>737</v>
      </c>
      <c r="C5400" s="488" t="s">
        <v>17448</v>
      </c>
      <c r="D5400" s="489" t="s">
        <v>17449</v>
      </c>
      <c r="E5400" s="487" t="s">
        <v>17450</v>
      </c>
      <c r="F5400" s="490">
        <v>0</v>
      </c>
      <c r="G5400" s="489">
        <v>21</v>
      </c>
      <c r="H5400" s="489">
        <v>0</v>
      </c>
      <c r="I5400" s="487" t="s">
        <v>1593</v>
      </c>
      <c r="J5400" s="487" t="s">
        <v>739</v>
      </c>
    </row>
    <row r="5401" spans="1:10" ht="15" x14ac:dyDescent="0.2">
      <c r="A5401" s="486" t="s">
        <v>738</v>
      </c>
      <c r="B5401" s="487" t="s">
        <v>737</v>
      </c>
      <c r="C5401" s="488" t="s">
        <v>17451</v>
      </c>
      <c r="D5401" s="489" t="s">
        <v>17452</v>
      </c>
      <c r="E5401" s="487" t="s">
        <v>17453</v>
      </c>
      <c r="F5401" s="490">
        <v>0</v>
      </c>
      <c r="G5401" s="489">
        <v>9</v>
      </c>
      <c r="H5401" s="489">
        <v>0</v>
      </c>
      <c r="I5401" s="487" t="s">
        <v>1593</v>
      </c>
      <c r="J5401" s="487" t="s">
        <v>739</v>
      </c>
    </row>
    <row r="5402" spans="1:10" ht="15" x14ac:dyDescent="0.2">
      <c r="A5402" s="486" t="s">
        <v>738</v>
      </c>
      <c r="B5402" s="487" t="s">
        <v>737</v>
      </c>
      <c r="C5402" s="488" t="s">
        <v>17454</v>
      </c>
      <c r="D5402" s="489" t="s">
        <v>17455</v>
      </c>
      <c r="E5402" s="487" t="s">
        <v>17456</v>
      </c>
      <c r="F5402" s="490">
        <v>150150</v>
      </c>
      <c r="G5402" s="489">
        <v>1306</v>
      </c>
      <c r="H5402" s="489">
        <v>114.96937</v>
      </c>
      <c r="I5402" s="487" t="s">
        <v>1499</v>
      </c>
      <c r="J5402" s="487" t="s">
        <v>739</v>
      </c>
    </row>
    <row r="5403" spans="1:10" ht="15" x14ac:dyDescent="0.2">
      <c r="A5403" s="486" t="s">
        <v>738</v>
      </c>
      <c r="B5403" s="487" t="s">
        <v>737</v>
      </c>
      <c r="C5403" s="488" t="s">
        <v>17457</v>
      </c>
      <c r="D5403" s="489" t="s">
        <v>17458</v>
      </c>
      <c r="E5403" s="487" t="s">
        <v>17459</v>
      </c>
      <c r="F5403" s="490">
        <v>0</v>
      </c>
      <c r="G5403" s="489">
        <v>24</v>
      </c>
      <c r="H5403" s="489">
        <v>0</v>
      </c>
      <c r="I5403" s="487" t="s">
        <v>1593</v>
      </c>
      <c r="J5403" s="487" t="s">
        <v>739</v>
      </c>
    </row>
    <row r="5404" spans="1:10" ht="15" x14ac:dyDescent="0.2">
      <c r="A5404" s="486" t="s">
        <v>738</v>
      </c>
      <c r="B5404" s="487" t="s">
        <v>737</v>
      </c>
      <c r="C5404" s="488" t="s">
        <v>17460</v>
      </c>
      <c r="D5404" s="489" t="s">
        <v>17461</v>
      </c>
      <c r="E5404" s="487" t="s">
        <v>17462</v>
      </c>
      <c r="F5404" s="490">
        <v>9206</v>
      </c>
      <c r="G5404" s="489">
        <v>158</v>
      </c>
      <c r="H5404" s="489">
        <v>58.265819999999998</v>
      </c>
      <c r="I5404" s="487" t="s">
        <v>1499</v>
      </c>
      <c r="J5404" s="487" t="s">
        <v>739</v>
      </c>
    </row>
    <row r="5405" spans="1:10" ht="15" x14ac:dyDescent="0.2">
      <c r="A5405" s="486" t="s">
        <v>738</v>
      </c>
      <c r="B5405" s="487" t="s">
        <v>737</v>
      </c>
      <c r="C5405" s="488" t="s">
        <v>17463</v>
      </c>
      <c r="D5405" s="489" t="s">
        <v>17464</v>
      </c>
      <c r="E5405" s="487" t="s">
        <v>4066</v>
      </c>
      <c r="F5405" s="490">
        <v>14162</v>
      </c>
      <c r="G5405" s="489">
        <v>311</v>
      </c>
      <c r="H5405" s="489">
        <v>45.53698</v>
      </c>
      <c r="I5405" s="487" t="s">
        <v>1499</v>
      </c>
      <c r="J5405" s="487" t="s">
        <v>739</v>
      </c>
    </row>
    <row r="5406" spans="1:10" ht="15" x14ac:dyDescent="0.2">
      <c r="A5406" s="486" t="s">
        <v>738</v>
      </c>
      <c r="B5406" s="487" t="s">
        <v>737</v>
      </c>
      <c r="C5406" s="488" t="s">
        <v>17465</v>
      </c>
      <c r="D5406" s="489" t="s">
        <v>17466</v>
      </c>
      <c r="E5406" s="487" t="s">
        <v>17467</v>
      </c>
      <c r="F5406" s="490">
        <v>0</v>
      </c>
      <c r="G5406" s="489">
        <v>40</v>
      </c>
      <c r="H5406" s="489">
        <v>0</v>
      </c>
      <c r="I5406" s="487" t="s">
        <v>1593</v>
      </c>
      <c r="J5406" s="487" t="s">
        <v>739</v>
      </c>
    </row>
    <row r="5407" spans="1:10" ht="15" x14ac:dyDescent="0.2">
      <c r="A5407" s="486" t="s">
        <v>738</v>
      </c>
      <c r="B5407" s="487" t="s">
        <v>737</v>
      </c>
      <c r="C5407" s="488" t="s">
        <v>17468</v>
      </c>
      <c r="D5407" s="489" t="s">
        <v>17469</v>
      </c>
      <c r="E5407" s="487" t="s">
        <v>17470</v>
      </c>
      <c r="F5407" s="490">
        <v>10000</v>
      </c>
      <c r="G5407" s="489">
        <v>129</v>
      </c>
      <c r="H5407" s="489">
        <v>77.519379999999998</v>
      </c>
      <c r="I5407" s="487" t="s">
        <v>1499</v>
      </c>
      <c r="J5407" s="487" t="s">
        <v>739</v>
      </c>
    </row>
    <row r="5408" spans="1:10" ht="15" x14ac:dyDescent="0.2">
      <c r="A5408" s="486" t="s">
        <v>738</v>
      </c>
      <c r="B5408" s="487" t="s">
        <v>737</v>
      </c>
      <c r="C5408" s="488" t="s">
        <v>17471</v>
      </c>
      <c r="D5408" s="489" t="s">
        <v>17472</v>
      </c>
      <c r="E5408" s="487" t="s">
        <v>17473</v>
      </c>
      <c r="F5408" s="490">
        <v>13500</v>
      </c>
      <c r="G5408" s="489">
        <v>170</v>
      </c>
      <c r="H5408" s="489">
        <v>79.411760000000001</v>
      </c>
      <c r="I5408" s="487" t="s">
        <v>1499</v>
      </c>
      <c r="J5408" s="487" t="s">
        <v>739</v>
      </c>
    </row>
    <row r="5409" spans="1:10" ht="15" x14ac:dyDescent="0.2">
      <c r="A5409" s="486" t="s">
        <v>738</v>
      </c>
      <c r="B5409" s="487" t="s">
        <v>737</v>
      </c>
      <c r="C5409" s="488" t="s">
        <v>17474</v>
      </c>
      <c r="D5409" s="489" t="s">
        <v>17475</v>
      </c>
      <c r="E5409" s="487" t="s">
        <v>17476</v>
      </c>
      <c r="F5409" s="490">
        <v>4900</v>
      </c>
      <c r="G5409" s="489">
        <v>147</v>
      </c>
      <c r="H5409" s="489">
        <v>33.333329999999997</v>
      </c>
      <c r="I5409" s="487" t="s">
        <v>1499</v>
      </c>
      <c r="J5409" s="487" t="s">
        <v>739</v>
      </c>
    </row>
    <row r="5410" spans="1:10" ht="15" x14ac:dyDescent="0.2">
      <c r="A5410" s="486" t="s">
        <v>738</v>
      </c>
      <c r="B5410" s="487" t="s">
        <v>737</v>
      </c>
      <c r="C5410" s="488" t="s">
        <v>17477</v>
      </c>
      <c r="D5410" s="489" t="s">
        <v>17478</v>
      </c>
      <c r="E5410" s="487" t="s">
        <v>17479</v>
      </c>
      <c r="F5410" s="490">
        <v>3500</v>
      </c>
      <c r="G5410" s="489">
        <v>100</v>
      </c>
      <c r="H5410" s="489">
        <v>35</v>
      </c>
      <c r="I5410" s="487" t="s">
        <v>1499</v>
      </c>
      <c r="J5410" s="487" t="s">
        <v>739</v>
      </c>
    </row>
    <row r="5411" spans="1:10" ht="15" x14ac:dyDescent="0.2">
      <c r="A5411" s="486" t="s">
        <v>738</v>
      </c>
      <c r="B5411" s="487" t="s">
        <v>737</v>
      </c>
      <c r="C5411" s="488" t="s">
        <v>17480</v>
      </c>
      <c r="D5411" s="489" t="s">
        <v>17481</v>
      </c>
      <c r="E5411" s="487" t="s">
        <v>17482</v>
      </c>
      <c r="F5411" s="490">
        <v>16000</v>
      </c>
      <c r="G5411" s="489">
        <v>192</v>
      </c>
      <c r="H5411" s="489">
        <v>83.333330000000004</v>
      </c>
      <c r="I5411" s="487" t="s">
        <v>1499</v>
      </c>
      <c r="J5411" s="487" t="s">
        <v>739</v>
      </c>
    </row>
    <row r="5412" spans="1:10" ht="15" x14ac:dyDescent="0.2">
      <c r="A5412" s="486" t="s">
        <v>738</v>
      </c>
      <c r="B5412" s="487" t="s">
        <v>737</v>
      </c>
      <c r="C5412" s="488" t="s">
        <v>17483</v>
      </c>
      <c r="D5412" s="489" t="s">
        <v>17484</v>
      </c>
      <c r="E5412" s="487" t="s">
        <v>17485</v>
      </c>
      <c r="F5412" s="490">
        <v>0</v>
      </c>
      <c r="G5412" s="489">
        <v>58</v>
      </c>
      <c r="H5412" s="489">
        <v>0</v>
      </c>
      <c r="I5412" s="487" t="s">
        <v>1593</v>
      </c>
      <c r="J5412" s="487" t="s">
        <v>739</v>
      </c>
    </row>
    <row r="5413" spans="1:10" ht="15" x14ac:dyDescent="0.2">
      <c r="A5413" s="486" t="s">
        <v>738</v>
      </c>
      <c r="B5413" s="487" t="s">
        <v>737</v>
      </c>
      <c r="C5413" s="488" t="s">
        <v>17486</v>
      </c>
      <c r="D5413" s="489" t="s">
        <v>17487</v>
      </c>
      <c r="E5413" s="487" t="s">
        <v>17488</v>
      </c>
      <c r="F5413" s="490">
        <v>2053</v>
      </c>
      <c r="G5413" s="489">
        <v>109</v>
      </c>
      <c r="H5413" s="489">
        <v>18.834859999999999</v>
      </c>
      <c r="I5413" s="487" t="s">
        <v>1499</v>
      </c>
      <c r="J5413" s="487" t="s">
        <v>739</v>
      </c>
    </row>
    <row r="5414" spans="1:10" ht="15" x14ac:dyDescent="0.2">
      <c r="A5414" s="486" t="s">
        <v>738</v>
      </c>
      <c r="B5414" s="487" t="s">
        <v>737</v>
      </c>
      <c r="C5414" s="488" t="s">
        <v>17489</v>
      </c>
      <c r="D5414" s="489" t="s">
        <v>17490</v>
      </c>
      <c r="E5414" s="487" t="s">
        <v>17491</v>
      </c>
      <c r="F5414" s="490">
        <v>5000</v>
      </c>
      <c r="G5414" s="489">
        <v>403</v>
      </c>
      <c r="H5414" s="489">
        <v>12.40695</v>
      </c>
      <c r="I5414" s="487" t="s">
        <v>1499</v>
      </c>
      <c r="J5414" s="487" t="s">
        <v>739</v>
      </c>
    </row>
    <row r="5415" spans="1:10" ht="15" x14ac:dyDescent="0.2">
      <c r="A5415" s="486" t="s">
        <v>738</v>
      </c>
      <c r="B5415" s="487" t="s">
        <v>737</v>
      </c>
      <c r="C5415" s="488" t="s">
        <v>17492</v>
      </c>
      <c r="D5415" s="489" t="s">
        <v>17493</v>
      </c>
      <c r="E5415" s="487" t="s">
        <v>17494</v>
      </c>
      <c r="F5415" s="490">
        <v>10021</v>
      </c>
      <c r="G5415" s="489">
        <v>161</v>
      </c>
      <c r="H5415" s="489">
        <v>62.242240000000002</v>
      </c>
      <c r="I5415" s="487" t="s">
        <v>1499</v>
      </c>
      <c r="J5415" s="487" t="s">
        <v>739</v>
      </c>
    </row>
    <row r="5416" spans="1:10" ht="15" x14ac:dyDescent="0.2">
      <c r="A5416" s="486" t="s">
        <v>738</v>
      </c>
      <c r="B5416" s="487" t="s">
        <v>737</v>
      </c>
      <c r="C5416" s="488" t="s">
        <v>17495</v>
      </c>
      <c r="D5416" s="489" t="s">
        <v>17496</v>
      </c>
      <c r="E5416" s="487" t="s">
        <v>17497</v>
      </c>
      <c r="F5416" s="490">
        <v>19000</v>
      </c>
      <c r="G5416" s="489">
        <v>471</v>
      </c>
      <c r="H5416" s="489">
        <v>40.339700000000001</v>
      </c>
      <c r="I5416" s="487" t="s">
        <v>1499</v>
      </c>
      <c r="J5416" s="487" t="s">
        <v>739</v>
      </c>
    </row>
    <row r="5417" spans="1:10" ht="15" x14ac:dyDescent="0.2">
      <c r="A5417" s="486" t="s">
        <v>738</v>
      </c>
      <c r="B5417" s="487" t="s">
        <v>737</v>
      </c>
      <c r="C5417" s="488" t="s">
        <v>17498</v>
      </c>
      <c r="D5417" s="489" t="s">
        <v>17499</v>
      </c>
      <c r="E5417" s="487" t="s">
        <v>17500</v>
      </c>
      <c r="F5417" s="490">
        <v>10000</v>
      </c>
      <c r="G5417" s="489">
        <v>226</v>
      </c>
      <c r="H5417" s="489">
        <v>44.247790000000002</v>
      </c>
      <c r="I5417" s="487" t="s">
        <v>1499</v>
      </c>
      <c r="J5417" s="487" t="s">
        <v>739</v>
      </c>
    </row>
    <row r="5418" spans="1:10" ht="15" x14ac:dyDescent="0.2">
      <c r="A5418" s="486" t="s">
        <v>738</v>
      </c>
      <c r="B5418" s="487" t="s">
        <v>737</v>
      </c>
      <c r="C5418" s="488" t="s">
        <v>17501</v>
      </c>
      <c r="D5418" s="489" t="s">
        <v>17502</v>
      </c>
      <c r="E5418" s="487" t="s">
        <v>17503</v>
      </c>
      <c r="F5418" s="490">
        <v>4700</v>
      </c>
      <c r="G5418" s="489">
        <v>222</v>
      </c>
      <c r="H5418" s="489">
        <v>21.17117</v>
      </c>
      <c r="I5418" s="487" t="s">
        <v>1499</v>
      </c>
      <c r="J5418" s="487" t="s">
        <v>739</v>
      </c>
    </row>
    <row r="5419" spans="1:10" ht="15" x14ac:dyDescent="0.2">
      <c r="A5419" s="486" t="s">
        <v>738</v>
      </c>
      <c r="B5419" s="487" t="s">
        <v>737</v>
      </c>
      <c r="C5419" s="488" t="s">
        <v>17504</v>
      </c>
      <c r="D5419" s="489" t="s">
        <v>17505</v>
      </c>
      <c r="E5419" s="487" t="s">
        <v>17506</v>
      </c>
      <c r="F5419" s="490">
        <v>700</v>
      </c>
      <c r="G5419" s="489">
        <v>51</v>
      </c>
      <c r="H5419" s="489">
        <v>13.725490000000001</v>
      </c>
      <c r="I5419" s="487" t="s">
        <v>1499</v>
      </c>
      <c r="J5419" s="487" t="s">
        <v>739</v>
      </c>
    </row>
    <row r="5420" spans="1:10" ht="15" x14ac:dyDescent="0.2">
      <c r="A5420" s="486" t="s">
        <v>738</v>
      </c>
      <c r="B5420" s="487" t="s">
        <v>737</v>
      </c>
      <c r="C5420" s="488" t="s">
        <v>17507</v>
      </c>
      <c r="D5420" s="489" t="s">
        <v>17508</v>
      </c>
      <c r="E5420" s="487" t="s">
        <v>17509</v>
      </c>
      <c r="F5420" s="490">
        <v>0</v>
      </c>
      <c r="G5420" s="489">
        <v>20</v>
      </c>
      <c r="H5420" s="489">
        <v>0</v>
      </c>
      <c r="I5420" s="487" t="s">
        <v>1593</v>
      </c>
      <c r="J5420" s="487" t="s">
        <v>739</v>
      </c>
    </row>
    <row r="5421" spans="1:10" ht="15" x14ac:dyDescent="0.2">
      <c r="A5421" s="486" t="s">
        <v>738</v>
      </c>
      <c r="B5421" s="487" t="s">
        <v>737</v>
      </c>
      <c r="C5421" s="488" t="s">
        <v>17510</v>
      </c>
      <c r="D5421" s="489" t="s">
        <v>17511</v>
      </c>
      <c r="E5421" s="487" t="s">
        <v>17512</v>
      </c>
      <c r="F5421" s="490">
        <v>5000</v>
      </c>
      <c r="G5421" s="489">
        <v>233</v>
      </c>
      <c r="H5421" s="489">
        <v>21.459230000000002</v>
      </c>
      <c r="I5421" s="487" t="s">
        <v>1499</v>
      </c>
      <c r="J5421" s="487" t="s">
        <v>739</v>
      </c>
    </row>
    <row r="5422" spans="1:10" ht="15" x14ac:dyDescent="0.2">
      <c r="A5422" s="486" t="s">
        <v>738</v>
      </c>
      <c r="B5422" s="487" t="s">
        <v>737</v>
      </c>
      <c r="C5422" s="488" t="s">
        <v>17513</v>
      </c>
      <c r="D5422" s="489" t="s">
        <v>17514</v>
      </c>
      <c r="E5422" s="487" t="s">
        <v>17515</v>
      </c>
      <c r="F5422" s="490">
        <v>1000</v>
      </c>
      <c r="G5422" s="489">
        <v>104</v>
      </c>
      <c r="H5422" s="489">
        <v>9.61538</v>
      </c>
      <c r="I5422" s="487" t="s">
        <v>1499</v>
      </c>
      <c r="J5422" s="487" t="s">
        <v>739</v>
      </c>
    </row>
    <row r="5423" spans="1:10" ht="15" x14ac:dyDescent="0.2">
      <c r="A5423" s="486" t="s">
        <v>738</v>
      </c>
      <c r="B5423" s="487" t="s">
        <v>737</v>
      </c>
      <c r="C5423" s="488" t="s">
        <v>17516</v>
      </c>
      <c r="D5423" s="489" t="s">
        <v>17517</v>
      </c>
      <c r="E5423" s="487" t="s">
        <v>17518</v>
      </c>
      <c r="F5423" s="490">
        <v>0</v>
      </c>
      <c r="G5423" s="489">
        <v>17</v>
      </c>
      <c r="H5423" s="489">
        <v>0</v>
      </c>
      <c r="I5423" s="487" t="s">
        <v>1593</v>
      </c>
      <c r="J5423" s="487" t="s">
        <v>739</v>
      </c>
    </row>
    <row r="5424" spans="1:10" ht="15" x14ac:dyDescent="0.2">
      <c r="A5424" s="486" t="s">
        <v>738</v>
      </c>
      <c r="B5424" s="487" t="s">
        <v>737</v>
      </c>
      <c r="C5424" s="488" t="s">
        <v>17519</v>
      </c>
      <c r="D5424" s="489" t="s">
        <v>17520</v>
      </c>
      <c r="E5424" s="487" t="s">
        <v>17521</v>
      </c>
      <c r="F5424" s="490">
        <v>0</v>
      </c>
      <c r="G5424" s="489">
        <v>73</v>
      </c>
      <c r="H5424" s="489">
        <v>0</v>
      </c>
      <c r="I5424" s="487" t="s">
        <v>1593</v>
      </c>
      <c r="J5424" s="487" t="s">
        <v>739</v>
      </c>
    </row>
    <row r="5425" spans="1:10" ht="15" x14ac:dyDescent="0.2">
      <c r="A5425" s="486" t="s">
        <v>738</v>
      </c>
      <c r="B5425" s="487" t="s">
        <v>737</v>
      </c>
      <c r="C5425" s="488" t="s">
        <v>17522</v>
      </c>
      <c r="D5425" s="489" t="s">
        <v>17523</v>
      </c>
      <c r="E5425" s="487" t="s">
        <v>17524</v>
      </c>
      <c r="F5425" s="490">
        <v>21634</v>
      </c>
      <c r="G5425" s="489">
        <v>657</v>
      </c>
      <c r="H5425" s="489">
        <v>32.928460000000001</v>
      </c>
      <c r="I5425" s="487" t="s">
        <v>1499</v>
      </c>
      <c r="J5425" s="487" t="s">
        <v>739</v>
      </c>
    </row>
    <row r="5426" spans="1:10" ht="15" x14ac:dyDescent="0.2">
      <c r="A5426" s="486" t="s">
        <v>738</v>
      </c>
      <c r="B5426" s="487" t="s">
        <v>737</v>
      </c>
      <c r="C5426" s="488" t="s">
        <v>17525</v>
      </c>
      <c r="D5426" s="489" t="s">
        <v>17526</v>
      </c>
      <c r="E5426" s="487" t="s">
        <v>17527</v>
      </c>
      <c r="F5426" s="490">
        <v>7324</v>
      </c>
      <c r="G5426" s="489">
        <v>158</v>
      </c>
      <c r="H5426" s="489">
        <v>46.354430000000001</v>
      </c>
      <c r="I5426" s="487" t="s">
        <v>1499</v>
      </c>
      <c r="J5426" s="487" t="s">
        <v>739</v>
      </c>
    </row>
    <row r="5427" spans="1:10" ht="15" x14ac:dyDescent="0.2">
      <c r="A5427" s="486" t="s">
        <v>738</v>
      </c>
      <c r="B5427" s="487" t="s">
        <v>737</v>
      </c>
      <c r="C5427" s="488" t="s">
        <v>17528</v>
      </c>
      <c r="D5427" s="489" t="s">
        <v>17529</v>
      </c>
      <c r="E5427" s="487" t="s">
        <v>17530</v>
      </c>
      <c r="F5427" s="490">
        <v>0</v>
      </c>
      <c r="G5427" s="489">
        <v>32</v>
      </c>
      <c r="H5427" s="489">
        <v>0</v>
      </c>
      <c r="I5427" s="487" t="s">
        <v>1593</v>
      </c>
      <c r="J5427" s="487" t="s">
        <v>739</v>
      </c>
    </row>
    <row r="5428" spans="1:10" ht="15" x14ac:dyDescent="0.2">
      <c r="A5428" s="486" t="s">
        <v>738</v>
      </c>
      <c r="B5428" s="487" t="s">
        <v>737</v>
      </c>
      <c r="C5428" s="488" t="s">
        <v>17531</v>
      </c>
      <c r="D5428" s="489" t="s">
        <v>17532</v>
      </c>
      <c r="E5428" s="487" t="s">
        <v>17533</v>
      </c>
      <c r="F5428" s="490">
        <v>0</v>
      </c>
      <c r="G5428" s="489">
        <v>14</v>
      </c>
      <c r="H5428" s="489">
        <v>0</v>
      </c>
      <c r="I5428" s="487" t="s">
        <v>1593</v>
      </c>
      <c r="J5428" s="487" t="s">
        <v>739</v>
      </c>
    </row>
    <row r="5429" spans="1:10" ht="15" x14ac:dyDescent="0.2">
      <c r="A5429" s="486" t="s">
        <v>738</v>
      </c>
      <c r="B5429" s="487" t="s">
        <v>737</v>
      </c>
      <c r="C5429" s="488" t="s">
        <v>17534</v>
      </c>
      <c r="D5429" s="489" t="s">
        <v>17535</v>
      </c>
      <c r="E5429" s="487" t="s">
        <v>17536</v>
      </c>
      <c r="F5429" s="490">
        <v>0</v>
      </c>
      <c r="G5429" s="489">
        <v>51</v>
      </c>
      <c r="H5429" s="489">
        <v>0</v>
      </c>
      <c r="I5429" s="487" t="s">
        <v>1593</v>
      </c>
      <c r="J5429" s="487" t="s">
        <v>739</v>
      </c>
    </row>
    <row r="5430" spans="1:10" ht="15" x14ac:dyDescent="0.2">
      <c r="A5430" s="486" t="s">
        <v>738</v>
      </c>
      <c r="B5430" s="487" t="s">
        <v>737</v>
      </c>
      <c r="C5430" s="488" t="s">
        <v>17537</v>
      </c>
      <c r="D5430" s="489" t="s">
        <v>17538</v>
      </c>
      <c r="E5430" s="487" t="s">
        <v>17539</v>
      </c>
      <c r="F5430" s="490">
        <v>4975</v>
      </c>
      <c r="G5430" s="489">
        <v>159</v>
      </c>
      <c r="H5430" s="489">
        <v>31.28931</v>
      </c>
      <c r="I5430" s="487" t="s">
        <v>1499</v>
      </c>
      <c r="J5430" s="487" t="s">
        <v>739</v>
      </c>
    </row>
    <row r="5431" spans="1:10" ht="15" x14ac:dyDescent="0.2">
      <c r="A5431" s="486" t="s">
        <v>738</v>
      </c>
      <c r="B5431" s="487" t="s">
        <v>737</v>
      </c>
      <c r="C5431" s="488" t="s">
        <v>17540</v>
      </c>
      <c r="D5431" s="489" t="s">
        <v>17541</v>
      </c>
      <c r="E5431" s="487" t="s">
        <v>17542</v>
      </c>
      <c r="F5431" s="490">
        <v>0</v>
      </c>
      <c r="G5431" s="489">
        <v>31</v>
      </c>
      <c r="H5431" s="489">
        <v>0</v>
      </c>
      <c r="I5431" s="487" t="s">
        <v>1593</v>
      </c>
      <c r="J5431" s="487" t="s">
        <v>739</v>
      </c>
    </row>
    <row r="5432" spans="1:10" ht="15" x14ac:dyDescent="0.2">
      <c r="A5432" s="486" t="s">
        <v>738</v>
      </c>
      <c r="B5432" s="487" t="s">
        <v>737</v>
      </c>
      <c r="C5432" s="488" t="s">
        <v>17543</v>
      </c>
      <c r="D5432" s="489" t="s">
        <v>17544</v>
      </c>
      <c r="E5432" s="487" t="s">
        <v>17545</v>
      </c>
      <c r="F5432" s="490">
        <v>0</v>
      </c>
      <c r="G5432" s="489">
        <v>20</v>
      </c>
      <c r="H5432" s="489">
        <v>0</v>
      </c>
      <c r="I5432" s="487" t="s">
        <v>1593</v>
      </c>
      <c r="J5432" s="487" t="s">
        <v>739</v>
      </c>
    </row>
    <row r="5433" spans="1:10" ht="15" x14ac:dyDescent="0.2">
      <c r="A5433" s="486" t="s">
        <v>738</v>
      </c>
      <c r="B5433" s="487" t="s">
        <v>737</v>
      </c>
      <c r="C5433" s="488" t="s">
        <v>17546</v>
      </c>
      <c r="D5433" s="489" t="s">
        <v>17547</v>
      </c>
      <c r="E5433" s="487" t="s">
        <v>17548</v>
      </c>
      <c r="F5433" s="490">
        <v>0</v>
      </c>
      <c r="G5433" s="489">
        <v>23</v>
      </c>
      <c r="H5433" s="489">
        <v>0</v>
      </c>
      <c r="I5433" s="487" t="s">
        <v>1593</v>
      </c>
      <c r="J5433" s="487" t="s">
        <v>739</v>
      </c>
    </row>
    <row r="5434" spans="1:10" ht="15" x14ac:dyDescent="0.2">
      <c r="A5434" s="486" t="s">
        <v>738</v>
      </c>
      <c r="B5434" s="487" t="s">
        <v>737</v>
      </c>
      <c r="C5434" s="488" t="s">
        <v>17549</v>
      </c>
      <c r="D5434" s="489" t="s">
        <v>17550</v>
      </c>
      <c r="E5434" s="487" t="s">
        <v>4081</v>
      </c>
      <c r="F5434" s="490">
        <v>0</v>
      </c>
      <c r="G5434" s="489">
        <v>47</v>
      </c>
      <c r="H5434" s="489">
        <v>0</v>
      </c>
      <c r="I5434" s="487" t="s">
        <v>1593</v>
      </c>
      <c r="J5434" s="487" t="s">
        <v>739</v>
      </c>
    </row>
    <row r="5435" spans="1:10" ht="15" x14ac:dyDescent="0.2">
      <c r="A5435" s="486" t="s">
        <v>738</v>
      </c>
      <c r="B5435" s="487" t="s">
        <v>737</v>
      </c>
      <c r="C5435" s="488" t="s">
        <v>17551</v>
      </c>
      <c r="D5435" s="489" t="s">
        <v>17552</v>
      </c>
      <c r="E5435" s="487" t="s">
        <v>17553</v>
      </c>
      <c r="F5435" s="490">
        <v>3012</v>
      </c>
      <c r="G5435" s="489">
        <v>95</v>
      </c>
      <c r="H5435" s="489">
        <v>31.705259999999999</v>
      </c>
      <c r="I5435" s="487" t="s">
        <v>1499</v>
      </c>
      <c r="J5435" s="487" t="s">
        <v>739</v>
      </c>
    </row>
    <row r="5436" spans="1:10" ht="15" x14ac:dyDescent="0.2">
      <c r="A5436" s="486" t="s">
        <v>738</v>
      </c>
      <c r="B5436" s="487" t="s">
        <v>737</v>
      </c>
      <c r="C5436" s="488" t="s">
        <v>17554</v>
      </c>
      <c r="D5436" s="489" t="s">
        <v>17555</v>
      </c>
      <c r="E5436" s="487" t="s">
        <v>17556</v>
      </c>
      <c r="F5436" s="490">
        <v>0</v>
      </c>
      <c r="G5436" s="489">
        <v>27</v>
      </c>
      <c r="H5436" s="489">
        <v>0</v>
      </c>
      <c r="I5436" s="487" t="s">
        <v>1593</v>
      </c>
      <c r="J5436" s="487" t="s">
        <v>739</v>
      </c>
    </row>
    <row r="5437" spans="1:10" ht="15" x14ac:dyDescent="0.2">
      <c r="A5437" s="486" t="s">
        <v>738</v>
      </c>
      <c r="B5437" s="487" t="s">
        <v>737</v>
      </c>
      <c r="C5437" s="488" t="s">
        <v>17557</v>
      </c>
      <c r="D5437" s="489" t="s">
        <v>17558</v>
      </c>
      <c r="E5437" s="487" t="s">
        <v>17559</v>
      </c>
      <c r="F5437" s="490">
        <v>12463</v>
      </c>
      <c r="G5437" s="489">
        <v>291</v>
      </c>
      <c r="H5437" s="489">
        <v>42.828180000000003</v>
      </c>
      <c r="I5437" s="487" t="s">
        <v>1499</v>
      </c>
      <c r="J5437" s="487" t="s">
        <v>739</v>
      </c>
    </row>
    <row r="5438" spans="1:10" ht="15" x14ac:dyDescent="0.2">
      <c r="A5438" s="486" t="s">
        <v>738</v>
      </c>
      <c r="B5438" s="487" t="s">
        <v>737</v>
      </c>
      <c r="C5438" s="488" t="s">
        <v>17560</v>
      </c>
      <c r="D5438" s="489" t="s">
        <v>17561</v>
      </c>
      <c r="E5438" s="487" t="s">
        <v>17562</v>
      </c>
      <c r="F5438" s="490">
        <v>81378</v>
      </c>
      <c r="G5438" s="489">
        <v>1293</v>
      </c>
      <c r="H5438" s="489">
        <v>62.937350000000002</v>
      </c>
      <c r="I5438" s="487" t="s">
        <v>1499</v>
      </c>
      <c r="J5438" s="487" t="s">
        <v>739</v>
      </c>
    </row>
    <row r="5439" spans="1:10" ht="15" x14ac:dyDescent="0.2">
      <c r="A5439" s="486" t="s">
        <v>738</v>
      </c>
      <c r="B5439" s="487" t="s">
        <v>737</v>
      </c>
      <c r="C5439" s="488" t="s">
        <v>17563</v>
      </c>
      <c r="D5439" s="489" t="s">
        <v>17564</v>
      </c>
      <c r="E5439" s="487" t="s">
        <v>17565</v>
      </c>
      <c r="F5439" s="490">
        <v>282924</v>
      </c>
      <c r="G5439" s="489">
        <v>2618</v>
      </c>
      <c r="H5439" s="489">
        <v>108.06874999999999</v>
      </c>
      <c r="I5439" s="487" t="s">
        <v>1499</v>
      </c>
      <c r="J5439" s="487" t="s">
        <v>739</v>
      </c>
    </row>
    <row r="5440" spans="1:10" ht="15" x14ac:dyDescent="0.2">
      <c r="A5440" s="486" t="s">
        <v>738</v>
      </c>
      <c r="B5440" s="487" t="s">
        <v>737</v>
      </c>
      <c r="C5440" s="488" t="s">
        <v>17566</v>
      </c>
      <c r="D5440" s="489" t="s">
        <v>17567</v>
      </c>
      <c r="E5440" s="487" t="s">
        <v>17568</v>
      </c>
      <c r="F5440" s="490">
        <v>4326</v>
      </c>
      <c r="G5440" s="489">
        <v>94</v>
      </c>
      <c r="H5440" s="489">
        <v>46.021279999999997</v>
      </c>
      <c r="I5440" s="487" t="s">
        <v>1499</v>
      </c>
      <c r="J5440" s="487" t="s">
        <v>739</v>
      </c>
    </row>
    <row r="5441" spans="1:10" ht="15" x14ac:dyDescent="0.2">
      <c r="A5441" s="486" t="s">
        <v>738</v>
      </c>
      <c r="B5441" s="487" t="s">
        <v>737</v>
      </c>
      <c r="C5441" s="488" t="s">
        <v>17569</v>
      </c>
      <c r="D5441" s="489" t="s">
        <v>17570</v>
      </c>
      <c r="E5441" s="487" t="s">
        <v>17571</v>
      </c>
      <c r="F5441" s="490">
        <v>10350</v>
      </c>
      <c r="G5441" s="489">
        <v>181</v>
      </c>
      <c r="H5441" s="489">
        <v>57.182319999999997</v>
      </c>
      <c r="I5441" s="487" t="s">
        <v>1499</v>
      </c>
      <c r="J5441" s="487" t="s">
        <v>739</v>
      </c>
    </row>
    <row r="5442" spans="1:10" ht="15" x14ac:dyDescent="0.2">
      <c r="A5442" s="486" t="s">
        <v>738</v>
      </c>
      <c r="B5442" s="487" t="s">
        <v>737</v>
      </c>
      <c r="C5442" s="488" t="s">
        <v>17572</v>
      </c>
      <c r="D5442" s="489" t="s">
        <v>17573</v>
      </c>
      <c r="E5442" s="487" t="s">
        <v>17574</v>
      </c>
      <c r="F5442" s="490">
        <v>9935</v>
      </c>
      <c r="G5442" s="489">
        <v>199</v>
      </c>
      <c r="H5442" s="489">
        <v>49.924619999999997</v>
      </c>
      <c r="I5442" s="487" t="s">
        <v>1499</v>
      </c>
      <c r="J5442" s="487" t="s">
        <v>739</v>
      </c>
    </row>
    <row r="5443" spans="1:10" ht="15" x14ac:dyDescent="0.2">
      <c r="A5443" s="486" t="s">
        <v>738</v>
      </c>
      <c r="B5443" s="487" t="s">
        <v>737</v>
      </c>
      <c r="C5443" s="488" t="s">
        <v>17575</v>
      </c>
      <c r="D5443" s="489" t="s">
        <v>17576</v>
      </c>
      <c r="E5443" s="487" t="s">
        <v>17577</v>
      </c>
      <c r="F5443" s="490">
        <v>63790</v>
      </c>
      <c r="G5443" s="489">
        <v>542</v>
      </c>
      <c r="H5443" s="489">
        <v>117.69373</v>
      </c>
      <c r="I5443" s="487" t="s">
        <v>1499</v>
      </c>
      <c r="J5443" s="487" t="s">
        <v>739</v>
      </c>
    </row>
    <row r="5444" spans="1:10" ht="15" x14ac:dyDescent="0.2">
      <c r="A5444" s="486" t="s">
        <v>738</v>
      </c>
      <c r="B5444" s="487" t="s">
        <v>737</v>
      </c>
      <c r="C5444" s="488" t="s">
        <v>17578</v>
      </c>
      <c r="D5444" s="489" t="s">
        <v>17579</v>
      </c>
      <c r="E5444" s="487" t="s">
        <v>17580</v>
      </c>
      <c r="F5444" s="490">
        <v>0</v>
      </c>
      <c r="G5444" s="489">
        <v>54</v>
      </c>
      <c r="H5444" s="489">
        <v>0</v>
      </c>
      <c r="I5444" s="487" t="s">
        <v>1593</v>
      </c>
      <c r="J5444" s="487" t="s">
        <v>739</v>
      </c>
    </row>
    <row r="5445" spans="1:10" ht="15" x14ac:dyDescent="0.2">
      <c r="A5445" s="486" t="s">
        <v>738</v>
      </c>
      <c r="B5445" s="487" t="s">
        <v>737</v>
      </c>
      <c r="C5445" s="488" t="s">
        <v>17581</v>
      </c>
      <c r="D5445" s="489" t="s">
        <v>17582</v>
      </c>
      <c r="E5445" s="487" t="s">
        <v>17583</v>
      </c>
      <c r="F5445" s="490">
        <v>7500</v>
      </c>
      <c r="G5445" s="489">
        <v>127</v>
      </c>
      <c r="H5445" s="489">
        <v>59.055120000000002</v>
      </c>
      <c r="I5445" s="487" t="s">
        <v>1499</v>
      </c>
      <c r="J5445" s="487" t="s">
        <v>739</v>
      </c>
    </row>
    <row r="5446" spans="1:10" ht="15" x14ac:dyDescent="0.2">
      <c r="A5446" s="486" t="s">
        <v>738</v>
      </c>
      <c r="B5446" s="487" t="s">
        <v>737</v>
      </c>
      <c r="C5446" s="488" t="s">
        <v>17584</v>
      </c>
      <c r="D5446" s="489" t="s">
        <v>17585</v>
      </c>
      <c r="E5446" s="487" t="s">
        <v>17586</v>
      </c>
      <c r="F5446" s="490">
        <v>11550</v>
      </c>
      <c r="G5446" s="489">
        <v>145</v>
      </c>
      <c r="H5446" s="489">
        <v>79.655169999999998</v>
      </c>
      <c r="I5446" s="487" t="s">
        <v>1499</v>
      </c>
      <c r="J5446" s="487" t="s">
        <v>739</v>
      </c>
    </row>
    <row r="5447" spans="1:10" ht="15" x14ac:dyDescent="0.2">
      <c r="A5447" s="486" t="s">
        <v>738</v>
      </c>
      <c r="B5447" s="487" t="s">
        <v>737</v>
      </c>
      <c r="C5447" s="488" t="s">
        <v>17587</v>
      </c>
      <c r="D5447" s="489" t="s">
        <v>17588</v>
      </c>
      <c r="E5447" s="487" t="s">
        <v>17589</v>
      </c>
      <c r="F5447" s="490">
        <v>6610</v>
      </c>
      <c r="G5447" s="489">
        <v>286</v>
      </c>
      <c r="H5447" s="489">
        <v>23.111889999999999</v>
      </c>
      <c r="I5447" s="487" t="s">
        <v>1499</v>
      </c>
      <c r="J5447" s="487" t="s">
        <v>739</v>
      </c>
    </row>
    <row r="5448" spans="1:10" ht="15" x14ac:dyDescent="0.2">
      <c r="A5448" s="486" t="s">
        <v>738</v>
      </c>
      <c r="B5448" s="487" t="s">
        <v>737</v>
      </c>
      <c r="C5448" s="488" t="s">
        <v>17590</v>
      </c>
      <c r="D5448" s="489" t="s">
        <v>17591</v>
      </c>
      <c r="E5448" s="487" t="s">
        <v>17592</v>
      </c>
      <c r="F5448" s="490">
        <v>5100</v>
      </c>
      <c r="G5448" s="489">
        <v>76</v>
      </c>
      <c r="H5448" s="489">
        <v>67.105260000000001</v>
      </c>
      <c r="I5448" s="487" t="s">
        <v>1499</v>
      </c>
      <c r="J5448" s="487" t="s">
        <v>739</v>
      </c>
    </row>
    <row r="5449" spans="1:10" ht="15" x14ac:dyDescent="0.2">
      <c r="A5449" s="486" t="s">
        <v>738</v>
      </c>
      <c r="B5449" s="487" t="s">
        <v>737</v>
      </c>
      <c r="C5449" s="488" t="s">
        <v>17593</v>
      </c>
      <c r="D5449" s="489" t="s">
        <v>17594</v>
      </c>
      <c r="E5449" s="487" t="s">
        <v>17595</v>
      </c>
      <c r="F5449" s="490">
        <v>349919</v>
      </c>
      <c r="G5449" s="489">
        <v>5850</v>
      </c>
      <c r="H5449" s="489">
        <v>59.81521</v>
      </c>
      <c r="I5449" s="487" t="s">
        <v>1499</v>
      </c>
      <c r="J5449" s="487" t="s">
        <v>739</v>
      </c>
    </row>
    <row r="5450" spans="1:10" ht="15" x14ac:dyDescent="0.2">
      <c r="A5450" s="486" t="s">
        <v>738</v>
      </c>
      <c r="B5450" s="487" t="s">
        <v>737</v>
      </c>
      <c r="C5450" s="488" t="s">
        <v>17596</v>
      </c>
      <c r="D5450" s="489" t="s">
        <v>17597</v>
      </c>
      <c r="E5450" s="487" t="s">
        <v>17598</v>
      </c>
      <c r="F5450" s="490">
        <v>0</v>
      </c>
      <c r="G5450" s="489">
        <v>14</v>
      </c>
      <c r="H5450" s="489">
        <v>0</v>
      </c>
      <c r="I5450" s="487" t="s">
        <v>1593</v>
      </c>
      <c r="J5450" s="487" t="s">
        <v>739</v>
      </c>
    </row>
    <row r="5451" spans="1:10" ht="15" x14ac:dyDescent="0.2">
      <c r="A5451" s="486" t="s">
        <v>738</v>
      </c>
      <c r="B5451" s="487" t="s">
        <v>737</v>
      </c>
      <c r="C5451" s="488" t="s">
        <v>17599</v>
      </c>
      <c r="D5451" s="489" t="s">
        <v>17600</v>
      </c>
      <c r="E5451" s="487" t="s">
        <v>17601</v>
      </c>
      <c r="F5451" s="490">
        <v>3105</v>
      </c>
      <c r="G5451" s="489">
        <v>95</v>
      </c>
      <c r="H5451" s="489">
        <v>32.68421</v>
      </c>
      <c r="I5451" s="487" t="s">
        <v>1499</v>
      </c>
      <c r="J5451" s="487" t="s">
        <v>739</v>
      </c>
    </row>
    <row r="5452" spans="1:10" ht="15" x14ac:dyDescent="0.2">
      <c r="A5452" s="486" t="s">
        <v>738</v>
      </c>
      <c r="B5452" s="487" t="s">
        <v>737</v>
      </c>
      <c r="C5452" s="488" t="s">
        <v>17602</v>
      </c>
      <c r="D5452" s="489" t="s">
        <v>17603</v>
      </c>
      <c r="E5452" s="487" t="s">
        <v>17604</v>
      </c>
      <c r="F5452" s="490">
        <v>7000</v>
      </c>
      <c r="G5452" s="489">
        <v>151</v>
      </c>
      <c r="H5452" s="489">
        <v>46.357619999999997</v>
      </c>
      <c r="I5452" s="487" t="s">
        <v>1499</v>
      </c>
      <c r="J5452" s="487" t="s">
        <v>739</v>
      </c>
    </row>
    <row r="5453" spans="1:10" ht="15" x14ac:dyDescent="0.2">
      <c r="A5453" s="486" t="s">
        <v>738</v>
      </c>
      <c r="B5453" s="487" t="s">
        <v>737</v>
      </c>
      <c r="C5453" s="488" t="s">
        <v>17605</v>
      </c>
      <c r="D5453" s="489" t="s">
        <v>17606</v>
      </c>
      <c r="E5453" s="487" t="s">
        <v>17607</v>
      </c>
      <c r="F5453" s="490">
        <v>0</v>
      </c>
      <c r="G5453" s="489">
        <v>33</v>
      </c>
      <c r="H5453" s="489">
        <v>0</v>
      </c>
      <c r="I5453" s="487" t="s">
        <v>1593</v>
      </c>
      <c r="J5453" s="487" t="s">
        <v>739</v>
      </c>
    </row>
    <row r="5454" spans="1:10" ht="15" x14ac:dyDescent="0.2">
      <c r="A5454" s="486" t="s">
        <v>738</v>
      </c>
      <c r="B5454" s="487" t="s">
        <v>737</v>
      </c>
      <c r="C5454" s="488" t="s">
        <v>17608</v>
      </c>
      <c r="D5454" s="489" t="s">
        <v>17609</v>
      </c>
      <c r="E5454" s="487" t="s">
        <v>17610</v>
      </c>
      <c r="F5454" s="490">
        <v>806004</v>
      </c>
      <c r="G5454" s="489">
        <v>4114</v>
      </c>
      <c r="H5454" s="489">
        <v>195.91736</v>
      </c>
      <c r="I5454" s="487" t="s">
        <v>1499</v>
      </c>
      <c r="J5454" s="487" t="s">
        <v>739</v>
      </c>
    </row>
    <row r="5455" spans="1:10" ht="15" x14ac:dyDescent="0.2">
      <c r="A5455" s="486" t="s">
        <v>738</v>
      </c>
      <c r="B5455" s="487" t="s">
        <v>737</v>
      </c>
      <c r="C5455" s="488" t="s">
        <v>17611</v>
      </c>
      <c r="D5455" s="489" t="s">
        <v>17612</v>
      </c>
      <c r="E5455" s="487" t="s">
        <v>17613</v>
      </c>
      <c r="F5455" s="490">
        <v>0</v>
      </c>
      <c r="G5455" s="489">
        <v>20</v>
      </c>
      <c r="H5455" s="489">
        <v>0</v>
      </c>
      <c r="I5455" s="487" t="s">
        <v>1593</v>
      </c>
      <c r="J5455" s="487" t="s">
        <v>739</v>
      </c>
    </row>
    <row r="5456" spans="1:10" ht="15" x14ac:dyDescent="0.2">
      <c r="A5456" s="486" t="s">
        <v>738</v>
      </c>
      <c r="B5456" s="487" t="s">
        <v>737</v>
      </c>
      <c r="C5456" s="488" t="s">
        <v>17614</v>
      </c>
      <c r="D5456" s="489" t="s">
        <v>17615</v>
      </c>
      <c r="E5456" s="487" t="s">
        <v>17616</v>
      </c>
      <c r="F5456" s="490">
        <v>4800</v>
      </c>
      <c r="G5456" s="489">
        <v>154</v>
      </c>
      <c r="H5456" s="489">
        <v>31.16883</v>
      </c>
      <c r="I5456" s="487" t="s">
        <v>1499</v>
      </c>
      <c r="J5456" s="487" t="s">
        <v>739</v>
      </c>
    </row>
    <row r="5457" spans="1:10" ht="15" x14ac:dyDescent="0.2">
      <c r="A5457" s="486" t="s">
        <v>738</v>
      </c>
      <c r="B5457" s="487" t="s">
        <v>737</v>
      </c>
      <c r="C5457" s="488" t="s">
        <v>17617</v>
      </c>
      <c r="D5457" s="489" t="s">
        <v>17618</v>
      </c>
      <c r="E5457" s="487" t="s">
        <v>17619</v>
      </c>
      <c r="F5457" s="490">
        <v>19205</v>
      </c>
      <c r="G5457" s="489">
        <v>366</v>
      </c>
      <c r="H5457" s="489">
        <v>52.472679999999997</v>
      </c>
      <c r="I5457" s="487" t="s">
        <v>1499</v>
      </c>
      <c r="J5457" s="487" t="s">
        <v>739</v>
      </c>
    </row>
    <row r="5458" spans="1:10" ht="15" x14ac:dyDescent="0.2">
      <c r="A5458" s="486" t="s">
        <v>738</v>
      </c>
      <c r="B5458" s="487" t="s">
        <v>737</v>
      </c>
      <c r="C5458" s="488" t="s">
        <v>17620</v>
      </c>
      <c r="D5458" s="489" t="s">
        <v>17621</v>
      </c>
      <c r="E5458" s="487" t="s">
        <v>17622</v>
      </c>
      <c r="F5458" s="490">
        <v>0</v>
      </c>
      <c r="G5458" s="489">
        <v>35</v>
      </c>
      <c r="H5458" s="489">
        <v>0</v>
      </c>
      <c r="I5458" s="487" t="s">
        <v>1593</v>
      </c>
      <c r="J5458" s="487" t="s">
        <v>739</v>
      </c>
    </row>
    <row r="5459" spans="1:10" ht="15" x14ac:dyDescent="0.2">
      <c r="A5459" s="486" t="s">
        <v>738</v>
      </c>
      <c r="B5459" s="487" t="s">
        <v>737</v>
      </c>
      <c r="C5459" s="488" t="s">
        <v>17623</v>
      </c>
      <c r="D5459" s="489" t="s">
        <v>17624</v>
      </c>
      <c r="E5459" s="487" t="s">
        <v>17625</v>
      </c>
      <c r="F5459" s="490">
        <v>0</v>
      </c>
      <c r="G5459" s="489">
        <v>21</v>
      </c>
      <c r="H5459" s="489">
        <v>0</v>
      </c>
      <c r="I5459" s="487" t="s">
        <v>1593</v>
      </c>
      <c r="J5459" s="487" t="s">
        <v>739</v>
      </c>
    </row>
    <row r="5460" spans="1:10" ht="15" x14ac:dyDescent="0.2">
      <c r="A5460" s="486" t="s">
        <v>738</v>
      </c>
      <c r="B5460" s="487" t="s">
        <v>737</v>
      </c>
      <c r="C5460" s="488" t="s">
        <v>17626</v>
      </c>
      <c r="D5460" s="489" t="s">
        <v>17627</v>
      </c>
      <c r="E5460" s="487" t="s">
        <v>17628</v>
      </c>
      <c r="F5460" s="490">
        <v>0</v>
      </c>
      <c r="G5460" s="489">
        <v>14</v>
      </c>
      <c r="H5460" s="489">
        <v>0</v>
      </c>
      <c r="I5460" s="487" t="s">
        <v>1593</v>
      </c>
      <c r="J5460" s="487" t="s">
        <v>739</v>
      </c>
    </row>
    <row r="5461" spans="1:10" ht="15" x14ac:dyDescent="0.2">
      <c r="A5461" s="486" t="s">
        <v>738</v>
      </c>
      <c r="B5461" s="487" t="s">
        <v>737</v>
      </c>
      <c r="C5461" s="488" t="s">
        <v>17629</v>
      </c>
      <c r="D5461" s="489" t="s">
        <v>17630</v>
      </c>
      <c r="E5461" s="487" t="s">
        <v>17631</v>
      </c>
      <c r="F5461" s="490">
        <v>12960</v>
      </c>
      <c r="G5461" s="489">
        <v>250</v>
      </c>
      <c r="H5461" s="489">
        <v>51.84</v>
      </c>
      <c r="I5461" s="487" t="s">
        <v>1499</v>
      </c>
      <c r="J5461" s="487" t="s">
        <v>739</v>
      </c>
    </row>
    <row r="5462" spans="1:10" ht="15" x14ac:dyDescent="0.2">
      <c r="A5462" s="486" t="s">
        <v>738</v>
      </c>
      <c r="B5462" s="487" t="s">
        <v>737</v>
      </c>
      <c r="C5462" s="488" t="s">
        <v>17632</v>
      </c>
      <c r="D5462" s="489" t="s">
        <v>17633</v>
      </c>
      <c r="E5462" s="487" t="s">
        <v>17634</v>
      </c>
      <c r="F5462" s="490">
        <v>300</v>
      </c>
      <c r="G5462" s="489">
        <v>32</v>
      </c>
      <c r="H5462" s="489">
        <v>9.375</v>
      </c>
      <c r="I5462" s="487" t="s">
        <v>1499</v>
      </c>
      <c r="J5462" s="487" t="s">
        <v>739</v>
      </c>
    </row>
    <row r="5463" spans="1:10" ht="15" x14ac:dyDescent="0.2">
      <c r="A5463" s="486" t="s">
        <v>738</v>
      </c>
      <c r="B5463" s="487" t="s">
        <v>737</v>
      </c>
      <c r="C5463" s="488" t="s">
        <v>17635</v>
      </c>
      <c r="D5463" s="489" t="s">
        <v>17636</v>
      </c>
      <c r="E5463" s="487" t="s">
        <v>17637</v>
      </c>
      <c r="F5463" s="490">
        <v>6100</v>
      </c>
      <c r="G5463" s="489">
        <v>120</v>
      </c>
      <c r="H5463" s="489">
        <v>50.833329999999997</v>
      </c>
      <c r="I5463" s="487" t="s">
        <v>1499</v>
      </c>
      <c r="J5463" s="487" t="s">
        <v>739</v>
      </c>
    </row>
    <row r="5464" spans="1:10" ht="15" x14ac:dyDescent="0.2">
      <c r="A5464" s="486" t="s">
        <v>738</v>
      </c>
      <c r="B5464" s="487" t="s">
        <v>737</v>
      </c>
      <c r="C5464" s="488" t="s">
        <v>17638</v>
      </c>
      <c r="D5464" s="489" t="s">
        <v>17639</v>
      </c>
      <c r="E5464" s="487" t="s">
        <v>17640</v>
      </c>
      <c r="F5464" s="490">
        <v>0</v>
      </c>
      <c r="G5464" s="489">
        <v>13</v>
      </c>
      <c r="H5464" s="489">
        <v>0</v>
      </c>
      <c r="I5464" s="487" t="s">
        <v>1593</v>
      </c>
      <c r="J5464" s="487" t="s">
        <v>739</v>
      </c>
    </row>
    <row r="5465" spans="1:10" ht="15" x14ac:dyDescent="0.2">
      <c r="A5465" s="486" t="s">
        <v>738</v>
      </c>
      <c r="B5465" s="487" t="s">
        <v>737</v>
      </c>
      <c r="C5465" s="488" t="s">
        <v>17641</v>
      </c>
      <c r="D5465" s="489" t="s">
        <v>17642</v>
      </c>
      <c r="E5465" s="487" t="s">
        <v>17643</v>
      </c>
      <c r="F5465" s="490">
        <v>7382</v>
      </c>
      <c r="G5465" s="489">
        <v>160</v>
      </c>
      <c r="H5465" s="489">
        <v>46.137500000000003</v>
      </c>
      <c r="I5465" s="487" t="s">
        <v>1499</v>
      </c>
      <c r="J5465" s="487" t="s">
        <v>739</v>
      </c>
    </row>
    <row r="5466" spans="1:10" ht="15" x14ac:dyDescent="0.2">
      <c r="A5466" s="486" t="s">
        <v>738</v>
      </c>
      <c r="B5466" s="487" t="s">
        <v>737</v>
      </c>
      <c r="C5466" s="488" t="s">
        <v>17644</v>
      </c>
      <c r="D5466" s="489" t="s">
        <v>17645</v>
      </c>
      <c r="E5466" s="487" t="s">
        <v>17646</v>
      </c>
      <c r="F5466" s="490">
        <v>350</v>
      </c>
      <c r="G5466" s="489">
        <v>69</v>
      </c>
      <c r="H5466" s="489">
        <v>5.0724600000000004</v>
      </c>
      <c r="I5466" s="487" t="s">
        <v>1499</v>
      </c>
      <c r="J5466" s="487" t="s">
        <v>739</v>
      </c>
    </row>
    <row r="5467" spans="1:10" ht="15" x14ac:dyDescent="0.2">
      <c r="A5467" s="486" t="s">
        <v>738</v>
      </c>
      <c r="B5467" s="487" t="s">
        <v>737</v>
      </c>
      <c r="C5467" s="488" t="s">
        <v>17647</v>
      </c>
      <c r="D5467" s="489" t="s">
        <v>17648</v>
      </c>
      <c r="E5467" s="487" t="s">
        <v>17649</v>
      </c>
      <c r="F5467" s="490">
        <v>10000</v>
      </c>
      <c r="G5467" s="489">
        <v>189</v>
      </c>
      <c r="H5467" s="489">
        <v>52.910049999999998</v>
      </c>
      <c r="I5467" s="487" t="s">
        <v>1499</v>
      </c>
      <c r="J5467" s="487" t="s">
        <v>739</v>
      </c>
    </row>
    <row r="5468" spans="1:10" ht="15" x14ac:dyDescent="0.2">
      <c r="A5468" s="486" t="s">
        <v>738</v>
      </c>
      <c r="B5468" s="487" t="s">
        <v>737</v>
      </c>
      <c r="C5468" s="488" t="s">
        <v>17650</v>
      </c>
      <c r="D5468" s="489" t="s">
        <v>17651</v>
      </c>
      <c r="E5468" s="487" t="s">
        <v>17652</v>
      </c>
      <c r="F5468" s="490">
        <v>0</v>
      </c>
      <c r="G5468" s="489">
        <v>17</v>
      </c>
      <c r="H5468" s="489">
        <v>0</v>
      </c>
      <c r="I5468" s="487" t="s">
        <v>1593</v>
      </c>
      <c r="J5468" s="487" t="s">
        <v>739</v>
      </c>
    </row>
    <row r="5469" spans="1:10" ht="15" x14ac:dyDescent="0.2">
      <c r="A5469" s="486" t="s">
        <v>738</v>
      </c>
      <c r="B5469" s="487" t="s">
        <v>737</v>
      </c>
      <c r="C5469" s="488" t="s">
        <v>17653</v>
      </c>
      <c r="D5469" s="489" t="s">
        <v>17654</v>
      </c>
      <c r="E5469" s="487" t="s">
        <v>17655</v>
      </c>
      <c r="F5469" s="490">
        <v>45565</v>
      </c>
      <c r="G5469" s="489">
        <v>575</v>
      </c>
      <c r="H5469" s="489">
        <v>79.243480000000005</v>
      </c>
      <c r="I5469" s="487" t="s">
        <v>1499</v>
      </c>
      <c r="J5469" s="487" t="s">
        <v>739</v>
      </c>
    </row>
    <row r="5470" spans="1:10" ht="15" x14ac:dyDescent="0.2">
      <c r="A5470" s="486" t="s">
        <v>738</v>
      </c>
      <c r="B5470" s="487" t="s">
        <v>737</v>
      </c>
      <c r="C5470" s="488" t="s">
        <v>17656</v>
      </c>
      <c r="D5470" s="489" t="s">
        <v>17657</v>
      </c>
      <c r="E5470" s="487" t="s">
        <v>17658</v>
      </c>
      <c r="F5470" s="490">
        <v>38000</v>
      </c>
      <c r="G5470" s="489">
        <v>472</v>
      </c>
      <c r="H5470" s="489">
        <v>80.508470000000003</v>
      </c>
      <c r="I5470" s="487" t="s">
        <v>1499</v>
      </c>
      <c r="J5470" s="487" t="s">
        <v>739</v>
      </c>
    </row>
    <row r="5471" spans="1:10" ht="15" x14ac:dyDescent="0.2">
      <c r="A5471" s="486" t="s">
        <v>738</v>
      </c>
      <c r="B5471" s="487" t="s">
        <v>737</v>
      </c>
      <c r="C5471" s="488" t="s">
        <v>17659</v>
      </c>
      <c r="D5471" s="489" t="s">
        <v>17660</v>
      </c>
      <c r="E5471" s="487" t="s">
        <v>17661</v>
      </c>
      <c r="F5471" s="490">
        <v>2903</v>
      </c>
      <c r="G5471" s="489">
        <v>151</v>
      </c>
      <c r="H5471" s="489">
        <v>19.225169999999999</v>
      </c>
      <c r="I5471" s="487" t="s">
        <v>1499</v>
      </c>
      <c r="J5471" s="487" t="s">
        <v>739</v>
      </c>
    </row>
    <row r="5472" spans="1:10" ht="15" x14ac:dyDescent="0.2">
      <c r="A5472" s="486" t="s">
        <v>738</v>
      </c>
      <c r="B5472" s="487" t="s">
        <v>737</v>
      </c>
      <c r="C5472" s="488" t="s">
        <v>17662</v>
      </c>
      <c r="D5472" s="489" t="s">
        <v>17663</v>
      </c>
      <c r="E5472" s="487" t="s">
        <v>17664</v>
      </c>
      <c r="F5472" s="490">
        <v>6254</v>
      </c>
      <c r="G5472" s="489">
        <v>105</v>
      </c>
      <c r="H5472" s="489">
        <v>59.561900000000001</v>
      </c>
      <c r="I5472" s="487" t="s">
        <v>1499</v>
      </c>
      <c r="J5472" s="487" t="s">
        <v>739</v>
      </c>
    </row>
    <row r="5473" spans="1:10" ht="15" x14ac:dyDescent="0.2">
      <c r="A5473" s="486" t="s">
        <v>738</v>
      </c>
      <c r="B5473" s="487" t="s">
        <v>737</v>
      </c>
      <c r="C5473" s="488" t="s">
        <v>17665</v>
      </c>
      <c r="D5473" s="489" t="s">
        <v>17666</v>
      </c>
      <c r="E5473" s="487" t="s">
        <v>17667</v>
      </c>
      <c r="F5473" s="490">
        <v>0</v>
      </c>
      <c r="G5473" s="489">
        <v>60</v>
      </c>
      <c r="H5473" s="489">
        <v>0</v>
      </c>
      <c r="I5473" s="487" t="s">
        <v>1593</v>
      </c>
      <c r="J5473" s="487" t="s">
        <v>739</v>
      </c>
    </row>
    <row r="5474" spans="1:10" ht="15" x14ac:dyDescent="0.2">
      <c r="A5474" s="486" t="s">
        <v>738</v>
      </c>
      <c r="B5474" s="487" t="s">
        <v>737</v>
      </c>
      <c r="C5474" s="488" t="s">
        <v>17668</v>
      </c>
      <c r="D5474" s="489" t="s">
        <v>17669</v>
      </c>
      <c r="E5474" s="487" t="s">
        <v>17670</v>
      </c>
      <c r="F5474" s="490">
        <v>0</v>
      </c>
      <c r="G5474" s="489">
        <v>29</v>
      </c>
      <c r="H5474" s="489">
        <v>0</v>
      </c>
      <c r="I5474" s="487" t="s">
        <v>1593</v>
      </c>
      <c r="J5474" s="487" t="s">
        <v>739</v>
      </c>
    </row>
    <row r="5475" spans="1:10" ht="15" x14ac:dyDescent="0.2">
      <c r="A5475" s="486" t="s">
        <v>738</v>
      </c>
      <c r="B5475" s="487" t="s">
        <v>737</v>
      </c>
      <c r="C5475" s="488" t="s">
        <v>17671</v>
      </c>
      <c r="D5475" s="489" t="s">
        <v>17672</v>
      </c>
      <c r="E5475" s="487" t="s">
        <v>17673</v>
      </c>
      <c r="F5475" s="490">
        <v>0</v>
      </c>
      <c r="G5475" s="489">
        <v>68</v>
      </c>
      <c r="H5475" s="489">
        <v>0</v>
      </c>
      <c r="I5475" s="487" t="s">
        <v>1593</v>
      </c>
      <c r="J5475" s="487" t="s">
        <v>739</v>
      </c>
    </row>
    <row r="5476" spans="1:10" ht="15" x14ac:dyDescent="0.2">
      <c r="A5476" s="486" t="s">
        <v>738</v>
      </c>
      <c r="B5476" s="487" t="s">
        <v>737</v>
      </c>
      <c r="C5476" s="488" t="s">
        <v>17674</v>
      </c>
      <c r="D5476" s="489" t="s">
        <v>17675</v>
      </c>
      <c r="E5476" s="487" t="s">
        <v>17676</v>
      </c>
      <c r="F5476" s="490">
        <v>2700</v>
      </c>
      <c r="G5476" s="489">
        <v>80</v>
      </c>
      <c r="H5476" s="489">
        <v>33.75</v>
      </c>
      <c r="I5476" s="487" t="s">
        <v>1499</v>
      </c>
      <c r="J5476" s="487" t="s">
        <v>739</v>
      </c>
    </row>
    <row r="5477" spans="1:10" ht="15" x14ac:dyDescent="0.2">
      <c r="A5477" s="486" t="s">
        <v>738</v>
      </c>
      <c r="B5477" s="487" t="s">
        <v>737</v>
      </c>
      <c r="C5477" s="488" t="s">
        <v>17677</v>
      </c>
      <c r="D5477" s="489" t="s">
        <v>17678</v>
      </c>
      <c r="E5477" s="487" t="s">
        <v>17679</v>
      </c>
      <c r="F5477" s="490">
        <v>0</v>
      </c>
      <c r="G5477" s="489">
        <v>7</v>
      </c>
      <c r="H5477" s="489">
        <v>0</v>
      </c>
      <c r="I5477" s="487" t="s">
        <v>1593</v>
      </c>
      <c r="J5477" s="487" t="s">
        <v>739</v>
      </c>
    </row>
    <row r="5478" spans="1:10" ht="15" x14ac:dyDescent="0.2">
      <c r="A5478" s="486" t="s">
        <v>738</v>
      </c>
      <c r="B5478" s="487" t="s">
        <v>737</v>
      </c>
      <c r="C5478" s="488" t="s">
        <v>17680</v>
      </c>
      <c r="D5478" s="489" t="s">
        <v>17681</v>
      </c>
      <c r="E5478" s="487" t="s">
        <v>17682</v>
      </c>
      <c r="F5478" s="490">
        <v>3672</v>
      </c>
      <c r="G5478" s="489">
        <v>252</v>
      </c>
      <c r="H5478" s="489">
        <v>14.571429999999999</v>
      </c>
      <c r="I5478" s="487" t="s">
        <v>1499</v>
      </c>
      <c r="J5478" s="487" t="s">
        <v>739</v>
      </c>
    </row>
    <row r="5479" spans="1:10" ht="15" x14ac:dyDescent="0.2">
      <c r="A5479" s="486" t="s">
        <v>738</v>
      </c>
      <c r="B5479" s="487" t="s">
        <v>737</v>
      </c>
      <c r="C5479" s="488" t="s">
        <v>17683</v>
      </c>
      <c r="D5479" s="489" t="s">
        <v>17684</v>
      </c>
      <c r="E5479" s="487" t="s">
        <v>17685</v>
      </c>
      <c r="F5479" s="490">
        <v>9000</v>
      </c>
      <c r="G5479" s="489">
        <v>208</v>
      </c>
      <c r="H5479" s="489">
        <v>43.26923</v>
      </c>
      <c r="I5479" s="487" t="s">
        <v>1499</v>
      </c>
      <c r="J5479" s="487" t="s">
        <v>739</v>
      </c>
    </row>
    <row r="5480" spans="1:10" ht="15" x14ac:dyDescent="0.2">
      <c r="A5480" s="486" t="s">
        <v>738</v>
      </c>
      <c r="B5480" s="487" t="s">
        <v>737</v>
      </c>
      <c r="C5480" s="488" t="s">
        <v>17686</v>
      </c>
      <c r="D5480" s="489" t="s">
        <v>17687</v>
      </c>
      <c r="E5480" s="487" t="s">
        <v>17688</v>
      </c>
      <c r="F5480" s="490">
        <v>0</v>
      </c>
      <c r="G5480" s="489">
        <v>35</v>
      </c>
      <c r="H5480" s="489">
        <v>0</v>
      </c>
      <c r="I5480" s="487" t="s">
        <v>1593</v>
      </c>
      <c r="J5480" s="487" t="s">
        <v>739</v>
      </c>
    </row>
    <row r="5481" spans="1:10" ht="15" x14ac:dyDescent="0.2">
      <c r="A5481" s="486" t="s">
        <v>738</v>
      </c>
      <c r="B5481" s="487" t="s">
        <v>737</v>
      </c>
      <c r="C5481" s="488" t="s">
        <v>17689</v>
      </c>
      <c r="D5481" s="489" t="s">
        <v>17690</v>
      </c>
      <c r="E5481" s="487" t="s">
        <v>17691</v>
      </c>
      <c r="F5481" s="490">
        <v>3000</v>
      </c>
      <c r="G5481" s="489">
        <v>107</v>
      </c>
      <c r="H5481" s="489">
        <v>28.037379999999999</v>
      </c>
      <c r="I5481" s="487" t="s">
        <v>1499</v>
      </c>
      <c r="J5481" s="487" t="s">
        <v>739</v>
      </c>
    </row>
    <row r="5482" spans="1:10" ht="15" x14ac:dyDescent="0.2">
      <c r="A5482" s="486" t="s">
        <v>738</v>
      </c>
      <c r="B5482" s="487" t="s">
        <v>737</v>
      </c>
      <c r="C5482" s="488" t="s">
        <v>17692</v>
      </c>
      <c r="D5482" s="489" t="s">
        <v>17693</v>
      </c>
      <c r="E5482" s="487" t="s">
        <v>17694</v>
      </c>
      <c r="F5482" s="490">
        <v>0</v>
      </c>
      <c r="G5482" s="489">
        <v>16</v>
      </c>
      <c r="H5482" s="489">
        <v>0</v>
      </c>
      <c r="I5482" s="487" t="s">
        <v>1593</v>
      </c>
      <c r="J5482" s="487" t="s">
        <v>739</v>
      </c>
    </row>
    <row r="5483" spans="1:10" ht="15" x14ac:dyDescent="0.2">
      <c r="A5483" s="486" t="s">
        <v>738</v>
      </c>
      <c r="B5483" s="487" t="s">
        <v>737</v>
      </c>
      <c r="C5483" s="488" t="s">
        <v>17695</v>
      </c>
      <c r="D5483" s="489" t="s">
        <v>17696</v>
      </c>
      <c r="E5483" s="487" t="s">
        <v>17697</v>
      </c>
      <c r="F5483" s="490">
        <v>105000</v>
      </c>
      <c r="G5483" s="489">
        <v>735</v>
      </c>
      <c r="H5483" s="489">
        <v>142.85713999999999</v>
      </c>
      <c r="I5483" s="487" t="s">
        <v>1499</v>
      </c>
      <c r="J5483" s="487" t="s">
        <v>739</v>
      </c>
    </row>
    <row r="5484" spans="1:10" ht="15" x14ac:dyDescent="0.2">
      <c r="A5484" s="486" t="s">
        <v>738</v>
      </c>
      <c r="B5484" s="487" t="s">
        <v>737</v>
      </c>
      <c r="C5484" s="488" t="s">
        <v>17698</v>
      </c>
      <c r="D5484" s="489" t="s">
        <v>17699</v>
      </c>
      <c r="E5484" s="487" t="s">
        <v>17700</v>
      </c>
      <c r="F5484" s="490">
        <v>754659</v>
      </c>
      <c r="G5484" s="489">
        <v>5992</v>
      </c>
      <c r="H5484" s="489">
        <v>125.94443</v>
      </c>
      <c r="I5484" s="487" t="s">
        <v>1499</v>
      </c>
      <c r="J5484" s="487" t="s">
        <v>739</v>
      </c>
    </row>
    <row r="5485" spans="1:10" ht="15" x14ac:dyDescent="0.2">
      <c r="A5485" s="486" t="s">
        <v>738</v>
      </c>
      <c r="B5485" s="487" t="s">
        <v>737</v>
      </c>
      <c r="C5485" s="488" t="s">
        <v>17701</v>
      </c>
      <c r="D5485" s="489" t="s">
        <v>17702</v>
      </c>
      <c r="E5485" s="487" t="s">
        <v>17703</v>
      </c>
      <c r="F5485" s="490">
        <v>0</v>
      </c>
      <c r="G5485" s="489">
        <v>66</v>
      </c>
      <c r="H5485" s="489">
        <v>0</v>
      </c>
      <c r="I5485" s="487" t="s">
        <v>1593</v>
      </c>
      <c r="J5485" s="487" t="s">
        <v>739</v>
      </c>
    </row>
    <row r="5486" spans="1:10" ht="15" x14ac:dyDescent="0.2">
      <c r="A5486" s="486" t="s">
        <v>738</v>
      </c>
      <c r="B5486" s="487" t="s">
        <v>737</v>
      </c>
      <c r="C5486" s="488" t="s">
        <v>17704</v>
      </c>
      <c r="D5486" s="489" t="s">
        <v>17705</v>
      </c>
      <c r="E5486" s="487" t="s">
        <v>17706</v>
      </c>
      <c r="F5486" s="490">
        <v>9000</v>
      </c>
      <c r="G5486" s="489">
        <v>188</v>
      </c>
      <c r="H5486" s="489">
        <v>47.872340000000001</v>
      </c>
      <c r="I5486" s="487" t="s">
        <v>1499</v>
      </c>
      <c r="J5486" s="487" t="s">
        <v>739</v>
      </c>
    </row>
    <row r="5487" spans="1:10" ht="15" x14ac:dyDescent="0.2">
      <c r="A5487" s="486" t="s">
        <v>738</v>
      </c>
      <c r="B5487" s="487" t="s">
        <v>737</v>
      </c>
      <c r="C5487" s="488" t="s">
        <v>17707</v>
      </c>
      <c r="D5487" s="489" t="s">
        <v>17708</v>
      </c>
      <c r="E5487" s="487" t="s">
        <v>17709</v>
      </c>
      <c r="F5487" s="490">
        <v>0</v>
      </c>
      <c r="G5487" s="489">
        <v>25</v>
      </c>
      <c r="H5487" s="489">
        <v>0</v>
      </c>
      <c r="I5487" s="487" t="s">
        <v>1593</v>
      </c>
      <c r="J5487" s="487" t="s">
        <v>739</v>
      </c>
    </row>
    <row r="5488" spans="1:10" ht="15" x14ac:dyDescent="0.2">
      <c r="A5488" s="486" t="s">
        <v>738</v>
      </c>
      <c r="B5488" s="487" t="s">
        <v>737</v>
      </c>
      <c r="C5488" s="488" t="s">
        <v>17710</v>
      </c>
      <c r="D5488" s="489" t="s">
        <v>17711</v>
      </c>
      <c r="E5488" s="487" t="s">
        <v>17712</v>
      </c>
      <c r="F5488" s="490">
        <v>1000</v>
      </c>
      <c r="G5488" s="489">
        <v>89</v>
      </c>
      <c r="H5488" s="489">
        <v>11.23596</v>
      </c>
      <c r="I5488" s="487" t="s">
        <v>1499</v>
      </c>
      <c r="J5488" s="487" t="s">
        <v>739</v>
      </c>
    </row>
    <row r="5489" spans="1:10" ht="15" x14ac:dyDescent="0.2">
      <c r="A5489" s="486" t="s">
        <v>738</v>
      </c>
      <c r="B5489" s="487" t="s">
        <v>737</v>
      </c>
      <c r="C5489" s="488" t="s">
        <v>17713</v>
      </c>
      <c r="D5489" s="489" t="s">
        <v>17714</v>
      </c>
      <c r="E5489" s="487" t="s">
        <v>17715</v>
      </c>
      <c r="F5489" s="490">
        <v>0</v>
      </c>
      <c r="G5489" s="489">
        <v>30</v>
      </c>
      <c r="H5489" s="489">
        <v>0</v>
      </c>
      <c r="I5489" s="487" t="s">
        <v>1593</v>
      </c>
      <c r="J5489" s="487" t="s">
        <v>739</v>
      </c>
    </row>
    <row r="5490" spans="1:10" ht="15" x14ac:dyDescent="0.2">
      <c r="A5490" s="486" t="s">
        <v>738</v>
      </c>
      <c r="B5490" s="487" t="s">
        <v>737</v>
      </c>
      <c r="C5490" s="488" t="s">
        <v>17716</v>
      </c>
      <c r="D5490" s="489" t="s">
        <v>17717</v>
      </c>
      <c r="E5490" s="487" t="s">
        <v>17718</v>
      </c>
      <c r="F5490" s="490">
        <v>7000</v>
      </c>
      <c r="G5490" s="489">
        <v>73</v>
      </c>
      <c r="H5490" s="489">
        <v>95.890410000000003</v>
      </c>
      <c r="I5490" s="487" t="s">
        <v>1499</v>
      </c>
      <c r="J5490" s="487" t="s">
        <v>739</v>
      </c>
    </row>
    <row r="5491" spans="1:10" ht="15" x14ac:dyDescent="0.2">
      <c r="A5491" s="486" t="s">
        <v>738</v>
      </c>
      <c r="B5491" s="487" t="s">
        <v>737</v>
      </c>
      <c r="C5491" s="488" t="s">
        <v>17719</v>
      </c>
      <c r="D5491" s="489" t="s">
        <v>17720</v>
      </c>
      <c r="E5491" s="487" t="s">
        <v>17721</v>
      </c>
      <c r="F5491" s="490">
        <v>1086</v>
      </c>
      <c r="G5491" s="489">
        <v>65</v>
      </c>
      <c r="H5491" s="489">
        <v>16.707689999999999</v>
      </c>
      <c r="I5491" s="487" t="s">
        <v>1499</v>
      </c>
      <c r="J5491" s="487" t="s">
        <v>739</v>
      </c>
    </row>
    <row r="5492" spans="1:10" ht="15" x14ac:dyDescent="0.2">
      <c r="A5492" s="486" t="s">
        <v>738</v>
      </c>
      <c r="B5492" s="487" t="s">
        <v>737</v>
      </c>
      <c r="C5492" s="488" t="s">
        <v>17722</v>
      </c>
      <c r="D5492" s="489" t="s">
        <v>17723</v>
      </c>
      <c r="E5492" s="487" t="s">
        <v>17724</v>
      </c>
      <c r="F5492" s="490">
        <v>177627</v>
      </c>
      <c r="G5492" s="489">
        <v>905</v>
      </c>
      <c r="H5492" s="489">
        <v>196.27293</v>
      </c>
      <c r="I5492" s="487" t="s">
        <v>1499</v>
      </c>
      <c r="J5492" s="487" t="s">
        <v>739</v>
      </c>
    </row>
    <row r="5493" spans="1:10" ht="15" x14ac:dyDescent="0.2">
      <c r="A5493" s="486" t="s">
        <v>738</v>
      </c>
      <c r="B5493" s="487" t="s">
        <v>737</v>
      </c>
      <c r="C5493" s="488" t="s">
        <v>17725</v>
      </c>
      <c r="D5493" s="489" t="s">
        <v>17726</v>
      </c>
      <c r="E5493" s="487" t="s">
        <v>17727</v>
      </c>
      <c r="F5493" s="490">
        <v>0</v>
      </c>
      <c r="G5493" s="489">
        <v>12</v>
      </c>
      <c r="H5493" s="489">
        <v>0</v>
      </c>
      <c r="I5493" s="487" t="s">
        <v>1593</v>
      </c>
      <c r="J5493" s="487" t="s">
        <v>739</v>
      </c>
    </row>
    <row r="5494" spans="1:10" ht="15" x14ac:dyDescent="0.2">
      <c r="A5494" s="486" t="s">
        <v>738</v>
      </c>
      <c r="B5494" s="487" t="s">
        <v>737</v>
      </c>
      <c r="C5494" s="488" t="s">
        <v>17728</v>
      </c>
      <c r="D5494" s="489" t="s">
        <v>17729</v>
      </c>
      <c r="E5494" s="487" t="s">
        <v>17730</v>
      </c>
      <c r="F5494" s="490">
        <v>0</v>
      </c>
      <c r="G5494" s="489">
        <v>21</v>
      </c>
      <c r="H5494" s="489">
        <v>0</v>
      </c>
      <c r="I5494" s="487" t="s">
        <v>1593</v>
      </c>
      <c r="J5494" s="487" t="s">
        <v>739</v>
      </c>
    </row>
    <row r="5495" spans="1:10" ht="15" x14ac:dyDescent="0.2">
      <c r="A5495" s="486" t="s">
        <v>738</v>
      </c>
      <c r="B5495" s="487" t="s">
        <v>737</v>
      </c>
      <c r="C5495" s="488" t="s">
        <v>17731</v>
      </c>
      <c r="D5495" s="489" t="s">
        <v>17732</v>
      </c>
      <c r="E5495" s="487" t="s">
        <v>17733</v>
      </c>
      <c r="F5495" s="490">
        <v>3672</v>
      </c>
      <c r="G5495" s="489">
        <v>166</v>
      </c>
      <c r="H5495" s="489">
        <v>22.120480000000001</v>
      </c>
      <c r="I5495" s="487" t="s">
        <v>1499</v>
      </c>
      <c r="J5495" s="487" t="s">
        <v>739</v>
      </c>
    </row>
    <row r="5496" spans="1:10" ht="15" x14ac:dyDescent="0.2">
      <c r="A5496" s="486" t="s">
        <v>738</v>
      </c>
      <c r="B5496" s="487" t="s">
        <v>737</v>
      </c>
      <c r="C5496" s="488" t="s">
        <v>17734</v>
      </c>
      <c r="D5496" s="489" t="s">
        <v>17735</v>
      </c>
      <c r="E5496" s="487" t="s">
        <v>17736</v>
      </c>
      <c r="F5496" s="490">
        <v>32500</v>
      </c>
      <c r="G5496" s="489">
        <v>387</v>
      </c>
      <c r="H5496" s="489">
        <v>83.979330000000004</v>
      </c>
      <c r="I5496" s="487" t="s">
        <v>1499</v>
      </c>
      <c r="J5496" s="487" t="s">
        <v>739</v>
      </c>
    </row>
    <row r="5497" spans="1:10" ht="15" x14ac:dyDescent="0.2">
      <c r="A5497" s="486" t="s">
        <v>738</v>
      </c>
      <c r="B5497" s="487" t="s">
        <v>737</v>
      </c>
      <c r="C5497" s="488" t="s">
        <v>17737</v>
      </c>
      <c r="D5497" s="489" t="s">
        <v>17738</v>
      </c>
      <c r="E5497" s="487" t="s">
        <v>17739</v>
      </c>
      <c r="F5497" s="490">
        <v>875</v>
      </c>
      <c r="G5497" s="489">
        <v>71</v>
      </c>
      <c r="H5497" s="489">
        <v>12.32394</v>
      </c>
      <c r="I5497" s="487" t="s">
        <v>1499</v>
      </c>
      <c r="J5497" s="487" t="s">
        <v>739</v>
      </c>
    </row>
    <row r="5498" spans="1:10" ht="15" x14ac:dyDescent="0.2">
      <c r="A5498" s="486" t="s">
        <v>738</v>
      </c>
      <c r="B5498" s="487" t="s">
        <v>737</v>
      </c>
      <c r="C5498" s="488" t="s">
        <v>17740</v>
      </c>
      <c r="D5498" s="489" t="s">
        <v>17741</v>
      </c>
      <c r="E5498" s="487" t="s">
        <v>17742</v>
      </c>
      <c r="F5498" s="490">
        <v>3533</v>
      </c>
      <c r="G5498" s="489">
        <v>115</v>
      </c>
      <c r="H5498" s="489">
        <v>30.72174</v>
      </c>
      <c r="I5498" s="487" t="s">
        <v>1499</v>
      </c>
      <c r="J5498" s="487" t="s">
        <v>739</v>
      </c>
    </row>
    <row r="5499" spans="1:10" ht="15" x14ac:dyDescent="0.2">
      <c r="A5499" s="486" t="s">
        <v>738</v>
      </c>
      <c r="B5499" s="487" t="s">
        <v>737</v>
      </c>
      <c r="C5499" s="488" t="s">
        <v>17743</v>
      </c>
      <c r="D5499" s="489" t="s">
        <v>17744</v>
      </c>
      <c r="E5499" s="487" t="s">
        <v>17745</v>
      </c>
      <c r="F5499" s="490">
        <v>4831</v>
      </c>
      <c r="G5499" s="489">
        <v>107</v>
      </c>
      <c r="H5499" s="489">
        <v>45.149529999999999</v>
      </c>
      <c r="I5499" s="487" t="s">
        <v>1499</v>
      </c>
      <c r="J5499" s="487" t="s">
        <v>739</v>
      </c>
    </row>
    <row r="5500" spans="1:10" ht="15" x14ac:dyDescent="0.2">
      <c r="A5500" s="486" t="s">
        <v>738</v>
      </c>
      <c r="B5500" s="487" t="s">
        <v>737</v>
      </c>
      <c r="C5500" s="488" t="s">
        <v>17746</v>
      </c>
      <c r="D5500" s="489" t="s">
        <v>17747</v>
      </c>
      <c r="E5500" s="487" t="s">
        <v>17748</v>
      </c>
      <c r="F5500" s="490">
        <v>37667</v>
      </c>
      <c r="G5500" s="489">
        <v>866</v>
      </c>
      <c r="H5500" s="489">
        <v>43.495379999999997</v>
      </c>
      <c r="I5500" s="487" t="s">
        <v>1499</v>
      </c>
      <c r="J5500" s="487" t="s">
        <v>739</v>
      </c>
    </row>
    <row r="5501" spans="1:10" ht="15" x14ac:dyDescent="0.2">
      <c r="A5501" s="486" t="s">
        <v>738</v>
      </c>
      <c r="B5501" s="487" t="s">
        <v>737</v>
      </c>
      <c r="C5501" s="488" t="s">
        <v>17749</v>
      </c>
      <c r="D5501" s="489" t="s">
        <v>17750</v>
      </c>
      <c r="E5501" s="487" t="s">
        <v>17751</v>
      </c>
      <c r="F5501" s="490">
        <v>8780</v>
      </c>
      <c r="G5501" s="489">
        <v>218</v>
      </c>
      <c r="H5501" s="489">
        <v>40.275230000000001</v>
      </c>
      <c r="I5501" s="487" t="s">
        <v>1499</v>
      </c>
      <c r="J5501" s="487" t="s">
        <v>739</v>
      </c>
    </row>
    <row r="5502" spans="1:10" ht="15" x14ac:dyDescent="0.2">
      <c r="A5502" s="486" t="s">
        <v>738</v>
      </c>
      <c r="B5502" s="487" t="s">
        <v>737</v>
      </c>
      <c r="C5502" s="488" t="s">
        <v>17752</v>
      </c>
      <c r="D5502" s="489" t="s">
        <v>17753</v>
      </c>
      <c r="E5502" s="487" t="s">
        <v>17754</v>
      </c>
      <c r="F5502" s="490">
        <v>40000</v>
      </c>
      <c r="G5502" s="489">
        <v>809</v>
      </c>
      <c r="H5502" s="489">
        <v>49.443759999999997</v>
      </c>
      <c r="I5502" s="487" t="s">
        <v>1499</v>
      </c>
      <c r="J5502" s="487" t="s">
        <v>739</v>
      </c>
    </row>
    <row r="5503" spans="1:10" ht="15" x14ac:dyDescent="0.2">
      <c r="A5503" s="486" t="s">
        <v>738</v>
      </c>
      <c r="B5503" s="487" t="s">
        <v>737</v>
      </c>
      <c r="C5503" s="488" t="s">
        <v>17755</v>
      </c>
      <c r="D5503" s="489" t="s">
        <v>17756</v>
      </c>
      <c r="E5503" s="487" t="s">
        <v>17757</v>
      </c>
      <c r="F5503" s="490">
        <v>9504</v>
      </c>
      <c r="G5503" s="489">
        <v>235</v>
      </c>
      <c r="H5503" s="489">
        <v>40.442549999999997</v>
      </c>
      <c r="I5503" s="487" t="s">
        <v>1499</v>
      </c>
      <c r="J5503" s="487" t="s">
        <v>739</v>
      </c>
    </row>
    <row r="5504" spans="1:10" ht="15" x14ac:dyDescent="0.2">
      <c r="A5504" s="486" t="s">
        <v>738</v>
      </c>
      <c r="B5504" s="487" t="s">
        <v>737</v>
      </c>
      <c r="C5504" s="488" t="s">
        <v>17758</v>
      </c>
      <c r="D5504" s="489" t="s">
        <v>17759</v>
      </c>
      <c r="E5504" s="487" t="s">
        <v>17760</v>
      </c>
      <c r="F5504" s="490">
        <v>5428</v>
      </c>
      <c r="G5504" s="489">
        <v>97</v>
      </c>
      <c r="H5504" s="489">
        <v>55.958759999999998</v>
      </c>
      <c r="I5504" s="487" t="s">
        <v>1499</v>
      </c>
      <c r="J5504" s="487" t="s">
        <v>739</v>
      </c>
    </row>
    <row r="5505" spans="1:10" ht="15" x14ac:dyDescent="0.2">
      <c r="A5505" s="486" t="s">
        <v>738</v>
      </c>
      <c r="B5505" s="487" t="s">
        <v>737</v>
      </c>
      <c r="C5505" s="488" t="s">
        <v>17761</v>
      </c>
      <c r="D5505" s="489" t="s">
        <v>17762</v>
      </c>
      <c r="E5505" s="487" t="s">
        <v>17763</v>
      </c>
      <c r="F5505" s="490">
        <v>5008</v>
      </c>
      <c r="G5505" s="489">
        <v>118</v>
      </c>
      <c r="H5505" s="489">
        <v>42.44068</v>
      </c>
      <c r="I5505" s="487" t="s">
        <v>1499</v>
      </c>
      <c r="J5505" s="487" t="s">
        <v>739</v>
      </c>
    </row>
    <row r="5506" spans="1:10" ht="15" x14ac:dyDescent="0.2">
      <c r="A5506" s="486" t="s">
        <v>738</v>
      </c>
      <c r="B5506" s="487" t="s">
        <v>737</v>
      </c>
      <c r="C5506" s="488" t="s">
        <v>17764</v>
      </c>
      <c r="D5506" s="489" t="s">
        <v>17765</v>
      </c>
      <c r="E5506" s="487" t="s">
        <v>17766</v>
      </c>
      <c r="F5506" s="490">
        <v>2300</v>
      </c>
      <c r="G5506" s="489">
        <v>112</v>
      </c>
      <c r="H5506" s="489">
        <v>20.535710000000002</v>
      </c>
      <c r="I5506" s="487" t="s">
        <v>1499</v>
      </c>
      <c r="J5506" s="487" t="s">
        <v>739</v>
      </c>
    </row>
    <row r="5507" spans="1:10" ht="15" x14ac:dyDescent="0.2">
      <c r="A5507" s="486" t="s">
        <v>738</v>
      </c>
      <c r="B5507" s="487" t="s">
        <v>737</v>
      </c>
      <c r="C5507" s="488" t="s">
        <v>17767</v>
      </c>
      <c r="D5507" s="489" t="s">
        <v>17768</v>
      </c>
      <c r="E5507" s="487" t="s">
        <v>17769</v>
      </c>
      <c r="F5507" s="490">
        <v>4200</v>
      </c>
      <c r="G5507" s="489">
        <v>151</v>
      </c>
      <c r="H5507" s="489">
        <v>27.81457</v>
      </c>
      <c r="I5507" s="487" t="s">
        <v>1499</v>
      </c>
      <c r="J5507" s="487" t="s">
        <v>739</v>
      </c>
    </row>
    <row r="5508" spans="1:10" ht="15" x14ac:dyDescent="0.2">
      <c r="A5508" s="486" t="s">
        <v>738</v>
      </c>
      <c r="B5508" s="487" t="s">
        <v>737</v>
      </c>
      <c r="C5508" s="488" t="s">
        <v>17770</v>
      </c>
      <c r="D5508" s="489" t="s">
        <v>17771</v>
      </c>
      <c r="E5508" s="487" t="s">
        <v>17772</v>
      </c>
      <c r="F5508" s="490">
        <v>3300</v>
      </c>
      <c r="G5508" s="489">
        <v>80</v>
      </c>
      <c r="H5508" s="489">
        <v>41.25</v>
      </c>
      <c r="I5508" s="487" t="s">
        <v>1499</v>
      </c>
      <c r="J5508" s="487" t="s">
        <v>739</v>
      </c>
    </row>
    <row r="5509" spans="1:10" ht="15" x14ac:dyDescent="0.2">
      <c r="A5509" s="486" t="s">
        <v>738</v>
      </c>
      <c r="B5509" s="487" t="s">
        <v>737</v>
      </c>
      <c r="C5509" s="488" t="s">
        <v>17773</v>
      </c>
      <c r="D5509" s="489" t="s">
        <v>17774</v>
      </c>
      <c r="E5509" s="487" t="s">
        <v>17775</v>
      </c>
      <c r="F5509" s="490">
        <v>1000</v>
      </c>
      <c r="G5509" s="489">
        <v>64</v>
      </c>
      <c r="H5509" s="489">
        <v>15.625</v>
      </c>
      <c r="I5509" s="487" t="s">
        <v>1499</v>
      </c>
      <c r="J5509" s="487" t="s">
        <v>739</v>
      </c>
    </row>
    <row r="5510" spans="1:10" ht="15" x14ac:dyDescent="0.2">
      <c r="A5510" s="486" t="s">
        <v>738</v>
      </c>
      <c r="B5510" s="487" t="s">
        <v>737</v>
      </c>
      <c r="C5510" s="488" t="s">
        <v>17776</v>
      </c>
      <c r="D5510" s="489" t="s">
        <v>17777</v>
      </c>
      <c r="E5510" s="487" t="s">
        <v>17778</v>
      </c>
      <c r="F5510" s="490">
        <v>0</v>
      </c>
      <c r="G5510" s="489">
        <v>45</v>
      </c>
      <c r="H5510" s="489">
        <v>0</v>
      </c>
      <c r="I5510" s="487" t="s">
        <v>1593</v>
      </c>
      <c r="J5510" s="487" t="s">
        <v>739</v>
      </c>
    </row>
    <row r="5511" spans="1:10" ht="15" x14ac:dyDescent="0.2">
      <c r="A5511" s="486" t="s">
        <v>738</v>
      </c>
      <c r="B5511" s="487" t="s">
        <v>737</v>
      </c>
      <c r="C5511" s="488" t="s">
        <v>17779</v>
      </c>
      <c r="D5511" s="489" t="s">
        <v>17780</v>
      </c>
      <c r="E5511" s="487" t="s">
        <v>17781</v>
      </c>
      <c r="F5511" s="490">
        <v>8845</v>
      </c>
      <c r="G5511" s="489">
        <v>144</v>
      </c>
      <c r="H5511" s="489">
        <v>61.423609999999996</v>
      </c>
      <c r="I5511" s="487" t="s">
        <v>1499</v>
      </c>
      <c r="J5511" s="487" t="s">
        <v>739</v>
      </c>
    </row>
    <row r="5512" spans="1:10" ht="15" x14ac:dyDescent="0.2">
      <c r="A5512" s="486" t="s">
        <v>738</v>
      </c>
      <c r="B5512" s="487" t="s">
        <v>737</v>
      </c>
      <c r="C5512" s="488" t="s">
        <v>17782</v>
      </c>
      <c r="D5512" s="489" t="s">
        <v>17783</v>
      </c>
      <c r="E5512" s="487" t="s">
        <v>17784</v>
      </c>
      <c r="F5512" s="490">
        <v>43667</v>
      </c>
      <c r="G5512" s="489">
        <v>474</v>
      </c>
      <c r="H5512" s="489">
        <v>92.124470000000002</v>
      </c>
      <c r="I5512" s="487" t="s">
        <v>1499</v>
      </c>
      <c r="J5512" s="487" t="s">
        <v>739</v>
      </c>
    </row>
    <row r="5513" spans="1:10" ht="15" x14ac:dyDescent="0.2">
      <c r="A5513" s="486" t="s">
        <v>738</v>
      </c>
      <c r="B5513" s="487" t="s">
        <v>737</v>
      </c>
      <c r="C5513" s="488" t="s">
        <v>17785</v>
      </c>
      <c r="D5513" s="489" t="s">
        <v>17786</v>
      </c>
      <c r="E5513" s="487" t="s">
        <v>17787</v>
      </c>
      <c r="F5513" s="490">
        <v>17000</v>
      </c>
      <c r="G5513" s="489">
        <v>283</v>
      </c>
      <c r="H5513" s="489">
        <v>60.07067</v>
      </c>
      <c r="I5513" s="487" t="s">
        <v>1499</v>
      </c>
      <c r="J5513" s="487" t="s">
        <v>739</v>
      </c>
    </row>
    <row r="5514" spans="1:10" ht="15" x14ac:dyDescent="0.2">
      <c r="A5514" s="486" t="s">
        <v>738</v>
      </c>
      <c r="B5514" s="487" t="s">
        <v>737</v>
      </c>
      <c r="C5514" s="488" t="s">
        <v>17788</v>
      </c>
      <c r="D5514" s="489" t="s">
        <v>17789</v>
      </c>
      <c r="E5514" s="487" t="s">
        <v>17790</v>
      </c>
      <c r="F5514" s="490">
        <v>0</v>
      </c>
      <c r="G5514" s="489">
        <v>6</v>
      </c>
      <c r="H5514" s="489">
        <v>0</v>
      </c>
      <c r="I5514" s="487" t="s">
        <v>1593</v>
      </c>
      <c r="J5514" s="487" t="s">
        <v>739</v>
      </c>
    </row>
    <row r="5515" spans="1:10" ht="15" x14ac:dyDescent="0.2">
      <c r="A5515" s="486" t="s">
        <v>738</v>
      </c>
      <c r="B5515" s="487" t="s">
        <v>737</v>
      </c>
      <c r="C5515" s="488" t="s">
        <v>17791</v>
      </c>
      <c r="D5515" s="489" t="s">
        <v>17792</v>
      </c>
      <c r="E5515" s="487" t="s">
        <v>17793</v>
      </c>
      <c r="F5515" s="490">
        <v>0</v>
      </c>
      <c r="G5515" s="489">
        <v>34</v>
      </c>
      <c r="H5515" s="489">
        <v>0</v>
      </c>
      <c r="I5515" s="487" t="s">
        <v>1593</v>
      </c>
      <c r="J5515" s="487" t="s">
        <v>739</v>
      </c>
    </row>
    <row r="5516" spans="1:10" ht="15" x14ac:dyDescent="0.2">
      <c r="A5516" s="486" t="s">
        <v>738</v>
      </c>
      <c r="B5516" s="487" t="s">
        <v>737</v>
      </c>
      <c r="C5516" s="488" t="s">
        <v>17794</v>
      </c>
      <c r="D5516" s="489" t="s">
        <v>17795</v>
      </c>
      <c r="E5516" s="487" t="s">
        <v>17796</v>
      </c>
      <c r="F5516" s="490">
        <v>5661</v>
      </c>
      <c r="G5516" s="489">
        <v>87</v>
      </c>
      <c r="H5516" s="489">
        <v>65.068969999999993</v>
      </c>
      <c r="I5516" s="487" t="s">
        <v>1499</v>
      </c>
      <c r="J5516" s="487" t="s">
        <v>739</v>
      </c>
    </row>
    <row r="5517" spans="1:10" ht="15" x14ac:dyDescent="0.2">
      <c r="A5517" s="486" t="s">
        <v>738</v>
      </c>
      <c r="B5517" s="487" t="s">
        <v>737</v>
      </c>
      <c r="C5517" s="488" t="s">
        <v>17797</v>
      </c>
      <c r="D5517" s="489" t="s">
        <v>17798</v>
      </c>
      <c r="E5517" s="487" t="s">
        <v>17799</v>
      </c>
      <c r="F5517" s="490">
        <v>570</v>
      </c>
      <c r="G5517" s="489">
        <v>57</v>
      </c>
      <c r="H5517" s="489">
        <v>10</v>
      </c>
      <c r="I5517" s="487" t="s">
        <v>1499</v>
      </c>
      <c r="J5517" s="487" t="s">
        <v>739</v>
      </c>
    </row>
    <row r="5518" spans="1:10" ht="15" x14ac:dyDescent="0.2">
      <c r="A5518" s="486" t="s">
        <v>738</v>
      </c>
      <c r="B5518" s="487" t="s">
        <v>737</v>
      </c>
      <c r="C5518" s="488" t="s">
        <v>17800</v>
      </c>
      <c r="D5518" s="489" t="s">
        <v>17801</v>
      </c>
      <c r="E5518" s="487" t="s">
        <v>17802</v>
      </c>
      <c r="F5518" s="490">
        <v>3900</v>
      </c>
      <c r="G5518" s="489">
        <v>99</v>
      </c>
      <c r="H5518" s="489">
        <v>39.393940000000001</v>
      </c>
      <c r="I5518" s="487" t="s">
        <v>1499</v>
      </c>
      <c r="J5518" s="487" t="s">
        <v>739</v>
      </c>
    </row>
    <row r="5519" spans="1:10" ht="15" x14ac:dyDescent="0.2">
      <c r="A5519" s="486" t="s">
        <v>738</v>
      </c>
      <c r="B5519" s="487" t="s">
        <v>737</v>
      </c>
      <c r="C5519" s="488" t="s">
        <v>17803</v>
      </c>
      <c r="D5519" s="489" t="s">
        <v>17804</v>
      </c>
      <c r="E5519" s="487" t="s">
        <v>17805</v>
      </c>
      <c r="F5519" s="490">
        <v>0</v>
      </c>
      <c r="G5519" s="489">
        <v>38</v>
      </c>
      <c r="H5519" s="489">
        <v>0</v>
      </c>
      <c r="I5519" s="487" t="s">
        <v>1593</v>
      </c>
      <c r="J5519" s="487" t="s">
        <v>739</v>
      </c>
    </row>
    <row r="5520" spans="1:10" ht="15" x14ac:dyDescent="0.2">
      <c r="A5520" s="486" t="s">
        <v>738</v>
      </c>
      <c r="B5520" s="487" t="s">
        <v>737</v>
      </c>
      <c r="C5520" s="488" t="s">
        <v>17806</v>
      </c>
      <c r="D5520" s="489" t="s">
        <v>17807</v>
      </c>
      <c r="E5520" s="487" t="s">
        <v>17808</v>
      </c>
      <c r="F5520" s="490">
        <v>5500</v>
      </c>
      <c r="G5520" s="489">
        <v>118</v>
      </c>
      <c r="H5520" s="489">
        <v>46.610169999999997</v>
      </c>
      <c r="I5520" s="487" t="s">
        <v>1499</v>
      </c>
      <c r="J5520" s="487" t="s">
        <v>739</v>
      </c>
    </row>
    <row r="5521" spans="1:10" ht="15" x14ac:dyDescent="0.2">
      <c r="A5521" s="486" t="s">
        <v>738</v>
      </c>
      <c r="B5521" s="487" t="s">
        <v>737</v>
      </c>
      <c r="C5521" s="488" t="s">
        <v>17809</v>
      </c>
      <c r="D5521" s="489" t="s">
        <v>17810</v>
      </c>
      <c r="E5521" s="487" t="s">
        <v>17811</v>
      </c>
      <c r="F5521" s="490">
        <v>600</v>
      </c>
      <c r="G5521" s="489">
        <v>30</v>
      </c>
      <c r="H5521" s="489">
        <v>20</v>
      </c>
      <c r="I5521" s="487" t="s">
        <v>1499</v>
      </c>
      <c r="J5521" s="487" t="s">
        <v>739</v>
      </c>
    </row>
    <row r="5522" spans="1:10" ht="15" x14ac:dyDescent="0.2">
      <c r="A5522" s="486" t="s">
        <v>738</v>
      </c>
      <c r="B5522" s="487" t="s">
        <v>737</v>
      </c>
      <c r="C5522" s="488" t="s">
        <v>17812</v>
      </c>
      <c r="D5522" s="489" t="s">
        <v>17813</v>
      </c>
      <c r="E5522" s="487" t="s">
        <v>17814</v>
      </c>
      <c r="F5522" s="490">
        <v>8960</v>
      </c>
      <c r="G5522" s="489">
        <v>186</v>
      </c>
      <c r="H5522" s="489">
        <v>48.172040000000003</v>
      </c>
      <c r="I5522" s="487" t="s">
        <v>1499</v>
      </c>
      <c r="J5522" s="487" t="s">
        <v>739</v>
      </c>
    </row>
    <row r="5523" spans="1:10" ht="15" x14ac:dyDescent="0.2">
      <c r="A5523" s="486" t="s">
        <v>738</v>
      </c>
      <c r="B5523" s="487" t="s">
        <v>737</v>
      </c>
      <c r="C5523" s="488" t="s">
        <v>17815</v>
      </c>
      <c r="D5523" s="489" t="s">
        <v>17816</v>
      </c>
      <c r="E5523" s="487" t="s">
        <v>17817</v>
      </c>
      <c r="F5523" s="490">
        <v>8230</v>
      </c>
      <c r="G5523" s="489">
        <v>214</v>
      </c>
      <c r="H5523" s="489">
        <v>38.457940000000001</v>
      </c>
      <c r="I5523" s="487" t="s">
        <v>1499</v>
      </c>
      <c r="J5523" s="487" t="s">
        <v>739</v>
      </c>
    </row>
    <row r="5524" spans="1:10" ht="15" x14ac:dyDescent="0.2">
      <c r="A5524" s="486" t="s">
        <v>738</v>
      </c>
      <c r="B5524" s="487" t="s">
        <v>737</v>
      </c>
      <c r="C5524" s="488" t="s">
        <v>17818</v>
      </c>
      <c r="D5524" s="489" t="s">
        <v>17819</v>
      </c>
      <c r="E5524" s="487" t="s">
        <v>17820</v>
      </c>
      <c r="F5524" s="490">
        <v>0</v>
      </c>
      <c r="G5524" s="489">
        <v>23</v>
      </c>
      <c r="H5524" s="489">
        <v>0</v>
      </c>
      <c r="I5524" s="487" t="s">
        <v>1593</v>
      </c>
      <c r="J5524" s="487" t="s">
        <v>739</v>
      </c>
    </row>
    <row r="5525" spans="1:10" ht="15" x14ac:dyDescent="0.2">
      <c r="A5525" s="486" t="s">
        <v>738</v>
      </c>
      <c r="B5525" s="487" t="s">
        <v>737</v>
      </c>
      <c r="C5525" s="488" t="s">
        <v>17821</v>
      </c>
      <c r="D5525" s="489" t="s">
        <v>17822</v>
      </c>
      <c r="E5525" s="487" t="s">
        <v>17823</v>
      </c>
      <c r="F5525" s="490">
        <v>3370</v>
      </c>
      <c r="G5525" s="489">
        <v>130</v>
      </c>
      <c r="H5525" s="489">
        <v>25.923079999999999</v>
      </c>
      <c r="I5525" s="487" t="s">
        <v>1499</v>
      </c>
      <c r="J5525" s="487" t="s">
        <v>739</v>
      </c>
    </row>
    <row r="5526" spans="1:10" ht="15" x14ac:dyDescent="0.2">
      <c r="A5526" s="486" t="s">
        <v>738</v>
      </c>
      <c r="B5526" s="487" t="s">
        <v>737</v>
      </c>
      <c r="C5526" s="488" t="s">
        <v>17824</v>
      </c>
      <c r="D5526" s="489" t="s">
        <v>17825</v>
      </c>
      <c r="E5526" s="487" t="s">
        <v>17826</v>
      </c>
      <c r="F5526" s="490">
        <v>0</v>
      </c>
      <c r="G5526" s="489">
        <v>61</v>
      </c>
      <c r="H5526" s="489">
        <v>0</v>
      </c>
      <c r="I5526" s="487" t="s">
        <v>1593</v>
      </c>
      <c r="J5526" s="487" t="s">
        <v>739</v>
      </c>
    </row>
    <row r="5527" spans="1:10" ht="15" x14ac:dyDescent="0.2">
      <c r="A5527" s="486" t="s">
        <v>738</v>
      </c>
      <c r="B5527" s="487" t="s">
        <v>737</v>
      </c>
      <c r="C5527" s="488" t="s">
        <v>17827</v>
      </c>
      <c r="D5527" s="489" t="s">
        <v>17828</v>
      </c>
      <c r="E5527" s="487" t="s">
        <v>17829</v>
      </c>
      <c r="F5527" s="490">
        <v>92685</v>
      </c>
      <c r="G5527" s="489">
        <v>1908</v>
      </c>
      <c r="H5527" s="489">
        <v>48.577039999999997</v>
      </c>
      <c r="I5527" s="487" t="s">
        <v>1499</v>
      </c>
      <c r="J5527" s="487" t="s">
        <v>739</v>
      </c>
    </row>
    <row r="5528" spans="1:10" ht="15" x14ac:dyDescent="0.2">
      <c r="A5528" s="486" t="s">
        <v>738</v>
      </c>
      <c r="B5528" s="487" t="s">
        <v>737</v>
      </c>
      <c r="C5528" s="488" t="s">
        <v>17830</v>
      </c>
      <c r="D5528" s="489" t="s">
        <v>17831</v>
      </c>
      <c r="E5528" s="487" t="s">
        <v>17832</v>
      </c>
      <c r="F5528" s="490">
        <v>32531</v>
      </c>
      <c r="G5528" s="489">
        <v>733</v>
      </c>
      <c r="H5528" s="489">
        <v>44.380629999999996</v>
      </c>
      <c r="I5528" s="487" t="s">
        <v>1499</v>
      </c>
      <c r="J5528" s="487" t="s">
        <v>739</v>
      </c>
    </row>
    <row r="5529" spans="1:10" ht="15" x14ac:dyDescent="0.2">
      <c r="A5529" s="486" t="s">
        <v>738</v>
      </c>
      <c r="B5529" s="487" t="s">
        <v>737</v>
      </c>
      <c r="C5529" s="488" t="s">
        <v>17833</v>
      </c>
      <c r="D5529" s="489" t="s">
        <v>17834</v>
      </c>
      <c r="E5529" s="487" t="s">
        <v>17835</v>
      </c>
      <c r="F5529" s="490">
        <v>0</v>
      </c>
      <c r="G5529" s="489">
        <v>14</v>
      </c>
      <c r="H5529" s="489">
        <v>0</v>
      </c>
      <c r="I5529" s="487" t="s">
        <v>1593</v>
      </c>
      <c r="J5529" s="487" t="s">
        <v>739</v>
      </c>
    </row>
    <row r="5530" spans="1:10" ht="15" x14ac:dyDescent="0.2">
      <c r="A5530" s="486" t="s">
        <v>738</v>
      </c>
      <c r="B5530" s="487" t="s">
        <v>737</v>
      </c>
      <c r="C5530" s="488" t="s">
        <v>17836</v>
      </c>
      <c r="D5530" s="489" t="s">
        <v>17837</v>
      </c>
      <c r="E5530" s="487" t="s">
        <v>17838</v>
      </c>
      <c r="F5530" s="490">
        <v>0</v>
      </c>
      <c r="G5530" s="489">
        <v>58</v>
      </c>
      <c r="H5530" s="489">
        <v>0</v>
      </c>
      <c r="I5530" s="487" t="s">
        <v>1593</v>
      </c>
      <c r="J5530" s="487" t="s">
        <v>739</v>
      </c>
    </row>
    <row r="5531" spans="1:10" ht="15" x14ac:dyDescent="0.2">
      <c r="A5531" s="486" t="s">
        <v>738</v>
      </c>
      <c r="B5531" s="487" t="s">
        <v>737</v>
      </c>
      <c r="C5531" s="488" t="s">
        <v>17839</v>
      </c>
      <c r="D5531" s="489" t="s">
        <v>17840</v>
      </c>
      <c r="E5531" s="487" t="s">
        <v>17841</v>
      </c>
      <c r="F5531" s="490">
        <v>0</v>
      </c>
      <c r="G5531" s="489">
        <v>13</v>
      </c>
      <c r="H5531" s="489">
        <v>0</v>
      </c>
      <c r="I5531" s="487" t="s">
        <v>1593</v>
      </c>
      <c r="J5531" s="487" t="s">
        <v>739</v>
      </c>
    </row>
    <row r="5532" spans="1:10" ht="15" x14ac:dyDescent="0.2">
      <c r="A5532" s="486" t="s">
        <v>738</v>
      </c>
      <c r="B5532" s="487" t="s">
        <v>737</v>
      </c>
      <c r="C5532" s="488" t="s">
        <v>17842</v>
      </c>
      <c r="D5532" s="489" t="s">
        <v>17843</v>
      </c>
      <c r="E5532" s="487" t="s">
        <v>17844</v>
      </c>
      <c r="F5532" s="490">
        <v>0</v>
      </c>
      <c r="G5532" s="489">
        <v>37</v>
      </c>
      <c r="H5532" s="489">
        <v>0</v>
      </c>
      <c r="I5532" s="487" t="s">
        <v>1593</v>
      </c>
      <c r="J5532" s="487" t="s">
        <v>739</v>
      </c>
    </row>
    <row r="5533" spans="1:10" ht="15" x14ac:dyDescent="0.2">
      <c r="A5533" s="486" t="s">
        <v>738</v>
      </c>
      <c r="B5533" s="487" t="s">
        <v>737</v>
      </c>
      <c r="C5533" s="488" t="s">
        <v>17845</v>
      </c>
      <c r="D5533" s="489" t="s">
        <v>17846</v>
      </c>
      <c r="E5533" s="487" t="s">
        <v>17847</v>
      </c>
      <c r="F5533" s="490">
        <v>0</v>
      </c>
      <c r="G5533" s="489">
        <v>20</v>
      </c>
      <c r="H5533" s="489">
        <v>0</v>
      </c>
      <c r="I5533" s="487" t="s">
        <v>1593</v>
      </c>
      <c r="J5533" s="487" t="s">
        <v>739</v>
      </c>
    </row>
    <row r="5534" spans="1:10" ht="15" x14ac:dyDescent="0.2">
      <c r="A5534" s="486" t="s">
        <v>738</v>
      </c>
      <c r="B5534" s="487" t="s">
        <v>737</v>
      </c>
      <c r="C5534" s="488" t="s">
        <v>17848</v>
      </c>
      <c r="D5534" s="489" t="s">
        <v>17849</v>
      </c>
      <c r="E5534" s="487" t="s">
        <v>17850</v>
      </c>
      <c r="F5534" s="490">
        <v>0</v>
      </c>
      <c r="G5534" s="489">
        <v>99</v>
      </c>
      <c r="H5534" s="489">
        <v>0</v>
      </c>
      <c r="I5534" s="487" t="s">
        <v>1593</v>
      </c>
      <c r="J5534" s="487" t="s">
        <v>739</v>
      </c>
    </row>
    <row r="5535" spans="1:10" ht="15" x14ac:dyDescent="0.2">
      <c r="A5535" s="486" t="s">
        <v>738</v>
      </c>
      <c r="B5535" s="487" t="s">
        <v>737</v>
      </c>
      <c r="C5535" s="488" t="s">
        <v>17851</v>
      </c>
      <c r="D5535" s="489" t="s">
        <v>17852</v>
      </c>
      <c r="E5535" s="487" t="s">
        <v>17853</v>
      </c>
      <c r="F5535" s="490">
        <v>0</v>
      </c>
      <c r="G5535" s="489">
        <v>25</v>
      </c>
      <c r="H5535" s="489">
        <v>0</v>
      </c>
      <c r="I5535" s="487" t="s">
        <v>1593</v>
      </c>
      <c r="J5535" s="487" t="s">
        <v>739</v>
      </c>
    </row>
    <row r="5536" spans="1:10" ht="15" x14ac:dyDescent="0.2">
      <c r="A5536" s="486" t="s">
        <v>1031</v>
      </c>
      <c r="B5536" s="487" t="s">
        <v>1030</v>
      </c>
      <c r="C5536" s="488" t="s">
        <v>17854</v>
      </c>
      <c r="D5536" s="489" t="s">
        <v>17855</v>
      </c>
      <c r="E5536" s="487" t="s">
        <v>17856</v>
      </c>
      <c r="F5536" s="490">
        <v>19080.88</v>
      </c>
      <c r="G5536" s="489">
        <v>140.09954999999999</v>
      </c>
      <c r="H5536" s="489">
        <v>136.19515000000001</v>
      </c>
      <c r="I5536" s="487" t="s">
        <v>1499</v>
      </c>
      <c r="J5536" s="487" t="s">
        <v>1032</v>
      </c>
    </row>
    <row r="5537" spans="1:10" ht="15" x14ac:dyDescent="0.2">
      <c r="A5537" s="486" t="s">
        <v>1031</v>
      </c>
      <c r="B5537" s="487" t="s">
        <v>1030</v>
      </c>
      <c r="C5537" s="488" t="s">
        <v>17857</v>
      </c>
      <c r="D5537" s="489" t="s">
        <v>17858</v>
      </c>
      <c r="E5537" s="487" t="s">
        <v>17859</v>
      </c>
      <c r="F5537" s="490">
        <v>0</v>
      </c>
      <c r="G5537" s="489">
        <v>29.673120000000001</v>
      </c>
      <c r="H5537" s="489">
        <v>0</v>
      </c>
      <c r="I5537" s="487" t="s">
        <v>1593</v>
      </c>
      <c r="J5537" s="487" t="s">
        <v>1032</v>
      </c>
    </row>
    <row r="5538" spans="1:10" ht="15" x14ac:dyDescent="0.2">
      <c r="A5538" s="486" t="s">
        <v>1031</v>
      </c>
      <c r="B5538" s="487" t="s">
        <v>1030</v>
      </c>
      <c r="C5538" s="488" t="s">
        <v>17860</v>
      </c>
      <c r="D5538" s="489" t="s">
        <v>17861</v>
      </c>
      <c r="E5538" s="487" t="s">
        <v>17862</v>
      </c>
      <c r="F5538" s="490">
        <v>16511.11</v>
      </c>
      <c r="G5538" s="489">
        <v>288.31788</v>
      </c>
      <c r="H5538" s="489">
        <v>57.267040000000001</v>
      </c>
      <c r="I5538" s="487" t="s">
        <v>1499</v>
      </c>
      <c r="J5538" s="487" t="s">
        <v>1032</v>
      </c>
    </row>
    <row r="5539" spans="1:10" ht="15" x14ac:dyDescent="0.2">
      <c r="A5539" s="486" t="s">
        <v>1031</v>
      </c>
      <c r="B5539" s="487" t="s">
        <v>1030</v>
      </c>
      <c r="C5539" s="488" t="s">
        <v>17863</v>
      </c>
      <c r="D5539" s="489" t="s">
        <v>17864</v>
      </c>
      <c r="E5539" s="487" t="s">
        <v>17865</v>
      </c>
      <c r="F5539" s="490">
        <v>779.31</v>
      </c>
      <c r="G5539" s="489">
        <v>44.967140000000001</v>
      </c>
      <c r="H5539" s="489">
        <v>17.330660000000002</v>
      </c>
      <c r="I5539" s="487" t="s">
        <v>1499</v>
      </c>
      <c r="J5539" s="487" t="s">
        <v>1032</v>
      </c>
    </row>
    <row r="5540" spans="1:10" ht="15" x14ac:dyDescent="0.2">
      <c r="A5540" s="486" t="s">
        <v>1031</v>
      </c>
      <c r="B5540" s="487" t="s">
        <v>1030</v>
      </c>
      <c r="C5540" s="488" t="s">
        <v>17866</v>
      </c>
      <c r="D5540" s="489" t="s">
        <v>17867</v>
      </c>
      <c r="E5540" s="487" t="s">
        <v>17868</v>
      </c>
      <c r="F5540" s="490">
        <v>19972</v>
      </c>
      <c r="G5540" s="489">
        <v>134.94490999999999</v>
      </c>
      <c r="H5540" s="489">
        <v>148.00113999999999</v>
      </c>
      <c r="I5540" s="487" t="s">
        <v>1499</v>
      </c>
      <c r="J5540" s="487" t="s">
        <v>1032</v>
      </c>
    </row>
    <row r="5541" spans="1:10" ht="15" x14ac:dyDescent="0.2">
      <c r="A5541" s="486" t="s">
        <v>1031</v>
      </c>
      <c r="B5541" s="487" t="s">
        <v>1030</v>
      </c>
      <c r="C5541" s="488" t="s">
        <v>17869</v>
      </c>
      <c r="D5541" s="489" t="s">
        <v>17870</v>
      </c>
      <c r="E5541" s="487" t="s">
        <v>17871</v>
      </c>
      <c r="F5541" s="490">
        <v>865.9</v>
      </c>
      <c r="G5541" s="489">
        <v>78.753209999999996</v>
      </c>
      <c r="H5541" s="489">
        <v>10.99511</v>
      </c>
      <c r="I5541" s="487" t="s">
        <v>1499</v>
      </c>
      <c r="J5541" s="487" t="s">
        <v>1032</v>
      </c>
    </row>
    <row r="5542" spans="1:10" ht="15" x14ac:dyDescent="0.2">
      <c r="A5542" s="486" t="s">
        <v>1031</v>
      </c>
      <c r="B5542" s="487" t="s">
        <v>1030</v>
      </c>
      <c r="C5542" s="488" t="s">
        <v>17872</v>
      </c>
      <c r="D5542" s="489" t="s">
        <v>17873</v>
      </c>
      <c r="E5542" s="487" t="s">
        <v>17874</v>
      </c>
      <c r="F5542" s="490">
        <v>144130.84</v>
      </c>
      <c r="G5542" s="489">
        <v>568.86833000000001</v>
      </c>
      <c r="H5542" s="489">
        <v>253.36415</v>
      </c>
      <c r="I5542" s="487" t="s">
        <v>1499</v>
      </c>
      <c r="J5542" s="487" t="s">
        <v>1032</v>
      </c>
    </row>
    <row r="5543" spans="1:10" ht="15" x14ac:dyDescent="0.2">
      <c r="A5543" s="486" t="s">
        <v>1031</v>
      </c>
      <c r="B5543" s="487" t="s">
        <v>1030</v>
      </c>
      <c r="C5543" s="488" t="s">
        <v>17875</v>
      </c>
      <c r="D5543" s="489" t="s">
        <v>17876</v>
      </c>
      <c r="E5543" s="487" t="s">
        <v>17877</v>
      </c>
      <c r="F5543" s="490">
        <v>17278.16</v>
      </c>
      <c r="G5543" s="489">
        <v>137.14178000000001</v>
      </c>
      <c r="H5543" s="489">
        <v>125.98757000000001</v>
      </c>
      <c r="I5543" s="487" t="s">
        <v>1499</v>
      </c>
      <c r="J5543" s="487" t="s">
        <v>1032</v>
      </c>
    </row>
    <row r="5544" spans="1:10" ht="15" x14ac:dyDescent="0.2">
      <c r="A5544" s="486" t="s">
        <v>1031</v>
      </c>
      <c r="B5544" s="487" t="s">
        <v>1030</v>
      </c>
      <c r="C5544" s="488" t="s">
        <v>17878</v>
      </c>
      <c r="D5544" s="489" t="s">
        <v>17879</v>
      </c>
      <c r="E5544" s="487" t="s">
        <v>17880</v>
      </c>
      <c r="F5544" s="490">
        <v>60079.01</v>
      </c>
      <c r="G5544" s="489">
        <v>722.77795000000003</v>
      </c>
      <c r="H5544" s="489">
        <v>83.12236</v>
      </c>
      <c r="I5544" s="487" t="s">
        <v>1499</v>
      </c>
      <c r="J5544" s="487" t="s">
        <v>1032</v>
      </c>
    </row>
    <row r="5545" spans="1:10" ht="15" x14ac:dyDescent="0.2">
      <c r="A5545" s="486" t="s">
        <v>1031</v>
      </c>
      <c r="B5545" s="487" t="s">
        <v>1030</v>
      </c>
      <c r="C5545" s="488" t="s">
        <v>17881</v>
      </c>
      <c r="D5545" s="489" t="s">
        <v>17882</v>
      </c>
      <c r="E5545" s="487" t="s">
        <v>17883</v>
      </c>
      <c r="F5545" s="490">
        <v>6092.13</v>
      </c>
      <c r="G5545" s="489">
        <v>91.647949999999994</v>
      </c>
      <c r="H5545" s="489">
        <v>66.473169999999996</v>
      </c>
      <c r="I5545" s="487" t="s">
        <v>1499</v>
      </c>
      <c r="J5545" s="487" t="s">
        <v>1032</v>
      </c>
    </row>
    <row r="5546" spans="1:10" ht="15" x14ac:dyDescent="0.2">
      <c r="A5546" s="486" t="s">
        <v>1031</v>
      </c>
      <c r="B5546" s="487" t="s">
        <v>1030</v>
      </c>
      <c r="C5546" s="488" t="s">
        <v>17884</v>
      </c>
      <c r="D5546" s="489" t="s">
        <v>17885</v>
      </c>
      <c r="E5546" s="487" t="s">
        <v>17886</v>
      </c>
      <c r="F5546" s="490">
        <v>1406.13</v>
      </c>
      <c r="G5546" s="489">
        <v>97.778819999999996</v>
      </c>
      <c r="H5546" s="489">
        <v>14.38072</v>
      </c>
      <c r="I5546" s="487" t="s">
        <v>1499</v>
      </c>
      <c r="J5546" s="487" t="s">
        <v>1032</v>
      </c>
    </row>
    <row r="5547" spans="1:10" ht="15" x14ac:dyDescent="0.2">
      <c r="A5547" s="486" t="s">
        <v>1031</v>
      </c>
      <c r="B5547" s="487" t="s">
        <v>1030</v>
      </c>
      <c r="C5547" s="488" t="s">
        <v>17887</v>
      </c>
      <c r="D5547" s="489" t="s">
        <v>17888</v>
      </c>
      <c r="E5547" s="487" t="s">
        <v>17889</v>
      </c>
      <c r="F5547" s="490">
        <v>203226</v>
      </c>
      <c r="G5547" s="489">
        <v>1899.4995799999999</v>
      </c>
      <c r="H5547" s="489">
        <v>106.98923000000001</v>
      </c>
      <c r="I5547" s="487" t="s">
        <v>1499</v>
      </c>
      <c r="J5547" s="487" t="s">
        <v>1032</v>
      </c>
    </row>
    <row r="5548" spans="1:10" ht="15" x14ac:dyDescent="0.2">
      <c r="A5548" s="486" t="s">
        <v>1031</v>
      </c>
      <c r="B5548" s="487" t="s">
        <v>1030</v>
      </c>
      <c r="C5548" s="488" t="s">
        <v>17890</v>
      </c>
      <c r="D5548" s="489" t="s">
        <v>17891</v>
      </c>
      <c r="E5548" s="487" t="s">
        <v>17892</v>
      </c>
      <c r="F5548" s="490">
        <v>231353.48</v>
      </c>
      <c r="G5548" s="489">
        <v>1666.9422300000001</v>
      </c>
      <c r="H5548" s="489">
        <v>138.78914</v>
      </c>
      <c r="I5548" s="487" t="s">
        <v>1499</v>
      </c>
      <c r="J5548" s="487" t="s">
        <v>1032</v>
      </c>
    </row>
    <row r="5549" spans="1:10" ht="15" x14ac:dyDescent="0.2">
      <c r="A5549" s="486" t="s">
        <v>1031</v>
      </c>
      <c r="B5549" s="487" t="s">
        <v>1030</v>
      </c>
      <c r="C5549" s="488" t="s">
        <v>17893</v>
      </c>
      <c r="D5549" s="489" t="s">
        <v>17894</v>
      </c>
      <c r="E5549" s="487" t="s">
        <v>17895</v>
      </c>
      <c r="F5549" s="490">
        <v>27453.27</v>
      </c>
      <c r="G5549" s="489">
        <v>288.67036000000002</v>
      </c>
      <c r="H5549" s="489">
        <v>95.102490000000003</v>
      </c>
      <c r="I5549" s="487" t="s">
        <v>1499</v>
      </c>
      <c r="J5549" s="487" t="s">
        <v>1032</v>
      </c>
    </row>
    <row r="5550" spans="1:10" ht="15" x14ac:dyDescent="0.2">
      <c r="A5550" s="486" t="s">
        <v>1031</v>
      </c>
      <c r="B5550" s="487" t="s">
        <v>1030</v>
      </c>
      <c r="C5550" s="488" t="s">
        <v>17896</v>
      </c>
      <c r="D5550" s="489" t="s">
        <v>17897</v>
      </c>
      <c r="E5550" s="487" t="s">
        <v>17898</v>
      </c>
      <c r="F5550" s="490">
        <v>1356.13</v>
      </c>
      <c r="G5550" s="489">
        <v>45.365740000000002</v>
      </c>
      <c r="H5550" s="489">
        <v>29.893260000000001</v>
      </c>
      <c r="I5550" s="487" t="s">
        <v>1499</v>
      </c>
      <c r="J5550" s="487" t="s">
        <v>1032</v>
      </c>
    </row>
    <row r="5551" spans="1:10" ht="15" x14ac:dyDescent="0.2">
      <c r="A5551" s="486" t="s">
        <v>1031</v>
      </c>
      <c r="B5551" s="487" t="s">
        <v>1030</v>
      </c>
      <c r="C5551" s="488" t="s">
        <v>17899</v>
      </c>
      <c r="D5551" s="489" t="s">
        <v>17900</v>
      </c>
      <c r="E5551" s="487" t="s">
        <v>17901</v>
      </c>
      <c r="F5551" s="490">
        <v>12370.88</v>
      </c>
      <c r="G5551" s="489">
        <v>256.84032000000002</v>
      </c>
      <c r="H5551" s="489">
        <v>48.165649999999999</v>
      </c>
      <c r="I5551" s="487" t="s">
        <v>1499</v>
      </c>
      <c r="J5551" s="487" t="s">
        <v>1032</v>
      </c>
    </row>
    <row r="5552" spans="1:10" ht="15" x14ac:dyDescent="0.2">
      <c r="A5552" s="486" t="s">
        <v>1031</v>
      </c>
      <c r="B5552" s="487" t="s">
        <v>1030</v>
      </c>
      <c r="C5552" s="488" t="s">
        <v>17902</v>
      </c>
      <c r="D5552" s="489" t="s">
        <v>17903</v>
      </c>
      <c r="E5552" s="487" t="s">
        <v>17904</v>
      </c>
      <c r="F5552" s="490">
        <v>15896.83</v>
      </c>
      <c r="G5552" s="489">
        <v>224.19532000000001</v>
      </c>
      <c r="H5552" s="489">
        <v>70.90616</v>
      </c>
      <c r="I5552" s="487" t="s">
        <v>1499</v>
      </c>
      <c r="J5552" s="487" t="s">
        <v>1032</v>
      </c>
    </row>
    <row r="5553" spans="1:10" ht="15" x14ac:dyDescent="0.2">
      <c r="A5553" s="486" t="s">
        <v>1031</v>
      </c>
      <c r="B5553" s="487" t="s">
        <v>1030</v>
      </c>
      <c r="C5553" s="488" t="s">
        <v>17905</v>
      </c>
      <c r="D5553" s="489" t="s">
        <v>17906</v>
      </c>
      <c r="E5553" s="487" t="s">
        <v>17907</v>
      </c>
      <c r="F5553" s="490">
        <v>14830.8</v>
      </c>
      <c r="G5553" s="489">
        <v>169.12344999999999</v>
      </c>
      <c r="H5553" s="489">
        <v>87.692160000000001</v>
      </c>
      <c r="I5553" s="487" t="s">
        <v>1499</v>
      </c>
      <c r="J5553" s="487" t="s">
        <v>1032</v>
      </c>
    </row>
    <row r="5554" spans="1:10" ht="15" x14ac:dyDescent="0.2">
      <c r="A5554" s="486" t="s">
        <v>1031</v>
      </c>
      <c r="B5554" s="487" t="s">
        <v>1030</v>
      </c>
      <c r="C5554" s="488" t="s">
        <v>17908</v>
      </c>
      <c r="D5554" s="489" t="s">
        <v>17909</v>
      </c>
      <c r="E5554" s="487" t="s">
        <v>17910</v>
      </c>
      <c r="F5554" s="490">
        <v>68312.639999999999</v>
      </c>
      <c r="G5554" s="489">
        <v>840.30727000000002</v>
      </c>
      <c r="H5554" s="489">
        <v>81.294830000000005</v>
      </c>
      <c r="I5554" s="487" t="s">
        <v>1499</v>
      </c>
      <c r="J5554" s="487" t="s">
        <v>1032</v>
      </c>
    </row>
    <row r="5555" spans="1:10" ht="15" x14ac:dyDescent="0.2">
      <c r="A5555" s="486" t="s">
        <v>1031</v>
      </c>
      <c r="B5555" s="487" t="s">
        <v>1030</v>
      </c>
      <c r="C5555" s="488" t="s">
        <v>17911</v>
      </c>
      <c r="D5555" s="489" t="s">
        <v>17912</v>
      </c>
      <c r="E5555" s="487" t="s">
        <v>17913</v>
      </c>
      <c r="F5555" s="490">
        <v>952.49</v>
      </c>
      <c r="G5555" s="489">
        <v>40.900880000000001</v>
      </c>
      <c r="H5555" s="489">
        <v>23.287769999999998</v>
      </c>
      <c r="I5555" s="487" t="s">
        <v>1499</v>
      </c>
      <c r="J5555" s="487" t="s">
        <v>1032</v>
      </c>
    </row>
    <row r="5556" spans="1:10" ht="15" x14ac:dyDescent="0.2">
      <c r="A5556" s="486" t="s">
        <v>1031</v>
      </c>
      <c r="B5556" s="487" t="s">
        <v>1030</v>
      </c>
      <c r="C5556" s="488" t="s">
        <v>17914</v>
      </c>
      <c r="D5556" s="489" t="s">
        <v>17915</v>
      </c>
      <c r="E5556" s="487" t="s">
        <v>17916</v>
      </c>
      <c r="F5556" s="490">
        <v>30057.45</v>
      </c>
      <c r="G5556" s="489">
        <v>227.04307</v>
      </c>
      <c r="H5556" s="489">
        <v>132.38656</v>
      </c>
      <c r="I5556" s="487" t="s">
        <v>1499</v>
      </c>
      <c r="J5556" s="487" t="s">
        <v>1032</v>
      </c>
    </row>
    <row r="5557" spans="1:10" ht="15" x14ac:dyDescent="0.2">
      <c r="A5557" s="486" t="s">
        <v>1031</v>
      </c>
      <c r="B5557" s="487" t="s">
        <v>1030</v>
      </c>
      <c r="C5557" s="488" t="s">
        <v>17917</v>
      </c>
      <c r="D5557" s="489" t="s">
        <v>17918</v>
      </c>
      <c r="E5557" s="487" t="s">
        <v>17919</v>
      </c>
      <c r="F5557" s="490">
        <v>6750</v>
      </c>
      <c r="G5557" s="489">
        <v>116.38102000000001</v>
      </c>
      <c r="H5557" s="489">
        <v>57.99915</v>
      </c>
      <c r="I5557" s="487" t="s">
        <v>1499</v>
      </c>
      <c r="J5557" s="487" t="s">
        <v>1032</v>
      </c>
    </row>
    <row r="5558" spans="1:10" ht="15" x14ac:dyDescent="0.2">
      <c r="A5558" s="486" t="s">
        <v>1031</v>
      </c>
      <c r="B5558" s="487" t="s">
        <v>1030</v>
      </c>
      <c r="C5558" s="488" t="s">
        <v>17920</v>
      </c>
      <c r="D5558" s="489" t="s">
        <v>17921</v>
      </c>
      <c r="E5558" s="487" t="s">
        <v>17922</v>
      </c>
      <c r="F5558" s="490">
        <v>8971.34</v>
      </c>
      <c r="G5558" s="489">
        <v>95.794820000000001</v>
      </c>
      <c r="H5558" s="489">
        <v>93.651619999999994</v>
      </c>
      <c r="I5558" s="487" t="s">
        <v>1499</v>
      </c>
      <c r="J5558" s="487" t="s">
        <v>1032</v>
      </c>
    </row>
    <row r="5559" spans="1:10" ht="15" x14ac:dyDescent="0.2">
      <c r="A5559" s="486" t="s">
        <v>1031</v>
      </c>
      <c r="B5559" s="487" t="s">
        <v>1030</v>
      </c>
      <c r="C5559" s="488" t="s">
        <v>17923</v>
      </c>
      <c r="D5559" s="489" t="s">
        <v>17924</v>
      </c>
      <c r="E5559" s="487" t="s">
        <v>17925</v>
      </c>
      <c r="F5559" s="490">
        <v>9861.11</v>
      </c>
      <c r="G5559" s="489">
        <v>132.05193</v>
      </c>
      <c r="H5559" s="489">
        <v>74.676000000000002</v>
      </c>
      <c r="I5559" s="487" t="s">
        <v>1499</v>
      </c>
      <c r="J5559" s="487" t="s">
        <v>1032</v>
      </c>
    </row>
    <row r="5560" spans="1:10" ht="15" x14ac:dyDescent="0.2">
      <c r="A5560" s="486" t="s">
        <v>1031</v>
      </c>
      <c r="B5560" s="487" t="s">
        <v>1030</v>
      </c>
      <c r="C5560" s="488" t="s">
        <v>17926</v>
      </c>
      <c r="D5560" s="489" t="s">
        <v>17927</v>
      </c>
      <c r="E5560" s="487" t="s">
        <v>17928</v>
      </c>
      <c r="F5560" s="490">
        <v>29714.45</v>
      </c>
      <c r="G5560" s="489">
        <v>279.80151999999998</v>
      </c>
      <c r="H5560" s="489">
        <v>106.19832</v>
      </c>
      <c r="I5560" s="487" t="s">
        <v>1499</v>
      </c>
      <c r="J5560" s="487" t="s">
        <v>1032</v>
      </c>
    </row>
    <row r="5561" spans="1:10" ht="15" x14ac:dyDescent="0.2">
      <c r="A5561" s="486" t="s">
        <v>1031</v>
      </c>
      <c r="B5561" s="487" t="s">
        <v>1030</v>
      </c>
      <c r="C5561" s="488" t="s">
        <v>17929</v>
      </c>
      <c r="D5561" s="489" t="s">
        <v>17930</v>
      </c>
      <c r="E5561" s="487" t="s">
        <v>17931</v>
      </c>
      <c r="F5561" s="490">
        <v>29053</v>
      </c>
      <c r="G5561" s="489">
        <v>292.50362000000001</v>
      </c>
      <c r="H5561" s="489">
        <v>99.325270000000003</v>
      </c>
      <c r="I5561" s="487" t="s">
        <v>1499</v>
      </c>
      <c r="J5561" s="487" t="s">
        <v>1032</v>
      </c>
    </row>
    <row r="5562" spans="1:10" ht="15" x14ac:dyDescent="0.2">
      <c r="A5562" s="486" t="s">
        <v>1031</v>
      </c>
      <c r="B5562" s="487" t="s">
        <v>1030</v>
      </c>
      <c r="C5562" s="488" t="s">
        <v>17932</v>
      </c>
      <c r="D5562" s="489" t="s">
        <v>17933</v>
      </c>
      <c r="E5562" s="487" t="s">
        <v>17934</v>
      </c>
      <c r="F5562" s="490">
        <v>6452.29</v>
      </c>
      <c r="G5562" s="489">
        <v>166.27771000000001</v>
      </c>
      <c r="H5562" s="489">
        <v>38.804299999999998</v>
      </c>
      <c r="I5562" s="487" t="s">
        <v>1499</v>
      </c>
      <c r="J5562" s="487" t="s">
        <v>1032</v>
      </c>
    </row>
    <row r="5563" spans="1:10" ht="15" x14ac:dyDescent="0.2">
      <c r="A5563" s="486" t="s">
        <v>1031</v>
      </c>
      <c r="B5563" s="487" t="s">
        <v>1030</v>
      </c>
      <c r="C5563" s="488" t="s">
        <v>17935</v>
      </c>
      <c r="D5563" s="489" t="s">
        <v>17936</v>
      </c>
      <c r="E5563" s="487" t="s">
        <v>17937</v>
      </c>
      <c r="F5563" s="490">
        <v>22955.37</v>
      </c>
      <c r="G5563" s="489">
        <v>261.66248000000002</v>
      </c>
      <c r="H5563" s="489">
        <v>87.728930000000005</v>
      </c>
      <c r="I5563" s="487" t="s">
        <v>1499</v>
      </c>
      <c r="J5563" s="487" t="s">
        <v>1032</v>
      </c>
    </row>
    <row r="5564" spans="1:10" ht="15" x14ac:dyDescent="0.2">
      <c r="A5564" s="486" t="s">
        <v>1031</v>
      </c>
      <c r="B5564" s="487" t="s">
        <v>1030</v>
      </c>
      <c r="C5564" s="488" t="s">
        <v>17938</v>
      </c>
      <c r="D5564" s="489" t="s">
        <v>17939</v>
      </c>
      <c r="E5564" s="487" t="s">
        <v>17940</v>
      </c>
      <c r="F5564" s="490">
        <v>18054.46</v>
      </c>
      <c r="G5564" s="489">
        <v>288.32992000000002</v>
      </c>
      <c r="H5564" s="489">
        <v>62.617370000000001</v>
      </c>
      <c r="I5564" s="487" t="s">
        <v>1499</v>
      </c>
      <c r="J5564" s="487" t="s">
        <v>1032</v>
      </c>
    </row>
    <row r="5565" spans="1:10" ht="15" x14ac:dyDescent="0.2">
      <c r="A5565" s="486" t="s">
        <v>1031</v>
      </c>
      <c r="B5565" s="487" t="s">
        <v>1030</v>
      </c>
      <c r="C5565" s="488" t="s">
        <v>17941</v>
      </c>
      <c r="D5565" s="489" t="s">
        <v>17942</v>
      </c>
      <c r="E5565" s="487" t="s">
        <v>17943</v>
      </c>
      <c r="F5565" s="490">
        <v>122001.7</v>
      </c>
      <c r="G5565" s="489">
        <v>1311.69362</v>
      </c>
      <c r="H5565" s="489">
        <v>93.010819999999995</v>
      </c>
      <c r="I5565" s="487" t="s">
        <v>1499</v>
      </c>
      <c r="J5565" s="487" t="s">
        <v>1032</v>
      </c>
    </row>
    <row r="5566" spans="1:10" ht="15" x14ac:dyDescent="0.2">
      <c r="A5566" s="486" t="s">
        <v>1031</v>
      </c>
      <c r="B5566" s="487" t="s">
        <v>1030</v>
      </c>
      <c r="C5566" s="488" t="s">
        <v>17944</v>
      </c>
      <c r="D5566" s="489" t="s">
        <v>17945</v>
      </c>
      <c r="E5566" s="487" t="s">
        <v>9129</v>
      </c>
      <c r="F5566" s="490">
        <v>125024.97</v>
      </c>
      <c r="G5566" s="489">
        <v>1059.0787</v>
      </c>
      <c r="H5566" s="489">
        <v>118.05069</v>
      </c>
      <c r="I5566" s="487" t="s">
        <v>1499</v>
      </c>
      <c r="J5566" s="487" t="s">
        <v>1032</v>
      </c>
    </row>
    <row r="5567" spans="1:10" ht="15" x14ac:dyDescent="0.2">
      <c r="A5567" s="486" t="s">
        <v>1031</v>
      </c>
      <c r="B5567" s="487" t="s">
        <v>1030</v>
      </c>
      <c r="C5567" s="488" t="s">
        <v>17946</v>
      </c>
      <c r="D5567" s="489" t="s">
        <v>17947</v>
      </c>
      <c r="E5567" s="487" t="s">
        <v>17948</v>
      </c>
      <c r="F5567" s="490">
        <v>24695.4</v>
      </c>
      <c r="G5567" s="489">
        <v>319.50515999999999</v>
      </c>
      <c r="H5567" s="489">
        <v>77.292649999999995</v>
      </c>
      <c r="I5567" s="487" t="s">
        <v>1499</v>
      </c>
      <c r="J5567" s="487" t="s">
        <v>1032</v>
      </c>
    </row>
    <row r="5568" spans="1:10" ht="15" x14ac:dyDescent="0.2">
      <c r="A5568" s="486" t="s">
        <v>1031</v>
      </c>
      <c r="B5568" s="487" t="s">
        <v>1030</v>
      </c>
      <c r="C5568" s="488" t="s">
        <v>17949</v>
      </c>
      <c r="D5568" s="489" t="s">
        <v>17950</v>
      </c>
      <c r="E5568" s="487" t="s">
        <v>17951</v>
      </c>
      <c r="F5568" s="490">
        <v>13301.34</v>
      </c>
      <c r="G5568" s="489">
        <v>398.34510999999998</v>
      </c>
      <c r="H5568" s="489">
        <v>33.391500000000001</v>
      </c>
      <c r="I5568" s="487" t="s">
        <v>1499</v>
      </c>
      <c r="J5568" s="487" t="s">
        <v>1032</v>
      </c>
    </row>
    <row r="5569" spans="1:10" ht="15" x14ac:dyDescent="0.2">
      <c r="A5569" s="486" t="s">
        <v>1031</v>
      </c>
      <c r="B5569" s="487" t="s">
        <v>1030</v>
      </c>
      <c r="C5569" s="488" t="s">
        <v>17952</v>
      </c>
      <c r="D5569" s="489" t="s">
        <v>17953</v>
      </c>
      <c r="E5569" s="487" t="s">
        <v>17954</v>
      </c>
      <c r="F5569" s="490">
        <v>21136.78</v>
      </c>
      <c r="G5569" s="489">
        <v>160.18647999999999</v>
      </c>
      <c r="H5569" s="489">
        <v>131.95108999999999</v>
      </c>
      <c r="I5569" s="487" t="s">
        <v>1499</v>
      </c>
      <c r="J5569" s="487" t="s">
        <v>1032</v>
      </c>
    </row>
    <row r="5570" spans="1:10" ht="15" x14ac:dyDescent="0.2">
      <c r="A5570" s="486" t="s">
        <v>1031</v>
      </c>
      <c r="B5570" s="487" t="s">
        <v>1030</v>
      </c>
      <c r="C5570" s="488" t="s">
        <v>17955</v>
      </c>
      <c r="D5570" s="489" t="s">
        <v>17956</v>
      </c>
      <c r="E5570" s="487" t="s">
        <v>17957</v>
      </c>
      <c r="F5570" s="490">
        <v>37811.53</v>
      </c>
      <c r="G5570" s="489">
        <v>564.63307999999995</v>
      </c>
      <c r="H5570" s="489">
        <v>66.966549999999998</v>
      </c>
      <c r="I5570" s="487" t="s">
        <v>1499</v>
      </c>
      <c r="J5570" s="487" t="s">
        <v>1032</v>
      </c>
    </row>
    <row r="5571" spans="1:10" ht="15" x14ac:dyDescent="0.2">
      <c r="A5571" s="486" t="s">
        <v>1031</v>
      </c>
      <c r="B5571" s="487" t="s">
        <v>1030</v>
      </c>
      <c r="C5571" s="488" t="s">
        <v>17958</v>
      </c>
      <c r="D5571" s="489" t="s">
        <v>17959</v>
      </c>
      <c r="E5571" s="487" t="s">
        <v>17960</v>
      </c>
      <c r="F5571" s="490">
        <v>4512.26</v>
      </c>
      <c r="G5571" s="489">
        <v>80.813950000000006</v>
      </c>
      <c r="H5571" s="489">
        <v>55.835160000000002</v>
      </c>
      <c r="I5571" s="487" t="s">
        <v>1499</v>
      </c>
      <c r="J5571" s="487" t="s">
        <v>1032</v>
      </c>
    </row>
    <row r="5572" spans="1:10" ht="15" x14ac:dyDescent="0.2">
      <c r="A5572" s="486" t="s">
        <v>1031</v>
      </c>
      <c r="B5572" s="487" t="s">
        <v>1030</v>
      </c>
      <c r="C5572" s="488" t="s">
        <v>17961</v>
      </c>
      <c r="D5572" s="489" t="s">
        <v>17962</v>
      </c>
      <c r="E5572" s="487" t="s">
        <v>12008</v>
      </c>
      <c r="F5572" s="490">
        <v>24841.81</v>
      </c>
      <c r="G5572" s="489">
        <v>306.19990999999999</v>
      </c>
      <c r="H5572" s="489">
        <v>81.129379999999998</v>
      </c>
      <c r="I5572" s="487" t="s">
        <v>1499</v>
      </c>
      <c r="J5572" s="487" t="s">
        <v>1032</v>
      </c>
    </row>
    <row r="5573" spans="1:10" ht="15" x14ac:dyDescent="0.2">
      <c r="A5573" s="486" t="s">
        <v>1031</v>
      </c>
      <c r="B5573" s="487" t="s">
        <v>1030</v>
      </c>
      <c r="C5573" s="488" t="s">
        <v>17963</v>
      </c>
      <c r="D5573" s="489" t="s">
        <v>17964</v>
      </c>
      <c r="E5573" s="487" t="s">
        <v>17965</v>
      </c>
      <c r="F5573" s="490">
        <v>197100</v>
      </c>
      <c r="G5573" s="489">
        <v>1205.3233299999999</v>
      </c>
      <c r="H5573" s="489">
        <v>163.52458999999999</v>
      </c>
      <c r="I5573" s="487" t="s">
        <v>1499</v>
      </c>
      <c r="J5573" s="487" t="s">
        <v>1032</v>
      </c>
    </row>
    <row r="5574" spans="1:10" ht="15" x14ac:dyDescent="0.2">
      <c r="A5574" s="486" t="s">
        <v>1031</v>
      </c>
      <c r="B5574" s="487" t="s">
        <v>1030</v>
      </c>
      <c r="C5574" s="488" t="s">
        <v>17966</v>
      </c>
      <c r="D5574" s="489" t="s">
        <v>17967</v>
      </c>
      <c r="E5574" s="487" t="s">
        <v>17968</v>
      </c>
      <c r="F5574" s="490">
        <v>121730</v>
      </c>
      <c r="G5574" s="489">
        <v>939.62818000000004</v>
      </c>
      <c r="H5574" s="489">
        <v>129.55124000000001</v>
      </c>
      <c r="I5574" s="487" t="s">
        <v>1499</v>
      </c>
      <c r="J5574" s="487" t="s">
        <v>1032</v>
      </c>
    </row>
    <row r="5575" spans="1:10" ht="15" x14ac:dyDescent="0.2">
      <c r="A5575" s="486" t="s">
        <v>1031</v>
      </c>
      <c r="B5575" s="487" t="s">
        <v>1030</v>
      </c>
      <c r="C5575" s="488" t="s">
        <v>17969</v>
      </c>
      <c r="D5575" s="489" t="s">
        <v>17970</v>
      </c>
      <c r="E5575" s="487" t="s">
        <v>17971</v>
      </c>
      <c r="F5575" s="490">
        <v>865.9</v>
      </c>
      <c r="G5575" s="489">
        <v>77.509270000000001</v>
      </c>
      <c r="H5575" s="489">
        <v>11.171569999999999</v>
      </c>
      <c r="I5575" s="487" t="s">
        <v>1499</v>
      </c>
      <c r="J5575" s="487" t="s">
        <v>1032</v>
      </c>
    </row>
    <row r="5576" spans="1:10" ht="15" x14ac:dyDescent="0.2">
      <c r="A5576" s="486" t="s">
        <v>1031</v>
      </c>
      <c r="B5576" s="487" t="s">
        <v>1030</v>
      </c>
      <c r="C5576" s="488" t="s">
        <v>17972</v>
      </c>
      <c r="D5576" s="489" t="s">
        <v>17973</v>
      </c>
      <c r="E5576" s="487" t="s">
        <v>17974</v>
      </c>
      <c r="F5576" s="490">
        <v>35174</v>
      </c>
      <c r="G5576" s="489">
        <v>317.21215000000001</v>
      </c>
      <c r="H5576" s="489">
        <v>110.88478000000001</v>
      </c>
      <c r="I5576" s="487" t="s">
        <v>1499</v>
      </c>
      <c r="J5576" s="487" t="s">
        <v>1032</v>
      </c>
    </row>
    <row r="5577" spans="1:10" ht="15" x14ac:dyDescent="0.2">
      <c r="A5577" s="486" t="s">
        <v>1031</v>
      </c>
      <c r="B5577" s="487" t="s">
        <v>1030</v>
      </c>
      <c r="C5577" s="488" t="s">
        <v>17975</v>
      </c>
      <c r="D5577" s="489" t="s">
        <v>17976</v>
      </c>
      <c r="E5577" s="487" t="s">
        <v>17977</v>
      </c>
      <c r="F5577" s="490">
        <v>856525</v>
      </c>
      <c r="G5577" s="489">
        <v>5411.05908</v>
      </c>
      <c r="H5577" s="489">
        <v>158.29156</v>
      </c>
      <c r="I5577" s="487" t="s">
        <v>1499</v>
      </c>
      <c r="J5577" s="487" t="s">
        <v>1032</v>
      </c>
    </row>
    <row r="5578" spans="1:10" ht="15" x14ac:dyDescent="0.2">
      <c r="A5578" s="486" t="s">
        <v>1031</v>
      </c>
      <c r="B5578" s="487" t="s">
        <v>1030</v>
      </c>
      <c r="C5578" s="488" t="s">
        <v>17978</v>
      </c>
      <c r="D5578" s="489" t="s">
        <v>17979</v>
      </c>
      <c r="E5578" s="487" t="s">
        <v>17980</v>
      </c>
      <c r="F5578" s="490">
        <v>13853.41</v>
      </c>
      <c r="G5578" s="489">
        <v>145.96263999999999</v>
      </c>
      <c r="H5578" s="489">
        <v>94.910659999999993</v>
      </c>
      <c r="I5578" s="487" t="s">
        <v>1499</v>
      </c>
      <c r="J5578" s="487" t="s">
        <v>1032</v>
      </c>
    </row>
    <row r="5579" spans="1:10" ht="15" x14ac:dyDescent="0.2">
      <c r="A5579" s="486" t="s">
        <v>1031</v>
      </c>
      <c r="B5579" s="487" t="s">
        <v>1030</v>
      </c>
      <c r="C5579" s="488" t="s">
        <v>17981</v>
      </c>
      <c r="D5579" s="489" t="s">
        <v>17982</v>
      </c>
      <c r="E5579" s="487" t="s">
        <v>17983</v>
      </c>
      <c r="F5579" s="490">
        <v>13523.74</v>
      </c>
      <c r="G5579" s="489">
        <v>248.02512999999999</v>
      </c>
      <c r="H5579" s="489">
        <v>54.525689999999997</v>
      </c>
      <c r="I5579" s="487" t="s">
        <v>1499</v>
      </c>
      <c r="J5579" s="487" t="s">
        <v>1032</v>
      </c>
    </row>
    <row r="5580" spans="1:10" ht="15" x14ac:dyDescent="0.2">
      <c r="A5580" s="486" t="s">
        <v>1031</v>
      </c>
      <c r="B5580" s="487" t="s">
        <v>1030</v>
      </c>
      <c r="C5580" s="488" t="s">
        <v>17984</v>
      </c>
      <c r="D5580" s="489" t="s">
        <v>17985</v>
      </c>
      <c r="E5580" s="487" t="s">
        <v>17986</v>
      </c>
      <c r="F5580" s="490">
        <v>5358.62</v>
      </c>
      <c r="G5580" s="489">
        <v>102.57814999999999</v>
      </c>
      <c r="H5580" s="489">
        <v>52.23939</v>
      </c>
      <c r="I5580" s="487" t="s">
        <v>1499</v>
      </c>
      <c r="J5580" s="487" t="s">
        <v>1032</v>
      </c>
    </row>
    <row r="5581" spans="1:10" ht="15" x14ac:dyDescent="0.2">
      <c r="A5581" s="486" t="s">
        <v>1031</v>
      </c>
      <c r="B5581" s="487" t="s">
        <v>1030</v>
      </c>
      <c r="C5581" s="488" t="s">
        <v>17987</v>
      </c>
      <c r="D5581" s="489" t="s">
        <v>17988</v>
      </c>
      <c r="E5581" s="487" t="s">
        <v>17989</v>
      </c>
      <c r="F5581" s="490">
        <v>8770.8799999999992</v>
      </c>
      <c r="G5581" s="489">
        <v>137.07776000000001</v>
      </c>
      <c r="H5581" s="489">
        <v>63.984699999999997</v>
      </c>
      <c r="I5581" s="487" t="s">
        <v>1499</v>
      </c>
      <c r="J5581" s="487" t="s">
        <v>1032</v>
      </c>
    </row>
    <row r="5582" spans="1:10" ht="15" x14ac:dyDescent="0.2">
      <c r="A5582" s="486" t="s">
        <v>1031</v>
      </c>
      <c r="B5582" s="487" t="s">
        <v>1030</v>
      </c>
      <c r="C5582" s="488" t="s">
        <v>17990</v>
      </c>
      <c r="D5582" s="489" t="s">
        <v>17991</v>
      </c>
      <c r="E5582" s="487" t="s">
        <v>17992</v>
      </c>
      <c r="F5582" s="490">
        <v>33242.910000000003</v>
      </c>
      <c r="G5582" s="489">
        <v>300.44864999999999</v>
      </c>
      <c r="H5582" s="489">
        <v>110.64422999999999</v>
      </c>
      <c r="I5582" s="487" t="s">
        <v>1499</v>
      </c>
      <c r="J5582" s="487" t="s">
        <v>1032</v>
      </c>
    </row>
    <row r="5583" spans="1:10" ht="15" x14ac:dyDescent="0.2">
      <c r="A5583" s="486" t="s">
        <v>1031</v>
      </c>
      <c r="B5583" s="487" t="s">
        <v>1030</v>
      </c>
      <c r="C5583" s="488" t="s">
        <v>17993</v>
      </c>
      <c r="D5583" s="489" t="s">
        <v>17994</v>
      </c>
      <c r="E5583" s="487" t="s">
        <v>17995</v>
      </c>
      <c r="F5583" s="490">
        <v>1039.08</v>
      </c>
      <c r="G5583" s="489">
        <v>56.069159999999997</v>
      </c>
      <c r="H5583" s="489">
        <v>18.532109999999999</v>
      </c>
      <c r="I5583" s="487" t="s">
        <v>1499</v>
      </c>
      <c r="J5583" s="487" t="s">
        <v>1032</v>
      </c>
    </row>
    <row r="5584" spans="1:10" ht="15" x14ac:dyDescent="0.2">
      <c r="A5584" s="486" t="s">
        <v>1031</v>
      </c>
      <c r="B5584" s="487" t="s">
        <v>1030</v>
      </c>
      <c r="C5584" s="488" t="s">
        <v>17996</v>
      </c>
      <c r="D5584" s="489" t="s">
        <v>17997</v>
      </c>
      <c r="E5584" s="487" t="s">
        <v>17998</v>
      </c>
      <c r="F5584" s="490">
        <v>306116.52</v>
      </c>
      <c r="G5584" s="489">
        <v>1815.7685899999999</v>
      </c>
      <c r="H5584" s="489">
        <v>168.58785</v>
      </c>
      <c r="I5584" s="487" t="s">
        <v>1499</v>
      </c>
      <c r="J5584" s="487" t="s">
        <v>1032</v>
      </c>
    </row>
    <row r="5585" spans="1:10" ht="15" x14ac:dyDescent="0.2">
      <c r="A5585" s="486" t="s">
        <v>1031</v>
      </c>
      <c r="B5585" s="487" t="s">
        <v>1030</v>
      </c>
      <c r="C5585" s="488" t="s">
        <v>17999</v>
      </c>
      <c r="D5585" s="489" t="s">
        <v>18000</v>
      </c>
      <c r="E5585" s="487" t="s">
        <v>18001</v>
      </c>
      <c r="F5585" s="490">
        <v>22933.57</v>
      </c>
      <c r="G5585" s="489">
        <v>243.23132000000001</v>
      </c>
      <c r="H5585" s="489">
        <v>94.287080000000003</v>
      </c>
      <c r="I5585" s="487" t="s">
        <v>1499</v>
      </c>
      <c r="J5585" s="487" t="s">
        <v>1032</v>
      </c>
    </row>
    <row r="5586" spans="1:10" ht="15" x14ac:dyDescent="0.2">
      <c r="A5586" s="486" t="s">
        <v>1031</v>
      </c>
      <c r="B5586" s="487" t="s">
        <v>1030</v>
      </c>
      <c r="C5586" s="488" t="s">
        <v>18002</v>
      </c>
      <c r="D5586" s="489" t="s">
        <v>18003</v>
      </c>
      <c r="E5586" s="487" t="s">
        <v>18004</v>
      </c>
      <c r="F5586" s="490">
        <v>6320.21</v>
      </c>
      <c r="G5586" s="489">
        <v>84.588790000000003</v>
      </c>
      <c r="H5586" s="489">
        <v>74.716880000000003</v>
      </c>
      <c r="I5586" s="487" t="s">
        <v>1499</v>
      </c>
      <c r="J5586" s="487" t="s">
        <v>1032</v>
      </c>
    </row>
    <row r="5587" spans="1:10" ht="15" x14ac:dyDescent="0.2">
      <c r="A5587" s="486" t="s">
        <v>1031</v>
      </c>
      <c r="B5587" s="487" t="s">
        <v>1030</v>
      </c>
      <c r="C5587" s="488" t="s">
        <v>18005</v>
      </c>
      <c r="D5587" s="489" t="s">
        <v>18006</v>
      </c>
      <c r="E5587" s="487" t="s">
        <v>18007</v>
      </c>
      <c r="F5587" s="490">
        <v>8511.11</v>
      </c>
      <c r="G5587" s="489">
        <v>132.81313</v>
      </c>
      <c r="H5587" s="489">
        <v>64.083349999999996</v>
      </c>
      <c r="I5587" s="487" t="s">
        <v>1499</v>
      </c>
      <c r="J5587" s="487" t="s">
        <v>1032</v>
      </c>
    </row>
    <row r="5588" spans="1:10" ht="15" x14ac:dyDescent="0.2">
      <c r="A5588" s="486" t="s">
        <v>1031</v>
      </c>
      <c r="B5588" s="487" t="s">
        <v>1030</v>
      </c>
      <c r="C5588" s="488" t="s">
        <v>18008</v>
      </c>
      <c r="D5588" s="489" t="s">
        <v>18009</v>
      </c>
      <c r="E5588" s="487" t="s">
        <v>18010</v>
      </c>
      <c r="F5588" s="490">
        <v>133821</v>
      </c>
      <c r="G5588" s="489">
        <v>1210.8320000000001</v>
      </c>
      <c r="H5588" s="489">
        <v>110.51987</v>
      </c>
      <c r="I5588" s="487" t="s">
        <v>1499</v>
      </c>
      <c r="J5588" s="487" t="s">
        <v>1032</v>
      </c>
    </row>
    <row r="5589" spans="1:10" ht="15" x14ac:dyDescent="0.2">
      <c r="A5589" s="486" t="s">
        <v>1031</v>
      </c>
      <c r="B5589" s="487" t="s">
        <v>1030</v>
      </c>
      <c r="C5589" s="488" t="s">
        <v>18011</v>
      </c>
      <c r="D5589" s="489" t="s">
        <v>18012</v>
      </c>
      <c r="E5589" s="487" t="s">
        <v>18013</v>
      </c>
      <c r="F5589" s="490">
        <v>888988.21</v>
      </c>
      <c r="G5589" s="489">
        <v>6273.0563099999999</v>
      </c>
      <c r="H5589" s="489">
        <v>141.71531999999999</v>
      </c>
      <c r="I5589" s="487" t="s">
        <v>1499</v>
      </c>
      <c r="J5589" s="487" t="s">
        <v>1032</v>
      </c>
    </row>
    <row r="5590" spans="1:10" ht="15" x14ac:dyDescent="0.2">
      <c r="A5590" s="486" t="s">
        <v>1031</v>
      </c>
      <c r="B5590" s="487" t="s">
        <v>1030</v>
      </c>
      <c r="C5590" s="488" t="s">
        <v>18014</v>
      </c>
      <c r="D5590" s="489" t="s">
        <v>18015</v>
      </c>
      <c r="E5590" s="487" t="s">
        <v>18016</v>
      </c>
      <c r="F5590" s="490">
        <v>24290.42</v>
      </c>
      <c r="G5590" s="489">
        <v>422.63983000000002</v>
      </c>
      <c r="H5590" s="489">
        <v>57.473100000000002</v>
      </c>
      <c r="I5590" s="487" t="s">
        <v>1499</v>
      </c>
      <c r="J5590" s="487" t="s">
        <v>1032</v>
      </c>
    </row>
    <row r="5591" spans="1:10" ht="15" x14ac:dyDescent="0.2">
      <c r="A5591" s="486" t="s">
        <v>1031</v>
      </c>
      <c r="B5591" s="487" t="s">
        <v>1030</v>
      </c>
      <c r="C5591" s="488" t="s">
        <v>18017</v>
      </c>
      <c r="D5591" s="489" t="s">
        <v>18018</v>
      </c>
      <c r="E5591" s="487" t="s">
        <v>18019</v>
      </c>
      <c r="F5591" s="490">
        <v>14557.7</v>
      </c>
      <c r="G5591" s="489">
        <v>133.44291999999999</v>
      </c>
      <c r="H5591" s="489">
        <v>109.09308</v>
      </c>
      <c r="I5591" s="487" t="s">
        <v>1499</v>
      </c>
      <c r="J5591" s="487" t="s">
        <v>1032</v>
      </c>
    </row>
    <row r="5592" spans="1:10" ht="15" x14ac:dyDescent="0.2">
      <c r="A5592" s="486" t="s">
        <v>1031</v>
      </c>
      <c r="B5592" s="487" t="s">
        <v>1030</v>
      </c>
      <c r="C5592" s="488" t="s">
        <v>18020</v>
      </c>
      <c r="D5592" s="489" t="s">
        <v>18021</v>
      </c>
      <c r="E5592" s="487" t="s">
        <v>18022</v>
      </c>
      <c r="F5592" s="490">
        <v>9374.65</v>
      </c>
      <c r="G5592" s="489">
        <v>217.3278</v>
      </c>
      <c r="H5592" s="489">
        <v>43.13599</v>
      </c>
      <c r="I5592" s="487" t="s">
        <v>1499</v>
      </c>
      <c r="J5592" s="487" t="s">
        <v>1032</v>
      </c>
    </row>
    <row r="5593" spans="1:10" ht="15" x14ac:dyDescent="0.2">
      <c r="A5593" s="486" t="s">
        <v>1031</v>
      </c>
      <c r="B5593" s="487" t="s">
        <v>1030</v>
      </c>
      <c r="C5593" s="488" t="s">
        <v>18023</v>
      </c>
      <c r="D5593" s="489" t="s">
        <v>18024</v>
      </c>
      <c r="E5593" s="487" t="s">
        <v>3752</v>
      </c>
      <c r="F5593" s="490">
        <v>1300</v>
      </c>
      <c r="G5593" s="489">
        <v>48.991630000000001</v>
      </c>
      <c r="H5593" s="489">
        <v>26.535139999999998</v>
      </c>
      <c r="I5593" s="487" t="s">
        <v>1499</v>
      </c>
      <c r="J5593" s="487" t="s">
        <v>1032</v>
      </c>
    </row>
    <row r="5594" spans="1:10" ht="15" x14ac:dyDescent="0.2">
      <c r="A5594" s="486" t="s">
        <v>1031</v>
      </c>
      <c r="B5594" s="487" t="s">
        <v>1030</v>
      </c>
      <c r="C5594" s="488" t="s">
        <v>18025</v>
      </c>
      <c r="D5594" s="489" t="s">
        <v>18026</v>
      </c>
      <c r="E5594" s="487" t="s">
        <v>18027</v>
      </c>
      <c r="F5594" s="490">
        <v>4781.8</v>
      </c>
      <c r="G5594" s="489">
        <v>72.294399999999996</v>
      </c>
      <c r="H5594" s="489">
        <v>66.143439999999998</v>
      </c>
      <c r="I5594" s="487" t="s">
        <v>1499</v>
      </c>
      <c r="J5594" s="487" t="s">
        <v>1032</v>
      </c>
    </row>
    <row r="5595" spans="1:10" ht="15" x14ac:dyDescent="0.2">
      <c r="A5595" s="486" t="s">
        <v>1031</v>
      </c>
      <c r="B5595" s="487" t="s">
        <v>1030</v>
      </c>
      <c r="C5595" s="488" t="s">
        <v>18028</v>
      </c>
      <c r="D5595" s="489" t="s">
        <v>18029</v>
      </c>
      <c r="E5595" s="487" t="s">
        <v>18030</v>
      </c>
      <c r="F5595" s="490">
        <v>28523.26</v>
      </c>
      <c r="G5595" s="489">
        <v>257.92689000000001</v>
      </c>
      <c r="H5595" s="489">
        <v>110.58660999999999</v>
      </c>
      <c r="I5595" s="487" t="s">
        <v>1499</v>
      </c>
      <c r="J5595" s="487" t="s">
        <v>1032</v>
      </c>
    </row>
    <row r="5596" spans="1:10" ht="15" x14ac:dyDescent="0.2">
      <c r="A5596" s="486" t="s">
        <v>1031</v>
      </c>
      <c r="B5596" s="487" t="s">
        <v>1030</v>
      </c>
      <c r="C5596" s="488" t="s">
        <v>18031</v>
      </c>
      <c r="D5596" s="489" t="s">
        <v>18032</v>
      </c>
      <c r="E5596" s="487" t="s">
        <v>18033</v>
      </c>
      <c r="F5596" s="490">
        <v>27727.01</v>
      </c>
      <c r="G5596" s="489">
        <v>271.44677999999999</v>
      </c>
      <c r="H5596" s="489">
        <v>102.14529</v>
      </c>
      <c r="I5596" s="487" t="s">
        <v>1499</v>
      </c>
      <c r="J5596" s="487" t="s">
        <v>1032</v>
      </c>
    </row>
    <row r="5597" spans="1:10" ht="15" x14ac:dyDescent="0.2">
      <c r="A5597" s="486" t="s">
        <v>1031</v>
      </c>
      <c r="B5597" s="487" t="s">
        <v>1030</v>
      </c>
      <c r="C5597" s="488" t="s">
        <v>18034</v>
      </c>
      <c r="D5597" s="489" t="s">
        <v>18035</v>
      </c>
      <c r="E5597" s="487" t="s">
        <v>18036</v>
      </c>
      <c r="F5597" s="490">
        <v>2511.11</v>
      </c>
      <c r="G5597" s="489">
        <v>104.11143</v>
      </c>
      <c r="H5597" s="489">
        <v>24.119450000000001</v>
      </c>
      <c r="I5597" s="487" t="s">
        <v>1499</v>
      </c>
      <c r="J5597" s="487" t="s">
        <v>1032</v>
      </c>
    </row>
    <row r="5598" spans="1:10" ht="15" x14ac:dyDescent="0.2">
      <c r="A5598" s="486" t="s">
        <v>1031</v>
      </c>
      <c r="B5598" s="487" t="s">
        <v>1030</v>
      </c>
      <c r="C5598" s="488" t="s">
        <v>18037</v>
      </c>
      <c r="D5598" s="489" t="s">
        <v>18038</v>
      </c>
      <c r="E5598" s="487" t="s">
        <v>18039</v>
      </c>
      <c r="F5598" s="490">
        <v>1155</v>
      </c>
      <c r="G5598" s="489">
        <v>47.334760000000003</v>
      </c>
      <c r="H5598" s="489">
        <v>24.400670000000002</v>
      </c>
      <c r="I5598" s="487" t="s">
        <v>1499</v>
      </c>
      <c r="J5598" s="487" t="s">
        <v>1032</v>
      </c>
    </row>
    <row r="5599" spans="1:10" ht="15" x14ac:dyDescent="0.2">
      <c r="A5599" s="486" t="s">
        <v>1031</v>
      </c>
      <c r="B5599" s="487" t="s">
        <v>1030</v>
      </c>
      <c r="C5599" s="488" t="s">
        <v>18040</v>
      </c>
      <c r="D5599" s="489" t="s">
        <v>18041</v>
      </c>
      <c r="E5599" s="487" t="s">
        <v>18042</v>
      </c>
      <c r="F5599" s="490">
        <v>11483.14</v>
      </c>
      <c r="G5599" s="489">
        <v>217.01351</v>
      </c>
      <c r="H5599" s="489">
        <v>52.914400000000001</v>
      </c>
      <c r="I5599" s="487" t="s">
        <v>1499</v>
      </c>
      <c r="J5599" s="487" t="s">
        <v>1032</v>
      </c>
    </row>
    <row r="5600" spans="1:10" ht="15" x14ac:dyDescent="0.2">
      <c r="A5600" s="486" t="s">
        <v>1031</v>
      </c>
      <c r="B5600" s="487" t="s">
        <v>1030</v>
      </c>
      <c r="C5600" s="488" t="s">
        <v>18043</v>
      </c>
      <c r="D5600" s="489" t="s">
        <v>18044</v>
      </c>
      <c r="E5600" s="487" t="s">
        <v>16308</v>
      </c>
      <c r="F5600" s="490">
        <v>252325</v>
      </c>
      <c r="G5600" s="489">
        <v>2249.5336600000001</v>
      </c>
      <c r="H5600" s="489">
        <v>112.16768999999999</v>
      </c>
      <c r="I5600" s="487" t="s">
        <v>1499</v>
      </c>
      <c r="J5600" s="487" t="s">
        <v>1032</v>
      </c>
    </row>
    <row r="5601" spans="1:10" ht="15" x14ac:dyDescent="0.2">
      <c r="A5601" s="486" t="s">
        <v>1031</v>
      </c>
      <c r="B5601" s="487" t="s">
        <v>1030</v>
      </c>
      <c r="C5601" s="488" t="s">
        <v>18045</v>
      </c>
      <c r="D5601" s="489" t="s">
        <v>18046</v>
      </c>
      <c r="E5601" s="487" t="s">
        <v>18047</v>
      </c>
      <c r="F5601" s="490">
        <v>11580.27</v>
      </c>
      <c r="G5601" s="489">
        <v>191.03816</v>
      </c>
      <c r="H5601" s="489">
        <v>60.617579999999997</v>
      </c>
      <c r="I5601" s="487" t="s">
        <v>1499</v>
      </c>
      <c r="J5601" s="487" t="s">
        <v>1032</v>
      </c>
    </row>
    <row r="5602" spans="1:10" ht="15" x14ac:dyDescent="0.2">
      <c r="A5602" s="486" t="s">
        <v>1031</v>
      </c>
      <c r="B5602" s="487" t="s">
        <v>1030</v>
      </c>
      <c r="C5602" s="488" t="s">
        <v>18048</v>
      </c>
      <c r="D5602" s="489" t="s">
        <v>18049</v>
      </c>
      <c r="E5602" s="487" t="s">
        <v>18050</v>
      </c>
      <c r="F5602" s="490">
        <v>233190.62</v>
      </c>
      <c r="G5602" s="489">
        <v>1301.59078</v>
      </c>
      <c r="H5602" s="489">
        <v>179.15817000000001</v>
      </c>
      <c r="I5602" s="487" t="s">
        <v>1499</v>
      </c>
      <c r="J5602" s="487" t="s">
        <v>1032</v>
      </c>
    </row>
    <row r="5603" spans="1:10" ht="15" x14ac:dyDescent="0.2">
      <c r="A5603" s="486" t="s">
        <v>1031</v>
      </c>
      <c r="B5603" s="487" t="s">
        <v>1030</v>
      </c>
      <c r="C5603" s="488" t="s">
        <v>18051</v>
      </c>
      <c r="D5603" s="489" t="s">
        <v>18052</v>
      </c>
      <c r="E5603" s="487" t="s">
        <v>18053</v>
      </c>
      <c r="F5603" s="490">
        <v>30305.26</v>
      </c>
      <c r="G5603" s="489">
        <v>240.01674</v>
      </c>
      <c r="H5603" s="489">
        <v>126.26311</v>
      </c>
      <c r="I5603" s="487" t="s">
        <v>1499</v>
      </c>
      <c r="J5603" s="487" t="s">
        <v>1032</v>
      </c>
    </row>
    <row r="5604" spans="1:10" ht="15" x14ac:dyDescent="0.2">
      <c r="A5604" s="486" t="s">
        <v>1031</v>
      </c>
      <c r="B5604" s="487" t="s">
        <v>1030</v>
      </c>
      <c r="C5604" s="488" t="s">
        <v>18054</v>
      </c>
      <c r="D5604" s="489" t="s">
        <v>18055</v>
      </c>
      <c r="E5604" s="487" t="s">
        <v>18056</v>
      </c>
      <c r="F5604" s="490">
        <v>33995.75</v>
      </c>
      <c r="G5604" s="489">
        <v>312.49349000000001</v>
      </c>
      <c r="H5604" s="489">
        <v>108.78867</v>
      </c>
      <c r="I5604" s="487" t="s">
        <v>1499</v>
      </c>
      <c r="J5604" s="487" t="s">
        <v>1032</v>
      </c>
    </row>
    <row r="5605" spans="1:10" ht="15" x14ac:dyDescent="0.2">
      <c r="A5605" s="486" t="s">
        <v>1031</v>
      </c>
      <c r="B5605" s="487" t="s">
        <v>1030</v>
      </c>
      <c r="C5605" s="488" t="s">
        <v>18057</v>
      </c>
      <c r="D5605" s="489" t="s">
        <v>18058</v>
      </c>
      <c r="E5605" s="487" t="s">
        <v>18059</v>
      </c>
      <c r="F5605" s="490">
        <v>21570.65</v>
      </c>
      <c r="G5605" s="489">
        <v>150.11023</v>
      </c>
      <c r="H5605" s="489">
        <v>143.69873999999999</v>
      </c>
      <c r="I5605" s="487" t="s">
        <v>1499</v>
      </c>
      <c r="J5605" s="487" t="s">
        <v>1032</v>
      </c>
    </row>
    <row r="5606" spans="1:10" ht="15" x14ac:dyDescent="0.2">
      <c r="A5606" s="486" t="s">
        <v>1031</v>
      </c>
      <c r="B5606" s="487" t="s">
        <v>1030</v>
      </c>
      <c r="C5606" s="488" t="s">
        <v>18060</v>
      </c>
      <c r="D5606" s="489" t="s">
        <v>18061</v>
      </c>
      <c r="E5606" s="487" t="s">
        <v>18062</v>
      </c>
      <c r="F5606" s="490">
        <v>146832.97</v>
      </c>
      <c r="G5606" s="489">
        <v>1234.38428</v>
      </c>
      <c r="H5606" s="489">
        <v>118.9524</v>
      </c>
      <c r="I5606" s="487" t="s">
        <v>1499</v>
      </c>
      <c r="J5606" s="487" t="s">
        <v>1032</v>
      </c>
    </row>
    <row r="5607" spans="1:10" ht="15" x14ac:dyDescent="0.2">
      <c r="A5607" s="486" t="s">
        <v>1195</v>
      </c>
      <c r="B5607" s="487" t="s">
        <v>1194</v>
      </c>
      <c r="C5607" s="488" t="s">
        <v>18063</v>
      </c>
      <c r="D5607" s="489" t="s">
        <v>18064</v>
      </c>
      <c r="E5607" s="487" t="s">
        <v>18065</v>
      </c>
      <c r="F5607" s="490">
        <v>20000</v>
      </c>
      <c r="G5607" s="489">
        <v>556</v>
      </c>
      <c r="H5607" s="489">
        <v>35.971220000000002</v>
      </c>
      <c r="I5607" s="487" t="s">
        <v>1499</v>
      </c>
      <c r="J5607" s="487" t="s">
        <v>1196</v>
      </c>
    </row>
    <row r="5608" spans="1:10" ht="15" x14ac:dyDescent="0.2">
      <c r="A5608" s="486" t="s">
        <v>1195</v>
      </c>
      <c r="B5608" s="487" t="s">
        <v>1194</v>
      </c>
      <c r="C5608" s="488" t="s">
        <v>18066</v>
      </c>
      <c r="D5608" s="489" t="s">
        <v>18067</v>
      </c>
      <c r="E5608" s="487" t="s">
        <v>18068</v>
      </c>
      <c r="F5608" s="490">
        <v>150589</v>
      </c>
      <c r="G5608" s="489">
        <v>1849</v>
      </c>
      <c r="H5608" s="489">
        <v>81.443479999999994</v>
      </c>
      <c r="I5608" s="487" t="s">
        <v>1499</v>
      </c>
      <c r="J5608" s="487" t="s">
        <v>1196</v>
      </c>
    </row>
    <row r="5609" spans="1:10" ht="15" x14ac:dyDescent="0.2">
      <c r="A5609" s="486" t="s">
        <v>1195</v>
      </c>
      <c r="B5609" s="487" t="s">
        <v>1194</v>
      </c>
      <c r="C5609" s="488" t="s">
        <v>18069</v>
      </c>
      <c r="D5609" s="489" t="s">
        <v>18070</v>
      </c>
      <c r="E5609" s="487" t="s">
        <v>18071</v>
      </c>
      <c r="F5609" s="490">
        <v>30000</v>
      </c>
      <c r="G5609" s="489">
        <v>621</v>
      </c>
      <c r="H5609" s="489">
        <v>48.309179999999998</v>
      </c>
      <c r="I5609" s="487" t="s">
        <v>1499</v>
      </c>
      <c r="J5609" s="487" t="s">
        <v>1196</v>
      </c>
    </row>
    <row r="5610" spans="1:10" ht="15" x14ac:dyDescent="0.2">
      <c r="A5610" s="486" t="s">
        <v>1195</v>
      </c>
      <c r="B5610" s="487" t="s">
        <v>1194</v>
      </c>
      <c r="C5610" s="488" t="s">
        <v>18072</v>
      </c>
      <c r="D5610" s="489" t="s">
        <v>18073</v>
      </c>
      <c r="E5610" s="487" t="s">
        <v>18074</v>
      </c>
      <c r="F5610" s="490">
        <v>55000</v>
      </c>
      <c r="G5610" s="489">
        <v>1021</v>
      </c>
      <c r="H5610" s="489">
        <v>53.868760000000002</v>
      </c>
      <c r="I5610" s="487" t="s">
        <v>1499</v>
      </c>
      <c r="J5610" s="487" t="s">
        <v>1196</v>
      </c>
    </row>
    <row r="5611" spans="1:10" ht="15" x14ac:dyDescent="0.2">
      <c r="A5611" s="486" t="s">
        <v>1195</v>
      </c>
      <c r="B5611" s="487" t="s">
        <v>1194</v>
      </c>
      <c r="C5611" s="488" t="s">
        <v>18075</v>
      </c>
      <c r="D5611" s="489" t="s">
        <v>18076</v>
      </c>
      <c r="E5611" s="487" t="s">
        <v>11903</v>
      </c>
      <c r="F5611" s="490">
        <v>39430</v>
      </c>
      <c r="G5611" s="489">
        <v>802</v>
      </c>
      <c r="H5611" s="489">
        <v>49.164589999999997</v>
      </c>
      <c r="I5611" s="487" t="s">
        <v>1499</v>
      </c>
      <c r="J5611" s="487" t="s">
        <v>1196</v>
      </c>
    </row>
    <row r="5612" spans="1:10" ht="15" x14ac:dyDescent="0.2">
      <c r="A5612" s="486" t="s">
        <v>1195</v>
      </c>
      <c r="B5612" s="487" t="s">
        <v>1194</v>
      </c>
      <c r="C5612" s="488" t="s">
        <v>18077</v>
      </c>
      <c r="D5612" s="489" t="s">
        <v>18078</v>
      </c>
      <c r="E5612" s="487" t="s">
        <v>18079</v>
      </c>
      <c r="F5612" s="490">
        <v>46000</v>
      </c>
      <c r="G5612" s="489">
        <v>706</v>
      </c>
      <c r="H5612" s="489">
        <v>65.155810000000002</v>
      </c>
      <c r="I5612" s="487" t="s">
        <v>1499</v>
      </c>
      <c r="J5612" s="487" t="s">
        <v>1196</v>
      </c>
    </row>
    <row r="5613" spans="1:10" ht="15" x14ac:dyDescent="0.2">
      <c r="A5613" s="486" t="s">
        <v>1195</v>
      </c>
      <c r="B5613" s="487" t="s">
        <v>1194</v>
      </c>
      <c r="C5613" s="488" t="s">
        <v>18080</v>
      </c>
      <c r="D5613" s="489" t="s">
        <v>18081</v>
      </c>
      <c r="E5613" s="487" t="s">
        <v>18082</v>
      </c>
      <c r="F5613" s="490">
        <v>19397</v>
      </c>
      <c r="G5613" s="489">
        <v>281</v>
      </c>
      <c r="H5613" s="489">
        <v>69.028469999999999</v>
      </c>
      <c r="I5613" s="487" t="s">
        <v>1499</v>
      </c>
      <c r="J5613" s="487" t="s">
        <v>1196</v>
      </c>
    </row>
    <row r="5614" spans="1:10" ht="15" x14ac:dyDescent="0.2">
      <c r="A5614" s="486" t="s">
        <v>1195</v>
      </c>
      <c r="B5614" s="487" t="s">
        <v>1194</v>
      </c>
      <c r="C5614" s="488" t="s">
        <v>18083</v>
      </c>
      <c r="D5614" s="489" t="s">
        <v>18084</v>
      </c>
      <c r="E5614" s="487" t="s">
        <v>18085</v>
      </c>
      <c r="F5614" s="490">
        <v>35320</v>
      </c>
      <c r="G5614" s="489">
        <v>973</v>
      </c>
      <c r="H5614" s="489">
        <v>36.3001</v>
      </c>
      <c r="I5614" s="487" t="s">
        <v>1499</v>
      </c>
      <c r="J5614" s="487" t="s">
        <v>1196</v>
      </c>
    </row>
    <row r="5615" spans="1:10" ht="15" x14ac:dyDescent="0.2">
      <c r="A5615" s="486" t="s">
        <v>1195</v>
      </c>
      <c r="B5615" s="487" t="s">
        <v>1194</v>
      </c>
      <c r="C5615" s="488" t="s">
        <v>18086</v>
      </c>
      <c r="D5615" s="489" t="s">
        <v>18087</v>
      </c>
      <c r="E5615" s="487" t="s">
        <v>18088</v>
      </c>
      <c r="F5615" s="490">
        <v>345837.79</v>
      </c>
      <c r="G5615" s="489">
        <v>3734</v>
      </c>
      <c r="H5615" s="489">
        <v>92.618579999999994</v>
      </c>
      <c r="I5615" s="487" t="s">
        <v>1499</v>
      </c>
      <c r="J5615" s="487" t="s">
        <v>1196</v>
      </c>
    </row>
    <row r="5616" spans="1:10" ht="15" x14ac:dyDescent="0.2">
      <c r="A5616" s="486" t="s">
        <v>1195</v>
      </c>
      <c r="B5616" s="487" t="s">
        <v>1194</v>
      </c>
      <c r="C5616" s="488" t="s">
        <v>18089</v>
      </c>
      <c r="D5616" s="489" t="s">
        <v>18090</v>
      </c>
      <c r="E5616" s="487" t="s">
        <v>18091</v>
      </c>
      <c r="F5616" s="490">
        <v>1600</v>
      </c>
      <c r="G5616" s="489">
        <v>35</v>
      </c>
      <c r="H5616" s="489">
        <v>45.714289999999998</v>
      </c>
      <c r="I5616" s="487" t="s">
        <v>1499</v>
      </c>
      <c r="J5616" s="487" t="s">
        <v>1196</v>
      </c>
    </row>
    <row r="5617" spans="1:10" ht="15" x14ac:dyDescent="0.2">
      <c r="A5617" s="486" t="s">
        <v>1195</v>
      </c>
      <c r="B5617" s="487" t="s">
        <v>1194</v>
      </c>
      <c r="C5617" s="488" t="s">
        <v>18092</v>
      </c>
      <c r="D5617" s="489" t="s">
        <v>18093</v>
      </c>
      <c r="E5617" s="487" t="s">
        <v>11918</v>
      </c>
      <c r="F5617" s="490">
        <v>216000</v>
      </c>
      <c r="G5617" s="489">
        <v>1637</v>
      </c>
      <c r="H5617" s="489">
        <v>131.94869</v>
      </c>
      <c r="I5617" s="487" t="s">
        <v>1499</v>
      </c>
      <c r="J5617" s="487" t="s">
        <v>1196</v>
      </c>
    </row>
    <row r="5618" spans="1:10" ht="15" x14ac:dyDescent="0.2">
      <c r="A5618" s="486" t="s">
        <v>1195</v>
      </c>
      <c r="B5618" s="487" t="s">
        <v>1194</v>
      </c>
      <c r="C5618" s="488" t="s">
        <v>18094</v>
      </c>
      <c r="D5618" s="489" t="s">
        <v>18095</v>
      </c>
      <c r="E5618" s="487" t="s">
        <v>18096</v>
      </c>
      <c r="F5618" s="490">
        <v>30800</v>
      </c>
      <c r="G5618" s="489">
        <v>415</v>
      </c>
      <c r="H5618" s="489">
        <v>74.21687</v>
      </c>
      <c r="I5618" s="487" t="s">
        <v>1499</v>
      </c>
      <c r="J5618" s="487" t="s">
        <v>1196</v>
      </c>
    </row>
    <row r="5619" spans="1:10" ht="15" x14ac:dyDescent="0.2">
      <c r="A5619" s="486" t="s">
        <v>1195</v>
      </c>
      <c r="B5619" s="487" t="s">
        <v>1194</v>
      </c>
      <c r="C5619" s="488" t="s">
        <v>18097</v>
      </c>
      <c r="D5619" s="489" t="s">
        <v>18098</v>
      </c>
      <c r="E5619" s="487" t="s">
        <v>4600</v>
      </c>
      <c r="F5619" s="490">
        <v>56473.96</v>
      </c>
      <c r="G5619" s="489">
        <v>1259</v>
      </c>
      <c r="H5619" s="489">
        <v>44.856200000000001</v>
      </c>
      <c r="I5619" s="487" t="s">
        <v>1499</v>
      </c>
      <c r="J5619" s="487" t="s">
        <v>1196</v>
      </c>
    </row>
    <row r="5620" spans="1:10" ht="15" x14ac:dyDescent="0.2">
      <c r="A5620" s="486" t="s">
        <v>1195</v>
      </c>
      <c r="B5620" s="487" t="s">
        <v>1194</v>
      </c>
      <c r="C5620" s="488" t="s">
        <v>18099</v>
      </c>
      <c r="D5620" s="489" t="s">
        <v>18100</v>
      </c>
      <c r="E5620" s="487" t="s">
        <v>18101</v>
      </c>
      <c r="F5620" s="490">
        <v>144642</v>
      </c>
      <c r="G5620" s="489">
        <v>2037</v>
      </c>
      <c r="H5620" s="489">
        <v>71.007360000000006</v>
      </c>
      <c r="I5620" s="487" t="s">
        <v>1499</v>
      </c>
      <c r="J5620" s="487" t="s">
        <v>1196</v>
      </c>
    </row>
    <row r="5621" spans="1:10" ht="15" x14ac:dyDescent="0.2">
      <c r="A5621" s="486" t="s">
        <v>1195</v>
      </c>
      <c r="B5621" s="487" t="s">
        <v>1194</v>
      </c>
      <c r="C5621" s="488" t="s">
        <v>18102</v>
      </c>
      <c r="D5621" s="489" t="s">
        <v>18103</v>
      </c>
      <c r="E5621" s="487" t="s">
        <v>18104</v>
      </c>
      <c r="F5621" s="490">
        <v>15500</v>
      </c>
      <c r="G5621" s="489">
        <v>472</v>
      </c>
      <c r="H5621" s="489">
        <v>32.838979999999999</v>
      </c>
      <c r="I5621" s="487" t="s">
        <v>1499</v>
      </c>
      <c r="J5621" s="487" t="s">
        <v>1196</v>
      </c>
    </row>
    <row r="5622" spans="1:10" ht="15" x14ac:dyDescent="0.2">
      <c r="A5622" s="486" t="s">
        <v>1195</v>
      </c>
      <c r="B5622" s="487" t="s">
        <v>1194</v>
      </c>
      <c r="C5622" s="488" t="s">
        <v>18105</v>
      </c>
      <c r="D5622" s="489" t="s">
        <v>18106</v>
      </c>
      <c r="E5622" s="487" t="s">
        <v>18107</v>
      </c>
      <c r="F5622" s="490">
        <v>140</v>
      </c>
      <c r="G5622" s="489">
        <v>563</v>
      </c>
      <c r="H5622" s="489">
        <v>0.24867</v>
      </c>
      <c r="I5622" s="487" t="s">
        <v>1499</v>
      </c>
      <c r="J5622" s="487" t="s">
        <v>1196</v>
      </c>
    </row>
    <row r="5623" spans="1:10" ht="15" x14ac:dyDescent="0.2">
      <c r="A5623" s="486" t="s">
        <v>1195</v>
      </c>
      <c r="B5623" s="487" t="s">
        <v>1194</v>
      </c>
      <c r="C5623" s="488" t="s">
        <v>18108</v>
      </c>
      <c r="D5623" s="489" t="s">
        <v>18109</v>
      </c>
      <c r="E5623" s="487" t="s">
        <v>18110</v>
      </c>
      <c r="F5623" s="490">
        <v>96000</v>
      </c>
      <c r="G5623" s="489">
        <v>1257</v>
      </c>
      <c r="H5623" s="489">
        <v>76.372320000000002</v>
      </c>
      <c r="I5623" s="487" t="s">
        <v>1499</v>
      </c>
      <c r="J5623" s="487" t="s">
        <v>1196</v>
      </c>
    </row>
    <row r="5624" spans="1:10" ht="15" x14ac:dyDescent="0.2">
      <c r="A5624" s="486" t="s">
        <v>1195</v>
      </c>
      <c r="B5624" s="487" t="s">
        <v>1194</v>
      </c>
      <c r="C5624" s="488" t="s">
        <v>18111</v>
      </c>
      <c r="D5624" s="489" t="s">
        <v>18112</v>
      </c>
      <c r="E5624" s="487" t="s">
        <v>18113</v>
      </c>
      <c r="F5624" s="490">
        <v>13086.18</v>
      </c>
      <c r="G5624" s="489">
        <v>228</v>
      </c>
      <c r="H5624" s="489">
        <v>57.395530000000001</v>
      </c>
      <c r="I5624" s="487" t="s">
        <v>1499</v>
      </c>
      <c r="J5624" s="487" t="s">
        <v>1196</v>
      </c>
    </row>
    <row r="5625" spans="1:10" ht="15" x14ac:dyDescent="0.2">
      <c r="A5625" s="486" t="s">
        <v>1195</v>
      </c>
      <c r="B5625" s="487" t="s">
        <v>1194</v>
      </c>
      <c r="C5625" s="488" t="s">
        <v>18114</v>
      </c>
      <c r="D5625" s="489" t="s">
        <v>18115</v>
      </c>
      <c r="E5625" s="487" t="s">
        <v>18116</v>
      </c>
      <c r="F5625" s="490">
        <v>17500</v>
      </c>
      <c r="G5625" s="489">
        <v>380</v>
      </c>
      <c r="H5625" s="489">
        <v>46.052630000000001</v>
      </c>
      <c r="I5625" s="487" t="s">
        <v>1499</v>
      </c>
      <c r="J5625" s="487" t="s">
        <v>1196</v>
      </c>
    </row>
    <row r="5626" spans="1:10" ht="15" x14ac:dyDescent="0.2">
      <c r="A5626" s="486" t="s">
        <v>1195</v>
      </c>
      <c r="B5626" s="487" t="s">
        <v>1194</v>
      </c>
      <c r="C5626" s="488" t="s">
        <v>18117</v>
      </c>
      <c r="D5626" s="489" t="s">
        <v>18118</v>
      </c>
      <c r="E5626" s="487" t="s">
        <v>18119</v>
      </c>
      <c r="F5626" s="490">
        <v>30000</v>
      </c>
      <c r="G5626" s="489">
        <v>351</v>
      </c>
      <c r="H5626" s="489">
        <v>85.470089999999999</v>
      </c>
      <c r="I5626" s="487" t="s">
        <v>1499</v>
      </c>
      <c r="J5626" s="487" t="s">
        <v>1196</v>
      </c>
    </row>
    <row r="5627" spans="1:10" ht="15" x14ac:dyDescent="0.2">
      <c r="A5627" s="486" t="s">
        <v>1195</v>
      </c>
      <c r="B5627" s="487" t="s">
        <v>1194</v>
      </c>
      <c r="C5627" s="488" t="s">
        <v>18120</v>
      </c>
      <c r="D5627" s="489" t="s">
        <v>18121</v>
      </c>
      <c r="E5627" s="487" t="s">
        <v>13954</v>
      </c>
      <c r="F5627" s="490">
        <v>27700</v>
      </c>
      <c r="G5627" s="489">
        <v>835</v>
      </c>
      <c r="H5627" s="489">
        <v>33.173650000000002</v>
      </c>
      <c r="I5627" s="487" t="s">
        <v>1499</v>
      </c>
      <c r="J5627" s="487" t="s">
        <v>1196</v>
      </c>
    </row>
    <row r="5628" spans="1:10" ht="15" x14ac:dyDescent="0.2">
      <c r="A5628" s="486" t="s">
        <v>1195</v>
      </c>
      <c r="B5628" s="487" t="s">
        <v>1194</v>
      </c>
      <c r="C5628" s="488" t="s">
        <v>18122</v>
      </c>
      <c r="D5628" s="489" t="s">
        <v>18123</v>
      </c>
      <c r="E5628" s="487" t="s">
        <v>18124</v>
      </c>
      <c r="F5628" s="490">
        <v>16000</v>
      </c>
      <c r="G5628" s="489">
        <v>1217</v>
      </c>
      <c r="H5628" s="489">
        <v>13.147080000000001</v>
      </c>
      <c r="I5628" s="487" t="s">
        <v>1499</v>
      </c>
      <c r="J5628" s="487" t="s">
        <v>1196</v>
      </c>
    </row>
    <row r="5629" spans="1:10" ht="15" x14ac:dyDescent="0.2">
      <c r="A5629" s="486" t="s">
        <v>1198</v>
      </c>
      <c r="B5629" s="487" t="s">
        <v>1197</v>
      </c>
      <c r="C5629" s="488" t="s">
        <v>18125</v>
      </c>
      <c r="D5629" s="489" t="s">
        <v>18126</v>
      </c>
      <c r="E5629" s="487" t="s">
        <v>18127</v>
      </c>
      <c r="F5629" s="490">
        <v>30100</v>
      </c>
      <c r="G5629" s="489">
        <v>354.8</v>
      </c>
      <c r="H5629" s="489">
        <v>84.836529999999996</v>
      </c>
      <c r="I5629" s="487" t="s">
        <v>1499</v>
      </c>
      <c r="J5629" s="487" t="s">
        <v>1199</v>
      </c>
    </row>
    <row r="5630" spans="1:10" ht="15" x14ac:dyDescent="0.2">
      <c r="A5630" s="486" t="s">
        <v>1198</v>
      </c>
      <c r="B5630" s="487" t="s">
        <v>1197</v>
      </c>
      <c r="C5630" s="488" t="s">
        <v>18128</v>
      </c>
      <c r="D5630" s="489" t="s">
        <v>18129</v>
      </c>
      <c r="E5630" s="487" t="s">
        <v>18130</v>
      </c>
      <c r="F5630" s="490">
        <v>32250</v>
      </c>
      <c r="G5630" s="489">
        <v>596.79999999999995</v>
      </c>
      <c r="H5630" s="489">
        <v>54.038200000000003</v>
      </c>
      <c r="I5630" s="487" t="s">
        <v>1499</v>
      </c>
      <c r="J5630" s="487" t="s">
        <v>1199</v>
      </c>
    </row>
    <row r="5631" spans="1:10" ht="15" x14ac:dyDescent="0.2">
      <c r="A5631" s="486" t="s">
        <v>1198</v>
      </c>
      <c r="B5631" s="487" t="s">
        <v>1197</v>
      </c>
      <c r="C5631" s="488" t="s">
        <v>18131</v>
      </c>
      <c r="D5631" s="489" t="s">
        <v>18132</v>
      </c>
      <c r="E5631" s="487" t="s">
        <v>18133</v>
      </c>
      <c r="F5631" s="490">
        <v>6500</v>
      </c>
      <c r="G5631" s="489">
        <v>116.3</v>
      </c>
      <c r="H5631" s="489">
        <v>55.889940000000003</v>
      </c>
      <c r="I5631" s="487" t="s">
        <v>1499</v>
      </c>
      <c r="J5631" s="487" t="s">
        <v>1199</v>
      </c>
    </row>
    <row r="5632" spans="1:10" ht="15" x14ac:dyDescent="0.2">
      <c r="A5632" s="486" t="s">
        <v>1198</v>
      </c>
      <c r="B5632" s="487" t="s">
        <v>1197</v>
      </c>
      <c r="C5632" s="488" t="s">
        <v>18134</v>
      </c>
      <c r="D5632" s="489" t="s">
        <v>18135</v>
      </c>
      <c r="E5632" s="487" t="s">
        <v>18136</v>
      </c>
      <c r="F5632" s="490">
        <v>0</v>
      </c>
      <c r="G5632" s="489">
        <v>43.8</v>
      </c>
      <c r="H5632" s="489">
        <v>0</v>
      </c>
      <c r="I5632" s="487" t="s">
        <v>1593</v>
      </c>
      <c r="J5632" s="487" t="s">
        <v>1199</v>
      </c>
    </row>
    <row r="5633" spans="1:10" ht="15" x14ac:dyDescent="0.2">
      <c r="A5633" s="486" t="s">
        <v>1198</v>
      </c>
      <c r="B5633" s="487" t="s">
        <v>1197</v>
      </c>
      <c r="C5633" s="488" t="s">
        <v>18137</v>
      </c>
      <c r="D5633" s="489" t="s">
        <v>18138</v>
      </c>
      <c r="E5633" s="487" t="s">
        <v>18139</v>
      </c>
      <c r="F5633" s="490">
        <v>10600</v>
      </c>
      <c r="G5633" s="489">
        <v>256</v>
      </c>
      <c r="H5633" s="489">
        <v>41.40625</v>
      </c>
      <c r="I5633" s="487" t="s">
        <v>2465</v>
      </c>
      <c r="J5633" s="487" t="s">
        <v>1199</v>
      </c>
    </row>
    <row r="5634" spans="1:10" ht="15" x14ac:dyDescent="0.2">
      <c r="A5634" s="486" t="s">
        <v>1198</v>
      </c>
      <c r="B5634" s="487" t="s">
        <v>1197</v>
      </c>
      <c r="C5634" s="488" t="s">
        <v>18140</v>
      </c>
      <c r="D5634" s="489" t="s">
        <v>18141</v>
      </c>
      <c r="E5634" s="487" t="s">
        <v>18142</v>
      </c>
      <c r="F5634" s="490">
        <v>68500</v>
      </c>
      <c r="G5634" s="489">
        <v>888.9</v>
      </c>
      <c r="H5634" s="489">
        <v>77.061539999999994</v>
      </c>
      <c r="I5634" s="487" t="s">
        <v>1499</v>
      </c>
      <c r="J5634" s="487" t="s">
        <v>1199</v>
      </c>
    </row>
    <row r="5635" spans="1:10" ht="15" x14ac:dyDescent="0.2">
      <c r="A5635" s="486" t="s">
        <v>1198</v>
      </c>
      <c r="B5635" s="487" t="s">
        <v>1197</v>
      </c>
      <c r="C5635" s="488" t="s">
        <v>18143</v>
      </c>
      <c r="D5635" s="489" t="s">
        <v>18144</v>
      </c>
      <c r="E5635" s="487" t="s">
        <v>18145</v>
      </c>
      <c r="F5635" s="490">
        <v>25740</v>
      </c>
      <c r="G5635" s="489">
        <v>616.1</v>
      </c>
      <c r="H5635" s="489">
        <v>41.778930000000003</v>
      </c>
      <c r="I5635" s="487" t="s">
        <v>1499</v>
      </c>
      <c r="J5635" s="487" t="s">
        <v>1199</v>
      </c>
    </row>
    <row r="5636" spans="1:10" ht="15" x14ac:dyDescent="0.2">
      <c r="A5636" s="486" t="s">
        <v>1198</v>
      </c>
      <c r="B5636" s="487" t="s">
        <v>1197</v>
      </c>
      <c r="C5636" s="488" t="s">
        <v>18146</v>
      </c>
      <c r="D5636" s="489" t="s">
        <v>18147</v>
      </c>
      <c r="E5636" s="487" t="s">
        <v>18148</v>
      </c>
      <c r="F5636" s="490">
        <v>2729</v>
      </c>
      <c r="G5636" s="489">
        <v>205.5</v>
      </c>
      <c r="H5636" s="489">
        <v>13.279809999999999</v>
      </c>
      <c r="I5636" s="487" t="s">
        <v>1499</v>
      </c>
      <c r="J5636" s="487" t="s">
        <v>1199</v>
      </c>
    </row>
    <row r="5637" spans="1:10" ht="15" x14ac:dyDescent="0.2">
      <c r="A5637" s="486" t="s">
        <v>1198</v>
      </c>
      <c r="B5637" s="487" t="s">
        <v>1197</v>
      </c>
      <c r="C5637" s="488" t="s">
        <v>18149</v>
      </c>
      <c r="D5637" s="489" t="s">
        <v>18150</v>
      </c>
      <c r="E5637" s="487" t="s">
        <v>18151</v>
      </c>
      <c r="F5637" s="490">
        <v>19500</v>
      </c>
      <c r="G5637" s="489">
        <v>495.2</v>
      </c>
      <c r="H5637" s="489">
        <v>39.378030000000003</v>
      </c>
      <c r="I5637" s="487" t="s">
        <v>1499</v>
      </c>
      <c r="J5637" s="487" t="s">
        <v>1199</v>
      </c>
    </row>
    <row r="5638" spans="1:10" ht="15" x14ac:dyDescent="0.2">
      <c r="A5638" s="486" t="s">
        <v>1198</v>
      </c>
      <c r="B5638" s="487" t="s">
        <v>1197</v>
      </c>
      <c r="C5638" s="488" t="s">
        <v>18152</v>
      </c>
      <c r="D5638" s="489" t="s">
        <v>18153</v>
      </c>
      <c r="E5638" s="487" t="s">
        <v>18154</v>
      </c>
      <c r="F5638" s="490">
        <v>0</v>
      </c>
      <c r="G5638" s="489">
        <v>55.7</v>
      </c>
      <c r="H5638" s="489">
        <v>0</v>
      </c>
      <c r="I5638" s="487" t="s">
        <v>1593</v>
      </c>
      <c r="J5638" s="487" t="s">
        <v>1199</v>
      </c>
    </row>
    <row r="5639" spans="1:10" ht="15" x14ac:dyDescent="0.2">
      <c r="A5639" s="486" t="s">
        <v>1198</v>
      </c>
      <c r="B5639" s="487" t="s">
        <v>1197</v>
      </c>
      <c r="C5639" s="488" t="s">
        <v>18155</v>
      </c>
      <c r="D5639" s="489" t="s">
        <v>18156</v>
      </c>
      <c r="E5639" s="487" t="s">
        <v>18157</v>
      </c>
      <c r="F5639" s="490">
        <v>750</v>
      </c>
      <c r="G5639" s="489">
        <v>66.099999999999994</v>
      </c>
      <c r="H5639" s="489">
        <v>11.346439999999999</v>
      </c>
      <c r="I5639" s="487" t="s">
        <v>1499</v>
      </c>
      <c r="J5639" s="487" t="s">
        <v>1199</v>
      </c>
    </row>
    <row r="5640" spans="1:10" ht="15" x14ac:dyDescent="0.2">
      <c r="A5640" s="486" t="s">
        <v>1198</v>
      </c>
      <c r="B5640" s="487" t="s">
        <v>1197</v>
      </c>
      <c r="C5640" s="488" t="s">
        <v>18158</v>
      </c>
      <c r="D5640" s="489" t="s">
        <v>18159</v>
      </c>
      <c r="E5640" s="487" t="s">
        <v>18160</v>
      </c>
      <c r="F5640" s="490">
        <v>280911.28999999998</v>
      </c>
      <c r="G5640" s="489">
        <v>6372.9</v>
      </c>
      <c r="H5640" s="489">
        <v>44.079039999999999</v>
      </c>
      <c r="I5640" s="487" t="s">
        <v>1499</v>
      </c>
      <c r="J5640" s="487" t="s">
        <v>1199</v>
      </c>
    </row>
    <row r="5641" spans="1:10" ht="15" x14ac:dyDescent="0.2">
      <c r="A5641" s="486" t="s">
        <v>1198</v>
      </c>
      <c r="B5641" s="487" t="s">
        <v>1197</v>
      </c>
      <c r="C5641" s="488" t="s">
        <v>18161</v>
      </c>
      <c r="D5641" s="489" t="s">
        <v>18162</v>
      </c>
      <c r="E5641" s="487" t="s">
        <v>18163</v>
      </c>
      <c r="F5641" s="490">
        <v>3093</v>
      </c>
      <c r="G5641" s="489">
        <v>141.1</v>
      </c>
      <c r="H5641" s="489">
        <v>21.92062</v>
      </c>
      <c r="I5641" s="487" t="s">
        <v>1499</v>
      </c>
      <c r="J5641" s="487" t="s">
        <v>1199</v>
      </c>
    </row>
    <row r="5642" spans="1:10" ht="15" x14ac:dyDescent="0.2">
      <c r="A5642" s="486" t="s">
        <v>1198</v>
      </c>
      <c r="B5642" s="487" t="s">
        <v>1197</v>
      </c>
      <c r="C5642" s="488" t="s">
        <v>18164</v>
      </c>
      <c r="D5642" s="489" t="s">
        <v>18165</v>
      </c>
      <c r="E5642" s="487" t="s">
        <v>18166</v>
      </c>
      <c r="F5642" s="490">
        <v>0</v>
      </c>
      <c r="G5642" s="489">
        <v>0</v>
      </c>
      <c r="H5642" s="489">
        <v>0</v>
      </c>
      <c r="I5642" s="487" t="s">
        <v>2465</v>
      </c>
      <c r="J5642" s="487" t="s">
        <v>1199</v>
      </c>
    </row>
    <row r="5643" spans="1:10" ht="15" x14ac:dyDescent="0.2">
      <c r="A5643" s="486" t="s">
        <v>1198</v>
      </c>
      <c r="B5643" s="487" t="s">
        <v>1197</v>
      </c>
      <c r="C5643" s="488" t="s">
        <v>18167</v>
      </c>
      <c r="D5643" s="489" t="s">
        <v>18168</v>
      </c>
      <c r="E5643" s="487" t="s">
        <v>18169</v>
      </c>
      <c r="F5643" s="490">
        <v>600</v>
      </c>
      <c r="G5643" s="489">
        <v>41</v>
      </c>
      <c r="H5643" s="489">
        <v>14.63415</v>
      </c>
      <c r="I5643" s="487" t="s">
        <v>1499</v>
      </c>
      <c r="J5643" s="487" t="s">
        <v>1199</v>
      </c>
    </row>
    <row r="5644" spans="1:10" ht="15" x14ac:dyDescent="0.2">
      <c r="A5644" s="486" t="s">
        <v>1198</v>
      </c>
      <c r="B5644" s="487" t="s">
        <v>1197</v>
      </c>
      <c r="C5644" s="488" t="s">
        <v>18170</v>
      </c>
      <c r="D5644" s="489" t="s">
        <v>18171</v>
      </c>
      <c r="E5644" s="487" t="s">
        <v>18172</v>
      </c>
      <c r="F5644" s="490">
        <v>0</v>
      </c>
      <c r="G5644" s="489">
        <v>76.2</v>
      </c>
      <c r="H5644" s="489">
        <v>0</v>
      </c>
      <c r="I5644" s="487" t="s">
        <v>1593</v>
      </c>
      <c r="J5644" s="487" t="s">
        <v>1199</v>
      </c>
    </row>
    <row r="5645" spans="1:10" ht="15" x14ac:dyDescent="0.2">
      <c r="A5645" s="486" t="s">
        <v>1198</v>
      </c>
      <c r="B5645" s="487" t="s">
        <v>1197</v>
      </c>
      <c r="C5645" s="488" t="s">
        <v>18173</v>
      </c>
      <c r="D5645" s="489" t="s">
        <v>18174</v>
      </c>
      <c r="E5645" s="487" t="s">
        <v>18175</v>
      </c>
      <c r="F5645" s="490">
        <v>11162</v>
      </c>
      <c r="G5645" s="489">
        <v>210.9</v>
      </c>
      <c r="H5645" s="489">
        <v>52.925559999999997</v>
      </c>
      <c r="I5645" s="487" t="s">
        <v>1499</v>
      </c>
      <c r="J5645" s="487" t="s">
        <v>1199</v>
      </c>
    </row>
    <row r="5646" spans="1:10" ht="15" x14ac:dyDescent="0.2">
      <c r="A5646" s="486" t="s">
        <v>1198</v>
      </c>
      <c r="B5646" s="487" t="s">
        <v>1197</v>
      </c>
      <c r="C5646" s="488" t="s">
        <v>18176</v>
      </c>
      <c r="D5646" s="489" t="s">
        <v>18177</v>
      </c>
      <c r="E5646" s="487" t="s">
        <v>18178</v>
      </c>
      <c r="F5646" s="490">
        <v>9000</v>
      </c>
      <c r="G5646" s="489">
        <v>126.2</v>
      </c>
      <c r="H5646" s="489">
        <v>71.315370000000001</v>
      </c>
      <c r="I5646" s="487" t="s">
        <v>2465</v>
      </c>
      <c r="J5646" s="487" t="s">
        <v>1199</v>
      </c>
    </row>
    <row r="5647" spans="1:10" ht="15" x14ac:dyDescent="0.2">
      <c r="A5647" s="486" t="s">
        <v>1198</v>
      </c>
      <c r="B5647" s="487" t="s">
        <v>1197</v>
      </c>
      <c r="C5647" s="488" t="s">
        <v>18179</v>
      </c>
      <c r="D5647" s="489" t="s">
        <v>18180</v>
      </c>
      <c r="E5647" s="487" t="s">
        <v>18181</v>
      </c>
      <c r="F5647" s="490">
        <v>18559</v>
      </c>
      <c r="G5647" s="489">
        <v>329.2</v>
      </c>
      <c r="H5647" s="489">
        <v>56.376060000000003</v>
      </c>
      <c r="I5647" s="487" t="s">
        <v>1499</v>
      </c>
      <c r="J5647" s="487" t="s">
        <v>1199</v>
      </c>
    </row>
    <row r="5648" spans="1:10" ht="15" x14ac:dyDescent="0.2">
      <c r="A5648" s="486" t="s">
        <v>1198</v>
      </c>
      <c r="B5648" s="487" t="s">
        <v>1197</v>
      </c>
      <c r="C5648" s="488" t="s">
        <v>18182</v>
      </c>
      <c r="D5648" s="489" t="s">
        <v>18183</v>
      </c>
      <c r="E5648" s="487" t="s">
        <v>18184</v>
      </c>
      <c r="F5648" s="490">
        <v>36992.949999999997</v>
      </c>
      <c r="G5648" s="489">
        <v>530.20000000000005</v>
      </c>
      <c r="H5648" s="489">
        <v>69.771690000000007</v>
      </c>
      <c r="I5648" s="487" t="s">
        <v>1499</v>
      </c>
      <c r="J5648" s="487" t="s">
        <v>1199</v>
      </c>
    </row>
    <row r="5649" spans="1:10" ht="15" x14ac:dyDescent="0.2">
      <c r="A5649" s="486" t="s">
        <v>1198</v>
      </c>
      <c r="B5649" s="487" t="s">
        <v>1197</v>
      </c>
      <c r="C5649" s="488" t="s">
        <v>18185</v>
      </c>
      <c r="D5649" s="489" t="s">
        <v>18186</v>
      </c>
      <c r="E5649" s="487" t="s">
        <v>18187</v>
      </c>
      <c r="F5649" s="490">
        <v>32338</v>
      </c>
      <c r="G5649" s="489">
        <v>522.5</v>
      </c>
      <c r="H5649" s="489">
        <v>61.890909999999998</v>
      </c>
      <c r="I5649" s="487" t="s">
        <v>1499</v>
      </c>
      <c r="J5649" s="487" t="s">
        <v>1199</v>
      </c>
    </row>
    <row r="5650" spans="1:10" ht="15" x14ac:dyDescent="0.2">
      <c r="A5650" s="486" t="s">
        <v>1198</v>
      </c>
      <c r="B5650" s="487" t="s">
        <v>1197</v>
      </c>
      <c r="C5650" s="488" t="s">
        <v>18188</v>
      </c>
      <c r="D5650" s="489" t="s">
        <v>18189</v>
      </c>
      <c r="E5650" s="487" t="s">
        <v>18190</v>
      </c>
      <c r="F5650" s="490">
        <v>43558</v>
      </c>
      <c r="G5650" s="489">
        <v>755.3</v>
      </c>
      <c r="H5650" s="489">
        <v>57.669800000000002</v>
      </c>
      <c r="I5650" s="487" t="s">
        <v>2465</v>
      </c>
      <c r="J5650" s="487" t="s">
        <v>1199</v>
      </c>
    </row>
    <row r="5651" spans="1:10" ht="15" x14ac:dyDescent="0.2">
      <c r="A5651" s="486" t="s">
        <v>1198</v>
      </c>
      <c r="B5651" s="487" t="s">
        <v>1197</v>
      </c>
      <c r="C5651" s="488" t="s">
        <v>18191</v>
      </c>
      <c r="D5651" s="489" t="s">
        <v>18192</v>
      </c>
      <c r="E5651" s="487" t="s">
        <v>18193</v>
      </c>
      <c r="F5651" s="490">
        <v>19000</v>
      </c>
      <c r="G5651" s="489">
        <v>451.8</v>
      </c>
      <c r="H5651" s="489">
        <v>42.054009999999998</v>
      </c>
      <c r="I5651" s="487" t="s">
        <v>1499</v>
      </c>
      <c r="J5651" s="487" t="s">
        <v>1199</v>
      </c>
    </row>
    <row r="5652" spans="1:10" ht="15" x14ac:dyDescent="0.2">
      <c r="A5652" s="486" t="s">
        <v>1198</v>
      </c>
      <c r="B5652" s="487" t="s">
        <v>1197</v>
      </c>
      <c r="C5652" s="488" t="s">
        <v>18194</v>
      </c>
      <c r="D5652" s="489" t="s">
        <v>18195</v>
      </c>
      <c r="E5652" s="487" t="s">
        <v>18196</v>
      </c>
      <c r="F5652" s="490">
        <v>0</v>
      </c>
      <c r="G5652" s="489">
        <v>27.2</v>
      </c>
      <c r="H5652" s="489">
        <v>0</v>
      </c>
      <c r="I5652" s="487" t="s">
        <v>1593</v>
      </c>
      <c r="J5652" s="487" t="s">
        <v>1199</v>
      </c>
    </row>
    <row r="5653" spans="1:10" ht="15" x14ac:dyDescent="0.2">
      <c r="A5653" s="486" t="s">
        <v>1198</v>
      </c>
      <c r="B5653" s="487" t="s">
        <v>1197</v>
      </c>
      <c r="C5653" s="488" t="s">
        <v>18197</v>
      </c>
      <c r="D5653" s="489" t="s">
        <v>18198</v>
      </c>
      <c r="E5653" s="487" t="s">
        <v>18199</v>
      </c>
      <c r="F5653" s="490">
        <v>248324.39</v>
      </c>
      <c r="G5653" s="489">
        <v>2640.4</v>
      </c>
      <c r="H5653" s="489">
        <v>94.048019999999994</v>
      </c>
      <c r="I5653" s="487" t="s">
        <v>1499</v>
      </c>
      <c r="J5653" s="487" t="s">
        <v>1199</v>
      </c>
    </row>
    <row r="5654" spans="1:10" ht="15" x14ac:dyDescent="0.2">
      <c r="A5654" s="486" t="s">
        <v>1198</v>
      </c>
      <c r="B5654" s="487" t="s">
        <v>1197</v>
      </c>
      <c r="C5654" s="488" t="s">
        <v>18200</v>
      </c>
      <c r="D5654" s="489" t="s">
        <v>18201</v>
      </c>
      <c r="E5654" s="487" t="s">
        <v>9168</v>
      </c>
      <c r="F5654" s="490">
        <v>6500</v>
      </c>
      <c r="G5654" s="489">
        <v>120.4</v>
      </c>
      <c r="H5654" s="489">
        <v>53.986710000000002</v>
      </c>
      <c r="I5654" s="487" t="s">
        <v>1499</v>
      </c>
      <c r="J5654" s="487" t="s">
        <v>1199</v>
      </c>
    </row>
    <row r="5655" spans="1:10" ht="15" x14ac:dyDescent="0.2">
      <c r="A5655" s="486" t="s">
        <v>1198</v>
      </c>
      <c r="B5655" s="487" t="s">
        <v>1197</v>
      </c>
      <c r="C5655" s="488" t="s">
        <v>18202</v>
      </c>
      <c r="D5655" s="489" t="s">
        <v>18203</v>
      </c>
      <c r="E5655" s="487" t="s">
        <v>18204</v>
      </c>
      <c r="F5655" s="490">
        <v>2250</v>
      </c>
      <c r="G5655" s="489">
        <v>54.4</v>
      </c>
      <c r="H5655" s="489">
        <v>41.360289999999999</v>
      </c>
      <c r="I5655" s="487" t="s">
        <v>1499</v>
      </c>
      <c r="J5655" s="487" t="s">
        <v>1199</v>
      </c>
    </row>
    <row r="5656" spans="1:10" ht="15" x14ac:dyDescent="0.2">
      <c r="A5656" s="486" t="s">
        <v>1198</v>
      </c>
      <c r="B5656" s="487" t="s">
        <v>1197</v>
      </c>
      <c r="C5656" s="488" t="s">
        <v>18205</v>
      </c>
      <c r="D5656" s="489" t="s">
        <v>18206</v>
      </c>
      <c r="E5656" s="487" t="s">
        <v>18207</v>
      </c>
      <c r="F5656" s="490">
        <v>800</v>
      </c>
      <c r="G5656" s="489">
        <v>54</v>
      </c>
      <c r="H5656" s="489">
        <v>14.81481</v>
      </c>
      <c r="I5656" s="487" t="s">
        <v>1499</v>
      </c>
      <c r="J5656" s="487" t="s">
        <v>1199</v>
      </c>
    </row>
    <row r="5657" spans="1:10" ht="15" x14ac:dyDescent="0.2">
      <c r="A5657" s="486" t="s">
        <v>1198</v>
      </c>
      <c r="B5657" s="487" t="s">
        <v>1197</v>
      </c>
      <c r="C5657" s="488" t="s">
        <v>18208</v>
      </c>
      <c r="D5657" s="489" t="s">
        <v>18209</v>
      </c>
      <c r="E5657" s="487" t="s">
        <v>18210</v>
      </c>
      <c r="F5657" s="490">
        <v>0</v>
      </c>
      <c r="G5657" s="489">
        <v>0</v>
      </c>
      <c r="H5657" s="489">
        <v>0</v>
      </c>
      <c r="I5657" s="487" t="s">
        <v>2465</v>
      </c>
      <c r="J5657" s="487" t="s">
        <v>1199</v>
      </c>
    </row>
    <row r="5658" spans="1:10" ht="15" x14ac:dyDescent="0.2">
      <c r="A5658" s="486" t="s">
        <v>1198</v>
      </c>
      <c r="B5658" s="487" t="s">
        <v>1197</v>
      </c>
      <c r="C5658" s="488" t="s">
        <v>18211</v>
      </c>
      <c r="D5658" s="489" t="s">
        <v>18212</v>
      </c>
      <c r="E5658" s="487" t="s">
        <v>18213</v>
      </c>
      <c r="F5658" s="490">
        <v>3200</v>
      </c>
      <c r="G5658" s="489">
        <v>119</v>
      </c>
      <c r="H5658" s="489">
        <v>26.89076</v>
      </c>
      <c r="I5658" s="487" t="s">
        <v>1499</v>
      </c>
      <c r="J5658" s="487" t="s">
        <v>1199</v>
      </c>
    </row>
    <row r="5659" spans="1:10" ht="15" x14ac:dyDescent="0.2">
      <c r="A5659" s="486" t="s">
        <v>1198</v>
      </c>
      <c r="B5659" s="487" t="s">
        <v>1197</v>
      </c>
      <c r="C5659" s="488" t="s">
        <v>18214</v>
      </c>
      <c r="D5659" s="489" t="s">
        <v>18215</v>
      </c>
      <c r="E5659" s="487" t="s">
        <v>18216</v>
      </c>
      <c r="F5659" s="490">
        <v>1000</v>
      </c>
      <c r="G5659" s="489">
        <v>60.3</v>
      </c>
      <c r="H5659" s="489">
        <v>16.583749999999998</v>
      </c>
      <c r="I5659" s="487" t="s">
        <v>1499</v>
      </c>
      <c r="J5659" s="487" t="s">
        <v>1199</v>
      </c>
    </row>
    <row r="5660" spans="1:10" ht="15" x14ac:dyDescent="0.2">
      <c r="A5660" s="486" t="s">
        <v>1198</v>
      </c>
      <c r="B5660" s="487" t="s">
        <v>1197</v>
      </c>
      <c r="C5660" s="488" t="s">
        <v>18217</v>
      </c>
      <c r="D5660" s="489" t="s">
        <v>18218</v>
      </c>
      <c r="E5660" s="487" t="s">
        <v>18219</v>
      </c>
      <c r="F5660" s="490">
        <v>14369</v>
      </c>
      <c r="G5660" s="489">
        <v>286.8</v>
      </c>
      <c r="H5660" s="489">
        <v>50.101120000000002</v>
      </c>
      <c r="I5660" s="487" t="s">
        <v>1499</v>
      </c>
      <c r="J5660" s="487" t="s">
        <v>1199</v>
      </c>
    </row>
    <row r="5661" spans="1:10" ht="15" x14ac:dyDescent="0.2">
      <c r="A5661" s="486" t="s">
        <v>1198</v>
      </c>
      <c r="B5661" s="487" t="s">
        <v>1197</v>
      </c>
      <c r="C5661" s="488" t="s">
        <v>18220</v>
      </c>
      <c r="D5661" s="489" t="s">
        <v>18221</v>
      </c>
      <c r="E5661" s="487" t="s">
        <v>14193</v>
      </c>
      <c r="F5661" s="490">
        <v>14500</v>
      </c>
      <c r="G5661" s="489">
        <v>225.2</v>
      </c>
      <c r="H5661" s="489">
        <v>64.387209999999996</v>
      </c>
      <c r="I5661" s="487" t="s">
        <v>1499</v>
      </c>
      <c r="J5661" s="487" t="s">
        <v>1199</v>
      </c>
    </row>
    <row r="5662" spans="1:10" ht="15" x14ac:dyDescent="0.2">
      <c r="A5662" s="486" t="s">
        <v>1198</v>
      </c>
      <c r="B5662" s="487" t="s">
        <v>1197</v>
      </c>
      <c r="C5662" s="488" t="s">
        <v>18222</v>
      </c>
      <c r="D5662" s="489" t="s">
        <v>18223</v>
      </c>
      <c r="E5662" s="487" t="s">
        <v>18224</v>
      </c>
      <c r="F5662" s="490">
        <v>10120</v>
      </c>
      <c r="G5662" s="489">
        <v>221.4</v>
      </c>
      <c r="H5662" s="489">
        <v>45.709119999999999</v>
      </c>
      <c r="I5662" s="487" t="s">
        <v>1499</v>
      </c>
      <c r="J5662" s="487" t="s">
        <v>1199</v>
      </c>
    </row>
    <row r="5663" spans="1:10" ht="15" x14ac:dyDescent="0.2">
      <c r="A5663" s="486" t="s">
        <v>1198</v>
      </c>
      <c r="B5663" s="487" t="s">
        <v>1197</v>
      </c>
      <c r="C5663" s="488" t="s">
        <v>18225</v>
      </c>
      <c r="D5663" s="489" t="s">
        <v>18226</v>
      </c>
      <c r="E5663" s="487" t="s">
        <v>18227</v>
      </c>
      <c r="F5663" s="490">
        <v>41610</v>
      </c>
      <c r="G5663" s="489">
        <v>788</v>
      </c>
      <c r="H5663" s="489">
        <v>52.804569999999998</v>
      </c>
      <c r="I5663" s="487" t="s">
        <v>1499</v>
      </c>
      <c r="J5663" s="487" t="s">
        <v>1199</v>
      </c>
    </row>
    <row r="5664" spans="1:10" ht="15" x14ac:dyDescent="0.2">
      <c r="A5664" s="486" t="s">
        <v>1198</v>
      </c>
      <c r="B5664" s="487" t="s">
        <v>1197</v>
      </c>
      <c r="C5664" s="488" t="s">
        <v>18228</v>
      </c>
      <c r="D5664" s="489" t="s">
        <v>18229</v>
      </c>
      <c r="E5664" s="487" t="s">
        <v>18230</v>
      </c>
      <c r="F5664" s="490">
        <v>12729.75</v>
      </c>
      <c r="G5664" s="489">
        <v>128.80000000000001</v>
      </c>
      <c r="H5664" s="489">
        <v>98.833460000000002</v>
      </c>
      <c r="I5664" s="487" t="s">
        <v>1499</v>
      </c>
      <c r="J5664" s="487" t="s">
        <v>1199</v>
      </c>
    </row>
    <row r="5665" spans="1:10" ht="15" x14ac:dyDescent="0.2">
      <c r="A5665" s="486" t="s">
        <v>1198</v>
      </c>
      <c r="B5665" s="487" t="s">
        <v>1197</v>
      </c>
      <c r="C5665" s="488" t="s">
        <v>18231</v>
      </c>
      <c r="D5665" s="489" t="s">
        <v>18232</v>
      </c>
      <c r="E5665" s="487" t="s">
        <v>18233</v>
      </c>
      <c r="F5665" s="490">
        <v>4360</v>
      </c>
      <c r="G5665" s="489">
        <v>131.5</v>
      </c>
      <c r="H5665" s="489">
        <v>33.155889999999999</v>
      </c>
      <c r="I5665" s="487" t="s">
        <v>1499</v>
      </c>
      <c r="J5665" s="487" t="s">
        <v>1199</v>
      </c>
    </row>
    <row r="5666" spans="1:10" ht="15" x14ac:dyDescent="0.2">
      <c r="A5666" s="486" t="s">
        <v>1198</v>
      </c>
      <c r="B5666" s="487" t="s">
        <v>1197</v>
      </c>
      <c r="C5666" s="488" t="s">
        <v>18234</v>
      </c>
      <c r="D5666" s="489" t="s">
        <v>18235</v>
      </c>
      <c r="E5666" s="487" t="s">
        <v>18236</v>
      </c>
      <c r="F5666" s="490">
        <v>0</v>
      </c>
      <c r="G5666" s="489">
        <v>0</v>
      </c>
      <c r="H5666" s="489">
        <v>0</v>
      </c>
      <c r="I5666" s="487" t="s">
        <v>2465</v>
      </c>
      <c r="J5666" s="487" t="s">
        <v>1199</v>
      </c>
    </row>
    <row r="5667" spans="1:10" ht="15" x14ac:dyDescent="0.2">
      <c r="A5667" s="486" t="s">
        <v>1198</v>
      </c>
      <c r="B5667" s="487" t="s">
        <v>1197</v>
      </c>
      <c r="C5667" s="488" t="s">
        <v>18237</v>
      </c>
      <c r="D5667" s="489" t="s">
        <v>18238</v>
      </c>
      <c r="E5667" s="487" t="s">
        <v>18239</v>
      </c>
      <c r="F5667" s="490">
        <v>1864</v>
      </c>
      <c r="G5667" s="489">
        <v>199.1</v>
      </c>
      <c r="H5667" s="489">
        <v>9.3621300000000005</v>
      </c>
      <c r="I5667" s="487" t="s">
        <v>1499</v>
      </c>
      <c r="J5667" s="487" t="s">
        <v>1199</v>
      </c>
    </row>
    <row r="5668" spans="1:10" ht="15" x14ac:dyDescent="0.2">
      <c r="A5668" s="486" t="s">
        <v>1198</v>
      </c>
      <c r="B5668" s="487" t="s">
        <v>1197</v>
      </c>
      <c r="C5668" s="488" t="s">
        <v>18240</v>
      </c>
      <c r="D5668" s="489" t="s">
        <v>18241</v>
      </c>
      <c r="E5668" s="487" t="s">
        <v>18242</v>
      </c>
      <c r="F5668" s="490">
        <v>23041</v>
      </c>
      <c r="G5668" s="489">
        <v>349.3</v>
      </c>
      <c r="H5668" s="489">
        <v>65.963359999999994</v>
      </c>
      <c r="I5668" s="487" t="s">
        <v>1499</v>
      </c>
      <c r="J5668" s="487" t="s">
        <v>1199</v>
      </c>
    </row>
    <row r="5669" spans="1:10" ht="15" x14ac:dyDescent="0.2">
      <c r="A5669" s="486" t="s">
        <v>1198</v>
      </c>
      <c r="B5669" s="487" t="s">
        <v>1197</v>
      </c>
      <c r="C5669" s="488" t="s">
        <v>18243</v>
      </c>
      <c r="D5669" s="489" t="s">
        <v>18244</v>
      </c>
      <c r="E5669" s="487" t="s">
        <v>18245</v>
      </c>
      <c r="F5669" s="490">
        <v>7950</v>
      </c>
      <c r="G5669" s="489">
        <v>158</v>
      </c>
      <c r="H5669" s="489">
        <v>50.316459999999999</v>
      </c>
      <c r="I5669" s="487" t="s">
        <v>1499</v>
      </c>
      <c r="J5669" s="487" t="s">
        <v>1199</v>
      </c>
    </row>
    <row r="5670" spans="1:10" ht="15" x14ac:dyDescent="0.2">
      <c r="A5670" s="486" t="s">
        <v>1198</v>
      </c>
      <c r="B5670" s="487" t="s">
        <v>1197</v>
      </c>
      <c r="C5670" s="488" t="s">
        <v>18246</v>
      </c>
      <c r="D5670" s="489" t="s">
        <v>18247</v>
      </c>
      <c r="E5670" s="487" t="s">
        <v>18248</v>
      </c>
      <c r="F5670" s="490">
        <v>0</v>
      </c>
      <c r="G5670" s="489">
        <v>63.4</v>
      </c>
      <c r="H5670" s="489">
        <v>0</v>
      </c>
      <c r="I5670" s="487" t="s">
        <v>1593</v>
      </c>
      <c r="J5670" s="487" t="s">
        <v>1199</v>
      </c>
    </row>
    <row r="5671" spans="1:10" ht="15" x14ac:dyDescent="0.2">
      <c r="A5671" s="486" t="s">
        <v>1198</v>
      </c>
      <c r="B5671" s="487" t="s">
        <v>1197</v>
      </c>
      <c r="C5671" s="488" t="s">
        <v>18249</v>
      </c>
      <c r="D5671" s="489" t="s">
        <v>18250</v>
      </c>
      <c r="E5671" s="487" t="s">
        <v>18251</v>
      </c>
      <c r="F5671" s="490">
        <v>6472.2</v>
      </c>
      <c r="G5671" s="489">
        <v>162.69999999999999</v>
      </c>
      <c r="H5671" s="489">
        <v>39.779960000000003</v>
      </c>
      <c r="I5671" s="487" t="s">
        <v>1499</v>
      </c>
      <c r="J5671" s="487" t="s">
        <v>1199</v>
      </c>
    </row>
    <row r="5672" spans="1:10" ht="15" x14ac:dyDescent="0.2">
      <c r="A5672" s="486" t="s">
        <v>1198</v>
      </c>
      <c r="B5672" s="487" t="s">
        <v>1197</v>
      </c>
      <c r="C5672" s="488" t="s">
        <v>18252</v>
      </c>
      <c r="D5672" s="489" t="s">
        <v>18253</v>
      </c>
      <c r="E5672" s="487" t="s">
        <v>18254</v>
      </c>
      <c r="F5672" s="490">
        <v>4510</v>
      </c>
      <c r="G5672" s="489">
        <v>83.9</v>
      </c>
      <c r="H5672" s="489">
        <v>53.754469999999998</v>
      </c>
      <c r="I5672" s="487" t="s">
        <v>1499</v>
      </c>
      <c r="J5672" s="487" t="s">
        <v>1199</v>
      </c>
    </row>
    <row r="5673" spans="1:10" ht="15" x14ac:dyDescent="0.2">
      <c r="A5673" s="486" t="s">
        <v>1198</v>
      </c>
      <c r="B5673" s="487" t="s">
        <v>1197</v>
      </c>
      <c r="C5673" s="488" t="s">
        <v>18255</v>
      </c>
      <c r="D5673" s="489" t="s">
        <v>18256</v>
      </c>
      <c r="E5673" s="487" t="s">
        <v>18257</v>
      </c>
      <c r="F5673" s="490">
        <v>10941</v>
      </c>
      <c r="G5673" s="489">
        <v>177.1</v>
      </c>
      <c r="H5673" s="489">
        <v>61.778660000000002</v>
      </c>
      <c r="I5673" s="487" t="s">
        <v>1499</v>
      </c>
      <c r="J5673" s="487" t="s">
        <v>1199</v>
      </c>
    </row>
    <row r="5674" spans="1:10" ht="15" x14ac:dyDescent="0.2">
      <c r="A5674" s="486" t="s">
        <v>1198</v>
      </c>
      <c r="B5674" s="487" t="s">
        <v>1197</v>
      </c>
      <c r="C5674" s="488" t="s">
        <v>18258</v>
      </c>
      <c r="D5674" s="489" t="s">
        <v>18259</v>
      </c>
      <c r="E5674" s="487" t="s">
        <v>18260</v>
      </c>
      <c r="F5674" s="490">
        <v>8038</v>
      </c>
      <c r="G5674" s="489">
        <v>122</v>
      </c>
      <c r="H5674" s="489">
        <v>65.885249999999999</v>
      </c>
      <c r="I5674" s="487" t="s">
        <v>1499</v>
      </c>
      <c r="J5674" s="487" t="s">
        <v>1199</v>
      </c>
    </row>
    <row r="5675" spans="1:10" ht="15" x14ac:dyDescent="0.2">
      <c r="A5675" s="486" t="s">
        <v>1198</v>
      </c>
      <c r="B5675" s="487" t="s">
        <v>1197</v>
      </c>
      <c r="C5675" s="488" t="s">
        <v>18261</v>
      </c>
      <c r="D5675" s="489" t="s">
        <v>18262</v>
      </c>
      <c r="E5675" s="487" t="s">
        <v>18263</v>
      </c>
      <c r="F5675" s="490">
        <v>2140</v>
      </c>
      <c r="G5675" s="489">
        <v>107.4</v>
      </c>
      <c r="H5675" s="489">
        <v>19.925509999999999</v>
      </c>
      <c r="I5675" s="487" t="s">
        <v>1499</v>
      </c>
      <c r="J5675" s="487" t="s">
        <v>1199</v>
      </c>
    </row>
    <row r="5676" spans="1:10" ht="15" x14ac:dyDescent="0.2">
      <c r="A5676" s="486" t="s">
        <v>1198</v>
      </c>
      <c r="B5676" s="487" t="s">
        <v>1197</v>
      </c>
      <c r="C5676" s="488" t="s">
        <v>18264</v>
      </c>
      <c r="D5676" s="489" t="s">
        <v>18265</v>
      </c>
      <c r="E5676" s="487" t="s">
        <v>18266</v>
      </c>
      <c r="F5676" s="490">
        <v>3450</v>
      </c>
      <c r="G5676" s="489">
        <v>81.8</v>
      </c>
      <c r="H5676" s="489">
        <v>42.17604</v>
      </c>
      <c r="I5676" s="487" t="s">
        <v>1499</v>
      </c>
      <c r="J5676" s="487" t="s">
        <v>1199</v>
      </c>
    </row>
    <row r="5677" spans="1:10" ht="15" x14ac:dyDescent="0.2">
      <c r="A5677" s="486" t="s">
        <v>1198</v>
      </c>
      <c r="B5677" s="487" t="s">
        <v>1197</v>
      </c>
      <c r="C5677" s="488" t="s">
        <v>18267</v>
      </c>
      <c r="D5677" s="489" t="s">
        <v>18268</v>
      </c>
      <c r="E5677" s="487" t="s">
        <v>14287</v>
      </c>
      <c r="F5677" s="490">
        <v>35600</v>
      </c>
      <c r="G5677" s="489">
        <v>786.3</v>
      </c>
      <c r="H5677" s="489">
        <v>45.27534</v>
      </c>
      <c r="I5677" s="487" t="s">
        <v>1499</v>
      </c>
      <c r="J5677" s="487" t="s">
        <v>1199</v>
      </c>
    </row>
    <row r="5678" spans="1:10" ht="15" x14ac:dyDescent="0.2">
      <c r="A5678" s="486" t="s">
        <v>1198</v>
      </c>
      <c r="B5678" s="487" t="s">
        <v>1197</v>
      </c>
      <c r="C5678" s="488" t="s">
        <v>18269</v>
      </c>
      <c r="D5678" s="489" t="s">
        <v>18270</v>
      </c>
      <c r="E5678" s="487" t="s">
        <v>18271</v>
      </c>
      <c r="F5678" s="490">
        <v>1000</v>
      </c>
      <c r="G5678" s="489">
        <v>68.599999999999994</v>
      </c>
      <c r="H5678" s="489">
        <v>14.577260000000001</v>
      </c>
      <c r="I5678" s="487" t="s">
        <v>1499</v>
      </c>
      <c r="J5678" s="487" t="s">
        <v>1199</v>
      </c>
    </row>
    <row r="5679" spans="1:10" ht="15" x14ac:dyDescent="0.2">
      <c r="A5679" s="486" t="s">
        <v>1198</v>
      </c>
      <c r="B5679" s="487" t="s">
        <v>1197</v>
      </c>
      <c r="C5679" s="488" t="s">
        <v>18272</v>
      </c>
      <c r="D5679" s="489" t="s">
        <v>18273</v>
      </c>
      <c r="E5679" s="487" t="s">
        <v>18274</v>
      </c>
      <c r="F5679" s="490">
        <v>2500</v>
      </c>
      <c r="G5679" s="489">
        <v>122.7</v>
      </c>
      <c r="H5679" s="489">
        <v>20.3749</v>
      </c>
      <c r="I5679" s="487" t="s">
        <v>1499</v>
      </c>
      <c r="J5679" s="487" t="s">
        <v>1199</v>
      </c>
    </row>
    <row r="5680" spans="1:10" ht="15" x14ac:dyDescent="0.2">
      <c r="A5680" s="486" t="s">
        <v>1198</v>
      </c>
      <c r="B5680" s="487" t="s">
        <v>1197</v>
      </c>
      <c r="C5680" s="488" t="s">
        <v>18275</v>
      </c>
      <c r="D5680" s="489" t="s">
        <v>18276</v>
      </c>
      <c r="E5680" s="487" t="s">
        <v>18277</v>
      </c>
      <c r="F5680" s="490">
        <v>7250</v>
      </c>
      <c r="G5680" s="489">
        <v>68.099999999999994</v>
      </c>
      <c r="H5680" s="489">
        <v>106.46109</v>
      </c>
      <c r="I5680" s="487" t="s">
        <v>1499</v>
      </c>
      <c r="J5680" s="487" t="s">
        <v>1199</v>
      </c>
    </row>
    <row r="5681" spans="1:10" ht="15" x14ac:dyDescent="0.2">
      <c r="A5681" s="486" t="s">
        <v>1198</v>
      </c>
      <c r="B5681" s="487" t="s">
        <v>1197</v>
      </c>
      <c r="C5681" s="488" t="s">
        <v>18278</v>
      </c>
      <c r="D5681" s="489" t="s">
        <v>18279</v>
      </c>
      <c r="E5681" s="487" t="s">
        <v>18280</v>
      </c>
      <c r="F5681" s="490">
        <v>34000</v>
      </c>
      <c r="G5681" s="489">
        <v>1717.5</v>
      </c>
      <c r="H5681" s="489">
        <v>19.796220000000002</v>
      </c>
      <c r="I5681" s="487" t="s">
        <v>1499</v>
      </c>
      <c r="J5681" s="487" t="s">
        <v>1199</v>
      </c>
    </row>
    <row r="5682" spans="1:10" ht="15" x14ac:dyDescent="0.2">
      <c r="A5682" s="486" t="s">
        <v>1198</v>
      </c>
      <c r="B5682" s="487" t="s">
        <v>1197</v>
      </c>
      <c r="C5682" s="488" t="s">
        <v>18281</v>
      </c>
      <c r="D5682" s="489" t="s">
        <v>18282</v>
      </c>
      <c r="E5682" s="487" t="s">
        <v>18283</v>
      </c>
      <c r="F5682" s="490">
        <v>54500</v>
      </c>
      <c r="G5682" s="489">
        <v>1004.5</v>
      </c>
      <c r="H5682" s="489">
        <v>54.255850000000002</v>
      </c>
      <c r="I5682" s="487" t="s">
        <v>1499</v>
      </c>
      <c r="J5682" s="487" t="s">
        <v>1199</v>
      </c>
    </row>
    <row r="5683" spans="1:10" ht="15" x14ac:dyDescent="0.2">
      <c r="A5683" s="486" t="s">
        <v>1198</v>
      </c>
      <c r="B5683" s="487" t="s">
        <v>1197</v>
      </c>
      <c r="C5683" s="488" t="s">
        <v>18284</v>
      </c>
      <c r="D5683" s="489" t="s">
        <v>18285</v>
      </c>
      <c r="E5683" s="487" t="s">
        <v>18286</v>
      </c>
      <c r="F5683" s="490">
        <v>267734</v>
      </c>
      <c r="G5683" s="489">
        <v>2348.3000000000002</v>
      </c>
      <c r="H5683" s="489">
        <v>114.01184000000001</v>
      </c>
      <c r="I5683" s="487" t="s">
        <v>1499</v>
      </c>
      <c r="J5683" s="487" t="s">
        <v>1199</v>
      </c>
    </row>
    <row r="5684" spans="1:10" ht="15" x14ac:dyDescent="0.2">
      <c r="A5684" s="486" t="s">
        <v>1198</v>
      </c>
      <c r="B5684" s="487" t="s">
        <v>1197</v>
      </c>
      <c r="C5684" s="488" t="s">
        <v>18287</v>
      </c>
      <c r="D5684" s="489" t="s">
        <v>18288</v>
      </c>
      <c r="E5684" s="487" t="s">
        <v>4588</v>
      </c>
      <c r="F5684" s="490">
        <v>6100</v>
      </c>
      <c r="G5684" s="489">
        <v>161.80000000000001</v>
      </c>
      <c r="H5684" s="489">
        <v>37.700870000000002</v>
      </c>
      <c r="I5684" s="487" t="s">
        <v>1499</v>
      </c>
      <c r="J5684" s="487" t="s">
        <v>1199</v>
      </c>
    </row>
    <row r="5685" spans="1:10" ht="15" x14ac:dyDescent="0.2">
      <c r="A5685" s="486" t="s">
        <v>1198</v>
      </c>
      <c r="B5685" s="487" t="s">
        <v>1197</v>
      </c>
      <c r="C5685" s="488" t="s">
        <v>18289</v>
      </c>
      <c r="D5685" s="489" t="s">
        <v>18290</v>
      </c>
      <c r="E5685" s="487" t="s">
        <v>18291</v>
      </c>
      <c r="F5685" s="490">
        <v>16000</v>
      </c>
      <c r="G5685" s="489">
        <v>863.1</v>
      </c>
      <c r="H5685" s="489">
        <v>18.53783</v>
      </c>
      <c r="I5685" s="487" t="s">
        <v>1499</v>
      </c>
      <c r="J5685" s="487" t="s">
        <v>1199</v>
      </c>
    </row>
    <row r="5686" spans="1:10" ht="15" x14ac:dyDescent="0.2">
      <c r="A5686" s="486" t="s">
        <v>1198</v>
      </c>
      <c r="B5686" s="487" t="s">
        <v>1197</v>
      </c>
      <c r="C5686" s="488" t="s">
        <v>18292</v>
      </c>
      <c r="D5686" s="489" t="s">
        <v>18293</v>
      </c>
      <c r="E5686" s="487" t="s">
        <v>18294</v>
      </c>
      <c r="F5686" s="490">
        <v>0</v>
      </c>
      <c r="G5686" s="489">
        <v>0</v>
      </c>
      <c r="H5686" s="489">
        <v>0</v>
      </c>
      <c r="I5686" s="487" t="s">
        <v>2465</v>
      </c>
      <c r="J5686" s="487" t="s">
        <v>1199</v>
      </c>
    </row>
    <row r="5687" spans="1:10" ht="15" x14ac:dyDescent="0.2">
      <c r="A5687" s="486" t="s">
        <v>1198</v>
      </c>
      <c r="B5687" s="487" t="s">
        <v>1197</v>
      </c>
      <c r="C5687" s="488" t="s">
        <v>18295</v>
      </c>
      <c r="D5687" s="489" t="s">
        <v>18296</v>
      </c>
      <c r="E5687" s="487" t="s">
        <v>18297</v>
      </c>
      <c r="F5687" s="490">
        <v>0</v>
      </c>
      <c r="G5687" s="489">
        <v>0</v>
      </c>
      <c r="H5687" s="489">
        <v>0</v>
      </c>
      <c r="I5687" s="487" t="s">
        <v>2465</v>
      </c>
      <c r="J5687" s="487" t="s">
        <v>1199</v>
      </c>
    </row>
    <row r="5688" spans="1:10" ht="15" x14ac:dyDescent="0.2">
      <c r="A5688" s="486" t="s">
        <v>1198</v>
      </c>
      <c r="B5688" s="487" t="s">
        <v>1197</v>
      </c>
      <c r="C5688" s="488" t="s">
        <v>18298</v>
      </c>
      <c r="D5688" s="489" t="s">
        <v>18299</v>
      </c>
      <c r="E5688" s="487" t="s">
        <v>18300</v>
      </c>
      <c r="F5688" s="490">
        <v>3950</v>
      </c>
      <c r="G5688" s="489">
        <v>91.2</v>
      </c>
      <c r="H5688" s="489">
        <v>43.311399999999999</v>
      </c>
      <c r="I5688" s="487" t="s">
        <v>1499</v>
      </c>
      <c r="J5688" s="487" t="s">
        <v>1199</v>
      </c>
    </row>
    <row r="5689" spans="1:10" ht="15" x14ac:dyDescent="0.2">
      <c r="A5689" s="486" t="s">
        <v>1198</v>
      </c>
      <c r="B5689" s="487" t="s">
        <v>1197</v>
      </c>
      <c r="C5689" s="488" t="s">
        <v>18301</v>
      </c>
      <c r="D5689" s="489" t="s">
        <v>18302</v>
      </c>
      <c r="E5689" s="487" t="s">
        <v>16577</v>
      </c>
      <c r="F5689" s="490">
        <v>3250</v>
      </c>
      <c r="G5689" s="489">
        <v>81.400000000000006</v>
      </c>
      <c r="H5689" s="489">
        <v>39.926290000000002</v>
      </c>
      <c r="I5689" s="487" t="s">
        <v>1499</v>
      </c>
      <c r="J5689" s="487" t="s">
        <v>1199</v>
      </c>
    </row>
    <row r="5690" spans="1:10" ht="15" x14ac:dyDescent="0.2">
      <c r="A5690" s="486" t="s">
        <v>1198</v>
      </c>
      <c r="B5690" s="487" t="s">
        <v>1197</v>
      </c>
      <c r="C5690" s="488" t="s">
        <v>18303</v>
      </c>
      <c r="D5690" s="489" t="s">
        <v>18304</v>
      </c>
      <c r="E5690" s="487" t="s">
        <v>18305</v>
      </c>
      <c r="F5690" s="490">
        <v>18270</v>
      </c>
      <c r="G5690" s="489">
        <v>197.6</v>
      </c>
      <c r="H5690" s="489">
        <v>92.459509999999995</v>
      </c>
      <c r="I5690" s="487" t="s">
        <v>1499</v>
      </c>
      <c r="J5690" s="487" t="s">
        <v>1199</v>
      </c>
    </row>
    <row r="5691" spans="1:10" ht="15" x14ac:dyDescent="0.2">
      <c r="A5691" s="486" t="s">
        <v>1198</v>
      </c>
      <c r="B5691" s="487" t="s">
        <v>1197</v>
      </c>
      <c r="C5691" s="488" t="s">
        <v>18306</v>
      </c>
      <c r="D5691" s="489" t="s">
        <v>18307</v>
      </c>
      <c r="E5691" s="487" t="s">
        <v>18308</v>
      </c>
      <c r="F5691" s="490">
        <v>21450</v>
      </c>
      <c r="G5691" s="489">
        <v>349.8</v>
      </c>
      <c r="H5691" s="489">
        <v>61.320749999999997</v>
      </c>
      <c r="I5691" s="487" t="s">
        <v>1499</v>
      </c>
      <c r="J5691" s="487" t="s">
        <v>1199</v>
      </c>
    </row>
    <row r="5692" spans="1:10" ht="15" x14ac:dyDescent="0.2">
      <c r="A5692" s="486" t="s">
        <v>1198</v>
      </c>
      <c r="B5692" s="487" t="s">
        <v>1197</v>
      </c>
      <c r="C5692" s="488" t="s">
        <v>18309</v>
      </c>
      <c r="D5692" s="489" t="s">
        <v>18310</v>
      </c>
      <c r="E5692" s="487" t="s">
        <v>18311</v>
      </c>
      <c r="F5692" s="490">
        <v>14250</v>
      </c>
      <c r="G5692" s="489">
        <v>337.3</v>
      </c>
      <c r="H5692" s="489">
        <v>42.247259999999997</v>
      </c>
      <c r="I5692" s="487" t="s">
        <v>2465</v>
      </c>
      <c r="J5692" s="487" t="s">
        <v>1199</v>
      </c>
    </row>
    <row r="5693" spans="1:10" ht="15" x14ac:dyDescent="0.2">
      <c r="A5693" s="486" t="s">
        <v>1198</v>
      </c>
      <c r="B5693" s="487" t="s">
        <v>1197</v>
      </c>
      <c r="C5693" s="488" t="s">
        <v>18312</v>
      </c>
      <c r="D5693" s="489" t="s">
        <v>18313</v>
      </c>
      <c r="E5693" s="487" t="s">
        <v>18314</v>
      </c>
      <c r="F5693" s="490">
        <v>13490</v>
      </c>
      <c r="G5693" s="489">
        <v>151.1</v>
      </c>
      <c r="H5693" s="489">
        <v>89.278620000000004</v>
      </c>
      <c r="I5693" s="487" t="s">
        <v>1499</v>
      </c>
      <c r="J5693" s="487" t="s">
        <v>1199</v>
      </c>
    </row>
    <row r="5694" spans="1:10" ht="15" x14ac:dyDescent="0.2">
      <c r="A5694" s="486" t="s">
        <v>1198</v>
      </c>
      <c r="B5694" s="487" t="s">
        <v>1197</v>
      </c>
      <c r="C5694" s="488" t="s">
        <v>18315</v>
      </c>
      <c r="D5694" s="489" t="s">
        <v>18316</v>
      </c>
      <c r="E5694" s="487" t="s">
        <v>18317</v>
      </c>
      <c r="F5694" s="490">
        <v>5360</v>
      </c>
      <c r="G5694" s="489">
        <v>141</v>
      </c>
      <c r="H5694" s="489">
        <v>38.014180000000003</v>
      </c>
      <c r="I5694" s="487" t="s">
        <v>1499</v>
      </c>
      <c r="J5694" s="487" t="s">
        <v>1199</v>
      </c>
    </row>
    <row r="5695" spans="1:10" ht="15" x14ac:dyDescent="0.2">
      <c r="A5695" s="486" t="s">
        <v>1198</v>
      </c>
      <c r="B5695" s="487" t="s">
        <v>1197</v>
      </c>
      <c r="C5695" s="488" t="s">
        <v>18318</v>
      </c>
      <c r="D5695" s="489" t="s">
        <v>18319</v>
      </c>
      <c r="E5695" s="487" t="s">
        <v>18320</v>
      </c>
      <c r="F5695" s="490">
        <v>26000</v>
      </c>
      <c r="G5695" s="489">
        <v>471.5</v>
      </c>
      <c r="H5695" s="489">
        <v>55.143160000000002</v>
      </c>
      <c r="I5695" s="487" t="s">
        <v>1499</v>
      </c>
      <c r="J5695" s="487" t="s">
        <v>1199</v>
      </c>
    </row>
    <row r="5696" spans="1:10" ht="15" x14ac:dyDescent="0.2">
      <c r="A5696" s="486" t="s">
        <v>1198</v>
      </c>
      <c r="B5696" s="487" t="s">
        <v>1197</v>
      </c>
      <c r="C5696" s="488" t="s">
        <v>18321</v>
      </c>
      <c r="D5696" s="489" t="s">
        <v>18322</v>
      </c>
      <c r="E5696" s="487" t="s">
        <v>18323</v>
      </c>
      <c r="F5696" s="490">
        <v>852860</v>
      </c>
      <c r="G5696" s="489">
        <v>7465.7</v>
      </c>
      <c r="H5696" s="489">
        <v>114.23711</v>
      </c>
      <c r="I5696" s="487" t="s">
        <v>1499</v>
      </c>
      <c r="J5696" s="487" t="s">
        <v>1199</v>
      </c>
    </row>
    <row r="5697" spans="1:10" ht="15" x14ac:dyDescent="0.2">
      <c r="A5697" s="486" t="s">
        <v>1198</v>
      </c>
      <c r="B5697" s="487" t="s">
        <v>1197</v>
      </c>
      <c r="C5697" s="488" t="s">
        <v>18324</v>
      </c>
      <c r="D5697" s="489" t="s">
        <v>18325</v>
      </c>
      <c r="E5697" s="487" t="s">
        <v>18326</v>
      </c>
      <c r="F5697" s="490">
        <v>6000</v>
      </c>
      <c r="G5697" s="489">
        <v>78.599999999999994</v>
      </c>
      <c r="H5697" s="489">
        <v>76.335880000000003</v>
      </c>
      <c r="I5697" s="487" t="s">
        <v>2465</v>
      </c>
      <c r="J5697" s="487" t="s">
        <v>1199</v>
      </c>
    </row>
    <row r="5698" spans="1:10" ht="15" x14ac:dyDescent="0.2">
      <c r="A5698" s="486" t="s">
        <v>1198</v>
      </c>
      <c r="B5698" s="487" t="s">
        <v>1197</v>
      </c>
      <c r="C5698" s="488" t="s">
        <v>18327</v>
      </c>
      <c r="D5698" s="489" t="s">
        <v>18328</v>
      </c>
      <c r="E5698" s="487" t="s">
        <v>18329</v>
      </c>
      <c r="F5698" s="490">
        <v>1617</v>
      </c>
      <c r="G5698" s="489">
        <v>79.099999999999994</v>
      </c>
      <c r="H5698" s="489">
        <v>20.44248</v>
      </c>
      <c r="I5698" s="487" t="s">
        <v>1499</v>
      </c>
      <c r="J5698" s="487" t="s">
        <v>1199</v>
      </c>
    </row>
    <row r="5699" spans="1:10" ht="15" x14ac:dyDescent="0.2">
      <c r="A5699" s="486" t="s">
        <v>1198</v>
      </c>
      <c r="B5699" s="487" t="s">
        <v>1197</v>
      </c>
      <c r="C5699" s="488" t="s">
        <v>18330</v>
      </c>
      <c r="D5699" s="489" t="s">
        <v>18331</v>
      </c>
      <c r="E5699" s="487" t="s">
        <v>18332</v>
      </c>
      <c r="F5699" s="490">
        <v>3550</v>
      </c>
      <c r="G5699" s="489">
        <v>150.9</v>
      </c>
      <c r="H5699" s="489">
        <v>23.525510000000001</v>
      </c>
      <c r="I5699" s="487" t="s">
        <v>1499</v>
      </c>
      <c r="J5699" s="487" t="s">
        <v>1199</v>
      </c>
    </row>
    <row r="5700" spans="1:10" ht="15" x14ac:dyDescent="0.2">
      <c r="A5700" s="486" t="s">
        <v>1198</v>
      </c>
      <c r="B5700" s="487" t="s">
        <v>1197</v>
      </c>
      <c r="C5700" s="488" t="s">
        <v>18333</v>
      </c>
      <c r="D5700" s="489" t="s">
        <v>18334</v>
      </c>
      <c r="E5700" s="487" t="s">
        <v>18335</v>
      </c>
      <c r="F5700" s="490">
        <v>3363</v>
      </c>
      <c r="G5700" s="489">
        <v>81.400000000000006</v>
      </c>
      <c r="H5700" s="489">
        <v>41.314500000000002</v>
      </c>
      <c r="I5700" s="487" t="s">
        <v>1499</v>
      </c>
      <c r="J5700" s="487" t="s">
        <v>1199</v>
      </c>
    </row>
    <row r="5701" spans="1:10" ht="15" x14ac:dyDescent="0.2">
      <c r="A5701" s="486" t="s">
        <v>1198</v>
      </c>
      <c r="B5701" s="487" t="s">
        <v>1197</v>
      </c>
      <c r="C5701" s="488" t="s">
        <v>18336</v>
      </c>
      <c r="D5701" s="489" t="s">
        <v>18337</v>
      </c>
      <c r="E5701" s="487" t="s">
        <v>18338</v>
      </c>
      <c r="F5701" s="490">
        <v>0</v>
      </c>
      <c r="G5701" s="489">
        <v>0</v>
      </c>
      <c r="H5701" s="489">
        <v>0</v>
      </c>
      <c r="I5701" s="487" t="s">
        <v>2465</v>
      </c>
      <c r="J5701" s="487" t="s">
        <v>1199</v>
      </c>
    </row>
    <row r="5702" spans="1:10" ht="15" x14ac:dyDescent="0.2">
      <c r="A5702" s="486" t="s">
        <v>1198</v>
      </c>
      <c r="B5702" s="487" t="s">
        <v>1197</v>
      </c>
      <c r="C5702" s="488" t="s">
        <v>18339</v>
      </c>
      <c r="D5702" s="489" t="s">
        <v>18340</v>
      </c>
      <c r="E5702" s="487" t="s">
        <v>18341</v>
      </c>
      <c r="F5702" s="490">
        <v>9250</v>
      </c>
      <c r="G5702" s="489">
        <v>367.6</v>
      </c>
      <c r="H5702" s="489">
        <v>25.163219999999999</v>
      </c>
      <c r="I5702" s="487" t="s">
        <v>1499</v>
      </c>
      <c r="J5702" s="487" t="s">
        <v>1199</v>
      </c>
    </row>
    <row r="5703" spans="1:10" ht="15" x14ac:dyDescent="0.2">
      <c r="A5703" s="486" t="s">
        <v>1198</v>
      </c>
      <c r="B5703" s="487" t="s">
        <v>1197</v>
      </c>
      <c r="C5703" s="488" t="s">
        <v>18342</v>
      </c>
      <c r="D5703" s="489" t="s">
        <v>18343</v>
      </c>
      <c r="E5703" s="487" t="s">
        <v>18039</v>
      </c>
      <c r="F5703" s="490">
        <v>21191</v>
      </c>
      <c r="G5703" s="489">
        <v>822.1</v>
      </c>
      <c r="H5703" s="489">
        <v>25.776669999999999</v>
      </c>
      <c r="I5703" s="487" t="s">
        <v>1499</v>
      </c>
      <c r="J5703" s="487" t="s">
        <v>1199</v>
      </c>
    </row>
    <row r="5704" spans="1:10" ht="15" x14ac:dyDescent="0.2">
      <c r="A5704" s="486" t="s">
        <v>1198</v>
      </c>
      <c r="B5704" s="487" t="s">
        <v>1197</v>
      </c>
      <c r="C5704" s="488" t="s">
        <v>18344</v>
      </c>
      <c r="D5704" s="489" t="s">
        <v>18345</v>
      </c>
      <c r="E5704" s="487" t="s">
        <v>18346</v>
      </c>
      <c r="F5704" s="490">
        <v>0</v>
      </c>
      <c r="G5704" s="489">
        <v>142.9</v>
      </c>
      <c r="H5704" s="489">
        <v>0</v>
      </c>
      <c r="I5704" s="487" t="s">
        <v>1593</v>
      </c>
      <c r="J5704" s="487" t="s">
        <v>1199</v>
      </c>
    </row>
    <row r="5705" spans="1:10" ht="15" x14ac:dyDescent="0.2">
      <c r="A5705" s="486" t="s">
        <v>1198</v>
      </c>
      <c r="B5705" s="487" t="s">
        <v>1197</v>
      </c>
      <c r="C5705" s="488" t="s">
        <v>18347</v>
      </c>
      <c r="D5705" s="489" t="s">
        <v>18348</v>
      </c>
      <c r="E5705" s="487" t="s">
        <v>18349</v>
      </c>
      <c r="F5705" s="490">
        <v>6300</v>
      </c>
      <c r="G5705" s="489">
        <v>312.39999999999998</v>
      </c>
      <c r="H5705" s="489">
        <v>20.166450000000001</v>
      </c>
      <c r="I5705" s="487" t="s">
        <v>1499</v>
      </c>
      <c r="J5705" s="487" t="s">
        <v>1199</v>
      </c>
    </row>
    <row r="5706" spans="1:10" ht="15" x14ac:dyDescent="0.2">
      <c r="A5706" s="486" t="s">
        <v>1198</v>
      </c>
      <c r="B5706" s="487" t="s">
        <v>1197</v>
      </c>
      <c r="C5706" s="488" t="s">
        <v>18350</v>
      </c>
      <c r="D5706" s="489" t="s">
        <v>18351</v>
      </c>
      <c r="E5706" s="487" t="s">
        <v>18352</v>
      </c>
      <c r="F5706" s="490">
        <v>1688</v>
      </c>
      <c r="G5706" s="489">
        <v>79.7</v>
      </c>
      <c r="H5706" s="489">
        <v>21.17942</v>
      </c>
      <c r="I5706" s="487" t="s">
        <v>1499</v>
      </c>
      <c r="J5706" s="487" t="s">
        <v>1199</v>
      </c>
    </row>
    <row r="5707" spans="1:10" ht="15" x14ac:dyDescent="0.2">
      <c r="A5707" s="486" t="s">
        <v>1198</v>
      </c>
      <c r="B5707" s="487" t="s">
        <v>1197</v>
      </c>
      <c r="C5707" s="488" t="s">
        <v>18353</v>
      </c>
      <c r="D5707" s="489" t="s">
        <v>18354</v>
      </c>
      <c r="E5707" s="487" t="s">
        <v>18355</v>
      </c>
      <c r="F5707" s="490">
        <v>11500</v>
      </c>
      <c r="G5707" s="489">
        <v>118.4</v>
      </c>
      <c r="H5707" s="489">
        <v>97.128380000000007</v>
      </c>
      <c r="I5707" s="487" t="s">
        <v>1499</v>
      </c>
      <c r="J5707" s="487" t="s">
        <v>1199</v>
      </c>
    </row>
    <row r="5708" spans="1:10" ht="15" x14ac:dyDescent="0.2">
      <c r="A5708" s="486" t="s">
        <v>1198</v>
      </c>
      <c r="B5708" s="487" t="s">
        <v>1197</v>
      </c>
      <c r="C5708" s="488" t="s">
        <v>18356</v>
      </c>
      <c r="D5708" s="489" t="s">
        <v>18357</v>
      </c>
      <c r="E5708" s="487" t="s">
        <v>18358</v>
      </c>
      <c r="F5708" s="490">
        <v>2700</v>
      </c>
      <c r="G5708" s="489">
        <v>144.1</v>
      </c>
      <c r="H5708" s="489">
        <v>18.736989999999999</v>
      </c>
      <c r="I5708" s="487" t="s">
        <v>1499</v>
      </c>
      <c r="J5708" s="487" t="s">
        <v>1199</v>
      </c>
    </row>
    <row r="5709" spans="1:10" ht="15" x14ac:dyDescent="0.2">
      <c r="A5709" s="486" t="s">
        <v>1198</v>
      </c>
      <c r="B5709" s="487" t="s">
        <v>1197</v>
      </c>
      <c r="C5709" s="488" t="s">
        <v>18359</v>
      </c>
      <c r="D5709" s="489" t="s">
        <v>18360</v>
      </c>
      <c r="E5709" s="487" t="s">
        <v>18361</v>
      </c>
      <c r="F5709" s="490">
        <v>3714</v>
      </c>
      <c r="G5709" s="489">
        <v>98.6</v>
      </c>
      <c r="H5709" s="489">
        <v>37.667340000000003</v>
      </c>
      <c r="I5709" s="487" t="s">
        <v>1499</v>
      </c>
      <c r="J5709" s="487" t="s">
        <v>1199</v>
      </c>
    </row>
    <row r="5710" spans="1:10" ht="15" x14ac:dyDescent="0.2">
      <c r="A5710" s="486" t="s">
        <v>1198</v>
      </c>
      <c r="B5710" s="487" t="s">
        <v>1197</v>
      </c>
      <c r="C5710" s="488" t="s">
        <v>18362</v>
      </c>
      <c r="D5710" s="489" t="s">
        <v>18363</v>
      </c>
      <c r="E5710" s="487" t="s">
        <v>18364</v>
      </c>
      <c r="F5710" s="490">
        <v>13000</v>
      </c>
      <c r="G5710" s="489">
        <v>149.9</v>
      </c>
      <c r="H5710" s="489">
        <v>86.72448</v>
      </c>
      <c r="I5710" s="487" t="s">
        <v>1499</v>
      </c>
      <c r="J5710" s="487" t="s">
        <v>1199</v>
      </c>
    </row>
    <row r="5711" spans="1:10" ht="15" x14ac:dyDescent="0.2">
      <c r="A5711" s="486" t="s">
        <v>1198</v>
      </c>
      <c r="B5711" s="487" t="s">
        <v>1197</v>
      </c>
      <c r="C5711" s="488" t="s">
        <v>18365</v>
      </c>
      <c r="D5711" s="489" t="s">
        <v>18366</v>
      </c>
      <c r="E5711" s="487" t="s">
        <v>18367</v>
      </c>
      <c r="F5711" s="490">
        <v>400</v>
      </c>
      <c r="G5711" s="489">
        <v>20.3</v>
      </c>
      <c r="H5711" s="489">
        <v>19.704429999999999</v>
      </c>
      <c r="I5711" s="487" t="s">
        <v>1499</v>
      </c>
      <c r="J5711" s="487" t="s">
        <v>1199</v>
      </c>
    </row>
    <row r="5712" spans="1:10" ht="15" x14ac:dyDescent="0.2">
      <c r="A5712" s="486" t="s">
        <v>1198</v>
      </c>
      <c r="B5712" s="487" t="s">
        <v>1197</v>
      </c>
      <c r="C5712" s="488" t="s">
        <v>18368</v>
      </c>
      <c r="D5712" s="489" t="s">
        <v>18369</v>
      </c>
      <c r="E5712" s="487" t="s">
        <v>18370</v>
      </c>
      <c r="F5712" s="490">
        <v>138599</v>
      </c>
      <c r="G5712" s="489">
        <v>11452.3</v>
      </c>
      <c r="H5712" s="489">
        <v>12.10229</v>
      </c>
      <c r="I5712" s="487" t="s">
        <v>1499</v>
      </c>
      <c r="J5712" s="487" t="s">
        <v>1199</v>
      </c>
    </row>
    <row r="5713" spans="1:10" ht="15" x14ac:dyDescent="0.2">
      <c r="A5713" s="486" t="s">
        <v>1369</v>
      </c>
      <c r="B5713" s="487" t="s">
        <v>1368</v>
      </c>
      <c r="C5713" s="488" t="s">
        <v>18371</v>
      </c>
      <c r="D5713" s="489" t="s">
        <v>18372</v>
      </c>
      <c r="E5713" s="487" t="s">
        <v>18373</v>
      </c>
      <c r="F5713" s="490">
        <v>0</v>
      </c>
      <c r="G5713" s="489">
        <v>39.72</v>
      </c>
      <c r="H5713" s="489">
        <v>0</v>
      </c>
      <c r="I5713" s="487" t="s">
        <v>1593</v>
      </c>
      <c r="J5713" s="487" t="s">
        <v>1370</v>
      </c>
    </row>
    <row r="5714" spans="1:10" ht="15" x14ac:dyDescent="0.2">
      <c r="A5714" s="486" t="s">
        <v>1369</v>
      </c>
      <c r="B5714" s="487" t="s">
        <v>1368</v>
      </c>
      <c r="C5714" s="488" t="s">
        <v>18374</v>
      </c>
      <c r="D5714" s="489" t="s">
        <v>18375</v>
      </c>
      <c r="E5714" s="487" t="s">
        <v>18376</v>
      </c>
      <c r="F5714" s="490">
        <v>0</v>
      </c>
      <c r="G5714" s="489">
        <v>0</v>
      </c>
      <c r="H5714" s="489">
        <v>0</v>
      </c>
      <c r="I5714" s="487" t="s">
        <v>2465</v>
      </c>
      <c r="J5714" s="487" t="s">
        <v>1370</v>
      </c>
    </row>
    <row r="5715" spans="1:10" ht="15" x14ac:dyDescent="0.2">
      <c r="A5715" s="486" t="s">
        <v>1369</v>
      </c>
      <c r="B5715" s="487" t="s">
        <v>1368</v>
      </c>
      <c r="C5715" s="488" t="s">
        <v>18377</v>
      </c>
      <c r="D5715" s="489" t="s">
        <v>18378</v>
      </c>
      <c r="E5715" s="487" t="s">
        <v>18379</v>
      </c>
      <c r="F5715" s="490">
        <v>86560</v>
      </c>
      <c r="G5715" s="489">
        <v>740.54</v>
      </c>
      <c r="H5715" s="489">
        <v>116.88768</v>
      </c>
      <c r="I5715" s="487" t="s">
        <v>2465</v>
      </c>
      <c r="J5715" s="487" t="s">
        <v>1370</v>
      </c>
    </row>
    <row r="5716" spans="1:10" ht="15" x14ac:dyDescent="0.2">
      <c r="A5716" s="486" t="s">
        <v>1369</v>
      </c>
      <c r="B5716" s="487" t="s">
        <v>1368</v>
      </c>
      <c r="C5716" s="488" t="s">
        <v>18380</v>
      </c>
      <c r="D5716" s="489" t="s">
        <v>18381</v>
      </c>
      <c r="E5716" s="487" t="s">
        <v>18382</v>
      </c>
      <c r="F5716" s="490">
        <v>33626</v>
      </c>
      <c r="G5716" s="489">
        <v>249.93</v>
      </c>
      <c r="H5716" s="489">
        <v>134.54167000000001</v>
      </c>
      <c r="I5716" s="487" t="s">
        <v>2465</v>
      </c>
      <c r="J5716" s="487" t="s">
        <v>1370</v>
      </c>
    </row>
    <row r="5717" spans="1:10" ht="15" x14ac:dyDescent="0.2">
      <c r="A5717" s="486" t="s">
        <v>1369</v>
      </c>
      <c r="B5717" s="487" t="s">
        <v>1368</v>
      </c>
      <c r="C5717" s="488" t="s">
        <v>18383</v>
      </c>
      <c r="D5717" s="489" t="s">
        <v>18384</v>
      </c>
      <c r="E5717" s="487" t="s">
        <v>18385</v>
      </c>
      <c r="F5717" s="490">
        <v>7400</v>
      </c>
      <c r="G5717" s="489">
        <v>177.39</v>
      </c>
      <c r="H5717" s="489">
        <v>41.715989999999998</v>
      </c>
      <c r="I5717" s="487" t="s">
        <v>1499</v>
      </c>
      <c r="J5717" s="487" t="s">
        <v>1370</v>
      </c>
    </row>
    <row r="5718" spans="1:10" ht="15" x14ac:dyDescent="0.2">
      <c r="A5718" s="486" t="s">
        <v>1369</v>
      </c>
      <c r="B5718" s="487" t="s">
        <v>1368</v>
      </c>
      <c r="C5718" s="488" t="s">
        <v>18386</v>
      </c>
      <c r="D5718" s="489" t="s">
        <v>18387</v>
      </c>
      <c r="E5718" s="487" t="s">
        <v>18388</v>
      </c>
      <c r="F5718" s="490">
        <v>6718</v>
      </c>
      <c r="G5718" s="489">
        <v>138.58000000000001</v>
      </c>
      <c r="H5718" s="489">
        <v>48.477409999999999</v>
      </c>
      <c r="I5718" s="487" t="s">
        <v>1499</v>
      </c>
      <c r="J5718" s="487" t="s">
        <v>1370</v>
      </c>
    </row>
    <row r="5719" spans="1:10" ht="15" x14ac:dyDescent="0.2">
      <c r="A5719" s="486" t="s">
        <v>1369</v>
      </c>
      <c r="B5719" s="487" t="s">
        <v>1368</v>
      </c>
      <c r="C5719" s="488" t="s">
        <v>18389</v>
      </c>
      <c r="D5719" s="489" t="s">
        <v>18390</v>
      </c>
      <c r="E5719" s="487" t="s">
        <v>18391</v>
      </c>
      <c r="F5719" s="490">
        <v>0</v>
      </c>
      <c r="G5719" s="489">
        <v>32.200000000000003</v>
      </c>
      <c r="H5719" s="489">
        <v>0</v>
      </c>
      <c r="I5719" s="487" t="s">
        <v>1593</v>
      </c>
      <c r="J5719" s="487" t="s">
        <v>1370</v>
      </c>
    </row>
    <row r="5720" spans="1:10" ht="15" x14ac:dyDescent="0.2">
      <c r="A5720" s="486" t="s">
        <v>1369</v>
      </c>
      <c r="B5720" s="487" t="s">
        <v>1368</v>
      </c>
      <c r="C5720" s="488" t="s">
        <v>18392</v>
      </c>
      <c r="D5720" s="489" t="s">
        <v>18393</v>
      </c>
      <c r="E5720" s="487" t="s">
        <v>18394</v>
      </c>
      <c r="F5720" s="490">
        <v>6900</v>
      </c>
      <c r="G5720" s="489">
        <v>403.54</v>
      </c>
      <c r="H5720" s="489">
        <v>17.098680000000002</v>
      </c>
      <c r="I5720" s="487" t="s">
        <v>1499</v>
      </c>
      <c r="J5720" s="487" t="s">
        <v>1370</v>
      </c>
    </row>
    <row r="5721" spans="1:10" ht="15" x14ac:dyDescent="0.2">
      <c r="A5721" s="486" t="s">
        <v>1369</v>
      </c>
      <c r="B5721" s="487" t="s">
        <v>1368</v>
      </c>
      <c r="C5721" s="488" t="s">
        <v>18395</v>
      </c>
      <c r="D5721" s="489" t="s">
        <v>18396</v>
      </c>
      <c r="E5721" s="487" t="s">
        <v>3826</v>
      </c>
      <c r="F5721" s="490">
        <v>0</v>
      </c>
      <c r="G5721" s="489">
        <v>32.24</v>
      </c>
      <c r="H5721" s="489">
        <v>0</v>
      </c>
      <c r="I5721" s="487" t="s">
        <v>1593</v>
      </c>
      <c r="J5721" s="487" t="s">
        <v>1370</v>
      </c>
    </row>
    <row r="5722" spans="1:10" ht="15" x14ac:dyDescent="0.2">
      <c r="A5722" s="486" t="s">
        <v>1369</v>
      </c>
      <c r="B5722" s="487" t="s">
        <v>1368</v>
      </c>
      <c r="C5722" s="488" t="s">
        <v>18397</v>
      </c>
      <c r="D5722" s="489" t="s">
        <v>18398</v>
      </c>
      <c r="E5722" s="487" t="s">
        <v>18399</v>
      </c>
      <c r="F5722" s="490">
        <v>3700</v>
      </c>
      <c r="G5722" s="489">
        <v>52.98</v>
      </c>
      <c r="H5722" s="489">
        <v>69.837670000000003</v>
      </c>
      <c r="I5722" s="487" t="s">
        <v>1499</v>
      </c>
      <c r="J5722" s="487" t="s">
        <v>1370</v>
      </c>
    </row>
    <row r="5723" spans="1:10" ht="15" x14ac:dyDescent="0.2">
      <c r="A5723" s="486" t="s">
        <v>1369</v>
      </c>
      <c r="B5723" s="487" t="s">
        <v>1368</v>
      </c>
      <c r="C5723" s="488" t="s">
        <v>18400</v>
      </c>
      <c r="D5723" s="489" t="s">
        <v>18401</v>
      </c>
      <c r="E5723" s="487" t="s">
        <v>18402</v>
      </c>
      <c r="F5723" s="490">
        <v>950</v>
      </c>
      <c r="G5723" s="489">
        <v>38.229999999999997</v>
      </c>
      <c r="H5723" s="489">
        <v>24.849589999999999</v>
      </c>
      <c r="I5723" s="487" t="s">
        <v>1499</v>
      </c>
      <c r="J5723" s="487" t="s">
        <v>1370</v>
      </c>
    </row>
    <row r="5724" spans="1:10" ht="15" x14ac:dyDescent="0.2">
      <c r="A5724" s="486" t="s">
        <v>1369</v>
      </c>
      <c r="B5724" s="487" t="s">
        <v>1368</v>
      </c>
      <c r="C5724" s="488" t="s">
        <v>18403</v>
      </c>
      <c r="D5724" s="489" t="s">
        <v>18404</v>
      </c>
      <c r="E5724" s="487" t="s">
        <v>18405</v>
      </c>
      <c r="F5724" s="490">
        <v>0</v>
      </c>
      <c r="G5724" s="489">
        <v>34.74</v>
      </c>
      <c r="H5724" s="489">
        <v>0</v>
      </c>
      <c r="I5724" s="487" t="s">
        <v>1593</v>
      </c>
      <c r="J5724" s="487" t="s">
        <v>1370</v>
      </c>
    </row>
    <row r="5725" spans="1:10" ht="15" x14ac:dyDescent="0.2">
      <c r="A5725" s="486" t="s">
        <v>1369</v>
      </c>
      <c r="B5725" s="487" t="s">
        <v>1368</v>
      </c>
      <c r="C5725" s="488" t="s">
        <v>18406</v>
      </c>
      <c r="D5725" s="489" t="s">
        <v>18407</v>
      </c>
      <c r="E5725" s="487" t="s">
        <v>18408</v>
      </c>
      <c r="F5725" s="490">
        <v>26380</v>
      </c>
      <c r="G5725" s="489">
        <v>186.15</v>
      </c>
      <c r="H5725" s="489">
        <v>141.71367000000001</v>
      </c>
      <c r="I5725" s="487" t="s">
        <v>1499</v>
      </c>
      <c r="J5725" s="487" t="s">
        <v>1370</v>
      </c>
    </row>
    <row r="5726" spans="1:10" ht="15" x14ac:dyDescent="0.2">
      <c r="A5726" s="486" t="s">
        <v>1369</v>
      </c>
      <c r="B5726" s="487" t="s">
        <v>1368</v>
      </c>
      <c r="C5726" s="488" t="s">
        <v>18409</v>
      </c>
      <c r="D5726" s="489" t="s">
        <v>18410</v>
      </c>
      <c r="E5726" s="487" t="s">
        <v>18411</v>
      </c>
      <c r="F5726" s="490">
        <v>0</v>
      </c>
      <c r="G5726" s="489">
        <v>31.45</v>
      </c>
      <c r="H5726" s="489">
        <v>0</v>
      </c>
      <c r="I5726" s="487" t="s">
        <v>1593</v>
      </c>
      <c r="J5726" s="487" t="s">
        <v>1370</v>
      </c>
    </row>
    <row r="5727" spans="1:10" ht="15" x14ac:dyDescent="0.2">
      <c r="A5727" s="486" t="s">
        <v>1369</v>
      </c>
      <c r="B5727" s="487" t="s">
        <v>1368</v>
      </c>
      <c r="C5727" s="488" t="s">
        <v>18412</v>
      </c>
      <c r="D5727" s="489" t="s">
        <v>18413</v>
      </c>
      <c r="E5727" s="487" t="s">
        <v>12078</v>
      </c>
      <c r="F5727" s="490">
        <v>0</v>
      </c>
      <c r="G5727" s="489">
        <v>11.38</v>
      </c>
      <c r="H5727" s="489">
        <v>0</v>
      </c>
      <c r="I5727" s="487" t="s">
        <v>1593</v>
      </c>
      <c r="J5727" s="487" t="s">
        <v>1370</v>
      </c>
    </row>
    <row r="5728" spans="1:10" ht="15" x14ac:dyDescent="0.2">
      <c r="A5728" s="486" t="s">
        <v>1369</v>
      </c>
      <c r="B5728" s="487" t="s">
        <v>1368</v>
      </c>
      <c r="C5728" s="488" t="s">
        <v>18414</v>
      </c>
      <c r="D5728" s="489" t="s">
        <v>18415</v>
      </c>
      <c r="E5728" s="487" t="s">
        <v>9102</v>
      </c>
      <c r="F5728" s="490">
        <v>6900</v>
      </c>
      <c r="G5728" s="489">
        <v>441.38</v>
      </c>
      <c r="H5728" s="489">
        <v>15.63279</v>
      </c>
      <c r="I5728" s="487" t="s">
        <v>1499</v>
      </c>
      <c r="J5728" s="487" t="s">
        <v>1370</v>
      </c>
    </row>
    <row r="5729" spans="1:10" ht="15" x14ac:dyDescent="0.2">
      <c r="A5729" s="486" t="s">
        <v>1369</v>
      </c>
      <c r="B5729" s="487" t="s">
        <v>1368</v>
      </c>
      <c r="C5729" s="488" t="s">
        <v>18416</v>
      </c>
      <c r="D5729" s="489" t="s">
        <v>18417</v>
      </c>
      <c r="E5729" s="487" t="s">
        <v>18418</v>
      </c>
      <c r="F5729" s="490">
        <v>0</v>
      </c>
      <c r="G5729" s="489">
        <v>22.31</v>
      </c>
      <c r="H5729" s="489">
        <v>0</v>
      </c>
      <c r="I5729" s="487" t="s">
        <v>1593</v>
      </c>
      <c r="J5729" s="487" t="s">
        <v>1370</v>
      </c>
    </row>
    <row r="5730" spans="1:10" ht="15" x14ac:dyDescent="0.2">
      <c r="A5730" s="486" t="s">
        <v>1369</v>
      </c>
      <c r="B5730" s="487" t="s">
        <v>1368</v>
      </c>
      <c r="C5730" s="488" t="s">
        <v>18419</v>
      </c>
      <c r="D5730" s="489" t="s">
        <v>18420</v>
      </c>
      <c r="E5730" s="487" t="s">
        <v>18421</v>
      </c>
      <c r="F5730" s="490">
        <v>0</v>
      </c>
      <c r="G5730" s="489">
        <v>28.32</v>
      </c>
      <c r="H5730" s="489">
        <v>0</v>
      </c>
      <c r="I5730" s="487" t="s">
        <v>1593</v>
      </c>
      <c r="J5730" s="487" t="s">
        <v>1370</v>
      </c>
    </row>
    <row r="5731" spans="1:10" ht="15" x14ac:dyDescent="0.2">
      <c r="A5731" s="486" t="s">
        <v>1369</v>
      </c>
      <c r="B5731" s="487" t="s">
        <v>1368</v>
      </c>
      <c r="C5731" s="488" t="s">
        <v>18422</v>
      </c>
      <c r="D5731" s="489" t="s">
        <v>18423</v>
      </c>
      <c r="E5731" s="487" t="s">
        <v>18424</v>
      </c>
      <c r="F5731" s="490">
        <v>0</v>
      </c>
      <c r="G5731" s="489">
        <v>32.82</v>
      </c>
      <c r="H5731" s="489">
        <v>0</v>
      </c>
      <c r="I5731" s="487" t="s">
        <v>1593</v>
      </c>
      <c r="J5731" s="487" t="s">
        <v>1370</v>
      </c>
    </row>
    <row r="5732" spans="1:10" ht="15" x14ac:dyDescent="0.2">
      <c r="A5732" s="486" t="s">
        <v>1369</v>
      </c>
      <c r="B5732" s="487" t="s">
        <v>1368</v>
      </c>
      <c r="C5732" s="488" t="s">
        <v>18425</v>
      </c>
      <c r="D5732" s="489" t="s">
        <v>18426</v>
      </c>
      <c r="E5732" s="487" t="s">
        <v>18427</v>
      </c>
      <c r="F5732" s="490">
        <v>132458</v>
      </c>
      <c r="G5732" s="489">
        <v>1039.3900000000001</v>
      </c>
      <c r="H5732" s="489">
        <v>127.43821</v>
      </c>
      <c r="I5732" s="487" t="s">
        <v>1499</v>
      </c>
      <c r="J5732" s="487" t="s">
        <v>1370</v>
      </c>
    </row>
    <row r="5733" spans="1:10" ht="15" x14ac:dyDescent="0.2">
      <c r="A5733" s="486" t="s">
        <v>1369</v>
      </c>
      <c r="B5733" s="487" t="s">
        <v>1368</v>
      </c>
      <c r="C5733" s="488" t="s">
        <v>18428</v>
      </c>
      <c r="D5733" s="489" t="s">
        <v>18429</v>
      </c>
      <c r="E5733" s="487" t="s">
        <v>18430</v>
      </c>
      <c r="F5733" s="490">
        <v>900</v>
      </c>
      <c r="G5733" s="489">
        <v>51.97</v>
      </c>
      <c r="H5733" s="489">
        <v>17.317679999999999</v>
      </c>
      <c r="I5733" s="487" t="s">
        <v>1499</v>
      </c>
      <c r="J5733" s="487" t="s">
        <v>1370</v>
      </c>
    </row>
    <row r="5734" spans="1:10" ht="15" x14ac:dyDescent="0.2">
      <c r="A5734" s="486" t="s">
        <v>1369</v>
      </c>
      <c r="B5734" s="487" t="s">
        <v>1368</v>
      </c>
      <c r="C5734" s="488" t="s">
        <v>18431</v>
      </c>
      <c r="D5734" s="489" t="s">
        <v>18432</v>
      </c>
      <c r="E5734" s="487" t="s">
        <v>18433</v>
      </c>
      <c r="F5734" s="490">
        <v>104900</v>
      </c>
      <c r="G5734" s="489">
        <v>1412</v>
      </c>
      <c r="H5734" s="489">
        <v>74.291780000000003</v>
      </c>
      <c r="I5734" s="487" t="s">
        <v>1499</v>
      </c>
      <c r="J5734" s="487" t="s">
        <v>1370</v>
      </c>
    </row>
    <row r="5735" spans="1:10" ht="15" x14ac:dyDescent="0.2">
      <c r="A5735" s="486" t="s">
        <v>1369</v>
      </c>
      <c r="B5735" s="487" t="s">
        <v>1368</v>
      </c>
      <c r="C5735" s="488" t="s">
        <v>18434</v>
      </c>
      <c r="D5735" s="489" t="s">
        <v>18435</v>
      </c>
      <c r="E5735" s="487" t="s">
        <v>18436</v>
      </c>
      <c r="F5735" s="490">
        <v>6536</v>
      </c>
      <c r="G5735" s="489">
        <v>69.98</v>
      </c>
      <c r="H5735" s="489">
        <v>93.398110000000003</v>
      </c>
      <c r="I5735" s="487" t="s">
        <v>1499</v>
      </c>
      <c r="J5735" s="487" t="s">
        <v>1370</v>
      </c>
    </row>
    <row r="5736" spans="1:10" ht="15" x14ac:dyDescent="0.2">
      <c r="A5736" s="486" t="s">
        <v>1369</v>
      </c>
      <c r="B5736" s="487" t="s">
        <v>1368</v>
      </c>
      <c r="C5736" s="488" t="s">
        <v>18437</v>
      </c>
      <c r="D5736" s="489" t="s">
        <v>18438</v>
      </c>
      <c r="E5736" s="487" t="s">
        <v>18439</v>
      </c>
      <c r="F5736" s="490">
        <v>0</v>
      </c>
      <c r="G5736" s="489">
        <v>0</v>
      </c>
      <c r="H5736" s="489">
        <v>0</v>
      </c>
      <c r="I5736" s="487" t="s">
        <v>2465</v>
      </c>
      <c r="J5736" s="487" t="s">
        <v>1370</v>
      </c>
    </row>
    <row r="5737" spans="1:10" ht="15" x14ac:dyDescent="0.2">
      <c r="A5737" s="486" t="s">
        <v>1369</v>
      </c>
      <c r="B5737" s="487" t="s">
        <v>1368</v>
      </c>
      <c r="C5737" s="488" t="s">
        <v>18440</v>
      </c>
      <c r="D5737" s="489" t="s">
        <v>18441</v>
      </c>
      <c r="E5737" s="487" t="s">
        <v>18442</v>
      </c>
      <c r="F5737" s="490">
        <v>17400</v>
      </c>
      <c r="G5737" s="489">
        <v>176.35</v>
      </c>
      <c r="H5737" s="489">
        <v>98.667420000000007</v>
      </c>
      <c r="I5737" s="487" t="s">
        <v>1499</v>
      </c>
      <c r="J5737" s="487" t="s">
        <v>1370</v>
      </c>
    </row>
    <row r="5738" spans="1:10" ht="15" x14ac:dyDescent="0.2">
      <c r="A5738" s="486" t="s">
        <v>1369</v>
      </c>
      <c r="B5738" s="487" t="s">
        <v>1368</v>
      </c>
      <c r="C5738" s="488" t="s">
        <v>18443</v>
      </c>
      <c r="D5738" s="489" t="s">
        <v>18444</v>
      </c>
      <c r="E5738" s="487" t="s">
        <v>18445</v>
      </c>
      <c r="F5738" s="490">
        <v>55520</v>
      </c>
      <c r="G5738" s="489">
        <v>857.77</v>
      </c>
      <c r="H5738" s="489">
        <v>64.725980000000007</v>
      </c>
      <c r="I5738" s="487" t="s">
        <v>1499</v>
      </c>
      <c r="J5738" s="487" t="s">
        <v>1370</v>
      </c>
    </row>
    <row r="5739" spans="1:10" ht="15" x14ac:dyDescent="0.2">
      <c r="A5739" s="486" t="s">
        <v>1369</v>
      </c>
      <c r="B5739" s="487" t="s">
        <v>1368</v>
      </c>
      <c r="C5739" s="488" t="s">
        <v>18446</v>
      </c>
      <c r="D5739" s="489" t="s">
        <v>18447</v>
      </c>
      <c r="E5739" s="487" t="s">
        <v>18448</v>
      </c>
      <c r="F5739" s="490">
        <v>0</v>
      </c>
      <c r="G5739" s="489">
        <v>41.21</v>
      </c>
      <c r="H5739" s="489">
        <v>0</v>
      </c>
      <c r="I5739" s="487" t="s">
        <v>1593</v>
      </c>
      <c r="J5739" s="487" t="s">
        <v>1370</v>
      </c>
    </row>
    <row r="5740" spans="1:10" ht="15" x14ac:dyDescent="0.2">
      <c r="A5740" s="486" t="s">
        <v>1369</v>
      </c>
      <c r="B5740" s="487" t="s">
        <v>1368</v>
      </c>
      <c r="C5740" s="488" t="s">
        <v>18449</v>
      </c>
      <c r="D5740" s="489" t="s">
        <v>18450</v>
      </c>
      <c r="E5740" s="487" t="s">
        <v>18451</v>
      </c>
      <c r="F5740" s="490">
        <v>4900</v>
      </c>
      <c r="G5740" s="489">
        <v>68.900000000000006</v>
      </c>
      <c r="H5740" s="489">
        <v>71.117559999999997</v>
      </c>
      <c r="I5740" s="487" t="s">
        <v>1499</v>
      </c>
      <c r="J5740" s="487" t="s">
        <v>1370</v>
      </c>
    </row>
    <row r="5741" spans="1:10" ht="15" x14ac:dyDescent="0.2">
      <c r="A5741" s="486" t="s">
        <v>1369</v>
      </c>
      <c r="B5741" s="487" t="s">
        <v>1368</v>
      </c>
      <c r="C5741" s="488" t="s">
        <v>18452</v>
      </c>
      <c r="D5741" s="489" t="s">
        <v>18453</v>
      </c>
      <c r="E5741" s="487" t="s">
        <v>18454</v>
      </c>
      <c r="F5741" s="490">
        <v>9462</v>
      </c>
      <c r="G5741" s="489">
        <v>184.95</v>
      </c>
      <c r="H5741" s="489">
        <v>51.159770000000002</v>
      </c>
      <c r="I5741" s="487" t="s">
        <v>1499</v>
      </c>
      <c r="J5741" s="487" t="s">
        <v>1370</v>
      </c>
    </row>
    <row r="5742" spans="1:10" ht="15" x14ac:dyDescent="0.2">
      <c r="A5742" s="486" t="s">
        <v>1369</v>
      </c>
      <c r="B5742" s="487" t="s">
        <v>1368</v>
      </c>
      <c r="C5742" s="488" t="s">
        <v>18455</v>
      </c>
      <c r="D5742" s="489" t="s">
        <v>18456</v>
      </c>
      <c r="E5742" s="487" t="s">
        <v>18216</v>
      </c>
      <c r="F5742" s="490">
        <v>9740</v>
      </c>
      <c r="G5742" s="489">
        <v>171.98</v>
      </c>
      <c r="H5742" s="489">
        <v>56.63449</v>
      </c>
      <c r="I5742" s="487" t="s">
        <v>1499</v>
      </c>
      <c r="J5742" s="487" t="s">
        <v>1370</v>
      </c>
    </row>
    <row r="5743" spans="1:10" ht="15" x14ac:dyDescent="0.2">
      <c r="A5743" s="486" t="s">
        <v>1369</v>
      </c>
      <c r="B5743" s="487" t="s">
        <v>1368</v>
      </c>
      <c r="C5743" s="488" t="s">
        <v>18457</v>
      </c>
      <c r="D5743" s="489" t="s">
        <v>18458</v>
      </c>
      <c r="E5743" s="487" t="s">
        <v>18459</v>
      </c>
      <c r="F5743" s="490">
        <v>6202</v>
      </c>
      <c r="G5743" s="489">
        <v>94.21</v>
      </c>
      <c r="H5743" s="489">
        <v>65.831649999999996</v>
      </c>
      <c r="I5743" s="487" t="s">
        <v>1499</v>
      </c>
      <c r="J5743" s="487" t="s">
        <v>1370</v>
      </c>
    </row>
    <row r="5744" spans="1:10" ht="15" x14ac:dyDescent="0.2">
      <c r="A5744" s="486" t="s">
        <v>1369</v>
      </c>
      <c r="B5744" s="487" t="s">
        <v>1368</v>
      </c>
      <c r="C5744" s="488" t="s">
        <v>18460</v>
      </c>
      <c r="D5744" s="489" t="s">
        <v>18461</v>
      </c>
      <c r="E5744" s="487" t="s">
        <v>18462</v>
      </c>
      <c r="F5744" s="490">
        <v>19000</v>
      </c>
      <c r="G5744" s="489">
        <v>383.98</v>
      </c>
      <c r="H5744" s="489">
        <v>49.481740000000002</v>
      </c>
      <c r="I5744" s="487" t="s">
        <v>1499</v>
      </c>
      <c r="J5744" s="487" t="s">
        <v>1370</v>
      </c>
    </row>
    <row r="5745" spans="1:10" ht="15" x14ac:dyDescent="0.2">
      <c r="A5745" s="486" t="s">
        <v>1369</v>
      </c>
      <c r="B5745" s="487" t="s">
        <v>1368</v>
      </c>
      <c r="C5745" s="488" t="s">
        <v>18463</v>
      </c>
      <c r="D5745" s="489" t="s">
        <v>18464</v>
      </c>
      <c r="E5745" s="487" t="s">
        <v>18465</v>
      </c>
      <c r="F5745" s="490">
        <v>0</v>
      </c>
      <c r="G5745" s="489">
        <v>11.9</v>
      </c>
      <c r="H5745" s="489">
        <v>0</v>
      </c>
      <c r="I5745" s="487" t="s">
        <v>1593</v>
      </c>
      <c r="J5745" s="487" t="s">
        <v>1370</v>
      </c>
    </row>
    <row r="5746" spans="1:10" ht="15" x14ac:dyDescent="0.2">
      <c r="A5746" s="486" t="s">
        <v>1369</v>
      </c>
      <c r="B5746" s="487" t="s">
        <v>1368</v>
      </c>
      <c r="C5746" s="488" t="s">
        <v>18466</v>
      </c>
      <c r="D5746" s="489" t="s">
        <v>18467</v>
      </c>
      <c r="E5746" s="487" t="s">
        <v>18468</v>
      </c>
      <c r="F5746" s="490">
        <v>0</v>
      </c>
      <c r="G5746" s="489">
        <v>4.32</v>
      </c>
      <c r="H5746" s="489">
        <v>0</v>
      </c>
      <c r="I5746" s="487" t="s">
        <v>1593</v>
      </c>
      <c r="J5746" s="487" t="s">
        <v>1370</v>
      </c>
    </row>
    <row r="5747" spans="1:10" ht="15" x14ac:dyDescent="0.2">
      <c r="A5747" s="486" t="s">
        <v>1369</v>
      </c>
      <c r="B5747" s="487" t="s">
        <v>1368</v>
      </c>
      <c r="C5747" s="488" t="s">
        <v>18469</v>
      </c>
      <c r="D5747" s="489" t="s">
        <v>18470</v>
      </c>
      <c r="E5747" s="487" t="s">
        <v>18471</v>
      </c>
      <c r="F5747" s="490">
        <v>690900</v>
      </c>
      <c r="G5747" s="489">
        <v>5198.55</v>
      </c>
      <c r="H5747" s="489">
        <v>132.90244000000001</v>
      </c>
      <c r="I5747" s="487" t="s">
        <v>1499</v>
      </c>
      <c r="J5747" s="487" t="s">
        <v>1370</v>
      </c>
    </row>
    <row r="5748" spans="1:10" ht="15" x14ac:dyDescent="0.2">
      <c r="A5748" s="486" t="s">
        <v>1369</v>
      </c>
      <c r="B5748" s="487" t="s">
        <v>1368</v>
      </c>
      <c r="C5748" s="488" t="s">
        <v>18472</v>
      </c>
      <c r="D5748" s="489" t="s">
        <v>18473</v>
      </c>
      <c r="E5748" s="487" t="s">
        <v>18474</v>
      </c>
      <c r="F5748" s="490">
        <v>0</v>
      </c>
      <c r="G5748" s="489">
        <v>0</v>
      </c>
      <c r="H5748" s="489">
        <v>0</v>
      </c>
      <c r="I5748" s="487" t="s">
        <v>2465</v>
      </c>
      <c r="J5748" s="487" t="s">
        <v>1370</v>
      </c>
    </row>
    <row r="5749" spans="1:10" ht="15" x14ac:dyDescent="0.2">
      <c r="A5749" s="486" t="s">
        <v>1369</v>
      </c>
      <c r="B5749" s="487" t="s">
        <v>1368</v>
      </c>
      <c r="C5749" s="488" t="s">
        <v>18475</v>
      </c>
      <c r="D5749" s="489" t="s">
        <v>18476</v>
      </c>
      <c r="E5749" s="487" t="s">
        <v>18477</v>
      </c>
      <c r="F5749" s="490">
        <v>11200</v>
      </c>
      <c r="G5749" s="489">
        <v>177.49</v>
      </c>
      <c r="H5749" s="489">
        <v>63.102150000000002</v>
      </c>
      <c r="I5749" s="487" t="s">
        <v>1499</v>
      </c>
      <c r="J5749" s="487" t="s">
        <v>1370</v>
      </c>
    </row>
    <row r="5750" spans="1:10" ht="15" x14ac:dyDescent="0.2">
      <c r="A5750" s="486" t="s">
        <v>1369</v>
      </c>
      <c r="B5750" s="487" t="s">
        <v>1368</v>
      </c>
      <c r="C5750" s="488" t="s">
        <v>18478</v>
      </c>
      <c r="D5750" s="489" t="s">
        <v>18479</v>
      </c>
      <c r="E5750" s="487" t="s">
        <v>18480</v>
      </c>
      <c r="F5750" s="490">
        <v>11146</v>
      </c>
      <c r="G5750" s="489">
        <v>127.65</v>
      </c>
      <c r="H5750" s="489">
        <v>87.316879999999998</v>
      </c>
      <c r="I5750" s="487" t="s">
        <v>1499</v>
      </c>
      <c r="J5750" s="487" t="s">
        <v>1370</v>
      </c>
    </row>
    <row r="5751" spans="1:10" ht="15" x14ac:dyDescent="0.2">
      <c r="A5751" s="486" t="s">
        <v>1369</v>
      </c>
      <c r="B5751" s="487" t="s">
        <v>1368</v>
      </c>
      <c r="C5751" s="488" t="s">
        <v>18481</v>
      </c>
      <c r="D5751" s="489" t="s">
        <v>18482</v>
      </c>
      <c r="E5751" s="487" t="s">
        <v>18483</v>
      </c>
      <c r="F5751" s="490">
        <v>0</v>
      </c>
      <c r="G5751" s="489">
        <v>33.24</v>
      </c>
      <c r="H5751" s="489">
        <v>0</v>
      </c>
      <c r="I5751" s="487" t="s">
        <v>1593</v>
      </c>
      <c r="J5751" s="487" t="s">
        <v>1370</v>
      </c>
    </row>
    <row r="5752" spans="1:10" ht="15" x14ac:dyDescent="0.2">
      <c r="A5752" s="486" t="s">
        <v>1369</v>
      </c>
      <c r="B5752" s="487" t="s">
        <v>1368</v>
      </c>
      <c r="C5752" s="488" t="s">
        <v>18484</v>
      </c>
      <c r="D5752" s="489" t="s">
        <v>18485</v>
      </c>
      <c r="E5752" s="487" t="s">
        <v>18486</v>
      </c>
      <c r="F5752" s="490">
        <v>0</v>
      </c>
      <c r="G5752" s="489">
        <v>12.87</v>
      </c>
      <c r="H5752" s="489">
        <v>0</v>
      </c>
      <c r="I5752" s="487" t="s">
        <v>1593</v>
      </c>
      <c r="J5752" s="487" t="s">
        <v>1370</v>
      </c>
    </row>
    <row r="5753" spans="1:10" ht="15" x14ac:dyDescent="0.2">
      <c r="A5753" s="486" t="s">
        <v>1369</v>
      </c>
      <c r="B5753" s="487" t="s">
        <v>1368</v>
      </c>
      <c r="C5753" s="488" t="s">
        <v>18487</v>
      </c>
      <c r="D5753" s="489" t="s">
        <v>18488</v>
      </c>
      <c r="E5753" s="487" t="s">
        <v>18489</v>
      </c>
      <c r="F5753" s="490">
        <v>5240</v>
      </c>
      <c r="G5753" s="489">
        <v>190</v>
      </c>
      <c r="H5753" s="489">
        <v>27.578949999999999</v>
      </c>
      <c r="I5753" s="487" t="s">
        <v>1499</v>
      </c>
      <c r="J5753" s="487" t="s">
        <v>1370</v>
      </c>
    </row>
    <row r="5754" spans="1:10" ht="15" x14ac:dyDescent="0.2">
      <c r="A5754" s="486" t="s">
        <v>1369</v>
      </c>
      <c r="B5754" s="487" t="s">
        <v>1368</v>
      </c>
      <c r="C5754" s="488" t="s">
        <v>18490</v>
      </c>
      <c r="D5754" s="489" t="s">
        <v>18491</v>
      </c>
      <c r="E5754" s="487" t="s">
        <v>18492</v>
      </c>
      <c r="F5754" s="490">
        <v>0</v>
      </c>
      <c r="G5754" s="489">
        <v>60.57</v>
      </c>
      <c r="H5754" s="489">
        <v>0</v>
      </c>
      <c r="I5754" s="487" t="s">
        <v>1593</v>
      </c>
      <c r="J5754" s="487" t="s">
        <v>1370</v>
      </c>
    </row>
    <row r="5755" spans="1:10" ht="15" x14ac:dyDescent="0.2">
      <c r="A5755" s="486" t="s">
        <v>1369</v>
      </c>
      <c r="B5755" s="487" t="s">
        <v>1368</v>
      </c>
      <c r="C5755" s="488" t="s">
        <v>18493</v>
      </c>
      <c r="D5755" s="489" t="s">
        <v>18494</v>
      </c>
      <c r="E5755" s="487" t="s">
        <v>18495</v>
      </c>
      <c r="F5755" s="490">
        <v>11400</v>
      </c>
      <c r="G5755" s="489">
        <v>83.65</v>
      </c>
      <c r="H5755" s="489">
        <v>136.28213</v>
      </c>
      <c r="I5755" s="487" t="s">
        <v>1499</v>
      </c>
      <c r="J5755" s="487" t="s">
        <v>1370</v>
      </c>
    </row>
    <row r="5756" spans="1:10" ht="15" x14ac:dyDescent="0.2">
      <c r="A5756" s="486" t="s">
        <v>1369</v>
      </c>
      <c r="B5756" s="487" t="s">
        <v>1368</v>
      </c>
      <c r="C5756" s="488" t="s">
        <v>18496</v>
      </c>
      <c r="D5756" s="489" t="s">
        <v>18497</v>
      </c>
      <c r="E5756" s="487" t="s">
        <v>18498</v>
      </c>
      <c r="F5756" s="490">
        <v>16900</v>
      </c>
      <c r="G5756" s="489">
        <v>443.1</v>
      </c>
      <c r="H5756" s="489">
        <v>38.140369999999997</v>
      </c>
      <c r="I5756" s="487" t="s">
        <v>1499</v>
      </c>
      <c r="J5756" s="487" t="s">
        <v>1370</v>
      </c>
    </row>
    <row r="5757" spans="1:10" ht="15" x14ac:dyDescent="0.2">
      <c r="A5757" s="486" t="s">
        <v>1369</v>
      </c>
      <c r="B5757" s="487" t="s">
        <v>1368</v>
      </c>
      <c r="C5757" s="488" t="s">
        <v>18499</v>
      </c>
      <c r="D5757" s="489" t="s">
        <v>18500</v>
      </c>
      <c r="E5757" s="487" t="s">
        <v>18501</v>
      </c>
      <c r="F5757" s="490">
        <v>2400</v>
      </c>
      <c r="G5757" s="489">
        <v>86.02</v>
      </c>
      <c r="H5757" s="489">
        <v>27.900490000000001</v>
      </c>
      <c r="I5757" s="487" t="s">
        <v>2465</v>
      </c>
      <c r="J5757" s="487" t="s">
        <v>1370</v>
      </c>
    </row>
    <row r="5758" spans="1:10" ht="15" x14ac:dyDescent="0.2">
      <c r="A5758" s="486" t="s">
        <v>1369</v>
      </c>
      <c r="B5758" s="487" t="s">
        <v>1368</v>
      </c>
      <c r="C5758" s="488" t="s">
        <v>18502</v>
      </c>
      <c r="D5758" s="489" t="s">
        <v>18503</v>
      </c>
      <c r="E5758" s="487" t="s">
        <v>2965</v>
      </c>
      <c r="F5758" s="490">
        <v>0</v>
      </c>
      <c r="G5758" s="489">
        <v>20.84</v>
      </c>
      <c r="H5758" s="489">
        <v>0</v>
      </c>
      <c r="I5758" s="487" t="s">
        <v>1593</v>
      </c>
      <c r="J5758" s="487" t="s">
        <v>1370</v>
      </c>
    </row>
    <row r="5759" spans="1:10" ht="15" x14ac:dyDescent="0.2">
      <c r="A5759" s="486" t="s">
        <v>1369</v>
      </c>
      <c r="B5759" s="487" t="s">
        <v>1368</v>
      </c>
      <c r="C5759" s="488" t="s">
        <v>18504</v>
      </c>
      <c r="D5759" s="489" t="s">
        <v>18505</v>
      </c>
      <c r="E5759" s="487" t="s">
        <v>18506</v>
      </c>
      <c r="F5759" s="490">
        <v>0</v>
      </c>
      <c r="G5759" s="489">
        <v>23.5</v>
      </c>
      <c r="H5759" s="489">
        <v>0</v>
      </c>
      <c r="I5759" s="487" t="s">
        <v>1593</v>
      </c>
      <c r="J5759" s="487" t="s">
        <v>1370</v>
      </c>
    </row>
    <row r="5760" spans="1:10" ht="15" x14ac:dyDescent="0.2">
      <c r="A5760" s="486" t="s">
        <v>1369</v>
      </c>
      <c r="B5760" s="487" t="s">
        <v>1368</v>
      </c>
      <c r="C5760" s="488" t="s">
        <v>18507</v>
      </c>
      <c r="D5760" s="489" t="s">
        <v>18508</v>
      </c>
      <c r="E5760" s="487" t="s">
        <v>18509</v>
      </c>
      <c r="F5760" s="490">
        <v>300</v>
      </c>
      <c r="G5760" s="489">
        <v>43.27</v>
      </c>
      <c r="H5760" s="489">
        <v>6.9332099999999999</v>
      </c>
      <c r="I5760" s="487" t="s">
        <v>1499</v>
      </c>
      <c r="J5760" s="487" t="s">
        <v>1370</v>
      </c>
    </row>
    <row r="5761" spans="1:10" ht="15" x14ac:dyDescent="0.2">
      <c r="A5761" s="486" t="s">
        <v>1369</v>
      </c>
      <c r="B5761" s="487" t="s">
        <v>1368</v>
      </c>
      <c r="C5761" s="488" t="s">
        <v>18510</v>
      </c>
      <c r="D5761" s="489" t="s">
        <v>18511</v>
      </c>
      <c r="E5761" s="487" t="s">
        <v>18512</v>
      </c>
      <c r="F5761" s="490">
        <v>9900</v>
      </c>
      <c r="G5761" s="489">
        <v>129.41</v>
      </c>
      <c r="H5761" s="489">
        <v>76.501040000000003</v>
      </c>
      <c r="I5761" s="487" t="s">
        <v>1499</v>
      </c>
      <c r="J5761" s="487" t="s">
        <v>1370</v>
      </c>
    </row>
    <row r="5762" spans="1:10" ht="15" x14ac:dyDescent="0.2">
      <c r="A5762" s="486" t="s">
        <v>1369</v>
      </c>
      <c r="B5762" s="487" t="s">
        <v>1368</v>
      </c>
      <c r="C5762" s="488" t="s">
        <v>18513</v>
      </c>
      <c r="D5762" s="489" t="s">
        <v>18514</v>
      </c>
      <c r="E5762" s="487" t="s">
        <v>18515</v>
      </c>
      <c r="F5762" s="490">
        <v>17450</v>
      </c>
      <c r="G5762" s="489">
        <v>184.43</v>
      </c>
      <c r="H5762" s="489">
        <v>94.615840000000006</v>
      </c>
      <c r="I5762" s="487" t="s">
        <v>1499</v>
      </c>
      <c r="J5762" s="487" t="s">
        <v>1370</v>
      </c>
    </row>
    <row r="5763" spans="1:10" ht="15" x14ac:dyDescent="0.2">
      <c r="A5763" s="486" t="s">
        <v>1369</v>
      </c>
      <c r="B5763" s="487" t="s">
        <v>1368</v>
      </c>
      <c r="C5763" s="488" t="s">
        <v>18516</v>
      </c>
      <c r="D5763" s="489" t="s">
        <v>18517</v>
      </c>
      <c r="E5763" s="487" t="s">
        <v>18518</v>
      </c>
      <c r="F5763" s="490">
        <v>0</v>
      </c>
      <c r="G5763" s="489">
        <v>45.24</v>
      </c>
      <c r="H5763" s="489">
        <v>0</v>
      </c>
      <c r="I5763" s="487" t="s">
        <v>1593</v>
      </c>
      <c r="J5763" s="487" t="s">
        <v>1370</v>
      </c>
    </row>
    <row r="5764" spans="1:10" ht="15" x14ac:dyDescent="0.2">
      <c r="A5764" s="486" t="s">
        <v>1369</v>
      </c>
      <c r="B5764" s="487" t="s">
        <v>1368</v>
      </c>
      <c r="C5764" s="488" t="s">
        <v>18519</v>
      </c>
      <c r="D5764" s="489" t="s">
        <v>18520</v>
      </c>
      <c r="E5764" s="487" t="s">
        <v>18521</v>
      </c>
      <c r="F5764" s="490">
        <v>0</v>
      </c>
      <c r="G5764" s="489">
        <v>63.22</v>
      </c>
      <c r="H5764" s="489">
        <v>0</v>
      </c>
      <c r="I5764" s="487" t="s">
        <v>1593</v>
      </c>
      <c r="J5764" s="487" t="s">
        <v>1370</v>
      </c>
    </row>
    <row r="5765" spans="1:10" ht="15" x14ac:dyDescent="0.2">
      <c r="A5765" s="486" t="s">
        <v>1369</v>
      </c>
      <c r="B5765" s="487" t="s">
        <v>1368</v>
      </c>
      <c r="C5765" s="488" t="s">
        <v>18522</v>
      </c>
      <c r="D5765" s="489" t="s">
        <v>18523</v>
      </c>
      <c r="E5765" s="487" t="s">
        <v>18524</v>
      </c>
      <c r="F5765" s="490">
        <v>26272</v>
      </c>
      <c r="G5765" s="489">
        <v>363.94</v>
      </c>
      <c r="H5765" s="489">
        <v>72.187719999999999</v>
      </c>
      <c r="I5765" s="487" t="s">
        <v>1499</v>
      </c>
      <c r="J5765" s="487" t="s">
        <v>1370</v>
      </c>
    </row>
    <row r="5766" spans="1:10" ht="15" x14ac:dyDescent="0.2">
      <c r="A5766" s="486" t="s">
        <v>1369</v>
      </c>
      <c r="B5766" s="487" t="s">
        <v>1368</v>
      </c>
      <c r="C5766" s="488" t="s">
        <v>18525</v>
      </c>
      <c r="D5766" s="489" t="s">
        <v>18526</v>
      </c>
      <c r="E5766" s="487" t="s">
        <v>18527</v>
      </c>
      <c r="F5766" s="490">
        <v>28509</v>
      </c>
      <c r="G5766" s="489">
        <v>717.11</v>
      </c>
      <c r="H5766" s="489">
        <v>39.755409999999998</v>
      </c>
      <c r="I5766" s="487" t="s">
        <v>1499</v>
      </c>
      <c r="J5766" s="487" t="s">
        <v>1370</v>
      </c>
    </row>
    <row r="5767" spans="1:10" ht="15" x14ac:dyDescent="0.2">
      <c r="A5767" s="486" t="s">
        <v>1369</v>
      </c>
      <c r="B5767" s="487" t="s">
        <v>1368</v>
      </c>
      <c r="C5767" s="488" t="s">
        <v>18528</v>
      </c>
      <c r="D5767" s="489" t="s">
        <v>18529</v>
      </c>
      <c r="E5767" s="487" t="s">
        <v>18530</v>
      </c>
      <c r="F5767" s="490">
        <v>12400</v>
      </c>
      <c r="G5767" s="489">
        <v>167.32</v>
      </c>
      <c r="H5767" s="489">
        <v>74.109489999999994</v>
      </c>
      <c r="I5767" s="487" t="s">
        <v>1499</v>
      </c>
      <c r="J5767" s="487" t="s">
        <v>1370</v>
      </c>
    </row>
    <row r="5768" spans="1:10" ht="15" x14ac:dyDescent="0.2">
      <c r="A5768" s="486" t="s">
        <v>1369</v>
      </c>
      <c r="B5768" s="487" t="s">
        <v>1368</v>
      </c>
      <c r="C5768" s="488" t="s">
        <v>18531</v>
      </c>
      <c r="D5768" s="489" t="s">
        <v>18532</v>
      </c>
      <c r="E5768" s="487" t="s">
        <v>18533</v>
      </c>
      <c r="F5768" s="490">
        <v>1900</v>
      </c>
      <c r="G5768" s="489">
        <v>114.41</v>
      </c>
      <c r="H5768" s="489">
        <v>16.606940000000002</v>
      </c>
      <c r="I5768" s="487" t="s">
        <v>1499</v>
      </c>
      <c r="J5768" s="487" t="s">
        <v>1370</v>
      </c>
    </row>
    <row r="5769" spans="1:10" ht="15" x14ac:dyDescent="0.2">
      <c r="A5769" s="486" t="s">
        <v>1369</v>
      </c>
      <c r="B5769" s="487" t="s">
        <v>1368</v>
      </c>
      <c r="C5769" s="488" t="s">
        <v>18534</v>
      </c>
      <c r="D5769" s="489" t="s">
        <v>18535</v>
      </c>
      <c r="E5769" s="487" t="s">
        <v>18536</v>
      </c>
      <c r="F5769" s="490">
        <v>0</v>
      </c>
      <c r="G5769" s="489">
        <v>15.56</v>
      </c>
      <c r="H5769" s="489">
        <v>0</v>
      </c>
      <c r="I5769" s="487" t="s">
        <v>1593</v>
      </c>
      <c r="J5769" s="487" t="s">
        <v>1370</v>
      </c>
    </row>
    <row r="5770" spans="1:10" ht="15" x14ac:dyDescent="0.2">
      <c r="A5770" s="486" t="s">
        <v>1369</v>
      </c>
      <c r="B5770" s="487" t="s">
        <v>1368</v>
      </c>
      <c r="C5770" s="488" t="s">
        <v>18537</v>
      </c>
      <c r="D5770" s="489" t="s">
        <v>18538</v>
      </c>
      <c r="E5770" s="487" t="s">
        <v>18539</v>
      </c>
      <c r="F5770" s="490">
        <v>5054</v>
      </c>
      <c r="G5770" s="489">
        <v>125.05</v>
      </c>
      <c r="H5770" s="489">
        <v>40.41583</v>
      </c>
      <c r="I5770" s="487" t="s">
        <v>1499</v>
      </c>
      <c r="J5770" s="487" t="s">
        <v>1370</v>
      </c>
    </row>
    <row r="5771" spans="1:10" ht="15" x14ac:dyDescent="0.2">
      <c r="A5771" s="486" t="s">
        <v>1369</v>
      </c>
      <c r="B5771" s="487" t="s">
        <v>1368</v>
      </c>
      <c r="C5771" s="488" t="s">
        <v>18540</v>
      </c>
      <c r="D5771" s="489" t="s">
        <v>18541</v>
      </c>
      <c r="E5771" s="487" t="s">
        <v>9838</v>
      </c>
      <c r="F5771" s="490">
        <v>9620</v>
      </c>
      <c r="G5771" s="489">
        <v>150.57</v>
      </c>
      <c r="H5771" s="489">
        <v>63.890549999999998</v>
      </c>
      <c r="I5771" s="487" t="s">
        <v>1499</v>
      </c>
      <c r="J5771" s="487" t="s">
        <v>1370</v>
      </c>
    </row>
    <row r="5772" spans="1:10" ht="15" x14ac:dyDescent="0.2">
      <c r="A5772" s="486" t="s">
        <v>1369</v>
      </c>
      <c r="B5772" s="487" t="s">
        <v>1368</v>
      </c>
      <c r="C5772" s="488" t="s">
        <v>18542</v>
      </c>
      <c r="D5772" s="489" t="s">
        <v>18543</v>
      </c>
      <c r="E5772" s="487" t="s">
        <v>12700</v>
      </c>
      <c r="F5772" s="490">
        <v>21900</v>
      </c>
      <c r="G5772" s="489">
        <v>420.15</v>
      </c>
      <c r="H5772" s="489">
        <v>52.12424</v>
      </c>
      <c r="I5772" s="487" t="s">
        <v>1499</v>
      </c>
      <c r="J5772" s="487" t="s">
        <v>1370</v>
      </c>
    </row>
    <row r="5773" spans="1:10" ht="15" x14ac:dyDescent="0.2">
      <c r="A5773" s="486" t="s">
        <v>1369</v>
      </c>
      <c r="B5773" s="487" t="s">
        <v>1368</v>
      </c>
      <c r="C5773" s="488" t="s">
        <v>18544</v>
      </c>
      <c r="D5773" s="489" t="s">
        <v>18545</v>
      </c>
      <c r="E5773" s="487" t="s">
        <v>18546</v>
      </c>
      <c r="F5773" s="490">
        <v>1900</v>
      </c>
      <c r="G5773" s="489">
        <v>77.67</v>
      </c>
      <c r="H5773" s="489">
        <v>24.46247</v>
      </c>
      <c r="I5773" s="487" t="s">
        <v>1499</v>
      </c>
      <c r="J5773" s="487" t="s">
        <v>1370</v>
      </c>
    </row>
    <row r="5774" spans="1:10" ht="15" x14ac:dyDescent="0.2">
      <c r="A5774" s="486" t="s">
        <v>1369</v>
      </c>
      <c r="B5774" s="487" t="s">
        <v>1368</v>
      </c>
      <c r="C5774" s="488" t="s">
        <v>18547</v>
      </c>
      <c r="D5774" s="489" t="s">
        <v>18548</v>
      </c>
      <c r="E5774" s="487" t="s">
        <v>18549</v>
      </c>
      <c r="F5774" s="490">
        <v>0</v>
      </c>
      <c r="G5774" s="489">
        <v>38.07</v>
      </c>
      <c r="H5774" s="489">
        <v>0</v>
      </c>
      <c r="I5774" s="487" t="s">
        <v>1593</v>
      </c>
      <c r="J5774" s="487" t="s">
        <v>1370</v>
      </c>
    </row>
    <row r="5775" spans="1:10" ht="15" x14ac:dyDescent="0.2">
      <c r="A5775" s="486" t="s">
        <v>1369</v>
      </c>
      <c r="B5775" s="487" t="s">
        <v>1368</v>
      </c>
      <c r="C5775" s="488" t="s">
        <v>18550</v>
      </c>
      <c r="D5775" s="489" t="s">
        <v>18551</v>
      </c>
      <c r="E5775" s="487" t="s">
        <v>18552</v>
      </c>
      <c r="F5775" s="490">
        <v>0</v>
      </c>
      <c r="G5775" s="489">
        <v>53.41</v>
      </c>
      <c r="H5775" s="489">
        <v>0</v>
      </c>
      <c r="I5775" s="487" t="s">
        <v>1593</v>
      </c>
      <c r="J5775" s="487" t="s">
        <v>1370</v>
      </c>
    </row>
    <row r="5776" spans="1:10" ht="15" x14ac:dyDescent="0.2">
      <c r="A5776" s="486" t="s">
        <v>1369</v>
      </c>
      <c r="B5776" s="487" t="s">
        <v>1368</v>
      </c>
      <c r="C5776" s="488" t="s">
        <v>18553</v>
      </c>
      <c r="D5776" s="489" t="s">
        <v>18554</v>
      </c>
      <c r="E5776" s="487" t="s">
        <v>18555</v>
      </c>
      <c r="F5776" s="490">
        <v>192400</v>
      </c>
      <c r="G5776" s="489">
        <v>1331.45</v>
      </c>
      <c r="H5776" s="489">
        <v>144.50411</v>
      </c>
      <c r="I5776" s="487" t="s">
        <v>1499</v>
      </c>
      <c r="J5776" s="487" t="s">
        <v>1370</v>
      </c>
    </row>
    <row r="5777" spans="1:10" ht="15" x14ac:dyDescent="0.2">
      <c r="A5777" s="486" t="s">
        <v>1369</v>
      </c>
      <c r="B5777" s="487" t="s">
        <v>1368</v>
      </c>
      <c r="C5777" s="488" t="s">
        <v>18556</v>
      </c>
      <c r="D5777" s="489" t="s">
        <v>18557</v>
      </c>
      <c r="E5777" s="487" t="s">
        <v>18558</v>
      </c>
      <c r="F5777" s="490">
        <v>14900</v>
      </c>
      <c r="G5777" s="489">
        <v>246.69</v>
      </c>
      <c r="H5777" s="489">
        <v>60.39969</v>
      </c>
      <c r="I5777" s="487" t="s">
        <v>2465</v>
      </c>
      <c r="J5777" s="487" t="s">
        <v>1370</v>
      </c>
    </row>
    <row r="5778" spans="1:10" ht="15" x14ac:dyDescent="0.2">
      <c r="A5778" s="486" t="s">
        <v>1369</v>
      </c>
      <c r="B5778" s="487" t="s">
        <v>1368</v>
      </c>
      <c r="C5778" s="488" t="s">
        <v>18559</v>
      </c>
      <c r="D5778" s="489" t="s">
        <v>18560</v>
      </c>
      <c r="E5778" s="487" t="s">
        <v>18561</v>
      </c>
      <c r="F5778" s="490">
        <v>19900</v>
      </c>
      <c r="G5778" s="489">
        <v>775.84</v>
      </c>
      <c r="H5778" s="489">
        <v>25.649619999999999</v>
      </c>
      <c r="I5778" s="487" t="s">
        <v>1499</v>
      </c>
      <c r="J5778" s="487" t="s">
        <v>1370</v>
      </c>
    </row>
    <row r="5779" spans="1:10" ht="15" x14ac:dyDescent="0.2">
      <c r="A5779" s="486" t="s">
        <v>1369</v>
      </c>
      <c r="B5779" s="487" t="s">
        <v>1368</v>
      </c>
      <c r="C5779" s="488" t="s">
        <v>18562</v>
      </c>
      <c r="D5779" s="489" t="s">
        <v>18563</v>
      </c>
      <c r="E5779" s="487" t="s">
        <v>6890</v>
      </c>
      <c r="F5779" s="490">
        <v>16310</v>
      </c>
      <c r="G5779" s="489">
        <v>444.42</v>
      </c>
      <c r="H5779" s="489">
        <v>36.69952</v>
      </c>
      <c r="I5779" s="487" t="s">
        <v>1499</v>
      </c>
      <c r="J5779" s="487" t="s">
        <v>1370</v>
      </c>
    </row>
    <row r="5780" spans="1:10" ht="15" x14ac:dyDescent="0.2">
      <c r="A5780" s="486" t="s">
        <v>1369</v>
      </c>
      <c r="B5780" s="487" t="s">
        <v>1368</v>
      </c>
      <c r="C5780" s="488" t="s">
        <v>18564</v>
      </c>
      <c r="D5780" s="489" t="s">
        <v>18565</v>
      </c>
      <c r="E5780" s="487" t="s">
        <v>18566</v>
      </c>
      <c r="F5780" s="490">
        <v>209900</v>
      </c>
      <c r="G5780" s="489">
        <v>1692.37</v>
      </c>
      <c r="H5780" s="489">
        <v>124.02725</v>
      </c>
      <c r="I5780" s="487" t="s">
        <v>1499</v>
      </c>
      <c r="J5780" s="487" t="s">
        <v>1370</v>
      </c>
    </row>
    <row r="5781" spans="1:10" ht="15" x14ac:dyDescent="0.2">
      <c r="A5781" s="486" t="s">
        <v>1369</v>
      </c>
      <c r="B5781" s="487" t="s">
        <v>1368</v>
      </c>
      <c r="C5781" s="488" t="s">
        <v>18567</v>
      </c>
      <c r="D5781" s="489" t="s">
        <v>18568</v>
      </c>
      <c r="E5781" s="487" t="s">
        <v>18569</v>
      </c>
      <c r="F5781" s="490">
        <v>13900</v>
      </c>
      <c r="G5781" s="489">
        <v>247.17</v>
      </c>
      <c r="H5781" s="489">
        <v>56.236600000000003</v>
      </c>
      <c r="I5781" s="487" t="s">
        <v>1499</v>
      </c>
      <c r="J5781" s="487" t="s">
        <v>1370</v>
      </c>
    </row>
    <row r="5782" spans="1:10" ht="15" x14ac:dyDescent="0.2">
      <c r="A5782" s="486" t="s">
        <v>1369</v>
      </c>
      <c r="B5782" s="487" t="s">
        <v>1368</v>
      </c>
      <c r="C5782" s="488" t="s">
        <v>18570</v>
      </c>
      <c r="D5782" s="489" t="s">
        <v>18571</v>
      </c>
      <c r="E5782" s="487" t="s">
        <v>18572</v>
      </c>
      <c r="F5782" s="490">
        <v>0</v>
      </c>
      <c r="G5782" s="489">
        <v>0</v>
      </c>
      <c r="H5782" s="489">
        <v>0</v>
      </c>
      <c r="I5782" s="487" t="s">
        <v>2465</v>
      </c>
      <c r="J5782" s="487" t="s">
        <v>1370</v>
      </c>
    </row>
    <row r="5783" spans="1:10" ht="15" x14ac:dyDescent="0.2">
      <c r="A5783" s="486" t="s">
        <v>1369</v>
      </c>
      <c r="B5783" s="487" t="s">
        <v>1368</v>
      </c>
      <c r="C5783" s="488" t="s">
        <v>18573</v>
      </c>
      <c r="D5783" s="489" t="s">
        <v>18574</v>
      </c>
      <c r="E5783" s="487" t="s">
        <v>18575</v>
      </c>
      <c r="F5783" s="490">
        <v>16900</v>
      </c>
      <c r="G5783" s="489">
        <v>145.97999999999999</v>
      </c>
      <c r="H5783" s="489">
        <v>115.76927999999999</v>
      </c>
      <c r="I5783" s="487" t="s">
        <v>1499</v>
      </c>
      <c r="J5783" s="487" t="s">
        <v>1370</v>
      </c>
    </row>
    <row r="5784" spans="1:10" ht="15" x14ac:dyDescent="0.2">
      <c r="A5784" s="486" t="s">
        <v>1369</v>
      </c>
      <c r="B5784" s="487" t="s">
        <v>1368</v>
      </c>
      <c r="C5784" s="488" t="s">
        <v>18576</v>
      </c>
      <c r="D5784" s="489" t="s">
        <v>18577</v>
      </c>
      <c r="E5784" s="487" t="s">
        <v>18578</v>
      </c>
      <c r="F5784" s="490">
        <v>9945</v>
      </c>
      <c r="G5784" s="489">
        <v>139.26</v>
      </c>
      <c r="H5784" s="489">
        <v>71.413179999999997</v>
      </c>
      <c r="I5784" s="487" t="s">
        <v>1499</v>
      </c>
      <c r="J5784" s="487" t="s">
        <v>1370</v>
      </c>
    </row>
    <row r="5785" spans="1:10" ht="15" x14ac:dyDescent="0.2">
      <c r="A5785" s="486" t="s">
        <v>1369</v>
      </c>
      <c r="B5785" s="487" t="s">
        <v>1368</v>
      </c>
      <c r="C5785" s="488" t="s">
        <v>18579</v>
      </c>
      <c r="D5785" s="489" t="s">
        <v>18580</v>
      </c>
      <c r="E5785" s="487" t="s">
        <v>18581</v>
      </c>
      <c r="F5785" s="490">
        <v>0</v>
      </c>
      <c r="G5785" s="489">
        <v>20.72</v>
      </c>
      <c r="H5785" s="489">
        <v>0</v>
      </c>
      <c r="I5785" s="487" t="s">
        <v>1593</v>
      </c>
      <c r="J5785" s="487" t="s">
        <v>1370</v>
      </c>
    </row>
    <row r="5786" spans="1:10" ht="15" x14ac:dyDescent="0.2">
      <c r="A5786" s="486" t="s">
        <v>1369</v>
      </c>
      <c r="B5786" s="487" t="s">
        <v>1368</v>
      </c>
      <c r="C5786" s="488" t="s">
        <v>18582</v>
      </c>
      <c r="D5786" s="489" t="s">
        <v>18583</v>
      </c>
      <c r="E5786" s="487" t="s">
        <v>18584</v>
      </c>
      <c r="F5786" s="490">
        <v>0</v>
      </c>
      <c r="G5786" s="489">
        <v>94.92</v>
      </c>
      <c r="H5786" s="489">
        <v>0</v>
      </c>
      <c r="I5786" s="487" t="s">
        <v>1593</v>
      </c>
      <c r="J5786" s="487" t="s">
        <v>1370</v>
      </c>
    </row>
    <row r="5787" spans="1:10" ht="15" x14ac:dyDescent="0.2">
      <c r="A5787" s="486" t="s">
        <v>1369</v>
      </c>
      <c r="B5787" s="487" t="s">
        <v>1368</v>
      </c>
      <c r="C5787" s="488" t="s">
        <v>18585</v>
      </c>
      <c r="D5787" s="489" t="s">
        <v>18586</v>
      </c>
      <c r="E5787" s="487" t="s">
        <v>18587</v>
      </c>
      <c r="F5787" s="490">
        <v>21800</v>
      </c>
      <c r="G5787" s="489">
        <v>361.64</v>
      </c>
      <c r="H5787" s="489">
        <v>60.280940000000001</v>
      </c>
      <c r="I5787" s="487" t="s">
        <v>1499</v>
      </c>
      <c r="J5787" s="487" t="s">
        <v>1370</v>
      </c>
    </row>
    <row r="5788" spans="1:10" ht="15" x14ac:dyDescent="0.2">
      <c r="A5788" s="486" t="s">
        <v>1369</v>
      </c>
      <c r="B5788" s="487" t="s">
        <v>1368</v>
      </c>
      <c r="C5788" s="488" t="s">
        <v>18588</v>
      </c>
      <c r="D5788" s="489" t="s">
        <v>18589</v>
      </c>
      <c r="E5788" s="487" t="s">
        <v>18590</v>
      </c>
      <c r="F5788" s="490">
        <v>0</v>
      </c>
      <c r="G5788" s="489">
        <v>55.51</v>
      </c>
      <c r="H5788" s="489">
        <v>0</v>
      </c>
      <c r="I5788" s="487" t="s">
        <v>1593</v>
      </c>
      <c r="J5788" s="487" t="s">
        <v>1370</v>
      </c>
    </row>
    <row r="5789" spans="1:10" ht="15" x14ac:dyDescent="0.2">
      <c r="A5789" s="486" t="s">
        <v>1369</v>
      </c>
      <c r="B5789" s="487" t="s">
        <v>1368</v>
      </c>
      <c r="C5789" s="488" t="s">
        <v>18591</v>
      </c>
      <c r="D5789" s="489" t="s">
        <v>18592</v>
      </c>
      <c r="E5789" s="487" t="s">
        <v>18593</v>
      </c>
      <c r="F5789" s="490">
        <v>3360</v>
      </c>
      <c r="G5789" s="489">
        <v>49.91</v>
      </c>
      <c r="H5789" s="489">
        <v>67.321179999999998</v>
      </c>
      <c r="I5789" s="487" t="s">
        <v>1499</v>
      </c>
      <c r="J5789" s="487" t="s">
        <v>1370</v>
      </c>
    </row>
    <row r="5790" spans="1:10" ht="15" x14ac:dyDescent="0.2">
      <c r="A5790" s="486" t="s">
        <v>1369</v>
      </c>
      <c r="B5790" s="487" t="s">
        <v>1368</v>
      </c>
      <c r="C5790" s="488" t="s">
        <v>18594</v>
      </c>
      <c r="D5790" s="489" t="s">
        <v>18595</v>
      </c>
      <c r="E5790" s="487" t="s">
        <v>18596</v>
      </c>
      <c r="F5790" s="490">
        <v>10900</v>
      </c>
      <c r="G5790" s="489">
        <v>222.67</v>
      </c>
      <c r="H5790" s="489">
        <v>48.951360000000001</v>
      </c>
      <c r="I5790" s="487" t="s">
        <v>1499</v>
      </c>
      <c r="J5790" s="487" t="s">
        <v>1370</v>
      </c>
    </row>
    <row r="5791" spans="1:10" ht="15" x14ac:dyDescent="0.2">
      <c r="A5791" s="486" t="s">
        <v>1369</v>
      </c>
      <c r="B5791" s="487" t="s">
        <v>1368</v>
      </c>
      <c r="C5791" s="488" t="s">
        <v>18597</v>
      </c>
      <c r="D5791" s="489" t="s">
        <v>18598</v>
      </c>
      <c r="E5791" s="487" t="s">
        <v>18599</v>
      </c>
      <c r="F5791" s="490">
        <v>1900</v>
      </c>
      <c r="G5791" s="489">
        <v>111.07</v>
      </c>
      <c r="H5791" s="489">
        <v>17.10633</v>
      </c>
      <c r="I5791" s="487" t="s">
        <v>1499</v>
      </c>
      <c r="J5791" s="487" t="s">
        <v>1370</v>
      </c>
    </row>
    <row r="5792" spans="1:10" ht="15" x14ac:dyDescent="0.2">
      <c r="A5792" s="486" t="s">
        <v>1369</v>
      </c>
      <c r="B5792" s="487" t="s">
        <v>1368</v>
      </c>
      <c r="C5792" s="488" t="s">
        <v>18600</v>
      </c>
      <c r="D5792" s="489" t="s">
        <v>18601</v>
      </c>
      <c r="E5792" s="487" t="s">
        <v>18602</v>
      </c>
      <c r="F5792" s="490">
        <v>11265</v>
      </c>
      <c r="G5792" s="489">
        <v>119.35</v>
      </c>
      <c r="H5792" s="489">
        <v>94.386259999999993</v>
      </c>
      <c r="I5792" s="487" t="s">
        <v>1499</v>
      </c>
      <c r="J5792" s="487" t="s">
        <v>1370</v>
      </c>
    </row>
    <row r="5793" spans="1:10" ht="15" x14ac:dyDescent="0.2">
      <c r="A5793" s="486" t="s">
        <v>1369</v>
      </c>
      <c r="B5793" s="487" t="s">
        <v>1368</v>
      </c>
      <c r="C5793" s="488" t="s">
        <v>18603</v>
      </c>
      <c r="D5793" s="489" t="s">
        <v>18604</v>
      </c>
      <c r="E5793" s="487" t="s">
        <v>18605</v>
      </c>
      <c r="F5793" s="490">
        <v>0</v>
      </c>
      <c r="G5793" s="489">
        <v>25.94</v>
      </c>
      <c r="H5793" s="489">
        <v>0</v>
      </c>
      <c r="I5793" s="487" t="s">
        <v>1593</v>
      </c>
      <c r="J5793" s="487" t="s">
        <v>1370</v>
      </c>
    </row>
    <row r="5794" spans="1:10" ht="15" x14ac:dyDescent="0.2">
      <c r="A5794" s="486" t="s">
        <v>1369</v>
      </c>
      <c r="B5794" s="487" t="s">
        <v>1368</v>
      </c>
      <c r="C5794" s="488" t="s">
        <v>18606</v>
      </c>
      <c r="D5794" s="489" t="s">
        <v>18607</v>
      </c>
      <c r="E5794" s="487" t="s">
        <v>18608</v>
      </c>
      <c r="F5794" s="490">
        <v>0</v>
      </c>
      <c r="G5794" s="489">
        <v>19.91</v>
      </c>
      <c r="H5794" s="489">
        <v>0</v>
      </c>
      <c r="I5794" s="487" t="s">
        <v>1593</v>
      </c>
      <c r="J5794" s="487" t="s">
        <v>1370</v>
      </c>
    </row>
    <row r="5795" spans="1:10" ht="15" x14ac:dyDescent="0.2">
      <c r="A5795" s="486" t="s">
        <v>1369</v>
      </c>
      <c r="B5795" s="487" t="s">
        <v>1368</v>
      </c>
      <c r="C5795" s="488" t="s">
        <v>18609</v>
      </c>
      <c r="D5795" s="489" t="s">
        <v>18610</v>
      </c>
      <c r="E5795" s="487" t="s">
        <v>18611</v>
      </c>
      <c r="F5795" s="490">
        <v>9581</v>
      </c>
      <c r="G5795" s="489">
        <v>342.12</v>
      </c>
      <c r="H5795" s="489">
        <v>28.00479</v>
      </c>
      <c r="I5795" s="487" t="s">
        <v>1499</v>
      </c>
      <c r="J5795" s="487" t="s">
        <v>1370</v>
      </c>
    </row>
    <row r="5796" spans="1:10" ht="15" x14ac:dyDescent="0.2">
      <c r="A5796" s="486" t="s">
        <v>1369</v>
      </c>
      <c r="B5796" s="487" t="s">
        <v>1368</v>
      </c>
      <c r="C5796" s="488" t="s">
        <v>18612</v>
      </c>
      <c r="D5796" s="489" t="s">
        <v>18613</v>
      </c>
      <c r="E5796" s="487" t="s">
        <v>18614</v>
      </c>
      <c r="F5796" s="490">
        <v>650</v>
      </c>
      <c r="G5796" s="489">
        <v>48.62</v>
      </c>
      <c r="H5796" s="489">
        <v>13.368980000000001</v>
      </c>
      <c r="I5796" s="487" t="s">
        <v>1499</v>
      </c>
      <c r="J5796" s="487" t="s">
        <v>1370</v>
      </c>
    </row>
    <row r="5797" spans="1:10" ht="15" x14ac:dyDescent="0.2">
      <c r="A5797" s="486" t="s">
        <v>1369</v>
      </c>
      <c r="B5797" s="487" t="s">
        <v>1368</v>
      </c>
      <c r="C5797" s="488" t="s">
        <v>18615</v>
      </c>
      <c r="D5797" s="489" t="s">
        <v>18616</v>
      </c>
      <c r="E5797" s="487" t="s">
        <v>18617</v>
      </c>
      <c r="F5797" s="490">
        <v>2400</v>
      </c>
      <c r="G5797" s="489">
        <v>131.94</v>
      </c>
      <c r="H5797" s="489">
        <v>18.190090000000001</v>
      </c>
      <c r="I5797" s="487" t="s">
        <v>1499</v>
      </c>
      <c r="J5797" s="487" t="s">
        <v>1370</v>
      </c>
    </row>
    <row r="5798" spans="1:10" ht="15" x14ac:dyDescent="0.2">
      <c r="A5798" s="486" t="s">
        <v>1369</v>
      </c>
      <c r="B5798" s="487" t="s">
        <v>1368</v>
      </c>
      <c r="C5798" s="488" t="s">
        <v>18618</v>
      </c>
      <c r="D5798" s="489" t="s">
        <v>18619</v>
      </c>
      <c r="E5798" s="487" t="s">
        <v>18620</v>
      </c>
      <c r="F5798" s="490">
        <v>4156</v>
      </c>
      <c r="G5798" s="489">
        <v>72.55</v>
      </c>
      <c r="H5798" s="489">
        <v>57.28463</v>
      </c>
      <c r="I5798" s="487" t="s">
        <v>1499</v>
      </c>
      <c r="J5798" s="487" t="s">
        <v>1370</v>
      </c>
    </row>
    <row r="5799" spans="1:10" ht="15" x14ac:dyDescent="0.2">
      <c r="A5799" s="486" t="s">
        <v>1369</v>
      </c>
      <c r="B5799" s="487" t="s">
        <v>1368</v>
      </c>
      <c r="C5799" s="488" t="s">
        <v>18621</v>
      </c>
      <c r="D5799" s="489" t="s">
        <v>18622</v>
      </c>
      <c r="E5799" s="487" t="s">
        <v>18623</v>
      </c>
      <c r="F5799" s="490">
        <v>150</v>
      </c>
      <c r="G5799" s="489">
        <v>18.100000000000001</v>
      </c>
      <c r="H5799" s="489">
        <v>8.2872900000000005</v>
      </c>
      <c r="I5799" s="487" t="s">
        <v>1499</v>
      </c>
      <c r="J5799" s="487" t="s">
        <v>1370</v>
      </c>
    </row>
    <row r="5800" spans="1:10" ht="15" x14ac:dyDescent="0.2">
      <c r="A5800" s="486" t="s">
        <v>1369</v>
      </c>
      <c r="B5800" s="487" t="s">
        <v>1368</v>
      </c>
      <c r="C5800" s="488" t="s">
        <v>18624</v>
      </c>
      <c r="D5800" s="489" t="s">
        <v>18625</v>
      </c>
      <c r="E5800" s="487" t="s">
        <v>18626</v>
      </c>
      <c r="F5800" s="490">
        <v>294000</v>
      </c>
      <c r="G5800" s="489">
        <v>1690.4</v>
      </c>
      <c r="H5800" s="489">
        <v>173.92332999999999</v>
      </c>
      <c r="I5800" s="487" t="s">
        <v>1499</v>
      </c>
      <c r="J5800" s="487" t="s">
        <v>1370</v>
      </c>
    </row>
    <row r="5801" spans="1:10" ht="15" x14ac:dyDescent="0.2">
      <c r="A5801" s="486" t="s">
        <v>1369</v>
      </c>
      <c r="B5801" s="487" t="s">
        <v>1368</v>
      </c>
      <c r="C5801" s="488" t="s">
        <v>18627</v>
      </c>
      <c r="D5801" s="489" t="s">
        <v>18628</v>
      </c>
      <c r="E5801" s="487" t="s">
        <v>18629</v>
      </c>
      <c r="F5801" s="490">
        <v>19900</v>
      </c>
      <c r="G5801" s="489">
        <v>378.29</v>
      </c>
      <c r="H5801" s="489">
        <v>52.605139999999999</v>
      </c>
      <c r="I5801" s="487" t="s">
        <v>1499</v>
      </c>
      <c r="J5801" s="487" t="s">
        <v>1370</v>
      </c>
    </row>
    <row r="5802" spans="1:10" ht="15" x14ac:dyDescent="0.2">
      <c r="A5802" s="486" t="s">
        <v>1369</v>
      </c>
      <c r="B5802" s="487" t="s">
        <v>1368</v>
      </c>
      <c r="C5802" s="488" t="s">
        <v>18630</v>
      </c>
      <c r="D5802" s="489" t="s">
        <v>18631</v>
      </c>
      <c r="E5802" s="487" t="s">
        <v>18632</v>
      </c>
      <c r="F5802" s="490">
        <v>29900</v>
      </c>
      <c r="G5802" s="489">
        <v>388.72</v>
      </c>
      <c r="H5802" s="489">
        <v>76.919120000000007</v>
      </c>
      <c r="I5802" s="487" t="s">
        <v>1499</v>
      </c>
      <c r="J5802" s="487" t="s">
        <v>1370</v>
      </c>
    </row>
    <row r="5803" spans="1:10" ht="15" x14ac:dyDescent="0.2">
      <c r="A5803" s="486" t="s">
        <v>1369</v>
      </c>
      <c r="B5803" s="487" t="s">
        <v>1368</v>
      </c>
      <c r="C5803" s="488" t="s">
        <v>18633</v>
      </c>
      <c r="D5803" s="489" t="s">
        <v>18634</v>
      </c>
      <c r="E5803" s="487" t="s">
        <v>18635</v>
      </c>
      <c r="F5803" s="490">
        <v>73367</v>
      </c>
      <c r="G5803" s="489">
        <v>1176.4000000000001</v>
      </c>
      <c r="H5803" s="489">
        <v>62.365690000000001</v>
      </c>
      <c r="I5803" s="487" t="s">
        <v>1499</v>
      </c>
      <c r="J5803" s="487" t="s">
        <v>1370</v>
      </c>
    </row>
    <row r="5804" spans="1:10" ht="15" x14ac:dyDescent="0.2">
      <c r="A5804" s="486" t="s">
        <v>1369</v>
      </c>
      <c r="B5804" s="487" t="s">
        <v>1368</v>
      </c>
      <c r="C5804" s="488" t="s">
        <v>18636</v>
      </c>
      <c r="D5804" s="489" t="s">
        <v>18637</v>
      </c>
      <c r="E5804" s="487" t="s">
        <v>18638</v>
      </c>
      <c r="F5804" s="490">
        <v>11900</v>
      </c>
      <c r="G5804" s="489">
        <v>228.02</v>
      </c>
      <c r="H5804" s="489">
        <v>52.188400000000001</v>
      </c>
      <c r="I5804" s="487" t="s">
        <v>1499</v>
      </c>
      <c r="J5804" s="487" t="s">
        <v>1370</v>
      </c>
    </row>
    <row r="5805" spans="1:10" ht="15" x14ac:dyDescent="0.2">
      <c r="A5805" s="486" t="s">
        <v>1369</v>
      </c>
      <c r="B5805" s="487" t="s">
        <v>1368</v>
      </c>
      <c r="C5805" s="488" t="s">
        <v>18639</v>
      </c>
      <c r="D5805" s="489" t="s">
        <v>18640</v>
      </c>
      <c r="E5805" s="487" t="s">
        <v>18641</v>
      </c>
      <c r="F5805" s="490">
        <v>0</v>
      </c>
      <c r="G5805" s="489">
        <v>79.510000000000005</v>
      </c>
      <c r="H5805" s="489">
        <v>0</v>
      </c>
      <c r="I5805" s="487" t="s">
        <v>1593</v>
      </c>
      <c r="J5805" s="487" t="s">
        <v>1370</v>
      </c>
    </row>
    <row r="5806" spans="1:10" ht="15" x14ac:dyDescent="0.2">
      <c r="A5806" s="486" t="s">
        <v>1369</v>
      </c>
      <c r="B5806" s="487" t="s">
        <v>1368</v>
      </c>
      <c r="C5806" s="488" t="s">
        <v>18642</v>
      </c>
      <c r="D5806" s="489" t="s">
        <v>18643</v>
      </c>
      <c r="E5806" s="487" t="s">
        <v>18644</v>
      </c>
      <c r="F5806" s="490">
        <v>0</v>
      </c>
      <c r="G5806" s="489">
        <v>14.36</v>
      </c>
      <c r="H5806" s="489">
        <v>0</v>
      </c>
      <c r="I5806" s="487" t="s">
        <v>1593</v>
      </c>
      <c r="J5806" s="487" t="s">
        <v>1370</v>
      </c>
    </row>
    <row r="5807" spans="1:10" ht="15" x14ac:dyDescent="0.2">
      <c r="A5807" s="486" t="s">
        <v>1369</v>
      </c>
      <c r="B5807" s="487" t="s">
        <v>1368</v>
      </c>
      <c r="C5807" s="488" t="s">
        <v>18645</v>
      </c>
      <c r="D5807" s="489" t="s">
        <v>18646</v>
      </c>
      <c r="E5807" s="487" t="s">
        <v>18647</v>
      </c>
      <c r="F5807" s="490">
        <v>0</v>
      </c>
      <c r="G5807" s="489">
        <v>14.15</v>
      </c>
      <c r="H5807" s="489">
        <v>0</v>
      </c>
      <c r="I5807" s="487" t="s">
        <v>1593</v>
      </c>
      <c r="J5807" s="487" t="s">
        <v>1370</v>
      </c>
    </row>
    <row r="5808" spans="1:10" ht="15" x14ac:dyDescent="0.2">
      <c r="A5808" s="486" t="s">
        <v>1369</v>
      </c>
      <c r="B5808" s="487" t="s">
        <v>1368</v>
      </c>
      <c r="C5808" s="488" t="s">
        <v>18648</v>
      </c>
      <c r="D5808" s="489" t="s">
        <v>18649</v>
      </c>
      <c r="E5808" s="487" t="s">
        <v>18650</v>
      </c>
      <c r="F5808" s="490">
        <v>0</v>
      </c>
      <c r="G5808" s="489">
        <v>30.71</v>
      </c>
      <c r="H5808" s="489">
        <v>0</v>
      </c>
      <c r="I5808" s="487" t="s">
        <v>1593</v>
      </c>
      <c r="J5808" s="487" t="s">
        <v>1370</v>
      </c>
    </row>
    <row r="5809" spans="1:10" ht="15" x14ac:dyDescent="0.2">
      <c r="A5809" s="486" t="s">
        <v>1369</v>
      </c>
      <c r="B5809" s="487" t="s">
        <v>1368</v>
      </c>
      <c r="C5809" s="488" t="s">
        <v>18651</v>
      </c>
      <c r="D5809" s="489" t="s">
        <v>18652</v>
      </c>
      <c r="E5809" s="487" t="s">
        <v>18653</v>
      </c>
      <c r="F5809" s="490">
        <v>3728</v>
      </c>
      <c r="G5809" s="489">
        <v>91.41</v>
      </c>
      <c r="H5809" s="489">
        <v>40.783279999999998</v>
      </c>
      <c r="I5809" s="487" t="s">
        <v>1499</v>
      </c>
      <c r="J5809" s="487" t="s">
        <v>1370</v>
      </c>
    </row>
    <row r="5810" spans="1:10" ht="15" x14ac:dyDescent="0.2">
      <c r="A5810" s="486" t="s">
        <v>1369</v>
      </c>
      <c r="B5810" s="487" t="s">
        <v>1368</v>
      </c>
      <c r="C5810" s="488" t="s">
        <v>18654</v>
      </c>
      <c r="D5810" s="489" t="s">
        <v>18655</v>
      </c>
      <c r="E5810" s="487" t="s">
        <v>17211</v>
      </c>
      <c r="F5810" s="490">
        <v>0</v>
      </c>
      <c r="G5810" s="489">
        <v>26.03</v>
      </c>
      <c r="H5810" s="489">
        <v>0</v>
      </c>
      <c r="I5810" s="487" t="s">
        <v>1593</v>
      </c>
      <c r="J5810" s="487" t="s">
        <v>1370</v>
      </c>
    </row>
    <row r="5811" spans="1:10" ht="15" x14ac:dyDescent="0.2">
      <c r="A5811" s="486" t="s">
        <v>1369</v>
      </c>
      <c r="B5811" s="487" t="s">
        <v>1368</v>
      </c>
      <c r="C5811" s="488" t="s">
        <v>18656</v>
      </c>
      <c r="D5811" s="489" t="s">
        <v>18657</v>
      </c>
      <c r="E5811" s="487" t="s">
        <v>18658</v>
      </c>
      <c r="F5811" s="490">
        <v>0</v>
      </c>
      <c r="G5811" s="489">
        <v>38.020000000000003</v>
      </c>
      <c r="H5811" s="489">
        <v>0</v>
      </c>
      <c r="I5811" s="487" t="s">
        <v>1593</v>
      </c>
      <c r="J5811" s="487" t="s">
        <v>1370</v>
      </c>
    </row>
    <row r="5812" spans="1:10" ht="15" x14ac:dyDescent="0.2">
      <c r="A5812" s="486" t="s">
        <v>1369</v>
      </c>
      <c r="B5812" s="487" t="s">
        <v>1368</v>
      </c>
      <c r="C5812" s="488" t="s">
        <v>18659</v>
      </c>
      <c r="D5812" s="489" t="s">
        <v>18660</v>
      </c>
      <c r="E5812" s="487" t="s">
        <v>18661</v>
      </c>
      <c r="F5812" s="490">
        <v>16340</v>
      </c>
      <c r="G5812" s="489">
        <v>221.82</v>
      </c>
      <c r="H5812" s="489">
        <v>73.663330000000002</v>
      </c>
      <c r="I5812" s="487" t="s">
        <v>1499</v>
      </c>
      <c r="J5812" s="487" t="s">
        <v>1370</v>
      </c>
    </row>
    <row r="5813" spans="1:10" ht="15" x14ac:dyDescent="0.2">
      <c r="A5813" s="486" t="s">
        <v>1369</v>
      </c>
      <c r="B5813" s="487" t="s">
        <v>1368</v>
      </c>
      <c r="C5813" s="488" t="s">
        <v>18662</v>
      </c>
      <c r="D5813" s="489" t="s">
        <v>18663</v>
      </c>
      <c r="E5813" s="487" t="s">
        <v>18664</v>
      </c>
      <c r="F5813" s="490">
        <v>4000</v>
      </c>
      <c r="G5813" s="489">
        <v>95.01</v>
      </c>
      <c r="H5813" s="489">
        <v>42.100830000000002</v>
      </c>
      <c r="I5813" s="487" t="s">
        <v>1499</v>
      </c>
      <c r="J5813" s="487" t="s">
        <v>1370</v>
      </c>
    </row>
    <row r="5814" spans="1:10" ht="15" x14ac:dyDescent="0.2">
      <c r="A5814" s="486" t="s">
        <v>1369</v>
      </c>
      <c r="B5814" s="487" t="s">
        <v>1368</v>
      </c>
      <c r="C5814" s="488" t="s">
        <v>18665</v>
      </c>
      <c r="D5814" s="489" t="s">
        <v>18666</v>
      </c>
      <c r="E5814" s="487" t="s">
        <v>18667</v>
      </c>
      <c r="F5814" s="490">
        <v>1053</v>
      </c>
      <c r="G5814" s="489">
        <v>62.62</v>
      </c>
      <c r="H5814" s="489">
        <v>16.815709999999999</v>
      </c>
      <c r="I5814" s="487" t="s">
        <v>1499</v>
      </c>
      <c r="J5814" s="487" t="s">
        <v>1370</v>
      </c>
    </row>
    <row r="5815" spans="1:10" ht="15" x14ac:dyDescent="0.2">
      <c r="A5815" s="486" t="s">
        <v>1369</v>
      </c>
      <c r="B5815" s="487" t="s">
        <v>1368</v>
      </c>
      <c r="C5815" s="488" t="s">
        <v>18668</v>
      </c>
      <c r="D5815" s="489" t="s">
        <v>18669</v>
      </c>
      <c r="E5815" s="487" t="s">
        <v>18670</v>
      </c>
      <c r="F5815" s="490">
        <v>0</v>
      </c>
      <c r="G5815" s="489">
        <v>0</v>
      </c>
      <c r="H5815" s="489">
        <v>0</v>
      </c>
      <c r="I5815" s="487" t="s">
        <v>2465</v>
      </c>
      <c r="J5815" s="487" t="s">
        <v>1370</v>
      </c>
    </row>
    <row r="5816" spans="1:10" ht="15" x14ac:dyDescent="0.2">
      <c r="A5816" s="486" t="s">
        <v>1369</v>
      </c>
      <c r="B5816" s="487" t="s">
        <v>1368</v>
      </c>
      <c r="C5816" s="488" t="s">
        <v>18671</v>
      </c>
      <c r="D5816" s="489" t="s">
        <v>18672</v>
      </c>
      <c r="E5816" s="487" t="s">
        <v>18673</v>
      </c>
      <c r="F5816" s="490">
        <v>0</v>
      </c>
      <c r="G5816" s="489">
        <v>34.49</v>
      </c>
      <c r="H5816" s="489">
        <v>0</v>
      </c>
      <c r="I5816" s="487" t="s">
        <v>1593</v>
      </c>
      <c r="J5816" s="487" t="s">
        <v>1370</v>
      </c>
    </row>
    <row r="5817" spans="1:10" ht="15" x14ac:dyDescent="0.2">
      <c r="A5817" s="486" t="s">
        <v>1369</v>
      </c>
      <c r="B5817" s="487" t="s">
        <v>1368</v>
      </c>
      <c r="C5817" s="488" t="s">
        <v>18674</v>
      </c>
      <c r="D5817" s="489" t="s">
        <v>18675</v>
      </c>
      <c r="E5817" s="487" t="s">
        <v>18676</v>
      </c>
      <c r="F5817" s="490">
        <v>5900</v>
      </c>
      <c r="G5817" s="489">
        <v>137.9</v>
      </c>
      <c r="H5817" s="489">
        <v>42.78463</v>
      </c>
      <c r="I5817" s="487" t="s">
        <v>1499</v>
      </c>
      <c r="J5817" s="487" t="s">
        <v>1370</v>
      </c>
    </row>
    <row r="5818" spans="1:10" ht="15" x14ac:dyDescent="0.2">
      <c r="A5818" s="486" t="s">
        <v>1369</v>
      </c>
      <c r="B5818" s="487" t="s">
        <v>1368</v>
      </c>
      <c r="C5818" s="488" t="s">
        <v>18677</v>
      </c>
      <c r="D5818" s="489" t="s">
        <v>18678</v>
      </c>
      <c r="E5818" s="487" t="s">
        <v>18679</v>
      </c>
      <c r="F5818" s="490">
        <v>40900</v>
      </c>
      <c r="G5818" s="489">
        <v>525.35</v>
      </c>
      <c r="H5818" s="489">
        <v>77.852860000000007</v>
      </c>
      <c r="I5818" s="487" t="s">
        <v>1499</v>
      </c>
      <c r="J5818" s="487" t="s">
        <v>1370</v>
      </c>
    </row>
    <row r="5819" spans="1:10" ht="15" x14ac:dyDescent="0.2">
      <c r="A5819" s="486" t="s">
        <v>1369</v>
      </c>
      <c r="B5819" s="487" t="s">
        <v>1368</v>
      </c>
      <c r="C5819" s="488" t="s">
        <v>18680</v>
      </c>
      <c r="D5819" s="489" t="s">
        <v>18681</v>
      </c>
      <c r="E5819" s="487" t="s">
        <v>18682</v>
      </c>
      <c r="F5819" s="490">
        <v>35600</v>
      </c>
      <c r="G5819" s="489">
        <v>782.41</v>
      </c>
      <c r="H5819" s="489">
        <v>45.500439999999998</v>
      </c>
      <c r="I5819" s="487" t="s">
        <v>1499</v>
      </c>
      <c r="J5819" s="487" t="s">
        <v>1370</v>
      </c>
    </row>
    <row r="5820" spans="1:10" ht="15" x14ac:dyDescent="0.2">
      <c r="A5820" s="486" t="s">
        <v>1369</v>
      </c>
      <c r="B5820" s="487" t="s">
        <v>1368</v>
      </c>
      <c r="C5820" s="488" t="s">
        <v>18683</v>
      </c>
      <c r="D5820" s="489" t="s">
        <v>18684</v>
      </c>
      <c r="E5820" s="487" t="s">
        <v>18685</v>
      </c>
      <c r="F5820" s="490">
        <v>11322</v>
      </c>
      <c r="G5820" s="489">
        <v>91.24</v>
      </c>
      <c r="H5820" s="489">
        <v>124.09031</v>
      </c>
      <c r="I5820" s="487" t="s">
        <v>1499</v>
      </c>
      <c r="J5820" s="487" t="s">
        <v>1370</v>
      </c>
    </row>
    <row r="5821" spans="1:10" ht="15" x14ac:dyDescent="0.2">
      <c r="A5821" s="486" t="s">
        <v>1369</v>
      </c>
      <c r="B5821" s="487" t="s">
        <v>1368</v>
      </c>
      <c r="C5821" s="488" t="s">
        <v>18686</v>
      </c>
      <c r="D5821" s="489" t="s">
        <v>18687</v>
      </c>
      <c r="E5821" s="487" t="s">
        <v>18688</v>
      </c>
      <c r="F5821" s="490">
        <v>0</v>
      </c>
      <c r="G5821" s="489">
        <v>56.74</v>
      </c>
      <c r="H5821" s="489">
        <v>0</v>
      </c>
      <c r="I5821" s="487" t="s">
        <v>1593</v>
      </c>
      <c r="J5821" s="487" t="s">
        <v>1370</v>
      </c>
    </row>
    <row r="5822" spans="1:10" ht="15" x14ac:dyDescent="0.2">
      <c r="A5822" s="486" t="s">
        <v>1369</v>
      </c>
      <c r="B5822" s="487" t="s">
        <v>1368</v>
      </c>
      <c r="C5822" s="488" t="s">
        <v>18689</v>
      </c>
      <c r="D5822" s="489" t="s">
        <v>18690</v>
      </c>
      <c r="E5822" s="487" t="s">
        <v>18691</v>
      </c>
      <c r="F5822" s="490">
        <v>13900</v>
      </c>
      <c r="G5822" s="489">
        <v>282.33999999999997</v>
      </c>
      <c r="H5822" s="489">
        <v>49.23142</v>
      </c>
      <c r="I5822" s="487" t="s">
        <v>1499</v>
      </c>
      <c r="J5822" s="487" t="s">
        <v>1370</v>
      </c>
    </row>
    <row r="5823" spans="1:10" ht="15" x14ac:dyDescent="0.2">
      <c r="A5823" s="486" t="s">
        <v>1369</v>
      </c>
      <c r="B5823" s="487" t="s">
        <v>1368</v>
      </c>
      <c r="C5823" s="488" t="s">
        <v>18692</v>
      </c>
      <c r="D5823" s="489" t="s">
        <v>18693</v>
      </c>
      <c r="E5823" s="487" t="s">
        <v>18694</v>
      </c>
      <c r="F5823" s="490">
        <v>0</v>
      </c>
      <c r="G5823" s="489">
        <v>9.2799999999999994</v>
      </c>
      <c r="H5823" s="489">
        <v>0</v>
      </c>
      <c r="I5823" s="487" t="s">
        <v>1593</v>
      </c>
      <c r="J5823" s="487" t="s">
        <v>1370</v>
      </c>
    </row>
    <row r="5824" spans="1:10" ht="15" x14ac:dyDescent="0.2">
      <c r="A5824" s="486" t="s">
        <v>1369</v>
      </c>
      <c r="B5824" s="487" t="s">
        <v>1368</v>
      </c>
      <c r="C5824" s="488" t="s">
        <v>18695</v>
      </c>
      <c r="D5824" s="489" t="s">
        <v>18696</v>
      </c>
      <c r="E5824" s="487" t="s">
        <v>18697</v>
      </c>
      <c r="F5824" s="490">
        <v>0</v>
      </c>
      <c r="G5824" s="489">
        <v>43.41</v>
      </c>
      <c r="H5824" s="489">
        <v>0</v>
      </c>
      <c r="I5824" s="487" t="s">
        <v>1593</v>
      </c>
      <c r="J5824" s="487" t="s">
        <v>1370</v>
      </c>
    </row>
    <row r="5825" spans="1:10" ht="15" x14ac:dyDescent="0.2">
      <c r="A5825" s="486" t="s">
        <v>1369</v>
      </c>
      <c r="B5825" s="487" t="s">
        <v>1368</v>
      </c>
      <c r="C5825" s="488" t="s">
        <v>18698</v>
      </c>
      <c r="D5825" s="489" t="s">
        <v>18699</v>
      </c>
      <c r="E5825" s="487" t="s">
        <v>18700</v>
      </c>
      <c r="F5825" s="490">
        <v>0</v>
      </c>
      <c r="G5825" s="489">
        <v>14.78</v>
      </c>
      <c r="H5825" s="489">
        <v>0</v>
      </c>
      <c r="I5825" s="487" t="s">
        <v>1593</v>
      </c>
      <c r="J5825" s="487" t="s">
        <v>1370</v>
      </c>
    </row>
    <row r="5826" spans="1:10" ht="15" x14ac:dyDescent="0.2">
      <c r="A5826" s="486" t="s">
        <v>1369</v>
      </c>
      <c r="B5826" s="487" t="s">
        <v>1368</v>
      </c>
      <c r="C5826" s="488" t="s">
        <v>18701</v>
      </c>
      <c r="D5826" s="489" t="s">
        <v>18702</v>
      </c>
      <c r="E5826" s="487" t="s">
        <v>18703</v>
      </c>
      <c r="F5826" s="490">
        <v>0</v>
      </c>
      <c r="G5826" s="489">
        <v>6.19</v>
      </c>
      <c r="H5826" s="489">
        <v>0</v>
      </c>
      <c r="I5826" s="487" t="s">
        <v>1593</v>
      </c>
      <c r="J5826" s="487" t="s">
        <v>1370</v>
      </c>
    </row>
    <row r="5827" spans="1:10" ht="15" x14ac:dyDescent="0.2">
      <c r="A5827" s="486" t="s">
        <v>1369</v>
      </c>
      <c r="B5827" s="487" t="s">
        <v>1368</v>
      </c>
      <c r="C5827" s="488" t="s">
        <v>18704</v>
      </c>
      <c r="D5827" s="489" t="s">
        <v>18705</v>
      </c>
      <c r="E5827" s="487" t="s">
        <v>18706</v>
      </c>
      <c r="F5827" s="490">
        <v>10300</v>
      </c>
      <c r="G5827" s="489">
        <v>134.16999999999999</v>
      </c>
      <c r="H5827" s="489">
        <v>76.768280000000004</v>
      </c>
      <c r="I5827" s="487" t="s">
        <v>1499</v>
      </c>
      <c r="J5827" s="487" t="s">
        <v>1370</v>
      </c>
    </row>
    <row r="5828" spans="1:10" ht="15" x14ac:dyDescent="0.2">
      <c r="A5828" s="486" t="s">
        <v>1369</v>
      </c>
      <c r="B5828" s="487" t="s">
        <v>1368</v>
      </c>
      <c r="C5828" s="488" t="s">
        <v>18707</v>
      </c>
      <c r="D5828" s="489" t="s">
        <v>18708</v>
      </c>
      <c r="E5828" s="487" t="s">
        <v>18709</v>
      </c>
      <c r="F5828" s="490">
        <v>16900</v>
      </c>
      <c r="G5828" s="489">
        <v>284.72000000000003</v>
      </c>
      <c r="H5828" s="489">
        <v>59.356560000000002</v>
      </c>
      <c r="I5828" s="487" t="s">
        <v>1499</v>
      </c>
      <c r="J5828" s="487" t="s">
        <v>1370</v>
      </c>
    </row>
    <row r="5829" spans="1:10" ht="15" x14ac:dyDescent="0.2">
      <c r="A5829" s="486" t="s">
        <v>1369</v>
      </c>
      <c r="B5829" s="487" t="s">
        <v>1368</v>
      </c>
      <c r="C5829" s="488" t="s">
        <v>18710</v>
      </c>
      <c r="D5829" s="489" t="s">
        <v>18711</v>
      </c>
      <c r="E5829" s="487" t="s">
        <v>3334</v>
      </c>
      <c r="F5829" s="490">
        <v>7400</v>
      </c>
      <c r="G5829" s="489">
        <v>177.13</v>
      </c>
      <c r="H5829" s="489">
        <v>41.777230000000003</v>
      </c>
      <c r="I5829" s="487" t="s">
        <v>1499</v>
      </c>
      <c r="J5829" s="487" t="s">
        <v>1370</v>
      </c>
    </row>
    <row r="5830" spans="1:10" ht="15" x14ac:dyDescent="0.2">
      <c r="A5830" s="486" t="s">
        <v>1369</v>
      </c>
      <c r="B5830" s="487" t="s">
        <v>1368</v>
      </c>
      <c r="C5830" s="488" t="s">
        <v>18712</v>
      </c>
      <c r="D5830" s="489" t="s">
        <v>18713</v>
      </c>
      <c r="E5830" s="487" t="s">
        <v>18714</v>
      </c>
      <c r="F5830" s="490">
        <v>9400</v>
      </c>
      <c r="G5830" s="489">
        <v>214.24</v>
      </c>
      <c r="H5830" s="489">
        <v>43.87603</v>
      </c>
      <c r="I5830" s="487" t="s">
        <v>1499</v>
      </c>
      <c r="J5830" s="487" t="s">
        <v>1370</v>
      </c>
    </row>
    <row r="5831" spans="1:10" ht="15" x14ac:dyDescent="0.2">
      <c r="A5831" s="486" t="s">
        <v>1369</v>
      </c>
      <c r="B5831" s="487" t="s">
        <v>1368</v>
      </c>
      <c r="C5831" s="488" t="s">
        <v>18715</v>
      </c>
      <c r="D5831" s="489" t="s">
        <v>18716</v>
      </c>
      <c r="E5831" s="487" t="s">
        <v>18717</v>
      </c>
      <c r="F5831" s="490">
        <v>2630</v>
      </c>
      <c r="G5831" s="489">
        <v>112.97</v>
      </c>
      <c r="H5831" s="489">
        <v>23.280519999999999</v>
      </c>
      <c r="I5831" s="487" t="s">
        <v>1499</v>
      </c>
      <c r="J5831" s="487" t="s">
        <v>1370</v>
      </c>
    </row>
    <row r="5832" spans="1:10" ht="15" x14ac:dyDescent="0.2">
      <c r="A5832" s="486" t="s">
        <v>1369</v>
      </c>
      <c r="B5832" s="487" t="s">
        <v>1368</v>
      </c>
      <c r="C5832" s="488" t="s">
        <v>18718</v>
      </c>
      <c r="D5832" s="489" t="s">
        <v>18719</v>
      </c>
      <c r="E5832" s="487" t="s">
        <v>18720</v>
      </c>
      <c r="F5832" s="490">
        <v>0</v>
      </c>
      <c r="G5832" s="489">
        <v>26.51</v>
      </c>
      <c r="H5832" s="489">
        <v>0</v>
      </c>
      <c r="I5832" s="487" t="s">
        <v>1593</v>
      </c>
      <c r="J5832" s="487" t="s">
        <v>1370</v>
      </c>
    </row>
    <row r="5833" spans="1:10" ht="15" x14ac:dyDescent="0.2">
      <c r="A5833" s="486" t="s">
        <v>1369</v>
      </c>
      <c r="B5833" s="487" t="s">
        <v>1368</v>
      </c>
      <c r="C5833" s="488" t="s">
        <v>18721</v>
      </c>
      <c r="D5833" s="489" t="s">
        <v>18722</v>
      </c>
      <c r="E5833" s="487" t="s">
        <v>14489</v>
      </c>
      <c r="F5833" s="490">
        <v>222090</v>
      </c>
      <c r="G5833" s="489">
        <v>1662.77</v>
      </c>
      <c r="H5833" s="489">
        <v>133.56628000000001</v>
      </c>
      <c r="I5833" s="487" t="s">
        <v>1499</v>
      </c>
      <c r="J5833" s="487" t="s">
        <v>1370</v>
      </c>
    </row>
    <row r="5834" spans="1:10" ht="15" x14ac:dyDescent="0.2">
      <c r="A5834" s="486" t="s">
        <v>1369</v>
      </c>
      <c r="B5834" s="487" t="s">
        <v>1368</v>
      </c>
      <c r="C5834" s="488" t="s">
        <v>18723</v>
      </c>
      <c r="D5834" s="489" t="s">
        <v>18724</v>
      </c>
      <c r="E5834" s="487" t="s">
        <v>18725</v>
      </c>
      <c r="F5834" s="490">
        <v>0</v>
      </c>
      <c r="G5834" s="489">
        <v>11.75</v>
      </c>
      <c r="H5834" s="489">
        <v>0</v>
      </c>
      <c r="I5834" s="487" t="s">
        <v>1593</v>
      </c>
      <c r="J5834" s="487" t="s">
        <v>1370</v>
      </c>
    </row>
    <row r="5835" spans="1:10" ht="15" x14ac:dyDescent="0.2">
      <c r="A5835" s="486" t="s">
        <v>1369</v>
      </c>
      <c r="B5835" s="487" t="s">
        <v>1368</v>
      </c>
      <c r="C5835" s="488" t="s">
        <v>18726</v>
      </c>
      <c r="D5835" s="489" t="s">
        <v>18727</v>
      </c>
      <c r="E5835" s="487" t="s">
        <v>18728</v>
      </c>
      <c r="F5835" s="490">
        <v>0</v>
      </c>
      <c r="G5835" s="489">
        <v>29.44</v>
      </c>
      <c r="H5835" s="489">
        <v>0</v>
      </c>
      <c r="I5835" s="487" t="s">
        <v>1593</v>
      </c>
      <c r="J5835" s="487" t="s">
        <v>1370</v>
      </c>
    </row>
    <row r="5836" spans="1:10" ht="15" x14ac:dyDescent="0.2">
      <c r="A5836" s="486" t="s">
        <v>1369</v>
      </c>
      <c r="B5836" s="487" t="s">
        <v>1368</v>
      </c>
      <c r="C5836" s="488" t="s">
        <v>18729</v>
      </c>
      <c r="D5836" s="489" t="s">
        <v>18730</v>
      </c>
      <c r="E5836" s="487" t="s">
        <v>18731</v>
      </c>
      <c r="F5836" s="490">
        <v>4200</v>
      </c>
      <c r="G5836" s="489">
        <v>84.33</v>
      </c>
      <c r="H5836" s="489">
        <v>49.804340000000003</v>
      </c>
      <c r="I5836" s="487" t="s">
        <v>1499</v>
      </c>
      <c r="J5836" s="487" t="s">
        <v>1370</v>
      </c>
    </row>
    <row r="5837" spans="1:10" ht="15" x14ac:dyDescent="0.2">
      <c r="A5837" s="486" t="s">
        <v>1369</v>
      </c>
      <c r="B5837" s="487" t="s">
        <v>1368</v>
      </c>
      <c r="C5837" s="488" t="s">
        <v>18732</v>
      </c>
      <c r="D5837" s="489" t="s">
        <v>18733</v>
      </c>
      <c r="E5837" s="487" t="s">
        <v>18734</v>
      </c>
      <c r="F5837" s="490">
        <v>0</v>
      </c>
      <c r="G5837" s="489">
        <v>30.6</v>
      </c>
      <c r="H5837" s="489">
        <v>0</v>
      </c>
      <c r="I5837" s="487" t="s">
        <v>1593</v>
      </c>
      <c r="J5837" s="487" t="s">
        <v>1370</v>
      </c>
    </row>
    <row r="5838" spans="1:10" ht="15" x14ac:dyDescent="0.2">
      <c r="A5838" s="486" t="s">
        <v>1369</v>
      </c>
      <c r="B5838" s="487" t="s">
        <v>1368</v>
      </c>
      <c r="C5838" s="488" t="s">
        <v>18735</v>
      </c>
      <c r="D5838" s="489" t="s">
        <v>18736</v>
      </c>
      <c r="E5838" s="487" t="s">
        <v>3793</v>
      </c>
      <c r="F5838" s="490">
        <v>15900</v>
      </c>
      <c r="G5838" s="489">
        <v>202.41</v>
      </c>
      <c r="H5838" s="489">
        <v>78.553430000000006</v>
      </c>
      <c r="I5838" s="487" t="s">
        <v>1499</v>
      </c>
      <c r="J5838" s="487" t="s">
        <v>1370</v>
      </c>
    </row>
    <row r="5839" spans="1:10" ht="15" x14ac:dyDescent="0.2">
      <c r="A5839" s="486" t="s">
        <v>1369</v>
      </c>
      <c r="B5839" s="487" t="s">
        <v>1368</v>
      </c>
      <c r="C5839" s="488" t="s">
        <v>18737</v>
      </c>
      <c r="D5839" s="489" t="s">
        <v>18738</v>
      </c>
      <c r="E5839" s="487" t="s">
        <v>18739</v>
      </c>
      <c r="F5839" s="490">
        <v>8700</v>
      </c>
      <c r="G5839" s="489">
        <v>118.84</v>
      </c>
      <c r="H5839" s="489">
        <v>73.207669999999993</v>
      </c>
      <c r="I5839" s="487" t="s">
        <v>1499</v>
      </c>
      <c r="J5839" s="487" t="s">
        <v>1370</v>
      </c>
    </row>
    <row r="5840" spans="1:10" ht="15" x14ac:dyDescent="0.2">
      <c r="A5840" s="486" t="s">
        <v>1369</v>
      </c>
      <c r="B5840" s="487" t="s">
        <v>1368</v>
      </c>
      <c r="C5840" s="488" t="s">
        <v>18740</v>
      </c>
      <c r="D5840" s="489" t="s">
        <v>18741</v>
      </c>
      <c r="E5840" s="487" t="s">
        <v>18742</v>
      </c>
      <c r="F5840" s="490">
        <v>0</v>
      </c>
      <c r="G5840" s="489">
        <v>0</v>
      </c>
      <c r="H5840" s="489">
        <v>0</v>
      </c>
      <c r="I5840" s="487" t="s">
        <v>2465</v>
      </c>
      <c r="J5840" s="487" t="s">
        <v>1370</v>
      </c>
    </row>
    <row r="5841" spans="1:10" ht="15" x14ac:dyDescent="0.2">
      <c r="A5841" s="486" t="s">
        <v>518</v>
      </c>
      <c r="B5841" s="487" t="s">
        <v>517</v>
      </c>
      <c r="C5841" s="488" t="s">
        <v>18743</v>
      </c>
      <c r="D5841" s="489" t="s">
        <v>18744</v>
      </c>
      <c r="E5841" s="487" t="s">
        <v>18745</v>
      </c>
      <c r="F5841" s="490">
        <v>30480</v>
      </c>
      <c r="G5841" s="489">
        <v>529.20000000000005</v>
      </c>
      <c r="H5841" s="489">
        <v>57.59637</v>
      </c>
      <c r="I5841" s="487" t="s">
        <v>1499</v>
      </c>
      <c r="J5841" s="487" t="s">
        <v>519</v>
      </c>
    </row>
    <row r="5842" spans="1:10" ht="15" x14ac:dyDescent="0.2">
      <c r="A5842" s="486" t="s">
        <v>518</v>
      </c>
      <c r="B5842" s="487" t="s">
        <v>517</v>
      </c>
      <c r="C5842" s="488" t="s">
        <v>18746</v>
      </c>
      <c r="D5842" s="489" t="s">
        <v>18747</v>
      </c>
      <c r="E5842" s="487" t="s">
        <v>18748</v>
      </c>
      <c r="F5842" s="490">
        <v>707552</v>
      </c>
      <c r="G5842" s="489">
        <v>4211.8</v>
      </c>
      <c r="H5842" s="489">
        <v>167.99278000000001</v>
      </c>
      <c r="I5842" s="487" t="s">
        <v>1499</v>
      </c>
      <c r="J5842" s="487" t="s">
        <v>519</v>
      </c>
    </row>
    <row r="5843" spans="1:10" ht="15" x14ac:dyDescent="0.2">
      <c r="A5843" s="486" t="s">
        <v>518</v>
      </c>
      <c r="B5843" s="487" t="s">
        <v>517</v>
      </c>
      <c r="C5843" s="488" t="s">
        <v>18749</v>
      </c>
      <c r="D5843" s="489" t="s">
        <v>18750</v>
      </c>
      <c r="E5843" s="487" t="s">
        <v>18751</v>
      </c>
      <c r="F5843" s="490">
        <v>21000</v>
      </c>
      <c r="G5843" s="489">
        <v>570.1</v>
      </c>
      <c r="H5843" s="489">
        <v>36.835639999999998</v>
      </c>
      <c r="I5843" s="487" t="s">
        <v>1499</v>
      </c>
      <c r="J5843" s="487" t="s">
        <v>519</v>
      </c>
    </row>
    <row r="5844" spans="1:10" ht="15" x14ac:dyDescent="0.2">
      <c r="A5844" s="486" t="s">
        <v>518</v>
      </c>
      <c r="B5844" s="487" t="s">
        <v>517</v>
      </c>
      <c r="C5844" s="488" t="s">
        <v>18752</v>
      </c>
      <c r="D5844" s="489" t="s">
        <v>18753</v>
      </c>
      <c r="E5844" s="487" t="s">
        <v>18754</v>
      </c>
      <c r="F5844" s="490">
        <v>31500</v>
      </c>
      <c r="G5844" s="489">
        <v>301.2</v>
      </c>
      <c r="H5844" s="489">
        <v>104.58167</v>
      </c>
      <c r="I5844" s="487" t="s">
        <v>1499</v>
      </c>
      <c r="J5844" s="487" t="s">
        <v>519</v>
      </c>
    </row>
    <row r="5845" spans="1:10" ht="15" x14ac:dyDescent="0.2">
      <c r="A5845" s="486" t="s">
        <v>518</v>
      </c>
      <c r="B5845" s="487" t="s">
        <v>517</v>
      </c>
      <c r="C5845" s="488" t="s">
        <v>18755</v>
      </c>
      <c r="D5845" s="489" t="s">
        <v>18756</v>
      </c>
      <c r="E5845" s="487" t="s">
        <v>18757</v>
      </c>
      <c r="F5845" s="490">
        <v>13572</v>
      </c>
      <c r="G5845" s="489">
        <v>138.6</v>
      </c>
      <c r="H5845" s="489">
        <v>97.922079999999994</v>
      </c>
      <c r="I5845" s="487" t="s">
        <v>1499</v>
      </c>
      <c r="J5845" s="487" t="s">
        <v>519</v>
      </c>
    </row>
    <row r="5846" spans="1:10" ht="15" x14ac:dyDescent="0.2">
      <c r="A5846" s="486" t="s">
        <v>518</v>
      </c>
      <c r="B5846" s="487" t="s">
        <v>517</v>
      </c>
      <c r="C5846" s="488" t="s">
        <v>18758</v>
      </c>
      <c r="D5846" s="489" t="s">
        <v>18759</v>
      </c>
      <c r="E5846" s="487" t="s">
        <v>18760</v>
      </c>
      <c r="F5846" s="490">
        <v>11600</v>
      </c>
      <c r="G5846" s="489">
        <v>222.6</v>
      </c>
      <c r="H5846" s="489">
        <v>52.111409999999999</v>
      </c>
      <c r="I5846" s="487" t="s">
        <v>1499</v>
      </c>
      <c r="J5846" s="487" t="s">
        <v>519</v>
      </c>
    </row>
    <row r="5847" spans="1:10" ht="15" x14ac:dyDescent="0.2">
      <c r="A5847" s="486" t="s">
        <v>518</v>
      </c>
      <c r="B5847" s="487" t="s">
        <v>517</v>
      </c>
      <c r="C5847" s="488" t="s">
        <v>18761</v>
      </c>
      <c r="D5847" s="489" t="s">
        <v>18762</v>
      </c>
      <c r="E5847" s="487" t="s">
        <v>18763</v>
      </c>
      <c r="F5847" s="490">
        <v>26565</v>
      </c>
      <c r="G5847" s="489">
        <v>529</v>
      </c>
      <c r="H5847" s="489">
        <v>50.217390000000002</v>
      </c>
      <c r="I5847" s="487" t="s">
        <v>1499</v>
      </c>
      <c r="J5847" s="487" t="s">
        <v>519</v>
      </c>
    </row>
    <row r="5848" spans="1:10" ht="15" x14ac:dyDescent="0.2">
      <c r="A5848" s="486" t="s">
        <v>518</v>
      </c>
      <c r="B5848" s="487" t="s">
        <v>517</v>
      </c>
      <c r="C5848" s="488" t="s">
        <v>18764</v>
      </c>
      <c r="D5848" s="489" t="s">
        <v>18765</v>
      </c>
      <c r="E5848" s="487" t="s">
        <v>18766</v>
      </c>
      <c r="F5848" s="490">
        <v>6903</v>
      </c>
      <c r="G5848" s="489">
        <v>310.8</v>
      </c>
      <c r="H5848" s="489">
        <v>22.210419999999999</v>
      </c>
      <c r="I5848" s="487" t="s">
        <v>1499</v>
      </c>
      <c r="J5848" s="487" t="s">
        <v>519</v>
      </c>
    </row>
    <row r="5849" spans="1:10" ht="15" x14ac:dyDescent="0.2">
      <c r="A5849" s="486" t="s">
        <v>518</v>
      </c>
      <c r="B5849" s="487" t="s">
        <v>517</v>
      </c>
      <c r="C5849" s="488" t="s">
        <v>18767</v>
      </c>
      <c r="D5849" s="489" t="s">
        <v>18768</v>
      </c>
      <c r="E5849" s="487" t="s">
        <v>18769</v>
      </c>
      <c r="F5849" s="490">
        <v>5000</v>
      </c>
      <c r="G5849" s="489">
        <v>92</v>
      </c>
      <c r="H5849" s="489">
        <v>54.347830000000002</v>
      </c>
      <c r="I5849" s="487" t="s">
        <v>1499</v>
      </c>
      <c r="J5849" s="487" t="s">
        <v>519</v>
      </c>
    </row>
    <row r="5850" spans="1:10" ht="15" x14ac:dyDescent="0.2">
      <c r="A5850" s="486" t="s">
        <v>518</v>
      </c>
      <c r="B5850" s="487" t="s">
        <v>517</v>
      </c>
      <c r="C5850" s="488" t="s">
        <v>18770</v>
      </c>
      <c r="D5850" s="489" t="s">
        <v>18771</v>
      </c>
      <c r="E5850" s="487" t="s">
        <v>18772</v>
      </c>
      <c r="F5850" s="490">
        <v>6000</v>
      </c>
      <c r="G5850" s="489">
        <v>121.7</v>
      </c>
      <c r="H5850" s="489">
        <v>49.301560000000002</v>
      </c>
      <c r="I5850" s="487" t="s">
        <v>1499</v>
      </c>
      <c r="J5850" s="487" t="s">
        <v>519</v>
      </c>
    </row>
    <row r="5851" spans="1:10" ht="15" x14ac:dyDescent="0.2">
      <c r="A5851" s="486" t="s">
        <v>518</v>
      </c>
      <c r="B5851" s="487" t="s">
        <v>517</v>
      </c>
      <c r="C5851" s="488" t="s">
        <v>18773</v>
      </c>
      <c r="D5851" s="489" t="s">
        <v>18774</v>
      </c>
      <c r="E5851" s="487" t="s">
        <v>18775</v>
      </c>
      <c r="F5851" s="490">
        <v>5670</v>
      </c>
      <c r="G5851" s="489">
        <v>124.9</v>
      </c>
      <c r="H5851" s="489">
        <v>45.396320000000003</v>
      </c>
      <c r="I5851" s="487" t="s">
        <v>1499</v>
      </c>
      <c r="J5851" s="487" t="s">
        <v>519</v>
      </c>
    </row>
    <row r="5852" spans="1:10" ht="15" x14ac:dyDescent="0.2">
      <c r="A5852" s="486" t="s">
        <v>518</v>
      </c>
      <c r="B5852" s="487" t="s">
        <v>517</v>
      </c>
      <c r="C5852" s="488" t="s">
        <v>18776</v>
      </c>
      <c r="D5852" s="489" t="s">
        <v>18777</v>
      </c>
      <c r="E5852" s="487" t="s">
        <v>2803</v>
      </c>
      <c r="F5852" s="490">
        <v>8000</v>
      </c>
      <c r="G5852" s="489">
        <v>258</v>
      </c>
      <c r="H5852" s="489">
        <v>31.007750000000001</v>
      </c>
      <c r="I5852" s="487" t="s">
        <v>1499</v>
      </c>
      <c r="J5852" s="487" t="s">
        <v>519</v>
      </c>
    </row>
    <row r="5853" spans="1:10" ht="15" x14ac:dyDescent="0.2">
      <c r="A5853" s="486" t="s">
        <v>518</v>
      </c>
      <c r="B5853" s="487" t="s">
        <v>517</v>
      </c>
      <c r="C5853" s="488" t="s">
        <v>18778</v>
      </c>
      <c r="D5853" s="489" t="s">
        <v>18779</v>
      </c>
      <c r="E5853" s="487" t="s">
        <v>18780</v>
      </c>
      <c r="F5853" s="490">
        <v>6945</v>
      </c>
      <c r="G5853" s="489">
        <v>230.4</v>
      </c>
      <c r="H5853" s="489">
        <v>30.143229999999999</v>
      </c>
      <c r="I5853" s="487" t="s">
        <v>1499</v>
      </c>
      <c r="J5853" s="487" t="s">
        <v>519</v>
      </c>
    </row>
    <row r="5854" spans="1:10" ht="15" x14ac:dyDescent="0.2">
      <c r="A5854" s="486" t="s">
        <v>518</v>
      </c>
      <c r="B5854" s="487" t="s">
        <v>517</v>
      </c>
      <c r="C5854" s="488" t="s">
        <v>18781</v>
      </c>
      <c r="D5854" s="489" t="s">
        <v>18782</v>
      </c>
      <c r="E5854" s="487" t="s">
        <v>18783</v>
      </c>
      <c r="F5854" s="490">
        <v>11426.87</v>
      </c>
      <c r="G5854" s="489">
        <v>127.1</v>
      </c>
      <c r="H5854" s="489">
        <v>89.904560000000004</v>
      </c>
      <c r="I5854" s="487" t="s">
        <v>1499</v>
      </c>
      <c r="J5854" s="487" t="s">
        <v>519</v>
      </c>
    </row>
    <row r="5855" spans="1:10" ht="15" x14ac:dyDescent="0.2">
      <c r="A5855" s="486" t="s">
        <v>518</v>
      </c>
      <c r="B5855" s="487" t="s">
        <v>517</v>
      </c>
      <c r="C5855" s="488" t="s">
        <v>18784</v>
      </c>
      <c r="D5855" s="489" t="s">
        <v>18785</v>
      </c>
      <c r="E5855" s="487" t="s">
        <v>18786</v>
      </c>
      <c r="F5855" s="490">
        <v>13260</v>
      </c>
      <c r="G5855" s="489">
        <v>132.9</v>
      </c>
      <c r="H5855" s="489">
        <v>99.774270000000001</v>
      </c>
      <c r="I5855" s="487" t="s">
        <v>1499</v>
      </c>
      <c r="J5855" s="487" t="s">
        <v>519</v>
      </c>
    </row>
    <row r="5856" spans="1:10" ht="15" x14ac:dyDescent="0.2">
      <c r="A5856" s="486" t="s">
        <v>518</v>
      </c>
      <c r="B5856" s="487" t="s">
        <v>517</v>
      </c>
      <c r="C5856" s="488" t="s">
        <v>18787</v>
      </c>
      <c r="D5856" s="489" t="s">
        <v>18788</v>
      </c>
      <c r="E5856" s="487" t="s">
        <v>18789</v>
      </c>
      <c r="F5856" s="490">
        <v>0</v>
      </c>
      <c r="G5856" s="489">
        <v>36.4</v>
      </c>
      <c r="H5856" s="489">
        <v>0</v>
      </c>
      <c r="I5856" s="487" t="s">
        <v>1593</v>
      </c>
      <c r="J5856" s="487" t="s">
        <v>519</v>
      </c>
    </row>
    <row r="5857" spans="1:10" ht="15" x14ac:dyDescent="0.2">
      <c r="A5857" s="486" t="s">
        <v>518</v>
      </c>
      <c r="B5857" s="487" t="s">
        <v>517</v>
      </c>
      <c r="C5857" s="488" t="s">
        <v>18790</v>
      </c>
      <c r="D5857" s="489" t="s">
        <v>18791</v>
      </c>
      <c r="E5857" s="487" t="s">
        <v>18792</v>
      </c>
      <c r="F5857" s="490">
        <v>49000</v>
      </c>
      <c r="G5857" s="489">
        <v>745.1</v>
      </c>
      <c r="H5857" s="489">
        <v>65.762979999999999</v>
      </c>
      <c r="I5857" s="487" t="s">
        <v>1499</v>
      </c>
      <c r="J5857" s="487" t="s">
        <v>519</v>
      </c>
    </row>
    <row r="5858" spans="1:10" ht="15" x14ac:dyDescent="0.2">
      <c r="A5858" s="486" t="s">
        <v>518</v>
      </c>
      <c r="B5858" s="487" t="s">
        <v>517</v>
      </c>
      <c r="C5858" s="488" t="s">
        <v>18793</v>
      </c>
      <c r="D5858" s="489" t="s">
        <v>18794</v>
      </c>
      <c r="E5858" s="487" t="s">
        <v>18795</v>
      </c>
      <c r="F5858" s="490">
        <v>11600</v>
      </c>
      <c r="G5858" s="489">
        <v>214.8</v>
      </c>
      <c r="H5858" s="489">
        <v>54.003720000000001</v>
      </c>
      <c r="I5858" s="487" t="s">
        <v>1499</v>
      </c>
      <c r="J5858" s="487" t="s">
        <v>519</v>
      </c>
    </row>
    <row r="5859" spans="1:10" ht="15" x14ac:dyDescent="0.2">
      <c r="A5859" s="486" t="s">
        <v>518</v>
      </c>
      <c r="B5859" s="487" t="s">
        <v>517</v>
      </c>
      <c r="C5859" s="488" t="s">
        <v>18796</v>
      </c>
      <c r="D5859" s="489" t="s">
        <v>18797</v>
      </c>
      <c r="E5859" s="487" t="s">
        <v>18798</v>
      </c>
      <c r="F5859" s="490">
        <v>2000</v>
      </c>
      <c r="G5859" s="489">
        <v>46.8</v>
      </c>
      <c r="H5859" s="489">
        <v>42.735039999999998</v>
      </c>
      <c r="I5859" s="487" t="s">
        <v>1499</v>
      </c>
      <c r="J5859" s="487" t="s">
        <v>519</v>
      </c>
    </row>
    <row r="5860" spans="1:10" ht="15" x14ac:dyDescent="0.2">
      <c r="A5860" s="486" t="s">
        <v>518</v>
      </c>
      <c r="B5860" s="487" t="s">
        <v>517</v>
      </c>
      <c r="C5860" s="488" t="s">
        <v>18799</v>
      </c>
      <c r="D5860" s="489" t="s">
        <v>18800</v>
      </c>
      <c r="E5860" s="487" t="s">
        <v>18801</v>
      </c>
      <c r="F5860" s="490">
        <v>14500</v>
      </c>
      <c r="G5860" s="489">
        <v>274.3</v>
      </c>
      <c r="H5860" s="489">
        <v>52.861829999999998</v>
      </c>
      <c r="I5860" s="487" t="s">
        <v>1499</v>
      </c>
      <c r="J5860" s="487" t="s">
        <v>519</v>
      </c>
    </row>
    <row r="5861" spans="1:10" ht="15" x14ac:dyDescent="0.2">
      <c r="A5861" s="486" t="s">
        <v>518</v>
      </c>
      <c r="B5861" s="487" t="s">
        <v>517</v>
      </c>
      <c r="C5861" s="488" t="s">
        <v>18802</v>
      </c>
      <c r="D5861" s="489" t="s">
        <v>18803</v>
      </c>
      <c r="E5861" s="487" t="s">
        <v>18804</v>
      </c>
      <c r="F5861" s="490">
        <v>0</v>
      </c>
      <c r="G5861" s="489">
        <v>20.2</v>
      </c>
      <c r="H5861" s="489">
        <v>0</v>
      </c>
      <c r="I5861" s="487" t="s">
        <v>1593</v>
      </c>
      <c r="J5861" s="487" t="s">
        <v>519</v>
      </c>
    </row>
    <row r="5862" spans="1:10" ht="15" x14ac:dyDescent="0.2">
      <c r="A5862" s="486" t="s">
        <v>518</v>
      </c>
      <c r="B5862" s="487" t="s">
        <v>517</v>
      </c>
      <c r="C5862" s="488" t="s">
        <v>18805</v>
      </c>
      <c r="D5862" s="489" t="s">
        <v>18806</v>
      </c>
      <c r="E5862" s="487" t="s">
        <v>18807</v>
      </c>
      <c r="F5862" s="490">
        <v>8891</v>
      </c>
      <c r="G5862" s="489">
        <v>189.1</v>
      </c>
      <c r="H5862" s="489">
        <v>47.017449999999997</v>
      </c>
      <c r="I5862" s="487" t="s">
        <v>1499</v>
      </c>
      <c r="J5862" s="487" t="s">
        <v>519</v>
      </c>
    </row>
    <row r="5863" spans="1:10" ht="15" x14ac:dyDescent="0.2">
      <c r="A5863" s="486" t="s">
        <v>518</v>
      </c>
      <c r="B5863" s="487" t="s">
        <v>517</v>
      </c>
      <c r="C5863" s="488" t="s">
        <v>18808</v>
      </c>
      <c r="D5863" s="489" t="s">
        <v>18809</v>
      </c>
      <c r="E5863" s="487" t="s">
        <v>3563</v>
      </c>
      <c r="F5863" s="490">
        <v>7545.3</v>
      </c>
      <c r="G5863" s="489">
        <v>126.2</v>
      </c>
      <c r="H5863" s="489">
        <v>59.788429999999998</v>
      </c>
      <c r="I5863" s="487" t="s">
        <v>1499</v>
      </c>
      <c r="J5863" s="487" t="s">
        <v>519</v>
      </c>
    </row>
    <row r="5864" spans="1:10" ht="15" x14ac:dyDescent="0.2">
      <c r="A5864" s="486" t="s">
        <v>518</v>
      </c>
      <c r="B5864" s="487" t="s">
        <v>517</v>
      </c>
      <c r="C5864" s="488" t="s">
        <v>18810</v>
      </c>
      <c r="D5864" s="489" t="s">
        <v>18811</v>
      </c>
      <c r="E5864" s="487" t="s">
        <v>18812</v>
      </c>
      <c r="F5864" s="490">
        <v>1229107</v>
      </c>
      <c r="G5864" s="489">
        <v>6035.9</v>
      </c>
      <c r="H5864" s="489">
        <v>203.63275999999999</v>
      </c>
      <c r="I5864" s="487" t="s">
        <v>1499</v>
      </c>
      <c r="J5864" s="487" t="s">
        <v>519</v>
      </c>
    </row>
    <row r="5865" spans="1:10" ht="15" x14ac:dyDescent="0.2">
      <c r="A5865" s="486" t="s">
        <v>518</v>
      </c>
      <c r="B5865" s="487" t="s">
        <v>517</v>
      </c>
      <c r="C5865" s="488" t="s">
        <v>18813</v>
      </c>
      <c r="D5865" s="489" t="s">
        <v>18814</v>
      </c>
      <c r="E5865" s="487" t="s">
        <v>18815</v>
      </c>
      <c r="F5865" s="490">
        <v>0</v>
      </c>
      <c r="G5865" s="489">
        <v>24.3</v>
      </c>
      <c r="H5865" s="489">
        <v>0</v>
      </c>
      <c r="I5865" s="487" t="s">
        <v>1593</v>
      </c>
      <c r="J5865" s="487" t="s">
        <v>519</v>
      </c>
    </row>
    <row r="5866" spans="1:10" ht="15" x14ac:dyDescent="0.2">
      <c r="A5866" s="486" t="s">
        <v>518</v>
      </c>
      <c r="B5866" s="487" t="s">
        <v>517</v>
      </c>
      <c r="C5866" s="488" t="s">
        <v>18816</v>
      </c>
      <c r="D5866" s="489" t="s">
        <v>18817</v>
      </c>
      <c r="E5866" s="487" t="s">
        <v>18818</v>
      </c>
      <c r="F5866" s="490">
        <v>11120</v>
      </c>
      <c r="G5866" s="489">
        <v>183.2</v>
      </c>
      <c r="H5866" s="489">
        <v>60.698689999999999</v>
      </c>
      <c r="I5866" s="487" t="s">
        <v>1499</v>
      </c>
      <c r="J5866" s="487" t="s">
        <v>519</v>
      </c>
    </row>
    <row r="5867" spans="1:10" ht="15" x14ac:dyDescent="0.2">
      <c r="A5867" s="486" t="s">
        <v>518</v>
      </c>
      <c r="B5867" s="487" t="s">
        <v>517</v>
      </c>
      <c r="C5867" s="488" t="s">
        <v>18819</v>
      </c>
      <c r="D5867" s="489" t="s">
        <v>18820</v>
      </c>
      <c r="E5867" s="487" t="s">
        <v>18821</v>
      </c>
      <c r="F5867" s="490">
        <v>5286</v>
      </c>
      <c r="G5867" s="489">
        <v>104.5</v>
      </c>
      <c r="H5867" s="489">
        <v>50.583730000000003</v>
      </c>
      <c r="I5867" s="487" t="s">
        <v>1499</v>
      </c>
      <c r="J5867" s="487" t="s">
        <v>519</v>
      </c>
    </row>
    <row r="5868" spans="1:10" ht="15" x14ac:dyDescent="0.2">
      <c r="A5868" s="486" t="s">
        <v>518</v>
      </c>
      <c r="B5868" s="487" t="s">
        <v>517</v>
      </c>
      <c r="C5868" s="488" t="s">
        <v>18822</v>
      </c>
      <c r="D5868" s="489" t="s">
        <v>18823</v>
      </c>
      <c r="E5868" s="487" t="s">
        <v>18824</v>
      </c>
      <c r="F5868" s="490">
        <v>11462</v>
      </c>
      <c r="G5868" s="489">
        <v>158.9</v>
      </c>
      <c r="H5868" s="489">
        <v>72.133420000000001</v>
      </c>
      <c r="I5868" s="487" t="s">
        <v>1499</v>
      </c>
      <c r="J5868" s="487" t="s">
        <v>519</v>
      </c>
    </row>
    <row r="5869" spans="1:10" ht="15" x14ac:dyDescent="0.2">
      <c r="A5869" s="486" t="s">
        <v>518</v>
      </c>
      <c r="B5869" s="487" t="s">
        <v>517</v>
      </c>
      <c r="C5869" s="488" t="s">
        <v>18825</v>
      </c>
      <c r="D5869" s="489" t="s">
        <v>18826</v>
      </c>
      <c r="E5869" s="487" t="s">
        <v>18827</v>
      </c>
      <c r="F5869" s="490">
        <v>7479</v>
      </c>
      <c r="G5869" s="489">
        <v>140.30000000000001</v>
      </c>
      <c r="H5869" s="489">
        <v>53.307200000000002</v>
      </c>
      <c r="I5869" s="487" t="s">
        <v>1499</v>
      </c>
      <c r="J5869" s="487" t="s">
        <v>519</v>
      </c>
    </row>
    <row r="5870" spans="1:10" ht="15" x14ac:dyDescent="0.2">
      <c r="A5870" s="486" t="s">
        <v>518</v>
      </c>
      <c r="B5870" s="487" t="s">
        <v>517</v>
      </c>
      <c r="C5870" s="488" t="s">
        <v>18828</v>
      </c>
      <c r="D5870" s="489" t="s">
        <v>18829</v>
      </c>
      <c r="E5870" s="487" t="s">
        <v>18830</v>
      </c>
      <c r="F5870" s="490">
        <v>6000</v>
      </c>
      <c r="G5870" s="489">
        <v>192.1</v>
      </c>
      <c r="H5870" s="489">
        <v>31.233730000000001</v>
      </c>
      <c r="I5870" s="487" t="s">
        <v>1499</v>
      </c>
      <c r="J5870" s="487" t="s">
        <v>519</v>
      </c>
    </row>
    <row r="5871" spans="1:10" ht="15" x14ac:dyDescent="0.2">
      <c r="A5871" s="486" t="s">
        <v>518</v>
      </c>
      <c r="B5871" s="487" t="s">
        <v>517</v>
      </c>
      <c r="C5871" s="488" t="s">
        <v>18831</v>
      </c>
      <c r="D5871" s="489" t="s">
        <v>18832</v>
      </c>
      <c r="E5871" s="487" t="s">
        <v>18833</v>
      </c>
      <c r="F5871" s="490">
        <v>10764.05</v>
      </c>
      <c r="G5871" s="489">
        <v>314.8</v>
      </c>
      <c r="H5871" s="489">
        <v>34.193300000000001</v>
      </c>
      <c r="I5871" s="487" t="s">
        <v>1499</v>
      </c>
      <c r="J5871" s="487" t="s">
        <v>519</v>
      </c>
    </row>
    <row r="5872" spans="1:10" ht="15" x14ac:dyDescent="0.2">
      <c r="A5872" s="486" t="s">
        <v>518</v>
      </c>
      <c r="B5872" s="487" t="s">
        <v>517</v>
      </c>
      <c r="C5872" s="488" t="s">
        <v>18834</v>
      </c>
      <c r="D5872" s="489" t="s">
        <v>18835</v>
      </c>
      <c r="E5872" s="487" t="s">
        <v>18836</v>
      </c>
      <c r="F5872" s="490">
        <v>12370</v>
      </c>
      <c r="G5872" s="489">
        <v>300.5</v>
      </c>
      <c r="H5872" s="489">
        <v>41.164729999999999</v>
      </c>
      <c r="I5872" s="487" t="s">
        <v>1499</v>
      </c>
      <c r="J5872" s="487" t="s">
        <v>519</v>
      </c>
    </row>
    <row r="5873" spans="1:10" ht="15" x14ac:dyDescent="0.2">
      <c r="A5873" s="486" t="s">
        <v>518</v>
      </c>
      <c r="B5873" s="487" t="s">
        <v>517</v>
      </c>
      <c r="C5873" s="488" t="s">
        <v>18837</v>
      </c>
      <c r="D5873" s="489" t="s">
        <v>18838</v>
      </c>
      <c r="E5873" s="487" t="s">
        <v>18839</v>
      </c>
      <c r="F5873" s="490">
        <v>0</v>
      </c>
      <c r="G5873" s="489">
        <v>27.8</v>
      </c>
      <c r="H5873" s="489">
        <v>0</v>
      </c>
      <c r="I5873" s="487" t="s">
        <v>1593</v>
      </c>
      <c r="J5873" s="487" t="s">
        <v>519</v>
      </c>
    </row>
    <row r="5874" spans="1:10" ht="15" x14ac:dyDescent="0.2">
      <c r="A5874" s="486" t="s">
        <v>518</v>
      </c>
      <c r="B5874" s="487" t="s">
        <v>517</v>
      </c>
      <c r="C5874" s="488" t="s">
        <v>18840</v>
      </c>
      <c r="D5874" s="489" t="s">
        <v>18841</v>
      </c>
      <c r="E5874" s="487" t="s">
        <v>18842</v>
      </c>
      <c r="F5874" s="490">
        <v>13258</v>
      </c>
      <c r="G5874" s="489">
        <v>150</v>
      </c>
      <c r="H5874" s="489">
        <v>88.386669999999995</v>
      </c>
      <c r="I5874" s="487" t="s">
        <v>1499</v>
      </c>
      <c r="J5874" s="487" t="s">
        <v>519</v>
      </c>
    </row>
    <row r="5875" spans="1:10" ht="15" x14ac:dyDescent="0.2">
      <c r="A5875" s="486" t="s">
        <v>518</v>
      </c>
      <c r="B5875" s="487" t="s">
        <v>517</v>
      </c>
      <c r="C5875" s="488" t="s">
        <v>18843</v>
      </c>
      <c r="D5875" s="489" t="s">
        <v>18844</v>
      </c>
      <c r="E5875" s="487" t="s">
        <v>18845</v>
      </c>
      <c r="F5875" s="490">
        <v>10350</v>
      </c>
      <c r="G5875" s="489">
        <v>92.7</v>
      </c>
      <c r="H5875" s="489">
        <v>111.65049</v>
      </c>
      <c r="I5875" s="487" t="s">
        <v>1499</v>
      </c>
      <c r="J5875" s="487" t="s">
        <v>519</v>
      </c>
    </row>
    <row r="5876" spans="1:10" ht="15" x14ac:dyDescent="0.2">
      <c r="A5876" s="486" t="s">
        <v>518</v>
      </c>
      <c r="B5876" s="487" t="s">
        <v>517</v>
      </c>
      <c r="C5876" s="488" t="s">
        <v>18846</v>
      </c>
      <c r="D5876" s="489" t="s">
        <v>18847</v>
      </c>
      <c r="E5876" s="487" t="s">
        <v>18848</v>
      </c>
      <c r="F5876" s="490">
        <v>2400</v>
      </c>
      <c r="G5876" s="489">
        <v>131.5</v>
      </c>
      <c r="H5876" s="489">
        <v>18.25095</v>
      </c>
      <c r="I5876" s="487" t="s">
        <v>1499</v>
      </c>
      <c r="J5876" s="487" t="s">
        <v>519</v>
      </c>
    </row>
    <row r="5877" spans="1:10" ht="15" x14ac:dyDescent="0.2">
      <c r="A5877" s="486" t="s">
        <v>518</v>
      </c>
      <c r="B5877" s="487" t="s">
        <v>517</v>
      </c>
      <c r="C5877" s="488" t="s">
        <v>18849</v>
      </c>
      <c r="D5877" s="489" t="s">
        <v>18850</v>
      </c>
      <c r="E5877" s="487" t="s">
        <v>18851</v>
      </c>
      <c r="F5877" s="490">
        <v>14000</v>
      </c>
      <c r="G5877" s="489">
        <v>631.20000000000005</v>
      </c>
      <c r="H5877" s="489">
        <v>22.179970000000001</v>
      </c>
      <c r="I5877" s="487" t="s">
        <v>1499</v>
      </c>
      <c r="J5877" s="487" t="s">
        <v>519</v>
      </c>
    </row>
    <row r="5878" spans="1:10" ht="15" x14ac:dyDescent="0.2">
      <c r="A5878" s="486" t="s">
        <v>518</v>
      </c>
      <c r="B5878" s="487" t="s">
        <v>517</v>
      </c>
      <c r="C5878" s="488" t="s">
        <v>18852</v>
      </c>
      <c r="D5878" s="489" t="s">
        <v>18853</v>
      </c>
      <c r="E5878" s="487" t="s">
        <v>18854</v>
      </c>
      <c r="F5878" s="490">
        <v>16500</v>
      </c>
      <c r="G5878" s="489">
        <v>382</v>
      </c>
      <c r="H5878" s="489">
        <v>43.193719999999999</v>
      </c>
      <c r="I5878" s="487" t="s">
        <v>1499</v>
      </c>
      <c r="J5878" s="487" t="s">
        <v>519</v>
      </c>
    </row>
    <row r="5879" spans="1:10" ht="15" x14ac:dyDescent="0.2">
      <c r="A5879" s="486" t="s">
        <v>518</v>
      </c>
      <c r="B5879" s="487" t="s">
        <v>517</v>
      </c>
      <c r="C5879" s="488" t="s">
        <v>18855</v>
      </c>
      <c r="D5879" s="489" t="s">
        <v>18856</v>
      </c>
      <c r="E5879" s="487" t="s">
        <v>18857</v>
      </c>
      <c r="F5879" s="490">
        <v>27780</v>
      </c>
      <c r="G5879" s="489">
        <v>308.10000000000002</v>
      </c>
      <c r="H5879" s="489">
        <v>90.165530000000004</v>
      </c>
      <c r="I5879" s="487" t="s">
        <v>1499</v>
      </c>
      <c r="J5879" s="487" t="s">
        <v>519</v>
      </c>
    </row>
    <row r="5880" spans="1:10" ht="15" x14ac:dyDescent="0.2">
      <c r="A5880" s="486" t="s">
        <v>518</v>
      </c>
      <c r="B5880" s="487" t="s">
        <v>517</v>
      </c>
      <c r="C5880" s="488" t="s">
        <v>18858</v>
      </c>
      <c r="D5880" s="489" t="s">
        <v>18859</v>
      </c>
      <c r="E5880" s="487" t="s">
        <v>18860</v>
      </c>
      <c r="F5880" s="490">
        <v>25059</v>
      </c>
      <c r="G5880" s="489">
        <v>92.4</v>
      </c>
      <c r="H5880" s="489">
        <v>271.2013</v>
      </c>
      <c r="I5880" s="487" t="s">
        <v>1499</v>
      </c>
      <c r="J5880" s="487" t="s">
        <v>519</v>
      </c>
    </row>
    <row r="5881" spans="1:10" ht="15" x14ac:dyDescent="0.2">
      <c r="A5881" s="486" t="s">
        <v>518</v>
      </c>
      <c r="B5881" s="487" t="s">
        <v>517</v>
      </c>
      <c r="C5881" s="488" t="s">
        <v>18861</v>
      </c>
      <c r="D5881" s="489" t="s">
        <v>18862</v>
      </c>
      <c r="E5881" s="487" t="s">
        <v>18863</v>
      </c>
      <c r="F5881" s="490">
        <v>7877</v>
      </c>
      <c r="G5881" s="489">
        <v>119.6</v>
      </c>
      <c r="H5881" s="489">
        <v>65.861199999999997</v>
      </c>
      <c r="I5881" s="487" t="s">
        <v>1499</v>
      </c>
      <c r="J5881" s="487" t="s">
        <v>519</v>
      </c>
    </row>
    <row r="5882" spans="1:10" ht="15" x14ac:dyDescent="0.2">
      <c r="A5882" s="486" t="s">
        <v>518</v>
      </c>
      <c r="B5882" s="487" t="s">
        <v>517</v>
      </c>
      <c r="C5882" s="488" t="s">
        <v>18864</v>
      </c>
      <c r="D5882" s="489" t="s">
        <v>18865</v>
      </c>
      <c r="E5882" s="487" t="s">
        <v>18866</v>
      </c>
      <c r="F5882" s="490">
        <v>100000</v>
      </c>
      <c r="G5882" s="489">
        <v>949</v>
      </c>
      <c r="H5882" s="489">
        <v>105.37408000000001</v>
      </c>
      <c r="I5882" s="487" t="s">
        <v>1499</v>
      </c>
      <c r="J5882" s="487" t="s">
        <v>519</v>
      </c>
    </row>
    <row r="5883" spans="1:10" ht="15" x14ac:dyDescent="0.2">
      <c r="A5883" s="486" t="s">
        <v>518</v>
      </c>
      <c r="B5883" s="487" t="s">
        <v>517</v>
      </c>
      <c r="C5883" s="488" t="s">
        <v>18867</v>
      </c>
      <c r="D5883" s="489" t="s">
        <v>18868</v>
      </c>
      <c r="E5883" s="487" t="s">
        <v>18869</v>
      </c>
      <c r="F5883" s="490">
        <v>10155</v>
      </c>
      <c r="G5883" s="489">
        <v>84.7</v>
      </c>
      <c r="H5883" s="489">
        <v>119.89373999999999</v>
      </c>
      <c r="I5883" s="487" t="s">
        <v>1499</v>
      </c>
      <c r="J5883" s="487" t="s">
        <v>519</v>
      </c>
    </row>
    <row r="5884" spans="1:10" ht="15" x14ac:dyDescent="0.2">
      <c r="A5884" s="486" t="s">
        <v>518</v>
      </c>
      <c r="B5884" s="487" t="s">
        <v>517</v>
      </c>
      <c r="C5884" s="488" t="s">
        <v>18870</v>
      </c>
      <c r="D5884" s="489" t="s">
        <v>18871</v>
      </c>
      <c r="E5884" s="487" t="s">
        <v>18872</v>
      </c>
      <c r="F5884" s="490">
        <v>10000</v>
      </c>
      <c r="G5884" s="489">
        <v>278.2</v>
      </c>
      <c r="H5884" s="489">
        <v>35.945360000000001</v>
      </c>
      <c r="I5884" s="487" t="s">
        <v>1499</v>
      </c>
      <c r="J5884" s="487" t="s">
        <v>519</v>
      </c>
    </row>
    <row r="5885" spans="1:10" ht="15" x14ac:dyDescent="0.2">
      <c r="A5885" s="486" t="s">
        <v>518</v>
      </c>
      <c r="B5885" s="487" t="s">
        <v>517</v>
      </c>
      <c r="C5885" s="488" t="s">
        <v>18873</v>
      </c>
      <c r="D5885" s="489" t="s">
        <v>18874</v>
      </c>
      <c r="E5885" s="487" t="s">
        <v>18875</v>
      </c>
      <c r="F5885" s="490">
        <v>17500</v>
      </c>
      <c r="G5885" s="489">
        <v>278</v>
      </c>
      <c r="H5885" s="489">
        <v>62.949640000000002</v>
      </c>
      <c r="I5885" s="487" t="s">
        <v>1499</v>
      </c>
      <c r="J5885" s="487" t="s">
        <v>519</v>
      </c>
    </row>
    <row r="5886" spans="1:10" ht="15" x14ac:dyDescent="0.2">
      <c r="A5886" s="486" t="s">
        <v>518</v>
      </c>
      <c r="B5886" s="487" t="s">
        <v>517</v>
      </c>
      <c r="C5886" s="488" t="s">
        <v>18876</v>
      </c>
      <c r="D5886" s="489" t="s">
        <v>18877</v>
      </c>
      <c r="E5886" s="487" t="s">
        <v>18878</v>
      </c>
      <c r="F5886" s="490">
        <v>1800</v>
      </c>
      <c r="G5886" s="489">
        <v>103.9</v>
      </c>
      <c r="H5886" s="489">
        <v>17.324349999999999</v>
      </c>
      <c r="I5886" s="487" t="s">
        <v>1499</v>
      </c>
      <c r="J5886" s="487" t="s">
        <v>519</v>
      </c>
    </row>
    <row r="5887" spans="1:10" ht="15" x14ac:dyDescent="0.2">
      <c r="A5887" s="486" t="s">
        <v>518</v>
      </c>
      <c r="B5887" s="487" t="s">
        <v>517</v>
      </c>
      <c r="C5887" s="488" t="s">
        <v>18879</v>
      </c>
      <c r="D5887" s="489" t="s">
        <v>18880</v>
      </c>
      <c r="E5887" s="487" t="s">
        <v>18881</v>
      </c>
      <c r="F5887" s="490">
        <v>9000</v>
      </c>
      <c r="G5887" s="489">
        <v>213.6</v>
      </c>
      <c r="H5887" s="489">
        <v>42.134830000000001</v>
      </c>
      <c r="I5887" s="487" t="s">
        <v>1499</v>
      </c>
      <c r="J5887" s="487" t="s">
        <v>519</v>
      </c>
    </row>
    <row r="5888" spans="1:10" ht="15" x14ac:dyDescent="0.2">
      <c r="A5888" s="486" t="s">
        <v>518</v>
      </c>
      <c r="B5888" s="487" t="s">
        <v>517</v>
      </c>
      <c r="C5888" s="488" t="s">
        <v>18882</v>
      </c>
      <c r="D5888" s="489" t="s">
        <v>18883</v>
      </c>
      <c r="E5888" s="487" t="s">
        <v>18884</v>
      </c>
      <c r="F5888" s="490">
        <v>2400</v>
      </c>
      <c r="G5888" s="489">
        <v>62.5</v>
      </c>
      <c r="H5888" s="489">
        <v>38.4</v>
      </c>
      <c r="I5888" s="487" t="s">
        <v>1499</v>
      </c>
      <c r="J5888" s="487" t="s">
        <v>519</v>
      </c>
    </row>
    <row r="5889" spans="1:10" ht="15" x14ac:dyDescent="0.2">
      <c r="A5889" s="486" t="s">
        <v>518</v>
      </c>
      <c r="B5889" s="487" t="s">
        <v>517</v>
      </c>
      <c r="C5889" s="488" t="s">
        <v>18885</v>
      </c>
      <c r="D5889" s="489" t="s">
        <v>18886</v>
      </c>
      <c r="E5889" s="487" t="s">
        <v>18887</v>
      </c>
      <c r="F5889" s="490">
        <v>0</v>
      </c>
      <c r="G5889" s="489">
        <v>117.5</v>
      </c>
      <c r="H5889" s="489">
        <v>0</v>
      </c>
      <c r="I5889" s="487" t="s">
        <v>1593</v>
      </c>
      <c r="J5889" s="487" t="s">
        <v>519</v>
      </c>
    </row>
    <row r="5890" spans="1:10" ht="15" x14ac:dyDescent="0.2">
      <c r="A5890" s="486" t="s">
        <v>518</v>
      </c>
      <c r="B5890" s="487" t="s">
        <v>517</v>
      </c>
      <c r="C5890" s="488" t="s">
        <v>18888</v>
      </c>
      <c r="D5890" s="489" t="s">
        <v>18889</v>
      </c>
      <c r="E5890" s="487" t="s">
        <v>18890</v>
      </c>
      <c r="F5890" s="490">
        <v>0</v>
      </c>
      <c r="G5890" s="489">
        <v>8</v>
      </c>
      <c r="H5890" s="489">
        <v>0</v>
      </c>
      <c r="I5890" s="487" t="s">
        <v>1593</v>
      </c>
      <c r="J5890" s="487" t="s">
        <v>519</v>
      </c>
    </row>
    <row r="5891" spans="1:10" ht="15" x14ac:dyDescent="0.2">
      <c r="A5891" s="486" t="s">
        <v>518</v>
      </c>
      <c r="B5891" s="487" t="s">
        <v>517</v>
      </c>
      <c r="C5891" s="488" t="s">
        <v>18891</v>
      </c>
      <c r="D5891" s="489" t="s">
        <v>18892</v>
      </c>
      <c r="E5891" s="487" t="s">
        <v>18893</v>
      </c>
      <c r="F5891" s="490">
        <v>12000</v>
      </c>
      <c r="G5891" s="489">
        <v>403.9</v>
      </c>
      <c r="H5891" s="489">
        <v>29.710319999999999</v>
      </c>
      <c r="I5891" s="487" t="s">
        <v>1499</v>
      </c>
      <c r="J5891" s="487" t="s">
        <v>519</v>
      </c>
    </row>
    <row r="5892" spans="1:10" ht="15" x14ac:dyDescent="0.2">
      <c r="A5892" s="486" t="s">
        <v>518</v>
      </c>
      <c r="B5892" s="487" t="s">
        <v>517</v>
      </c>
      <c r="C5892" s="488" t="s">
        <v>18894</v>
      </c>
      <c r="D5892" s="489" t="s">
        <v>18895</v>
      </c>
      <c r="E5892" s="487" t="s">
        <v>18896</v>
      </c>
      <c r="F5892" s="490">
        <v>0</v>
      </c>
      <c r="G5892" s="489">
        <v>50.2</v>
      </c>
      <c r="H5892" s="489">
        <v>0</v>
      </c>
      <c r="I5892" s="487" t="s">
        <v>1593</v>
      </c>
      <c r="J5892" s="487" t="s">
        <v>519</v>
      </c>
    </row>
    <row r="5893" spans="1:10" ht="15" x14ac:dyDescent="0.2">
      <c r="A5893" s="486" t="s">
        <v>518</v>
      </c>
      <c r="B5893" s="487" t="s">
        <v>517</v>
      </c>
      <c r="C5893" s="488" t="s">
        <v>18897</v>
      </c>
      <c r="D5893" s="489" t="s">
        <v>18898</v>
      </c>
      <c r="E5893" s="487" t="s">
        <v>18899</v>
      </c>
      <c r="F5893" s="490">
        <v>11000</v>
      </c>
      <c r="G5893" s="489">
        <v>222.9</v>
      </c>
      <c r="H5893" s="489">
        <v>49.34948</v>
      </c>
      <c r="I5893" s="487" t="s">
        <v>1499</v>
      </c>
      <c r="J5893" s="487" t="s">
        <v>519</v>
      </c>
    </row>
    <row r="5894" spans="1:10" ht="15" x14ac:dyDescent="0.2">
      <c r="A5894" s="486" t="s">
        <v>518</v>
      </c>
      <c r="B5894" s="487" t="s">
        <v>517</v>
      </c>
      <c r="C5894" s="488" t="s">
        <v>18900</v>
      </c>
      <c r="D5894" s="489" t="s">
        <v>18901</v>
      </c>
      <c r="E5894" s="487" t="s">
        <v>18902</v>
      </c>
      <c r="F5894" s="490">
        <v>1000</v>
      </c>
      <c r="G5894" s="489">
        <v>69.3</v>
      </c>
      <c r="H5894" s="489">
        <v>14.430009999999999</v>
      </c>
      <c r="I5894" s="487" t="s">
        <v>1499</v>
      </c>
      <c r="J5894" s="487" t="s">
        <v>519</v>
      </c>
    </row>
    <row r="5895" spans="1:10" ht="15" x14ac:dyDescent="0.2">
      <c r="A5895" s="486" t="s">
        <v>518</v>
      </c>
      <c r="B5895" s="487" t="s">
        <v>517</v>
      </c>
      <c r="C5895" s="488" t="s">
        <v>18903</v>
      </c>
      <c r="D5895" s="489" t="s">
        <v>18904</v>
      </c>
      <c r="E5895" s="487" t="s">
        <v>18905</v>
      </c>
      <c r="F5895" s="490">
        <v>6038</v>
      </c>
      <c r="G5895" s="489">
        <v>133.5</v>
      </c>
      <c r="H5895" s="489">
        <v>45.228459999999998</v>
      </c>
      <c r="I5895" s="487" t="s">
        <v>1499</v>
      </c>
      <c r="J5895" s="487" t="s">
        <v>519</v>
      </c>
    </row>
    <row r="5896" spans="1:10" ht="15" x14ac:dyDescent="0.2">
      <c r="A5896" s="486" t="s">
        <v>518</v>
      </c>
      <c r="B5896" s="487" t="s">
        <v>517</v>
      </c>
      <c r="C5896" s="488" t="s">
        <v>18906</v>
      </c>
      <c r="D5896" s="489" t="s">
        <v>18907</v>
      </c>
      <c r="E5896" s="487" t="s">
        <v>18908</v>
      </c>
      <c r="F5896" s="490">
        <v>7344.37</v>
      </c>
      <c r="G5896" s="489">
        <v>95.3</v>
      </c>
      <c r="H5896" s="489">
        <v>77.065790000000007</v>
      </c>
      <c r="I5896" s="487" t="s">
        <v>1499</v>
      </c>
      <c r="J5896" s="487" t="s">
        <v>519</v>
      </c>
    </row>
    <row r="5897" spans="1:10" ht="15" x14ac:dyDescent="0.2">
      <c r="A5897" s="486" t="s">
        <v>518</v>
      </c>
      <c r="B5897" s="487" t="s">
        <v>517</v>
      </c>
      <c r="C5897" s="488" t="s">
        <v>18909</v>
      </c>
      <c r="D5897" s="489" t="s">
        <v>18910</v>
      </c>
      <c r="E5897" s="487" t="s">
        <v>18911</v>
      </c>
      <c r="F5897" s="490">
        <v>7500</v>
      </c>
      <c r="G5897" s="489">
        <v>90.9</v>
      </c>
      <c r="H5897" s="489">
        <v>82.508250000000004</v>
      </c>
      <c r="I5897" s="487" t="s">
        <v>1499</v>
      </c>
      <c r="J5897" s="487" t="s">
        <v>519</v>
      </c>
    </row>
    <row r="5898" spans="1:10" ht="15" x14ac:dyDescent="0.2">
      <c r="A5898" s="486" t="s">
        <v>518</v>
      </c>
      <c r="B5898" s="487" t="s">
        <v>517</v>
      </c>
      <c r="C5898" s="488" t="s">
        <v>18912</v>
      </c>
      <c r="D5898" s="489" t="s">
        <v>18913</v>
      </c>
      <c r="E5898" s="487" t="s">
        <v>18914</v>
      </c>
      <c r="F5898" s="490">
        <v>0</v>
      </c>
      <c r="G5898" s="489">
        <v>50.3</v>
      </c>
      <c r="H5898" s="489">
        <v>0</v>
      </c>
      <c r="I5898" s="487" t="s">
        <v>1593</v>
      </c>
      <c r="J5898" s="487" t="s">
        <v>519</v>
      </c>
    </row>
    <row r="5899" spans="1:10" ht="15" x14ac:dyDescent="0.2">
      <c r="A5899" s="486" t="s">
        <v>518</v>
      </c>
      <c r="B5899" s="487" t="s">
        <v>517</v>
      </c>
      <c r="C5899" s="488" t="s">
        <v>18915</v>
      </c>
      <c r="D5899" s="489" t="s">
        <v>18916</v>
      </c>
      <c r="E5899" s="487" t="s">
        <v>18917</v>
      </c>
      <c r="F5899" s="490">
        <v>26500</v>
      </c>
      <c r="G5899" s="489">
        <v>306.8</v>
      </c>
      <c r="H5899" s="489">
        <v>86.375489999999999</v>
      </c>
      <c r="I5899" s="487" t="s">
        <v>1499</v>
      </c>
      <c r="J5899" s="487" t="s">
        <v>519</v>
      </c>
    </row>
    <row r="5900" spans="1:10" ht="15" x14ac:dyDescent="0.2">
      <c r="A5900" s="486" t="s">
        <v>518</v>
      </c>
      <c r="B5900" s="487" t="s">
        <v>517</v>
      </c>
      <c r="C5900" s="488" t="s">
        <v>18918</v>
      </c>
      <c r="D5900" s="489" t="s">
        <v>18919</v>
      </c>
      <c r="E5900" s="487" t="s">
        <v>18920</v>
      </c>
      <c r="F5900" s="490">
        <v>103838</v>
      </c>
      <c r="G5900" s="489">
        <v>987.7</v>
      </c>
      <c r="H5900" s="489">
        <v>105.13111000000001</v>
      </c>
      <c r="I5900" s="487" t="s">
        <v>1499</v>
      </c>
      <c r="J5900" s="487" t="s">
        <v>519</v>
      </c>
    </row>
    <row r="5901" spans="1:10" ht="15" x14ac:dyDescent="0.2">
      <c r="A5901" s="486" t="s">
        <v>518</v>
      </c>
      <c r="B5901" s="487" t="s">
        <v>517</v>
      </c>
      <c r="C5901" s="488" t="s">
        <v>18921</v>
      </c>
      <c r="D5901" s="489" t="s">
        <v>18922</v>
      </c>
      <c r="E5901" s="487" t="s">
        <v>982</v>
      </c>
      <c r="F5901" s="490">
        <v>3600</v>
      </c>
      <c r="G5901" s="489">
        <v>51.6</v>
      </c>
      <c r="H5901" s="489">
        <v>69.767439999999993</v>
      </c>
      <c r="I5901" s="487" t="s">
        <v>1499</v>
      </c>
      <c r="J5901" s="487" t="s">
        <v>519</v>
      </c>
    </row>
    <row r="5902" spans="1:10" ht="15" x14ac:dyDescent="0.2">
      <c r="A5902" s="486" t="s">
        <v>518</v>
      </c>
      <c r="B5902" s="487" t="s">
        <v>517</v>
      </c>
      <c r="C5902" s="488" t="s">
        <v>18923</v>
      </c>
      <c r="D5902" s="489" t="s">
        <v>18924</v>
      </c>
      <c r="E5902" s="487" t="s">
        <v>18925</v>
      </c>
      <c r="F5902" s="490">
        <v>12000</v>
      </c>
      <c r="G5902" s="489">
        <v>253.5</v>
      </c>
      <c r="H5902" s="489">
        <v>47.33728</v>
      </c>
      <c r="I5902" s="487" t="s">
        <v>1499</v>
      </c>
      <c r="J5902" s="487" t="s">
        <v>519</v>
      </c>
    </row>
    <row r="5903" spans="1:10" ht="15" x14ac:dyDescent="0.2">
      <c r="A5903" s="486" t="s">
        <v>518</v>
      </c>
      <c r="B5903" s="487" t="s">
        <v>517</v>
      </c>
      <c r="C5903" s="488" t="s">
        <v>18926</v>
      </c>
      <c r="D5903" s="489" t="s">
        <v>18927</v>
      </c>
      <c r="E5903" s="487" t="s">
        <v>18928</v>
      </c>
      <c r="F5903" s="490">
        <v>38000</v>
      </c>
      <c r="G5903" s="489">
        <v>522.1</v>
      </c>
      <c r="H5903" s="489">
        <v>72.782989999999998</v>
      </c>
      <c r="I5903" s="487" t="s">
        <v>1499</v>
      </c>
      <c r="J5903" s="487" t="s">
        <v>519</v>
      </c>
    </row>
    <row r="5904" spans="1:10" ht="15" x14ac:dyDescent="0.2">
      <c r="A5904" s="486" t="s">
        <v>518</v>
      </c>
      <c r="B5904" s="487" t="s">
        <v>517</v>
      </c>
      <c r="C5904" s="488" t="s">
        <v>18929</v>
      </c>
      <c r="D5904" s="489" t="s">
        <v>18930</v>
      </c>
      <c r="E5904" s="487" t="s">
        <v>16681</v>
      </c>
      <c r="F5904" s="490">
        <v>22790</v>
      </c>
      <c r="G5904" s="489">
        <v>418.6</v>
      </c>
      <c r="H5904" s="489">
        <v>54.443379999999998</v>
      </c>
      <c r="I5904" s="487" t="s">
        <v>1499</v>
      </c>
      <c r="J5904" s="487" t="s">
        <v>519</v>
      </c>
    </row>
    <row r="5905" spans="1:10" ht="15" x14ac:dyDescent="0.2">
      <c r="A5905" s="486" t="s">
        <v>518</v>
      </c>
      <c r="B5905" s="487" t="s">
        <v>517</v>
      </c>
      <c r="C5905" s="488" t="s">
        <v>18931</v>
      </c>
      <c r="D5905" s="489" t="s">
        <v>18932</v>
      </c>
      <c r="E5905" s="487" t="s">
        <v>18933</v>
      </c>
      <c r="F5905" s="490">
        <v>0</v>
      </c>
      <c r="G5905" s="489">
        <v>11.7</v>
      </c>
      <c r="H5905" s="489">
        <v>0</v>
      </c>
      <c r="I5905" s="487" t="s">
        <v>1593</v>
      </c>
      <c r="J5905" s="487" t="s">
        <v>519</v>
      </c>
    </row>
    <row r="5906" spans="1:10" ht="15" x14ac:dyDescent="0.2">
      <c r="A5906" s="486" t="s">
        <v>518</v>
      </c>
      <c r="B5906" s="487" t="s">
        <v>517</v>
      </c>
      <c r="C5906" s="488" t="s">
        <v>18934</v>
      </c>
      <c r="D5906" s="489" t="s">
        <v>18935</v>
      </c>
      <c r="E5906" s="487" t="s">
        <v>18936</v>
      </c>
      <c r="F5906" s="490">
        <v>85500</v>
      </c>
      <c r="G5906" s="489">
        <v>791.1</v>
      </c>
      <c r="H5906" s="489">
        <v>108.07736</v>
      </c>
      <c r="I5906" s="487" t="s">
        <v>1499</v>
      </c>
      <c r="J5906" s="487" t="s">
        <v>519</v>
      </c>
    </row>
    <row r="5907" spans="1:10" ht="15" x14ac:dyDescent="0.2">
      <c r="A5907" s="486" t="s">
        <v>518</v>
      </c>
      <c r="B5907" s="487" t="s">
        <v>517</v>
      </c>
      <c r="C5907" s="488" t="s">
        <v>18937</v>
      </c>
      <c r="D5907" s="489" t="s">
        <v>18938</v>
      </c>
      <c r="E5907" s="487" t="s">
        <v>18939</v>
      </c>
      <c r="F5907" s="490">
        <v>30590</v>
      </c>
      <c r="G5907" s="489">
        <v>196.9</v>
      </c>
      <c r="H5907" s="489">
        <v>155.35804999999999</v>
      </c>
      <c r="I5907" s="487" t="s">
        <v>1499</v>
      </c>
      <c r="J5907" s="487" t="s">
        <v>519</v>
      </c>
    </row>
    <row r="5908" spans="1:10" ht="15" x14ac:dyDescent="0.2">
      <c r="A5908" s="486" t="s">
        <v>518</v>
      </c>
      <c r="B5908" s="487" t="s">
        <v>517</v>
      </c>
      <c r="C5908" s="488" t="s">
        <v>18940</v>
      </c>
      <c r="D5908" s="489" t="s">
        <v>18941</v>
      </c>
      <c r="E5908" s="487" t="s">
        <v>18942</v>
      </c>
      <c r="F5908" s="490">
        <v>0</v>
      </c>
      <c r="G5908" s="489">
        <v>19.2</v>
      </c>
      <c r="H5908" s="489">
        <v>0</v>
      </c>
      <c r="I5908" s="487" t="s">
        <v>1593</v>
      </c>
      <c r="J5908" s="487" t="s">
        <v>519</v>
      </c>
    </row>
    <row r="5909" spans="1:10" ht="15" x14ac:dyDescent="0.2">
      <c r="A5909" s="486" t="s">
        <v>518</v>
      </c>
      <c r="B5909" s="487" t="s">
        <v>517</v>
      </c>
      <c r="C5909" s="488" t="s">
        <v>18943</v>
      </c>
      <c r="D5909" s="489" t="s">
        <v>18944</v>
      </c>
      <c r="E5909" s="487" t="s">
        <v>18945</v>
      </c>
      <c r="F5909" s="490">
        <v>42207</v>
      </c>
      <c r="G5909" s="489">
        <v>523.4</v>
      </c>
      <c r="H5909" s="489">
        <v>80.640050000000002</v>
      </c>
      <c r="I5909" s="487" t="s">
        <v>1499</v>
      </c>
      <c r="J5909" s="487" t="s">
        <v>519</v>
      </c>
    </row>
    <row r="5910" spans="1:10" ht="15" x14ac:dyDescent="0.2">
      <c r="A5910" s="486" t="s">
        <v>518</v>
      </c>
      <c r="B5910" s="487" t="s">
        <v>517</v>
      </c>
      <c r="C5910" s="488" t="s">
        <v>18946</v>
      </c>
      <c r="D5910" s="489" t="s">
        <v>18947</v>
      </c>
      <c r="E5910" s="487" t="s">
        <v>18948</v>
      </c>
      <c r="F5910" s="490">
        <v>6050</v>
      </c>
      <c r="G5910" s="489">
        <v>278.3</v>
      </c>
      <c r="H5910" s="489">
        <v>21.739129999999999</v>
      </c>
      <c r="I5910" s="487" t="s">
        <v>1499</v>
      </c>
      <c r="J5910" s="487" t="s">
        <v>519</v>
      </c>
    </row>
    <row r="5911" spans="1:10" ht="15" x14ac:dyDescent="0.2">
      <c r="A5911" s="486" t="s">
        <v>518</v>
      </c>
      <c r="B5911" s="487" t="s">
        <v>517</v>
      </c>
      <c r="C5911" s="488" t="s">
        <v>18949</v>
      </c>
      <c r="D5911" s="489" t="s">
        <v>18950</v>
      </c>
      <c r="E5911" s="487" t="s">
        <v>18951</v>
      </c>
      <c r="F5911" s="490">
        <v>10666</v>
      </c>
      <c r="G5911" s="489">
        <v>165.8</v>
      </c>
      <c r="H5911" s="489">
        <v>64.330520000000007</v>
      </c>
      <c r="I5911" s="487" t="s">
        <v>1499</v>
      </c>
      <c r="J5911" s="487" t="s">
        <v>519</v>
      </c>
    </row>
    <row r="5912" spans="1:10" ht="15" x14ac:dyDescent="0.2">
      <c r="A5912" s="486" t="s">
        <v>518</v>
      </c>
      <c r="B5912" s="487" t="s">
        <v>517</v>
      </c>
      <c r="C5912" s="488" t="s">
        <v>18952</v>
      </c>
      <c r="D5912" s="489" t="s">
        <v>18953</v>
      </c>
      <c r="E5912" s="487" t="s">
        <v>18954</v>
      </c>
      <c r="F5912" s="490">
        <v>5600</v>
      </c>
      <c r="G5912" s="489">
        <v>133.80000000000001</v>
      </c>
      <c r="H5912" s="489">
        <v>41.85351</v>
      </c>
      <c r="I5912" s="487" t="s">
        <v>1499</v>
      </c>
      <c r="J5912" s="487" t="s">
        <v>519</v>
      </c>
    </row>
    <row r="5913" spans="1:10" ht="15" x14ac:dyDescent="0.2">
      <c r="A5913" s="486" t="s">
        <v>518</v>
      </c>
      <c r="B5913" s="487" t="s">
        <v>517</v>
      </c>
      <c r="C5913" s="488" t="s">
        <v>18955</v>
      </c>
      <c r="D5913" s="489" t="s">
        <v>18956</v>
      </c>
      <c r="E5913" s="487" t="s">
        <v>18957</v>
      </c>
      <c r="F5913" s="490">
        <v>21774</v>
      </c>
      <c r="G5913" s="489">
        <v>547.5</v>
      </c>
      <c r="H5913" s="489">
        <v>39.769860000000001</v>
      </c>
      <c r="I5913" s="487" t="s">
        <v>1499</v>
      </c>
      <c r="J5913" s="487" t="s">
        <v>519</v>
      </c>
    </row>
    <row r="5914" spans="1:10" ht="15" x14ac:dyDescent="0.2">
      <c r="A5914" s="486" t="s">
        <v>518</v>
      </c>
      <c r="B5914" s="487" t="s">
        <v>517</v>
      </c>
      <c r="C5914" s="488" t="s">
        <v>18958</v>
      </c>
      <c r="D5914" s="489" t="s">
        <v>18959</v>
      </c>
      <c r="E5914" s="487" t="s">
        <v>9437</v>
      </c>
      <c r="F5914" s="490">
        <v>5658</v>
      </c>
      <c r="G5914" s="489">
        <v>97.1</v>
      </c>
      <c r="H5914" s="489">
        <v>58.269820000000003</v>
      </c>
      <c r="I5914" s="487" t="s">
        <v>1499</v>
      </c>
      <c r="J5914" s="487" t="s">
        <v>519</v>
      </c>
    </row>
    <row r="5915" spans="1:10" ht="15" x14ac:dyDescent="0.2">
      <c r="A5915" s="486" t="s">
        <v>518</v>
      </c>
      <c r="B5915" s="487" t="s">
        <v>517</v>
      </c>
      <c r="C5915" s="488" t="s">
        <v>18960</v>
      </c>
      <c r="D5915" s="489" t="s">
        <v>18961</v>
      </c>
      <c r="E5915" s="487" t="s">
        <v>18962</v>
      </c>
      <c r="F5915" s="490">
        <v>3915.43</v>
      </c>
      <c r="G5915" s="489">
        <v>99.4</v>
      </c>
      <c r="H5915" s="489">
        <v>39.390639999999998</v>
      </c>
      <c r="I5915" s="487" t="s">
        <v>1499</v>
      </c>
      <c r="J5915" s="487" t="s">
        <v>519</v>
      </c>
    </row>
    <row r="5916" spans="1:10" ht="15" x14ac:dyDescent="0.2">
      <c r="A5916" s="486" t="s">
        <v>518</v>
      </c>
      <c r="B5916" s="487" t="s">
        <v>517</v>
      </c>
      <c r="C5916" s="488" t="s">
        <v>18963</v>
      </c>
      <c r="D5916" s="489" t="s">
        <v>18964</v>
      </c>
      <c r="E5916" s="487" t="s">
        <v>18965</v>
      </c>
      <c r="F5916" s="490">
        <v>15336</v>
      </c>
      <c r="G5916" s="489">
        <v>180.9</v>
      </c>
      <c r="H5916" s="489">
        <v>84.776120000000006</v>
      </c>
      <c r="I5916" s="487" t="s">
        <v>1499</v>
      </c>
      <c r="J5916" s="487" t="s">
        <v>519</v>
      </c>
    </row>
    <row r="5917" spans="1:10" ht="15" x14ac:dyDescent="0.2">
      <c r="A5917" s="486" t="s">
        <v>518</v>
      </c>
      <c r="B5917" s="487" t="s">
        <v>517</v>
      </c>
      <c r="C5917" s="488" t="s">
        <v>18966</v>
      </c>
      <c r="D5917" s="489" t="s">
        <v>18967</v>
      </c>
      <c r="E5917" s="487" t="s">
        <v>18968</v>
      </c>
      <c r="F5917" s="490">
        <v>0</v>
      </c>
      <c r="G5917" s="489">
        <v>59.6</v>
      </c>
      <c r="H5917" s="489">
        <v>0</v>
      </c>
      <c r="I5917" s="487" t="s">
        <v>1593</v>
      </c>
      <c r="J5917" s="487" t="s">
        <v>519</v>
      </c>
    </row>
    <row r="5918" spans="1:10" ht="15" x14ac:dyDescent="0.2">
      <c r="A5918" s="486" t="s">
        <v>518</v>
      </c>
      <c r="B5918" s="487" t="s">
        <v>517</v>
      </c>
      <c r="C5918" s="488" t="s">
        <v>18969</v>
      </c>
      <c r="D5918" s="489" t="s">
        <v>18970</v>
      </c>
      <c r="E5918" s="487" t="s">
        <v>18971</v>
      </c>
      <c r="F5918" s="490">
        <v>8500</v>
      </c>
      <c r="G5918" s="489">
        <v>305.8</v>
      </c>
      <c r="H5918" s="489">
        <v>27.795950000000001</v>
      </c>
      <c r="I5918" s="487" t="s">
        <v>1499</v>
      </c>
      <c r="J5918" s="487" t="s">
        <v>519</v>
      </c>
    </row>
    <row r="5919" spans="1:10" ht="15" x14ac:dyDescent="0.2">
      <c r="A5919" s="486" t="s">
        <v>518</v>
      </c>
      <c r="B5919" s="487" t="s">
        <v>517</v>
      </c>
      <c r="C5919" s="488" t="s">
        <v>18972</v>
      </c>
      <c r="D5919" s="489" t="s">
        <v>18973</v>
      </c>
      <c r="E5919" s="487" t="s">
        <v>18974</v>
      </c>
      <c r="F5919" s="490">
        <v>7400</v>
      </c>
      <c r="G5919" s="489">
        <v>120</v>
      </c>
      <c r="H5919" s="489">
        <v>61.666670000000003</v>
      </c>
      <c r="I5919" s="487" t="s">
        <v>1499</v>
      </c>
      <c r="J5919" s="487" t="s">
        <v>519</v>
      </c>
    </row>
    <row r="5920" spans="1:10" ht="15" x14ac:dyDescent="0.2">
      <c r="A5920" s="486" t="s">
        <v>518</v>
      </c>
      <c r="B5920" s="487" t="s">
        <v>517</v>
      </c>
      <c r="C5920" s="488" t="s">
        <v>18975</v>
      </c>
      <c r="D5920" s="489" t="s">
        <v>18976</v>
      </c>
      <c r="E5920" s="487" t="s">
        <v>18977</v>
      </c>
      <c r="F5920" s="490">
        <v>0</v>
      </c>
      <c r="G5920" s="489">
        <v>45</v>
      </c>
      <c r="H5920" s="489">
        <v>0</v>
      </c>
      <c r="I5920" s="487" t="s">
        <v>1593</v>
      </c>
      <c r="J5920" s="487" t="s">
        <v>519</v>
      </c>
    </row>
    <row r="5921" spans="1:10" ht="15" x14ac:dyDescent="0.2">
      <c r="A5921" s="486" t="s">
        <v>518</v>
      </c>
      <c r="B5921" s="487" t="s">
        <v>517</v>
      </c>
      <c r="C5921" s="488" t="s">
        <v>18978</v>
      </c>
      <c r="D5921" s="489" t="s">
        <v>18979</v>
      </c>
      <c r="E5921" s="487" t="s">
        <v>18980</v>
      </c>
      <c r="F5921" s="490">
        <v>30500</v>
      </c>
      <c r="G5921" s="489">
        <v>623.1</v>
      </c>
      <c r="H5921" s="489">
        <v>48.948799999999999</v>
      </c>
      <c r="I5921" s="487" t="s">
        <v>1499</v>
      </c>
      <c r="J5921" s="487" t="s">
        <v>519</v>
      </c>
    </row>
    <row r="5922" spans="1:10" ht="15" x14ac:dyDescent="0.2">
      <c r="A5922" s="486" t="s">
        <v>518</v>
      </c>
      <c r="B5922" s="487" t="s">
        <v>517</v>
      </c>
      <c r="C5922" s="488" t="s">
        <v>18981</v>
      </c>
      <c r="D5922" s="489" t="s">
        <v>18982</v>
      </c>
      <c r="E5922" s="487" t="s">
        <v>18983</v>
      </c>
      <c r="F5922" s="490">
        <v>47000</v>
      </c>
      <c r="G5922" s="489">
        <v>884.9</v>
      </c>
      <c r="H5922" s="489">
        <v>53.113349999999997</v>
      </c>
      <c r="I5922" s="487" t="s">
        <v>1499</v>
      </c>
      <c r="J5922" s="487" t="s">
        <v>519</v>
      </c>
    </row>
    <row r="5923" spans="1:10" ht="15" x14ac:dyDescent="0.2">
      <c r="A5923" s="486" t="s">
        <v>518</v>
      </c>
      <c r="B5923" s="487" t="s">
        <v>517</v>
      </c>
      <c r="C5923" s="488" t="s">
        <v>18984</v>
      </c>
      <c r="D5923" s="489" t="s">
        <v>18985</v>
      </c>
      <c r="E5923" s="487" t="s">
        <v>18986</v>
      </c>
      <c r="F5923" s="490">
        <v>5570</v>
      </c>
      <c r="G5923" s="489">
        <v>95.2</v>
      </c>
      <c r="H5923" s="489">
        <v>58.508400000000002</v>
      </c>
      <c r="I5923" s="487" t="s">
        <v>1499</v>
      </c>
      <c r="J5923" s="487" t="s">
        <v>519</v>
      </c>
    </row>
    <row r="5924" spans="1:10" ht="15" x14ac:dyDescent="0.2">
      <c r="A5924" s="486" t="s">
        <v>518</v>
      </c>
      <c r="B5924" s="487" t="s">
        <v>517</v>
      </c>
      <c r="C5924" s="488" t="s">
        <v>18987</v>
      </c>
      <c r="D5924" s="489" t="s">
        <v>18988</v>
      </c>
      <c r="E5924" s="487" t="s">
        <v>18989</v>
      </c>
      <c r="F5924" s="490">
        <v>80063</v>
      </c>
      <c r="G5924" s="489">
        <v>787.5</v>
      </c>
      <c r="H5924" s="489">
        <v>101.6673</v>
      </c>
      <c r="I5924" s="487" t="s">
        <v>1499</v>
      </c>
      <c r="J5924" s="487" t="s">
        <v>519</v>
      </c>
    </row>
    <row r="5925" spans="1:10" ht="15" x14ac:dyDescent="0.2">
      <c r="A5925" s="486" t="s">
        <v>518</v>
      </c>
      <c r="B5925" s="487" t="s">
        <v>517</v>
      </c>
      <c r="C5925" s="488" t="s">
        <v>18990</v>
      </c>
      <c r="D5925" s="489" t="s">
        <v>18991</v>
      </c>
      <c r="E5925" s="487" t="s">
        <v>18992</v>
      </c>
      <c r="F5925" s="490">
        <v>4900</v>
      </c>
      <c r="G5925" s="489">
        <v>187.1</v>
      </c>
      <c r="H5925" s="489">
        <v>26.1892</v>
      </c>
      <c r="I5925" s="487" t="s">
        <v>1499</v>
      </c>
      <c r="J5925" s="487" t="s">
        <v>519</v>
      </c>
    </row>
    <row r="5926" spans="1:10" ht="15" x14ac:dyDescent="0.2">
      <c r="A5926" s="486" t="s">
        <v>518</v>
      </c>
      <c r="B5926" s="487" t="s">
        <v>517</v>
      </c>
      <c r="C5926" s="488" t="s">
        <v>18993</v>
      </c>
      <c r="D5926" s="489" t="s">
        <v>18994</v>
      </c>
      <c r="E5926" s="487" t="s">
        <v>18995</v>
      </c>
      <c r="F5926" s="490">
        <v>8382.35</v>
      </c>
      <c r="G5926" s="489">
        <v>84</v>
      </c>
      <c r="H5926" s="489">
        <v>99.789879999999997</v>
      </c>
      <c r="I5926" s="487" t="s">
        <v>1499</v>
      </c>
      <c r="J5926" s="487" t="s">
        <v>519</v>
      </c>
    </row>
    <row r="5927" spans="1:10" ht="15" x14ac:dyDescent="0.2">
      <c r="A5927" s="486" t="s">
        <v>518</v>
      </c>
      <c r="B5927" s="487" t="s">
        <v>517</v>
      </c>
      <c r="C5927" s="488" t="s">
        <v>18996</v>
      </c>
      <c r="D5927" s="489" t="s">
        <v>18997</v>
      </c>
      <c r="E5927" s="487" t="s">
        <v>18998</v>
      </c>
      <c r="F5927" s="490">
        <v>0</v>
      </c>
      <c r="G5927" s="489">
        <v>13.7</v>
      </c>
      <c r="H5927" s="489">
        <v>0</v>
      </c>
      <c r="I5927" s="487" t="s">
        <v>1593</v>
      </c>
      <c r="J5927" s="487" t="s">
        <v>519</v>
      </c>
    </row>
    <row r="5928" spans="1:10" ht="15" x14ac:dyDescent="0.2">
      <c r="A5928" s="486" t="s">
        <v>518</v>
      </c>
      <c r="B5928" s="487" t="s">
        <v>517</v>
      </c>
      <c r="C5928" s="488" t="s">
        <v>18999</v>
      </c>
      <c r="D5928" s="489" t="s">
        <v>19000</v>
      </c>
      <c r="E5928" s="487" t="s">
        <v>19001</v>
      </c>
      <c r="F5928" s="490">
        <v>7220</v>
      </c>
      <c r="G5928" s="489">
        <v>187.8</v>
      </c>
      <c r="H5928" s="489">
        <v>38.445149999999998</v>
      </c>
      <c r="I5928" s="487" t="s">
        <v>1499</v>
      </c>
      <c r="J5928" s="487" t="s">
        <v>519</v>
      </c>
    </row>
    <row r="5929" spans="1:10" ht="15" x14ac:dyDescent="0.2">
      <c r="A5929" s="486" t="s">
        <v>518</v>
      </c>
      <c r="B5929" s="487" t="s">
        <v>517</v>
      </c>
      <c r="C5929" s="488" t="s">
        <v>19002</v>
      </c>
      <c r="D5929" s="489" t="s">
        <v>19003</v>
      </c>
      <c r="E5929" s="487" t="s">
        <v>19004</v>
      </c>
      <c r="F5929" s="490">
        <v>2000</v>
      </c>
      <c r="G5929" s="489">
        <v>39.6</v>
      </c>
      <c r="H5929" s="489">
        <v>50.505049999999997</v>
      </c>
      <c r="I5929" s="487" t="s">
        <v>1499</v>
      </c>
      <c r="J5929" s="487" t="s">
        <v>519</v>
      </c>
    </row>
    <row r="5930" spans="1:10" ht="15" x14ac:dyDescent="0.2">
      <c r="A5930" s="486" t="s">
        <v>518</v>
      </c>
      <c r="B5930" s="487" t="s">
        <v>517</v>
      </c>
      <c r="C5930" s="488" t="s">
        <v>19005</v>
      </c>
      <c r="D5930" s="489" t="s">
        <v>19006</v>
      </c>
      <c r="E5930" s="487" t="s">
        <v>19007</v>
      </c>
      <c r="F5930" s="490">
        <v>7000</v>
      </c>
      <c r="G5930" s="489">
        <v>117.1</v>
      </c>
      <c r="H5930" s="489">
        <v>59.777970000000003</v>
      </c>
      <c r="I5930" s="487" t="s">
        <v>1499</v>
      </c>
      <c r="J5930" s="487" t="s">
        <v>519</v>
      </c>
    </row>
    <row r="5931" spans="1:10" ht="15" x14ac:dyDescent="0.2">
      <c r="A5931" s="486" t="s">
        <v>518</v>
      </c>
      <c r="B5931" s="487" t="s">
        <v>517</v>
      </c>
      <c r="C5931" s="488" t="s">
        <v>19008</v>
      </c>
      <c r="D5931" s="489" t="s">
        <v>19009</v>
      </c>
      <c r="E5931" s="487" t="s">
        <v>19010</v>
      </c>
      <c r="F5931" s="490">
        <v>37500.559999999998</v>
      </c>
      <c r="G5931" s="489">
        <v>356.8</v>
      </c>
      <c r="H5931" s="489">
        <v>105.10247</v>
      </c>
      <c r="I5931" s="487" t="s">
        <v>1499</v>
      </c>
      <c r="J5931" s="487" t="s">
        <v>519</v>
      </c>
    </row>
    <row r="5932" spans="1:10" ht="15" x14ac:dyDescent="0.2">
      <c r="A5932" s="486" t="s">
        <v>518</v>
      </c>
      <c r="B5932" s="487" t="s">
        <v>517</v>
      </c>
      <c r="C5932" s="488" t="s">
        <v>19011</v>
      </c>
      <c r="D5932" s="489" t="s">
        <v>19012</v>
      </c>
      <c r="E5932" s="487" t="s">
        <v>19013</v>
      </c>
      <c r="F5932" s="490">
        <v>2500</v>
      </c>
      <c r="G5932" s="489">
        <v>66.7</v>
      </c>
      <c r="H5932" s="489">
        <v>37.481259999999999</v>
      </c>
      <c r="I5932" s="487" t="s">
        <v>1499</v>
      </c>
      <c r="J5932" s="487" t="s">
        <v>519</v>
      </c>
    </row>
    <row r="5933" spans="1:10" ht="15" x14ac:dyDescent="0.2">
      <c r="A5933" s="486" t="s">
        <v>518</v>
      </c>
      <c r="B5933" s="487" t="s">
        <v>517</v>
      </c>
      <c r="C5933" s="488" t="s">
        <v>19014</v>
      </c>
      <c r="D5933" s="489" t="s">
        <v>19015</v>
      </c>
      <c r="E5933" s="487" t="s">
        <v>15544</v>
      </c>
      <c r="F5933" s="490">
        <v>0</v>
      </c>
      <c r="G5933" s="489">
        <v>2.2999999999999998</v>
      </c>
      <c r="H5933" s="489">
        <v>0</v>
      </c>
      <c r="I5933" s="487" t="s">
        <v>1593</v>
      </c>
      <c r="J5933" s="487" t="s">
        <v>519</v>
      </c>
    </row>
    <row r="5934" spans="1:10" ht="15" x14ac:dyDescent="0.2">
      <c r="A5934" s="486" t="s">
        <v>518</v>
      </c>
      <c r="B5934" s="487" t="s">
        <v>517</v>
      </c>
      <c r="C5934" s="488" t="s">
        <v>19016</v>
      </c>
      <c r="D5934" s="489" t="s">
        <v>19017</v>
      </c>
      <c r="E5934" s="487" t="s">
        <v>19018</v>
      </c>
      <c r="F5934" s="490">
        <v>6750</v>
      </c>
      <c r="G5934" s="489">
        <v>142.9</v>
      </c>
      <c r="H5934" s="489">
        <v>47.23583</v>
      </c>
      <c r="I5934" s="487" t="s">
        <v>1499</v>
      </c>
      <c r="J5934" s="487" t="s">
        <v>519</v>
      </c>
    </row>
    <row r="5935" spans="1:10" ht="15" x14ac:dyDescent="0.2">
      <c r="A5935" s="486" t="s">
        <v>518</v>
      </c>
      <c r="B5935" s="487" t="s">
        <v>517</v>
      </c>
      <c r="C5935" s="488" t="s">
        <v>19019</v>
      </c>
      <c r="D5935" s="489" t="s">
        <v>19020</v>
      </c>
      <c r="E5935" s="487" t="s">
        <v>19021</v>
      </c>
      <c r="F5935" s="490">
        <v>652395.80000000005</v>
      </c>
      <c r="G5935" s="489">
        <v>3175</v>
      </c>
      <c r="H5935" s="489">
        <v>205.47899000000001</v>
      </c>
      <c r="I5935" s="487" t="s">
        <v>1499</v>
      </c>
      <c r="J5935" s="487" t="s">
        <v>519</v>
      </c>
    </row>
    <row r="5936" spans="1:10" ht="15" x14ac:dyDescent="0.2">
      <c r="A5936" s="486" t="s">
        <v>518</v>
      </c>
      <c r="B5936" s="487" t="s">
        <v>517</v>
      </c>
      <c r="C5936" s="488" t="s">
        <v>19022</v>
      </c>
      <c r="D5936" s="489" t="s">
        <v>19023</v>
      </c>
      <c r="E5936" s="487" t="s">
        <v>19024</v>
      </c>
      <c r="F5936" s="490">
        <v>97905</v>
      </c>
      <c r="G5936" s="489">
        <v>851.2</v>
      </c>
      <c r="H5936" s="489">
        <v>115.01997</v>
      </c>
      <c r="I5936" s="487" t="s">
        <v>1499</v>
      </c>
      <c r="J5936" s="487" t="s">
        <v>519</v>
      </c>
    </row>
    <row r="5937" spans="1:10" ht="15" x14ac:dyDescent="0.2">
      <c r="A5937" s="486" t="s">
        <v>518</v>
      </c>
      <c r="B5937" s="487" t="s">
        <v>517</v>
      </c>
      <c r="C5937" s="488" t="s">
        <v>19025</v>
      </c>
      <c r="D5937" s="489" t="s">
        <v>19026</v>
      </c>
      <c r="E5937" s="487" t="s">
        <v>3428</v>
      </c>
      <c r="F5937" s="490">
        <v>1208605</v>
      </c>
      <c r="G5937" s="489">
        <v>6830</v>
      </c>
      <c r="H5937" s="489">
        <v>176.95534000000001</v>
      </c>
      <c r="I5937" s="487" t="s">
        <v>1499</v>
      </c>
      <c r="J5937" s="487" t="s">
        <v>519</v>
      </c>
    </row>
    <row r="5938" spans="1:10" ht="15" x14ac:dyDescent="0.2">
      <c r="A5938" s="486" t="s">
        <v>518</v>
      </c>
      <c r="B5938" s="487" t="s">
        <v>517</v>
      </c>
      <c r="C5938" s="488" t="s">
        <v>19027</v>
      </c>
      <c r="D5938" s="489" t="s">
        <v>19028</v>
      </c>
      <c r="E5938" s="487" t="s">
        <v>19029</v>
      </c>
      <c r="F5938" s="490">
        <v>8300</v>
      </c>
      <c r="G5938" s="489">
        <v>156.19999999999999</v>
      </c>
      <c r="H5938" s="489">
        <v>53.137</v>
      </c>
      <c r="I5938" s="487" t="s">
        <v>1499</v>
      </c>
      <c r="J5938" s="487" t="s">
        <v>519</v>
      </c>
    </row>
    <row r="5939" spans="1:10" ht="15" x14ac:dyDescent="0.2">
      <c r="A5939" s="486" t="s">
        <v>518</v>
      </c>
      <c r="B5939" s="487" t="s">
        <v>517</v>
      </c>
      <c r="C5939" s="488" t="s">
        <v>19030</v>
      </c>
      <c r="D5939" s="489" t="s">
        <v>19031</v>
      </c>
      <c r="E5939" s="487" t="s">
        <v>19032</v>
      </c>
      <c r="F5939" s="490">
        <v>14300</v>
      </c>
      <c r="G5939" s="489">
        <v>138.5</v>
      </c>
      <c r="H5939" s="489">
        <v>103.2491</v>
      </c>
      <c r="I5939" s="487" t="s">
        <v>1499</v>
      </c>
      <c r="J5939" s="487" t="s">
        <v>519</v>
      </c>
    </row>
    <row r="5940" spans="1:10" ht="15" x14ac:dyDescent="0.2">
      <c r="A5940" s="486" t="s">
        <v>518</v>
      </c>
      <c r="B5940" s="487" t="s">
        <v>517</v>
      </c>
      <c r="C5940" s="488" t="s">
        <v>19033</v>
      </c>
      <c r="D5940" s="489" t="s">
        <v>19034</v>
      </c>
      <c r="E5940" s="487" t="s">
        <v>2595</v>
      </c>
      <c r="F5940" s="490">
        <v>0</v>
      </c>
      <c r="G5940" s="489">
        <v>18</v>
      </c>
      <c r="H5940" s="489">
        <v>0</v>
      </c>
      <c r="I5940" s="487" t="s">
        <v>1593</v>
      </c>
      <c r="J5940" s="487" t="s">
        <v>519</v>
      </c>
    </row>
    <row r="5941" spans="1:10" ht="15" x14ac:dyDescent="0.2">
      <c r="A5941" s="486" t="s">
        <v>518</v>
      </c>
      <c r="B5941" s="487" t="s">
        <v>517</v>
      </c>
      <c r="C5941" s="488" t="s">
        <v>19035</v>
      </c>
      <c r="D5941" s="489" t="s">
        <v>19036</v>
      </c>
      <c r="E5941" s="487" t="s">
        <v>14483</v>
      </c>
      <c r="F5941" s="490">
        <v>452213</v>
      </c>
      <c r="G5941" s="489">
        <v>2995.1</v>
      </c>
      <c r="H5941" s="489">
        <v>150.98427000000001</v>
      </c>
      <c r="I5941" s="487" t="s">
        <v>1499</v>
      </c>
      <c r="J5941" s="487" t="s">
        <v>519</v>
      </c>
    </row>
    <row r="5942" spans="1:10" ht="15" x14ac:dyDescent="0.2">
      <c r="A5942" s="486" t="s">
        <v>518</v>
      </c>
      <c r="B5942" s="487" t="s">
        <v>517</v>
      </c>
      <c r="C5942" s="488" t="s">
        <v>19037</v>
      </c>
      <c r="D5942" s="489" t="s">
        <v>19038</v>
      </c>
      <c r="E5942" s="487" t="s">
        <v>19039</v>
      </c>
      <c r="F5942" s="490">
        <v>11353.83</v>
      </c>
      <c r="G5942" s="489">
        <v>76.400000000000006</v>
      </c>
      <c r="H5942" s="489">
        <v>148.61034000000001</v>
      </c>
      <c r="I5942" s="487" t="s">
        <v>1499</v>
      </c>
      <c r="J5942" s="487" t="s">
        <v>519</v>
      </c>
    </row>
    <row r="5943" spans="1:10" ht="15" x14ac:dyDescent="0.2">
      <c r="A5943" s="486" t="s">
        <v>518</v>
      </c>
      <c r="B5943" s="487" t="s">
        <v>517</v>
      </c>
      <c r="C5943" s="488" t="s">
        <v>19040</v>
      </c>
      <c r="D5943" s="489" t="s">
        <v>19041</v>
      </c>
      <c r="E5943" s="487" t="s">
        <v>19042</v>
      </c>
      <c r="F5943" s="490">
        <v>8857.17</v>
      </c>
      <c r="G5943" s="489">
        <v>59.6</v>
      </c>
      <c r="H5943" s="489">
        <v>148.61023</v>
      </c>
      <c r="I5943" s="487" t="s">
        <v>1499</v>
      </c>
      <c r="J5943" s="487" t="s">
        <v>519</v>
      </c>
    </row>
    <row r="5944" spans="1:10" ht="15" x14ac:dyDescent="0.2">
      <c r="A5944" s="486" t="s">
        <v>518</v>
      </c>
      <c r="B5944" s="487" t="s">
        <v>517</v>
      </c>
      <c r="C5944" s="488" t="s">
        <v>19043</v>
      </c>
      <c r="D5944" s="489" t="s">
        <v>19044</v>
      </c>
      <c r="E5944" s="487" t="s">
        <v>19045</v>
      </c>
      <c r="F5944" s="490">
        <v>49350</v>
      </c>
      <c r="G5944" s="489">
        <v>563.6</v>
      </c>
      <c r="H5944" s="489">
        <v>87.562100000000001</v>
      </c>
      <c r="I5944" s="487" t="s">
        <v>1499</v>
      </c>
      <c r="J5944" s="487" t="s">
        <v>519</v>
      </c>
    </row>
    <row r="5945" spans="1:10" ht="15" x14ac:dyDescent="0.2">
      <c r="A5945" s="486" t="s">
        <v>518</v>
      </c>
      <c r="B5945" s="487" t="s">
        <v>517</v>
      </c>
      <c r="C5945" s="488" t="s">
        <v>19046</v>
      </c>
      <c r="D5945" s="489" t="s">
        <v>19047</v>
      </c>
      <c r="E5945" s="487" t="s">
        <v>19048</v>
      </c>
      <c r="F5945" s="490">
        <v>0</v>
      </c>
      <c r="G5945" s="489">
        <v>21</v>
      </c>
      <c r="H5945" s="489">
        <v>0</v>
      </c>
      <c r="I5945" s="487" t="s">
        <v>1593</v>
      </c>
      <c r="J5945" s="487" t="s">
        <v>519</v>
      </c>
    </row>
    <row r="5946" spans="1:10" ht="15" x14ac:dyDescent="0.2">
      <c r="A5946" s="486" t="s">
        <v>518</v>
      </c>
      <c r="B5946" s="487" t="s">
        <v>517</v>
      </c>
      <c r="C5946" s="488" t="s">
        <v>19049</v>
      </c>
      <c r="D5946" s="489" t="s">
        <v>19050</v>
      </c>
      <c r="E5946" s="487" t="s">
        <v>19051</v>
      </c>
      <c r="F5946" s="490">
        <v>6000</v>
      </c>
      <c r="G5946" s="489">
        <v>110.4</v>
      </c>
      <c r="H5946" s="489">
        <v>54.347830000000002</v>
      </c>
      <c r="I5946" s="487" t="s">
        <v>1499</v>
      </c>
      <c r="J5946" s="487" t="s">
        <v>519</v>
      </c>
    </row>
    <row r="5947" spans="1:10" ht="15" x14ac:dyDescent="0.2">
      <c r="A5947" s="486" t="s">
        <v>518</v>
      </c>
      <c r="B5947" s="487" t="s">
        <v>517</v>
      </c>
      <c r="C5947" s="488" t="s">
        <v>19052</v>
      </c>
      <c r="D5947" s="489" t="s">
        <v>19053</v>
      </c>
      <c r="E5947" s="487" t="s">
        <v>19054</v>
      </c>
      <c r="F5947" s="490">
        <v>10340.08</v>
      </c>
      <c r="G5947" s="489">
        <v>161.9</v>
      </c>
      <c r="H5947" s="489">
        <v>63.867080000000001</v>
      </c>
      <c r="I5947" s="487" t="s">
        <v>1499</v>
      </c>
      <c r="J5947" s="487" t="s">
        <v>519</v>
      </c>
    </row>
    <row r="5948" spans="1:10" ht="15" x14ac:dyDescent="0.2">
      <c r="A5948" s="486" t="s">
        <v>518</v>
      </c>
      <c r="B5948" s="487" t="s">
        <v>517</v>
      </c>
      <c r="C5948" s="488" t="s">
        <v>19055</v>
      </c>
      <c r="D5948" s="489" t="s">
        <v>19056</v>
      </c>
      <c r="E5948" s="487" t="s">
        <v>19057</v>
      </c>
      <c r="F5948" s="490">
        <v>12500</v>
      </c>
      <c r="G5948" s="489">
        <v>194.8</v>
      </c>
      <c r="H5948" s="489">
        <v>64.168379999999999</v>
      </c>
      <c r="I5948" s="487" t="s">
        <v>1499</v>
      </c>
      <c r="J5948" s="487" t="s">
        <v>519</v>
      </c>
    </row>
    <row r="5949" spans="1:10" ht="15" x14ac:dyDescent="0.2">
      <c r="A5949" s="486" t="s">
        <v>518</v>
      </c>
      <c r="B5949" s="487" t="s">
        <v>517</v>
      </c>
      <c r="C5949" s="488" t="s">
        <v>19058</v>
      </c>
      <c r="D5949" s="489" t="s">
        <v>19059</v>
      </c>
      <c r="E5949" s="487" t="s">
        <v>19060</v>
      </c>
      <c r="F5949" s="490">
        <v>8546</v>
      </c>
      <c r="G5949" s="489">
        <v>164.8</v>
      </c>
      <c r="H5949" s="489">
        <v>51.8568</v>
      </c>
      <c r="I5949" s="487" t="s">
        <v>1499</v>
      </c>
      <c r="J5949" s="487" t="s">
        <v>519</v>
      </c>
    </row>
    <row r="5950" spans="1:10" ht="15" x14ac:dyDescent="0.2">
      <c r="A5950" s="486" t="s">
        <v>518</v>
      </c>
      <c r="B5950" s="487" t="s">
        <v>517</v>
      </c>
      <c r="C5950" s="488" t="s">
        <v>19061</v>
      </c>
      <c r="D5950" s="489" t="s">
        <v>19062</v>
      </c>
      <c r="E5950" s="487" t="s">
        <v>19063</v>
      </c>
      <c r="F5950" s="490">
        <v>13860</v>
      </c>
      <c r="G5950" s="489">
        <v>314.39999999999998</v>
      </c>
      <c r="H5950" s="489">
        <v>44.083970000000001</v>
      </c>
      <c r="I5950" s="487" t="s">
        <v>1499</v>
      </c>
      <c r="J5950" s="487" t="s">
        <v>519</v>
      </c>
    </row>
    <row r="5951" spans="1:10" ht="15" x14ac:dyDescent="0.2">
      <c r="A5951" s="486" t="s">
        <v>540</v>
      </c>
      <c r="B5951" s="487" t="s">
        <v>539</v>
      </c>
      <c r="C5951" s="488" t="s">
        <v>19064</v>
      </c>
      <c r="D5951" s="489" t="s">
        <v>19065</v>
      </c>
      <c r="E5951" s="487" t="s">
        <v>19066</v>
      </c>
      <c r="F5951" s="490">
        <v>163422</v>
      </c>
      <c r="G5951" s="489">
        <v>1149</v>
      </c>
      <c r="H5951" s="489">
        <v>142.22977</v>
      </c>
      <c r="I5951" s="487" t="s">
        <v>1499</v>
      </c>
      <c r="J5951" s="487" t="s">
        <v>541</v>
      </c>
    </row>
    <row r="5952" spans="1:10" ht="15" x14ac:dyDescent="0.2">
      <c r="A5952" s="486" t="s">
        <v>540</v>
      </c>
      <c r="B5952" s="487" t="s">
        <v>539</v>
      </c>
      <c r="C5952" s="488" t="s">
        <v>19067</v>
      </c>
      <c r="D5952" s="489" t="s">
        <v>19068</v>
      </c>
      <c r="E5952" s="487" t="s">
        <v>19069</v>
      </c>
      <c r="F5952" s="490">
        <v>0</v>
      </c>
      <c r="G5952" s="489">
        <v>0</v>
      </c>
      <c r="H5952" s="489">
        <v>0</v>
      </c>
      <c r="I5952" s="487" t="s">
        <v>2465</v>
      </c>
      <c r="J5952" s="487" t="s">
        <v>541</v>
      </c>
    </row>
    <row r="5953" spans="1:10" ht="15" x14ac:dyDescent="0.2">
      <c r="A5953" s="486" t="s">
        <v>540</v>
      </c>
      <c r="B5953" s="487" t="s">
        <v>539</v>
      </c>
      <c r="C5953" s="488" t="s">
        <v>19070</v>
      </c>
      <c r="D5953" s="489" t="s">
        <v>19071</v>
      </c>
      <c r="E5953" s="487" t="s">
        <v>19072</v>
      </c>
      <c r="F5953" s="490">
        <v>170</v>
      </c>
      <c r="G5953" s="489">
        <v>59</v>
      </c>
      <c r="H5953" s="489">
        <v>2.8813599999999999</v>
      </c>
      <c r="I5953" s="487" t="s">
        <v>1499</v>
      </c>
      <c r="J5953" s="487" t="s">
        <v>541</v>
      </c>
    </row>
    <row r="5954" spans="1:10" ht="15" x14ac:dyDescent="0.2">
      <c r="A5954" s="486" t="s">
        <v>540</v>
      </c>
      <c r="B5954" s="487" t="s">
        <v>539</v>
      </c>
      <c r="C5954" s="488" t="s">
        <v>19073</v>
      </c>
      <c r="D5954" s="489" t="s">
        <v>19074</v>
      </c>
      <c r="E5954" s="487" t="s">
        <v>19075</v>
      </c>
      <c r="F5954" s="490">
        <v>501730</v>
      </c>
      <c r="G5954" s="489">
        <v>2727</v>
      </c>
      <c r="H5954" s="489">
        <v>183.98607000000001</v>
      </c>
      <c r="I5954" s="487" t="s">
        <v>1499</v>
      </c>
      <c r="J5954" s="487" t="s">
        <v>541</v>
      </c>
    </row>
    <row r="5955" spans="1:10" ht="15" x14ac:dyDescent="0.2">
      <c r="A5955" s="486" t="s">
        <v>540</v>
      </c>
      <c r="B5955" s="487" t="s">
        <v>539</v>
      </c>
      <c r="C5955" s="488" t="s">
        <v>19076</v>
      </c>
      <c r="D5955" s="489" t="s">
        <v>19077</v>
      </c>
      <c r="E5955" s="487" t="s">
        <v>19078</v>
      </c>
      <c r="F5955" s="490">
        <v>0</v>
      </c>
      <c r="G5955" s="489">
        <v>17</v>
      </c>
      <c r="H5955" s="489">
        <v>0</v>
      </c>
      <c r="I5955" s="487" t="s">
        <v>1593</v>
      </c>
      <c r="J5955" s="487" t="s">
        <v>541</v>
      </c>
    </row>
    <row r="5956" spans="1:10" ht="15" x14ac:dyDescent="0.2">
      <c r="A5956" s="486" t="s">
        <v>540</v>
      </c>
      <c r="B5956" s="487" t="s">
        <v>539</v>
      </c>
      <c r="C5956" s="488" t="s">
        <v>19079</v>
      </c>
      <c r="D5956" s="489" t="s">
        <v>19080</v>
      </c>
      <c r="E5956" s="487" t="s">
        <v>19081</v>
      </c>
      <c r="F5956" s="490">
        <v>8000</v>
      </c>
      <c r="G5956" s="489">
        <v>184</v>
      </c>
      <c r="H5956" s="489">
        <v>43.478259999999999</v>
      </c>
      <c r="I5956" s="487" t="s">
        <v>1499</v>
      </c>
      <c r="J5956" s="487" t="s">
        <v>541</v>
      </c>
    </row>
    <row r="5957" spans="1:10" ht="15" x14ac:dyDescent="0.2">
      <c r="A5957" s="486" t="s">
        <v>540</v>
      </c>
      <c r="B5957" s="487" t="s">
        <v>539</v>
      </c>
      <c r="C5957" s="488" t="s">
        <v>19082</v>
      </c>
      <c r="D5957" s="489" t="s">
        <v>19083</v>
      </c>
      <c r="E5957" s="487" t="s">
        <v>19084</v>
      </c>
      <c r="F5957" s="490">
        <v>0</v>
      </c>
      <c r="G5957" s="489">
        <v>55</v>
      </c>
      <c r="H5957" s="489">
        <v>0</v>
      </c>
      <c r="I5957" s="487" t="s">
        <v>1593</v>
      </c>
      <c r="J5957" s="487" t="s">
        <v>541</v>
      </c>
    </row>
    <row r="5958" spans="1:10" ht="15" x14ac:dyDescent="0.2">
      <c r="A5958" s="486" t="s">
        <v>540</v>
      </c>
      <c r="B5958" s="487" t="s">
        <v>539</v>
      </c>
      <c r="C5958" s="488" t="s">
        <v>19085</v>
      </c>
      <c r="D5958" s="489" t="s">
        <v>19086</v>
      </c>
      <c r="E5958" s="487" t="s">
        <v>19087</v>
      </c>
      <c r="F5958" s="490">
        <v>1000</v>
      </c>
      <c r="G5958" s="489">
        <v>50</v>
      </c>
      <c r="H5958" s="489">
        <v>20</v>
      </c>
      <c r="I5958" s="487" t="s">
        <v>1499</v>
      </c>
      <c r="J5958" s="487" t="s">
        <v>541</v>
      </c>
    </row>
    <row r="5959" spans="1:10" ht="15" x14ac:dyDescent="0.2">
      <c r="A5959" s="486" t="s">
        <v>540</v>
      </c>
      <c r="B5959" s="487" t="s">
        <v>539</v>
      </c>
      <c r="C5959" s="488" t="s">
        <v>19088</v>
      </c>
      <c r="D5959" s="489" t="s">
        <v>19089</v>
      </c>
      <c r="E5959" s="487" t="s">
        <v>19090</v>
      </c>
      <c r="F5959" s="490">
        <v>112200</v>
      </c>
      <c r="G5959" s="489">
        <v>1671</v>
      </c>
      <c r="H5959" s="489">
        <v>67.145420000000001</v>
      </c>
      <c r="I5959" s="487" t="s">
        <v>1499</v>
      </c>
      <c r="J5959" s="487" t="s">
        <v>541</v>
      </c>
    </row>
    <row r="5960" spans="1:10" ht="15" x14ac:dyDescent="0.2">
      <c r="A5960" s="486" t="s">
        <v>540</v>
      </c>
      <c r="B5960" s="487" t="s">
        <v>539</v>
      </c>
      <c r="C5960" s="488" t="s">
        <v>19091</v>
      </c>
      <c r="D5960" s="489" t="s">
        <v>19092</v>
      </c>
      <c r="E5960" s="487" t="s">
        <v>19093</v>
      </c>
      <c r="F5960" s="490">
        <v>550</v>
      </c>
      <c r="G5960" s="489">
        <v>59</v>
      </c>
      <c r="H5960" s="489">
        <v>9.3220299999999998</v>
      </c>
      <c r="I5960" s="487" t="s">
        <v>1499</v>
      </c>
      <c r="J5960" s="487" t="s">
        <v>541</v>
      </c>
    </row>
    <row r="5961" spans="1:10" ht="15" x14ac:dyDescent="0.2">
      <c r="A5961" s="486" t="s">
        <v>540</v>
      </c>
      <c r="B5961" s="487" t="s">
        <v>539</v>
      </c>
      <c r="C5961" s="488" t="s">
        <v>19094</v>
      </c>
      <c r="D5961" s="489" t="s">
        <v>19095</v>
      </c>
      <c r="E5961" s="487" t="s">
        <v>3826</v>
      </c>
      <c r="F5961" s="490">
        <v>5500</v>
      </c>
      <c r="G5961" s="489">
        <v>75</v>
      </c>
      <c r="H5961" s="489">
        <v>73.333330000000004</v>
      </c>
      <c r="I5961" s="487" t="s">
        <v>1499</v>
      </c>
      <c r="J5961" s="487" t="s">
        <v>541</v>
      </c>
    </row>
    <row r="5962" spans="1:10" ht="15" x14ac:dyDescent="0.2">
      <c r="A5962" s="486" t="s">
        <v>540</v>
      </c>
      <c r="B5962" s="487" t="s">
        <v>539</v>
      </c>
      <c r="C5962" s="488" t="s">
        <v>19096</v>
      </c>
      <c r="D5962" s="489" t="s">
        <v>19097</v>
      </c>
      <c r="E5962" s="487" t="s">
        <v>19098</v>
      </c>
      <c r="F5962" s="490">
        <v>175</v>
      </c>
      <c r="G5962" s="489">
        <v>41</v>
      </c>
      <c r="H5962" s="489">
        <v>4.2682900000000004</v>
      </c>
      <c r="I5962" s="487" t="s">
        <v>1499</v>
      </c>
      <c r="J5962" s="487" t="s">
        <v>541</v>
      </c>
    </row>
    <row r="5963" spans="1:10" ht="15" x14ac:dyDescent="0.2">
      <c r="A5963" s="486" t="s">
        <v>540</v>
      </c>
      <c r="B5963" s="487" t="s">
        <v>539</v>
      </c>
      <c r="C5963" s="488" t="s">
        <v>19099</v>
      </c>
      <c r="D5963" s="489" t="s">
        <v>19100</v>
      </c>
      <c r="E5963" s="487" t="s">
        <v>19101</v>
      </c>
      <c r="F5963" s="490">
        <v>173820</v>
      </c>
      <c r="G5963" s="489">
        <v>1762</v>
      </c>
      <c r="H5963" s="489">
        <v>98.649259999999998</v>
      </c>
      <c r="I5963" s="487" t="s">
        <v>1499</v>
      </c>
      <c r="J5963" s="487" t="s">
        <v>541</v>
      </c>
    </row>
    <row r="5964" spans="1:10" ht="15" x14ac:dyDescent="0.2">
      <c r="A5964" s="486" t="s">
        <v>540</v>
      </c>
      <c r="B5964" s="487" t="s">
        <v>539</v>
      </c>
      <c r="C5964" s="488" t="s">
        <v>19102</v>
      </c>
      <c r="D5964" s="489" t="s">
        <v>19103</v>
      </c>
      <c r="E5964" s="487" t="s">
        <v>19104</v>
      </c>
      <c r="F5964" s="490">
        <v>4000</v>
      </c>
      <c r="G5964" s="489">
        <v>149</v>
      </c>
      <c r="H5964" s="489">
        <v>26.84564</v>
      </c>
      <c r="I5964" s="487" t="s">
        <v>1499</v>
      </c>
      <c r="J5964" s="487" t="s">
        <v>541</v>
      </c>
    </row>
    <row r="5965" spans="1:10" ht="15" x14ac:dyDescent="0.2">
      <c r="A5965" s="486" t="s">
        <v>540</v>
      </c>
      <c r="B5965" s="487" t="s">
        <v>539</v>
      </c>
      <c r="C5965" s="488" t="s">
        <v>19105</v>
      </c>
      <c r="D5965" s="489" t="s">
        <v>19106</v>
      </c>
      <c r="E5965" s="487" t="s">
        <v>19107</v>
      </c>
      <c r="F5965" s="490">
        <v>36375</v>
      </c>
      <c r="G5965" s="489">
        <v>608</v>
      </c>
      <c r="H5965" s="489">
        <v>59.827300000000001</v>
      </c>
      <c r="I5965" s="487" t="s">
        <v>1499</v>
      </c>
      <c r="J5965" s="487" t="s">
        <v>541</v>
      </c>
    </row>
    <row r="5966" spans="1:10" ht="15" x14ac:dyDescent="0.2">
      <c r="A5966" s="486" t="s">
        <v>540</v>
      </c>
      <c r="B5966" s="487" t="s">
        <v>539</v>
      </c>
      <c r="C5966" s="488" t="s">
        <v>19108</v>
      </c>
      <c r="D5966" s="489" t="s">
        <v>19109</v>
      </c>
      <c r="E5966" s="487" t="s">
        <v>19110</v>
      </c>
      <c r="F5966" s="490">
        <v>14000</v>
      </c>
      <c r="G5966" s="489">
        <v>251</v>
      </c>
      <c r="H5966" s="489">
        <v>55.776890000000002</v>
      </c>
      <c r="I5966" s="487" t="s">
        <v>1499</v>
      </c>
      <c r="J5966" s="487" t="s">
        <v>541</v>
      </c>
    </row>
    <row r="5967" spans="1:10" ht="15" x14ac:dyDescent="0.2">
      <c r="A5967" s="486" t="s">
        <v>540</v>
      </c>
      <c r="B5967" s="487" t="s">
        <v>539</v>
      </c>
      <c r="C5967" s="488" t="s">
        <v>19111</v>
      </c>
      <c r="D5967" s="489" t="s">
        <v>19112</v>
      </c>
      <c r="E5967" s="487" t="s">
        <v>19113</v>
      </c>
      <c r="F5967" s="490">
        <v>39500</v>
      </c>
      <c r="G5967" s="489">
        <v>548</v>
      </c>
      <c r="H5967" s="489">
        <v>72.080290000000005</v>
      </c>
      <c r="I5967" s="487" t="s">
        <v>1499</v>
      </c>
      <c r="J5967" s="487" t="s">
        <v>541</v>
      </c>
    </row>
    <row r="5968" spans="1:10" ht="15" x14ac:dyDescent="0.2">
      <c r="A5968" s="486" t="s">
        <v>540</v>
      </c>
      <c r="B5968" s="487" t="s">
        <v>539</v>
      </c>
      <c r="C5968" s="488" t="s">
        <v>19114</v>
      </c>
      <c r="D5968" s="489" t="s">
        <v>19115</v>
      </c>
      <c r="E5968" s="487" t="s">
        <v>19116</v>
      </c>
      <c r="F5968" s="490">
        <v>55371</v>
      </c>
      <c r="G5968" s="489">
        <v>606</v>
      </c>
      <c r="H5968" s="489">
        <v>91.371290000000002</v>
      </c>
      <c r="I5968" s="487" t="s">
        <v>1499</v>
      </c>
      <c r="J5968" s="487" t="s">
        <v>541</v>
      </c>
    </row>
    <row r="5969" spans="1:10" ht="15" x14ac:dyDescent="0.2">
      <c r="A5969" s="486" t="s">
        <v>540</v>
      </c>
      <c r="B5969" s="487" t="s">
        <v>539</v>
      </c>
      <c r="C5969" s="488" t="s">
        <v>19117</v>
      </c>
      <c r="D5969" s="489" t="s">
        <v>19118</v>
      </c>
      <c r="E5969" s="487" t="s">
        <v>19119</v>
      </c>
      <c r="F5969" s="490">
        <v>0</v>
      </c>
      <c r="G5969" s="489">
        <v>20</v>
      </c>
      <c r="H5969" s="489">
        <v>0</v>
      </c>
      <c r="I5969" s="487" t="s">
        <v>1593</v>
      </c>
      <c r="J5969" s="487" t="s">
        <v>541</v>
      </c>
    </row>
    <row r="5970" spans="1:10" ht="15" x14ac:dyDescent="0.2">
      <c r="A5970" s="486" t="s">
        <v>540</v>
      </c>
      <c r="B5970" s="487" t="s">
        <v>539</v>
      </c>
      <c r="C5970" s="488" t="s">
        <v>19120</v>
      </c>
      <c r="D5970" s="489" t="s">
        <v>19121</v>
      </c>
      <c r="E5970" s="487" t="s">
        <v>16863</v>
      </c>
      <c r="F5970" s="490">
        <v>209784</v>
      </c>
      <c r="G5970" s="489">
        <v>2042</v>
      </c>
      <c r="H5970" s="489">
        <v>102.73457000000001</v>
      </c>
      <c r="I5970" s="487" t="s">
        <v>1499</v>
      </c>
      <c r="J5970" s="487" t="s">
        <v>541</v>
      </c>
    </row>
    <row r="5971" spans="1:10" ht="15" x14ac:dyDescent="0.2">
      <c r="A5971" s="486" t="s">
        <v>540</v>
      </c>
      <c r="B5971" s="487" t="s">
        <v>539</v>
      </c>
      <c r="C5971" s="488" t="s">
        <v>19122</v>
      </c>
      <c r="D5971" s="489" t="s">
        <v>19123</v>
      </c>
      <c r="E5971" s="487" t="s">
        <v>19124</v>
      </c>
      <c r="F5971" s="490">
        <v>11000</v>
      </c>
      <c r="G5971" s="489">
        <v>274</v>
      </c>
      <c r="H5971" s="489">
        <v>40.145989999999998</v>
      </c>
      <c r="I5971" s="487" t="s">
        <v>1499</v>
      </c>
      <c r="J5971" s="487" t="s">
        <v>541</v>
      </c>
    </row>
    <row r="5972" spans="1:10" ht="15" x14ac:dyDescent="0.2">
      <c r="A5972" s="486" t="s">
        <v>540</v>
      </c>
      <c r="B5972" s="487" t="s">
        <v>539</v>
      </c>
      <c r="C5972" s="488" t="s">
        <v>19125</v>
      </c>
      <c r="D5972" s="489" t="s">
        <v>19126</v>
      </c>
      <c r="E5972" s="487" t="s">
        <v>19127</v>
      </c>
      <c r="F5972" s="490">
        <v>17500</v>
      </c>
      <c r="G5972" s="489">
        <v>347</v>
      </c>
      <c r="H5972" s="489">
        <v>50.432279999999999</v>
      </c>
      <c r="I5972" s="487" t="s">
        <v>1499</v>
      </c>
      <c r="J5972" s="487" t="s">
        <v>541</v>
      </c>
    </row>
    <row r="5973" spans="1:10" ht="15" x14ac:dyDescent="0.2">
      <c r="A5973" s="486" t="s">
        <v>540</v>
      </c>
      <c r="B5973" s="487" t="s">
        <v>539</v>
      </c>
      <c r="C5973" s="488" t="s">
        <v>19128</v>
      </c>
      <c r="D5973" s="489" t="s">
        <v>19129</v>
      </c>
      <c r="E5973" s="487" t="s">
        <v>19130</v>
      </c>
      <c r="F5973" s="490">
        <v>17931</v>
      </c>
      <c r="G5973" s="489">
        <v>345</v>
      </c>
      <c r="H5973" s="489">
        <v>51.973909999999997</v>
      </c>
      <c r="I5973" s="487" t="s">
        <v>1499</v>
      </c>
      <c r="J5973" s="487" t="s">
        <v>541</v>
      </c>
    </row>
    <row r="5974" spans="1:10" ht="15" x14ac:dyDescent="0.2">
      <c r="A5974" s="486" t="s">
        <v>540</v>
      </c>
      <c r="B5974" s="487" t="s">
        <v>539</v>
      </c>
      <c r="C5974" s="488" t="s">
        <v>19131</v>
      </c>
      <c r="D5974" s="489" t="s">
        <v>19132</v>
      </c>
      <c r="E5974" s="487" t="s">
        <v>19133</v>
      </c>
      <c r="F5974" s="490">
        <v>16000</v>
      </c>
      <c r="G5974" s="489">
        <v>284</v>
      </c>
      <c r="H5974" s="489">
        <v>56.338030000000003</v>
      </c>
      <c r="I5974" s="487" t="s">
        <v>1499</v>
      </c>
      <c r="J5974" s="487" t="s">
        <v>541</v>
      </c>
    </row>
    <row r="5975" spans="1:10" ht="15" x14ac:dyDescent="0.2">
      <c r="A5975" s="486" t="s">
        <v>540</v>
      </c>
      <c r="B5975" s="487" t="s">
        <v>539</v>
      </c>
      <c r="C5975" s="488" t="s">
        <v>19134</v>
      </c>
      <c r="D5975" s="489" t="s">
        <v>19135</v>
      </c>
      <c r="E5975" s="487" t="s">
        <v>19136</v>
      </c>
      <c r="F5975" s="490">
        <v>67355.48</v>
      </c>
      <c r="G5975" s="489">
        <v>1440</v>
      </c>
      <c r="H5975" s="489">
        <v>46.774639999999998</v>
      </c>
      <c r="I5975" s="487" t="s">
        <v>1499</v>
      </c>
      <c r="J5975" s="487" t="s">
        <v>541</v>
      </c>
    </row>
    <row r="5976" spans="1:10" ht="15" x14ac:dyDescent="0.2">
      <c r="A5976" s="486" t="s">
        <v>540</v>
      </c>
      <c r="B5976" s="487" t="s">
        <v>539</v>
      </c>
      <c r="C5976" s="488" t="s">
        <v>19137</v>
      </c>
      <c r="D5976" s="489" t="s">
        <v>19138</v>
      </c>
      <c r="E5976" s="487" t="s">
        <v>19139</v>
      </c>
      <c r="F5976" s="490">
        <v>28966</v>
      </c>
      <c r="G5976" s="489">
        <v>253</v>
      </c>
      <c r="H5976" s="489">
        <v>114.49012</v>
      </c>
      <c r="I5976" s="487" t="s">
        <v>1499</v>
      </c>
      <c r="J5976" s="487" t="s">
        <v>541</v>
      </c>
    </row>
    <row r="5977" spans="1:10" ht="15" x14ac:dyDescent="0.2">
      <c r="A5977" s="486" t="s">
        <v>540</v>
      </c>
      <c r="B5977" s="487" t="s">
        <v>539</v>
      </c>
      <c r="C5977" s="488" t="s">
        <v>19140</v>
      </c>
      <c r="D5977" s="489" t="s">
        <v>19141</v>
      </c>
      <c r="E5977" s="487" t="s">
        <v>19142</v>
      </c>
      <c r="F5977" s="490">
        <v>350</v>
      </c>
      <c r="G5977" s="489">
        <v>56</v>
      </c>
      <c r="H5977" s="489">
        <v>6.25</v>
      </c>
      <c r="I5977" s="487" t="s">
        <v>1499</v>
      </c>
      <c r="J5977" s="487" t="s">
        <v>541</v>
      </c>
    </row>
    <row r="5978" spans="1:10" ht="15" x14ac:dyDescent="0.2">
      <c r="A5978" s="486" t="s">
        <v>540</v>
      </c>
      <c r="B5978" s="487" t="s">
        <v>539</v>
      </c>
      <c r="C5978" s="488" t="s">
        <v>19143</v>
      </c>
      <c r="D5978" s="489" t="s">
        <v>19144</v>
      </c>
      <c r="E5978" s="487" t="s">
        <v>19145</v>
      </c>
      <c r="F5978" s="490">
        <v>14086</v>
      </c>
      <c r="G5978" s="489">
        <v>376</v>
      </c>
      <c r="H5978" s="489">
        <v>37.462769999999999</v>
      </c>
      <c r="I5978" s="487" t="s">
        <v>1499</v>
      </c>
      <c r="J5978" s="487" t="s">
        <v>541</v>
      </c>
    </row>
    <row r="5979" spans="1:10" ht="15" x14ac:dyDescent="0.2">
      <c r="A5979" s="486" t="s">
        <v>540</v>
      </c>
      <c r="B5979" s="487" t="s">
        <v>539</v>
      </c>
      <c r="C5979" s="488" t="s">
        <v>19146</v>
      </c>
      <c r="D5979" s="489" t="s">
        <v>19147</v>
      </c>
      <c r="E5979" s="487" t="s">
        <v>19148</v>
      </c>
      <c r="F5979" s="490">
        <v>17977</v>
      </c>
      <c r="G5979" s="489">
        <v>222</v>
      </c>
      <c r="H5979" s="489">
        <v>80.97748</v>
      </c>
      <c r="I5979" s="487" t="s">
        <v>1499</v>
      </c>
      <c r="J5979" s="487" t="s">
        <v>541</v>
      </c>
    </row>
    <row r="5980" spans="1:10" ht="15" x14ac:dyDescent="0.2">
      <c r="A5980" s="486" t="s">
        <v>540</v>
      </c>
      <c r="B5980" s="487" t="s">
        <v>539</v>
      </c>
      <c r="C5980" s="488" t="s">
        <v>19149</v>
      </c>
      <c r="D5980" s="489" t="s">
        <v>19150</v>
      </c>
      <c r="E5980" s="487" t="s">
        <v>19151</v>
      </c>
      <c r="F5980" s="490">
        <v>1100</v>
      </c>
      <c r="G5980" s="489">
        <v>105</v>
      </c>
      <c r="H5980" s="489">
        <v>10.476190000000001</v>
      </c>
      <c r="I5980" s="487" t="s">
        <v>1499</v>
      </c>
      <c r="J5980" s="487" t="s">
        <v>541</v>
      </c>
    </row>
    <row r="5981" spans="1:10" ht="15" x14ac:dyDescent="0.2">
      <c r="A5981" s="486" t="s">
        <v>540</v>
      </c>
      <c r="B5981" s="487" t="s">
        <v>539</v>
      </c>
      <c r="C5981" s="488" t="s">
        <v>19152</v>
      </c>
      <c r="D5981" s="489" t="s">
        <v>19153</v>
      </c>
      <c r="E5981" s="487" t="s">
        <v>19154</v>
      </c>
      <c r="F5981" s="490">
        <v>634036</v>
      </c>
      <c r="G5981" s="489">
        <v>3975</v>
      </c>
      <c r="H5981" s="489">
        <v>159.50591</v>
      </c>
      <c r="I5981" s="487" t="s">
        <v>1499</v>
      </c>
      <c r="J5981" s="487" t="s">
        <v>541</v>
      </c>
    </row>
    <row r="5982" spans="1:10" ht="15" x14ac:dyDescent="0.2">
      <c r="A5982" s="486" t="s">
        <v>540</v>
      </c>
      <c r="B5982" s="487" t="s">
        <v>539</v>
      </c>
      <c r="C5982" s="488" t="s">
        <v>19155</v>
      </c>
      <c r="D5982" s="489" t="s">
        <v>19156</v>
      </c>
      <c r="E5982" s="487" t="s">
        <v>19157</v>
      </c>
      <c r="F5982" s="490">
        <v>3900</v>
      </c>
      <c r="G5982" s="489">
        <v>153</v>
      </c>
      <c r="H5982" s="489">
        <v>25.490200000000002</v>
      </c>
      <c r="I5982" s="487" t="s">
        <v>1499</v>
      </c>
      <c r="J5982" s="487" t="s">
        <v>541</v>
      </c>
    </row>
    <row r="5983" spans="1:10" ht="15" x14ac:dyDescent="0.2">
      <c r="A5983" s="486" t="s">
        <v>540</v>
      </c>
      <c r="B5983" s="487" t="s">
        <v>539</v>
      </c>
      <c r="C5983" s="488" t="s">
        <v>19158</v>
      </c>
      <c r="D5983" s="489" t="s">
        <v>19159</v>
      </c>
      <c r="E5983" s="487" t="s">
        <v>19160</v>
      </c>
      <c r="F5983" s="490">
        <v>19000</v>
      </c>
      <c r="G5983" s="489">
        <v>439</v>
      </c>
      <c r="H5983" s="489">
        <v>43.280180000000001</v>
      </c>
      <c r="I5983" s="487" t="s">
        <v>1499</v>
      </c>
      <c r="J5983" s="487" t="s">
        <v>541</v>
      </c>
    </row>
    <row r="5984" spans="1:10" ht="15" x14ac:dyDescent="0.2">
      <c r="A5984" s="486" t="s">
        <v>540</v>
      </c>
      <c r="B5984" s="487" t="s">
        <v>539</v>
      </c>
      <c r="C5984" s="488" t="s">
        <v>19161</v>
      </c>
      <c r="D5984" s="489" t="s">
        <v>19162</v>
      </c>
      <c r="E5984" s="487" t="s">
        <v>3642</v>
      </c>
      <c r="F5984" s="490">
        <v>4000</v>
      </c>
      <c r="G5984" s="489">
        <v>53</v>
      </c>
      <c r="H5984" s="489">
        <v>75.471699999999998</v>
      </c>
      <c r="I5984" s="487" t="s">
        <v>1499</v>
      </c>
      <c r="J5984" s="487" t="s">
        <v>541</v>
      </c>
    </row>
    <row r="5985" spans="1:10" ht="15" x14ac:dyDescent="0.2">
      <c r="A5985" s="486" t="s">
        <v>540</v>
      </c>
      <c r="B5985" s="487" t="s">
        <v>539</v>
      </c>
      <c r="C5985" s="488" t="s">
        <v>19163</v>
      </c>
      <c r="D5985" s="489" t="s">
        <v>19164</v>
      </c>
      <c r="E5985" s="487" t="s">
        <v>19165</v>
      </c>
      <c r="F5985" s="490">
        <v>10718</v>
      </c>
      <c r="G5985" s="489">
        <v>160</v>
      </c>
      <c r="H5985" s="489">
        <v>66.987499999999997</v>
      </c>
      <c r="I5985" s="487" t="s">
        <v>1499</v>
      </c>
      <c r="J5985" s="487" t="s">
        <v>541</v>
      </c>
    </row>
    <row r="5986" spans="1:10" ht="15" x14ac:dyDescent="0.2">
      <c r="A5986" s="486" t="s">
        <v>540</v>
      </c>
      <c r="B5986" s="487" t="s">
        <v>539</v>
      </c>
      <c r="C5986" s="488" t="s">
        <v>19166</v>
      </c>
      <c r="D5986" s="489" t="s">
        <v>19167</v>
      </c>
      <c r="E5986" s="487" t="s">
        <v>19168</v>
      </c>
      <c r="F5986" s="490">
        <v>127000</v>
      </c>
      <c r="G5986" s="489">
        <v>1798</v>
      </c>
      <c r="H5986" s="489">
        <v>70.634039999999999</v>
      </c>
      <c r="I5986" s="487" t="s">
        <v>1499</v>
      </c>
      <c r="J5986" s="487" t="s">
        <v>541</v>
      </c>
    </row>
    <row r="5987" spans="1:10" ht="15" x14ac:dyDescent="0.2">
      <c r="A5987" s="486" t="s">
        <v>540</v>
      </c>
      <c r="B5987" s="487" t="s">
        <v>539</v>
      </c>
      <c r="C5987" s="488" t="s">
        <v>19169</v>
      </c>
      <c r="D5987" s="489" t="s">
        <v>19170</v>
      </c>
      <c r="E5987" s="487" t="s">
        <v>19171</v>
      </c>
      <c r="F5987" s="490">
        <v>33000</v>
      </c>
      <c r="G5987" s="489">
        <v>643</v>
      </c>
      <c r="H5987" s="489">
        <v>51.321930000000002</v>
      </c>
      <c r="I5987" s="487" t="s">
        <v>1499</v>
      </c>
      <c r="J5987" s="487" t="s">
        <v>541</v>
      </c>
    </row>
    <row r="5988" spans="1:10" ht="15" x14ac:dyDescent="0.2">
      <c r="A5988" s="486" t="s">
        <v>540</v>
      </c>
      <c r="B5988" s="487" t="s">
        <v>539</v>
      </c>
      <c r="C5988" s="488" t="s">
        <v>19172</v>
      </c>
      <c r="D5988" s="489" t="s">
        <v>19173</v>
      </c>
      <c r="E5988" s="487" t="s">
        <v>19174</v>
      </c>
      <c r="F5988" s="490">
        <v>36396</v>
      </c>
      <c r="G5988" s="489">
        <v>397</v>
      </c>
      <c r="H5988" s="489">
        <v>91.677580000000006</v>
      </c>
      <c r="I5988" s="487" t="s">
        <v>1499</v>
      </c>
      <c r="J5988" s="487" t="s">
        <v>541</v>
      </c>
    </row>
    <row r="5989" spans="1:10" ht="15" x14ac:dyDescent="0.2">
      <c r="A5989" s="486" t="s">
        <v>540</v>
      </c>
      <c r="B5989" s="487" t="s">
        <v>539</v>
      </c>
      <c r="C5989" s="488" t="s">
        <v>19175</v>
      </c>
      <c r="D5989" s="489" t="s">
        <v>19176</v>
      </c>
      <c r="E5989" s="487" t="s">
        <v>19177</v>
      </c>
      <c r="F5989" s="490">
        <v>30016</v>
      </c>
      <c r="G5989" s="489">
        <v>897</v>
      </c>
      <c r="H5989" s="489">
        <v>33.462649999999996</v>
      </c>
      <c r="I5989" s="487" t="s">
        <v>1499</v>
      </c>
      <c r="J5989" s="487" t="s">
        <v>541</v>
      </c>
    </row>
    <row r="5990" spans="1:10" ht="15" x14ac:dyDescent="0.2">
      <c r="A5990" s="486" t="s">
        <v>540</v>
      </c>
      <c r="B5990" s="487" t="s">
        <v>539</v>
      </c>
      <c r="C5990" s="488" t="s">
        <v>19178</v>
      </c>
      <c r="D5990" s="489" t="s">
        <v>19179</v>
      </c>
      <c r="E5990" s="487" t="s">
        <v>19180</v>
      </c>
      <c r="F5990" s="490">
        <v>0</v>
      </c>
      <c r="G5990" s="489">
        <v>0</v>
      </c>
      <c r="H5990" s="489">
        <v>0</v>
      </c>
      <c r="I5990" s="487" t="s">
        <v>2465</v>
      </c>
      <c r="J5990" s="487" t="s">
        <v>541</v>
      </c>
    </row>
    <row r="5991" spans="1:10" ht="15" x14ac:dyDescent="0.2">
      <c r="A5991" s="486" t="s">
        <v>540</v>
      </c>
      <c r="B5991" s="487" t="s">
        <v>539</v>
      </c>
      <c r="C5991" s="488" t="s">
        <v>19181</v>
      </c>
      <c r="D5991" s="489" t="s">
        <v>19182</v>
      </c>
      <c r="E5991" s="487" t="s">
        <v>19183</v>
      </c>
      <c r="F5991" s="490">
        <v>12539</v>
      </c>
      <c r="G5991" s="489">
        <v>241</v>
      </c>
      <c r="H5991" s="489">
        <v>52.029049999999998</v>
      </c>
      <c r="I5991" s="487" t="s">
        <v>1499</v>
      </c>
      <c r="J5991" s="487" t="s">
        <v>541</v>
      </c>
    </row>
    <row r="5992" spans="1:10" ht="15" x14ac:dyDescent="0.2">
      <c r="A5992" s="486" t="s">
        <v>540</v>
      </c>
      <c r="B5992" s="487" t="s">
        <v>539</v>
      </c>
      <c r="C5992" s="488" t="s">
        <v>19184</v>
      </c>
      <c r="D5992" s="489" t="s">
        <v>19185</v>
      </c>
      <c r="E5992" s="487" t="s">
        <v>19186</v>
      </c>
      <c r="F5992" s="490">
        <v>470</v>
      </c>
      <c r="G5992" s="489">
        <v>37</v>
      </c>
      <c r="H5992" s="489">
        <v>12.7027</v>
      </c>
      <c r="I5992" s="487" t="s">
        <v>1499</v>
      </c>
      <c r="J5992" s="487" t="s">
        <v>541</v>
      </c>
    </row>
    <row r="5993" spans="1:10" ht="15" x14ac:dyDescent="0.2">
      <c r="A5993" s="486" t="s">
        <v>540</v>
      </c>
      <c r="B5993" s="487" t="s">
        <v>539</v>
      </c>
      <c r="C5993" s="488" t="s">
        <v>19187</v>
      </c>
      <c r="D5993" s="489" t="s">
        <v>19188</v>
      </c>
      <c r="E5993" s="487" t="s">
        <v>19189</v>
      </c>
      <c r="F5993" s="490">
        <v>399256</v>
      </c>
      <c r="G5993" s="489">
        <v>2450</v>
      </c>
      <c r="H5993" s="489">
        <v>162.96163000000001</v>
      </c>
      <c r="I5993" s="487" t="s">
        <v>1499</v>
      </c>
      <c r="J5993" s="487" t="s">
        <v>541</v>
      </c>
    </row>
    <row r="5994" spans="1:10" ht="15" x14ac:dyDescent="0.2">
      <c r="A5994" s="486" t="s">
        <v>540</v>
      </c>
      <c r="B5994" s="487" t="s">
        <v>539</v>
      </c>
      <c r="C5994" s="488" t="s">
        <v>19190</v>
      </c>
      <c r="D5994" s="489" t="s">
        <v>19191</v>
      </c>
      <c r="E5994" s="487" t="s">
        <v>19192</v>
      </c>
      <c r="F5994" s="490">
        <v>3500</v>
      </c>
      <c r="G5994" s="489">
        <v>84</v>
      </c>
      <c r="H5994" s="489">
        <v>41.666670000000003</v>
      </c>
      <c r="I5994" s="487" t="s">
        <v>1499</v>
      </c>
      <c r="J5994" s="487" t="s">
        <v>541</v>
      </c>
    </row>
    <row r="5995" spans="1:10" ht="15" x14ac:dyDescent="0.2">
      <c r="A5995" s="486" t="s">
        <v>540</v>
      </c>
      <c r="B5995" s="487" t="s">
        <v>539</v>
      </c>
      <c r="C5995" s="488" t="s">
        <v>19193</v>
      </c>
      <c r="D5995" s="489" t="s">
        <v>19194</v>
      </c>
      <c r="E5995" s="487" t="s">
        <v>19195</v>
      </c>
      <c r="F5995" s="490">
        <v>19038</v>
      </c>
      <c r="G5995" s="489">
        <v>321</v>
      </c>
      <c r="H5995" s="489">
        <v>59.308410000000002</v>
      </c>
      <c r="I5995" s="487" t="s">
        <v>1499</v>
      </c>
      <c r="J5995" s="487" t="s">
        <v>541</v>
      </c>
    </row>
    <row r="5996" spans="1:10" ht="15" x14ac:dyDescent="0.2">
      <c r="A5996" s="486" t="s">
        <v>540</v>
      </c>
      <c r="B5996" s="487" t="s">
        <v>539</v>
      </c>
      <c r="C5996" s="488" t="s">
        <v>19196</v>
      </c>
      <c r="D5996" s="489" t="s">
        <v>19197</v>
      </c>
      <c r="E5996" s="487" t="s">
        <v>19198</v>
      </c>
      <c r="F5996" s="490">
        <v>158241</v>
      </c>
      <c r="G5996" s="489">
        <v>1112</v>
      </c>
      <c r="H5996" s="489">
        <v>142.30305999999999</v>
      </c>
      <c r="I5996" s="487" t="s">
        <v>1499</v>
      </c>
      <c r="J5996" s="487" t="s">
        <v>541</v>
      </c>
    </row>
    <row r="5997" spans="1:10" ht="15" x14ac:dyDescent="0.2">
      <c r="A5997" s="486" t="s">
        <v>540</v>
      </c>
      <c r="B5997" s="487" t="s">
        <v>539</v>
      </c>
      <c r="C5997" s="488" t="s">
        <v>19199</v>
      </c>
      <c r="D5997" s="489" t="s">
        <v>19200</v>
      </c>
      <c r="E5997" s="487" t="s">
        <v>19201</v>
      </c>
      <c r="F5997" s="490">
        <v>24551</v>
      </c>
      <c r="G5997" s="489">
        <v>442</v>
      </c>
      <c r="H5997" s="489">
        <v>55.545250000000003</v>
      </c>
      <c r="I5997" s="487" t="s">
        <v>1499</v>
      </c>
      <c r="J5997" s="487" t="s">
        <v>541</v>
      </c>
    </row>
    <row r="5998" spans="1:10" ht="15" x14ac:dyDescent="0.2">
      <c r="A5998" s="486" t="s">
        <v>540</v>
      </c>
      <c r="B5998" s="487" t="s">
        <v>539</v>
      </c>
      <c r="C5998" s="488" t="s">
        <v>19202</v>
      </c>
      <c r="D5998" s="489" t="s">
        <v>19203</v>
      </c>
      <c r="E5998" s="487" t="s">
        <v>18611</v>
      </c>
      <c r="F5998" s="490">
        <v>93009</v>
      </c>
      <c r="G5998" s="489">
        <v>992</v>
      </c>
      <c r="H5998" s="489">
        <v>93.759069999999994</v>
      </c>
      <c r="I5998" s="487" t="s">
        <v>1499</v>
      </c>
      <c r="J5998" s="487" t="s">
        <v>541</v>
      </c>
    </row>
    <row r="5999" spans="1:10" ht="15" x14ac:dyDescent="0.2">
      <c r="A5999" s="486" t="s">
        <v>540</v>
      </c>
      <c r="B5999" s="487" t="s">
        <v>539</v>
      </c>
      <c r="C5999" s="488" t="s">
        <v>19204</v>
      </c>
      <c r="D5999" s="489" t="s">
        <v>19205</v>
      </c>
      <c r="E5999" s="487" t="s">
        <v>19206</v>
      </c>
      <c r="F5999" s="490">
        <v>8700</v>
      </c>
      <c r="G5999" s="489">
        <v>90</v>
      </c>
      <c r="H5999" s="489">
        <v>96.666669999999996</v>
      </c>
      <c r="I5999" s="487" t="s">
        <v>1499</v>
      </c>
      <c r="J5999" s="487" t="s">
        <v>541</v>
      </c>
    </row>
    <row r="6000" spans="1:10" ht="15" x14ac:dyDescent="0.2">
      <c r="A6000" s="486" t="s">
        <v>540</v>
      </c>
      <c r="B6000" s="487" t="s">
        <v>539</v>
      </c>
      <c r="C6000" s="488" t="s">
        <v>19207</v>
      </c>
      <c r="D6000" s="489" t="s">
        <v>19208</v>
      </c>
      <c r="E6000" s="487" t="s">
        <v>19209</v>
      </c>
      <c r="F6000" s="490">
        <v>32133</v>
      </c>
      <c r="G6000" s="489">
        <v>618</v>
      </c>
      <c r="H6000" s="489">
        <v>51.995150000000002</v>
      </c>
      <c r="I6000" s="487" t="s">
        <v>1499</v>
      </c>
      <c r="J6000" s="487" t="s">
        <v>541</v>
      </c>
    </row>
    <row r="6001" spans="1:10" ht="15" x14ac:dyDescent="0.2">
      <c r="A6001" s="486" t="s">
        <v>540</v>
      </c>
      <c r="B6001" s="487" t="s">
        <v>539</v>
      </c>
      <c r="C6001" s="488" t="s">
        <v>19210</v>
      </c>
      <c r="D6001" s="489" t="s">
        <v>19211</v>
      </c>
      <c r="E6001" s="487" t="s">
        <v>19212</v>
      </c>
      <c r="F6001" s="490">
        <v>0</v>
      </c>
      <c r="G6001" s="489">
        <v>42</v>
      </c>
      <c r="H6001" s="489">
        <v>0</v>
      </c>
      <c r="I6001" s="487" t="s">
        <v>1593</v>
      </c>
      <c r="J6001" s="487" t="s">
        <v>541</v>
      </c>
    </row>
    <row r="6002" spans="1:10" ht="15" x14ac:dyDescent="0.2">
      <c r="A6002" s="486" t="s">
        <v>540</v>
      </c>
      <c r="B6002" s="487" t="s">
        <v>539</v>
      </c>
      <c r="C6002" s="488" t="s">
        <v>19213</v>
      </c>
      <c r="D6002" s="489" t="s">
        <v>19214</v>
      </c>
      <c r="E6002" s="487" t="s">
        <v>19215</v>
      </c>
      <c r="F6002" s="490">
        <v>24864</v>
      </c>
      <c r="G6002" s="489">
        <v>336</v>
      </c>
      <c r="H6002" s="489">
        <v>74</v>
      </c>
      <c r="I6002" s="487" t="s">
        <v>1499</v>
      </c>
      <c r="J6002" s="487" t="s">
        <v>541</v>
      </c>
    </row>
    <row r="6003" spans="1:10" ht="15" x14ac:dyDescent="0.2">
      <c r="A6003" s="486" t="s">
        <v>540</v>
      </c>
      <c r="B6003" s="487" t="s">
        <v>539</v>
      </c>
      <c r="C6003" s="488" t="s">
        <v>19216</v>
      </c>
      <c r="D6003" s="489" t="s">
        <v>19217</v>
      </c>
      <c r="E6003" s="487" t="s">
        <v>19218</v>
      </c>
      <c r="F6003" s="490">
        <v>111000</v>
      </c>
      <c r="G6003" s="489">
        <v>1366</v>
      </c>
      <c r="H6003" s="489">
        <v>81.259150000000005</v>
      </c>
      <c r="I6003" s="487" t="s">
        <v>1499</v>
      </c>
      <c r="J6003" s="487" t="s">
        <v>541</v>
      </c>
    </row>
    <row r="6004" spans="1:10" ht="15" x14ac:dyDescent="0.2">
      <c r="A6004" s="486" t="s">
        <v>540</v>
      </c>
      <c r="B6004" s="487" t="s">
        <v>539</v>
      </c>
      <c r="C6004" s="488" t="s">
        <v>19219</v>
      </c>
      <c r="D6004" s="489" t="s">
        <v>19220</v>
      </c>
      <c r="E6004" s="487" t="s">
        <v>19221</v>
      </c>
      <c r="F6004" s="490">
        <v>897054</v>
      </c>
      <c r="G6004" s="489">
        <v>6339</v>
      </c>
      <c r="H6004" s="489">
        <v>141.51348999999999</v>
      </c>
      <c r="I6004" s="487" t="s">
        <v>1499</v>
      </c>
      <c r="J6004" s="487" t="s">
        <v>541</v>
      </c>
    </row>
    <row r="6005" spans="1:10" ht="15" x14ac:dyDescent="0.2">
      <c r="A6005" s="486" t="s">
        <v>540</v>
      </c>
      <c r="B6005" s="487" t="s">
        <v>539</v>
      </c>
      <c r="C6005" s="488" t="s">
        <v>19222</v>
      </c>
      <c r="D6005" s="489" t="s">
        <v>19223</v>
      </c>
      <c r="E6005" s="487" t="s">
        <v>19224</v>
      </c>
      <c r="F6005" s="490">
        <v>8711</v>
      </c>
      <c r="G6005" s="489">
        <v>201</v>
      </c>
      <c r="H6005" s="489">
        <v>43.33831</v>
      </c>
      <c r="I6005" s="487" t="s">
        <v>1499</v>
      </c>
      <c r="J6005" s="487" t="s">
        <v>541</v>
      </c>
    </row>
    <row r="6006" spans="1:10" ht="15" x14ac:dyDescent="0.2">
      <c r="A6006" s="486" t="s">
        <v>540</v>
      </c>
      <c r="B6006" s="487" t="s">
        <v>539</v>
      </c>
      <c r="C6006" s="488" t="s">
        <v>19225</v>
      </c>
      <c r="D6006" s="489" t="s">
        <v>19226</v>
      </c>
      <c r="E6006" s="487" t="s">
        <v>19227</v>
      </c>
      <c r="F6006" s="490">
        <v>14115</v>
      </c>
      <c r="G6006" s="489">
        <v>288</v>
      </c>
      <c r="H6006" s="489">
        <v>49.010420000000003</v>
      </c>
      <c r="I6006" s="487" t="s">
        <v>1499</v>
      </c>
      <c r="J6006" s="487" t="s">
        <v>541</v>
      </c>
    </row>
    <row r="6007" spans="1:10" ht="15" x14ac:dyDescent="0.2">
      <c r="A6007" s="486" t="s">
        <v>540</v>
      </c>
      <c r="B6007" s="487" t="s">
        <v>539</v>
      </c>
      <c r="C6007" s="488" t="s">
        <v>19228</v>
      </c>
      <c r="D6007" s="489" t="s">
        <v>19229</v>
      </c>
      <c r="E6007" s="487" t="s">
        <v>19230</v>
      </c>
      <c r="F6007" s="490">
        <v>6200</v>
      </c>
      <c r="G6007" s="489">
        <v>178</v>
      </c>
      <c r="H6007" s="489">
        <v>34.83146</v>
      </c>
      <c r="I6007" s="487" t="s">
        <v>2465</v>
      </c>
      <c r="J6007" s="487" t="s">
        <v>541</v>
      </c>
    </row>
    <row r="6008" spans="1:10" ht="15" x14ac:dyDescent="0.2">
      <c r="A6008" s="486" t="s">
        <v>540</v>
      </c>
      <c r="B6008" s="487" t="s">
        <v>539</v>
      </c>
      <c r="C6008" s="488" t="s">
        <v>19231</v>
      </c>
      <c r="D6008" s="489" t="s">
        <v>19232</v>
      </c>
      <c r="E6008" s="487" t="s">
        <v>19233</v>
      </c>
      <c r="F6008" s="490">
        <v>340469</v>
      </c>
      <c r="G6008" s="489">
        <v>3608</v>
      </c>
      <c r="H6008" s="489">
        <v>94.365020000000001</v>
      </c>
      <c r="I6008" s="487" t="s">
        <v>1499</v>
      </c>
      <c r="J6008" s="487" t="s">
        <v>541</v>
      </c>
    </row>
    <row r="6009" spans="1:10" ht="15" x14ac:dyDescent="0.2">
      <c r="A6009" s="486" t="s">
        <v>540</v>
      </c>
      <c r="B6009" s="487" t="s">
        <v>539</v>
      </c>
      <c r="C6009" s="488" t="s">
        <v>19234</v>
      </c>
      <c r="D6009" s="489" t="s">
        <v>19235</v>
      </c>
      <c r="E6009" s="487" t="s">
        <v>19236</v>
      </c>
      <c r="F6009" s="490">
        <v>0</v>
      </c>
      <c r="G6009" s="489">
        <v>33</v>
      </c>
      <c r="H6009" s="489">
        <v>0</v>
      </c>
      <c r="I6009" s="487" t="s">
        <v>1593</v>
      </c>
      <c r="J6009" s="487" t="s">
        <v>541</v>
      </c>
    </row>
    <row r="6010" spans="1:10" ht="15" x14ac:dyDescent="0.2">
      <c r="A6010" s="486" t="s">
        <v>540</v>
      </c>
      <c r="B6010" s="487" t="s">
        <v>539</v>
      </c>
      <c r="C6010" s="488" t="s">
        <v>19237</v>
      </c>
      <c r="D6010" s="489" t="s">
        <v>19238</v>
      </c>
      <c r="E6010" s="487" t="s">
        <v>19239</v>
      </c>
      <c r="F6010" s="490">
        <v>636580</v>
      </c>
      <c r="G6010" s="489">
        <v>5229</v>
      </c>
      <c r="H6010" s="489">
        <v>121.74029</v>
      </c>
      <c r="I6010" s="487" t="s">
        <v>1499</v>
      </c>
      <c r="J6010" s="487" t="s">
        <v>541</v>
      </c>
    </row>
    <row r="6011" spans="1:10" ht="15" x14ac:dyDescent="0.2">
      <c r="A6011" s="486" t="s">
        <v>540</v>
      </c>
      <c r="B6011" s="487" t="s">
        <v>539</v>
      </c>
      <c r="C6011" s="488" t="s">
        <v>19240</v>
      </c>
      <c r="D6011" s="489" t="s">
        <v>19241</v>
      </c>
      <c r="E6011" s="487" t="s">
        <v>19242</v>
      </c>
      <c r="F6011" s="490">
        <v>10328</v>
      </c>
      <c r="G6011" s="489">
        <v>264</v>
      </c>
      <c r="H6011" s="489">
        <v>39.121209999999998</v>
      </c>
      <c r="I6011" s="487" t="s">
        <v>1499</v>
      </c>
      <c r="J6011" s="487" t="s">
        <v>541</v>
      </c>
    </row>
    <row r="6012" spans="1:10" ht="15" x14ac:dyDescent="0.2">
      <c r="A6012" s="486" t="s">
        <v>540</v>
      </c>
      <c r="B6012" s="487" t="s">
        <v>539</v>
      </c>
      <c r="C6012" s="488" t="s">
        <v>19243</v>
      </c>
      <c r="D6012" s="489" t="s">
        <v>19244</v>
      </c>
      <c r="E6012" s="487" t="s">
        <v>19245</v>
      </c>
      <c r="F6012" s="490">
        <v>11570</v>
      </c>
      <c r="G6012" s="489">
        <v>157</v>
      </c>
      <c r="H6012" s="489">
        <v>73.694270000000003</v>
      </c>
      <c r="I6012" s="487" t="s">
        <v>1499</v>
      </c>
      <c r="J6012" s="487" t="s">
        <v>541</v>
      </c>
    </row>
    <row r="6013" spans="1:10" ht="15" x14ac:dyDescent="0.2">
      <c r="A6013" s="486" t="s">
        <v>540</v>
      </c>
      <c r="B6013" s="487" t="s">
        <v>539</v>
      </c>
      <c r="C6013" s="488" t="s">
        <v>19246</v>
      </c>
      <c r="D6013" s="489" t="s">
        <v>19247</v>
      </c>
      <c r="E6013" s="487" t="s">
        <v>19248</v>
      </c>
      <c r="F6013" s="490">
        <v>2046</v>
      </c>
      <c r="G6013" s="489">
        <v>98</v>
      </c>
      <c r="H6013" s="489">
        <v>20.877549999999999</v>
      </c>
      <c r="I6013" s="487" t="s">
        <v>1499</v>
      </c>
      <c r="J6013" s="487" t="s">
        <v>541</v>
      </c>
    </row>
    <row r="6014" spans="1:10" ht="15" x14ac:dyDescent="0.2">
      <c r="A6014" s="486" t="s">
        <v>540</v>
      </c>
      <c r="B6014" s="487" t="s">
        <v>539</v>
      </c>
      <c r="C6014" s="488" t="s">
        <v>19249</v>
      </c>
      <c r="D6014" s="489" t="s">
        <v>19250</v>
      </c>
      <c r="E6014" s="487" t="s">
        <v>19251</v>
      </c>
      <c r="F6014" s="490">
        <v>5400</v>
      </c>
      <c r="G6014" s="489">
        <v>168</v>
      </c>
      <c r="H6014" s="489">
        <v>32.142859999999999</v>
      </c>
      <c r="I6014" s="487" t="s">
        <v>1499</v>
      </c>
      <c r="J6014" s="487" t="s">
        <v>541</v>
      </c>
    </row>
    <row r="6015" spans="1:10" ht="15" x14ac:dyDescent="0.2">
      <c r="A6015" s="486" t="s">
        <v>540</v>
      </c>
      <c r="B6015" s="487" t="s">
        <v>539</v>
      </c>
      <c r="C6015" s="488" t="s">
        <v>19252</v>
      </c>
      <c r="D6015" s="489" t="s">
        <v>19253</v>
      </c>
      <c r="E6015" s="487" t="s">
        <v>19254</v>
      </c>
      <c r="F6015" s="490">
        <v>59412</v>
      </c>
      <c r="G6015" s="489">
        <v>805</v>
      </c>
      <c r="H6015" s="489">
        <v>73.803730000000002</v>
      </c>
      <c r="I6015" s="487" t="s">
        <v>1499</v>
      </c>
      <c r="J6015" s="487" t="s">
        <v>541</v>
      </c>
    </row>
    <row r="6016" spans="1:10" ht="15" x14ac:dyDescent="0.2">
      <c r="A6016" s="486" t="s">
        <v>820</v>
      </c>
      <c r="B6016" s="487" t="s">
        <v>819</v>
      </c>
      <c r="C6016" s="488" t="s">
        <v>19255</v>
      </c>
      <c r="D6016" s="489" t="s">
        <v>19256</v>
      </c>
      <c r="E6016" s="487" t="s">
        <v>19257</v>
      </c>
      <c r="F6016" s="490">
        <v>0</v>
      </c>
      <c r="G6016" s="489">
        <v>25</v>
      </c>
      <c r="H6016" s="489">
        <v>0</v>
      </c>
      <c r="I6016" s="487" t="s">
        <v>1593</v>
      </c>
      <c r="J6016" s="487" t="s">
        <v>821</v>
      </c>
    </row>
    <row r="6017" spans="1:10" ht="15" x14ac:dyDescent="0.2">
      <c r="A6017" s="486" t="s">
        <v>820</v>
      </c>
      <c r="B6017" s="487" t="s">
        <v>819</v>
      </c>
      <c r="C6017" s="488" t="s">
        <v>19258</v>
      </c>
      <c r="D6017" s="489" t="s">
        <v>19259</v>
      </c>
      <c r="E6017" s="487" t="s">
        <v>19260</v>
      </c>
      <c r="F6017" s="490">
        <v>86459</v>
      </c>
      <c r="G6017" s="489">
        <v>1160</v>
      </c>
      <c r="H6017" s="489">
        <v>74.533619999999999</v>
      </c>
      <c r="I6017" s="487" t="s">
        <v>1499</v>
      </c>
      <c r="J6017" s="487" t="s">
        <v>821</v>
      </c>
    </row>
    <row r="6018" spans="1:10" ht="15" x14ac:dyDescent="0.2">
      <c r="A6018" s="486" t="s">
        <v>820</v>
      </c>
      <c r="B6018" s="487" t="s">
        <v>819</v>
      </c>
      <c r="C6018" s="488" t="s">
        <v>19261</v>
      </c>
      <c r="D6018" s="489" t="s">
        <v>19262</v>
      </c>
      <c r="E6018" s="487" t="s">
        <v>2624</v>
      </c>
      <c r="F6018" s="490">
        <v>102829</v>
      </c>
      <c r="G6018" s="489">
        <v>4102</v>
      </c>
      <c r="H6018" s="489">
        <v>25.068020000000001</v>
      </c>
      <c r="I6018" s="487" t="s">
        <v>1499</v>
      </c>
      <c r="J6018" s="487" t="s">
        <v>821</v>
      </c>
    </row>
    <row r="6019" spans="1:10" ht="15" x14ac:dyDescent="0.2">
      <c r="A6019" s="486" t="s">
        <v>820</v>
      </c>
      <c r="B6019" s="487" t="s">
        <v>819</v>
      </c>
      <c r="C6019" s="488" t="s">
        <v>19263</v>
      </c>
      <c r="D6019" s="489" t="s">
        <v>19264</v>
      </c>
      <c r="E6019" s="487" t="s">
        <v>19265</v>
      </c>
      <c r="F6019" s="490">
        <v>14854</v>
      </c>
      <c r="G6019" s="489">
        <v>474</v>
      </c>
      <c r="H6019" s="489">
        <v>31.33755</v>
      </c>
      <c r="I6019" s="487" t="s">
        <v>1499</v>
      </c>
      <c r="J6019" s="487" t="s">
        <v>821</v>
      </c>
    </row>
    <row r="6020" spans="1:10" ht="15" x14ac:dyDescent="0.2">
      <c r="A6020" s="486" t="s">
        <v>820</v>
      </c>
      <c r="B6020" s="487" t="s">
        <v>819</v>
      </c>
      <c r="C6020" s="488" t="s">
        <v>19266</v>
      </c>
      <c r="D6020" s="489" t="s">
        <v>19267</v>
      </c>
      <c r="E6020" s="487" t="s">
        <v>19268</v>
      </c>
      <c r="F6020" s="490">
        <v>143230</v>
      </c>
      <c r="G6020" s="489">
        <v>2970</v>
      </c>
      <c r="H6020" s="489">
        <v>48.225589999999997</v>
      </c>
      <c r="I6020" s="487" t="s">
        <v>1499</v>
      </c>
      <c r="J6020" s="487" t="s">
        <v>821</v>
      </c>
    </row>
    <row r="6021" spans="1:10" ht="15" x14ac:dyDescent="0.2">
      <c r="A6021" s="486" t="s">
        <v>820</v>
      </c>
      <c r="B6021" s="487" t="s">
        <v>819</v>
      </c>
      <c r="C6021" s="488" t="s">
        <v>19269</v>
      </c>
      <c r="D6021" s="489" t="s">
        <v>19270</v>
      </c>
      <c r="E6021" s="487" t="s">
        <v>19271</v>
      </c>
      <c r="F6021" s="490">
        <v>17522</v>
      </c>
      <c r="G6021" s="489">
        <v>358</v>
      </c>
      <c r="H6021" s="489">
        <v>48.944130000000001</v>
      </c>
      <c r="I6021" s="487" t="s">
        <v>1499</v>
      </c>
      <c r="J6021" s="487" t="s">
        <v>821</v>
      </c>
    </row>
    <row r="6022" spans="1:10" ht="15" x14ac:dyDescent="0.2">
      <c r="A6022" s="486" t="s">
        <v>820</v>
      </c>
      <c r="B6022" s="487" t="s">
        <v>819</v>
      </c>
      <c r="C6022" s="488" t="s">
        <v>19272</v>
      </c>
      <c r="D6022" s="489" t="s">
        <v>19273</v>
      </c>
      <c r="E6022" s="487" t="s">
        <v>19274</v>
      </c>
      <c r="F6022" s="490">
        <v>21747</v>
      </c>
      <c r="G6022" s="489">
        <v>435</v>
      </c>
      <c r="H6022" s="489">
        <v>49.993099999999998</v>
      </c>
      <c r="I6022" s="487" t="s">
        <v>1499</v>
      </c>
      <c r="J6022" s="487" t="s">
        <v>821</v>
      </c>
    </row>
    <row r="6023" spans="1:10" ht="15" x14ac:dyDescent="0.2">
      <c r="A6023" s="486" t="s">
        <v>820</v>
      </c>
      <c r="B6023" s="487" t="s">
        <v>819</v>
      </c>
      <c r="C6023" s="488" t="s">
        <v>19275</v>
      </c>
      <c r="D6023" s="489" t="s">
        <v>19276</v>
      </c>
      <c r="E6023" s="487" t="s">
        <v>19277</v>
      </c>
      <c r="F6023" s="490">
        <v>9219</v>
      </c>
      <c r="G6023" s="489">
        <v>288</v>
      </c>
      <c r="H6023" s="489">
        <v>32.010420000000003</v>
      </c>
      <c r="I6023" s="487" t="s">
        <v>1499</v>
      </c>
      <c r="J6023" s="487" t="s">
        <v>821</v>
      </c>
    </row>
    <row r="6024" spans="1:10" ht="15" x14ac:dyDescent="0.2">
      <c r="A6024" s="486" t="s">
        <v>820</v>
      </c>
      <c r="B6024" s="487" t="s">
        <v>819</v>
      </c>
      <c r="C6024" s="488" t="s">
        <v>19278</v>
      </c>
      <c r="D6024" s="489" t="s">
        <v>19279</v>
      </c>
      <c r="E6024" s="487" t="s">
        <v>19280</v>
      </c>
      <c r="F6024" s="490">
        <v>101898</v>
      </c>
      <c r="G6024" s="489">
        <v>1616</v>
      </c>
      <c r="H6024" s="489">
        <v>63.055689999999998</v>
      </c>
      <c r="I6024" s="487" t="s">
        <v>1499</v>
      </c>
      <c r="J6024" s="487" t="s">
        <v>821</v>
      </c>
    </row>
    <row r="6025" spans="1:10" ht="15" x14ac:dyDescent="0.2">
      <c r="A6025" s="486" t="s">
        <v>820</v>
      </c>
      <c r="B6025" s="487" t="s">
        <v>819</v>
      </c>
      <c r="C6025" s="488" t="s">
        <v>19281</v>
      </c>
      <c r="D6025" s="489" t="s">
        <v>19282</v>
      </c>
      <c r="E6025" s="487" t="s">
        <v>19283</v>
      </c>
      <c r="F6025" s="490">
        <v>44491</v>
      </c>
      <c r="G6025" s="489">
        <v>1212</v>
      </c>
      <c r="H6025" s="489">
        <v>36.708750000000002</v>
      </c>
      <c r="I6025" s="487" t="s">
        <v>1499</v>
      </c>
      <c r="J6025" s="487" t="s">
        <v>821</v>
      </c>
    </row>
    <row r="6026" spans="1:10" ht="15" x14ac:dyDescent="0.2">
      <c r="A6026" s="486" t="s">
        <v>820</v>
      </c>
      <c r="B6026" s="487" t="s">
        <v>819</v>
      </c>
      <c r="C6026" s="488" t="s">
        <v>19284</v>
      </c>
      <c r="D6026" s="489" t="s">
        <v>19285</v>
      </c>
      <c r="E6026" s="487" t="s">
        <v>19286</v>
      </c>
      <c r="F6026" s="490">
        <v>105000</v>
      </c>
      <c r="G6026" s="489">
        <v>1331</v>
      </c>
      <c r="H6026" s="489">
        <v>78.888050000000007</v>
      </c>
      <c r="I6026" s="487" t="s">
        <v>1499</v>
      </c>
      <c r="J6026" s="487" t="s">
        <v>821</v>
      </c>
    </row>
    <row r="6027" spans="1:10" ht="15" x14ac:dyDescent="0.2">
      <c r="A6027" s="486" t="s">
        <v>820</v>
      </c>
      <c r="B6027" s="487" t="s">
        <v>819</v>
      </c>
      <c r="C6027" s="488" t="s">
        <v>19287</v>
      </c>
      <c r="D6027" s="489" t="s">
        <v>19288</v>
      </c>
      <c r="E6027" s="487" t="s">
        <v>19289</v>
      </c>
      <c r="F6027" s="490">
        <v>15108</v>
      </c>
      <c r="G6027" s="489">
        <v>152</v>
      </c>
      <c r="H6027" s="489">
        <v>99.394739999999999</v>
      </c>
      <c r="I6027" s="487" t="s">
        <v>1499</v>
      </c>
      <c r="J6027" s="487" t="s">
        <v>821</v>
      </c>
    </row>
    <row r="6028" spans="1:10" ht="15" x14ac:dyDescent="0.2">
      <c r="A6028" s="486" t="s">
        <v>820</v>
      </c>
      <c r="B6028" s="487" t="s">
        <v>819</v>
      </c>
      <c r="C6028" s="488" t="s">
        <v>19290</v>
      </c>
      <c r="D6028" s="489" t="s">
        <v>19291</v>
      </c>
      <c r="E6028" s="487" t="s">
        <v>19292</v>
      </c>
      <c r="F6028" s="490">
        <v>81975</v>
      </c>
      <c r="G6028" s="489">
        <v>1877</v>
      </c>
      <c r="H6028" s="489">
        <v>43.67342</v>
      </c>
      <c r="I6028" s="487" t="s">
        <v>1499</v>
      </c>
      <c r="J6028" s="487" t="s">
        <v>821</v>
      </c>
    </row>
    <row r="6029" spans="1:10" ht="15" x14ac:dyDescent="0.2">
      <c r="A6029" s="486" t="s">
        <v>820</v>
      </c>
      <c r="B6029" s="487" t="s">
        <v>819</v>
      </c>
      <c r="C6029" s="488" t="s">
        <v>19293</v>
      </c>
      <c r="D6029" s="489" t="s">
        <v>19294</v>
      </c>
      <c r="E6029" s="487" t="s">
        <v>19295</v>
      </c>
      <c r="F6029" s="490">
        <v>6000</v>
      </c>
      <c r="G6029" s="489">
        <v>120</v>
      </c>
      <c r="H6029" s="489">
        <v>50</v>
      </c>
      <c r="I6029" s="487" t="s">
        <v>1499</v>
      </c>
      <c r="J6029" s="487" t="s">
        <v>821</v>
      </c>
    </row>
    <row r="6030" spans="1:10" ht="15" x14ac:dyDescent="0.2">
      <c r="A6030" s="486" t="s">
        <v>820</v>
      </c>
      <c r="B6030" s="487" t="s">
        <v>819</v>
      </c>
      <c r="C6030" s="488" t="s">
        <v>19296</v>
      </c>
      <c r="D6030" s="489" t="s">
        <v>19297</v>
      </c>
      <c r="E6030" s="487" t="s">
        <v>19298</v>
      </c>
      <c r="F6030" s="490">
        <v>14520</v>
      </c>
      <c r="G6030" s="489">
        <v>166</v>
      </c>
      <c r="H6030" s="489">
        <v>87.469880000000003</v>
      </c>
      <c r="I6030" s="487" t="s">
        <v>1499</v>
      </c>
      <c r="J6030" s="487" t="s">
        <v>821</v>
      </c>
    </row>
    <row r="6031" spans="1:10" ht="15" x14ac:dyDescent="0.2">
      <c r="A6031" s="486" t="s">
        <v>820</v>
      </c>
      <c r="B6031" s="487" t="s">
        <v>819</v>
      </c>
      <c r="C6031" s="488" t="s">
        <v>19299</v>
      </c>
      <c r="D6031" s="489" t="s">
        <v>19300</v>
      </c>
      <c r="E6031" s="487" t="s">
        <v>19301</v>
      </c>
      <c r="F6031" s="490">
        <v>32799</v>
      </c>
      <c r="G6031" s="489">
        <v>375</v>
      </c>
      <c r="H6031" s="489">
        <v>87.463999999999999</v>
      </c>
      <c r="I6031" s="487" t="s">
        <v>1499</v>
      </c>
      <c r="J6031" s="487" t="s">
        <v>821</v>
      </c>
    </row>
    <row r="6032" spans="1:10" ht="15" x14ac:dyDescent="0.2">
      <c r="A6032" s="486" t="s">
        <v>820</v>
      </c>
      <c r="B6032" s="487" t="s">
        <v>819</v>
      </c>
      <c r="C6032" s="488" t="s">
        <v>19302</v>
      </c>
      <c r="D6032" s="489" t="s">
        <v>19303</v>
      </c>
      <c r="E6032" s="487" t="s">
        <v>19304</v>
      </c>
      <c r="F6032" s="490">
        <v>6915</v>
      </c>
      <c r="G6032" s="489">
        <v>121</v>
      </c>
      <c r="H6032" s="489">
        <v>57.148760000000003</v>
      </c>
      <c r="I6032" s="487" t="s">
        <v>1499</v>
      </c>
      <c r="J6032" s="487" t="s">
        <v>821</v>
      </c>
    </row>
    <row r="6033" spans="1:10" ht="15" x14ac:dyDescent="0.2">
      <c r="A6033" s="486" t="s">
        <v>820</v>
      </c>
      <c r="B6033" s="487" t="s">
        <v>819</v>
      </c>
      <c r="C6033" s="488" t="s">
        <v>19305</v>
      </c>
      <c r="D6033" s="489" t="s">
        <v>19306</v>
      </c>
      <c r="E6033" s="487" t="s">
        <v>19307</v>
      </c>
      <c r="F6033" s="490">
        <v>7128</v>
      </c>
      <c r="G6033" s="489">
        <v>124</v>
      </c>
      <c r="H6033" s="489">
        <v>57.483870000000003</v>
      </c>
      <c r="I6033" s="487" t="s">
        <v>1499</v>
      </c>
      <c r="J6033" s="487" t="s">
        <v>821</v>
      </c>
    </row>
    <row r="6034" spans="1:10" ht="15" x14ac:dyDescent="0.2">
      <c r="A6034" s="486" t="s">
        <v>820</v>
      </c>
      <c r="B6034" s="487" t="s">
        <v>819</v>
      </c>
      <c r="C6034" s="488" t="s">
        <v>19308</v>
      </c>
      <c r="D6034" s="489" t="s">
        <v>19309</v>
      </c>
      <c r="E6034" s="487" t="s">
        <v>19310</v>
      </c>
      <c r="F6034" s="490">
        <v>1232</v>
      </c>
      <c r="G6034" s="489">
        <v>54</v>
      </c>
      <c r="H6034" s="489">
        <v>22.814810000000001</v>
      </c>
      <c r="I6034" s="487" t="s">
        <v>1499</v>
      </c>
      <c r="J6034" s="487" t="s">
        <v>821</v>
      </c>
    </row>
    <row r="6035" spans="1:10" ht="15" x14ac:dyDescent="0.2">
      <c r="A6035" s="486" t="s">
        <v>820</v>
      </c>
      <c r="B6035" s="487" t="s">
        <v>819</v>
      </c>
      <c r="C6035" s="488" t="s">
        <v>19311</v>
      </c>
      <c r="D6035" s="489" t="s">
        <v>19312</v>
      </c>
      <c r="E6035" s="487" t="s">
        <v>19313</v>
      </c>
      <c r="F6035" s="490">
        <v>0</v>
      </c>
      <c r="G6035" s="489">
        <v>79</v>
      </c>
      <c r="H6035" s="489">
        <v>0</v>
      </c>
      <c r="I6035" s="487" t="s">
        <v>1593</v>
      </c>
      <c r="J6035" s="487" t="s">
        <v>821</v>
      </c>
    </row>
    <row r="6036" spans="1:10" ht="15" x14ac:dyDescent="0.2">
      <c r="A6036" s="486" t="s">
        <v>820</v>
      </c>
      <c r="B6036" s="487" t="s">
        <v>819</v>
      </c>
      <c r="C6036" s="488" t="s">
        <v>19314</v>
      </c>
      <c r="D6036" s="489" t="s">
        <v>19315</v>
      </c>
      <c r="E6036" s="487" t="s">
        <v>19316</v>
      </c>
      <c r="F6036" s="490">
        <v>44562</v>
      </c>
      <c r="G6036" s="489">
        <v>645</v>
      </c>
      <c r="H6036" s="489">
        <v>69.088369999999998</v>
      </c>
      <c r="I6036" s="487" t="s">
        <v>1499</v>
      </c>
      <c r="J6036" s="487" t="s">
        <v>821</v>
      </c>
    </row>
    <row r="6037" spans="1:10" ht="15" x14ac:dyDescent="0.2">
      <c r="A6037" s="486" t="s">
        <v>913</v>
      </c>
      <c r="B6037" s="487" t="s">
        <v>912</v>
      </c>
      <c r="C6037" s="488" t="s">
        <v>19317</v>
      </c>
      <c r="D6037" s="489" t="s">
        <v>19318</v>
      </c>
      <c r="E6037" s="487" t="s">
        <v>19319</v>
      </c>
      <c r="F6037" s="490">
        <v>0</v>
      </c>
      <c r="G6037" s="489">
        <v>24.5</v>
      </c>
      <c r="H6037" s="489">
        <v>0</v>
      </c>
      <c r="I6037" s="487" t="s">
        <v>1593</v>
      </c>
      <c r="J6037" s="487" t="s">
        <v>914</v>
      </c>
    </row>
    <row r="6038" spans="1:10" ht="15" x14ac:dyDescent="0.2">
      <c r="A6038" s="486" t="s">
        <v>913</v>
      </c>
      <c r="B6038" s="487" t="s">
        <v>912</v>
      </c>
      <c r="C6038" s="488" t="s">
        <v>19320</v>
      </c>
      <c r="D6038" s="489" t="s">
        <v>19321</v>
      </c>
      <c r="E6038" s="487" t="s">
        <v>19322</v>
      </c>
      <c r="F6038" s="490">
        <v>0</v>
      </c>
      <c r="G6038" s="489">
        <v>27.1</v>
      </c>
      <c r="H6038" s="489">
        <v>0</v>
      </c>
      <c r="I6038" s="487" t="s">
        <v>1593</v>
      </c>
      <c r="J6038" s="487" t="s">
        <v>914</v>
      </c>
    </row>
    <row r="6039" spans="1:10" ht="15" x14ac:dyDescent="0.2">
      <c r="A6039" s="486" t="s">
        <v>913</v>
      </c>
      <c r="B6039" s="487" t="s">
        <v>912</v>
      </c>
      <c r="C6039" s="488" t="s">
        <v>19323</v>
      </c>
      <c r="D6039" s="489" t="s">
        <v>19324</v>
      </c>
      <c r="E6039" s="487" t="s">
        <v>19325</v>
      </c>
      <c r="F6039" s="490">
        <v>6293.5</v>
      </c>
      <c r="G6039" s="489">
        <v>102.3</v>
      </c>
      <c r="H6039" s="489">
        <v>61.520040000000002</v>
      </c>
      <c r="I6039" s="487" t="s">
        <v>1499</v>
      </c>
      <c r="J6039" s="487" t="s">
        <v>914</v>
      </c>
    </row>
    <row r="6040" spans="1:10" ht="15" x14ac:dyDescent="0.2">
      <c r="A6040" s="486" t="s">
        <v>913</v>
      </c>
      <c r="B6040" s="487" t="s">
        <v>912</v>
      </c>
      <c r="C6040" s="488" t="s">
        <v>19326</v>
      </c>
      <c r="D6040" s="489" t="s">
        <v>19327</v>
      </c>
      <c r="E6040" s="487" t="s">
        <v>19328</v>
      </c>
      <c r="F6040" s="490">
        <v>0</v>
      </c>
      <c r="G6040" s="489">
        <v>29.6</v>
      </c>
      <c r="H6040" s="489">
        <v>0</v>
      </c>
      <c r="I6040" s="487" t="s">
        <v>1593</v>
      </c>
      <c r="J6040" s="487" t="s">
        <v>914</v>
      </c>
    </row>
    <row r="6041" spans="1:10" ht="15" x14ac:dyDescent="0.2">
      <c r="A6041" s="486" t="s">
        <v>913</v>
      </c>
      <c r="B6041" s="487" t="s">
        <v>912</v>
      </c>
      <c r="C6041" s="488" t="s">
        <v>19329</v>
      </c>
      <c r="D6041" s="489" t="s">
        <v>19330</v>
      </c>
      <c r="E6041" s="487" t="s">
        <v>19331</v>
      </c>
      <c r="F6041" s="490">
        <v>0</v>
      </c>
      <c r="G6041" s="489">
        <v>68.2</v>
      </c>
      <c r="H6041" s="489">
        <v>0</v>
      </c>
      <c r="I6041" s="487" t="s">
        <v>1593</v>
      </c>
      <c r="J6041" s="487" t="s">
        <v>914</v>
      </c>
    </row>
    <row r="6042" spans="1:10" ht="15" x14ac:dyDescent="0.2">
      <c r="A6042" s="486" t="s">
        <v>913</v>
      </c>
      <c r="B6042" s="487" t="s">
        <v>912</v>
      </c>
      <c r="C6042" s="488" t="s">
        <v>19332</v>
      </c>
      <c r="D6042" s="489" t="s">
        <v>19333</v>
      </c>
      <c r="E6042" s="487" t="s">
        <v>19334</v>
      </c>
      <c r="F6042" s="490">
        <v>19257.689999999999</v>
      </c>
      <c r="G6042" s="489">
        <v>271.89999999999998</v>
      </c>
      <c r="H6042" s="489">
        <v>70.826369999999997</v>
      </c>
      <c r="I6042" s="487" t="s">
        <v>1499</v>
      </c>
      <c r="J6042" s="487" t="s">
        <v>914</v>
      </c>
    </row>
    <row r="6043" spans="1:10" ht="15" x14ac:dyDescent="0.2">
      <c r="A6043" s="486" t="s">
        <v>913</v>
      </c>
      <c r="B6043" s="487" t="s">
        <v>912</v>
      </c>
      <c r="C6043" s="488" t="s">
        <v>19335</v>
      </c>
      <c r="D6043" s="489" t="s">
        <v>19336</v>
      </c>
      <c r="E6043" s="487" t="s">
        <v>19337</v>
      </c>
      <c r="F6043" s="490">
        <v>7993</v>
      </c>
      <c r="G6043" s="489">
        <v>109.2</v>
      </c>
      <c r="H6043" s="489">
        <v>73.195970000000003</v>
      </c>
      <c r="I6043" s="487" t="s">
        <v>1499</v>
      </c>
      <c r="J6043" s="487" t="s">
        <v>914</v>
      </c>
    </row>
    <row r="6044" spans="1:10" ht="15" x14ac:dyDescent="0.2">
      <c r="A6044" s="486" t="s">
        <v>913</v>
      </c>
      <c r="B6044" s="487" t="s">
        <v>912</v>
      </c>
      <c r="C6044" s="488" t="s">
        <v>19338</v>
      </c>
      <c r="D6044" s="489" t="s">
        <v>19339</v>
      </c>
      <c r="E6044" s="487" t="s">
        <v>19340</v>
      </c>
      <c r="F6044" s="490">
        <v>24020</v>
      </c>
      <c r="G6044" s="489">
        <v>1065.5999999999999</v>
      </c>
      <c r="H6044" s="489">
        <v>22.54129</v>
      </c>
      <c r="I6044" s="487" t="s">
        <v>1499</v>
      </c>
      <c r="J6044" s="487" t="s">
        <v>914</v>
      </c>
    </row>
    <row r="6045" spans="1:10" ht="15" x14ac:dyDescent="0.2">
      <c r="A6045" s="486" t="s">
        <v>913</v>
      </c>
      <c r="B6045" s="487" t="s">
        <v>912</v>
      </c>
      <c r="C6045" s="488" t="s">
        <v>19341</v>
      </c>
      <c r="D6045" s="489" t="s">
        <v>19342</v>
      </c>
      <c r="E6045" s="487" t="s">
        <v>19343</v>
      </c>
      <c r="F6045" s="490">
        <v>46305.68</v>
      </c>
      <c r="G6045" s="489">
        <v>849.5</v>
      </c>
      <c r="H6045" s="489">
        <v>54.509329999999999</v>
      </c>
      <c r="I6045" s="487" t="s">
        <v>1499</v>
      </c>
      <c r="J6045" s="487" t="s">
        <v>914</v>
      </c>
    </row>
    <row r="6046" spans="1:10" ht="15" x14ac:dyDescent="0.2">
      <c r="A6046" s="486" t="s">
        <v>913</v>
      </c>
      <c r="B6046" s="487" t="s">
        <v>912</v>
      </c>
      <c r="C6046" s="488" t="s">
        <v>19344</v>
      </c>
      <c r="D6046" s="489" t="s">
        <v>19345</v>
      </c>
      <c r="E6046" s="487" t="s">
        <v>19346</v>
      </c>
      <c r="F6046" s="490">
        <v>1960</v>
      </c>
      <c r="G6046" s="489">
        <v>86.5</v>
      </c>
      <c r="H6046" s="489">
        <v>22.65896</v>
      </c>
      <c r="I6046" s="487" t="s">
        <v>1499</v>
      </c>
      <c r="J6046" s="487" t="s">
        <v>914</v>
      </c>
    </row>
    <row r="6047" spans="1:10" ht="15" x14ac:dyDescent="0.2">
      <c r="A6047" s="486" t="s">
        <v>913</v>
      </c>
      <c r="B6047" s="487" t="s">
        <v>912</v>
      </c>
      <c r="C6047" s="488" t="s">
        <v>19347</v>
      </c>
      <c r="D6047" s="489" t="s">
        <v>19348</v>
      </c>
      <c r="E6047" s="487" t="s">
        <v>19349</v>
      </c>
      <c r="F6047" s="490">
        <v>18317</v>
      </c>
      <c r="G6047" s="489">
        <v>367.3</v>
      </c>
      <c r="H6047" s="489">
        <v>49.869320000000002</v>
      </c>
      <c r="I6047" s="487" t="s">
        <v>1499</v>
      </c>
      <c r="J6047" s="487" t="s">
        <v>914</v>
      </c>
    </row>
    <row r="6048" spans="1:10" ht="15" x14ac:dyDescent="0.2">
      <c r="A6048" s="486" t="s">
        <v>913</v>
      </c>
      <c r="B6048" s="487" t="s">
        <v>912</v>
      </c>
      <c r="C6048" s="488" t="s">
        <v>19350</v>
      </c>
      <c r="D6048" s="489" t="s">
        <v>19351</v>
      </c>
      <c r="E6048" s="487" t="s">
        <v>19352</v>
      </c>
      <c r="F6048" s="490">
        <v>11156</v>
      </c>
      <c r="G6048" s="489">
        <v>113.4</v>
      </c>
      <c r="H6048" s="489">
        <v>98.377430000000004</v>
      </c>
      <c r="I6048" s="487" t="s">
        <v>1499</v>
      </c>
      <c r="J6048" s="487" t="s">
        <v>914</v>
      </c>
    </row>
    <row r="6049" spans="1:10" ht="15" x14ac:dyDescent="0.2">
      <c r="A6049" s="486" t="s">
        <v>913</v>
      </c>
      <c r="B6049" s="487" t="s">
        <v>912</v>
      </c>
      <c r="C6049" s="488" t="s">
        <v>19353</v>
      </c>
      <c r="D6049" s="489" t="s">
        <v>19354</v>
      </c>
      <c r="E6049" s="487" t="s">
        <v>19355</v>
      </c>
      <c r="F6049" s="490">
        <v>22660.21</v>
      </c>
      <c r="G6049" s="489">
        <v>386.1</v>
      </c>
      <c r="H6049" s="489">
        <v>58.69</v>
      </c>
      <c r="I6049" s="487" t="s">
        <v>1499</v>
      </c>
      <c r="J6049" s="487" t="s">
        <v>914</v>
      </c>
    </row>
    <row r="6050" spans="1:10" ht="15" x14ac:dyDescent="0.2">
      <c r="A6050" s="486" t="s">
        <v>913</v>
      </c>
      <c r="B6050" s="487" t="s">
        <v>912</v>
      </c>
      <c r="C6050" s="488" t="s">
        <v>19356</v>
      </c>
      <c r="D6050" s="489" t="s">
        <v>19357</v>
      </c>
      <c r="E6050" s="487" t="s">
        <v>19358</v>
      </c>
      <c r="F6050" s="490">
        <v>7000</v>
      </c>
      <c r="G6050" s="489">
        <v>116.2</v>
      </c>
      <c r="H6050" s="489">
        <v>60.240960000000001</v>
      </c>
      <c r="I6050" s="487" t="s">
        <v>1499</v>
      </c>
      <c r="J6050" s="487" t="s">
        <v>914</v>
      </c>
    </row>
    <row r="6051" spans="1:10" ht="15" x14ac:dyDescent="0.2">
      <c r="A6051" s="486" t="s">
        <v>913</v>
      </c>
      <c r="B6051" s="487" t="s">
        <v>912</v>
      </c>
      <c r="C6051" s="488" t="s">
        <v>19359</v>
      </c>
      <c r="D6051" s="489" t="s">
        <v>19360</v>
      </c>
      <c r="E6051" s="487" t="s">
        <v>19361</v>
      </c>
      <c r="F6051" s="490">
        <v>0</v>
      </c>
      <c r="G6051" s="489">
        <v>15.4</v>
      </c>
      <c r="H6051" s="489">
        <v>0</v>
      </c>
      <c r="I6051" s="487" t="s">
        <v>1593</v>
      </c>
      <c r="J6051" s="487" t="s">
        <v>914</v>
      </c>
    </row>
    <row r="6052" spans="1:10" ht="15" x14ac:dyDescent="0.2">
      <c r="A6052" s="486" t="s">
        <v>913</v>
      </c>
      <c r="B6052" s="487" t="s">
        <v>912</v>
      </c>
      <c r="C6052" s="488" t="s">
        <v>19362</v>
      </c>
      <c r="D6052" s="489" t="s">
        <v>19363</v>
      </c>
      <c r="E6052" s="487" t="s">
        <v>19364</v>
      </c>
      <c r="F6052" s="490">
        <v>75000</v>
      </c>
      <c r="G6052" s="489">
        <v>713.9</v>
      </c>
      <c r="H6052" s="489">
        <v>105.05673</v>
      </c>
      <c r="I6052" s="487" t="s">
        <v>1499</v>
      </c>
      <c r="J6052" s="487" t="s">
        <v>914</v>
      </c>
    </row>
    <row r="6053" spans="1:10" ht="15" x14ac:dyDescent="0.2">
      <c r="A6053" s="486" t="s">
        <v>913</v>
      </c>
      <c r="B6053" s="487" t="s">
        <v>912</v>
      </c>
      <c r="C6053" s="488" t="s">
        <v>19365</v>
      </c>
      <c r="D6053" s="489" t="s">
        <v>19366</v>
      </c>
      <c r="E6053" s="487" t="s">
        <v>19367</v>
      </c>
      <c r="F6053" s="490">
        <v>7536</v>
      </c>
      <c r="G6053" s="489">
        <v>116.5</v>
      </c>
      <c r="H6053" s="489">
        <v>64.686700000000002</v>
      </c>
      <c r="I6053" s="487" t="s">
        <v>1499</v>
      </c>
      <c r="J6053" s="487" t="s">
        <v>914</v>
      </c>
    </row>
    <row r="6054" spans="1:10" ht="15" x14ac:dyDescent="0.2">
      <c r="A6054" s="486" t="s">
        <v>913</v>
      </c>
      <c r="B6054" s="487" t="s">
        <v>912</v>
      </c>
      <c r="C6054" s="488" t="s">
        <v>19368</v>
      </c>
      <c r="D6054" s="489" t="s">
        <v>19369</v>
      </c>
      <c r="E6054" s="487" t="s">
        <v>19370</v>
      </c>
      <c r="F6054" s="490">
        <v>17418</v>
      </c>
      <c r="G6054" s="489">
        <v>97.3</v>
      </c>
      <c r="H6054" s="489">
        <v>179.01336000000001</v>
      </c>
      <c r="I6054" s="487" t="s">
        <v>1499</v>
      </c>
      <c r="J6054" s="487" t="s">
        <v>914</v>
      </c>
    </row>
    <row r="6055" spans="1:10" ht="15" x14ac:dyDescent="0.2">
      <c r="A6055" s="486" t="s">
        <v>913</v>
      </c>
      <c r="B6055" s="487" t="s">
        <v>912</v>
      </c>
      <c r="C6055" s="488" t="s">
        <v>19371</v>
      </c>
      <c r="D6055" s="489" t="s">
        <v>19372</v>
      </c>
      <c r="E6055" s="487" t="s">
        <v>19373</v>
      </c>
      <c r="F6055" s="490">
        <v>20964</v>
      </c>
      <c r="G6055" s="489">
        <v>334</v>
      </c>
      <c r="H6055" s="489">
        <v>62.766469999999998</v>
      </c>
      <c r="I6055" s="487" t="s">
        <v>1499</v>
      </c>
      <c r="J6055" s="487" t="s">
        <v>914</v>
      </c>
    </row>
    <row r="6056" spans="1:10" ht="15" x14ac:dyDescent="0.2">
      <c r="A6056" s="486" t="s">
        <v>913</v>
      </c>
      <c r="B6056" s="487" t="s">
        <v>912</v>
      </c>
      <c r="C6056" s="488" t="s">
        <v>19374</v>
      </c>
      <c r="D6056" s="489" t="s">
        <v>19375</v>
      </c>
      <c r="E6056" s="487" t="s">
        <v>19376</v>
      </c>
      <c r="F6056" s="490">
        <v>179000</v>
      </c>
      <c r="G6056" s="489">
        <v>1851.1</v>
      </c>
      <c r="H6056" s="489">
        <v>96.699259999999995</v>
      </c>
      <c r="I6056" s="487" t="s">
        <v>1499</v>
      </c>
      <c r="J6056" s="487" t="s">
        <v>914</v>
      </c>
    </row>
    <row r="6057" spans="1:10" ht="15" x14ac:dyDescent="0.2">
      <c r="A6057" s="486" t="s">
        <v>913</v>
      </c>
      <c r="B6057" s="487" t="s">
        <v>912</v>
      </c>
      <c r="C6057" s="488" t="s">
        <v>19377</v>
      </c>
      <c r="D6057" s="489" t="s">
        <v>19378</v>
      </c>
      <c r="E6057" s="487" t="s">
        <v>19379</v>
      </c>
      <c r="F6057" s="490">
        <v>26033.55</v>
      </c>
      <c r="G6057" s="489">
        <v>697.4</v>
      </c>
      <c r="H6057" s="489">
        <v>37.329439999999998</v>
      </c>
      <c r="I6057" s="487" t="s">
        <v>1499</v>
      </c>
      <c r="J6057" s="487" t="s">
        <v>914</v>
      </c>
    </row>
    <row r="6058" spans="1:10" ht="15" x14ac:dyDescent="0.2">
      <c r="A6058" s="486" t="s">
        <v>913</v>
      </c>
      <c r="B6058" s="487" t="s">
        <v>912</v>
      </c>
      <c r="C6058" s="488" t="s">
        <v>19380</v>
      </c>
      <c r="D6058" s="489" t="s">
        <v>19381</v>
      </c>
      <c r="E6058" s="487" t="s">
        <v>19382</v>
      </c>
      <c r="F6058" s="490">
        <v>646003.74</v>
      </c>
      <c r="G6058" s="489">
        <v>3929</v>
      </c>
      <c r="H6058" s="489">
        <v>164.41937999999999</v>
      </c>
      <c r="I6058" s="487" t="s">
        <v>1499</v>
      </c>
      <c r="J6058" s="487" t="s">
        <v>914</v>
      </c>
    </row>
    <row r="6059" spans="1:10" ht="15" x14ac:dyDescent="0.2">
      <c r="A6059" s="486" t="s">
        <v>913</v>
      </c>
      <c r="B6059" s="487" t="s">
        <v>912</v>
      </c>
      <c r="C6059" s="488" t="s">
        <v>19383</v>
      </c>
      <c r="D6059" s="489" t="s">
        <v>19384</v>
      </c>
      <c r="E6059" s="487" t="s">
        <v>19385</v>
      </c>
      <c r="F6059" s="490">
        <v>7875</v>
      </c>
      <c r="G6059" s="489">
        <v>98.1</v>
      </c>
      <c r="H6059" s="489">
        <v>80.275229999999993</v>
      </c>
      <c r="I6059" s="487" t="s">
        <v>1499</v>
      </c>
      <c r="J6059" s="487" t="s">
        <v>914</v>
      </c>
    </row>
    <row r="6060" spans="1:10" ht="15" x14ac:dyDescent="0.2">
      <c r="A6060" s="486" t="s">
        <v>913</v>
      </c>
      <c r="B6060" s="487" t="s">
        <v>912</v>
      </c>
      <c r="C6060" s="488" t="s">
        <v>19386</v>
      </c>
      <c r="D6060" s="489" t="s">
        <v>19387</v>
      </c>
      <c r="E6060" s="487" t="s">
        <v>19388</v>
      </c>
      <c r="F6060" s="490">
        <v>11909</v>
      </c>
      <c r="G6060" s="489">
        <v>267.2</v>
      </c>
      <c r="H6060" s="489">
        <v>44.569609999999997</v>
      </c>
      <c r="I6060" s="487" t="s">
        <v>1499</v>
      </c>
      <c r="J6060" s="487" t="s">
        <v>914</v>
      </c>
    </row>
    <row r="6061" spans="1:10" ht="15" x14ac:dyDescent="0.2">
      <c r="A6061" s="486" t="s">
        <v>913</v>
      </c>
      <c r="B6061" s="487" t="s">
        <v>912</v>
      </c>
      <c r="C6061" s="488" t="s">
        <v>19389</v>
      </c>
      <c r="D6061" s="489" t="s">
        <v>19390</v>
      </c>
      <c r="E6061" s="487" t="s">
        <v>19391</v>
      </c>
      <c r="F6061" s="490">
        <v>0</v>
      </c>
      <c r="G6061" s="489">
        <v>28.2</v>
      </c>
      <c r="H6061" s="489">
        <v>0</v>
      </c>
      <c r="I6061" s="487" t="s">
        <v>1593</v>
      </c>
      <c r="J6061" s="487" t="s">
        <v>914</v>
      </c>
    </row>
    <row r="6062" spans="1:10" ht="15" x14ac:dyDescent="0.2">
      <c r="A6062" s="486" t="s">
        <v>913</v>
      </c>
      <c r="B6062" s="487" t="s">
        <v>912</v>
      </c>
      <c r="C6062" s="488" t="s">
        <v>19392</v>
      </c>
      <c r="D6062" s="489" t="s">
        <v>19393</v>
      </c>
      <c r="E6062" s="487" t="s">
        <v>19394</v>
      </c>
      <c r="F6062" s="490">
        <v>10000</v>
      </c>
      <c r="G6062" s="489">
        <v>313</v>
      </c>
      <c r="H6062" s="489">
        <v>31.948879999999999</v>
      </c>
      <c r="I6062" s="487" t="s">
        <v>1499</v>
      </c>
      <c r="J6062" s="487" t="s">
        <v>914</v>
      </c>
    </row>
    <row r="6063" spans="1:10" ht="15" x14ac:dyDescent="0.2">
      <c r="A6063" s="486" t="s">
        <v>913</v>
      </c>
      <c r="B6063" s="487" t="s">
        <v>912</v>
      </c>
      <c r="C6063" s="488" t="s">
        <v>19395</v>
      </c>
      <c r="D6063" s="489" t="s">
        <v>19396</v>
      </c>
      <c r="E6063" s="487" t="s">
        <v>19397</v>
      </c>
      <c r="F6063" s="490">
        <v>45000</v>
      </c>
      <c r="G6063" s="489">
        <v>950.3</v>
      </c>
      <c r="H6063" s="489">
        <v>47.353470000000002</v>
      </c>
      <c r="I6063" s="487" t="s">
        <v>1499</v>
      </c>
      <c r="J6063" s="487" t="s">
        <v>914</v>
      </c>
    </row>
    <row r="6064" spans="1:10" ht="15" x14ac:dyDescent="0.2">
      <c r="A6064" s="486" t="s">
        <v>913</v>
      </c>
      <c r="B6064" s="487" t="s">
        <v>912</v>
      </c>
      <c r="C6064" s="488" t="s">
        <v>19398</v>
      </c>
      <c r="D6064" s="489" t="s">
        <v>19399</v>
      </c>
      <c r="E6064" s="487" t="s">
        <v>19400</v>
      </c>
      <c r="F6064" s="490">
        <v>60000</v>
      </c>
      <c r="G6064" s="489">
        <v>775.4</v>
      </c>
      <c r="H6064" s="489">
        <v>77.379419999999996</v>
      </c>
      <c r="I6064" s="487" t="s">
        <v>1499</v>
      </c>
      <c r="J6064" s="487" t="s">
        <v>914</v>
      </c>
    </row>
    <row r="6065" spans="1:10" ht="15" x14ac:dyDescent="0.2">
      <c r="A6065" s="486" t="s">
        <v>913</v>
      </c>
      <c r="B6065" s="487" t="s">
        <v>912</v>
      </c>
      <c r="C6065" s="488" t="s">
        <v>19401</v>
      </c>
      <c r="D6065" s="489" t="s">
        <v>19402</v>
      </c>
      <c r="E6065" s="487" t="s">
        <v>19403</v>
      </c>
      <c r="F6065" s="490">
        <v>12656</v>
      </c>
      <c r="G6065" s="489">
        <v>208.8</v>
      </c>
      <c r="H6065" s="489">
        <v>60.613030000000002</v>
      </c>
      <c r="I6065" s="487" t="s">
        <v>1499</v>
      </c>
      <c r="J6065" s="487" t="s">
        <v>914</v>
      </c>
    </row>
    <row r="6066" spans="1:10" ht="15" x14ac:dyDescent="0.2">
      <c r="A6066" s="486" t="s">
        <v>913</v>
      </c>
      <c r="B6066" s="487" t="s">
        <v>912</v>
      </c>
      <c r="C6066" s="488" t="s">
        <v>19404</v>
      </c>
      <c r="D6066" s="489" t="s">
        <v>19405</v>
      </c>
      <c r="E6066" s="487" t="s">
        <v>19406</v>
      </c>
      <c r="F6066" s="490">
        <v>4400</v>
      </c>
      <c r="G6066" s="489">
        <v>84</v>
      </c>
      <c r="H6066" s="489">
        <v>52.380949999999999</v>
      </c>
      <c r="I6066" s="487" t="s">
        <v>1499</v>
      </c>
      <c r="J6066" s="487" t="s">
        <v>914</v>
      </c>
    </row>
    <row r="6067" spans="1:10" ht="15" x14ac:dyDescent="0.2">
      <c r="A6067" s="486" t="s">
        <v>913</v>
      </c>
      <c r="B6067" s="487" t="s">
        <v>912</v>
      </c>
      <c r="C6067" s="488" t="s">
        <v>19407</v>
      </c>
      <c r="D6067" s="489" t="s">
        <v>19408</v>
      </c>
      <c r="E6067" s="487" t="s">
        <v>3382</v>
      </c>
      <c r="F6067" s="490">
        <v>0</v>
      </c>
      <c r="G6067" s="489">
        <v>24.5</v>
      </c>
      <c r="H6067" s="489">
        <v>0</v>
      </c>
      <c r="I6067" s="487" t="s">
        <v>1593</v>
      </c>
      <c r="J6067" s="487" t="s">
        <v>914</v>
      </c>
    </row>
    <row r="6068" spans="1:10" ht="15" x14ac:dyDescent="0.2">
      <c r="A6068" s="486" t="s">
        <v>913</v>
      </c>
      <c r="B6068" s="487" t="s">
        <v>912</v>
      </c>
      <c r="C6068" s="488" t="s">
        <v>19409</v>
      </c>
      <c r="D6068" s="489" t="s">
        <v>19410</v>
      </c>
      <c r="E6068" s="487" t="s">
        <v>19411</v>
      </c>
      <c r="F6068" s="490">
        <v>0</v>
      </c>
      <c r="G6068" s="489">
        <v>47.9</v>
      </c>
      <c r="H6068" s="489">
        <v>0</v>
      </c>
      <c r="I6068" s="487" t="s">
        <v>1593</v>
      </c>
      <c r="J6068" s="487" t="s">
        <v>914</v>
      </c>
    </row>
    <row r="6069" spans="1:10" ht="15" x14ac:dyDescent="0.2">
      <c r="A6069" s="486" t="s">
        <v>913</v>
      </c>
      <c r="B6069" s="487" t="s">
        <v>912</v>
      </c>
      <c r="C6069" s="488" t="s">
        <v>19412</v>
      </c>
      <c r="D6069" s="489" t="s">
        <v>19413</v>
      </c>
      <c r="E6069" s="487" t="s">
        <v>19414</v>
      </c>
      <c r="F6069" s="490">
        <v>35000</v>
      </c>
      <c r="G6069" s="489">
        <v>541</v>
      </c>
      <c r="H6069" s="489">
        <v>64.695009999999996</v>
      </c>
      <c r="I6069" s="487" t="s">
        <v>1499</v>
      </c>
      <c r="J6069" s="487" t="s">
        <v>914</v>
      </c>
    </row>
    <row r="6070" spans="1:10" ht="15" x14ac:dyDescent="0.2">
      <c r="A6070" s="486" t="s">
        <v>913</v>
      </c>
      <c r="B6070" s="487" t="s">
        <v>912</v>
      </c>
      <c r="C6070" s="488" t="s">
        <v>19415</v>
      </c>
      <c r="D6070" s="489" t="s">
        <v>19416</v>
      </c>
      <c r="E6070" s="487" t="s">
        <v>19417</v>
      </c>
      <c r="F6070" s="490">
        <v>32934</v>
      </c>
      <c r="G6070" s="489">
        <v>360.9</v>
      </c>
      <c r="H6070" s="489">
        <v>91.255200000000002</v>
      </c>
      <c r="I6070" s="487" t="s">
        <v>1499</v>
      </c>
      <c r="J6070" s="487" t="s">
        <v>914</v>
      </c>
    </row>
    <row r="6071" spans="1:10" ht="15" x14ac:dyDescent="0.2">
      <c r="A6071" s="486" t="s">
        <v>913</v>
      </c>
      <c r="B6071" s="487" t="s">
        <v>912</v>
      </c>
      <c r="C6071" s="488" t="s">
        <v>19418</v>
      </c>
      <c r="D6071" s="489" t="s">
        <v>19419</v>
      </c>
      <c r="E6071" s="487" t="s">
        <v>17193</v>
      </c>
      <c r="F6071" s="490">
        <v>32157</v>
      </c>
      <c r="G6071" s="489">
        <v>760.7</v>
      </c>
      <c r="H6071" s="489">
        <v>42.272910000000003</v>
      </c>
      <c r="I6071" s="487" t="s">
        <v>1499</v>
      </c>
      <c r="J6071" s="487" t="s">
        <v>914</v>
      </c>
    </row>
    <row r="6072" spans="1:10" ht="15" x14ac:dyDescent="0.2">
      <c r="A6072" s="486" t="s">
        <v>913</v>
      </c>
      <c r="B6072" s="487" t="s">
        <v>912</v>
      </c>
      <c r="C6072" s="488" t="s">
        <v>19420</v>
      </c>
      <c r="D6072" s="489" t="s">
        <v>19421</v>
      </c>
      <c r="E6072" s="487" t="s">
        <v>19422</v>
      </c>
      <c r="F6072" s="490">
        <v>6798</v>
      </c>
      <c r="G6072" s="489">
        <v>170.8</v>
      </c>
      <c r="H6072" s="489">
        <v>39.800939999999997</v>
      </c>
      <c r="I6072" s="487" t="s">
        <v>1499</v>
      </c>
      <c r="J6072" s="487" t="s">
        <v>914</v>
      </c>
    </row>
    <row r="6073" spans="1:10" ht="15" x14ac:dyDescent="0.2">
      <c r="A6073" s="486" t="s">
        <v>913</v>
      </c>
      <c r="B6073" s="487" t="s">
        <v>912</v>
      </c>
      <c r="C6073" s="488" t="s">
        <v>19423</v>
      </c>
      <c r="D6073" s="489" t="s">
        <v>19424</v>
      </c>
      <c r="E6073" s="487" t="s">
        <v>19425</v>
      </c>
      <c r="F6073" s="490">
        <v>188526.8</v>
      </c>
      <c r="G6073" s="489">
        <v>2120.9</v>
      </c>
      <c r="H6073" s="489">
        <v>88.89</v>
      </c>
      <c r="I6073" s="487" t="s">
        <v>1499</v>
      </c>
      <c r="J6073" s="487" t="s">
        <v>914</v>
      </c>
    </row>
    <row r="6074" spans="1:10" ht="15" x14ac:dyDescent="0.2">
      <c r="A6074" s="486" t="s">
        <v>913</v>
      </c>
      <c r="B6074" s="487" t="s">
        <v>912</v>
      </c>
      <c r="C6074" s="488" t="s">
        <v>19426</v>
      </c>
      <c r="D6074" s="489" t="s">
        <v>19427</v>
      </c>
      <c r="E6074" s="487" t="s">
        <v>19428</v>
      </c>
      <c r="F6074" s="490">
        <v>34896.400000000001</v>
      </c>
      <c r="G6074" s="489">
        <v>433.9</v>
      </c>
      <c r="H6074" s="489">
        <v>80.424980000000005</v>
      </c>
      <c r="I6074" s="487" t="s">
        <v>1499</v>
      </c>
      <c r="J6074" s="487" t="s">
        <v>914</v>
      </c>
    </row>
    <row r="6075" spans="1:10" ht="15" x14ac:dyDescent="0.2">
      <c r="A6075" s="486" t="s">
        <v>913</v>
      </c>
      <c r="B6075" s="487" t="s">
        <v>912</v>
      </c>
      <c r="C6075" s="488" t="s">
        <v>19429</v>
      </c>
      <c r="D6075" s="489" t="s">
        <v>19430</v>
      </c>
      <c r="E6075" s="487" t="s">
        <v>19431</v>
      </c>
      <c r="F6075" s="490">
        <v>6069</v>
      </c>
      <c r="G6075" s="489">
        <v>130.1</v>
      </c>
      <c r="H6075" s="489">
        <v>46.64873</v>
      </c>
      <c r="I6075" s="487" t="s">
        <v>1499</v>
      </c>
      <c r="J6075" s="487" t="s">
        <v>914</v>
      </c>
    </row>
    <row r="6076" spans="1:10" ht="15" x14ac:dyDescent="0.2">
      <c r="A6076" s="486" t="s">
        <v>913</v>
      </c>
      <c r="B6076" s="487" t="s">
        <v>912</v>
      </c>
      <c r="C6076" s="488" t="s">
        <v>19432</v>
      </c>
      <c r="D6076" s="489" t="s">
        <v>19433</v>
      </c>
      <c r="E6076" s="487" t="s">
        <v>19434</v>
      </c>
      <c r="F6076" s="490">
        <v>37521.35</v>
      </c>
      <c r="G6076" s="489">
        <v>416.3</v>
      </c>
      <c r="H6076" s="489">
        <v>90.130549999999999</v>
      </c>
      <c r="I6076" s="487" t="s">
        <v>1499</v>
      </c>
      <c r="J6076" s="487" t="s">
        <v>914</v>
      </c>
    </row>
    <row r="6077" spans="1:10" ht="15" x14ac:dyDescent="0.2">
      <c r="A6077" s="486" t="s">
        <v>913</v>
      </c>
      <c r="B6077" s="487" t="s">
        <v>912</v>
      </c>
      <c r="C6077" s="488" t="s">
        <v>19435</v>
      </c>
      <c r="D6077" s="489" t="s">
        <v>19436</v>
      </c>
      <c r="E6077" s="487" t="s">
        <v>19437</v>
      </c>
      <c r="F6077" s="490">
        <v>0</v>
      </c>
      <c r="G6077" s="489">
        <v>305.10000000000002</v>
      </c>
      <c r="H6077" s="489">
        <v>0</v>
      </c>
      <c r="I6077" s="487" t="s">
        <v>1593</v>
      </c>
      <c r="J6077" s="487" t="s">
        <v>914</v>
      </c>
    </row>
    <row r="6078" spans="1:10" ht="15" x14ac:dyDescent="0.2">
      <c r="A6078" s="486" t="s">
        <v>913</v>
      </c>
      <c r="B6078" s="487" t="s">
        <v>912</v>
      </c>
      <c r="C6078" s="488" t="s">
        <v>19438</v>
      </c>
      <c r="D6078" s="489" t="s">
        <v>19439</v>
      </c>
      <c r="E6078" s="487" t="s">
        <v>12110</v>
      </c>
      <c r="F6078" s="490">
        <v>0</v>
      </c>
      <c r="G6078" s="489">
        <v>37</v>
      </c>
      <c r="H6078" s="489">
        <v>0</v>
      </c>
      <c r="I6078" s="487" t="s">
        <v>1593</v>
      </c>
      <c r="J6078" s="487" t="s">
        <v>914</v>
      </c>
    </row>
    <row r="6079" spans="1:10" ht="15" x14ac:dyDescent="0.2">
      <c r="A6079" s="486" t="s">
        <v>913</v>
      </c>
      <c r="B6079" s="487" t="s">
        <v>912</v>
      </c>
      <c r="C6079" s="488" t="s">
        <v>19440</v>
      </c>
      <c r="D6079" s="489" t="s">
        <v>19441</v>
      </c>
      <c r="E6079" s="487" t="s">
        <v>19442</v>
      </c>
      <c r="F6079" s="490">
        <v>195000</v>
      </c>
      <c r="G6079" s="489">
        <v>2556.1</v>
      </c>
      <c r="H6079" s="489">
        <v>76.2881</v>
      </c>
      <c r="I6079" s="487" t="s">
        <v>1499</v>
      </c>
      <c r="J6079" s="487" t="s">
        <v>914</v>
      </c>
    </row>
    <row r="6080" spans="1:10" ht="15" x14ac:dyDescent="0.2">
      <c r="A6080" s="486" t="s">
        <v>913</v>
      </c>
      <c r="B6080" s="487" t="s">
        <v>912</v>
      </c>
      <c r="C6080" s="488" t="s">
        <v>19443</v>
      </c>
      <c r="D6080" s="489" t="s">
        <v>19444</v>
      </c>
      <c r="E6080" s="487" t="s">
        <v>19445</v>
      </c>
      <c r="F6080" s="490">
        <v>15000</v>
      </c>
      <c r="G6080" s="489">
        <v>351.9</v>
      </c>
      <c r="H6080" s="489">
        <v>42.625749999999996</v>
      </c>
      <c r="I6080" s="487" t="s">
        <v>1499</v>
      </c>
      <c r="J6080" s="487" t="s">
        <v>914</v>
      </c>
    </row>
    <row r="6081" spans="1:10" ht="15" x14ac:dyDescent="0.2">
      <c r="A6081" s="486" t="s">
        <v>913</v>
      </c>
      <c r="B6081" s="487" t="s">
        <v>912</v>
      </c>
      <c r="C6081" s="488" t="s">
        <v>19446</v>
      </c>
      <c r="D6081" s="489" t="s">
        <v>19447</v>
      </c>
      <c r="E6081" s="487" t="s">
        <v>19448</v>
      </c>
      <c r="F6081" s="490">
        <v>15615</v>
      </c>
      <c r="G6081" s="489">
        <v>281.3</v>
      </c>
      <c r="H6081" s="489">
        <v>55.510129999999997</v>
      </c>
      <c r="I6081" s="487" t="s">
        <v>1499</v>
      </c>
      <c r="J6081" s="487" t="s">
        <v>914</v>
      </c>
    </row>
    <row r="6082" spans="1:10" ht="15" x14ac:dyDescent="0.2">
      <c r="A6082" s="486" t="s">
        <v>913</v>
      </c>
      <c r="B6082" s="487" t="s">
        <v>912</v>
      </c>
      <c r="C6082" s="488" t="s">
        <v>19449</v>
      </c>
      <c r="D6082" s="489" t="s">
        <v>19450</v>
      </c>
      <c r="E6082" s="487" t="s">
        <v>19451</v>
      </c>
      <c r="F6082" s="490">
        <v>500</v>
      </c>
      <c r="G6082" s="489">
        <v>57.4</v>
      </c>
      <c r="H6082" s="489">
        <v>8.7108000000000008</v>
      </c>
      <c r="I6082" s="487" t="s">
        <v>1499</v>
      </c>
      <c r="J6082" s="487" t="s">
        <v>914</v>
      </c>
    </row>
    <row r="6083" spans="1:10" ht="15" x14ac:dyDescent="0.2">
      <c r="A6083" s="486" t="s">
        <v>913</v>
      </c>
      <c r="B6083" s="487" t="s">
        <v>912</v>
      </c>
      <c r="C6083" s="488" t="s">
        <v>19452</v>
      </c>
      <c r="D6083" s="489" t="s">
        <v>19453</v>
      </c>
      <c r="E6083" s="487" t="s">
        <v>19454</v>
      </c>
      <c r="F6083" s="490">
        <v>60948</v>
      </c>
      <c r="G6083" s="489">
        <v>776.8</v>
      </c>
      <c r="H6083" s="489">
        <v>78.460350000000005</v>
      </c>
      <c r="I6083" s="487" t="s">
        <v>1499</v>
      </c>
      <c r="J6083" s="487" t="s">
        <v>914</v>
      </c>
    </row>
    <row r="6084" spans="1:10" ht="15" x14ac:dyDescent="0.2">
      <c r="A6084" s="486" t="s">
        <v>913</v>
      </c>
      <c r="B6084" s="487" t="s">
        <v>912</v>
      </c>
      <c r="C6084" s="488" t="s">
        <v>19455</v>
      </c>
      <c r="D6084" s="489" t="s">
        <v>19456</v>
      </c>
      <c r="E6084" s="487" t="s">
        <v>19457</v>
      </c>
      <c r="F6084" s="490">
        <v>58000</v>
      </c>
      <c r="G6084" s="489">
        <v>484.3</v>
      </c>
      <c r="H6084" s="489">
        <v>119.76048</v>
      </c>
      <c r="I6084" s="487" t="s">
        <v>1499</v>
      </c>
      <c r="J6084" s="487" t="s">
        <v>914</v>
      </c>
    </row>
    <row r="6085" spans="1:10" ht="15" x14ac:dyDescent="0.2">
      <c r="A6085" s="486" t="s">
        <v>913</v>
      </c>
      <c r="B6085" s="487" t="s">
        <v>912</v>
      </c>
      <c r="C6085" s="488" t="s">
        <v>19458</v>
      </c>
      <c r="D6085" s="489" t="s">
        <v>19459</v>
      </c>
      <c r="E6085" s="487" t="s">
        <v>19460</v>
      </c>
      <c r="F6085" s="490">
        <v>95408</v>
      </c>
      <c r="G6085" s="489">
        <v>630.29999999999995</v>
      </c>
      <c r="H6085" s="489">
        <v>151.36919</v>
      </c>
      <c r="I6085" s="487" t="s">
        <v>1499</v>
      </c>
      <c r="J6085" s="487" t="s">
        <v>914</v>
      </c>
    </row>
    <row r="6086" spans="1:10" ht="15" x14ac:dyDescent="0.2">
      <c r="A6086" s="486" t="s">
        <v>913</v>
      </c>
      <c r="B6086" s="487" t="s">
        <v>912</v>
      </c>
      <c r="C6086" s="488" t="s">
        <v>19461</v>
      </c>
      <c r="D6086" s="489" t="s">
        <v>19462</v>
      </c>
      <c r="E6086" s="487" t="s">
        <v>6142</v>
      </c>
      <c r="F6086" s="490">
        <v>27778</v>
      </c>
      <c r="G6086" s="489">
        <v>595.1</v>
      </c>
      <c r="H6086" s="489">
        <v>46.677869999999999</v>
      </c>
      <c r="I6086" s="487" t="s">
        <v>1499</v>
      </c>
      <c r="J6086" s="487" t="s">
        <v>914</v>
      </c>
    </row>
    <row r="6087" spans="1:10" ht="15" x14ac:dyDescent="0.2">
      <c r="A6087" s="486" t="s">
        <v>913</v>
      </c>
      <c r="B6087" s="487" t="s">
        <v>912</v>
      </c>
      <c r="C6087" s="488" t="s">
        <v>19463</v>
      </c>
      <c r="D6087" s="489" t="s">
        <v>19464</v>
      </c>
      <c r="E6087" s="487" t="s">
        <v>19465</v>
      </c>
      <c r="F6087" s="490">
        <v>12500</v>
      </c>
      <c r="G6087" s="489">
        <v>149.5</v>
      </c>
      <c r="H6087" s="489">
        <v>83.612039999999993</v>
      </c>
      <c r="I6087" s="487" t="s">
        <v>1499</v>
      </c>
      <c r="J6087" s="487" t="s">
        <v>914</v>
      </c>
    </row>
    <row r="6088" spans="1:10" ht="15" x14ac:dyDescent="0.2">
      <c r="A6088" s="486" t="s">
        <v>913</v>
      </c>
      <c r="B6088" s="487" t="s">
        <v>912</v>
      </c>
      <c r="C6088" s="488" t="s">
        <v>19466</v>
      </c>
      <c r="D6088" s="489" t="s">
        <v>19467</v>
      </c>
      <c r="E6088" s="487" t="s">
        <v>19468</v>
      </c>
      <c r="F6088" s="490">
        <v>18807</v>
      </c>
      <c r="G6088" s="489">
        <v>216.6</v>
      </c>
      <c r="H6088" s="489">
        <v>86.828249999999997</v>
      </c>
      <c r="I6088" s="487" t="s">
        <v>1499</v>
      </c>
      <c r="J6088" s="487" t="s">
        <v>914</v>
      </c>
    </row>
    <row r="6089" spans="1:10" ht="15" x14ac:dyDescent="0.2">
      <c r="A6089" s="486" t="s">
        <v>913</v>
      </c>
      <c r="B6089" s="487" t="s">
        <v>912</v>
      </c>
      <c r="C6089" s="488" t="s">
        <v>19469</v>
      </c>
      <c r="D6089" s="489" t="s">
        <v>19470</v>
      </c>
      <c r="E6089" s="487" t="s">
        <v>19471</v>
      </c>
      <c r="F6089" s="490">
        <v>16988</v>
      </c>
      <c r="G6089" s="489">
        <v>280.8</v>
      </c>
      <c r="H6089" s="489">
        <v>60.498579999999997</v>
      </c>
      <c r="I6089" s="487" t="s">
        <v>1499</v>
      </c>
      <c r="J6089" s="487" t="s">
        <v>914</v>
      </c>
    </row>
    <row r="6090" spans="1:10" ht="15" x14ac:dyDescent="0.2">
      <c r="A6090" s="486" t="s">
        <v>913</v>
      </c>
      <c r="B6090" s="487" t="s">
        <v>912</v>
      </c>
      <c r="C6090" s="488" t="s">
        <v>19472</v>
      </c>
      <c r="D6090" s="489" t="s">
        <v>19473</v>
      </c>
      <c r="E6090" s="487" t="s">
        <v>19474</v>
      </c>
      <c r="F6090" s="490">
        <v>52500</v>
      </c>
      <c r="G6090" s="489">
        <v>877.2</v>
      </c>
      <c r="H6090" s="489">
        <v>59.849519999999998</v>
      </c>
      <c r="I6090" s="487" t="s">
        <v>1499</v>
      </c>
      <c r="J6090" s="487" t="s">
        <v>914</v>
      </c>
    </row>
    <row r="6091" spans="1:10" ht="15" x14ac:dyDescent="0.2">
      <c r="A6091" s="486" t="s">
        <v>913</v>
      </c>
      <c r="B6091" s="487" t="s">
        <v>912</v>
      </c>
      <c r="C6091" s="488" t="s">
        <v>19475</v>
      </c>
      <c r="D6091" s="489" t="s">
        <v>19476</v>
      </c>
      <c r="E6091" s="487" t="s">
        <v>19477</v>
      </c>
      <c r="F6091" s="490">
        <v>41267</v>
      </c>
      <c r="G6091" s="489">
        <v>453</v>
      </c>
      <c r="H6091" s="489">
        <v>91.097130000000007</v>
      </c>
      <c r="I6091" s="487" t="s">
        <v>1499</v>
      </c>
      <c r="J6091" s="487" t="s">
        <v>914</v>
      </c>
    </row>
    <row r="6092" spans="1:10" ht="15" x14ac:dyDescent="0.2">
      <c r="A6092" s="486" t="s">
        <v>913</v>
      </c>
      <c r="B6092" s="487" t="s">
        <v>912</v>
      </c>
      <c r="C6092" s="488" t="s">
        <v>19478</v>
      </c>
      <c r="D6092" s="489" t="s">
        <v>19479</v>
      </c>
      <c r="E6092" s="487" t="s">
        <v>19480</v>
      </c>
      <c r="F6092" s="490">
        <v>16042.5</v>
      </c>
      <c r="G6092" s="489">
        <v>491.6</v>
      </c>
      <c r="H6092" s="489">
        <v>32.633240000000001</v>
      </c>
      <c r="I6092" s="487" t="s">
        <v>1499</v>
      </c>
      <c r="J6092" s="487" t="s">
        <v>914</v>
      </c>
    </row>
    <row r="6093" spans="1:10" ht="15" x14ac:dyDescent="0.2">
      <c r="A6093" s="486" t="s">
        <v>913</v>
      </c>
      <c r="B6093" s="487" t="s">
        <v>912</v>
      </c>
      <c r="C6093" s="488" t="s">
        <v>19481</v>
      </c>
      <c r="D6093" s="489" t="s">
        <v>19482</v>
      </c>
      <c r="E6093" s="487" t="s">
        <v>19483</v>
      </c>
      <c r="F6093" s="490">
        <v>28574</v>
      </c>
      <c r="G6093" s="489">
        <v>731.5</v>
      </c>
      <c r="H6093" s="489">
        <v>39.062199999999997</v>
      </c>
      <c r="I6093" s="487" t="s">
        <v>1499</v>
      </c>
      <c r="J6093" s="487" t="s">
        <v>914</v>
      </c>
    </row>
    <row r="6094" spans="1:10" ht="15" x14ac:dyDescent="0.2">
      <c r="A6094" s="486" t="s">
        <v>913</v>
      </c>
      <c r="B6094" s="487" t="s">
        <v>912</v>
      </c>
      <c r="C6094" s="488" t="s">
        <v>19484</v>
      </c>
      <c r="D6094" s="489" t="s">
        <v>19485</v>
      </c>
      <c r="E6094" s="487" t="s">
        <v>19486</v>
      </c>
      <c r="F6094" s="490">
        <v>25000</v>
      </c>
      <c r="G6094" s="489">
        <v>247.6</v>
      </c>
      <c r="H6094" s="489">
        <v>100.96930999999999</v>
      </c>
      <c r="I6094" s="487" t="s">
        <v>1499</v>
      </c>
      <c r="J6094" s="487" t="s">
        <v>914</v>
      </c>
    </row>
    <row r="6095" spans="1:10" ht="15" x14ac:dyDescent="0.2">
      <c r="A6095" s="486" t="s">
        <v>913</v>
      </c>
      <c r="B6095" s="487" t="s">
        <v>912</v>
      </c>
      <c r="C6095" s="488" t="s">
        <v>19487</v>
      </c>
      <c r="D6095" s="489" t="s">
        <v>19488</v>
      </c>
      <c r="E6095" s="487" t="s">
        <v>19489</v>
      </c>
      <c r="F6095" s="490">
        <v>19000</v>
      </c>
      <c r="G6095" s="489">
        <v>207.1</v>
      </c>
      <c r="H6095" s="489">
        <v>91.743120000000005</v>
      </c>
      <c r="I6095" s="487" t="s">
        <v>1499</v>
      </c>
      <c r="J6095" s="487" t="s">
        <v>914</v>
      </c>
    </row>
    <row r="6096" spans="1:10" ht="15" x14ac:dyDescent="0.2">
      <c r="A6096" s="486" t="s">
        <v>913</v>
      </c>
      <c r="B6096" s="487" t="s">
        <v>912</v>
      </c>
      <c r="C6096" s="488" t="s">
        <v>19490</v>
      </c>
      <c r="D6096" s="489" t="s">
        <v>19491</v>
      </c>
      <c r="E6096" s="487" t="s">
        <v>10370</v>
      </c>
      <c r="F6096" s="490">
        <v>6750</v>
      </c>
      <c r="G6096" s="489">
        <v>139.1</v>
      </c>
      <c r="H6096" s="489">
        <v>48.526240000000001</v>
      </c>
      <c r="I6096" s="487" t="s">
        <v>1499</v>
      </c>
      <c r="J6096" s="487" t="s">
        <v>914</v>
      </c>
    </row>
    <row r="6097" spans="1:10" ht="15" x14ac:dyDescent="0.2">
      <c r="A6097" s="486" t="s">
        <v>913</v>
      </c>
      <c r="B6097" s="487" t="s">
        <v>912</v>
      </c>
      <c r="C6097" s="488" t="s">
        <v>19492</v>
      </c>
      <c r="D6097" s="489" t="s">
        <v>19493</v>
      </c>
      <c r="E6097" s="487" t="s">
        <v>19494</v>
      </c>
      <c r="F6097" s="490">
        <v>21450</v>
      </c>
      <c r="G6097" s="489">
        <v>243.8</v>
      </c>
      <c r="H6097" s="489">
        <v>87.981949999999998</v>
      </c>
      <c r="I6097" s="487" t="s">
        <v>1499</v>
      </c>
      <c r="J6097" s="487" t="s">
        <v>914</v>
      </c>
    </row>
    <row r="6098" spans="1:10" ht="15" x14ac:dyDescent="0.2">
      <c r="A6098" s="486" t="s">
        <v>913</v>
      </c>
      <c r="B6098" s="487" t="s">
        <v>912</v>
      </c>
      <c r="C6098" s="488" t="s">
        <v>19495</v>
      </c>
      <c r="D6098" s="489" t="s">
        <v>19496</v>
      </c>
      <c r="E6098" s="487" t="s">
        <v>19497</v>
      </c>
      <c r="F6098" s="490">
        <v>0</v>
      </c>
      <c r="G6098" s="489">
        <v>45</v>
      </c>
      <c r="H6098" s="489">
        <v>0</v>
      </c>
      <c r="I6098" s="487" t="s">
        <v>1593</v>
      </c>
      <c r="J6098" s="487" t="s">
        <v>914</v>
      </c>
    </row>
    <row r="6099" spans="1:10" ht="15" x14ac:dyDescent="0.2">
      <c r="A6099" s="486" t="s">
        <v>913</v>
      </c>
      <c r="B6099" s="487" t="s">
        <v>912</v>
      </c>
      <c r="C6099" s="488" t="s">
        <v>19498</v>
      </c>
      <c r="D6099" s="489" t="s">
        <v>19499</v>
      </c>
      <c r="E6099" s="487" t="s">
        <v>19500</v>
      </c>
      <c r="F6099" s="490">
        <v>0</v>
      </c>
      <c r="G6099" s="489">
        <v>190.5</v>
      </c>
      <c r="H6099" s="489">
        <v>0</v>
      </c>
      <c r="I6099" s="487" t="s">
        <v>1593</v>
      </c>
      <c r="J6099" s="487" t="s">
        <v>914</v>
      </c>
    </row>
    <row r="6100" spans="1:10" ht="15" x14ac:dyDescent="0.2">
      <c r="A6100" s="486" t="s">
        <v>913</v>
      </c>
      <c r="B6100" s="487" t="s">
        <v>912</v>
      </c>
      <c r="C6100" s="488" t="s">
        <v>19501</v>
      </c>
      <c r="D6100" s="489" t="s">
        <v>19502</v>
      </c>
      <c r="E6100" s="487" t="s">
        <v>19503</v>
      </c>
      <c r="F6100" s="490">
        <v>12994</v>
      </c>
      <c r="G6100" s="489">
        <v>334</v>
      </c>
      <c r="H6100" s="489">
        <v>38.90419</v>
      </c>
      <c r="I6100" s="487" t="s">
        <v>1499</v>
      </c>
      <c r="J6100" s="487" t="s">
        <v>914</v>
      </c>
    </row>
    <row r="6101" spans="1:10" ht="15" x14ac:dyDescent="0.2">
      <c r="A6101" s="486" t="s">
        <v>913</v>
      </c>
      <c r="B6101" s="487" t="s">
        <v>912</v>
      </c>
      <c r="C6101" s="488" t="s">
        <v>19504</v>
      </c>
      <c r="D6101" s="489" t="s">
        <v>19505</v>
      </c>
      <c r="E6101" s="487" t="s">
        <v>19506</v>
      </c>
      <c r="F6101" s="490">
        <v>0</v>
      </c>
      <c r="G6101" s="489">
        <v>24</v>
      </c>
      <c r="H6101" s="489">
        <v>0</v>
      </c>
      <c r="I6101" s="487" t="s">
        <v>1593</v>
      </c>
      <c r="J6101" s="487" t="s">
        <v>914</v>
      </c>
    </row>
    <row r="6102" spans="1:10" ht="15" x14ac:dyDescent="0.2">
      <c r="A6102" s="486" t="s">
        <v>913</v>
      </c>
      <c r="B6102" s="487" t="s">
        <v>912</v>
      </c>
      <c r="C6102" s="488" t="s">
        <v>19507</v>
      </c>
      <c r="D6102" s="489" t="s">
        <v>19508</v>
      </c>
      <c r="E6102" s="487" t="s">
        <v>19509</v>
      </c>
      <c r="F6102" s="490">
        <v>18890</v>
      </c>
      <c r="G6102" s="489">
        <v>247.4</v>
      </c>
      <c r="H6102" s="489">
        <v>76.354079999999996</v>
      </c>
      <c r="I6102" s="487" t="s">
        <v>1499</v>
      </c>
      <c r="J6102" s="487" t="s">
        <v>914</v>
      </c>
    </row>
    <row r="6103" spans="1:10" ht="15" x14ac:dyDescent="0.2">
      <c r="A6103" s="486" t="s">
        <v>913</v>
      </c>
      <c r="B6103" s="487" t="s">
        <v>912</v>
      </c>
      <c r="C6103" s="488" t="s">
        <v>19510</v>
      </c>
      <c r="D6103" s="489" t="s">
        <v>19511</v>
      </c>
      <c r="E6103" s="487" t="s">
        <v>19512</v>
      </c>
      <c r="F6103" s="490">
        <v>0</v>
      </c>
      <c r="G6103" s="489">
        <v>59.5</v>
      </c>
      <c r="H6103" s="489">
        <v>0</v>
      </c>
      <c r="I6103" s="487" t="s">
        <v>1593</v>
      </c>
      <c r="J6103" s="487" t="s">
        <v>914</v>
      </c>
    </row>
    <row r="6104" spans="1:10" ht="15" x14ac:dyDescent="0.2">
      <c r="A6104" s="486" t="s">
        <v>913</v>
      </c>
      <c r="B6104" s="487" t="s">
        <v>912</v>
      </c>
      <c r="C6104" s="488" t="s">
        <v>19513</v>
      </c>
      <c r="D6104" s="489" t="s">
        <v>19514</v>
      </c>
      <c r="E6104" s="487" t="s">
        <v>19515</v>
      </c>
      <c r="F6104" s="490">
        <v>125843.02</v>
      </c>
      <c r="G6104" s="489">
        <v>1247.7</v>
      </c>
      <c r="H6104" s="489">
        <v>100.86</v>
      </c>
      <c r="I6104" s="487" t="s">
        <v>1499</v>
      </c>
      <c r="J6104" s="487" t="s">
        <v>914</v>
      </c>
    </row>
    <row r="6105" spans="1:10" ht="15" x14ac:dyDescent="0.2">
      <c r="A6105" s="486" t="s">
        <v>913</v>
      </c>
      <c r="B6105" s="487" t="s">
        <v>912</v>
      </c>
      <c r="C6105" s="488" t="s">
        <v>19516</v>
      </c>
      <c r="D6105" s="489" t="s">
        <v>19517</v>
      </c>
      <c r="E6105" s="487" t="s">
        <v>19518</v>
      </c>
      <c r="F6105" s="490">
        <v>18868</v>
      </c>
      <c r="G6105" s="489">
        <v>334.2</v>
      </c>
      <c r="H6105" s="489">
        <v>56.457210000000003</v>
      </c>
      <c r="I6105" s="487" t="s">
        <v>1499</v>
      </c>
      <c r="J6105" s="487" t="s">
        <v>914</v>
      </c>
    </row>
    <row r="6106" spans="1:10" ht="15" x14ac:dyDescent="0.2">
      <c r="A6106" s="486" t="s">
        <v>913</v>
      </c>
      <c r="B6106" s="487" t="s">
        <v>912</v>
      </c>
      <c r="C6106" s="488" t="s">
        <v>19519</v>
      </c>
      <c r="D6106" s="489" t="s">
        <v>19520</v>
      </c>
      <c r="E6106" s="487" t="s">
        <v>19521</v>
      </c>
      <c r="F6106" s="490">
        <v>123785</v>
      </c>
      <c r="G6106" s="489">
        <v>1762.8</v>
      </c>
      <c r="H6106" s="489">
        <v>70.220669999999998</v>
      </c>
      <c r="I6106" s="487" t="s">
        <v>1499</v>
      </c>
      <c r="J6106" s="487" t="s">
        <v>914</v>
      </c>
    </row>
    <row r="6107" spans="1:10" ht="15" x14ac:dyDescent="0.2">
      <c r="A6107" s="486" t="s">
        <v>913</v>
      </c>
      <c r="B6107" s="487" t="s">
        <v>912</v>
      </c>
      <c r="C6107" s="488" t="s">
        <v>19522</v>
      </c>
      <c r="D6107" s="489" t="s">
        <v>19523</v>
      </c>
      <c r="E6107" s="487" t="s">
        <v>19524</v>
      </c>
      <c r="F6107" s="490">
        <v>31205.87</v>
      </c>
      <c r="G6107" s="489">
        <v>453.3</v>
      </c>
      <c r="H6107" s="489">
        <v>68.841539999999995</v>
      </c>
      <c r="I6107" s="487" t="s">
        <v>1499</v>
      </c>
      <c r="J6107" s="487" t="s">
        <v>914</v>
      </c>
    </row>
    <row r="6108" spans="1:10" ht="15" x14ac:dyDescent="0.2">
      <c r="A6108" s="486" t="s">
        <v>913</v>
      </c>
      <c r="B6108" s="487" t="s">
        <v>912</v>
      </c>
      <c r="C6108" s="488" t="s">
        <v>19525</v>
      </c>
      <c r="D6108" s="489" t="s">
        <v>19526</v>
      </c>
      <c r="E6108" s="487" t="s">
        <v>19527</v>
      </c>
      <c r="F6108" s="490">
        <v>11010</v>
      </c>
      <c r="G6108" s="489">
        <v>168</v>
      </c>
      <c r="H6108" s="489">
        <v>65.535709999999995</v>
      </c>
      <c r="I6108" s="487" t="s">
        <v>1499</v>
      </c>
      <c r="J6108" s="487" t="s">
        <v>914</v>
      </c>
    </row>
    <row r="6109" spans="1:10" ht="15" x14ac:dyDescent="0.2">
      <c r="A6109" s="486" t="s">
        <v>913</v>
      </c>
      <c r="B6109" s="487" t="s">
        <v>912</v>
      </c>
      <c r="C6109" s="488" t="s">
        <v>19528</v>
      </c>
      <c r="D6109" s="489" t="s">
        <v>19529</v>
      </c>
      <c r="E6109" s="487" t="s">
        <v>19530</v>
      </c>
      <c r="F6109" s="490">
        <v>27095.91</v>
      </c>
      <c r="G6109" s="489">
        <v>398</v>
      </c>
      <c r="H6109" s="489">
        <v>68.080179999999999</v>
      </c>
      <c r="I6109" s="487" t="s">
        <v>1499</v>
      </c>
      <c r="J6109" s="487" t="s">
        <v>914</v>
      </c>
    </row>
    <row r="6110" spans="1:10" ht="15" x14ac:dyDescent="0.2">
      <c r="A6110" s="486" t="s">
        <v>913</v>
      </c>
      <c r="B6110" s="487" t="s">
        <v>912</v>
      </c>
      <c r="C6110" s="488" t="s">
        <v>19531</v>
      </c>
      <c r="D6110" s="489" t="s">
        <v>19532</v>
      </c>
      <c r="E6110" s="487" t="s">
        <v>19533</v>
      </c>
      <c r="F6110" s="490">
        <v>17000</v>
      </c>
      <c r="G6110" s="489">
        <v>460.8</v>
      </c>
      <c r="H6110" s="489">
        <v>36.892359999999996</v>
      </c>
      <c r="I6110" s="487" t="s">
        <v>1499</v>
      </c>
      <c r="J6110" s="487" t="s">
        <v>914</v>
      </c>
    </row>
    <row r="6111" spans="1:10" ht="15" x14ac:dyDescent="0.2">
      <c r="A6111" s="486" t="s">
        <v>913</v>
      </c>
      <c r="B6111" s="487" t="s">
        <v>912</v>
      </c>
      <c r="C6111" s="488" t="s">
        <v>19534</v>
      </c>
      <c r="D6111" s="489" t="s">
        <v>19535</v>
      </c>
      <c r="E6111" s="487" t="s">
        <v>19536</v>
      </c>
      <c r="F6111" s="490">
        <v>0</v>
      </c>
      <c r="G6111" s="489">
        <v>30.6</v>
      </c>
      <c r="H6111" s="489">
        <v>0</v>
      </c>
      <c r="I6111" s="487" t="s">
        <v>1593</v>
      </c>
      <c r="J6111" s="487" t="s">
        <v>914</v>
      </c>
    </row>
    <row r="6112" spans="1:10" ht="15" x14ac:dyDescent="0.2">
      <c r="A6112" s="486" t="s">
        <v>913</v>
      </c>
      <c r="B6112" s="487" t="s">
        <v>912</v>
      </c>
      <c r="C6112" s="488" t="s">
        <v>19537</v>
      </c>
      <c r="D6112" s="489" t="s">
        <v>19538</v>
      </c>
      <c r="E6112" s="487" t="s">
        <v>19539</v>
      </c>
      <c r="F6112" s="490">
        <v>15872</v>
      </c>
      <c r="G6112" s="489">
        <v>252.3</v>
      </c>
      <c r="H6112" s="489">
        <v>62.909239999999997</v>
      </c>
      <c r="I6112" s="487" t="s">
        <v>1499</v>
      </c>
      <c r="J6112" s="487" t="s">
        <v>914</v>
      </c>
    </row>
    <row r="6113" spans="1:10" ht="15" x14ac:dyDescent="0.2">
      <c r="A6113" s="486" t="s">
        <v>913</v>
      </c>
      <c r="B6113" s="487" t="s">
        <v>912</v>
      </c>
      <c r="C6113" s="488" t="s">
        <v>19540</v>
      </c>
      <c r="D6113" s="489" t="s">
        <v>19541</v>
      </c>
      <c r="E6113" s="487" t="s">
        <v>19542</v>
      </c>
      <c r="F6113" s="490">
        <v>240000</v>
      </c>
      <c r="G6113" s="489">
        <v>1374.5</v>
      </c>
      <c r="H6113" s="489">
        <v>174.60894999999999</v>
      </c>
      <c r="I6113" s="487" t="s">
        <v>1499</v>
      </c>
      <c r="J6113" s="487" t="s">
        <v>914</v>
      </c>
    </row>
    <row r="6114" spans="1:10" ht="15" x14ac:dyDescent="0.2">
      <c r="A6114" s="486" t="s">
        <v>913</v>
      </c>
      <c r="B6114" s="487" t="s">
        <v>912</v>
      </c>
      <c r="C6114" s="488" t="s">
        <v>19543</v>
      </c>
      <c r="D6114" s="489" t="s">
        <v>19544</v>
      </c>
      <c r="E6114" s="487" t="s">
        <v>19545</v>
      </c>
      <c r="F6114" s="490">
        <v>50000</v>
      </c>
      <c r="G6114" s="489">
        <v>308.39999999999998</v>
      </c>
      <c r="H6114" s="489">
        <v>162.12710999999999</v>
      </c>
      <c r="I6114" s="487" t="s">
        <v>1499</v>
      </c>
      <c r="J6114" s="487" t="s">
        <v>914</v>
      </c>
    </row>
    <row r="6115" spans="1:10" ht="15" x14ac:dyDescent="0.2">
      <c r="A6115" s="486" t="s">
        <v>913</v>
      </c>
      <c r="B6115" s="487" t="s">
        <v>912</v>
      </c>
      <c r="C6115" s="488" t="s">
        <v>19546</v>
      </c>
      <c r="D6115" s="489" t="s">
        <v>19547</v>
      </c>
      <c r="E6115" s="487" t="s">
        <v>19548</v>
      </c>
      <c r="F6115" s="490">
        <v>35000</v>
      </c>
      <c r="G6115" s="489">
        <v>542.29999999999995</v>
      </c>
      <c r="H6115" s="489">
        <v>64.539919999999995</v>
      </c>
      <c r="I6115" s="487" t="s">
        <v>1499</v>
      </c>
      <c r="J6115" s="487" t="s">
        <v>914</v>
      </c>
    </row>
    <row r="6116" spans="1:10" ht="15" x14ac:dyDescent="0.2">
      <c r="A6116" s="486" t="s">
        <v>913</v>
      </c>
      <c r="B6116" s="487" t="s">
        <v>912</v>
      </c>
      <c r="C6116" s="488" t="s">
        <v>19549</v>
      </c>
      <c r="D6116" s="489" t="s">
        <v>19550</v>
      </c>
      <c r="E6116" s="487" t="s">
        <v>19551</v>
      </c>
      <c r="F6116" s="490">
        <v>30000</v>
      </c>
      <c r="G6116" s="489">
        <v>204.5</v>
      </c>
      <c r="H6116" s="489">
        <v>146.69927000000001</v>
      </c>
      <c r="I6116" s="487" t="s">
        <v>1499</v>
      </c>
      <c r="J6116" s="487" t="s">
        <v>914</v>
      </c>
    </row>
    <row r="6117" spans="1:10" ht="15" x14ac:dyDescent="0.2">
      <c r="A6117" s="486" t="s">
        <v>913</v>
      </c>
      <c r="B6117" s="487" t="s">
        <v>912</v>
      </c>
      <c r="C6117" s="488" t="s">
        <v>19552</v>
      </c>
      <c r="D6117" s="489" t="s">
        <v>19553</v>
      </c>
      <c r="E6117" s="487" t="s">
        <v>19554</v>
      </c>
      <c r="F6117" s="490">
        <v>28762</v>
      </c>
      <c r="G6117" s="489">
        <v>502.3</v>
      </c>
      <c r="H6117" s="489">
        <v>57.260599999999997</v>
      </c>
      <c r="I6117" s="487" t="s">
        <v>1499</v>
      </c>
      <c r="J6117" s="487" t="s">
        <v>914</v>
      </c>
    </row>
    <row r="6118" spans="1:10" ht="15" x14ac:dyDescent="0.2">
      <c r="A6118" s="486" t="s">
        <v>913</v>
      </c>
      <c r="B6118" s="487" t="s">
        <v>912</v>
      </c>
      <c r="C6118" s="488" t="s">
        <v>19555</v>
      </c>
      <c r="D6118" s="489" t="s">
        <v>19556</v>
      </c>
      <c r="E6118" s="487" t="s">
        <v>19557</v>
      </c>
      <c r="F6118" s="490">
        <v>2750</v>
      </c>
      <c r="G6118" s="489">
        <v>90.4</v>
      </c>
      <c r="H6118" s="489">
        <v>30.420349999999999</v>
      </c>
      <c r="I6118" s="487" t="s">
        <v>1499</v>
      </c>
      <c r="J6118" s="487" t="s">
        <v>914</v>
      </c>
    </row>
    <row r="6119" spans="1:10" ht="15" x14ac:dyDescent="0.2">
      <c r="A6119" s="486" t="s">
        <v>913</v>
      </c>
      <c r="B6119" s="487" t="s">
        <v>912</v>
      </c>
      <c r="C6119" s="488" t="s">
        <v>19558</v>
      </c>
      <c r="D6119" s="489" t="s">
        <v>19559</v>
      </c>
      <c r="E6119" s="487" t="s">
        <v>19560</v>
      </c>
      <c r="F6119" s="490">
        <v>3105</v>
      </c>
      <c r="G6119" s="489">
        <v>76.8</v>
      </c>
      <c r="H6119" s="489">
        <v>40.429690000000001</v>
      </c>
      <c r="I6119" s="487" t="s">
        <v>1499</v>
      </c>
      <c r="J6119" s="487" t="s">
        <v>914</v>
      </c>
    </row>
    <row r="6120" spans="1:10" ht="15" x14ac:dyDescent="0.2">
      <c r="A6120" s="486" t="s">
        <v>913</v>
      </c>
      <c r="B6120" s="487" t="s">
        <v>912</v>
      </c>
      <c r="C6120" s="488" t="s">
        <v>19561</v>
      </c>
      <c r="D6120" s="489" t="s">
        <v>19562</v>
      </c>
      <c r="E6120" s="487" t="s">
        <v>19563</v>
      </c>
      <c r="F6120" s="490">
        <v>39607</v>
      </c>
      <c r="G6120" s="489">
        <v>984.7</v>
      </c>
      <c r="H6120" s="489">
        <v>40.2224</v>
      </c>
      <c r="I6120" s="487" t="s">
        <v>1499</v>
      </c>
      <c r="J6120" s="487" t="s">
        <v>914</v>
      </c>
    </row>
    <row r="6121" spans="1:10" ht="15" x14ac:dyDescent="0.2">
      <c r="A6121" s="486" t="s">
        <v>913</v>
      </c>
      <c r="B6121" s="487" t="s">
        <v>912</v>
      </c>
      <c r="C6121" s="488" t="s">
        <v>19564</v>
      </c>
      <c r="D6121" s="489" t="s">
        <v>19565</v>
      </c>
      <c r="E6121" s="487" t="s">
        <v>19566</v>
      </c>
      <c r="F6121" s="490">
        <v>25437</v>
      </c>
      <c r="G6121" s="489">
        <v>623.79999999999995</v>
      </c>
      <c r="H6121" s="489">
        <v>40.77749</v>
      </c>
      <c r="I6121" s="487" t="s">
        <v>1499</v>
      </c>
      <c r="J6121" s="487" t="s">
        <v>914</v>
      </c>
    </row>
    <row r="6122" spans="1:10" ht="15" x14ac:dyDescent="0.2">
      <c r="A6122" s="486" t="s">
        <v>913</v>
      </c>
      <c r="B6122" s="487" t="s">
        <v>912</v>
      </c>
      <c r="C6122" s="488" t="s">
        <v>19567</v>
      </c>
      <c r="D6122" s="489" t="s">
        <v>19568</v>
      </c>
      <c r="E6122" s="487" t="s">
        <v>19569</v>
      </c>
      <c r="F6122" s="490">
        <v>13080</v>
      </c>
      <c r="G6122" s="489">
        <v>187.3</v>
      </c>
      <c r="H6122" s="489">
        <v>69.834490000000002</v>
      </c>
      <c r="I6122" s="487" t="s">
        <v>1499</v>
      </c>
      <c r="J6122" s="487" t="s">
        <v>914</v>
      </c>
    </row>
    <row r="6123" spans="1:10" ht="15" x14ac:dyDescent="0.2">
      <c r="A6123" s="486" t="s">
        <v>913</v>
      </c>
      <c r="B6123" s="487" t="s">
        <v>912</v>
      </c>
      <c r="C6123" s="488" t="s">
        <v>19570</v>
      </c>
      <c r="D6123" s="489" t="s">
        <v>19571</v>
      </c>
      <c r="E6123" s="487" t="s">
        <v>19572</v>
      </c>
      <c r="F6123" s="490">
        <v>14650</v>
      </c>
      <c r="G6123" s="489">
        <v>256.89999999999998</v>
      </c>
      <c r="H6123" s="489">
        <v>57.02608</v>
      </c>
      <c r="I6123" s="487" t="s">
        <v>1499</v>
      </c>
      <c r="J6123" s="487" t="s">
        <v>914</v>
      </c>
    </row>
    <row r="6124" spans="1:10" ht="15" x14ac:dyDescent="0.2">
      <c r="A6124" s="486" t="s">
        <v>913</v>
      </c>
      <c r="B6124" s="487" t="s">
        <v>912</v>
      </c>
      <c r="C6124" s="488" t="s">
        <v>19573</v>
      </c>
      <c r="D6124" s="489" t="s">
        <v>19574</v>
      </c>
      <c r="E6124" s="487" t="s">
        <v>19575</v>
      </c>
      <c r="F6124" s="490">
        <v>14636</v>
      </c>
      <c r="G6124" s="489">
        <v>536.70000000000005</v>
      </c>
      <c r="H6124" s="489">
        <v>27.27036</v>
      </c>
      <c r="I6124" s="487" t="s">
        <v>1499</v>
      </c>
      <c r="J6124" s="487" t="s">
        <v>914</v>
      </c>
    </row>
    <row r="6125" spans="1:10" ht="15" x14ac:dyDescent="0.2">
      <c r="A6125" s="486" t="s">
        <v>913</v>
      </c>
      <c r="B6125" s="487" t="s">
        <v>912</v>
      </c>
      <c r="C6125" s="488" t="s">
        <v>19576</v>
      </c>
      <c r="D6125" s="489" t="s">
        <v>19577</v>
      </c>
      <c r="E6125" s="487" t="s">
        <v>19578</v>
      </c>
      <c r="F6125" s="490">
        <v>80000</v>
      </c>
      <c r="G6125" s="489">
        <v>854.6</v>
      </c>
      <c r="H6125" s="489">
        <v>93.611050000000006</v>
      </c>
      <c r="I6125" s="487" t="s">
        <v>1499</v>
      </c>
      <c r="J6125" s="487" t="s">
        <v>914</v>
      </c>
    </row>
    <row r="6126" spans="1:10" ht="15" x14ac:dyDescent="0.2">
      <c r="A6126" s="486" t="s">
        <v>913</v>
      </c>
      <c r="B6126" s="487" t="s">
        <v>912</v>
      </c>
      <c r="C6126" s="488" t="s">
        <v>19579</v>
      </c>
      <c r="D6126" s="489" t="s">
        <v>19580</v>
      </c>
      <c r="E6126" s="487" t="s">
        <v>19581</v>
      </c>
      <c r="F6126" s="490">
        <v>29865</v>
      </c>
      <c r="G6126" s="489">
        <v>192.7</v>
      </c>
      <c r="H6126" s="489">
        <v>154.98184000000001</v>
      </c>
      <c r="I6126" s="487" t="s">
        <v>1499</v>
      </c>
      <c r="J6126" s="487" t="s">
        <v>914</v>
      </c>
    </row>
    <row r="6127" spans="1:10" ht="15" x14ac:dyDescent="0.2">
      <c r="A6127" s="486" t="s">
        <v>913</v>
      </c>
      <c r="B6127" s="487" t="s">
        <v>912</v>
      </c>
      <c r="C6127" s="488" t="s">
        <v>19582</v>
      </c>
      <c r="D6127" s="489" t="s">
        <v>19583</v>
      </c>
      <c r="E6127" s="487" t="s">
        <v>19584</v>
      </c>
      <c r="F6127" s="490">
        <v>19032</v>
      </c>
      <c r="G6127" s="489">
        <v>263.39999999999998</v>
      </c>
      <c r="H6127" s="489">
        <v>72.255129999999994</v>
      </c>
      <c r="I6127" s="487" t="s">
        <v>1499</v>
      </c>
      <c r="J6127" s="487" t="s">
        <v>914</v>
      </c>
    </row>
    <row r="6128" spans="1:10" ht="15" x14ac:dyDescent="0.2">
      <c r="A6128" s="486" t="s">
        <v>913</v>
      </c>
      <c r="B6128" s="487" t="s">
        <v>912</v>
      </c>
      <c r="C6128" s="488" t="s">
        <v>19585</v>
      </c>
      <c r="D6128" s="489" t="s">
        <v>19586</v>
      </c>
      <c r="E6128" s="487" t="s">
        <v>19587</v>
      </c>
      <c r="F6128" s="490">
        <v>2750</v>
      </c>
      <c r="G6128" s="489">
        <v>83.7</v>
      </c>
      <c r="H6128" s="489">
        <v>32.855440000000002</v>
      </c>
      <c r="I6128" s="487" t="s">
        <v>1499</v>
      </c>
      <c r="J6128" s="487" t="s">
        <v>914</v>
      </c>
    </row>
    <row r="6129" spans="1:10" ht="15" x14ac:dyDescent="0.2">
      <c r="A6129" s="486" t="s">
        <v>913</v>
      </c>
      <c r="B6129" s="487" t="s">
        <v>912</v>
      </c>
      <c r="C6129" s="488" t="s">
        <v>19588</v>
      </c>
      <c r="D6129" s="489" t="s">
        <v>19589</v>
      </c>
      <c r="E6129" s="487" t="s">
        <v>19590</v>
      </c>
      <c r="F6129" s="490">
        <v>17487</v>
      </c>
      <c r="G6129" s="489">
        <v>168.5</v>
      </c>
      <c r="H6129" s="489">
        <v>103.78042000000001</v>
      </c>
      <c r="I6129" s="487" t="s">
        <v>1499</v>
      </c>
      <c r="J6129" s="487" t="s">
        <v>914</v>
      </c>
    </row>
    <row r="6130" spans="1:10" ht="15" x14ac:dyDescent="0.2">
      <c r="A6130" s="486" t="s">
        <v>913</v>
      </c>
      <c r="B6130" s="487" t="s">
        <v>912</v>
      </c>
      <c r="C6130" s="488" t="s">
        <v>19591</v>
      </c>
      <c r="D6130" s="489" t="s">
        <v>19592</v>
      </c>
      <c r="E6130" s="487" t="s">
        <v>19593</v>
      </c>
      <c r="F6130" s="490">
        <v>6364</v>
      </c>
      <c r="G6130" s="489">
        <v>103.9</v>
      </c>
      <c r="H6130" s="489">
        <v>61.251199999999997</v>
      </c>
      <c r="I6130" s="487" t="s">
        <v>1499</v>
      </c>
      <c r="J6130" s="487" t="s">
        <v>914</v>
      </c>
    </row>
    <row r="6131" spans="1:10" ht="15" x14ac:dyDescent="0.2">
      <c r="A6131" s="486" t="s">
        <v>913</v>
      </c>
      <c r="B6131" s="487" t="s">
        <v>912</v>
      </c>
      <c r="C6131" s="488" t="s">
        <v>19594</v>
      </c>
      <c r="D6131" s="489" t="s">
        <v>19595</v>
      </c>
      <c r="E6131" s="487" t="s">
        <v>19596</v>
      </c>
      <c r="F6131" s="490">
        <v>27924</v>
      </c>
      <c r="G6131" s="489">
        <v>626.29999999999995</v>
      </c>
      <c r="H6131" s="489">
        <v>44.585659999999997</v>
      </c>
      <c r="I6131" s="487" t="s">
        <v>1499</v>
      </c>
      <c r="J6131" s="487" t="s">
        <v>914</v>
      </c>
    </row>
    <row r="6132" spans="1:10" ht="15" x14ac:dyDescent="0.2">
      <c r="A6132" s="486" t="s">
        <v>913</v>
      </c>
      <c r="B6132" s="487" t="s">
        <v>912</v>
      </c>
      <c r="C6132" s="488" t="s">
        <v>19597</v>
      </c>
      <c r="D6132" s="489" t="s">
        <v>19598</v>
      </c>
      <c r="E6132" s="487" t="s">
        <v>19599</v>
      </c>
      <c r="F6132" s="490">
        <v>64500</v>
      </c>
      <c r="G6132" s="489">
        <v>1011</v>
      </c>
      <c r="H6132" s="489">
        <v>63.798220000000001</v>
      </c>
      <c r="I6132" s="487" t="s">
        <v>1499</v>
      </c>
      <c r="J6132" s="487" t="s">
        <v>914</v>
      </c>
    </row>
    <row r="6133" spans="1:10" ht="15" x14ac:dyDescent="0.2">
      <c r="A6133" s="486" t="s">
        <v>913</v>
      </c>
      <c r="B6133" s="487" t="s">
        <v>912</v>
      </c>
      <c r="C6133" s="488" t="s">
        <v>19600</v>
      </c>
      <c r="D6133" s="489" t="s">
        <v>19601</v>
      </c>
      <c r="E6133" s="487" t="s">
        <v>19602</v>
      </c>
      <c r="F6133" s="490">
        <v>26874</v>
      </c>
      <c r="G6133" s="489">
        <v>472.9</v>
      </c>
      <c r="H6133" s="489">
        <v>56.82808</v>
      </c>
      <c r="I6133" s="487" t="s">
        <v>1499</v>
      </c>
      <c r="J6133" s="487" t="s">
        <v>914</v>
      </c>
    </row>
    <row r="6134" spans="1:10" ht="15" x14ac:dyDescent="0.2">
      <c r="A6134" s="486" t="s">
        <v>913</v>
      </c>
      <c r="B6134" s="487" t="s">
        <v>912</v>
      </c>
      <c r="C6134" s="488" t="s">
        <v>19603</v>
      </c>
      <c r="D6134" s="489" t="s">
        <v>19604</v>
      </c>
      <c r="E6134" s="487" t="s">
        <v>19605</v>
      </c>
      <c r="F6134" s="490">
        <v>17500</v>
      </c>
      <c r="G6134" s="489">
        <v>239</v>
      </c>
      <c r="H6134" s="489">
        <v>73.221760000000003</v>
      </c>
      <c r="I6134" s="487" t="s">
        <v>1499</v>
      </c>
      <c r="J6134" s="487" t="s">
        <v>914</v>
      </c>
    </row>
    <row r="6135" spans="1:10" ht="15" x14ac:dyDescent="0.2">
      <c r="A6135" s="486" t="s">
        <v>913</v>
      </c>
      <c r="B6135" s="487" t="s">
        <v>912</v>
      </c>
      <c r="C6135" s="488" t="s">
        <v>19606</v>
      </c>
      <c r="D6135" s="489" t="s">
        <v>19607</v>
      </c>
      <c r="E6135" s="487" t="s">
        <v>19608</v>
      </c>
      <c r="F6135" s="490">
        <v>24287.78</v>
      </c>
      <c r="G6135" s="489">
        <v>256.89999999999998</v>
      </c>
      <c r="H6135" s="489">
        <v>94.54177</v>
      </c>
      <c r="I6135" s="487" t="s">
        <v>1499</v>
      </c>
      <c r="J6135" s="487" t="s">
        <v>914</v>
      </c>
    </row>
    <row r="6136" spans="1:10" ht="15" x14ac:dyDescent="0.2">
      <c r="A6136" s="486" t="s">
        <v>913</v>
      </c>
      <c r="B6136" s="487" t="s">
        <v>912</v>
      </c>
      <c r="C6136" s="488" t="s">
        <v>19609</v>
      </c>
      <c r="D6136" s="489" t="s">
        <v>19610</v>
      </c>
      <c r="E6136" s="487" t="s">
        <v>19611</v>
      </c>
      <c r="F6136" s="490">
        <v>11403</v>
      </c>
      <c r="G6136" s="489">
        <v>139.80000000000001</v>
      </c>
      <c r="H6136" s="489">
        <v>81.566519999999997</v>
      </c>
      <c r="I6136" s="487" t="s">
        <v>1499</v>
      </c>
      <c r="J6136" s="487" t="s">
        <v>914</v>
      </c>
    </row>
    <row r="6137" spans="1:10" ht="15" x14ac:dyDescent="0.2">
      <c r="A6137" s="486" t="s">
        <v>913</v>
      </c>
      <c r="B6137" s="487" t="s">
        <v>912</v>
      </c>
      <c r="C6137" s="488" t="s">
        <v>19612</v>
      </c>
      <c r="D6137" s="489" t="s">
        <v>19613</v>
      </c>
      <c r="E6137" s="487" t="s">
        <v>19614</v>
      </c>
      <c r="F6137" s="490">
        <v>11154</v>
      </c>
      <c r="G6137" s="489">
        <v>156.9</v>
      </c>
      <c r="H6137" s="489">
        <v>71.089870000000005</v>
      </c>
      <c r="I6137" s="487" t="s">
        <v>1499</v>
      </c>
      <c r="J6137" s="487" t="s">
        <v>914</v>
      </c>
    </row>
    <row r="6138" spans="1:10" ht="15" x14ac:dyDescent="0.2">
      <c r="A6138" s="486" t="s">
        <v>1037</v>
      </c>
      <c r="B6138" s="487" t="s">
        <v>1036</v>
      </c>
      <c r="C6138" s="488" t="s">
        <v>19615</v>
      </c>
      <c r="D6138" s="489" t="s">
        <v>19616</v>
      </c>
      <c r="E6138" s="487" t="s">
        <v>19617</v>
      </c>
      <c r="F6138" s="490">
        <v>3174</v>
      </c>
      <c r="G6138" s="489">
        <v>115.3</v>
      </c>
      <c r="H6138" s="489">
        <v>27.528189999999999</v>
      </c>
      <c r="I6138" s="487" t="s">
        <v>1499</v>
      </c>
      <c r="J6138" s="487" t="s">
        <v>1038</v>
      </c>
    </row>
    <row r="6139" spans="1:10" ht="15" x14ac:dyDescent="0.2">
      <c r="A6139" s="486" t="s">
        <v>1037</v>
      </c>
      <c r="B6139" s="487" t="s">
        <v>1036</v>
      </c>
      <c r="C6139" s="488" t="s">
        <v>19618</v>
      </c>
      <c r="D6139" s="489" t="s">
        <v>19619</v>
      </c>
      <c r="E6139" s="487" t="s">
        <v>19620</v>
      </c>
      <c r="F6139" s="490">
        <v>13500</v>
      </c>
      <c r="G6139" s="489">
        <v>238.6</v>
      </c>
      <c r="H6139" s="489">
        <v>56.58005</v>
      </c>
      <c r="I6139" s="487" t="s">
        <v>1499</v>
      </c>
      <c r="J6139" s="487" t="s">
        <v>1038</v>
      </c>
    </row>
    <row r="6140" spans="1:10" ht="15" x14ac:dyDescent="0.2">
      <c r="A6140" s="486" t="s">
        <v>1037</v>
      </c>
      <c r="B6140" s="487" t="s">
        <v>1036</v>
      </c>
      <c r="C6140" s="488" t="s">
        <v>19621</v>
      </c>
      <c r="D6140" s="489" t="s">
        <v>19622</v>
      </c>
      <c r="E6140" s="487" t="s">
        <v>19623</v>
      </c>
      <c r="F6140" s="490">
        <v>4000</v>
      </c>
      <c r="G6140" s="489">
        <v>121.8</v>
      </c>
      <c r="H6140" s="489">
        <v>32.840719999999997</v>
      </c>
      <c r="I6140" s="487" t="s">
        <v>1499</v>
      </c>
      <c r="J6140" s="487" t="s">
        <v>1038</v>
      </c>
    </row>
    <row r="6141" spans="1:10" ht="15" x14ac:dyDescent="0.2">
      <c r="A6141" s="486" t="s">
        <v>1037</v>
      </c>
      <c r="B6141" s="487" t="s">
        <v>1036</v>
      </c>
      <c r="C6141" s="488" t="s">
        <v>19624</v>
      </c>
      <c r="D6141" s="489" t="s">
        <v>19625</v>
      </c>
      <c r="E6141" s="487" t="s">
        <v>19626</v>
      </c>
      <c r="F6141" s="490">
        <v>5198</v>
      </c>
      <c r="G6141" s="489">
        <v>67.7</v>
      </c>
      <c r="H6141" s="489">
        <v>76.779910000000001</v>
      </c>
      <c r="I6141" s="487" t="s">
        <v>1499</v>
      </c>
      <c r="J6141" s="487" t="s">
        <v>1038</v>
      </c>
    </row>
    <row r="6142" spans="1:10" ht="15" x14ac:dyDescent="0.2">
      <c r="A6142" s="486" t="s">
        <v>1037</v>
      </c>
      <c r="B6142" s="487" t="s">
        <v>1036</v>
      </c>
      <c r="C6142" s="488" t="s">
        <v>19627</v>
      </c>
      <c r="D6142" s="489" t="s">
        <v>19628</v>
      </c>
      <c r="E6142" s="487" t="s">
        <v>19629</v>
      </c>
      <c r="F6142" s="490">
        <v>8090</v>
      </c>
      <c r="G6142" s="489">
        <v>239.8</v>
      </c>
      <c r="H6142" s="489">
        <v>33.736449999999998</v>
      </c>
      <c r="I6142" s="487" t="s">
        <v>1499</v>
      </c>
      <c r="J6142" s="487" t="s">
        <v>1038</v>
      </c>
    </row>
    <row r="6143" spans="1:10" ht="15" x14ac:dyDescent="0.2">
      <c r="A6143" s="486" t="s">
        <v>1037</v>
      </c>
      <c r="B6143" s="487" t="s">
        <v>1036</v>
      </c>
      <c r="C6143" s="488" t="s">
        <v>19630</v>
      </c>
      <c r="D6143" s="489" t="s">
        <v>19631</v>
      </c>
      <c r="E6143" s="487" t="s">
        <v>19632</v>
      </c>
      <c r="F6143" s="490">
        <v>8250</v>
      </c>
      <c r="G6143" s="489">
        <v>92.8</v>
      </c>
      <c r="H6143" s="489">
        <v>88.900859999999994</v>
      </c>
      <c r="I6143" s="487" t="s">
        <v>1499</v>
      </c>
      <c r="J6143" s="487" t="s">
        <v>1038</v>
      </c>
    </row>
    <row r="6144" spans="1:10" ht="15" x14ac:dyDescent="0.2">
      <c r="A6144" s="486" t="s">
        <v>1037</v>
      </c>
      <c r="B6144" s="487" t="s">
        <v>1036</v>
      </c>
      <c r="C6144" s="488" t="s">
        <v>19633</v>
      </c>
      <c r="D6144" s="489" t="s">
        <v>19634</v>
      </c>
      <c r="E6144" s="487" t="s">
        <v>19635</v>
      </c>
      <c r="F6144" s="490">
        <v>20000</v>
      </c>
      <c r="G6144" s="489">
        <v>597.20000000000005</v>
      </c>
      <c r="H6144" s="489">
        <v>33.489620000000002</v>
      </c>
      <c r="I6144" s="487" t="s">
        <v>1499</v>
      </c>
      <c r="J6144" s="487" t="s">
        <v>1038</v>
      </c>
    </row>
    <row r="6145" spans="1:10" ht="15" x14ac:dyDescent="0.2">
      <c r="A6145" s="486" t="s">
        <v>1037</v>
      </c>
      <c r="B6145" s="487" t="s">
        <v>1036</v>
      </c>
      <c r="C6145" s="488" t="s">
        <v>19636</v>
      </c>
      <c r="D6145" s="489" t="s">
        <v>19637</v>
      </c>
      <c r="E6145" s="487" t="s">
        <v>19638</v>
      </c>
      <c r="F6145" s="490">
        <v>3534</v>
      </c>
      <c r="G6145" s="489">
        <v>113.4</v>
      </c>
      <c r="H6145" s="489">
        <v>31.164020000000001</v>
      </c>
      <c r="I6145" s="487" t="s">
        <v>1499</v>
      </c>
      <c r="J6145" s="487" t="s">
        <v>1038</v>
      </c>
    </row>
    <row r="6146" spans="1:10" ht="15" x14ac:dyDescent="0.2">
      <c r="A6146" s="486" t="s">
        <v>1037</v>
      </c>
      <c r="B6146" s="487" t="s">
        <v>1036</v>
      </c>
      <c r="C6146" s="488" t="s">
        <v>19639</v>
      </c>
      <c r="D6146" s="489" t="s">
        <v>19640</v>
      </c>
      <c r="E6146" s="487" t="s">
        <v>19641</v>
      </c>
      <c r="F6146" s="490">
        <v>12000</v>
      </c>
      <c r="G6146" s="489">
        <v>250.7</v>
      </c>
      <c r="H6146" s="489">
        <v>47.86598</v>
      </c>
      <c r="I6146" s="487" t="s">
        <v>1499</v>
      </c>
      <c r="J6146" s="487" t="s">
        <v>1038</v>
      </c>
    </row>
    <row r="6147" spans="1:10" ht="15" x14ac:dyDescent="0.2">
      <c r="A6147" s="486" t="s">
        <v>1037</v>
      </c>
      <c r="B6147" s="487" t="s">
        <v>1036</v>
      </c>
      <c r="C6147" s="488" t="s">
        <v>19642</v>
      </c>
      <c r="D6147" s="489" t="s">
        <v>19643</v>
      </c>
      <c r="E6147" s="487" t="s">
        <v>19644</v>
      </c>
      <c r="F6147" s="490">
        <v>15000</v>
      </c>
      <c r="G6147" s="489">
        <v>421.7</v>
      </c>
      <c r="H6147" s="489">
        <v>35.570309999999999</v>
      </c>
      <c r="I6147" s="487" t="s">
        <v>1499</v>
      </c>
      <c r="J6147" s="487" t="s">
        <v>1038</v>
      </c>
    </row>
    <row r="6148" spans="1:10" ht="15" x14ac:dyDescent="0.2">
      <c r="A6148" s="486" t="s">
        <v>1037</v>
      </c>
      <c r="B6148" s="487" t="s">
        <v>1036</v>
      </c>
      <c r="C6148" s="488" t="s">
        <v>19645</v>
      </c>
      <c r="D6148" s="489" t="s">
        <v>19646</v>
      </c>
      <c r="E6148" s="487" t="s">
        <v>19647</v>
      </c>
      <c r="F6148" s="490">
        <v>11170</v>
      </c>
      <c r="G6148" s="489">
        <v>248.9</v>
      </c>
      <c r="H6148" s="489">
        <v>44.877459999999999</v>
      </c>
      <c r="I6148" s="487" t="s">
        <v>1499</v>
      </c>
      <c r="J6148" s="487" t="s">
        <v>1038</v>
      </c>
    </row>
    <row r="6149" spans="1:10" ht="15" x14ac:dyDescent="0.2">
      <c r="A6149" s="486" t="s">
        <v>1037</v>
      </c>
      <c r="B6149" s="487" t="s">
        <v>1036</v>
      </c>
      <c r="C6149" s="488" t="s">
        <v>19648</v>
      </c>
      <c r="D6149" s="489" t="s">
        <v>19649</v>
      </c>
      <c r="E6149" s="487" t="s">
        <v>19650</v>
      </c>
      <c r="F6149" s="490">
        <v>64547</v>
      </c>
      <c r="G6149" s="489">
        <v>730</v>
      </c>
      <c r="H6149" s="489">
        <v>88.420550000000006</v>
      </c>
      <c r="I6149" s="487" t="s">
        <v>1499</v>
      </c>
      <c r="J6149" s="487" t="s">
        <v>1038</v>
      </c>
    </row>
    <row r="6150" spans="1:10" ht="15" x14ac:dyDescent="0.2">
      <c r="A6150" s="486" t="s">
        <v>1037</v>
      </c>
      <c r="B6150" s="487" t="s">
        <v>1036</v>
      </c>
      <c r="C6150" s="488" t="s">
        <v>19651</v>
      </c>
      <c r="D6150" s="489" t="s">
        <v>19652</v>
      </c>
      <c r="E6150" s="487" t="s">
        <v>19653</v>
      </c>
      <c r="F6150" s="490">
        <v>12826</v>
      </c>
      <c r="G6150" s="489">
        <v>184.7</v>
      </c>
      <c r="H6150" s="489">
        <v>69.442340000000002</v>
      </c>
      <c r="I6150" s="487" t="s">
        <v>1499</v>
      </c>
      <c r="J6150" s="487" t="s">
        <v>1038</v>
      </c>
    </row>
    <row r="6151" spans="1:10" ht="15" x14ac:dyDescent="0.2">
      <c r="A6151" s="486" t="s">
        <v>1037</v>
      </c>
      <c r="B6151" s="487" t="s">
        <v>1036</v>
      </c>
      <c r="C6151" s="488" t="s">
        <v>19654</v>
      </c>
      <c r="D6151" s="489" t="s">
        <v>19655</v>
      </c>
      <c r="E6151" s="487" t="s">
        <v>19656</v>
      </c>
      <c r="F6151" s="490">
        <v>2360</v>
      </c>
      <c r="G6151" s="489">
        <v>73.400000000000006</v>
      </c>
      <c r="H6151" s="489">
        <v>32.152589999999996</v>
      </c>
      <c r="I6151" s="487" t="s">
        <v>1499</v>
      </c>
      <c r="J6151" s="487" t="s">
        <v>1038</v>
      </c>
    </row>
    <row r="6152" spans="1:10" ht="15" x14ac:dyDescent="0.2">
      <c r="A6152" s="486" t="s">
        <v>1037</v>
      </c>
      <c r="B6152" s="487" t="s">
        <v>1036</v>
      </c>
      <c r="C6152" s="488" t="s">
        <v>19657</v>
      </c>
      <c r="D6152" s="489" t="s">
        <v>19658</v>
      </c>
      <c r="E6152" s="487" t="s">
        <v>19659</v>
      </c>
      <c r="F6152" s="490">
        <v>8000</v>
      </c>
      <c r="G6152" s="489">
        <v>131.30000000000001</v>
      </c>
      <c r="H6152" s="489">
        <v>60.929169999999999</v>
      </c>
      <c r="I6152" s="487" t="s">
        <v>1499</v>
      </c>
      <c r="J6152" s="487" t="s">
        <v>1038</v>
      </c>
    </row>
    <row r="6153" spans="1:10" ht="15" x14ac:dyDescent="0.2">
      <c r="A6153" s="486" t="s">
        <v>1037</v>
      </c>
      <c r="B6153" s="487" t="s">
        <v>1036</v>
      </c>
      <c r="C6153" s="488" t="s">
        <v>19660</v>
      </c>
      <c r="D6153" s="489" t="s">
        <v>19661</v>
      </c>
      <c r="E6153" s="487" t="s">
        <v>19662</v>
      </c>
      <c r="F6153" s="490">
        <v>58040</v>
      </c>
      <c r="G6153" s="489">
        <v>913.6</v>
      </c>
      <c r="H6153" s="489">
        <v>63.5289</v>
      </c>
      <c r="I6153" s="487" t="s">
        <v>1499</v>
      </c>
      <c r="J6153" s="487" t="s">
        <v>1038</v>
      </c>
    </row>
    <row r="6154" spans="1:10" ht="15" x14ac:dyDescent="0.2">
      <c r="A6154" s="486" t="s">
        <v>1037</v>
      </c>
      <c r="B6154" s="487" t="s">
        <v>1036</v>
      </c>
      <c r="C6154" s="488" t="s">
        <v>19663</v>
      </c>
      <c r="D6154" s="489" t="s">
        <v>19664</v>
      </c>
      <c r="E6154" s="487" t="s">
        <v>19665</v>
      </c>
      <c r="F6154" s="490">
        <v>0</v>
      </c>
      <c r="G6154" s="489">
        <v>24.2</v>
      </c>
      <c r="H6154" s="489">
        <v>0</v>
      </c>
      <c r="I6154" s="487" t="s">
        <v>1593</v>
      </c>
      <c r="J6154" s="487" t="s">
        <v>1038</v>
      </c>
    </row>
    <row r="6155" spans="1:10" ht="15" x14ac:dyDescent="0.2">
      <c r="A6155" s="486" t="s">
        <v>1037</v>
      </c>
      <c r="B6155" s="487" t="s">
        <v>1036</v>
      </c>
      <c r="C6155" s="488" t="s">
        <v>19666</v>
      </c>
      <c r="D6155" s="489" t="s">
        <v>19667</v>
      </c>
      <c r="E6155" s="487" t="s">
        <v>19668</v>
      </c>
      <c r="F6155" s="490">
        <v>25200</v>
      </c>
      <c r="G6155" s="489">
        <v>346</v>
      </c>
      <c r="H6155" s="489">
        <v>72.832369999999997</v>
      </c>
      <c r="I6155" s="487" t="s">
        <v>1499</v>
      </c>
      <c r="J6155" s="487" t="s">
        <v>1038</v>
      </c>
    </row>
    <row r="6156" spans="1:10" ht="15" x14ac:dyDescent="0.2">
      <c r="A6156" s="486" t="s">
        <v>1037</v>
      </c>
      <c r="B6156" s="487" t="s">
        <v>1036</v>
      </c>
      <c r="C6156" s="488" t="s">
        <v>19669</v>
      </c>
      <c r="D6156" s="489" t="s">
        <v>19670</v>
      </c>
      <c r="E6156" s="487" t="s">
        <v>19671</v>
      </c>
      <c r="F6156" s="490">
        <v>20115</v>
      </c>
      <c r="G6156" s="489">
        <v>423.9</v>
      </c>
      <c r="H6156" s="489">
        <v>47.45223</v>
      </c>
      <c r="I6156" s="487" t="s">
        <v>1499</v>
      </c>
      <c r="J6156" s="487" t="s">
        <v>1038</v>
      </c>
    </row>
    <row r="6157" spans="1:10" ht="15" x14ac:dyDescent="0.2">
      <c r="A6157" s="486" t="s">
        <v>1037</v>
      </c>
      <c r="B6157" s="487" t="s">
        <v>1036</v>
      </c>
      <c r="C6157" s="488" t="s">
        <v>19672</v>
      </c>
      <c r="D6157" s="489" t="s">
        <v>19673</v>
      </c>
      <c r="E6157" s="487" t="s">
        <v>19674</v>
      </c>
      <c r="F6157" s="490">
        <v>16835</v>
      </c>
      <c r="G6157" s="489">
        <v>192.2</v>
      </c>
      <c r="H6157" s="489">
        <v>87.591049999999996</v>
      </c>
      <c r="I6157" s="487" t="s">
        <v>1499</v>
      </c>
      <c r="J6157" s="487" t="s">
        <v>1038</v>
      </c>
    </row>
    <row r="6158" spans="1:10" ht="15" x14ac:dyDescent="0.2">
      <c r="A6158" s="486" t="s">
        <v>1037</v>
      </c>
      <c r="B6158" s="487" t="s">
        <v>1036</v>
      </c>
      <c r="C6158" s="488" t="s">
        <v>19675</v>
      </c>
      <c r="D6158" s="489" t="s">
        <v>19676</v>
      </c>
      <c r="E6158" s="487" t="s">
        <v>19677</v>
      </c>
      <c r="F6158" s="490">
        <v>18000</v>
      </c>
      <c r="G6158" s="489">
        <v>296</v>
      </c>
      <c r="H6158" s="489">
        <v>60.810809999999996</v>
      </c>
      <c r="I6158" s="487" t="s">
        <v>1499</v>
      </c>
      <c r="J6158" s="487" t="s">
        <v>1038</v>
      </c>
    </row>
    <row r="6159" spans="1:10" ht="15" x14ac:dyDescent="0.2">
      <c r="A6159" s="486" t="s">
        <v>1037</v>
      </c>
      <c r="B6159" s="487" t="s">
        <v>1036</v>
      </c>
      <c r="C6159" s="488" t="s">
        <v>19678</v>
      </c>
      <c r="D6159" s="489" t="s">
        <v>19679</v>
      </c>
      <c r="E6159" s="487" t="s">
        <v>19680</v>
      </c>
      <c r="F6159" s="490">
        <v>404496</v>
      </c>
      <c r="G6159" s="489">
        <v>3441.6</v>
      </c>
      <c r="H6159" s="489">
        <v>117.53138</v>
      </c>
      <c r="I6159" s="487" t="s">
        <v>1499</v>
      </c>
      <c r="J6159" s="487" t="s">
        <v>1038</v>
      </c>
    </row>
    <row r="6160" spans="1:10" ht="15" x14ac:dyDescent="0.2">
      <c r="A6160" s="486" t="s">
        <v>1037</v>
      </c>
      <c r="B6160" s="487" t="s">
        <v>1036</v>
      </c>
      <c r="C6160" s="488" t="s">
        <v>19681</v>
      </c>
      <c r="D6160" s="489" t="s">
        <v>19682</v>
      </c>
      <c r="E6160" s="487" t="s">
        <v>19683</v>
      </c>
      <c r="F6160" s="490">
        <v>6000</v>
      </c>
      <c r="G6160" s="489">
        <v>156.30000000000001</v>
      </c>
      <c r="H6160" s="489">
        <v>38.387720000000002</v>
      </c>
      <c r="I6160" s="487" t="s">
        <v>1499</v>
      </c>
      <c r="J6160" s="487" t="s">
        <v>1038</v>
      </c>
    </row>
    <row r="6161" spans="1:10" ht="15" x14ac:dyDescent="0.2">
      <c r="A6161" s="486" t="s">
        <v>1037</v>
      </c>
      <c r="B6161" s="487" t="s">
        <v>1036</v>
      </c>
      <c r="C6161" s="488" t="s">
        <v>19684</v>
      </c>
      <c r="D6161" s="489" t="s">
        <v>19685</v>
      </c>
      <c r="E6161" s="487" t="s">
        <v>2122</v>
      </c>
      <c r="F6161" s="490">
        <v>0</v>
      </c>
      <c r="G6161" s="489">
        <v>52.7</v>
      </c>
      <c r="H6161" s="489">
        <v>0</v>
      </c>
      <c r="I6161" s="487" t="s">
        <v>1593</v>
      </c>
      <c r="J6161" s="487" t="s">
        <v>1038</v>
      </c>
    </row>
    <row r="6162" spans="1:10" ht="15" x14ac:dyDescent="0.2">
      <c r="A6162" s="486" t="s">
        <v>1037</v>
      </c>
      <c r="B6162" s="487" t="s">
        <v>1036</v>
      </c>
      <c r="C6162" s="488" t="s">
        <v>19686</v>
      </c>
      <c r="D6162" s="489" t="s">
        <v>19687</v>
      </c>
      <c r="E6162" s="487" t="s">
        <v>19688</v>
      </c>
      <c r="F6162" s="490">
        <v>5000</v>
      </c>
      <c r="G6162" s="489">
        <v>127.4</v>
      </c>
      <c r="H6162" s="489">
        <v>39.246470000000002</v>
      </c>
      <c r="I6162" s="487" t="s">
        <v>1499</v>
      </c>
      <c r="J6162" s="487" t="s">
        <v>1038</v>
      </c>
    </row>
    <row r="6163" spans="1:10" ht="15" x14ac:dyDescent="0.2">
      <c r="A6163" s="486" t="s">
        <v>1037</v>
      </c>
      <c r="B6163" s="487" t="s">
        <v>1036</v>
      </c>
      <c r="C6163" s="488" t="s">
        <v>19689</v>
      </c>
      <c r="D6163" s="489" t="s">
        <v>19690</v>
      </c>
      <c r="E6163" s="487" t="s">
        <v>19691</v>
      </c>
      <c r="F6163" s="490">
        <v>7680</v>
      </c>
      <c r="G6163" s="489">
        <v>205.9</v>
      </c>
      <c r="H6163" s="489">
        <v>37.299660000000003</v>
      </c>
      <c r="I6163" s="487" t="s">
        <v>1499</v>
      </c>
      <c r="J6163" s="487" t="s">
        <v>1038</v>
      </c>
    </row>
    <row r="6164" spans="1:10" ht="15" x14ac:dyDescent="0.2">
      <c r="A6164" s="486" t="s">
        <v>1037</v>
      </c>
      <c r="B6164" s="487" t="s">
        <v>1036</v>
      </c>
      <c r="C6164" s="488" t="s">
        <v>19692</v>
      </c>
      <c r="D6164" s="489" t="s">
        <v>19693</v>
      </c>
      <c r="E6164" s="487" t="s">
        <v>19694</v>
      </c>
      <c r="F6164" s="490">
        <v>8640</v>
      </c>
      <c r="G6164" s="489">
        <v>218.1</v>
      </c>
      <c r="H6164" s="489">
        <v>39.61486</v>
      </c>
      <c r="I6164" s="487" t="s">
        <v>1499</v>
      </c>
      <c r="J6164" s="487" t="s">
        <v>1038</v>
      </c>
    </row>
    <row r="6165" spans="1:10" ht="15" x14ac:dyDescent="0.2">
      <c r="A6165" s="486" t="s">
        <v>1037</v>
      </c>
      <c r="B6165" s="487" t="s">
        <v>1036</v>
      </c>
      <c r="C6165" s="488" t="s">
        <v>19695</v>
      </c>
      <c r="D6165" s="489" t="s">
        <v>19696</v>
      </c>
      <c r="E6165" s="487" t="s">
        <v>19697</v>
      </c>
      <c r="F6165" s="490">
        <v>13970</v>
      </c>
      <c r="G6165" s="489">
        <v>267.7</v>
      </c>
      <c r="H6165" s="489">
        <v>52.185279999999999</v>
      </c>
      <c r="I6165" s="487" t="s">
        <v>1499</v>
      </c>
      <c r="J6165" s="487" t="s">
        <v>1038</v>
      </c>
    </row>
    <row r="6166" spans="1:10" ht="15" x14ac:dyDescent="0.2">
      <c r="A6166" s="486" t="s">
        <v>1037</v>
      </c>
      <c r="B6166" s="487" t="s">
        <v>1036</v>
      </c>
      <c r="C6166" s="488" t="s">
        <v>19698</v>
      </c>
      <c r="D6166" s="489" t="s">
        <v>19699</v>
      </c>
      <c r="E6166" s="487" t="s">
        <v>19700</v>
      </c>
      <c r="F6166" s="490">
        <v>567675</v>
      </c>
      <c r="G6166" s="489">
        <v>2721.6</v>
      </c>
      <c r="H6166" s="489">
        <v>208.58134999999999</v>
      </c>
      <c r="I6166" s="487" t="s">
        <v>1499</v>
      </c>
      <c r="J6166" s="487" t="s">
        <v>1038</v>
      </c>
    </row>
    <row r="6167" spans="1:10" ht="15" x14ac:dyDescent="0.2">
      <c r="A6167" s="486" t="s">
        <v>1037</v>
      </c>
      <c r="B6167" s="487" t="s">
        <v>1036</v>
      </c>
      <c r="C6167" s="488" t="s">
        <v>19701</v>
      </c>
      <c r="D6167" s="489" t="s">
        <v>19702</v>
      </c>
      <c r="E6167" s="487" t="s">
        <v>19703</v>
      </c>
      <c r="F6167" s="490">
        <v>5600</v>
      </c>
      <c r="G6167" s="489">
        <v>82.5</v>
      </c>
      <c r="H6167" s="489">
        <v>67.878789999999995</v>
      </c>
      <c r="I6167" s="487" t="s">
        <v>1499</v>
      </c>
      <c r="J6167" s="487" t="s">
        <v>1038</v>
      </c>
    </row>
    <row r="6168" spans="1:10" ht="15" x14ac:dyDescent="0.2">
      <c r="A6168" s="486" t="s">
        <v>1037</v>
      </c>
      <c r="B6168" s="487" t="s">
        <v>1036</v>
      </c>
      <c r="C6168" s="488" t="s">
        <v>19704</v>
      </c>
      <c r="D6168" s="489" t="s">
        <v>19705</v>
      </c>
      <c r="E6168" s="487" t="s">
        <v>19706</v>
      </c>
      <c r="F6168" s="490">
        <v>2100</v>
      </c>
      <c r="G6168" s="489">
        <v>204.6</v>
      </c>
      <c r="H6168" s="489">
        <v>10.26393</v>
      </c>
      <c r="I6168" s="487" t="s">
        <v>1499</v>
      </c>
      <c r="J6168" s="487" t="s">
        <v>1038</v>
      </c>
    </row>
    <row r="6169" spans="1:10" ht="15" x14ac:dyDescent="0.2">
      <c r="A6169" s="486" t="s">
        <v>1037</v>
      </c>
      <c r="B6169" s="487" t="s">
        <v>1036</v>
      </c>
      <c r="C6169" s="488" t="s">
        <v>19707</v>
      </c>
      <c r="D6169" s="489" t="s">
        <v>19708</v>
      </c>
      <c r="E6169" s="487" t="s">
        <v>19709</v>
      </c>
      <c r="F6169" s="490">
        <v>10824</v>
      </c>
      <c r="G6169" s="489">
        <v>162.19999999999999</v>
      </c>
      <c r="H6169" s="489">
        <v>66.732429999999994</v>
      </c>
      <c r="I6169" s="487" t="s">
        <v>1499</v>
      </c>
      <c r="J6169" s="487" t="s">
        <v>1038</v>
      </c>
    </row>
    <row r="6170" spans="1:10" ht="15" x14ac:dyDescent="0.2">
      <c r="A6170" s="486" t="s">
        <v>1037</v>
      </c>
      <c r="B6170" s="487" t="s">
        <v>1036</v>
      </c>
      <c r="C6170" s="488" t="s">
        <v>19710</v>
      </c>
      <c r="D6170" s="489" t="s">
        <v>19711</v>
      </c>
      <c r="E6170" s="487" t="s">
        <v>19712</v>
      </c>
      <c r="F6170" s="490">
        <v>10276</v>
      </c>
      <c r="G6170" s="489">
        <v>186.7</v>
      </c>
      <c r="H6170" s="489">
        <v>55.040170000000003</v>
      </c>
      <c r="I6170" s="487" t="s">
        <v>1499</v>
      </c>
      <c r="J6170" s="487" t="s">
        <v>1038</v>
      </c>
    </row>
    <row r="6171" spans="1:10" ht="15" x14ac:dyDescent="0.2">
      <c r="A6171" s="486" t="s">
        <v>1037</v>
      </c>
      <c r="B6171" s="487" t="s">
        <v>1036</v>
      </c>
      <c r="C6171" s="488" t="s">
        <v>19713</v>
      </c>
      <c r="D6171" s="489" t="s">
        <v>19714</v>
      </c>
      <c r="E6171" s="487" t="s">
        <v>19715</v>
      </c>
      <c r="F6171" s="490">
        <v>10350</v>
      </c>
      <c r="G6171" s="489">
        <v>157</v>
      </c>
      <c r="H6171" s="489">
        <v>65.923569999999998</v>
      </c>
      <c r="I6171" s="487" t="s">
        <v>1499</v>
      </c>
      <c r="J6171" s="487" t="s">
        <v>1038</v>
      </c>
    </row>
    <row r="6172" spans="1:10" ht="15" x14ac:dyDescent="0.2">
      <c r="A6172" s="486" t="s">
        <v>1037</v>
      </c>
      <c r="B6172" s="487" t="s">
        <v>1036</v>
      </c>
      <c r="C6172" s="488" t="s">
        <v>19716</v>
      </c>
      <c r="D6172" s="489" t="s">
        <v>19717</v>
      </c>
      <c r="E6172" s="487" t="s">
        <v>19718</v>
      </c>
      <c r="F6172" s="490">
        <v>6800</v>
      </c>
      <c r="G6172" s="489">
        <v>110.6</v>
      </c>
      <c r="H6172" s="489">
        <v>61.482819999999997</v>
      </c>
      <c r="I6172" s="487" t="s">
        <v>1499</v>
      </c>
      <c r="J6172" s="487" t="s">
        <v>1038</v>
      </c>
    </row>
    <row r="6173" spans="1:10" ht="15" x14ac:dyDescent="0.2">
      <c r="A6173" s="486" t="s">
        <v>1037</v>
      </c>
      <c r="B6173" s="487" t="s">
        <v>1036</v>
      </c>
      <c r="C6173" s="488" t="s">
        <v>19719</v>
      </c>
      <c r="D6173" s="489" t="s">
        <v>19720</v>
      </c>
      <c r="E6173" s="487" t="s">
        <v>19721</v>
      </c>
      <c r="F6173" s="490">
        <v>10400</v>
      </c>
      <c r="G6173" s="489">
        <v>186.4</v>
      </c>
      <c r="H6173" s="489">
        <v>55.793990000000001</v>
      </c>
      <c r="I6173" s="487" t="s">
        <v>1499</v>
      </c>
      <c r="J6173" s="487" t="s">
        <v>1038</v>
      </c>
    </row>
    <row r="6174" spans="1:10" ht="15" x14ac:dyDescent="0.2">
      <c r="A6174" s="486" t="s">
        <v>1037</v>
      </c>
      <c r="B6174" s="487" t="s">
        <v>1036</v>
      </c>
      <c r="C6174" s="488" t="s">
        <v>19722</v>
      </c>
      <c r="D6174" s="489" t="s">
        <v>19723</v>
      </c>
      <c r="E6174" s="487" t="s">
        <v>16535</v>
      </c>
      <c r="F6174" s="490">
        <v>4600</v>
      </c>
      <c r="G6174" s="489">
        <v>172</v>
      </c>
      <c r="H6174" s="489">
        <v>26.74419</v>
      </c>
      <c r="I6174" s="487" t="s">
        <v>1499</v>
      </c>
      <c r="J6174" s="487" t="s">
        <v>1038</v>
      </c>
    </row>
    <row r="6175" spans="1:10" ht="15" x14ac:dyDescent="0.2">
      <c r="A6175" s="486" t="s">
        <v>1037</v>
      </c>
      <c r="B6175" s="487" t="s">
        <v>1036</v>
      </c>
      <c r="C6175" s="488" t="s">
        <v>19724</v>
      </c>
      <c r="D6175" s="489" t="s">
        <v>19725</v>
      </c>
      <c r="E6175" s="487" t="s">
        <v>19726</v>
      </c>
      <c r="F6175" s="490">
        <v>2500</v>
      </c>
      <c r="G6175" s="489">
        <v>110.5</v>
      </c>
      <c r="H6175" s="489">
        <v>22.62443</v>
      </c>
      <c r="I6175" s="487" t="s">
        <v>1499</v>
      </c>
      <c r="J6175" s="487" t="s">
        <v>1038</v>
      </c>
    </row>
    <row r="6176" spans="1:10" ht="15" x14ac:dyDescent="0.2">
      <c r="A6176" s="486" t="s">
        <v>1037</v>
      </c>
      <c r="B6176" s="487" t="s">
        <v>1036</v>
      </c>
      <c r="C6176" s="488" t="s">
        <v>19727</v>
      </c>
      <c r="D6176" s="489" t="s">
        <v>19728</v>
      </c>
      <c r="E6176" s="487" t="s">
        <v>19729</v>
      </c>
      <c r="F6176" s="490">
        <v>5250</v>
      </c>
      <c r="G6176" s="489">
        <v>363.5</v>
      </c>
      <c r="H6176" s="489">
        <v>14.442920000000001</v>
      </c>
      <c r="I6176" s="487" t="s">
        <v>1499</v>
      </c>
      <c r="J6176" s="487" t="s">
        <v>1038</v>
      </c>
    </row>
    <row r="6177" spans="1:10" ht="15" x14ac:dyDescent="0.2">
      <c r="A6177" s="486" t="s">
        <v>1037</v>
      </c>
      <c r="B6177" s="487" t="s">
        <v>1036</v>
      </c>
      <c r="C6177" s="488" t="s">
        <v>19730</v>
      </c>
      <c r="D6177" s="489" t="s">
        <v>19731</v>
      </c>
      <c r="E6177" s="487" t="s">
        <v>19732</v>
      </c>
      <c r="F6177" s="490">
        <v>8788</v>
      </c>
      <c r="G6177" s="489">
        <v>106.4</v>
      </c>
      <c r="H6177" s="489">
        <v>82.593980000000002</v>
      </c>
      <c r="I6177" s="487" t="s">
        <v>1499</v>
      </c>
      <c r="J6177" s="487" t="s">
        <v>1038</v>
      </c>
    </row>
    <row r="6178" spans="1:10" ht="15" x14ac:dyDescent="0.2">
      <c r="A6178" s="486" t="s">
        <v>1037</v>
      </c>
      <c r="B6178" s="487" t="s">
        <v>1036</v>
      </c>
      <c r="C6178" s="488" t="s">
        <v>19733</v>
      </c>
      <c r="D6178" s="489" t="s">
        <v>19734</v>
      </c>
      <c r="E6178" s="487" t="s">
        <v>10689</v>
      </c>
      <c r="F6178" s="490">
        <v>4200</v>
      </c>
      <c r="G6178" s="489">
        <v>86.8</v>
      </c>
      <c r="H6178" s="489">
        <v>48.387099999999997</v>
      </c>
      <c r="I6178" s="487" t="s">
        <v>1499</v>
      </c>
      <c r="J6178" s="487" t="s">
        <v>1038</v>
      </c>
    </row>
    <row r="6179" spans="1:10" ht="15" x14ac:dyDescent="0.2">
      <c r="A6179" s="486" t="s">
        <v>1037</v>
      </c>
      <c r="B6179" s="487" t="s">
        <v>1036</v>
      </c>
      <c r="C6179" s="488" t="s">
        <v>19735</v>
      </c>
      <c r="D6179" s="489" t="s">
        <v>19736</v>
      </c>
      <c r="E6179" s="487" t="s">
        <v>19737</v>
      </c>
      <c r="F6179" s="490">
        <v>19535.62</v>
      </c>
      <c r="G6179" s="489">
        <v>437.2</v>
      </c>
      <c r="H6179" s="489">
        <v>44.683489999999999</v>
      </c>
      <c r="I6179" s="487" t="s">
        <v>1499</v>
      </c>
      <c r="J6179" s="487" t="s">
        <v>1038</v>
      </c>
    </row>
    <row r="6180" spans="1:10" ht="15" x14ac:dyDescent="0.2">
      <c r="A6180" s="486" t="s">
        <v>1037</v>
      </c>
      <c r="B6180" s="487" t="s">
        <v>1036</v>
      </c>
      <c r="C6180" s="488" t="s">
        <v>19738</v>
      </c>
      <c r="D6180" s="489" t="s">
        <v>19739</v>
      </c>
      <c r="E6180" s="487" t="s">
        <v>19740</v>
      </c>
      <c r="F6180" s="490">
        <v>13070</v>
      </c>
      <c r="G6180" s="489">
        <v>335.9</v>
      </c>
      <c r="H6180" s="489">
        <v>38.91039</v>
      </c>
      <c r="I6180" s="487" t="s">
        <v>1499</v>
      </c>
      <c r="J6180" s="487" t="s">
        <v>1038</v>
      </c>
    </row>
    <row r="6181" spans="1:10" ht="15" x14ac:dyDescent="0.2">
      <c r="A6181" s="486" t="s">
        <v>1037</v>
      </c>
      <c r="B6181" s="487" t="s">
        <v>1036</v>
      </c>
      <c r="C6181" s="488" t="s">
        <v>19741</v>
      </c>
      <c r="D6181" s="489" t="s">
        <v>19742</v>
      </c>
      <c r="E6181" s="487" t="s">
        <v>19743</v>
      </c>
      <c r="F6181" s="490">
        <v>13800</v>
      </c>
      <c r="G6181" s="489">
        <v>230.8</v>
      </c>
      <c r="H6181" s="489">
        <v>59.792029999999997</v>
      </c>
      <c r="I6181" s="487" t="s">
        <v>1499</v>
      </c>
      <c r="J6181" s="487" t="s">
        <v>1038</v>
      </c>
    </row>
    <row r="6182" spans="1:10" ht="15" x14ac:dyDescent="0.2">
      <c r="A6182" s="486" t="s">
        <v>1037</v>
      </c>
      <c r="B6182" s="487" t="s">
        <v>1036</v>
      </c>
      <c r="C6182" s="488" t="s">
        <v>19744</v>
      </c>
      <c r="D6182" s="489" t="s">
        <v>19745</v>
      </c>
      <c r="E6182" s="487" t="s">
        <v>19746</v>
      </c>
      <c r="F6182" s="490">
        <v>10410</v>
      </c>
      <c r="G6182" s="489">
        <v>281.8</v>
      </c>
      <c r="H6182" s="489">
        <v>36.941090000000003</v>
      </c>
      <c r="I6182" s="487" t="s">
        <v>1499</v>
      </c>
      <c r="J6182" s="487" t="s">
        <v>1038</v>
      </c>
    </row>
    <row r="6183" spans="1:10" ht="15" x14ac:dyDescent="0.2">
      <c r="A6183" s="486" t="s">
        <v>1037</v>
      </c>
      <c r="B6183" s="487" t="s">
        <v>1036</v>
      </c>
      <c r="C6183" s="488" t="s">
        <v>19747</v>
      </c>
      <c r="D6183" s="489" t="s">
        <v>19748</v>
      </c>
      <c r="E6183" s="487" t="s">
        <v>19749</v>
      </c>
      <c r="F6183" s="490">
        <v>4500</v>
      </c>
      <c r="G6183" s="489">
        <v>87.4</v>
      </c>
      <c r="H6183" s="489">
        <v>51.487409999999997</v>
      </c>
      <c r="I6183" s="487" t="s">
        <v>1499</v>
      </c>
      <c r="J6183" s="487" t="s">
        <v>1038</v>
      </c>
    </row>
    <row r="6184" spans="1:10" ht="15" x14ac:dyDescent="0.2">
      <c r="A6184" s="486" t="s">
        <v>1037</v>
      </c>
      <c r="B6184" s="487" t="s">
        <v>1036</v>
      </c>
      <c r="C6184" s="488" t="s">
        <v>19750</v>
      </c>
      <c r="D6184" s="489" t="s">
        <v>19751</v>
      </c>
      <c r="E6184" s="487" t="s">
        <v>8619</v>
      </c>
      <c r="F6184" s="490">
        <v>199026</v>
      </c>
      <c r="G6184" s="489">
        <v>2113.6</v>
      </c>
      <c r="H6184" s="489">
        <v>94.164460000000005</v>
      </c>
      <c r="I6184" s="487" t="s">
        <v>1499</v>
      </c>
      <c r="J6184" s="487" t="s">
        <v>1038</v>
      </c>
    </row>
    <row r="6185" spans="1:10" ht="15" x14ac:dyDescent="0.2">
      <c r="A6185" s="486" t="s">
        <v>1037</v>
      </c>
      <c r="B6185" s="487" t="s">
        <v>1036</v>
      </c>
      <c r="C6185" s="488" t="s">
        <v>19752</v>
      </c>
      <c r="D6185" s="489" t="s">
        <v>19753</v>
      </c>
      <c r="E6185" s="487" t="s">
        <v>19754</v>
      </c>
      <c r="F6185" s="490">
        <v>2300</v>
      </c>
      <c r="G6185" s="489">
        <v>126.7</v>
      </c>
      <c r="H6185" s="489">
        <v>18.153120000000001</v>
      </c>
      <c r="I6185" s="487" t="s">
        <v>1499</v>
      </c>
      <c r="J6185" s="487" t="s">
        <v>1038</v>
      </c>
    </row>
    <row r="6186" spans="1:10" ht="15" x14ac:dyDescent="0.2">
      <c r="A6186" s="486" t="s">
        <v>1037</v>
      </c>
      <c r="B6186" s="487" t="s">
        <v>1036</v>
      </c>
      <c r="C6186" s="488" t="s">
        <v>19755</v>
      </c>
      <c r="D6186" s="489" t="s">
        <v>19756</v>
      </c>
      <c r="E6186" s="487" t="s">
        <v>19757</v>
      </c>
      <c r="F6186" s="490">
        <v>25312</v>
      </c>
      <c r="G6186" s="489">
        <v>688.6</v>
      </c>
      <c r="H6186" s="489">
        <v>36.75864</v>
      </c>
      <c r="I6186" s="487" t="s">
        <v>1499</v>
      </c>
      <c r="J6186" s="487" t="s">
        <v>1038</v>
      </c>
    </row>
    <row r="6187" spans="1:10" ht="15" x14ac:dyDescent="0.2">
      <c r="A6187" s="486" t="s">
        <v>1037</v>
      </c>
      <c r="B6187" s="487" t="s">
        <v>1036</v>
      </c>
      <c r="C6187" s="488" t="s">
        <v>19758</v>
      </c>
      <c r="D6187" s="489" t="s">
        <v>19759</v>
      </c>
      <c r="E6187" s="487" t="s">
        <v>19760</v>
      </c>
      <c r="F6187" s="490">
        <v>1300</v>
      </c>
      <c r="G6187" s="489">
        <v>45</v>
      </c>
      <c r="H6187" s="489">
        <v>28.88889</v>
      </c>
      <c r="I6187" s="487" t="s">
        <v>1499</v>
      </c>
      <c r="J6187" s="487" t="s">
        <v>1038</v>
      </c>
    </row>
    <row r="6188" spans="1:10" ht="15" x14ac:dyDescent="0.2">
      <c r="A6188" s="486" t="s">
        <v>1037</v>
      </c>
      <c r="B6188" s="487" t="s">
        <v>1036</v>
      </c>
      <c r="C6188" s="488" t="s">
        <v>19761</v>
      </c>
      <c r="D6188" s="489" t="s">
        <v>19762</v>
      </c>
      <c r="E6188" s="487" t="s">
        <v>19763</v>
      </c>
      <c r="F6188" s="490">
        <v>74756</v>
      </c>
      <c r="G6188" s="489">
        <v>884.2</v>
      </c>
      <c r="H6188" s="489">
        <v>84.546480000000003</v>
      </c>
      <c r="I6188" s="487" t="s">
        <v>1499</v>
      </c>
      <c r="J6188" s="487" t="s">
        <v>1038</v>
      </c>
    </row>
    <row r="6189" spans="1:10" ht="15" x14ac:dyDescent="0.2">
      <c r="A6189" s="486" t="s">
        <v>1037</v>
      </c>
      <c r="B6189" s="487" t="s">
        <v>1036</v>
      </c>
      <c r="C6189" s="488" t="s">
        <v>19764</v>
      </c>
      <c r="D6189" s="489" t="s">
        <v>19765</v>
      </c>
      <c r="E6189" s="487" t="s">
        <v>18524</v>
      </c>
      <c r="F6189" s="490">
        <v>2400</v>
      </c>
      <c r="G6189" s="489">
        <v>164.7</v>
      </c>
      <c r="H6189" s="489">
        <v>14.571949999999999</v>
      </c>
      <c r="I6189" s="487" t="s">
        <v>1499</v>
      </c>
      <c r="J6189" s="487" t="s">
        <v>1038</v>
      </c>
    </row>
    <row r="6190" spans="1:10" ht="15" x14ac:dyDescent="0.2">
      <c r="A6190" s="486" t="s">
        <v>1037</v>
      </c>
      <c r="B6190" s="487" t="s">
        <v>1036</v>
      </c>
      <c r="C6190" s="488" t="s">
        <v>19766</v>
      </c>
      <c r="D6190" s="489" t="s">
        <v>19767</v>
      </c>
      <c r="E6190" s="487" t="s">
        <v>19768</v>
      </c>
      <c r="F6190" s="490">
        <v>2840</v>
      </c>
      <c r="G6190" s="489">
        <v>40.700000000000003</v>
      </c>
      <c r="H6190" s="489">
        <v>69.778869999999998</v>
      </c>
      <c r="I6190" s="487" t="s">
        <v>1499</v>
      </c>
      <c r="J6190" s="487" t="s">
        <v>1038</v>
      </c>
    </row>
    <row r="6191" spans="1:10" ht="15" x14ac:dyDescent="0.2">
      <c r="A6191" s="486" t="s">
        <v>1037</v>
      </c>
      <c r="B6191" s="487" t="s">
        <v>1036</v>
      </c>
      <c r="C6191" s="488" t="s">
        <v>19769</v>
      </c>
      <c r="D6191" s="489" t="s">
        <v>19770</v>
      </c>
      <c r="E6191" s="487" t="s">
        <v>19771</v>
      </c>
      <c r="F6191" s="490">
        <v>4500</v>
      </c>
      <c r="G6191" s="489">
        <v>70.099999999999994</v>
      </c>
      <c r="H6191" s="489">
        <v>64.194010000000006</v>
      </c>
      <c r="I6191" s="487" t="s">
        <v>1499</v>
      </c>
      <c r="J6191" s="487" t="s">
        <v>1038</v>
      </c>
    </row>
    <row r="6192" spans="1:10" ht="15" x14ac:dyDescent="0.2">
      <c r="A6192" s="486" t="s">
        <v>1037</v>
      </c>
      <c r="B6192" s="487" t="s">
        <v>1036</v>
      </c>
      <c r="C6192" s="488" t="s">
        <v>19772</v>
      </c>
      <c r="D6192" s="489" t="s">
        <v>19773</v>
      </c>
      <c r="E6192" s="487" t="s">
        <v>19774</v>
      </c>
      <c r="F6192" s="490">
        <v>7370</v>
      </c>
      <c r="G6192" s="489">
        <v>133.69999999999999</v>
      </c>
      <c r="H6192" s="489">
        <v>55.12341</v>
      </c>
      <c r="I6192" s="487" t="s">
        <v>1499</v>
      </c>
      <c r="J6192" s="487" t="s">
        <v>1038</v>
      </c>
    </row>
    <row r="6193" spans="1:10" ht="15" x14ac:dyDescent="0.2">
      <c r="A6193" s="486" t="s">
        <v>1037</v>
      </c>
      <c r="B6193" s="487" t="s">
        <v>1036</v>
      </c>
      <c r="C6193" s="488" t="s">
        <v>19775</v>
      </c>
      <c r="D6193" s="489" t="s">
        <v>19776</v>
      </c>
      <c r="E6193" s="487" t="s">
        <v>19777</v>
      </c>
      <c r="F6193" s="490">
        <v>4650</v>
      </c>
      <c r="G6193" s="489">
        <v>105.8</v>
      </c>
      <c r="H6193" s="489">
        <v>43.950850000000003</v>
      </c>
      <c r="I6193" s="487" t="s">
        <v>1499</v>
      </c>
      <c r="J6193" s="487" t="s">
        <v>1038</v>
      </c>
    </row>
    <row r="6194" spans="1:10" ht="15" x14ac:dyDescent="0.2">
      <c r="A6194" s="486" t="s">
        <v>1037</v>
      </c>
      <c r="B6194" s="487" t="s">
        <v>1036</v>
      </c>
      <c r="C6194" s="488" t="s">
        <v>19778</v>
      </c>
      <c r="D6194" s="489" t="s">
        <v>19779</v>
      </c>
      <c r="E6194" s="487" t="s">
        <v>19780</v>
      </c>
      <c r="F6194" s="490">
        <v>10000</v>
      </c>
      <c r="G6194" s="489">
        <v>162.6</v>
      </c>
      <c r="H6194" s="489">
        <v>61.500619999999998</v>
      </c>
      <c r="I6194" s="487" t="s">
        <v>1499</v>
      </c>
      <c r="J6194" s="487" t="s">
        <v>1038</v>
      </c>
    </row>
    <row r="6195" spans="1:10" ht="15" x14ac:dyDescent="0.2">
      <c r="A6195" s="486" t="s">
        <v>1037</v>
      </c>
      <c r="B6195" s="487" t="s">
        <v>1036</v>
      </c>
      <c r="C6195" s="488" t="s">
        <v>19781</v>
      </c>
      <c r="D6195" s="489" t="s">
        <v>19782</v>
      </c>
      <c r="E6195" s="487" t="s">
        <v>10271</v>
      </c>
      <c r="F6195" s="490">
        <v>13443</v>
      </c>
      <c r="G6195" s="489">
        <v>244.1</v>
      </c>
      <c r="H6195" s="489">
        <v>55.071689999999997</v>
      </c>
      <c r="I6195" s="487" t="s">
        <v>1499</v>
      </c>
      <c r="J6195" s="487" t="s">
        <v>1038</v>
      </c>
    </row>
    <row r="6196" spans="1:10" ht="15" x14ac:dyDescent="0.2">
      <c r="A6196" s="486" t="s">
        <v>1037</v>
      </c>
      <c r="B6196" s="487" t="s">
        <v>1036</v>
      </c>
      <c r="C6196" s="488" t="s">
        <v>19783</v>
      </c>
      <c r="D6196" s="489" t="s">
        <v>19784</v>
      </c>
      <c r="E6196" s="487" t="s">
        <v>19785</v>
      </c>
      <c r="F6196" s="490">
        <v>5301.4</v>
      </c>
      <c r="G6196" s="489">
        <v>268.2</v>
      </c>
      <c r="H6196" s="489">
        <v>19.766590000000001</v>
      </c>
      <c r="I6196" s="487" t="s">
        <v>1499</v>
      </c>
      <c r="J6196" s="487" t="s">
        <v>1038</v>
      </c>
    </row>
    <row r="6197" spans="1:10" ht="15" x14ac:dyDescent="0.2">
      <c r="A6197" s="486" t="s">
        <v>1037</v>
      </c>
      <c r="B6197" s="487" t="s">
        <v>1036</v>
      </c>
      <c r="C6197" s="488" t="s">
        <v>19786</v>
      </c>
      <c r="D6197" s="489" t="s">
        <v>19787</v>
      </c>
      <c r="E6197" s="487" t="s">
        <v>19788</v>
      </c>
      <c r="F6197" s="490">
        <v>2000</v>
      </c>
      <c r="G6197" s="489">
        <v>149.6</v>
      </c>
      <c r="H6197" s="489">
        <v>13.368980000000001</v>
      </c>
      <c r="I6197" s="487" t="s">
        <v>1499</v>
      </c>
      <c r="J6197" s="487" t="s">
        <v>1038</v>
      </c>
    </row>
    <row r="6198" spans="1:10" ht="15" x14ac:dyDescent="0.2">
      <c r="A6198" s="486" t="s">
        <v>1037</v>
      </c>
      <c r="B6198" s="487" t="s">
        <v>1036</v>
      </c>
      <c r="C6198" s="488" t="s">
        <v>19789</v>
      </c>
      <c r="D6198" s="489" t="s">
        <v>19790</v>
      </c>
      <c r="E6198" s="487" t="s">
        <v>19791</v>
      </c>
      <c r="F6198" s="490">
        <v>536</v>
      </c>
      <c r="G6198" s="489">
        <v>52.1</v>
      </c>
      <c r="H6198" s="489">
        <v>10.28791</v>
      </c>
      <c r="I6198" s="487" t="s">
        <v>1499</v>
      </c>
      <c r="J6198" s="487" t="s">
        <v>1038</v>
      </c>
    </row>
    <row r="6199" spans="1:10" ht="15" x14ac:dyDescent="0.2">
      <c r="A6199" s="486" t="s">
        <v>1037</v>
      </c>
      <c r="B6199" s="487" t="s">
        <v>1036</v>
      </c>
      <c r="C6199" s="488" t="s">
        <v>19792</v>
      </c>
      <c r="D6199" s="489" t="s">
        <v>19793</v>
      </c>
      <c r="E6199" s="487" t="s">
        <v>19794</v>
      </c>
      <c r="F6199" s="490">
        <v>17000</v>
      </c>
      <c r="G6199" s="489">
        <v>271</v>
      </c>
      <c r="H6199" s="489">
        <v>62.730629999999998</v>
      </c>
      <c r="I6199" s="487" t="s">
        <v>1499</v>
      </c>
      <c r="J6199" s="487" t="s">
        <v>1038</v>
      </c>
    </row>
    <row r="6200" spans="1:10" ht="15" x14ac:dyDescent="0.2">
      <c r="A6200" s="486" t="s">
        <v>1037</v>
      </c>
      <c r="B6200" s="487" t="s">
        <v>1036</v>
      </c>
      <c r="C6200" s="488" t="s">
        <v>19795</v>
      </c>
      <c r="D6200" s="489" t="s">
        <v>19796</v>
      </c>
      <c r="E6200" s="487" t="s">
        <v>19797</v>
      </c>
      <c r="F6200" s="490">
        <v>23430</v>
      </c>
      <c r="G6200" s="489">
        <v>538.1</v>
      </c>
      <c r="H6200" s="489">
        <v>43.542090000000002</v>
      </c>
      <c r="I6200" s="487" t="s">
        <v>1499</v>
      </c>
      <c r="J6200" s="487" t="s">
        <v>1038</v>
      </c>
    </row>
    <row r="6201" spans="1:10" ht="15" x14ac:dyDescent="0.2">
      <c r="A6201" s="486" t="s">
        <v>1037</v>
      </c>
      <c r="B6201" s="487" t="s">
        <v>1036</v>
      </c>
      <c r="C6201" s="488" t="s">
        <v>19798</v>
      </c>
      <c r="D6201" s="489" t="s">
        <v>19799</v>
      </c>
      <c r="E6201" s="487" t="s">
        <v>19800</v>
      </c>
      <c r="F6201" s="490">
        <v>4250</v>
      </c>
      <c r="G6201" s="489">
        <v>68.7</v>
      </c>
      <c r="H6201" s="489">
        <v>61.863169999999997</v>
      </c>
      <c r="I6201" s="487" t="s">
        <v>1499</v>
      </c>
      <c r="J6201" s="487" t="s">
        <v>1038</v>
      </c>
    </row>
    <row r="6202" spans="1:10" ht="15" x14ac:dyDescent="0.2">
      <c r="A6202" s="486" t="s">
        <v>1037</v>
      </c>
      <c r="B6202" s="487" t="s">
        <v>1036</v>
      </c>
      <c r="C6202" s="488" t="s">
        <v>19801</v>
      </c>
      <c r="D6202" s="489" t="s">
        <v>19802</v>
      </c>
      <c r="E6202" s="487" t="s">
        <v>19803</v>
      </c>
      <c r="F6202" s="490">
        <v>18000</v>
      </c>
      <c r="G6202" s="489">
        <v>237.2</v>
      </c>
      <c r="H6202" s="489">
        <v>75.885329999999996</v>
      </c>
      <c r="I6202" s="487" t="s">
        <v>1499</v>
      </c>
      <c r="J6202" s="487" t="s">
        <v>1038</v>
      </c>
    </row>
    <row r="6203" spans="1:10" ht="15" x14ac:dyDescent="0.2">
      <c r="A6203" s="486" t="s">
        <v>1037</v>
      </c>
      <c r="B6203" s="487" t="s">
        <v>1036</v>
      </c>
      <c r="C6203" s="488" t="s">
        <v>19804</v>
      </c>
      <c r="D6203" s="489" t="s">
        <v>19805</v>
      </c>
      <c r="E6203" s="487" t="s">
        <v>19806</v>
      </c>
      <c r="F6203" s="490">
        <v>0</v>
      </c>
      <c r="G6203" s="489">
        <v>73.3</v>
      </c>
      <c r="H6203" s="489">
        <v>0</v>
      </c>
      <c r="I6203" s="487" t="s">
        <v>1593</v>
      </c>
      <c r="J6203" s="487" t="s">
        <v>1038</v>
      </c>
    </row>
    <row r="6204" spans="1:10" ht="15" x14ac:dyDescent="0.2">
      <c r="A6204" s="486" t="s">
        <v>1037</v>
      </c>
      <c r="B6204" s="487" t="s">
        <v>1036</v>
      </c>
      <c r="C6204" s="488" t="s">
        <v>19807</v>
      </c>
      <c r="D6204" s="489" t="s">
        <v>19808</v>
      </c>
      <c r="E6204" s="487" t="s">
        <v>19809</v>
      </c>
      <c r="F6204" s="490">
        <v>113764</v>
      </c>
      <c r="G6204" s="489">
        <v>1315.8</v>
      </c>
      <c r="H6204" s="489">
        <v>86.459950000000006</v>
      </c>
      <c r="I6204" s="487" t="s">
        <v>1499</v>
      </c>
      <c r="J6204" s="487" t="s">
        <v>1038</v>
      </c>
    </row>
    <row r="6205" spans="1:10" ht="15" x14ac:dyDescent="0.2">
      <c r="A6205" s="486" t="s">
        <v>1037</v>
      </c>
      <c r="B6205" s="487" t="s">
        <v>1036</v>
      </c>
      <c r="C6205" s="488" t="s">
        <v>19810</v>
      </c>
      <c r="D6205" s="489" t="s">
        <v>19811</v>
      </c>
      <c r="E6205" s="487" t="s">
        <v>19812</v>
      </c>
      <c r="F6205" s="490">
        <v>13724</v>
      </c>
      <c r="G6205" s="489">
        <v>245.6</v>
      </c>
      <c r="H6205" s="489">
        <v>55.879480000000001</v>
      </c>
      <c r="I6205" s="487" t="s">
        <v>1499</v>
      </c>
      <c r="J6205" s="487" t="s">
        <v>1038</v>
      </c>
    </row>
    <row r="6206" spans="1:10" ht="15" x14ac:dyDescent="0.2">
      <c r="A6206" s="486" t="s">
        <v>1037</v>
      </c>
      <c r="B6206" s="487" t="s">
        <v>1036</v>
      </c>
      <c r="C6206" s="488" t="s">
        <v>19813</v>
      </c>
      <c r="D6206" s="489" t="s">
        <v>19814</v>
      </c>
      <c r="E6206" s="487" t="s">
        <v>19815</v>
      </c>
      <c r="F6206" s="490">
        <v>430730</v>
      </c>
      <c r="G6206" s="489">
        <v>4217.7</v>
      </c>
      <c r="H6206" s="489">
        <v>102.12438</v>
      </c>
      <c r="I6206" s="487" t="s">
        <v>1499</v>
      </c>
      <c r="J6206" s="487" t="s">
        <v>1038</v>
      </c>
    </row>
    <row r="6207" spans="1:10" ht="15" x14ac:dyDescent="0.2">
      <c r="A6207" s="486" t="s">
        <v>1037</v>
      </c>
      <c r="B6207" s="487" t="s">
        <v>1036</v>
      </c>
      <c r="C6207" s="488" t="s">
        <v>19816</v>
      </c>
      <c r="D6207" s="489" t="s">
        <v>19817</v>
      </c>
      <c r="E6207" s="487" t="s">
        <v>19818</v>
      </c>
      <c r="F6207" s="490">
        <v>21770</v>
      </c>
      <c r="G6207" s="489">
        <v>411.8</v>
      </c>
      <c r="H6207" s="489">
        <v>52.865470000000002</v>
      </c>
      <c r="I6207" s="487" t="s">
        <v>1499</v>
      </c>
      <c r="J6207" s="487" t="s">
        <v>1038</v>
      </c>
    </row>
    <row r="6208" spans="1:10" ht="15" x14ac:dyDescent="0.2">
      <c r="A6208" s="486" t="s">
        <v>1037</v>
      </c>
      <c r="B6208" s="487" t="s">
        <v>1036</v>
      </c>
      <c r="C6208" s="488" t="s">
        <v>19819</v>
      </c>
      <c r="D6208" s="489" t="s">
        <v>19820</v>
      </c>
      <c r="E6208" s="487" t="s">
        <v>19821</v>
      </c>
      <c r="F6208" s="490">
        <v>31000</v>
      </c>
      <c r="G6208" s="489">
        <v>524.5</v>
      </c>
      <c r="H6208" s="489">
        <v>59.103909999999999</v>
      </c>
      <c r="I6208" s="487" t="s">
        <v>1499</v>
      </c>
      <c r="J6208" s="487" t="s">
        <v>1038</v>
      </c>
    </row>
    <row r="6209" spans="1:10" ht="15" x14ac:dyDescent="0.2">
      <c r="A6209" s="486" t="s">
        <v>1037</v>
      </c>
      <c r="B6209" s="487" t="s">
        <v>1036</v>
      </c>
      <c r="C6209" s="488" t="s">
        <v>19822</v>
      </c>
      <c r="D6209" s="489" t="s">
        <v>19823</v>
      </c>
      <c r="E6209" s="487" t="s">
        <v>19824</v>
      </c>
      <c r="F6209" s="490">
        <v>7264</v>
      </c>
      <c r="G6209" s="489">
        <v>98.2</v>
      </c>
      <c r="H6209" s="489">
        <v>73.971490000000003</v>
      </c>
      <c r="I6209" s="487" t="s">
        <v>1499</v>
      </c>
      <c r="J6209" s="487" t="s">
        <v>1038</v>
      </c>
    </row>
    <row r="6210" spans="1:10" ht="15" x14ac:dyDescent="0.2">
      <c r="A6210" s="486" t="s">
        <v>1037</v>
      </c>
      <c r="B6210" s="487" t="s">
        <v>1036</v>
      </c>
      <c r="C6210" s="488" t="s">
        <v>19825</v>
      </c>
      <c r="D6210" s="489" t="s">
        <v>19826</v>
      </c>
      <c r="E6210" s="487" t="s">
        <v>19827</v>
      </c>
      <c r="F6210" s="490">
        <v>3445</v>
      </c>
      <c r="G6210" s="489">
        <v>50.1</v>
      </c>
      <c r="H6210" s="489">
        <v>68.762479999999996</v>
      </c>
      <c r="I6210" s="487" t="s">
        <v>1499</v>
      </c>
      <c r="J6210" s="487" t="s">
        <v>1038</v>
      </c>
    </row>
    <row r="6211" spans="1:10" ht="15" x14ac:dyDescent="0.2">
      <c r="A6211" s="486" t="s">
        <v>1037</v>
      </c>
      <c r="B6211" s="487" t="s">
        <v>1036</v>
      </c>
      <c r="C6211" s="488" t="s">
        <v>19828</v>
      </c>
      <c r="D6211" s="489" t="s">
        <v>19829</v>
      </c>
      <c r="E6211" s="487" t="s">
        <v>19830</v>
      </c>
      <c r="F6211" s="490">
        <v>19171</v>
      </c>
      <c r="G6211" s="489">
        <v>427.9</v>
      </c>
      <c r="H6211" s="489">
        <v>44.802520000000001</v>
      </c>
      <c r="I6211" s="487" t="s">
        <v>1499</v>
      </c>
      <c r="J6211" s="487" t="s">
        <v>1038</v>
      </c>
    </row>
    <row r="6212" spans="1:10" ht="15" x14ac:dyDescent="0.2">
      <c r="A6212" s="486" t="s">
        <v>1037</v>
      </c>
      <c r="B6212" s="487" t="s">
        <v>1036</v>
      </c>
      <c r="C6212" s="488" t="s">
        <v>19831</v>
      </c>
      <c r="D6212" s="489" t="s">
        <v>19832</v>
      </c>
      <c r="E6212" s="487" t="s">
        <v>19833</v>
      </c>
      <c r="F6212" s="490">
        <v>9536</v>
      </c>
      <c r="G6212" s="489">
        <v>242.6</v>
      </c>
      <c r="H6212" s="489">
        <v>39.307499999999997</v>
      </c>
      <c r="I6212" s="487" t="s">
        <v>1499</v>
      </c>
      <c r="J6212" s="487" t="s">
        <v>1038</v>
      </c>
    </row>
    <row r="6213" spans="1:10" ht="15" x14ac:dyDescent="0.2">
      <c r="A6213" s="486" t="s">
        <v>1037</v>
      </c>
      <c r="B6213" s="487" t="s">
        <v>1036</v>
      </c>
      <c r="C6213" s="488" t="s">
        <v>19834</v>
      </c>
      <c r="D6213" s="489" t="s">
        <v>19835</v>
      </c>
      <c r="E6213" s="487" t="s">
        <v>17682</v>
      </c>
      <c r="F6213" s="490">
        <v>13500</v>
      </c>
      <c r="G6213" s="489">
        <v>342.8</v>
      </c>
      <c r="H6213" s="489">
        <v>39.38156</v>
      </c>
      <c r="I6213" s="487" t="s">
        <v>1499</v>
      </c>
      <c r="J6213" s="487" t="s">
        <v>1038</v>
      </c>
    </row>
    <row r="6214" spans="1:10" ht="15" x14ac:dyDescent="0.2">
      <c r="A6214" s="486" t="s">
        <v>1037</v>
      </c>
      <c r="B6214" s="487" t="s">
        <v>1036</v>
      </c>
      <c r="C6214" s="488" t="s">
        <v>19836</v>
      </c>
      <c r="D6214" s="489" t="s">
        <v>19837</v>
      </c>
      <c r="E6214" s="487" t="s">
        <v>19838</v>
      </c>
      <c r="F6214" s="490">
        <v>18600</v>
      </c>
      <c r="G6214" s="489">
        <v>816.2</v>
      </c>
      <c r="H6214" s="489">
        <v>22.788530000000002</v>
      </c>
      <c r="I6214" s="487" t="s">
        <v>1499</v>
      </c>
      <c r="J6214" s="487" t="s">
        <v>1038</v>
      </c>
    </row>
    <row r="6215" spans="1:10" ht="15" x14ac:dyDescent="0.2">
      <c r="A6215" s="486" t="s">
        <v>1037</v>
      </c>
      <c r="B6215" s="487" t="s">
        <v>1036</v>
      </c>
      <c r="C6215" s="488" t="s">
        <v>19839</v>
      </c>
      <c r="D6215" s="489" t="s">
        <v>19840</v>
      </c>
      <c r="E6215" s="487" t="s">
        <v>19841</v>
      </c>
      <c r="F6215" s="490">
        <v>19050</v>
      </c>
      <c r="G6215" s="489">
        <v>242.6</v>
      </c>
      <c r="H6215" s="489">
        <v>78.524320000000003</v>
      </c>
      <c r="I6215" s="487" t="s">
        <v>1499</v>
      </c>
      <c r="J6215" s="487" t="s">
        <v>1038</v>
      </c>
    </row>
    <row r="6216" spans="1:10" ht="15" x14ac:dyDescent="0.2">
      <c r="A6216" s="486" t="s">
        <v>1037</v>
      </c>
      <c r="B6216" s="487" t="s">
        <v>1036</v>
      </c>
      <c r="C6216" s="488" t="s">
        <v>19842</v>
      </c>
      <c r="D6216" s="489" t="s">
        <v>19843</v>
      </c>
      <c r="E6216" s="487" t="s">
        <v>19844</v>
      </c>
      <c r="F6216" s="490">
        <v>9744</v>
      </c>
      <c r="G6216" s="489">
        <v>155.4</v>
      </c>
      <c r="H6216" s="489">
        <v>62.7027</v>
      </c>
      <c r="I6216" s="487" t="s">
        <v>1499</v>
      </c>
      <c r="J6216" s="487" t="s">
        <v>1038</v>
      </c>
    </row>
    <row r="6217" spans="1:10" ht="15" x14ac:dyDescent="0.2">
      <c r="A6217" s="486" t="s">
        <v>1037</v>
      </c>
      <c r="B6217" s="487" t="s">
        <v>1036</v>
      </c>
      <c r="C6217" s="488" t="s">
        <v>19845</v>
      </c>
      <c r="D6217" s="489" t="s">
        <v>19846</v>
      </c>
      <c r="E6217" s="487" t="s">
        <v>19847</v>
      </c>
      <c r="F6217" s="490">
        <v>16500</v>
      </c>
      <c r="G6217" s="489">
        <v>289.2</v>
      </c>
      <c r="H6217" s="489">
        <v>57.053939999999997</v>
      </c>
      <c r="I6217" s="487" t="s">
        <v>1499</v>
      </c>
      <c r="J6217" s="487" t="s">
        <v>1038</v>
      </c>
    </row>
    <row r="6218" spans="1:10" ht="15" x14ac:dyDescent="0.2">
      <c r="A6218" s="486" t="s">
        <v>1037</v>
      </c>
      <c r="B6218" s="487" t="s">
        <v>1036</v>
      </c>
      <c r="C6218" s="488" t="s">
        <v>19848</v>
      </c>
      <c r="D6218" s="489" t="s">
        <v>19849</v>
      </c>
      <c r="E6218" s="487" t="s">
        <v>19850</v>
      </c>
      <c r="F6218" s="490">
        <v>9890</v>
      </c>
      <c r="G6218" s="489">
        <v>298.10000000000002</v>
      </c>
      <c r="H6218" s="489">
        <v>33.176789999999997</v>
      </c>
      <c r="I6218" s="487" t="s">
        <v>1499</v>
      </c>
      <c r="J6218" s="487" t="s">
        <v>1038</v>
      </c>
    </row>
    <row r="6219" spans="1:10" ht="15" x14ac:dyDescent="0.2">
      <c r="A6219" s="486" t="s">
        <v>1037</v>
      </c>
      <c r="B6219" s="487" t="s">
        <v>1036</v>
      </c>
      <c r="C6219" s="488" t="s">
        <v>19851</v>
      </c>
      <c r="D6219" s="489" t="s">
        <v>19852</v>
      </c>
      <c r="E6219" s="487" t="s">
        <v>19853</v>
      </c>
      <c r="F6219" s="490">
        <v>13908</v>
      </c>
      <c r="G6219" s="489">
        <v>241.4</v>
      </c>
      <c r="H6219" s="489">
        <v>57.61392</v>
      </c>
      <c r="I6219" s="487" t="s">
        <v>1499</v>
      </c>
      <c r="J6219" s="487" t="s">
        <v>1038</v>
      </c>
    </row>
    <row r="6220" spans="1:10" ht="15" x14ac:dyDescent="0.2">
      <c r="A6220" s="486" t="s">
        <v>1037</v>
      </c>
      <c r="B6220" s="487" t="s">
        <v>1036</v>
      </c>
      <c r="C6220" s="488" t="s">
        <v>19854</v>
      </c>
      <c r="D6220" s="489" t="s">
        <v>19855</v>
      </c>
      <c r="E6220" s="487" t="s">
        <v>19856</v>
      </c>
      <c r="F6220" s="490">
        <v>404403.39</v>
      </c>
      <c r="G6220" s="489">
        <v>3569</v>
      </c>
      <c r="H6220" s="489">
        <v>113.31</v>
      </c>
      <c r="I6220" s="487" t="s">
        <v>1499</v>
      </c>
      <c r="J6220" s="487" t="s">
        <v>1038</v>
      </c>
    </row>
    <row r="6221" spans="1:10" ht="15" x14ac:dyDescent="0.2">
      <c r="A6221" s="486" t="s">
        <v>1037</v>
      </c>
      <c r="B6221" s="487" t="s">
        <v>1036</v>
      </c>
      <c r="C6221" s="488" t="s">
        <v>19857</v>
      </c>
      <c r="D6221" s="489" t="s">
        <v>19858</v>
      </c>
      <c r="E6221" s="487" t="s">
        <v>19859</v>
      </c>
      <c r="F6221" s="490">
        <v>2025</v>
      </c>
      <c r="G6221" s="489">
        <v>56.2</v>
      </c>
      <c r="H6221" s="489">
        <v>36.032029999999999</v>
      </c>
      <c r="I6221" s="487" t="s">
        <v>1499</v>
      </c>
      <c r="J6221" s="487" t="s">
        <v>1038</v>
      </c>
    </row>
    <row r="6222" spans="1:10" ht="15" x14ac:dyDescent="0.2">
      <c r="A6222" s="486" t="s">
        <v>1037</v>
      </c>
      <c r="B6222" s="487" t="s">
        <v>1036</v>
      </c>
      <c r="C6222" s="488" t="s">
        <v>19860</v>
      </c>
      <c r="D6222" s="489" t="s">
        <v>19861</v>
      </c>
      <c r="E6222" s="487" t="s">
        <v>19862</v>
      </c>
      <c r="F6222" s="490">
        <v>1144</v>
      </c>
      <c r="G6222" s="489">
        <v>93.3</v>
      </c>
      <c r="H6222" s="489">
        <v>12.261520000000001</v>
      </c>
      <c r="I6222" s="487" t="s">
        <v>1499</v>
      </c>
      <c r="J6222" s="487" t="s">
        <v>1038</v>
      </c>
    </row>
    <row r="6223" spans="1:10" ht="15" x14ac:dyDescent="0.2">
      <c r="A6223" s="486" t="s">
        <v>1037</v>
      </c>
      <c r="B6223" s="487" t="s">
        <v>1036</v>
      </c>
      <c r="C6223" s="488" t="s">
        <v>19863</v>
      </c>
      <c r="D6223" s="489" t="s">
        <v>19864</v>
      </c>
      <c r="E6223" s="487" t="s">
        <v>19865</v>
      </c>
      <c r="F6223" s="490">
        <v>4022</v>
      </c>
      <c r="G6223" s="489">
        <v>106.3</v>
      </c>
      <c r="H6223" s="489">
        <v>37.836309999999997</v>
      </c>
      <c r="I6223" s="487" t="s">
        <v>1499</v>
      </c>
      <c r="J6223" s="487" t="s">
        <v>1038</v>
      </c>
    </row>
    <row r="6224" spans="1:10" ht="15" x14ac:dyDescent="0.2">
      <c r="A6224" s="486" t="s">
        <v>1037</v>
      </c>
      <c r="B6224" s="487" t="s">
        <v>1036</v>
      </c>
      <c r="C6224" s="488" t="s">
        <v>19866</v>
      </c>
      <c r="D6224" s="489" t="s">
        <v>19867</v>
      </c>
      <c r="E6224" s="487" t="s">
        <v>19868</v>
      </c>
      <c r="F6224" s="490">
        <v>6750</v>
      </c>
      <c r="G6224" s="489">
        <v>196.4</v>
      </c>
      <c r="H6224" s="489">
        <v>34.368639999999999</v>
      </c>
      <c r="I6224" s="487" t="s">
        <v>1499</v>
      </c>
      <c r="J6224" s="487" t="s">
        <v>1038</v>
      </c>
    </row>
    <row r="6225" spans="1:10" ht="15" x14ac:dyDescent="0.2">
      <c r="A6225" s="486" t="s">
        <v>1037</v>
      </c>
      <c r="B6225" s="487" t="s">
        <v>1036</v>
      </c>
      <c r="C6225" s="488" t="s">
        <v>19869</v>
      </c>
      <c r="D6225" s="489" t="s">
        <v>19870</v>
      </c>
      <c r="E6225" s="487" t="s">
        <v>19871</v>
      </c>
      <c r="F6225" s="490">
        <v>18000</v>
      </c>
      <c r="G6225" s="489">
        <v>368.1</v>
      </c>
      <c r="H6225" s="489">
        <v>48.899760000000001</v>
      </c>
      <c r="I6225" s="487" t="s">
        <v>1499</v>
      </c>
      <c r="J6225" s="487" t="s">
        <v>1038</v>
      </c>
    </row>
    <row r="6226" spans="1:10" ht="15" x14ac:dyDescent="0.2">
      <c r="A6226" s="486" t="s">
        <v>1037</v>
      </c>
      <c r="B6226" s="487" t="s">
        <v>1036</v>
      </c>
      <c r="C6226" s="488" t="s">
        <v>19872</v>
      </c>
      <c r="D6226" s="489" t="s">
        <v>19873</v>
      </c>
      <c r="E6226" s="487" t="s">
        <v>19874</v>
      </c>
      <c r="F6226" s="490">
        <v>200000</v>
      </c>
      <c r="G6226" s="489">
        <v>1227.0999999999999</v>
      </c>
      <c r="H6226" s="489">
        <v>162.98589999999999</v>
      </c>
      <c r="I6226" s="487" t="s">
        <v>1499</v>
      </c>
      <c r="J6226" s="487" t="s">
        <v>1038</v>
      </c>
    </row>
    <row r="6227" spans="1:10" ht="15" x14ac:dyDescent="0.2">
      <c r="A6227" s="486" t="s">
        <v>1037</v>
      </c>
      <c r="B6227" s="487" t="s">
        <v>1036</v>
      </c>
      <c r="C6227" s="488" t="s">
        <v>19875</v>
      </c>
      <c r="D6227" s="489" t="s">
        <v>19876</v>
      </c>
      <c r="E6227" s="487" t="s">
        <v>19877</v>
      </c>
      <c r="F6227" s="490">
        <v>27165</v>
      </c>
      <c r="G6227" s="489">
        <v>146</v>
      </c>
      <c r="H6227" s="489">
        <v>186.06164000000001</v>
      </c>
      <c r="I6227" s="487" t="s">
        <v>1499</v>
      </c>
      <c r="J6227" s="487" t="s">
        <v>1038</v>
      </c>
    </row>
    <row r="6228" spans="1:10" ht="15" x14ac:dyDescent="0.2">
      <c r="A6228" s="486" t="s">
        <v>1037</v>
      </c>
      <c r="B6228" s="487" t="s">
        <v>1036</v>
      </c>
      <c r="C6228" s="488" t="s">
        <v>19878</v>
      </c>
      <c r="D6228" s="489" t="s">
        <v>19879</v>
      </c>
      <c r="E6228" s="487" t="s">
        <v>19880</v>
      </c>
      <c r="F6228" s="490">
        <v>8100</v>
      </c>
      <c r="G6228" s="489">
        <v>156.1</v>
      </c>
      <c r="H6228" s="489">
        <v>51.889809999999997</v>
      </c>
      <c r="I6228" s="487" t="s">
        <v>1499</v>
      </c>
      <c r="J6228" s="487" t="s">
        <v>1038</v>
      </c>
    </row>
    <row r="6229" spans="1:10" ht="15" x14ac:dyDescent="0.2">
      <c r="A6229" s="486" t="s">
        <v>1037</v>
      </c>
      <c r="B6229" s="487" t="s">
        <v>1036</v>
      </c>
      <c r="C6229" s="488" t="s">
        <v>19881</v>
      </c>
      <c r="D6229" s="489" t="s">
        <v>19882</v>
      </c>
      <c r="E6229" s="487" t="s">
        <v>19883</v>
      </c>
      <c r="F6229" s="490">
        <v>5900</v>
      </c>
      <c r="G6229" s="489">
        <v>99.6</v>
      </c>
      <c r="H6229" s="489">
        <v>59.23695</v>
      </c>
      <c r="I6229" s="487" t="s">
        <v>1499</v>
      </c>
      <c r="J6229" s="487" t="s">
        <v>1038</v>
      </c>
    </row>
    <row r="6230" spans="1:10" ht="15" x14ac:dyDescent="0.2">
      <c r="A6230" s="486" t="s">
        <v>1037</v>
      </c>
      <c r="B6230" s="487" t="s">
        <v>1036</v>
      </c>
      <c r="C6230" s="488" t="s">
        <v>19884</v>
      </c>
      <c r="D6230" s="489" t="s">
        <v>19885</v>
      </c>
      <c r="E6230" s="487" t="s">
        <v>19886</v>
      </c>
      <c r="F6230" s="490">
        <v>2000</v>
      </c>
      <c r="G6230" s="489">
        <v>69.400000000000006</v>
      </c>
      <c r="H6230" s="489">
        <v>28.818439999999999</v>
      </c>
      <c r="I6230" s="487" t="s">
        <v>1499</v>
      </c>
      <c r="J6230" s="487" t="s">
        <v>1038</v>
      </c>
    </row>
    <row r="6231" spans="1:10" ht="15" x14ac:dyDescent="0.2">
      <c r="A6231" s="486" t="s">
        <v>1037</v>
      </c>
      <c r="B6231" s="487" t="s">
        <v>1036</v>
      </c>
      <c r="C6231" s="488" t="s">
        <v>19887</v>
      </c>
      <c r="D6231" s="489" t="s">
        <v>19888</v>
      </c>
      <c r="E6231" s="487" t="s">
        <v>19889</v>
      </c>
      <c r="F6231" s="490">
        <v>4530</v>
      </c>
      <c r="G6231" s="489">
        <v>110.9</v>
      </c>
      <c r="H6231" s="489">
        <v>40.847610000000003</v>
      </c>
      <c r="I6231" s="487" t="s">
        <v>1499</v>
      </c>
      <c r="J6231" s="487" t="s">
        <v>1038</v>
      </c>
    </row>
    <row r="6232" spans="1:10" ht="15" x14ac:dyDescent="0.2">
      <c r="A6232" s="486" t="s">
        <v>1037</v>
      </c>
      <c r="B6232" s="487" t="s">
        <v>1036</v>
      </c>
      <c r="C6232" s="488" t="s">
        <v>19890</v>
      </c>
      <c r="D6232" s="489" t="s">
        <v>19891</v>
      </c>
      <c r="E6232" s="487" t="s">
        <v>1263</v>
      </c>
      <c r="F6232" s="490">
        <v>18000</v>
      </c>
      <c r="G6232" s="489">
        <v>407.4</v>
      </c>
      <c r="H6232" s="489">
        <v>44.18262</v>
      </c>
      <c r="I6232" s="487" t="s">
        <v>1499</v>
      </c>
      <c r="J6232" s="487" t="s">
        <v>1038</v>
      </c>
    </row>
    <row r="6233" spans="1:10" ht="15" x14ac:dyDescent="0.2">
      <c r="A6233" s="486" t="s">
        <v>1037</v>
      </c>
      <c r="B6233" s="487" t="s">
        <v>1036</v>
      </c>
      <c r="C6233" s="488" t="s">
        <v>19892</v>
      </c>
      <c r="D6233" s="489" t="s">
        <v>19893</v>
      </c>
      <c r="E6233" s="487" t="s">
        <v>19894</v>
      </c>
      <c r="F6233" s="490">
        <v>5665</v>
      </c>
      <c r="G6233" s="489">
        <v>118.6</v>
      </c>
      <c r="H6233" s="489">
        <v>47.765599999999999</v>
      </c>
      <c r="I6233" s="487" t="s">
        <v>1499</v>
      </c>
      <c r="J6233" s="487" t="s">
        <v>1038</v>
      </c>
    </row>
    <row r="6234" spans="1:10" ht="15" x14ac:dyDescent="0.2">
      <c r="A6234" s="486" t="s">
        <v>1037</v>
      </c>
      <c r="B6234" s="487" t="s">
        <v>1036</v>
      </c>
      <c r="C6234" s="488" t="s">
        <v>19895</v>
      </c>
      <c r="D6234" s="489" t="s">
        <v>19896</v>
      </c>
      <c r="E6234" s="487" t="s">
        <v>19897</v>
      </c>
      <c r="F6234" s="490">
        <v>7400</v>
      </c>
      <c r="G6234" s="489">
        <v>150.9</v>
      </c>
      <c r="H6234" s="489">
        <v>49.039099999999998</v>
      </c>
      <c r="I6234" s="487" t="s">
        <v>1499</v>
      </c>
      <c r="J6234" s="487" t="s">
        <v>1038</v>
      </c>
    </row>
    <row r="6235" spans="1:10" ht="15" x14ac:dyDescent="0.2">
      <c r="A6235" s="486" t="s">
        <v>1037</v>
      </c>
      <c r="B6235" s="487" t="s">
        <v>1036</v>
      </c>
      <c r="C6235" s="488" t="s">
        <v>19898</v>
      </c>
      <c r="D6235" s="489" t="s">
        <v>19899</v>
      </c>
      <c r="E6235" s="487" t="s">
        <v>19900</v>
      </c>
      <c r="F6235" s="490">
        <v>9269</v>
      </c>
      <c r="G6235" s="489">
        <v>94.1</v>
      </c>
      <c r="H6235" s="489">
        <v>98.501589999999993</v>
      </c>
      <c r="I6235" s="487" t="s">
        <v>1499</v>
      </c>
      <c r="J6235" s="487" t="s">
        <v>1038</v>
      </c>
    </row>
    <row r="6236" spans="1:10" ht="15" x14ac:dyDescent="0.2">
      <c r="A6236" s="486" t="s">
        <v>1037</v>
      </c>
      <c r="B6236" s="487" t="s">
        <v>1036</v>
      </c>
      <c r="C6236" s="488" t="s">
        <v>19901</v>
      </c>
      <c r="D6236" s="489" t="s">
        <v>19902</v>
      </c>
      <c r="E6236" s="487" t="s">
        <v>19903</v>
      </c>
      <c r="F6236" s="490">
        <v>6868</v>
      </c>
      <c r="G6236" s="489">
        <v>292.60000000000002</v>
      </c>
      <c r="H6236" s="489">
        <v>23.47232</v>
      </c>
      <c r="I6236" s="487" t="s">
        <v>1499</v>
      </c>
      <c r="J6236" s="487" t="s">
        <v>1038</v>
      </c>
    </row>
    <row r="6237" spans="1:10" ht="15" x14ac:dyDescent="0.2">
      <c r="A6237" s="486" t="s">
        <v>1037</v>
      </c>
      <c r="B6237" s="487" t="s">
        <v>1036</v>
      </c>
      <c r="C6237" s="488" t="s">
        <v>19904</v>
      </c>
      <c r="D6237" s="489" t="s">
        <v>19905</v>
      </c>
      <c r="E6237" s="487" t="s">
        <v>19906</v>
      </c>
      <c r="F6237" s="490">
        <v>6600</v>
      </c>
      <c r="G6237" s="489">
        <v>106.4</v>
      </c>
      <c r="H6237" s="489">
        <v>62.030079999999998</v>
      </c>
      <c r="I6237" s="487" t="s">
        <v>1499</v>
      </c>
      <c r="J6237" s="487" t="s">
        <v>1038</v>
      </c>
    </row>
    <row r="6238" spans="1:10" ht="15" x14ac:dyDescent="0.2">
      <c r="A6238" s="486" t="s">
        <v>1037</v>
      </c>
      <c r="B6238" s="487" t="s">
        <v>1036</v>
      </c>
      <c r="C6238" s="488" t="s">
        <v>19907</v>
      </c>
      <c r="D6238" s="489" t="s">
        <v>19908</v>
      </c>
      <c r="E6238" s="487" t="s">
        <v>19909</v>
      </c>
      <c r="F6238" s="490">
        <v>7250</v>
      </c>
      <c r="G6238" s="489">
        <v>130.80000000000001</v>
      </c>
      <c r="H6238" s="489">
        <v>55.428130000000003</v>
      </c>
      <c r="I6238" s="487" t="s">
        <v>1499</v>
      </c>
      <c r="J6238" s="487" t="s">
        <v>1038</v>
      </c>
    </row>
    <row r="6239" spans="1:10" ht="15" x14ac:dyDescent="0.2">
      <c r="A6239" s="486" t="s">
        <v>1037</v>
      </c>
      <c r="B6239" s="487" t="s">
        <v>1036</v>
      </c>
      <c r="C6239" s="488" t="s">
        <v>19910</v>
      </c>
      <c r="D6239" s="489" t="s">
        <v>19911</v>
      </c>
      <c r="E6239" s="487" t="s">
        <v>19912</v>
      </c>
      <c r="F6239" s="490">
        <v>0</v>
      </c>
      <c r="G6239" s="489">
        <v>33.5</v>
      </c>
      <c r="H6239" s="489">
        <v>0</v>
      </c>
      <c r="I6239" s="487" t="s">
        <v>1593</v>
      </c>
      <c r="J6239" s="487" t="s">
        <v>1038</v>
      </c>
    </row>
    <row r="6240" spans="1:10" ht="15" x14ac:dyDescent="0.2">
      <c r="A6240" s="486" t="s">
        <v>1037</v>
      </c>
      <c r="B6240" s="487" t="s">
        <v>1036</v>
      </c>
      <c r="C6240" s="488" t="s">
        <v>19913</v>
      </c>
      <c r="D6240" s="489" t="s">
        <v>19914</v>
      </c>
      <c r="E6240" s="487" t="s">
        <v>19915</v>
      </c>
      <c r="F6240" s="490">
        <v>5950</v>
      </c>
      <c r="G6240" s="489">
        <v>125.1</v>
      </c>
      <c r="H6240" s="489">
        <v>47.561950000000003</v>
      </c>
      <c r="I6240" s="487" t="s">
        <v>1499</v>
      </c>
      <c r="J6240" s="487" t="s">
        <v>1038</v>
      </c>
    </row>
    <row r="6241" spans="1:10" ht="15" x14ac:dyDescent="0.2">
      <c r="A6241" s="486" t="s">
        <v>1037</v>
      </c>
      <c r="B6241" s="487" t="s">
        <v>1036</v>
      </c>
      <c r="C6241" s="488" t="s">
        <v>19916</v>
      </c>
      <c r="D6241" s="489" t="s">
        <v>19917</v>
      </c>
      <c r="E6241" s="487" t="s">
        <v>19918</v>
      </c>
      <c r="F6241" s="490">
        <v>11609</v>
      </c>
      <c r="G6241" s="489">
        <v>140.6</v>
      </c>
      <c r="H6241" s="489">
        <v>82.567570000000003</v>
      </c>
      <c r="I6241" s="487" t="s">
        <v>1499</v>
      </c>
      <c r="J6241" s="487" t="s">
        <v>1038</v>
      </c>
    </row>
    <row r="6242" spans="1:10" ht="15" x14ac:dyDescent="0.2">
      <c r="A6242" s="486" t="s">
        <v>1037</v>
      </c>
      <c r="B6242" s="487" t="s">
        <v>1036</v>
      </c>
      <c r="C6242" s="488" t="s">
        <v>19919</v>
      </c>
      <c r="D6242" s="489" t="s">
        <v>19920</v>
      </c>
      <c r="E6242" s="487" t="s">
        <v>19921</v>
      </c>
      <c r="F6242" s="490">
        <v>27634</v>
      </c>
      <c r="G6242" s="489">
        <v>390.2</v>
      </c>
      <c r="H6242" s="489">
        <v>70.820089999999993</v>
      </c>
      <c r="I6242" s="487" t="s">
        <v>1499</v>
      </c>
      <c r="J6242" s="487" t="s">
        <v>1038</v>
      </c>
    </row>
    <row r="6243" spans="1:10" ht="15" x14ac:dyDescent="0.2">
      <c r="A6243" s="486" t="s">
        <v>1037</v>
      </c>
      <c r="B6243" s="487" t="s">
        <v>1036</v>
      </c>
      <c r="C6243" s="488" t="s">
        <v>19922</v>
      </c>
      <c r="D6243" s="489" t="s">
        <v>19923</v>
      </c>
      <c r="E6243" s="487" t="s">
        <v>19924</v>
      </c>
      <c r="F6243" s="490">
        <v>9850</v>
      </c>
      <c r="G6243" s="489">
        <v>268</v>
      </c>
      <c r="H6243" s="489">
        <v>36.753729999999997</v>
      </c>
      <c r="I6243" s="487" t="s">
        <v>1499</v>
      </c>
      <c r="J6243" s="487" t="s">
        <v>1038</v>
      </c>
    </row>
    <row r="6244" spans="1:10" ht="15" x14ac:dyDescent="0.2">
      <c r="A6244" s="486" t="s">
        <v>1037</v>
      </c>
      <c r="B6244" s="487" t="s">
        <v>1036</v>
      </c>
      <c r="C6244" s="488" t="s">
        <v>19925</v>
      </c>
      <c r="D6244" s="489" t="s">
        <v>19926</v>
      </c>
      <c r="E6244" s="487" t="s">
        <v>19927</v>
      </c>
      <c r="F6244" s="490">
        <v>5804</v>
      </c>
      <c r="G6244" s="489">
        <v>118.1</v>
      </c>
      <c r="H6244" s="489">
        <v>49.14479</v>
      </c>
      <c r="I6244" s="487" t="s">
        <v>1499</v>
      </c>
      <c r="J6244" s="487" t="s">
        <v>1038</v>
      </c>
    </row>
    <row r="6245" spans="1:10" ht="15" x14ac:dyDescent="0.2">
      <c r="A6245" s="486" t="s">
        <v>1037</v>
      </c>
      <c r="B6245" s="487" t="s">
        <v>1036</v>
      </c>
      <c r="C6245" s="488" t="s">
        <v>19928</v>
      </c>
      <c r="D6245" s="489" t="s">
        <v>19929</v>
      </c>
      <c r="E6245" s="487" t="s">
        <v>18047</v>
      </c>
      <c r="F6245" s="490">
        <v>9815</v>
      </c>
      <c r="G6245" s="489">
        <v>253.6</v>
      </c>
      <c r="H6245" s="489">
        <v>38.702680000000001</v>
      </c>
      <c r="I6245" s="487" t="s">
        <v>1499</v>
      </c>
      <c r="J6245" s="487" t="s">
        <v>1038</v>
      </c>
    </row>
    <row r="6246" spans="1:10" ht="15" x14ac:dyDescent="0.2">
      <c r="A6246" s="486" t="s">
        <v>1037</v>
      </c>
      <c r="B6246" s="487" t="s">
        <v>1036</v>
      </c>
      <c r="C6246" s="488" t="s">
        <v>19930</v>
      </c>
      <c r="D6246" s="489" t="s">
        <v>19931</v>
      </c>
      <c r="E6246" s="487" t="s">
        <v>19932</v>
      </c>
      <c r="F6246" s="490">
        <v>33400</v>
      </c>
      <c r="G6246" s="489">
        <v>409</v>
      </c>
      <c r="H6246" s="489">
        <v>81.662589999999994</v>
      </c>
      <c r="I6246" s="487" t="s">
        <v>1499</v>
      </c>
      <c r="J6246" s="487" t="s">
        <v>1038</v>
      </c>
    </row>
    <row r="6247" spans="1:10" ht="15" x14ac:dyDescent="0.2">
      <c r="A6247" s="486" t="s">
        <v>1037</v>
      </c>
      <c r="B6247" s="487" t="s">
        <v>1036</v>
      </c>
      <c r="C6247" s="488" t="s">
        <v>19933</v>
      </c>
      <c r="D6247" s="489" t="s">
        <v>19934</v>
      </c>
      <c r="E6247" s="487" t="s">
        <v>19935</v>
      </c>
      <c r="F6247" s="490">
        <v>7000</v>
      </c>
      <c r="G6247" s="489">
        <v>100.6</v>
      </c>
      <c r="H6247" s="489">
        <v>69.582499999999996</v>
      </c>
      <c r="I6247" s="487" t="s">
        <v>1499</v>
      </c>
      <c r="J6247" s="487" t="s">
        <v>1038</v>
      </c>
    </row>
    <row r="6248" spans="1:10" ht="15" x14ac:dyDescent="0.2">
      <c r="A6248" s="486" t="s">
        <v>1037</v>
      </c>
      <c r="B6248" s="487" t="s">
        <v>1036</v>
      </c>
      <c r="C6248" s="488" t="s">
        <v>19936</v>
      </c>
      <c r="D6248" s="489" t="s">
        <v>19937</v>
      </c>
      <c r="E6248" s="487" t="s">
        <v>19938</v>
      </c>
      <c r="F6248" s="490">
        <v>110200</v>
      </c>
      <c r="G6248" s="489">
        <v>1419.7</v>
      </c>
      <c r="H6248" s="489">
        <v>77.622029999999995</v>
      </c>
      <c r="I6248" s="487" t="s">
        <v>1499</v>
      </c>
      <c r="J6248" s="487" t="s">
        <v>1038</v>
      </c>
    </row>
    <row r="6249" spans="1:10" ht="15" x14ac:dyDescent="0.2">
      <c r="A6249" s="486" t="s">
        <v>1037</v>
      </c>
      <c r="B6249" s="487" t="s">
        <v>1036</v>
      </c>
      <c r="C6249" s="488" t="s">
        <v>19939</v>
      </c>
      <c r="D6249" s="489" t="s">
        <v>19940</v>
      </c>
      <c r="E6249" s="487" t="s">
        <v>19941</v>
      </c>
      <c r="F6249" s="490">
        <v>0</v>
      </c>
      <c r="G6249" s="489">
        <v>33.700000000000003</v>
      </c>
      <c r="H6249" s="489">
        <v>0</v>
      </c>
      <c r="I6249" s="487" t="s">
        <v>1593</v>
      </c>
      <c r="J6249" s="487" t="s">
        <v>1038</v>
      </c>
    </row>
    <row r="6250" spans="1:10" ht="15" x14ac:dyDescent="0.2">
      <c r="A6250" s="486" t="s">
        <v>1037</v>
      </c>
      <c r="B6250" s="487" t="s">
        <v>1036</v>
      </c>
      <c r="C6250" s="488" t="s">
        <v>19942</v>
      </c>
      <c r="D6250" s="489" t="s">
        <v>19943</v>
      </c>
      <c r="E6250" s="487" t="s">
        <v>19944</v>
      </c>
      <c r="F6250" s="490">
        <v>26050</v>
      </c>
      <c r="G6250" s="489">
        <v>416</v>
      </c>
      <c r="H6250" s="489">
        <v>62.620190000000001</v>
      </c>
      <c r="I6250" s="487" t="s">
        <v>1499</v>
      </c>
      <c r="J6250" s="487" t="s">
        <v>1038</v>
      </c>
    </row>
    <row r="6251" spans="1:10" ht="15" x14ac:dyDescent="0.2">
      <c r="A6251" s="486" t="s">
        <v>1037</v>
      </c>
      <c r="B6251" s="487" t="s">
        <v>1036</v>
      </c>
      <c r="C6251" s="488" t="s">
        <v>19945</v>
      </c>
      <c r="D6251" s="489" t="s">
        <v>19946</v>
      </c>
      <c r="E6251" s="487" t="s">
        <v>19947</v>
      </c>
      <c r="F6251" s="490">
        <v>3700</v>
      </c>
      <c r="G6251" s="489">
        <v>57.2</v>
      </c>
      <c r="H6251" s="489">
        <v>64.685310000000001</v>
      </c>
      <c r="I6251" s="487" t="s">
        <v>1499</v>
      </c>
      <c r="J6251" s="487" t="s">
        <v>1038</v>
      </c>
    </row>
    <row r="6252" spans="1:10" ht="15" x14ac:dyDescent="0.2">
      <c r="A6252" s="486" t="s">
        <v>1037</v>
      </c>
      <c r="B6252" s="487" t="s">
        <v>1036</v>
      </c>
      <c r="C6252" s="488" t="s">
        <v>19948</v>
      </c>
      <c r="D6252" s="489" t="s">
        <v>19949</v>
      </c>
      <c r="E6252" s="487" t="s">
        <v>19950</v>
      </c>
      <c r="F6252" s="490">
        <v>5250</v>
      </c>
      <c r="G6252" s="489">
        <v>130.1</v>
      </c>
      <c r="H6252" s="489">
        <v>40.353569999999998</v>
      </c>
      <c r="I6252" s="487" t="s">
        <v>1499</v>
      </c>
      <c r="J6252" s="487" t="s">
        <v>1038</v>
      </c>
    </row>
    <row r="6253" spans="1:10" ht="15" x14ac:dyDescent="0.2">
      <c r="A6253" s="486" t="s">
        <v>1037</v>
      </c>
      <c r="B6253" s="487" t="s">
        <v>1036</v>
      </c>
      <c r="C6253" s="488" t="s">
        <v>19951</v>
      </c>
      <c r="D6253" s="489" t="s">
        <v>19952</v>
      </c>
      <c r="E6253" s="487" t="s">
        <v>19953</v>
      </c>
      <c r="F6253" s="490">
        <v>5150</v>
      </c>
      <c r="G6253" s="489">
        <v>143.9</v>
      </c>
      <c r="H6253" s="489">
        <v>35.788739999999997</v>
      </c>
      <c r="I6253" s="487" t="s">
        <v>1499</v>
      </c>
      <c r="J6253" s="487" t="s">
        <v>1038</v>
      </c>
    </row>
    <row r="6254" spans="1:10" ht="15" x14ac:dyDescent="0.2">
      <c r="A6254" s="486" t="s">
        <v>1037</v>
      </c>
      <c r="B6254" s="487" t="s">
        <v>1036</v>
      </c>
      <c r="C6254" s="488" t="s">
        <v>19954</v>
      </c>
      <c r="D6254" s="489" t="s">
        <v>19955</v>
      </c>
      <c r="E6254" s="487" t="s">
        <v>19956</v>
      </c>
      <c r="F6254" s="490">
        <v>3937</v>
      </c>
      <c r="G6254" s="489">
        <v>96.5</v>
      </c>
      <c r="H6254" s="489">
        <v>40.797930000000001</v>
      </c>
      <c r="I6254" s="487" t="s">
        <v>1499</v>
      </c>
      <c r="J6254" s="487" t="s">
        <v>1038</v>
      </c>
    </row>
    <row r="6255" spans="1:10" ht="15" x14ac:dyDescent="0.2">
      <c r="A6255" s="486" t="s">
        <v>1037</v>
      </c>
      <c r="B6255" s="487" t="s">
        <v>1036</v>
      </c>
      <c r="C6255" s="488" t="s">
        <v>19957</v>
      </c>
      <c r="D6255" s="489" t="s">
        <v>19958</v>
      </c>
      <c r="E6255" s="487" t="s">
        <v>19959</v>
      </c>
      <c r="F6255" s="490">
        <v>3347.19</v>
      </c>
      <c r="G6255" s="489">
        <v>107.2</v>
      </c>
      <c r="H6255" s="489">
        <v>31.223790000000001</v>
      </c>
      <c r="I6255" s="487" t="s">
        <v>1499</v>
      </c>
      <c r="J6255" s="487" t="s">
        <v>1038</v>
      </c>
    </row>
    <row r="6256" spans="1:10" ht="15" x14ac:dyDescent="0.2">
      <c r="A6256" s="486" t="s">
        <v>1037</v>
      </c>
      <c r="B6256" s="487" t="s">
        <v>1036</v>
      </c>
      <c r="C6256" s="488" t="s">
        <v>19960</v>
      </c>
      <c r="D6256" s="489" t="s">
        <v>19961</v>
      </c>
      <c r="E6256" s="487" t="s">
        <v>19962</v>
      </c>
      <c r="F6256" s="490">
        <v>10152</v>
      </c>
      <c r="G6256" s="489">
        <v>334</v>
      </c>
      <c r="H6256" s="489">
        <v>30.395209999999999</v>
      </c>
      <c r="I6256" s="487" t="s">
        <v>1499</v>
      </c>
      <c r="J6256" s="487" t="s">
        <v>1038</v>
      </c>
    </row>
    <row r="6257" spans="1:10" ht="15" x14ac:dyDescent="0.2">
      <c r="A6257" s="486" t="s">
        <v>1037</v>
      </c>
      <c r="B6257" s="487" t="s">
        <v>1036</v>
      </c>
      <c r="C6257" s="488" t="s">
        <v>19963</v>
      </c>
      <c r="D6257" s="489" t="s">
        <v>19964</v>
      </c>
      <c r="E6257" s="487" t="s">
        <v>19965</v>
      </c>
      <c r="F6257" s="490">
        <v>17600</v>
      </c>
      <c r="G6257" s="489">
        <v>273.2</v>
      </c>
      <c r="H6257" s="489">
        <v>64.421670000000006</v>
      </c>
      <c r="I6257" s="487" t="s">
        <v>1499</v>
      </c>
      <c r="J6257" s="487" t="s">
        <v>1038</v>
      </c>
    </row>
    <row r="6258" spans="1:10" ht="15" x14ac:dyDescent="0.2">
      <c r="A6258" s="486" t="s">
        <v>1201</v>
      </c>
      <c r="B6258" s="487" t="s">
        <v>1200</v>
      </c>
      <c r="C6258" s="488" t="s">
        <v>19966</v>
      </c>
      <c r="D6258" s="489" t="s">
        <v>19967</v>
      </c>
      <c r="E6258" s="487" t="s">
        <v>19968</v>
      </c>
      <c r="F6258" s="490">
        <v>8000</v>
      </c>
      <c r="G6258" s="489">
        <v>169</v>
      </c>
      <c r="H6258" s="489">
        <v>47.33728</v>
      </c>
      <c r="I6258" s="487" t="s">
        <v>1499</v>
      </c>
      <c r="J6258" s="487" t="s">
        <v>1202</v>
      </c>
    </row>
    <row r="6259" spans="1:10" ht="15" x14ac:dyDescent="0.2">
      <c r="A6259" s="486" t="s">
        <v>1201</v>
      </c>
      <c r="B6259" s="487" t="s">
        <v>1200</v>
      </c>
      <c r="C6259" s="488" t="s">
        <v>19969</v>
      </c>
      <c r="D6259" s="489" t="s">
        <v>19970</v>
      </c>
      <c r="E6259" s="487" t="s">
        <v>19971</v>
      </c>
      <c r="F6259" s="490">
        <v>12765</v>
      </c>
      <c r="G6259" s="489">
        <v>168</v>
      </c>
      <c r="H6259" s="489">
        <v>75.982140000000001</v>
      </c>
      <c r="I6259" s="487" t="s">
        <v>1499</v>
      </c>
      <c r="J6259" s="487" t="s">
        <v>1202</v>
      </c>
    </row>
    <row r="6260" spans="1:10" ht="15" x14ac:dyDescent="0.2">
      <c r="A6260" s="486" t="s">
        <v>1201</v>
      </c>
      <c r="B6260" s="487" t="s">
        <v>1200</v>
      </c>
      <c r="C6260" s="488" t="s">
        <v>19972</v>
      </c>
      <c r="D6260" s="489" t="s">
        <v>19973</v>
      </c>
      <c r="E6260" s="487" t="s">
        <v>19974</v>
      </c>
      <c r="F6260" s="490">
        <v>10872</v>
      </c>
      <c r="G6260" s="489">
        <v>302</v>
      </c>
      <c r="H6260" s="489">
        <v>36</v>
      </c>
      <c r="I6260" s="487" t="s">
        <v>2465</v>
      </c>
      <c r="J6260" s="487" t="s">
        <v>1202</v>
      </c>
    </row>
    <row r="6261" spans="1:10" ht="15" x14ac:dyDescent="0.2">
      <c r="A6261" s="486" t="s">
        <v>1201</v>
      </c>
      <c r="B6261" s="487" t="s">
        <v>1200</v>
      </c>
      <c r="C6261" s="488" t="s">
        <v>19975</v>
      </c>
      <c r="D6261" s="489" t="s">
        <v>19976</v>
      </c>
      <c r="E6261" s="487" t="s">
        <v>19977</v>
      </c>
      <c r="F6261" s="490">
        <v>4381</v>
      </c>
      <c r="G6261" s="489">
        <v>131</v>
      </c>
      <c r="H6261" s="489">
        <v>33.442749999999997</v>
      </c>
      <c r="I6261" s="487" t="s">
        <v>1499</v>
      </c>
      <c r="J6261" s="487" t="s">
        <v>1202</v>
      </c>
    </row>
    <row r="6262" spans="1:10" ht="15" x14ac:dyDescent="0.2">
      <c r="A6262" s="486" t="s">
        <v>1201</v>
      </c>
      <c r="B6262" s="487" t="s">
        <v>1200</v>
      </c>
      <c r="C6262" s="488" t="s">
        <v>19978</v>
      </c>
      <c r="D6262" s="489" t="s">
        <v>19979</v>
      </c>
      <c r="E6262" s="487" t="s">
        <v>19980</v>
      </c>
      <c r="F6262" s="490">
        <v>13299</v>
      </c>
      <c r="G6262" s="489">
        <v>370</v>
      </c>
      <c r="H6262" s="489">
        <v>35.943240000000003</v>
      </c>
      <c r="I6262" s="487" t="s">
        <v>1499</v>
      </c>
      <c r="J6262" s="487" t="s">
        <v>1202</v>
      </c>
    </row>
    <row r="6263" spans="1:10" ht="15" x14ac:dyDescent="0.2">
      <c r="A6263" s="486" t="s">
        <v>1201</v>
      </c>
      <c r="B6263" s="487" t="s">
        <v>1200</v>
      </c>
      <c r="C6263" s="488" t="s">
        <v>19981</v>
      </c>
      <c r="D6263" s="489" t="s">
        <v>19982</v>
      </c>
      <c r="E6263" s="487" t="s">
        <v>19983</v>
      </c>
      <c r="F6263" s="490">
        <v>5785</v>
      </c>
      <c r="G6263" s="489">
        <v>178</v>
      </c>
      <c r="H6263" s="489">
        <v>32.5</v>
      </c>
      <c r="I6263" s="487" t="s">
        <v>1499</v>
      </c>
      <c r="J6263" s="487" t="s">
        <v>1202</v>
      </c>
    </row>
    <row r="6264" spans="1:10" ht="15" x14ac:dyDescent="0.2">
      <c r="A6264" s="486" t="s">
        <v>1201</v>
      </c>
      <c r="B6264" s="487" t="s">
        <v>1200</v>
      </c>
      <c r="C6264" s="488" t="s">
        <v>19984</v>
      </c>
      <c r="D6264" s="489" t="s">
        <v>19985</v>
      </c>
      <c r="E6264" s="487" t="s">
        <v>19986</v>
      </c>
      <c r="F6264" s="490">
        <v>14216</v>
      </c>
      <c r="G6264" s="489">
        <v>251</v>
      </c>
      <c r="H6264" s="489">
        <v>56.637450000000001</v>
      </c>
      <c r="I6264" s="487" t="s">
        <v>2465</v>
      </c>
      <c r="J6264" s="487" t="s">
        <v>1202</v>
      </c>
    </row>
    <row r="6265" spans="1:10" ht="15" x14ac:dyDescent="0.2">
      <c r="A6265" s="486" t="s">
        <v>1201</v>
      </c>
      <c r="B6265" s="487" t="s">
        <v>1200</v>
      </c>
      <c r="C6265" s="488" t="s">
        <v>19987</v>
      </c>
      <c r="D6265" s="489" t="s">
        <v>19988</v>
      </c>
      <c r="E6265" s="487" t="s">
        <v>19989</v>
      </c>
      <c r="F6265" s="490">
        <v>11729</v>
      </c>
      <c r="G6265" s="489">
        <v>227</v>
      </c>
      <c r="H6265" s="489">
        <v>51.669600000000003</v>
      </c>
      <c r="I6265" s="487" t="s">
        <v>1499</v>
      </c>
      <c r="J6265" s="487" t="s">
        <v>1202</v>
      </c>
    </row>
    <row r="6266" spans="1:10" ht="15" x14ac:dyDescent="0.2">
      <c r="A6266" s="486" t="s">
        <v>1201</v>
      </c>
      <c r="B6266" s="487" t="s">
        <v>1200</v>
      </c>
      <c r="C6266" s="488" t="s">
        <v>19990</v>
      </c>
      <c r="D6266" s="489" t="s">
        <v>19991</v>
      </c>
      <c r="E6266" s="487" t="s">
        <v>19992</v>
      </c>
      <c r="F6266" s="490">
        <v>9156</v>
      </c>
      <c r="G6266" s="489">
        <v>224</v>
      </c>
      <c r="H6266" s="489">
        <v>40.875</v>
      </c>
      <c r="I6266" s="487" t="s">
        <v>1499</v>
      </c>
      <c r="J6266" s="487" t="s">
        <v>1202</v>
      </c>
    </row>
    <row r="6267" spans="1:10" ht="15" x14ac:dyDescent="0.2">
      <c r="A6267" s="486" t="s">
        <v>1201</v>
      </c>
      <c r="B6267" s="487" t="s">
        <v>1200</v>
      </c>
      <c r="C6267" s="488" t="s">
        <v>19993</v>
      </c>
      <c r="D6267" s="489" t="s">
        <v>19994</v>
      </c>
      <c r="E6267" s="487" t="s">
        <v>19995</v>
      </c>
      <c r="F6267" s="490">
        <v>1000</v>
      </c>
      <c r="G6267" s="489">
        <v>99</v>
      </c>
      <c r="H6267" s="489">
        <v>10.10101</v>
      </c>
      <c r="I6267" s="487" t="s">
        <v>1499</v>
      </c>
      <c r="J6267" s="487" t="s">
        <v>1202</v>
      </c>
    </row>
    <row r="6268" spans="1:10" ht="15" x14ac:dyDescent="0.2">
      <c r="A6268" s="486" t="s">
        <v>1201</v>
      </c>
      <c r="B6268" s="487" t="s">
        <v>1200</v>
      </c>
      <c r="C6268" s="488" t="s">
        <v>19996</v>
      </c>
      <c r="D6268" s="489" t="s">
        <v>19997</v>
      </c>
      <c r="E6268" s="487" t="s">
        <v>19998</v>
      </c>
      <c r="F6268" s="490">
        <v>6283</v>
      </c>
      <c r="G6268" s="489">
        <v>217</v>
      </c>
      <c r="H6268" s="489">
        <v>28.95392</v>
      </c>
      <c r="I6268" s="487" t="s">
        <v>1499</v>
      </c>
      <c r="J6268" s="487" t="s">
        <v>1202</v>
      </c>
    </row>
    <row r="6269" spans="1:10" ht="15" x14ac:dyDescent="0.2">
      <c r="A6269" s="486" t="s">
        <v>1201</v>
      </c>
      <c r="B6269" s="487" t="s">
        <v>1200</v>
      </c>
      <c r="C6269" s="488" t="s">
        <v>19999</v>
      </c>
      <c r="D6269" s="489" t="s">
        <v>20000</v>
      </c>
      <c r="E6269" s="487" t="s">
        <v>20001</v>
      </c>
      <c r="F6269" s="490">
        <v>8433</v>
      </c>
      <c r="G6269" s="489">
        <v>223</v>
      </c>
      <c r="H6269" s="489">
        <v>37.816139999999997</v>
      </c>
      <c r="I6269" s="487" t="s">
        <v>1499</v>
      </c>
      <c r="J6269" s="487" t="s">
        <v>1202</v>
      </c>
    </row>
    <row r="6270" spans="1:10" ht="15" x14ac:dyDescent="0.2">
      <c r="A6270" s="486" t="s">
        <v>1201</v>
      </c>
      <c r="B6270" s="487" t="s">
        <v>1200</v>
      </c>
      <c r="C6270" s="488" t="s">
        <v>20002</v>
      </c>
      <c r="D6270" s="489" t="s">
        <v>20003</v>
      </c>
      <c r="E6270" s="487" t="s">
        <v>20004</v>
      </c>
      <c r="F6270" s="490">
        <v>19477</v>
      </c>
      <c r="G6270" s="489">
        <v>190</v>
      </c>
      <c r="H6270" s="489">
        <v>102.51053</v>
      </c>
      <c r="I6270" s="487" t="s">
        <v>1499</v>
      </c>
      <c r="J6270" s="487" t="s">
        <v>1202</v>
      </c>
    </row>
    <row r="6271" spans="1:10" ht="15" x14ac:dyDescent="0.2">
      <c r="A6271" s="486" t="s">
        <v>1201</v>
      </c>
      <c r="B6271" s="487" t="s">
        <v>1200</v>
      </c>
      <c r="C6271" s="488" t="s">
        <v>20005</v>
      </c>
      <c r="D6271" s="489" t="s">
        <v>20006</v>
      </c>
      <c r="E6271" s="487" t="s">
        <v>20007</v>
      </c>
      <c r="F6271" s="490">
        <v>4500</v>
      </c>
      <c r="G6271" s="489">
        <v>148</v>
      </c>
      <c r="H6271" s="489">
        <v>30.40541</v>
      </c>
      <c r="I6271" s="487" t="s">
        <v>1499</v>
      </c>
      <c r="J6271" s="487" t="s">
        <v>1202</v>
      </c>
    </row>
    <row r="6272" spans="1:10" ht="15" x14ac:dyDescent="0.2">
      <c r="A6272" s="486" t="s">
        <v>1201</v>
      </c>
      <c r="B6272" s="487" t="s">
        <v>1200</v>
      </c>
      <c r="C6272" s="488" t="s">
        <v>20008</v>
      </c>
      <c r="D6272" s="489" t="s">
        <v>20009</v>
      </c>
      <c r="E6272" s="487" t="s">
        <v>20010</v>
      </c>
      <c r="F6272" s="490">
        <v>9400</v>
      </c>
      <c r="G6272" s="489">
        <v>360</v>
      </c>
      <c r="H6272" s="489">
        <v>26.11111</v>
      </c>
      <c r="I6272" s="487" t="s">
        <v>1499</v>
      </c>
      <c r="J6272" s="487" t="s">
        <v>1202</v>
      </c>
    </row>
    <row r="6273" spans="1:10" ht="15" x14ac:dyDescent="0.2">
      <c r="A6273" s="486" t="s">
        <v>1201</v>
      </c>
      <c r="B6273" s="487" t="s">
        <v>1200</v>
      </c>
      <c r="C6273" s="488" t="s">
        <v>20011</v>
      </c>
      <c r="D6273" s="489" t="s">
        <v>20012</v>
      </c>
      <c r="E6273" s="487" t="s">
        <v>20013</v>
      </c>
      <c r="F6273" s="490">
        <v>16430</v>
      </c>
      <c r="G6273" s="489">
        <v>276</v>
      </c>
      <c r="H6273" s="489">
        <v>59.52899</v>
      </c>
      <c r="I6273" s="487" t="s">
        <v>1499</v>
      </c>
      <c r="J6273" s="487" t="s">
        <v>1202</v>
      </c>
    </row>
    <row r="6274" spans="1:10" ht="15" x14ac:dyDescent="0.2">
      <c r="A6274" s="486" t="s">
        <v>1201</v>
      </c>
      <c r="B6274" s="487" t="s">
        <v>1200</v>
      </c>
      <c r="C6274" s="488" t="s">
        <v>20014</v>
      </c>
      <c r="D6274" s="489" t="s">
        <v>20015</v>
      </c>
      <c r="E6274" s="487" t="s">
        <v>16500</v>
      </c>
      <c r="F6274" s="490">
        <v>24445</v>
      </c>
      <c r="G6274" s="489">
        <v>561</v>
      </c>
      <c r="H6274" s="489">
        <v>43.573979999999999</v>
      </c>
      <c r="I6274" s="487" t="s">
        <v>1499</v>
      </c>
      <c r="J6274" s="487" t="s">
        <v>1202</v>
      </c>
    </row>
    <row r="6275" spans="1:10" ht="15" x14ac:dyDescent="0.2">
      <c r="A6275" s="486" t="s">
        <v>1201</v>
      </c>
      <c r="B6275" s="487" t="s">
        <v>1200</v>
      </c>
      <c r="C6275" s="488" t="s">
        <v>20016</v>
      </c>
      <c r="D6275" s="489" t="s">
        <v>20017</v>
      </c>
      <c r="E6275" s="487" t="s">
        <v>13418</v>
      </c>
      <c r="F6275" s="490">
        <v>6000</v>
      </c>
      <c r="G6275" s="489">
        <v>215</v>
      </c>
      <c r="H6275" s="489">
        <v>27.906980000000001</v>
      </c>
      <c r="I6275" s="487" t="s">
        <v>1499</v>
      </c>
      <c r="J6275" s="487" t="s">
        <v>1202</v>
      </c>
    </row>
    <row r="6276" spans="1:10" ht="15" x14ac:dyDescent="0.2">
      <c r="A6276" s="486" t="s">
        <v>1201</v>
      </c>
      <c r="B6276" s="487" t="s">
        <v>1200</v>
      </c>
      <c r="C6276" s="488" t="s">
        <v>20018</v>
      </c>
      <c r="D6276" s="489" t="s">
        <v>20019</v>
      </c>
      <c r="E6276" s="487" t="s">
        <v>20020</v>
      </c>
      <c r="F6276" s="490">
        <v>15500</v>
      </c>
      <c r="G6276" s="489">
        <v>421</v>
      </c>
      <c r="H6276" s="489">
        <v>36.817100000000003</v>
      </c>
      <c r="I6276" s="487" t="s">
        <v>1499</v>
      </c>
      <c r="J6276" s="487" t="s">
        <v>1202</v>
      </c>
    </row>
    <row r="6277" spans="1:10" ht="15" x14ac:dyDescent="0.2">
      <c r="A6277" s="486" t="s">
        <v>1201</v>
      </c>
      <c r="B6277" s="487" t="s">
        <v>1200</v>
      </c>
      <c r="C6277" s="488" t="s">
        <v>20021</v>
      </c>
      <c r="D6277" s="489" t="s">
        <v>20022</v>
      </c>
      <c r="E6277" s="487" t="s">
        <v>20023</v>
      </c>
      <c r="F6277" s="490">
        <v>7500</v>
      </c>
      <c r="G6277" s="489">
        <v>164</v>
      </c>
      <c r="H6277" s="489">
        <v>45.73171</v>
      </c>
      <c r="I6277" s="487" t="s">
        <v>2465</v>
      </c>
      <c r="J6277" s="487" t="s">
        <v>1202</v>
      </c>
    </row>
    <row r="6278" spans="1:10" ht="15" x14ac:dyDescent="0.2">
      <c r="A6278" s="486" t="s">
        <v>1201</v>
      </c>
      <c r="B6278" s="487" t="s">
        <v>1200</v>
      </c>
      <c r="C6278" s="488" t="s">
        <v>20024</v>
      </c>
      <c r="D6278" s="489" t="s">
        <v>20025</v>
      </c>
      <c r="E6278" s="487" t="s">
        <v>20026</v>
      </c>
      <c r="F6278" s="490">
        <v>14105</v>
      </c>
      <c r="G6278" s="489">
        <v>217</v>
      </c>
      <c r="H6278" s="489">
        <v>65</v>
      </c>
      <c r="I6278" s="487" t="s">
        <v>1499</v>
      </c>
      <c r="J6278" s="487" t="s">
        <v>1202</v>
      </c>
    </row>
    <row r="6279" spans="1:10" ht="15" x14ac:dyDescent="0.2">
      <c r="A6279" s="486" t="s">
        <v>1201</v>
      </c>
      <c r="B6279" s="487" t="s">
        <v>1200</v>
      </c>
      <c r="C6279" s="488" t="s">
        <v>20027</v>
      </c>
      <c r="D6279" s="489" t="s">
        <v>20028</v>
      </c>
      <c r="E6279" s="487" t="s">
        <v>20029</v>
      </c>
      <c r="F6279" s="490">
        <v>11154</v>
      </c>
      <c r="G6279" s="489">
        <v>199</v>
      </c>
      <c r="H6279" s="489">
        <v>56.050249999999998</v>
      </c>
      <c r="I6279" s="487" t="s">
        <v>1499</v>
      </c>
      <c r="J6279" s="487" t="s">
        <v>1202</v>
      </c>
    </row>
    <row r="6280" spans="1:10" ht="15" x14ac:dyDescent="0.2">
      <c r="A6280" s="486" t="s">
        <v>1201</v>
      </c>
      <c r="B6280" s="487" t="s">
        <v>1200</v>
      </c>
      <c r="C6280" s="488" t="s">
        <v>20030</v>
      </c>
      <c r="D6280" s="489" t="s">
        <v>20031</v>
      </c>
      <c r="E6280" s="487" t="s">
        <v>20032</v>
      </c>
      <c r="F6280" s="490">
        <v>4605</v>
      </c>
      <c r="G6280" s="489">
        <v>307</v>
      </c>
      <c r="H6280" s="489">
        <v>15</v>
      </c>
      <c r="I6280" s="487" t="s">
        <v>1499</v>
      </c>
      <c r="J6280" s="487" t="s">
        <v>1202</v>
      </c>
    </row>
    <row r="6281" spans="1:10" ht="15" x14ac:dyDescent="0.2">
      <c r="A6281" s="486" t="s">
        <v>1201</v>
      </c>
      <c r="B6281" s="487" t="s">
        <v>1200</v>
      </c>
      <c r="C6281" s="488" t="s">
        <v>20033</v>
      </c>
      <c r="D6281" s="489" t="s">
        <v>20034</v>
      </c>
      <c r="E6281" s="487" t="s">
        <v>20035</v>
      </c>
      <c r="F6281" s="490">
        <v>0</v>
      </c>
      <c r="G6281" s="489">
        <v>17</v>
      </c>
      <c r="H6281" s="489">
        <v>0</v>
      </c>
      <c r="I6281" s="487" t="s">
        <v>1593</v>
      </c>
      <c r="J6281" s="487" t="s">
        <v>1202</v>
      </c>
    </row>
    <row r="6282" spans="1:10" ht="15" x14ac:dyDescent="0.2">
      <c r="A6282" s="486" t="s">
        <v>1201</v>
      </c>
      <c r="B6282" s="487" t="s">
        <v>1200</v>
      </c>
      <c r="C6282" s="488" t="s">
        <v>20036</v>
      </c>
      <c r="D6282" s="489" t="s">
        <v>20037</v>
      </c>
      <c r="E6282" s="487" t="s">
        <v>20038</v>
      </c>
      <c r="F6282" s="490">
        <v>49410.94</v>
      </c>
      <c r="G6282" s="489">
        <v>401</v>
      </c>
      <c r="H6282" s="489">
        <v>123.2193</v>
      </c>
      <c r="I6282" s="487" t="s">
        <v>1499</v>
      </c>
      <c r="J6282" s="487" t="s">
        <v>1202</v>
      </c>
    </row>
    <row r="6283" spans="1:10" ht="15" x14ac:dyDescent="0.2">
      <c r="A6283" s="486" t="s">
        <v>1201</v>
      </c>
      <c r="B6283" s="487" t="s">
        <v>1200</v>
      </c>
      <c r="C6283" s="488" t="s">
        <v>20039</v>
      </c>
      <c r="D6283" s="489" t="s">
        <v>20040</v>
      </c>
      <c r="E6283" s="487" t="s">
        <v>4773</v>
      </c>
      <c r="F6283" s="490">
        <v>7350</v>
      </c>
      <c r="G6283" s="489">
        <v>100</v>
      </c>
      <c r="H6283" s="489">
        <v>73.5</v>
      </c>
      <c r="I6283" s="487" t="s">
        <v>1499</v>
      </c>
      <c r="J6283" s="487" t="s">
        <v>1202</v>
      </c>
    </row>
    <row r="6284" spans="1:10" ht="15" x14ac:dyDescent="0.2">
      <c r="A6284" s="486" t="s">
        <v>1201</v>
      </c>
      <c r="B6284" s="487" t="s">
        <v>1200</v>
      </c>
      <c r="C6284" s="488" t="s">
        <v>20041</v>
      </c>
      <c r="D6284" s="489" t="s">
        <v>20042</v>
      </c>
      <c r="E6284" s="487" t="s">
        <v>20043</v>
      </c>
      <c r="F6284" s="490">
        <v>2000</v>
      </c>
      <c r="G6284" s="489">
        <v>67</v>
      </c>
      <c r="H6284" s="489">
        <v>29.850750000000001</v>
      </c>
      <c r="I6284" s="487" t="s">
        <v>1499</v>
      </c>
      <c r="J6284" s="487" t="s">
        <v>1202</v>
      </c>
    </row>
    <row r="6285" spans="1:10" ht="15" x14ac:dyDescent="0.2">
      <c r="A6285" s="486" t="s">
        <v>1201</v>
      </c>
      <c r="B6285" s="487" t="s">
        <v>1200</v>
      </c>
      <c r="C6285" s="488" t="s">
        <v>20044</v>
      </c>
      <c r="D6285" s="489" t="s">
        <v>20045</v>
      </c>
      <c r="E6285" s="487" t="s">
        <v>20046</v>
      </c>
      <c r="F6285" s="490">
        <v>847086</v>
      </c>
      <c r="G6285" s="489">
        <v>5741</v>
      </c>
      <c r="H6285" s="489">
        <v>147.55025000000001</v>
      </c>
      <c r="I6285" s="487" t="s">
        <v>1499</v>
      </c>
      <c r="J6285" s="487" t="s">
        <v>1202</v>
      </c>
    </row>
    <row r="6286" spans="1:10" ht="15" x14ac:dyDescent="0.2">
      <c r="A6286" s="486" t="s">
        <v>1201</v>
      </c>
      <c r="B6286" s="487" t="s">
        <v>1200</v>
      </c>
      <c r="C6286" s="488" t="s">
        <v>20047</v>
      </c>
      <c r="D6286" s="489" t="s">
        <v>20048</v>
      </c>
      <c r="E6286" s="487" t="s">
        <v>20049</v>
      </c>
      <c r="F6286" s="490">
        <v>452456</v>
      </c>
      <c r="G6286" s="489">
        <v>2459</v>
      </c>
      <c r="H6286" s="489">
        <v>184</v>
      </c>
      <c r="I6286" s="487" t="s">
        <v>1499</v>
      </c>
      <c r="J6286" s="487" t="s">
        <v>1202</v>
      </c>
    </row>
    <row r="6287" spans="1:10" ht="15" x14ac:dyDescent="0.2">
      <c r="A6287" s="486" t="s">
        <v>1201</v>
      </c>
      <c r="B6287" s="487" t="s">
        <v>1200</v>
      </c>
      <c r="C6287" s="488" t="s">
        <v>20050</v>
      </c>
      <c r="D6287" s="489" t="s">
        <v>20051</v>
      </c>
      <c r="E6287" s="487" t="s">
        <v>9168</v>
      </c>
      <c r="F6287" s="490">
        <v>5000</v>
      </c>
      <c r="G6287" s="489">
        <v>163</v>
      </c>
      <c r="H6287" s="489">
        <v>30.674849999999999</v>
      </c>
      <c r="I6287" s="487" t="s">
        <v>1499</v>
      </c>
      <c r="J6287" s="487" t="s">
        <v>1202</v>
      </c>
    </row>
    <row r="6288" spans="1:10" ht="15" x14ac:dyDescent="0.2">
      <c r="A6288" s="486" t="s">
        <v>1201</v>
      </c>
      <c r="B6288" s="487" t="s">
        <v>1200</v>
      </c>
      <c r="C6288" s="488" t="s">
        <v>20052</v>
      </c>
      <c r="D6288" s="489" t="s">
        <v>20053</v>
      </c>
      <c r="E6288" s="487" t="s">
        <v>20054</v>
      </c>
      <c r="F6288" s="490">
        <v>11041.6</v>
      </c>
      <c r="G6288" s="489">
        <v>223</v>
      </c>
      <c r="H6288" s="489">
        <v>49.5139</v>
      </c>
      <c r="I6288" s="487" t="s">
        <v>1499</v>
      </c>
      <c r="J6288" s="487" t="s">
        <v>1202</v>
      </c>
    </row>
    <row r="6289" spans="1:10" ht="15" x14ac:dyDescent="0.2">
      <c r="A6289" s="486" t="s">
        <v>1201</v>
      </c>
      <c r="B6289" s="487" t="s">
        <v>1200</v>
      </c>
      <c r="C6289" s="488" t="s">
        <v>20055</v>
      </c>
      <c r="D6289" s="489" t="s">
        <v>20056</v>
      </c>
      <c r="E6289" s="487" t="s">
        <v>20057</v>
      </c>
      <c r="F6289" s="490">
        <v>40137</v>
      </c>
      <c r="G6289" s="489">
        <v>557</v>
      </c>
      <c r="H6289" s="489">
        <v>72.059250000000006</v>
      </c>
      <c r="I6289" s="487" t="s">
        <v>1499</v>
      </c>
      <c r="J6289" s="487" t="s">
        <v>1202</v>
      </c>
    </row>
    <row r="6290" spans="1:10" ht="15" x14ac:dyDescent="0.2">
      <c r="A6290" s="486" t="s">
        <v>1201</v>
      </c>
      <c r="B6290" s="487" t="s">
        <v>1200</v>
      </c>
      <c r="C6290" s="488" t="s">
        <v>20058</v>
      </c>
      <c r="D6290" s="489" t="s">
        <v>20059</v>
      </c>
      <c r="E6290" s="487" t="s">
        <v>20060</v>
      </c>
      <c r="F6290" s="490">
        <v>717191</v>
      </c>
      <c r="G6290" s="489">
        <v>2903</v>
      </c>
      <c r="H6290" s="489">
        <v>247.05167</v>
      </c>
      <c r="I6290" s="487" t="s">
        <v>1499</v>
      </c>
      <c r="J6290" s="487" t="s">
        <v>1202</v>
      </c>
    </row>
    <row r="6291" spans="1:10" ht="15" x14ac:dyDescent="0.2">
      <c r="A6291" s="486" t="s">
        <v>1201</v>
      </c>
      <c r="B6291" s="487" t="s">
        <v>1200</v>
      </c>
      <c r="C6291" s="488" t="s">
        <v>20061</v>
      </c>
      <c r="D6291" s="489" t="s">
        <v>20062</v>
      </c>
      <c r="E6291" s="487" t="s">
        <v>20063</v>
      </c>
      <c r="F6291" s="490">
        <v>47000</v>
      </c>
      <c r="G6291" s="489">
        <v>688</v>
      </c>
      <c r="H6291" s="489">
        <v>68.313950000000006</v>
      </c>
      <c r="I6291" s="487" t="s">
        <v>1499</v>
      </c>
      <c r="J6291" s="487" t="s">
        <v>1202</v>
      </c>
    </row>
    <row r="6292" spans="1:10" ht="15" x14ac:dyDescent="0.2">
      <c r="A6292" s="486" t="s">
        <v>1201</v>
      </c>
      <c r="B6292" s="487" t="s">
        <v>1200</v>
      </c>
      <c r="C6292" s="488" t="s">
        <v>20064</v>
      </c>
      <c r="D6292" s="489" t="s">
        <v>20065</v>
      </c>
      <c r="E6292" s="487" t="s">
        <v>20066</v>
      </c>
      <c r="F6292" s="490">
        <v>19000</v>
      </c>
      <c r="G6292" s="489">
        <v>297</v>
      </c>
      <c r="H6292" s="489">
        <v>63.973059999999997</v>
      </c>
      <c r="I6292" s="487" t="s">
        <v>1499</v>
      </c>
      <c r="J6292" s="487" t="s">
        <v>1202</v>
      </c>
    </row>
    <row r="6293" spans="1:10" ht="15" x14ac:dyDescent="0.2">
      <c r="A6293" s="486" t="s">
        <v>1201</v>
      </c>
      <c r="B6293" s="487" t="s">
        <v>1200</v>
      </c>
      <c r="C6293" s="488" t="s">
        <v>20067</v>
      </c>
      <c r="D6293" s="489" t="s">
        <v>20068</v>
      </c>
      <c r="E6293" s="487" t="s">
        <v>20069</v>
      </c>
      <c r="F6293" s="490">
        <v>7424</v>
      </c>
      <c r="G6293" s="489">
        <v>243</v>
      </c>
      <c r="H6293" s="489">
        <v>30.551439999999999</v>
      </c>
      <c r="I6293" s="487" t="s">
        <v>2465</v>
      </c>
      <c r="J6293" s="487" t="s">
        <v>1202</v>
      </c>
    </row>
    <row r="6294" spans="1:10" ht="15" x14ac:dyDescent="0.2">
      <c r="A6294" s="486" t="s">
        <v>1201</v>
      </c>
      <c r="B6294" s="487" t="s">
        <v>1200</v>
      </c>
      <c r="C6294" s="488" t="s">
        <v>20070</v>
      </c>
      <c r="D6294" s="489" t="s">
        <v>20071</v>
      </c>
      <c r="E6294" s="487" t="s">
        <v>3865</v>
      </c>
      <c r="F6294" s="490">
        <v>68898</v>
      </c>
      <c r="G6294" s="489">
        <v>706</v>
      </c>
      <c r="H6294" s="489">
        <v>97.589240000000004</v>
      </c>
      <c r="I6294" s="487" t="s">
        <v>1499</v>
      </c>
      <c r="J6294" s="487" t="s">
        <v>1202</v>
      </c>
    </row>
    <row r="6295" spans="1:10" ht="15" x14ac:dyDescent="0.2">
      <c r="A6295" s="486" t="s">
        <v>1201</v>
      </c>
      <c r="B6295" s="487" t="s">
        <v>1200</v>
      </c>
      <c r="C6295" s="488" t="s">
        <v>20072</v>
      </c>
      <c r="D6295" s="489" t="s">
        <v>20073</v>
      </c>
      <c r="E6295" s="487" t="s">
        <v>20074</v>
      </c>
      <c r="F6295" s="490">
        <v>25000</v>
      </c>
      <c r="G6295" s="489">
        <v>349</v>
      </c>
      <c r="H6295" s="489">
        <v>71.633240000000001</v>
      </c>
      <c r="I6295" s="487" t="s">
        <v>2465</v>
      </c>
      <c r="J6295" s="487" t="s">
        <v>1202</v>
      </c>
    </row>
    <row r="6296" spans="1:10" ht="15" x14ac:dyDescent="0.2">
      <c r="A6296" s="486" t="s">
        <v>1201</v>
      </c>
      <c r="B6296" s="487" t="s">
        <v>1200</v>
      </c>
      <c r="C6296" s="488" t="s">
        <v>20075</v>
      </c>
      <c r="D6296" s="489" t="s">
        <v>20076</v>
      </c>
      <c r="E6296" s="487" t="s">
        <v>20077</v>
      </c>
      <c r="F6296" s="490">
        <v>9049</v>
      </c>
      <c r="G6296" s="489">
        <v>105</v>
      </c>
      <c r="H6296" s="489">
        <v>86.180949999999996</v>
      </c>
      <c r="I6296" s="487" t="s">
        <v>1499</v>
      </c>
      <c r="J6296" s="487" t="s">
        <v>1202</v>
      </c>
    </row>
    <row r="6297" spans="1:10" ht="15" x14ac:dyDescent="0.2">
      <c r="A6297" s="486" t="s">
        <v>1201</v>
      </c>
      <c r="B6297" s="487" t="s">
        <v>1200</v>
      </c>
      <c r="C6297" s="488" t="s">
        <v>20078</v>
      </c>
      <c r="D6297" s="489" t="s">
        <v>20079</v>
      </c>
      <c r="E6297" s="487" t="s">
        <v>20080</v>
      </c>
      <c r="F6297" s="490">
        <v>12000</v>
      </c>
      <c r="G6297" s="489">
        <v>462</v>
      </c>
      <c r="H6297" s="489">
        <v>25.974029999999999</v>
      </c>
      <c r="I6297" s="487" t="s">
        <v>1499</v>
      </c>
      <c r="J6297" s="487" t="s">
        <v>1202</v>
      </c>
    </row>
    <row r="6298" spans="1:10" ht="15" x14ac:dyDescent="0.2">
      <c r="A6298" s="486" t="s">
        <v>1201</v>
      </c>
      <c r="B6298" s="487" t="s">
        <v>1200</v>
      </c>
      <c r="C6298" s="488" t="s">
        <v>20081</v>
      </c>
      <c r="D6298" s="489" t="s">
        <v>20082</v>
      </c>
      <c r="E6298" s="487" t="s">
        <v>20083</v>
      </c>
      <c r="F6298" s="490">
        <v>14332</v>
      </c>
      <c r="G6298" s="489">
        <v>462</v>
      </c>
      <c r="H6298" s="489">
        <v>31.021650000000001</v>
      </c>
      <c r="I6298" s="487" t="s">
        <v>1499</v>
      </c>
      <c r="J6298" s="487" t="s">
        <v>1202</v>
      </c>
    </row>
    <row r="6299" spans="1:10" ht="15" x14ac:dyDescent="0.2">
      <c r="A6299" s="486" t="s">
        <v>1201</v>
      </c>
      <c r="B6299" s="487" t="s">
        <v>1200</v>
      </c>
      <c r="C6299" s="488" t="s">
        <v>20084</v>
      </c>
      <c r="D6299" s="489" t="s">
        <v>20085</v>
      </c>
      <c r="E6299" s="487" t="s">
        <v>20086</v>
      </c>
      <c r="F6299" s="490">
        <v>0</v>
      </c>
      <c r="G6299" s="489">
        <v>68</v>
      </c>
      <c r="H6299" s="489">
        <v>0</v>
      </c>
      <c r="I6299" s="487" t="s">
        <v>1593</v>
      </c>
      <c r="J6299" s="487" t="s">
        <v>1202</v>
      </c>
    </row>
    <row r="6300" spans="1:10" ht="15" x14ac:dyDescent="0.2">
      <c r="A6300" s="486" t="s">
        <v>1201</v>
      </c>
      <c r="B6300" s="487" t="s">
        <v>1200</v>
      </c>
      <c r="C6300" s="488" t="s">
        <v>20087</v>
      </c>
      <c r="D6300" s="489" t="s">
        <v>20088</v>
      </c>
      <c r="E6300" s="487" t="s">
        <v>20089</v>
      </c>
      <c r="F6300" s="490">
        <v>10843</v>
      </c>
      <c r="G6300" s="489">
        <v>174</v>
      </c>
      <c r="H6300" s="489">
        <v>62.316090000000003</v>
      </c>
      <c r="I6300" s="487" t="s">
        <v>1499</v>
      </c>
      <c r="J6300" s="487" t="s">
        <v>1202</v>
      </c>
    </row>
    <row r="6301" spans="1:10" ht="15" x14ac:dyDescent="0.2">
      <c r="A6301" s="486" t="s">
        <v>1201</v>
      </c>
      <c r="B6301" s="487" t="s">
        <v>1200</v>
      </c>
      <c r="C6301" s="488" t="s">
        <v>20090</v>
      </c>
      <c r="D6301" s="489" t="s">
        <v>20091</v>
      </c>
      <c r="E6301" s="487" t="s">
        <v>8569</v>
      </c>
      <c r="F6301" s="490">
        <v>12492</v>
      </c>
      <c r="G6301" s="489">
        <v>277</v>
      </c>
      <c r="H6301" s="489">
        <v>45.097470000000001</v>
      </c>
      <c r="I6301" s="487" t="s">
        <v>1499</v>
      </c>
      <c r="J6301" s="487" t="s">
        <v>1202</v>
      </c>
    </row>
    <row r="6302" spans="1:10" ht="15" x14ac:dyDescent="0.2">
      <c r="A6302" s="486" t="s">
        <v>1201</v>
      </c>
      <c r="B6302" s="487" t="s">
        <v>1200</v>
      </c>
      <c r="C6302" s="488" t="s">
        <v>20092</v>
      </c>
      <c r="D6302" s="489" t="s">
        <v>20093</v>
      </c>
      <c r="E6302" s="487" t="s">
        <v>20094</v>
      </c>
      <c r="F6302" s="490">
        <v>6421.39</v>
      </c>
      <c r="G6302" s="489">
        <v>111</v>
      </c>
      <c r="H6302" s="489">
        <v>57.850360000000002</v>
      </c>
      <c r="I6302" s="487" t="s">
        <v>1499</v>
      </c>
      <c r="J6302" s="487" t="s">
        <v>1202</v>
      </c>
    </row>
    <row r="6303" spans="1:10" ht="15" x14ac:dyDescent="0.2">
      <c r="A6303" s="486" t="s">
        <v>1201</v>
      </c>
      <c r="B6303" s="487" t="s">
        <v>1200</v>
      </c>
      <c r="C6303" s="488" t="s">
        <v>20095</v>
      </c>
      <c r="D6303" s="489" t="s">
        <v>20096</v>
      </c>
      <c r="E6303" s="487" t="s">
        <v>20097</v>
      </c>
      <c r="F6303" s="490">
        <v>1144</v>
      </c>
      <c r="G6303" s="489">
        <v>71</v>
      </c>
      <c r="H6303" s="489">
        <v>16.112680000000001</v>
      </c>
      <c r="I6303" s="487" t="s">
        <v>1499</v>
      </c>
      <c r="J6303" s="487" t="s">
        <v>1202</v>
      </c>
    </row>
    <row r="6304" spans="1:10" ht="15" x14ac:dyDescent="0.2">
      <c r="A6304" s="486" t="s">
        <v>1201</v>
      </c>
      <c r="B6304" s="487" t="s">
        <v>1200</v>
      </c>
      <c r="C6304" s="488" t="s">
        <v>20098</v>
      </c>
      <c r="D6304" s="489" t="s">
        <v>20099</v>
      </c>
      <c r="E6304" s="487" t="s">
        <v>20100</v>
      </c>
      <c r="F6304" s="490">
        <v>7390</v>
      </c>
      <c r="G6304" s="489">
        <v>296</v>
      </c>
      <c r="H6304" s="489">
        <v>24.96622</v>
      </c>
      <c r="I6304" s="487" t="s">
        <v>1499</v>
      </c>
      <c r="J6304" s="487" t="s">
        <v>1202</v>
      </c>
    </row>
    <row r="6305" spans="1:10" ht="15" x14ac:dyDescent="0.2">
      <c r="A6305" s="486" t="s">
        <v>1201</v>
      </c>
      <c r="B6305" s="487" t="s">
        <v>1200</v>
      </c>
      <c r="C6305" s="488" t="s">
        <v>20101</v>
      </c>
      <c r="D6305" s="489" t="s">
        <v>20102</v>
      </c>
      <c r="E6305" s="487" t="s">
        <v>20103</v>
      </c>
      <c r="F6305" s="490">
        <v>7626</v>
      </c>
      <c r="G6305" s="489">
        <v>192</v>
      </c>
      <c r="H6305" s="489">
        <v>39.71875</v>
      </c>
      <c r="I6305" s="487" t="s">
        <v>1499</v>
      </c>
      <c r="J6305" s="487" t="s">
        <v>1202</v>
      </c>
    </row>
    <row r="6306" spans="1:10" ht="15" x14ac:dyDescent="0.2">
      <c r="A6306" s="486" t="s">
        <v>1201</v>
      </c>
      <c r="B6306" s="487" t="s">
        <v>1200</v>
      </c>
      <c r="C6306" s="488" t="s">
        <v>20104</v>
      </c>
      <c r="D6306" s="489" t="s">
        <v>20105</v>
      </c>
      <c r="E6306" s="487" t="s">
        <v>20106</v>
      </c>
      <c r="F6306" s="490">
        <v>12400</v>
      </c>
      <c r="G6306" s="489">
        <v>282</v>
      </c>
      <c r="H6306" s="489">
        <v>43.971629999999998</v>
      </c>
      <c r="I6306" s="487" t="s">
        <v>2465</v>
      </c>
      <c r="J6306" s="487" t="s">
        <v>1202</v>
      </c>
    </row>
    <row r="6307" spans="1:10" ht="15" x14ac:dyDescent="0.2">
      <c r="A6307" s="486" t="s">
        <v>1201</v>
      </c>
      <c r="B6307" s="487" t="s">
        <v>1200</v>
      </c>
      <c r="C6307" s="488" t="s">
        <v>20107</v>
      </c>
      <c r="D6307" s="489" t="s">
        <v>20108</v>
      </c>
      <c r="E6307" s="487" t="s">
        <v>20109</v>
      </c>
      <c r="F6307" s="490">
        <v>0</v>
      </c>
      <c r="G6307" s="489">
        <v>0</v>
      </c>
      <c r="H6307" s="489">
        <v>0</v>
      </c>
      <c r="I6307" s="487" t="s">
        <v>2465</v>
      </c>
      <c r="J6307" s="487" t="s">
        <v>1202</v>
      </c>
    </row>
    <row r="6308" spans="1:10" ht="15" x14ac:dyDescent="0.2">
      <c r="A6308" s="486" t="s">
        <v>1201</v>
      </c>
      <c r="B6308" s="487" t="s">
        <v>1200</v>
      </c>
      <c r="C6308" s="488" t="s">
        <v>20110</v>
      </c>
      <c r="D6308" s="489" t="s">
        <v>20111</v>
      </c>
      <c r="E6308" s="487" t="s">
        <v>20112</v>
      </c>
      <c r="F6308" s="490">
        <v>0</v>
      </c>
      <c r="G6308" s="489">
        <v>72</v>
      </c>
      <c r="H6308" s="489">
        <v>0</v>
      </c>
      <c r="I6308" s="487" t="s">
        <v>1593</v>
      </c>
      <c r="J6308" s="487" t="s">
        <v>1202</v>
      </c>
    </row>
    <row r="6309" spans="1:10" ht="15" x14ac:dyDescent="0.2">
      <c r="A6309" s="486" t="s">
        <v>1201</v>
      </c>
      <c r="B6309" s="487" t="s">
        <v>1200</v>
      </c>
      <c r="C6309" s="488" t="s">
        <v>20113</v>
      </c>
      <c r="D6309" s="489" t="s">
        <v>20114</v>
      </c>
      <c r="E6309" s="487" t="s">
        <v>20115</v>
      </c>
      <c r="F6309" s="490">
        <v>17100</v>
      </c>
      <c r="G6309" s="489">
        <v>367</v>
      </c>
      <c r="H6309" s="489">
        <v>46.594009999999997</v>
      </c>
      <c r="I6309" s="487" t="s">
        <v>2465</v>
      </c>
      <c r="J6309" s="487" t="s">
        <v>1202</v>
      </c>
    </row>
    <row r="6310" spans="1:10" ht="15" x14ac:dyDescent="0.2">
      <c r="A6310" s="486" t="s">
        <v>1201</v>
      </c>
      <c r="B6310" s="487" t="s">
        <v>1200</v>
      </c>
      <c r="C6310" s="488" t="s">
        <v>20116</v>
      </c>
      <c r="D6310" s="489" t="s">
        <v>20117</v>
      </c>
      <c r="E6310" s="487" t="s">
        <v>20118</v>
      </c>
      <c r="F6310" s="490">
        <v>18300</v>
      </c>
      <c r="G6310" s="489">
        <v>482</v>
      </c>
      <c r="H6310" s="489">
        <v>37.966799999999999</v>
      </c>
      <c r="I6310" s="487" t="s">
        <v>1499</v>
      </c>
      <c r="J6310" s="487" t="s">
        <v>1202</v>
      </c>
    </row>
    <row r="6311" spans="1:10" ht="15" x14ac:dyDescent="0.2">
      <c r="A6311" s="486" t="s">
        <v>1201</v>
      </c>
      <c r="B6311" s="487" t="s">
        <v>1200</v>
      </c>
      <c r="C6311" s="488" t="s">
        <v>20119</v>
      </c>
      <c r="D6311" s="489" t="s">
        <v>20120</v>
      </c>
      <c r="E6311" s="487" t="s">
        <v>20121</v>
      </c>
      <c r="F6311" s="490">
        <v>254486</v>
      </c>
      <c r="G6311" s="489">
        <v>2821</v>
      </c>
      <c r="H6311" s="489">
        <v>90.211269999999999</v>
      </c>
      <c r="I6311" s="487" t="s">
        <v>1499</v>
      </c>
      <c r="J6311" s="487" t="s">
        <v>1202</v>
      </c>
    </row>
    <row r="6312" spans="1:10" ht="15" x14ac:dyDescent="0.2">
      <c r="A6312" s="486" t="s">
        <v>1201</v>
      </c>
      <c r="B6312" s="487" t="s">
        <v>1200</v>
      </c>
      <c r="C6312" s="488" t="s">
        <v>20122</v>
      </c>
      <c r="D6312" s="489" t="s">
        <v>20123</v>
      </c>
      <c r="E6312" s="487" t="s">
        <v>20124</v>
      </c>
      <c r="F6312" s="490">
        <v>0</v>
      </c>
      <c r="G6312" s="489">
        <v>85</v>
      </c>
      <c r="H6312" s="489">
        <v>0</v>
      </c>
      <c r="I6312" s="487" t="s">
        <v>1593</v>
      </c>
      <c r="J6312" s="487" t="s">
        <v>1202</v>
      </c>
    </row>
    <row r="6313" spans="1:10" ht="15" x14ac:dyDescent="0.2">
      <c r="A6313" s="486" t="s">
        <v>1201</v>
      </c>
      <c r="B6313" s="487" t="s">
        <v>1200</v>
      </c>
      <c r="C6313" s="488" t="s">
        <v>20125</v>
      </c>
      <c r="D6313" s="489" t="s">
        <v>20126</v>
      </c>
      <c r="E6313" s="487" t="s">
        <v>20127</v>
      </c>
      <c r="F6313" s="490">
        <v>97000</v>
      </c>
      <c r="G6313" s="489">
        <v>960</v>
      </c>
      <c r="H6313" s="489">
        <v>101.04167</v>
      </c>
      <c r="I6313" s="487" t="s">
        <v>1499</v>
      </c>
      <c r="J6313" s="487" t="s">
        <v>1202</v>
      </c>
    </row>
    <row r="6314" spans="1:10" ht="15" x14ac:dyDescent="0.2">
      <c r="A6314" s="486" t="s">
        <v>1201</v>
      </c>
      <c r="B6314" s="487" t="s">
        <v>1200</v>
      </c>
      <c r="C6314" s="488" t="s">
        <v>20128</v>
      </c>
      <c r="D6314" s="489" t="s">
        <v>20129</v>
      </c>
      <c r="E6314" s="487" t="s">
        <v>20130</v>
      </c>
      <c r="F6314" s="490">
        <v>0</v>
      </c>
      <c r="G6314" s="489">
        <v>13</v>
      </c>
      <c r="H6314" s="489">
        <v>0</v>
      </c>
      <c r="I6314" s="487" t="s">
        <v>1593</v>
      </c>
      <c r="J6314" s="487" t="s">
        <v>1202</v>
      </c>
    </row>
    <row r="6315" spans="1:10" ht="15" x14ac:dyDescent="0.2">
      <c r="A6315" s="486" t="s">
        <v>1201</v>
      </c>
      <c r="B6315" s="487" t="s">
        <v>1200</v>
      </c>
      <c r="C6315" s="488" t="s">
        <v>20131</v>
      </c>
      <c r="D6315" s="489" t="s">
        <v>20132</v>
      </c>
      <c r="E6315" s="487" t="s">
        <v>20133</v>
      </c>
      <c r="F6315" s="490">
        <v>0</v>
      </c>
      <c r="G6315" s="489">
        <v>27</v>
      </c>
      <c r="H6315" s="489">
        <v>0</v>
      </c>
      <c r="I6315" s="487" t="s">
        <v>1593</v>
      </c>
      <c r="J6315" s="487" t="s">
        <v>1202</v>
      </c>
    </row>
    <row r="6316" spans="1:10" ht="15" x14ac:dyDescent="0.2">
      <c r="A6316" s="486" t="s">
        <v>1201</v>
      </c>
      <c r="B6316" s="487" t="s">
        <v>1200</v>
      </c>
      <c r="C6316" s="488" t="s">
        <v>20134</v>
      </c>
      <c r="D6316" s="489" t="s">
        <v>20135</v>
      </c>
      <c r="E6316" s="487" t="s">
        <v>20136</v>
      </c>
      <c r="F6316" s="490">
        <v>7982</v>
      </c>
      <c r="G6316" s="489">
        <v>208</v>
      </c>
      <c r="H6316" s="489">
        <v>38.375</v>
      </c>
      <c r="I6316" s="487" t="s">
        <v>1499</v>
      </c>
      <c r="J6316" s="487" t="s">
        <v>1202</v>
      </c>
    </row>
    <row r="6317" spans="1:10" ht="15" x14ac:dyDescent="0.2">
      <c r="A6317" s="486" t="s">
        <v>1201</v>
      </c>
      <c r="B6317" s="487" t="s">
        <v>1200</v>
      </c>
      <c r="C6317" s="488" t="s">
        <v>20137</v>
      </c>
      <c r="D6317" s="489" t="s">
        <v>20138</v>
      </c>
      <c r="E6317" s="487" t="s">
        <v>20139</v>
      </c>
      <c r="F6317" s="490">
        <v>0</v>
      </c>
      <c r="G6317" s="489">
        <v>0</v>
      </c>
      <c r="H6317" s="489">
        <v>0</v>
      </c>
      <c r="I6317" s="487" t="s">
        <v>2465</v>
      </c>
      <c r="J6317" s="487" t="s">
        <v>1202</v>
      </c>
    </row>
    <row r="6318" spans="1:10" ht="15" x14ac:dyDescent="0.2">
      <c r="A6318" s="486" t="s">
        <v>1201</v>
      </c>
      <c r="B6318" s="487" t="s">
        <v>1200</v>
      </c>
      <c r="C6318" s="488" t="s">
        <v>20140</v>
      </c>
      <c r="D6318" s="489" t="s">
        <v>20141</v>
      </c>
      <c r="E6318" s="487" t="s">
        <v>20142</v>
      </c>
      <c r="F6318" s="490">
        <v>4361</v>
      </c>
      <c r="G6318" s="489">
        <v>65</v>
      </c>
      <c r="H6318" s="489">
        <v>67.092309999999998</v>
      </c>
      <c r="I6318" s="487" t="s">
        <v>1499</v>
      </c>
      <c r="J6318" s="487" t="s">
        <v>1202</v>
      </c>
    </row>
    <row r="6319" spans="1:10" ht="15" x14ac:dyDescent="0.2">
      <c r="A6319" s="486" t="s">
        <v>1201</v>
      </c>
      <c r="B6319" s="487" t="s">
        <v>1200</v>
      </c>
      <c r="C6319" s="488" t="s">
        <v>20143</v>
      </c>
      <c r="D6319" s="489" t="s">
        <v>20144</v>
      </c>
      <c r="E6319" s="487" t="s">
        <v>20145</v>
      </c>
      <c r="F6319" s="490">
        <v>1650</v>
      </c>
      <c r="G6319" s="489">
        <v>75</v>
      </c>
      <c r="H6319" s="489">
        <v>22</v>
      </c>
      <c r="I6319" s="487" t="s">
        <v>1499</v>
      </c>
      <c r="J6319" s="487" t="s">
        <v>1202</v>
      </c>
    </row>
    <row r="6320" spans="1:10" ht="15" x14ac:dyDescent="0.2">
      <c r="A6320" s="486" t="s">
        <v>1201</v>
      </c>
      <c r="B6320" s="487" t="s">
        <v>1200</v>
      </c>
      <c r="C6320" s="488" t="s">
        <v>20146</v>
      </c>
      <c r="D6320" s="489" t="s">
        <v>20147</v>
      </c>
      <c r="E6320" s="487" t="s">
        <v>20148</v>
      </c>
      <c r="F6320" s="490">
        <v>0</v>
      </c>
      <c r="G6320" s="489">
        <v>0</v>
      </c>
      <c r="H6320" s="489">
        <v>0</v>
      </c>
      <c r="I6320" s="487" t="s">
        <v>2465</v>
      </c>
      <c r="J6320" s="487" t="s">
        <v>1202</v>
      </c>
    </row>
    <row r="6321" spans="1:10" ht="15" x14ac:dyDescent="0.2">
      <c r="A6321" s="486" t="s">
        <v>1201</v>
      </c>
      <c r="B6321" s="487" t="s">
        <v>1200</v>
      </c>
      <c r="C6321" s="488" t="s">
        <v>20149</v>
      </c>
      <c r="D6321" s="489" t="s">
        <v>20150</v>
      </c>
      <c r="E6321" s="487" t="s">
        <v>20151</v>
      </c>
      <c r="F6321" s="490">
        <v>1000</v>
      </c>
      <c r="G6321" s="489">
        <v>102</v>
      </c>
      <c r="H6321" s="489">
        <v>9.8039199999999997</v>
      </c>
      <c r="I6321" s="487" t="s">
        <v>1499</v>
      </c>
      <c r="J6321" s="487" t="s">
        <v>1202</v>
      </c>
    </row>
    <row r="6322" spans="1:10" ht="15" x14ac:dyDescent="0.2">
      <c r="A6322" s="486" t="s">
        <v>1201</v>
      </c>
      <c r="B6322" s="487" t="s">
        <v>1200</v>
      </c>
      <c r="C6322" s="488" t="s">
        <v>20152</v>
      </c>
      <c r="D6322" s="489" t="s">
        <v>20153</v>
      </c>
      <c r="E6322" s="487" t="s">
        <v>20154</v>
      </c>
      <c r="F6322" s="490">
        <v>10137.629999999999</v>
      </c>
      <c r="G6322" s="489">
        <v>142</v>
      </c>
      <c r="H6322" s="489">
        <v>71.391760000000005</v>
      </c>
      <c r="I6322" s="487" t="s">
        <v>1499</v>
      </c>
      <c r="J6322" s="487" t="s">
        <v>1202</v>
      </c>
    </row>
    <row r="6323" spans="1:10" ht="15" x14ac:dyDescent="0.2">
      <c r="A6323" s="486" t="s">
        <v>1201</v>
      </c>
      <c r="B6323" s="487" t="s">
        <v>1200</v>
      </c>
      <c r="C6323" s="488" t="s">
        <v>20155</v>
      </c>
      <c r="D6323" s="489" t="s">
        <v>20156</v>
      </c>
      <c r="E6323" s="487" t="s">
        <v>20157</v>
      </c>
      <c r="F6323" s="490">
        <v>27281</v>
      </c>
      <c r="G6323" s="489">
        <v>466</v>
      </c>
      <c r="H6323" s="489">
        <v>58.542920000000002</v>
      </c>
      <c r="I6323" s="487" t="s">
        <v>1499</v>
      </c>
      <c r="J6323" s="487" t="s">
        <v>1202</v>
      </c>
    </row>
    <row r="6324" spans="1:10" ht="15" x14ac:dyDescent="0.2">
      <c r="A6324" s="486" t="s">
        <v>1201</v>
      </c>
      <c r="B6324" s="487" t="s">
        <v>1200</v>
      </c>
      <c r="C6324" s="488" t="s">
        <v>20158</v>
      </c>
      <c r="D6324" s="489" t="s">
        <v>20159</v>
      </c>
      <c r="E6324" s="487" t="s">
        <v>20160</v>
      </c>
      <c r="F6324" s="490">
        <v>188903</v>
      </c>
      <c r="G6324" s="489">
        <v>1097</v>
      </c>
      <c r="H6324" s="489">
        <v>172.19963999999999</v>
      </c>
      <c r="I6324" s="487" t="s">
        <v>1499</v>
      </c>
      <c r="J6324" s="487" t="s">
        <v>1202</v>
      </c>
    </row>
    <row r="6325" spans="1:10" ht="15" x14ac:dyDescent="0.2">
      <c r="A6325" s="486" t="s">
        <v>1201</v>
      </c>
      <c r="B6325" s="487" t="s">
        <v>1200</v>
      </c>
      <c r="C6325" s="488" t="s">
        <v>20161</v>
      </c>
      <c r="D6325" s="489" t="s">
        <v>20162</v>
      </c>
      <c r="E6325" s="487" t="s">
        <v>20163</v>
      </c>
      <c r="F6325" s="490">
        <v>266074</v>
      </c>
      <c r="G6325" s="489">
        <v>1415</v>
      </c>
      <c r="H6325" s="489">
        <v>188.03816</v>
      </c>
      <c r="I6325" s="487" t="s">
        <v>1499</v>
      </c>
      <c r="J6325" s="487" t="s">
        <v>1202</v>
      </c>
    </row>
    <row r="6326" spans="1:10" ht="15" x14ac:dyDescent="0.2">
      <c r="A6326" s="486" t="s">
        <v>1201</v>
      </c>
      <c r="B6326" s="487" t="s">
        <v>1200</v>
      </c>
      <c r="C6326" s="488" t="s">
        <v>20164</v>
      </c>
      <c r="D6326" s="489" t="s">
        <v>20165</v>
      </c>
      <c r="E6326" s="487" t="s">
        <v>20166</v>
      </c>
      <c r="F6326" s="490">
        <v>18490</v>
      </c>
      <c r="G6326" s="489">
        <v>161</v>
      </c>
      <c r="H6326" s="489">
        <v>114.84472</v>
      </c>
      <c r="I6326" s="487" t="s">
        <v>1499</v>
      </c>
      <c r="J6326" s="487" t="s">
        <v>1202</v>
      </c>
    </row>
    <row r="6327" spans="1:10" ht="15" x14ac:dyDescent="0.2">
      <c r="A6327" s="486" t="s">
        <v>1201</v>
      </c>
      <c r="B6327" s="487" t="s">
        <v>1200</v>
      </c>
      <c r="C6327" s="488" t="s">
        <v>20167</v>
      </c>
      <c r="D6327" s="489" t="s">
        <v>20168</v>
      </c>
      <c r="E6327" s="487" t="s">
        <v>6771</v>
      </c>
      <c r="F6327" s="490">
        <v>11378</v>
      </c>
      <c r="G6327" s="489">
        <v>204</v>
      </c>
      <c r="H6327" s="489">
        <v>55.774509999999999</v>
      </c>
      <c r="I6327" s="487" t="s">
        <v>1499</v>
      </c>
      <c r="J6327" s="487" t="s">
        <v>1202</v>
      </c>
    </row>
    <row r="6328" spans="1:10" ht="15" x14ac:dyDescent="0.2">
      <c r="A6328" s="486" t="s">
        <v>1201</v>
      </c>
      <c r="B6328" s="487" t="s">
        <v>1200</v>
      </c>
      <c r="C6328" s="488" t="s">
        <v>20169</v>
      </c>
      <c r="D6328" s="489" t="s">
        <v>20170</v>
      </c>
      <c r="E6328" s="487" t="s">
        <v>20171</v>
      </c>
      <c r="F6328" s="490">
        <v>3413</v>
      </c>
      <c r="G6328" s="489">
        <v>115</v>
      </c>
      <c r="H6328" s="489">
        <v>29.678260000000002</v>
      </c>
      <c r="I6328" s="487" t="s">
        <v>1499</v>
      </c>
      <c r="J6328" s="487" t="s">
        <v>1202</v>
      </c>
    </row>
    <row r="6329" spans="1:10" ht="15" x14ac:dyDescent="0.2">
      <c r="A6329" s="486" t="s">
        <v>1201</v>
      </c>
      <c r="B6329" s="487" t="s">
        <v>1200</v>
      </c>
      <c r="C6329" s="488" t="s">
        <v>20172</v>
      </c>
      <c r="D6329" s="489" t="s">
        <v>20173</v>
      </c>
      <c r="E6329" s="487" t="s">
        <v>20174</v>
      </c>
      <c r="F6329" s="490">
        <v>135275</v>
      </c>
      <c r="G6329" s="489">
        <v>1355</v>
      </c>
      <c r="H6329" s="489">
        <v>99.833950000000002</v>
      </c>
      <c r="I6329" s="487" t="s">
        <v>1499</v>
      </c>
      <c r="J6329" s="487" t="s">
        <v>1202</v>
      </c>
    </row>
    <row r="6330" spans="1:10" ht="15" x14ac:dyDescent="0.2">
      <c r="A6330" s="486" t="s">
        <v>1201</v>
      </c>
      <c r="B6330" s="487" t="s">
        <v>1200</v>
      </c>
      <c r="C6330" s="488" t="s">
        <v>20175</v>
      </c>
      <c r="D6330" s="489" t="s">
        <v>20176</v>
      </c>
      <c r="E6330" s="487" t="s">
        <v>20177</v>
      </c>
      <c r="F6330" s="490">
        <v>2049</v>
      </c>
      <c r="G6330" s="489">
        <v>69</v>
      </c>
      <c r="H6330" s="489">
        <v>29.695650000000001</v>
      </c>
      <c r="I6330" s="487" t="s">
        <v>1499</v>
      </c>
      <c r="J6330" s="487" t="s">
        <v>1202</v>
      </c>
    </row>
    <row r="6331" spans="1:10" ht="15" x14ac:dyDescent="0.2">
      <c r="A6331" s="486" t="s">
        <v>1201</v>
      </c>
      <c r="B6331" s="487" t="s">
        <v>1200</v>
      </c>
      <c r="C6331" s="488" t="s">
        <v>20178</v>
      </c>
      <c r="D6331" s="489" t="s">
        <v>20179</v>
      </c>
      <c r="E6331" s="487" t="s">
        <v>20180</v>
      </c>
      <c r="F6331" s="490">
        <v>7000</v>
      </c>
      <c r="G6331" s="489">
        <v>139</v>
      </c>
      <c r="H6331" s="489">
        <v>50.35971</v>
      </c>
      <c r="I6331" s="487" t="s">
        <v>1499</v>
      </c>
      <c r="J6331" s="487" t="s">
        <v>1202</v>
      </c>
    </row>
    <row r="6332" spans="1:10" ht="15" x14ac:dyDescent="0.2">
      <c r="A6332" s="486" t="s">
        <v>1201</v>
      </c>
      <c r="B6332" s="487" t="s">
        <v>1200</v>
      </c>
      <c r="C6332" s="488" t="s">
        <v>20181</v>
      </c>
      <c r="D6332" s="489" t="s">
        <v>20182</v>
      </c>
      <c r="E6332" s="487" t="s">
        <v>20183</v>
      </c>
      <c r="F6332" s="490">
        <v>31000</v>
      </c>
      <c r="G6332" s="489">
        <v>466</v>
      </c>
      <c r="H6332" s="489">
        <v>66.523610000000005</v>
      </c>
      <c r="I6332" s="487" t="s">
        <v>1499</v>
      </c>
      <c r="J6332" s="487" t="s">
        <v>1202</v>
      </c>
    </row>
    <row r="6333" spans="1:10" ht="15" x14ac:dyDescent="0.2">
      <c r="A6333" s="486" t="s">
        <v>1201</v>
      </c>
      <c r="B6333" s="487" t="s">
        <v>1200</v>
      </c>
      <c r="C6333" s="488" t="s">
        <v>20184</v>
      </c>
      <c r="D6333" s="489" t="s">
        <v>20185</v>
      </c>
      <c r="E6333" s="487" t="s">
        <v>20186</v>
      </c>
      <c r="F6333" s="490">
        <v>3118</v>
      </c>
      <c r="G6333" s="489">
        <v>109</v>
      </c>
      <c r="H6333" s="489">
        <v>28.605499999999999</v>
      </c>
      <c r="I6333" s="487" t="s">
        <v>1499</v>
      </c>
      <c r="J6333" s="487" t="s">
        <v>1202</v>
      </c>
    </row>
    <row r="6334" spans="1:10" ht="15" x14ac:dyDescent="0.2">
      <c r="A6334" s="486" t="s">
        <v>1201</v>
      </c>
      <c r="B6334" s="487" t="s">
        <v>1200</v>
      </c>
      <c r="C6334" s="488" t="s">
        <v>20187</v>
      </c>
      <c r="D6334" s="489" t="s">
        <v>20188</v>
      </c>
      <c r="E6334" s="487" t="s">
        <v>20189</v>
      </c>
      <c r="F6334" s="490">
        <v>276868</v>
      </c>
      <c r="G6334" s="489">
        <v>2142</v>
      </c>
      <c r="H6334" s="489">
        <v>129.25676999999999</v>
      </c>
      <c r="I6334" s="487" t="s">
        <v>1499</v>
      </c>
      <c r="J6334" s="487" t="s">
        <v>1202</v>
      </c>
    </row>
    <row r="6335" spans="1:10" ht="15" x14ac:dyDescent="0.2">
      <c r="A6335" s="486" t="s">
        <v>1201</v>
      </c>
      <c r="B6335" s="487" t="s">
        <v>1200</v>
      </c>
      <c r="C6335" s="488" t="s">
        <v>20190</v>
      </c>
      <c r="D6335" s="489" t="s">
        <v>20191</v>
      </c>
      <c r="E6335" s="487" t="s">
        <v>20192</v>
      </c>
      <c r="F6335" s="490">
        <v>30430</v>
      </c>
      <c r="G6335" s="489">
        <v>413</v>
      </c>
      <c r="H6335" s="489">
        <v>73.680390000000003</v>
      </c>
      <c r="I6335" s="487" t="s">
        <v>1499</v>
      </c>
      <c r="J6335" s="487" t="s">
        <v>1202</v>
      </c>
    </row>
    <row r="6336" spans="1:10" ht="15" x14ac:dyDescent="0.2">
      <c r="A6336" s="486" t="s">
        <v>1201</v>
      </c>
      <c r="B6336" s="487" t="s">
        <v>1200</v>
      </c>
      <c r="C6336" s="488" t="s">
        <v>20193</v>
      </c>
      <c r="D6336" s="489" t="s">
        <v>20194</v>
      </c>
      <c r="E6336" s="487" t="s">
        <v>20195</v>
      </c>
      <c r="F6336" s="490">
        <v>26400</v>
      </c>
      <c r="G6336" s="489">
        <v>344</v>
      </c>
      <c r="H6336" s="489">
        <v>76.744190000000003</v>
      </c>
      <c r="I6336" s="487" t="s">
        <v>1499</v>
      </c>
      <c r="J6336" s="487" t="s">
        <v>1202</v>
      </c>
    </row>
    <row r="6337" spans="1:10" ht="15" x14ac:dyDescent="0.2">
      <c r="A6337" s="486" t="s">
        <v>1201</v>
      </c>
      <c r="B6337" s="487" t="s">
        <v>1200</v>
      </c>
      <c r="C6337" s="488" t="s">
        <v>20196</v>
      </c>
      <c r="D6337" s="489" t="s">
        <v>20197</v>
      </c>
      <c r="E6337" s="487" t="s">
        <v>20198</v>
      </c>
      <c r="F6337" s="490">
        <v>0</v>
      </c>
      <c r="G6337" s="489">
        <v>53</v>
      </c>
      <c r="H6337" s="489">
        <v>0</v>
      </c>
      <c r="I6337" s="487" t="s">
        <v>1593</v>
      </c>
      <c r="J6337" s="487" t="s">
        <v>1202</v>
      </c>
    </row>
    <row r="6338" spans="1:10" ht="15" x14ac:dyDescent="0.2">
      <c r="A6338" s="486" t="s">
        <v>1201</v>
      </c>
      <c r="B6338" s="487" t="s">
        <v>1200</v>
      </c>
      <c r="C6338" s="488" t="s">
        <v>20199</v>
      </c>
      <c r="D6338" s="489" t="s">
        <v>20200</v>
      </c>
      <c r="E6338" s="487" t="s">
        <v>20201</v>
      </c>
      <c r="F6338" s="490">
        <v>420057.39</v>
      </c>
      <c r="G6338" s="489">
        <v>1787</v>
      </c>
      <c r="H6338" s="489">
        <v>235.06289000000001</v>
      </c>
      <c r="I6338" s="487" t="s">
        <v>1499</v>
      </c>
      <c r="J6338" s="487" t="s">
        <v>1202</v>
      </c>
    </row>
    <row r="6339" spans="1:10" ht="15" x14ac:dyDescent="0.2">
      <c r="A6339" s="486" t="s">
        <v>1201</v>
      </c>
      <c r="B6339" s="487" t="s">
        <v>1200</v>
      </c>
      <c r="C6339" s="488" t="s">
        <v>20202</v>
      </c>
      <c r="D6339" s="489" t="s">
        <v>20203</v>
      </c>
      <c r="E6339" s="487" t="s">
        <v>20204</v>
      </c>
      <c r="F6339" s="490">
        <v>0</v>
      </c>
      <c r="G6339" s="489">
        <v>0</v>
      </c>
      <c r="H6339" s="489">
        <v>0</v>
      </c>
      <c r="I6339" s="487" t="s">
        <v>2465</v>
      </c>
      <c r="J6339" s="487" t="s">
        <v>1202</v>
      </c>
    </row>
    <row r="6340" spans="1:10" ht="15" x14ac:dyDescent="0.2">
      <c r="A6340" s="486" t="s">
        <v>1201</v>
      </c>
      <c r="B6340" s="487" t="s">
        <v>1200</v>
      </c>
      <c r="C6340" s="488" t="s">
        <v>20205</v>
      </c>
      <c r="D6340" s="489" t="s">
        <v>20206</v>
      </c>
      <c r="E6340" s="487" t="s">
        <v>10370</v>
      </c>
      <c r="F6340" s="490">
        <v>29629.11</v>
      </c>
      <c r="G6340" s="489">
        <v>860</v>
      </c>
      <c r="H6340" s="489">
        <v>34.452449999999999</v>
      </c>
      <c r="I6340" s="487" t="s">
        <v>1499</v>
      </c>
      <c r="J6340" s="487" t="s">
        <v>1202</v>
      </c>
    </row>
    <row r="6341" spans="1:10" ht="15" x14ac:dyDescent="0.2">
      <c r="A6341" s="486" t="s">
        <v>1201</v>
      </c>
      <c r="B6341" s="487" t="s">
        <v>1200</v>
      </c>
      <c r="C6341" s="488" t="s">
        <v>20207</v>
      </c>
      <c r="D6341" s="489" t="s">
        <v>20208</v>
      </c>
      <c r="E6341" s="487" t="s">
        <v>20209</v>
      </c>
      <c r="F6341" s="490">
        <v>16496</v>
      </c>
      <c r="G6341" s="489">
        <v>309</v>
      </c>
      <c r="H6341" s="489">
        <v>53.385109999999997</v>
      </c>
      <c r="I6341" s="487" t="s">
        <v>1499</v>
      </c>
      <c r="J6341" s="487" t="s">
        <v>1202</v>
      </c>
    </row>
    <row r="6342" spans="1:10" ht="15" x14ac:dyDescent="0.2">
      <c r="A6342" s="486" t="s">
        <v>1201</v>
      </c>
      <c r="B6342" s="487" t="s">
        <v>1200</v>
      </c>
      <c r="C6342" s="488" t="s">
        <v>20210</v>
      </c>
      <c r="D6342" s="489" t="s">
        <v>20211</v>
      </c>
      <c r="E6342" s="487" t="s">
        <v>20212</v>
      </c>
      <c r="F6342" s="490">
        <v>33182</v>
      </c>
      <c r="G6342" s="489">
        <v>516</v>
      </c>
      <c r="H6342" s="489">
        <v>64.306200000000004</v>
      </c>
      <c r="I6342" s="487" t="s">
        <v>1499</v>
      </c>
      <c r="J6342" s="487" t="s">
        <v>1202</v>
      </c>
    </row>
    <row r="6343" spans="1:10" ht="15" x14ac:dyDescent="0.2">
      <c r="A6343" s="486" t="s">
        <v>1201</v>
      </c>
      <c r="B6343" s="487" t="s">
        <v>1200</v>
      </c>
      <c r="C6343" s="488" t="s">
        <v>20213</v>
      </c>
      <c r="D6343" s="489" t="s">
        <v>20214</v>
      </c>
      <c r="E6343" s="487" t="s">
        <v>20215</v>
      </c>
      <c r="F6343" s="490">
        <v>6016</v>
      </c>
      <c r="G6343" s="489">
        <v>162</v>
      </c>
      <c r="H6343" s="489">
        <v>37.135800000000003</v>
      </c>
      <c r="I6343" s="487" t="s">
        <v>1499</v>
      </c>
      <c r="J6343" s="487" t="s">
        <v>1202</v>
      </c>
    </row>
    <row r="6344" spans="1:10" ht="15" x14ac:dyDescent="0.2">
      <c r="A6344" s="486" t="s">
        <v>1201</v>
      </c>
      <c r="B6344" s="487" t="s">
        <v>1200</v>
      </c>
      <c r="C6344" s="488" t="s">
        <v>20216</v>
      </c>
      <c r="D6344" s="489" t="s">
        <v>20217</v>
      </c>
      <c r="E6344" s="487" t="s">
        <v>20218</v>
      </c>
      <c r="F6344" s="490">
        <v>5549</v>
      </c>
      <c r="G6344" s="489">
        <v>168</v>
      </c>
      <c r="H6344" s="489">
        <v>33.029760000000003</v>
      </c>
      <c r="I6344" s="487" t="s">
        <v>1499</v>
      </c>
      <c r="J6344" s="487" t="s">
        <v>1202</v>
      </c>
    </row>
    <row r="6345" spans="1:10" ht="15" x14ac:dyDescent="0.2">
      <c r="A6345" s="486" t="s">
        <v>1201</v>
      </c>
      <c r="B6345" s="487" t="s">
        <v>1200</v>
      </c>
      <c r="C6345" s="488" t="s">
        <v>20219</v>
      </c>
      <c r="D6345" s="489" t="s">
        <v>20220</v>
      </c>
      <c r="E6345" s="487" t="s">
        <v>20221</v>
      </c>
      <c r="F6345" s="490">
        <v>850</v>
      </c>
      <c r="G6345" s="489">
        <v>109</v>
      </c>
      <c r="H6345" s="489">
        <v>7.7981699999999998</v>
      </c>
      <c r="I6345" s="487" t="s">
        <v>1499</v>
      </c>
      <c r="J6345" s="487" t="s">
        <v>1202</v>
      </c>
    </row>
    <row r="6346" spans="1:10" ht="15" x14ac:dyDescent="0.2">
      <c r="A6346" s="486" t="s">
        <v>1201</v>
      </c>
      <c r="B6346" s="487" t="s">
        <v>1200</v>
      </c>
      <c r="C6346" s="488" t="s">
        <v>20222</v>
      </c>
      <c r="D6346" s="489" t="s">
        <v>20223</v>
      </c>
      <c r="E6346" s="487" t="s">
        <v>20224</v>
      </c>
      <c r="F6346" s="490">
        <v>7977</v>
      </c>
      <c r="G6346" s="489">
        <v>245</v>
      </c>
      <c r="H6346" s="489">
        <v>32.559179999999998</v>
      </c>
      <c r="I6346" s="487" t="s">
        <v>1499</v>
      </c>
      <c r="J6346" s="487" t="s">
        <v>1202</v>
      </c>
    </row>
    <row r="6347" spans="1:10" ht="15" x14ac:dyDescent="0.2">
      <c r="A6347" s="486" t="s">
        <v>1201</v>
      </c>
      <c r="B6347" s="487" t="s">
        <v>1200</v>
      </c>
      <c r="C6347" s="488" t="s">
        <v>20225</v>
      </c>
      <c r="D6347" s="489" t="s">
        <v>20226</v>
      </c>
      <c r="E6347" s="487" t="s">
        <v>20227</v>
      </c>
      <c r="F6347" s="490">
        <v>0</v>
      </c>
      <c r="G6347" s="489">
        <v>17</v>
      </c>
      <c r="H6347" s="489">
        <v>0</v>
      </c>
      <c r="I6347" s="487" t="s">
        <v>1593</v>
      </c>
      <c r="J6347" s="487" t="s">
        <v>1202</v>
      </c>
    </row>
    <row r="6348" spans="1:10" ht="15" x14ac:dyDescent="0.2">
      <c r="A6348" s="486" t="s">
        <v>1201</v>
      </c>
      <c r="B6348" s="487" t="s">
        <v>1200</v>
      </c>
      <c r="C6348" s="488" t="s">
        <v>20228</v>
      </c>
      <c r="D6348" s="489" t="s">
        <v>20229</v>
      </c>
      <c r="E6348" s="487" t="s">
        <v>20230</v>
      </c>
      <c r="F6348" s="490">
        <v>18600</v>
      </c>
      <c r="G6348" s="489">
        <v>313</v>
      </c>
      <c r="H6348" s="489">
        <v>59.42492</v>
      </c>
      <c r="I6348" s="487" t="s">
        <v>1499</v>
      </c>
      <c r="J6348" s="487" t="s">
        <v>1202</v>
      </c>
    </row>
    <row r="6349" spans="1:10" ht="15" x14ac:dyDescent="0.2">
      <c r="A6349" s="486" t="s">
        <v>1201</v>
      </c>
      <c r="B6349" s="487" t="s">
        <v>1200</v>
      </c>
      <c r="C6349" s="488" t="s">
        <v>20231</v>
      </c>
      <c r="D6349" s="489" t="s">
        <v>20232</v>
      </c>
      <c r="E6349" s="487" t="s">
        <v>20233</v>
      </c>
      <c r="F6349" s="490">
        <v>7772</v>
      </c>
      <c r="G6349" s="489">
        <v>146</v>
      </c>
      <c r="H6349" s="489">
        <v>53.232880000000002</v>
      </c>
      <c r="I6349" s="487" t="s">
        <v>1499</v>
      </c>
      <c r="J6349" s="487" t="s">
        <v>1202</v>
      </c>
    </row>
    <row r="6350" spans="1:10" ht="15" x14ac:dyDescent="0.2">
      <c r="A6350" s="486" t="s">
        <v>1201</v>
      </c>
      <c r="B6350" s="487" t="s">
        <v>1200</v>
      </c>
      <c r="C6350" s="488" t="s">
        <v>20234</v>
      </c>
      <c r="D6350" s="489" t="s">
        <v>20235</v>
      </c>
      <c r="E6350" s="487" t="s">
        <v>20236</v>
      </c>
      <c r="F6350" s="490">
        <v>300</v>
      </c>
      <c r="G6350" s="489">
        <v>25</v>
      </c>
      <c r="H6350" s="489">
        <v>12</v>
      </c>
      <c r="I6350" s="487" t="s">
        <v>1499</v>
      </c>
      <c r="J6350" s="487" t="s">
        <v>1202</v>
      </c>
    </row>
    <row r="6351" spans="1:10" ht="15" x14ac:dyDescent="0.2">
      <c r="A6351" s="486" t="s">
        <v>1201</v>
      </c>
      <c r="B6351" s="487" t="s">
        <v>1200</v>
      </c>
      <c r="C6351" s="488" t="s">
        <v>20237</v>
      </c>
      <c r="D6351" s="489" t="s">
        <v>20238</v>
      </c>
      <c r="E6351" s="487" t="s">
        <v>20239</v>
      </c>
      <c r="F6351" s="490">
        <v>97432</v>
      </c>
      <c r="G6351" s="489">
        <v>760</v>
      </c>
      <c r="H6351" s="489">
        <v>128.19999999999999</v>
      </c>
      <c r="I6351" s="487" t="s">
        <v>1499</v>
      </c>
      <c r="J6351" s="487" t="s">
        <v>1202</v>
      </c>
    </row>
    <row r="6352" spans="1:10" ht="15" x14ac:dyDescent="0.2">
      <c r="A6352" s="486" t="s">
        <v>1201</v>
      </c>
      <c r="B6352" s="487" t="s">
        <v>1200</v>
      </c>
      <c r="C6352" s="488" t="s">
        <v>20240</v>
      </c>
      <c r="D6352" s="489" t="s">
        <v>20241</v>
      </c>
      <c r="E6352" s="487" t="s">
        <v>20242</v>
      </c>
      <c r="F6352" s="490">
        <v>14000</v>
      </c>
      <c r="G6352" s="489">
        <v>303</v>
      </c>
      <c r="H6352" s="489">
        <v>46.204619999999998</v>
      </c>
      <c r="I6352" s="487" t="s">
        <v>1499</v>
      </c>
      <c r="J6352" s="487" t="s">
        <v>1202</v>
      </c>
    </row>
    <row r="6353" spans="1:10" ht="15" x14ac:dyDescent="0.2">
      <c r="A6353" s="486" t="s">
        <v>1201</v>
      </c>
      <c r="B6353" s="487" t="s">
        <v>1200</v>
      </c>
      <c r="C6353" s="488" t="s">
        <v>20243</v>
      </c>
      <c r="D6353" s="489" t="s">
        <v>20244</v>
      </c>
      <c r="E6353" s="487" t="s">
        <v>20245</v>
      </c>
      <c r="F6353" s="490">
        <v>13200</v>
      </c>
      <c r="G6353" s="489">
        <v>145</v>
      </c>
      <c r="H6353" s="489">
        <v>91.034480000000002</v>
      </c>
      <c r="I6353" s="487" t="s">
        <v>1499</v>
      </c>
      <c r="J6353" s="487" t="s">
        <v>1202</v>
      </c>
    </row>
    <row r="6354" spans="1:10" ht="15" x14ac:dyDescent="0.2">
      <c r="A6354" s="486" t="s">
        <v>1201</v>
      </c>
      <c r="B6354" s="487" t="s">
        <v>1200</v>
      </c>
      <c r="C6354" s="488" t="s">
        <v>20246</v>
      </c>
      <c r="D6354" s="489" t="s">
        <v>20247</v>
      </c>
      <c r="E6354" s="487" t="s">
        <v>20248</v>
      </c>
      <c r="F6354" s="490">
        <v>6648</v>
      </c>
      <c r="G6354" s="489">
        <v>300</v>
      </c>
      <c r="H6354" s="489">
        <v>22.16</v>
      </c>
      <c r="I6354" s="487" t="s">
        <v>1499</v>
      </c>
      <c r="J6354" s="487" t="s">
        <v>1202</v>
      </c>
    </row>
    <row r="6355" spans="1:10" ht="15" x14ac:dyDescent="0.2">
      <c r="A6355" s="486" t="s">
        <v>1201</v>
      </c>
      <c r="B6355" s="487" t="s">
        <v>1200</v>
      </c>
      <c r="C6355" s="488" t="s">
        <v>20249</v>
      </c>
      <c r="D6355" s="489" t="s">
        <v>20250</v>
      </c>
      <c r="E6355" s="487" t="s">
        <v>20251</v>
      </c>
      <c r="F6355" s="490">
        <v>18000</v>
      </c>
      <c r="G6355" s="489">
        <v>312</v>
      </c>
      <c r="H6355" s="489">
        <v>57.692309999999999</v>
      </c>
      <c r="I6355" s="487" t="s">
        <v>1499</v>
      </c>
      <c r="J6355" s="487" t="s">
        <v>1202</v>
      </c>
    </row>
    <row r="6356" spans="1:10" ht="15" x14ac:dyDescent="0.2">
      <c r="A6356" s="486" t="s">
        <v>1201</v>
      </c>
      <c r="B6356" s="487" t="s">
        <v>1200</v>
      </c>
      <c r="C6356" s="488" t="s">
        <v>20252</v>
      </c>
      <c r="D6356" s="489" t="s">
        <v>20253</v>
      </c>
      <c r="E6356" s="487" t="s">
        <v>20254</v>
      </c>
      <c r="F6356" s="490">
        <v>25984</v>
      </c>
      <c r="G6356" s="489">
        <v>425</v>
      </c>
      <c r="H6356" s="489">
        <v>61.138820000000003</v>
      </c>
      <c r="I6356" s="487" t="s">
        <v>1499</v>
      </c>
      <c r="J6356" s="487" t="s">
        <v>1202</v>
      </c>
    </row>
    <row r="6357" spans="1:10" ht="15" x14ac:dyDescent="0.2">
      <c r="A6357" s="486" t="s">
        <v>1201</v>
      </c>
      <c r="B6357" s="487" t="s">
        <v>1200</v>
      </c>
      <c r="C6357" s="488" t="s">
        <v>20255</v>
      </c>
      <c r="D6357" s="489" t="s">
        <v>20256</v>
      </c>
      <c r="E6357" s="487" t="s">
        <v>20257</v>
      </c>
      <c r="F6357" s="490">
        <v>37567.9</v>
      </c>
      <c r="G6357" s="489">
        <v>417</v>
      </c>
      <c r="H6357" s="489">
        <v>90.090890000000002</v>
      </c>
      <c r="I6357" s="487" t="s">
        <v>1499</v>
      </c>
      <c r="J6357" s="487" t="s">
        <v>1202</v>
      </c>
    </row>
    <row r="6358" spans="1:10" ht="15" x14ac:dyDescent="0.2">
      <c r="A6358" s="486" t="s">
        <v>1201</v>
      </c>
      <c r="B6358" s="487" t="s">
        <v>1200</v>
      </c>
      <c r="C6358" s="488" t="s">
        <v>20258</v>
      </c>
      <c r="D6358" s="489" t="s">
        <v>20259</v>
      </c>
      <c r="E6358" s="487" t="s">
        <v>20260</v>
      </c>
      <c r="F6358" s="490">
        <v>12375</v>
      </c>
      <c r="G6358" s="489">
        <v>306</v>
      </c>
      <c r="H6358" s="489">
        <v>40.441180000000003</v>
      </c>
      <c r="I6358" s="487" t="s">
        <v>1499</v>
      </c>
      <c r="J6358" s="487" t="s">
        <v>1202</v>
      </c>
    </row>
    <row r="6359" spans="1:10" ht="15" x14ac:dyDescent="0.2">
      <c r="A6359" s="486" t="s">
        <v>1201</v>
      </c>
      <c r="B6359" s="487" t="s">
        <v>1200</v>
      </c>
      <c r="C6359" s="488" t="s">
        <v>20261</v>
      </c>
      <c r="D6359" s="489" t="s">
        <v>20262</v>
      </c>
      <c r="E6359" s="487" t="s">
        <v>20263</v>
      </c>
      <c r="F6359" s="490">
        <v>9604</v>
      </c>
      <c r="G6359" s="489">
        <v>209</v>
      </c>
      <c r="H6359" s="489">
        <v>45.952150000000003</v>
      </c>
      <c r="I6359" s="487" t="s">
        <v>1499</v>
      </c>
      <c r="J6359" s="487" t="s">
        <v>1202</v>
      </c>
    </row>
    <row r="6360" spans="1:10" ht="15" x14ac:dyDescent="0.2">
      <c r="A6360" s="486" t="s">
        <v>1201</v>
      </c>
      <c r="B6360" s="487" t="s">
        <v>1200</v>
      </c>
      <c r="C6360" s="488" t="s">
        <v>20264</v>
      </c>
      <c r="D6360" s="489" t="s">
        <v>20265</v>
      </c>
      <c r="E6360" s="487" t="s">
        <v>20266</v>
      </c>
      <c r="F6360" s="490">
        <v>0</v>
      </c>
      <c r="G6360" s="489">
        <v>42</v>
      </c>
      <c r="H6360" s="489">
        <v>0</v>
      </c>
      <c r="I6360" s="487" t="s">
        <v>1593</v>
      </c>
      <c r="J6360" s="487" t="s">
        <v>1202</v>
      </c>
    </row>
    <row r="6361" spans="1:10" ht="15" x14ac:dyDescent="0.2">
      <c r="A6361" s="486" t="s">
        <v>1201</v>
      </c>
      <c r="B6361" s="487" t="s">
        <v>1200</v>
      </c>
      <c r="C6361" s="488" t="s">
        <v>20267</v>
      </c>
      <c r="D6361" s="489" t="s">
        <v>20268</v>
      </c>
      <c r="E6361" s="487" t="s">
        <v>20269</v>
      </c>
      <c r="F6361" s="490">
        <v>4097</v>
      </c>
      <c r="G6361" s="489">
        <v>212</v>
      </c>
      <c r="H6361" s="489">
        <v>19.325469999999999</v>
      </c>
      <c r="I6361" s="487" t="s">
        <v>1499</v>
      </c>
      <c r="J6361" s="487" t="s">
        <v>1202</v>
      </c>
    </row>
    <row r="6362" spans="1:10" ht="15" x14ac:dyDescent="0.2">
      <c r="A6362" s="486" t="s">
        <v>1201</v>
      </c>
      <c r="B6362" s="487" t="s">
        <v>1200</v>
      </c>
      <c r="C6362" s="488" t="s">
        <v>20270</v>
      </c>
      <c r="D6362" s="489" t="s">
        <v>20271</v>
      </c>
      <c r="E6362" s="487" t="s">
        <v>20272</v>
      </c>
      <c r="F6362" s="490">
        <v>23743.5</v>
      </c>
      <c r="G6362" s="489">
        <v>220</v>
      </c>
      <c r="H6362" s="489">
        <v>107.925</v>
      </c>
      <c r="I6362" s="487" t="s">
        <v>1499</v>
      </c>
      <c r="J6362" s="487" t="s">
        <v>1202</v>
      </c>
    </row>
    <row r="6363" spans="1:10" ht="15" x14ac:dyDescent="0.2">
      <c r="A6363" s="486" t="s">
        <v>1201</v>
      </c>
      <c r="B6363" s="487" t="s">
        <v>1200</v>
      </c>
      <c r="C6363" s="488" t="s">
        <v>20273</v>
      </c>
      <c r="D6363" s="489" t="s">
        <v>20274</v>
      </c>
      <c r="E6363" s="487" t="s">
        <v>20275</v>
      </c>
      <c r="F6363" s="490">
        <v>4945</v>
      </c>
      <c r="G6363" s="489">
        <v>148</v>
      </c>
      <c r="H6363" s="489">
        <v>33.41216</v>
      </c>
      <c r="I6363" s="487" t="s">
        <v>1499</v>
      </c>
      <c r="J6363" s="487" t="s">
        <v>1202</v>
      </c>
    </row>
    <row r="6364" spans="1:10" ht="15" x14ac:dyDescent="0.2">
      <c r="A6364" s="486" t="s">
        <v>1201</v>
      </c>
      <c r="B6364" s="487" t="s">
        <v>1200</v>
      </c>
      <c r="C6364" s="488" t="s">
        <v>20276</v>
      </c>
      <c r="D6364" s="489" t="s">
        <v>20277</v>
      </c>
      <c r="E6364" s="487" t="s">
        <v>20278</v>
      </c>
      <c r="F6364" s="490">
        <v>3750</v>
      </c>
      <c r="G6364" s="489">
        <v>104</v>
      </c>
      <c r="H6364" s="489">
        <v>36.057690000000001</v>
      </c>
      <c r="I6364" s="487" t="s">
        <v>1499</v>
      </c>
      <c r="J6364" s="487" t="s">
        <v>1202</v>
      </c>
    </row>
    <row r="6365" spans="1:10" ht="15" x14ac:dyDescent="0.2">
      <c r="A6365" s="486" t="s">
        <v>1201</v>
      </c>
      <c r="B6365" s="487" t="s">
        <v>1200</v>
      </c>
      <c r="C6365" s="488" t="s">
        <v>20279</v>
      </c>
      <c r="D6365" s="489" t="s">
        <v>20280</v>
      </c>
      <c r="E6365" s="487" t="s">
        <v>20281</v>
      </c>
      <c r="F6365" s="490">
        <v>69000</v>
      </c>
      <c r="G6365" s="489">
        <v>421</v>
      </c>
      <c r="H6365" s="489">
        <v>163.89549</v>
      </c>
      <c r="I6365" s="487" t="s">
        <v>1499</v>
      </c>
      <c r="J6365" s="487" t="s">
        <v>1202</v>
      </c>
    </row>
    <row r="6366" spans="1:10" ht="15" x14ac:dyDescent="0.2">
      <c r="A6366" s="486" t="s">
        <v>1201</v>
      </c>
      <c r="B6366" s="487" t="s">
        <v>1200</v>
      </c>
      <c r="C6366" s="488" t="s">
        <v>20282</v>
      </c>
      <c r="D6366" s="489" t="s">
        <v>20283</v>
      </c>
      <c r="E6366" s="487" t="s">
        <v>20284</v>
      </c>
      <c r="F6366" s="490">
        <v>22804</v>
      </c>
      <c r="G6366" s="489">
        <v>136</v>
      </c>
      <c r="H6366" s="489">
        <v>167.67646999999999</v>
      </c>
      <c r="I6366" s="487" t="s">
        <v>1499</v>
      </c>
      <c r="J6366" s="487" t="s">
        <v>1202</v>
      </c>
    </row>
    <row r="6367" spans="1:10" ht="15" x14ac:dyDescent="0.2">
      <c r="A6367" s="486" t="s">
        <v>1201</v>
      </c>
      <c r="B6367" s="487" t="s">
        <v>1200</v>
      </c>
      <c r="C6367" s="488" t="s">
        <v>20285</v>
      </c>
      <c r="D6367" s="489" t="s">
        <v>20286</v>
      </c>
      <c r="E6367" s="487" t="s">
        <v>20287</v>
      </c>
      <c r="F6367" s="490">
        <v>0</v>
      </c>
      <c r="G6367" s="489">
        <v>0</v>
      </c>
      <c r="H6367" s="489">
        <v>0</v>
      </c>
      <c r="I6367" s="487" t="s">
        <v>2465</v>
      </c>
      <c r="J6367" s="487" t="s">
        <v>1202</v>
      </c>
    </row>
    <row r="6368" spans="1:10" ht="15" x14ac:dyDescent="0.2">
      <c r="A6368" s="486" t="s">
        <v>1201</v>
      </c>
      <c r="B6368" s="487" t="s">
        <v>1200</v>
      </c>
      <c r="C6368" s="488" t="s">
        <v>20288</v>
      </c>
      <c r="D6368" s="489" t="s">
        <v>20289</v>
      </c>
      <c r="E6368" s="487" t="s">
        <v>20290</v>
      </c>
      <c r="F6368" s="490">
        <v>12000</v>
      </c>
      <c r="G6368" s="489">
        <v>413</v>
      </c>
      <c r="H6368" s="489">
        <v>29.055689999999998</v>
      </c>
      <c r="I6368" s="487" t="s">
        <v>1499</v>
      </c>
      <c r="J6368" s="487" t="s">
        <v>1202</v>
      </c>
    </row>
    <row r="6369" spans="1:10" ht="15" x14ac:dyDescent="0.2">
      <c r="A6369" s="486" t="s">
        <v>1201</v>
      </c>
      <c r="B6369" s="487" t="s">
        <v>1200</v>
      </c>
      <c r="C6369" s="488" t="s">
        <v>20291</v>
      </c>
      <c r="D6369" s="489" t="s">
        <v>20292</v>
      </c>
      <c r="E6369" s="487" t="s">
        <v>20293</v>
      </c>
      <c r="F6369" s="490">
        <v>6269</v>
      </c>
      <c r="G6369" s="489">
        <v>200</v>
      </c>
      <c r="H6369" s="489">
        <v>31.344999999999999</v>
      </c>
      <c r="I6369" s="487" t="s">
        <v>1499</v>
      </c>
      <c r="J6369" s="487" t="s">
        <v>1202</v>
      </c>
    </row>
    <row r="6370" spans="1:10" ht="15" x14ac:dyDescent="0.2">
      <c r="A6370" s="486" t="s">
        <v>1201</v>
      </c>
      <c r="B6370" s="487" t="s">
        <v>1200</v>
      </c>
      <c r="C6370" s="488" t="s">
        <v>20294</v>
      </c>
      <c r="D6370" s="489" t="s">
        <v>20295</v>
      </c>
      <c r="E6370" s="487" t="s">
        <v>20296</v>
      </c>
      <c r="F6370" s="490">
        <v>14329</v>
      </c>
      <c r="G6370" s="489">
        <v>207</v>
      </c>
      <c r="H6370" s="489">
        <v>69.222219999999993</v>
      </c>
      <c r="I6370" s="487" t="s">
        <v>1499</v>
      </c>
      <c r="J6370" s="487" t="s">
        <v>1202</v>
      </c>
    </row>
    <row r="6371" spans="1:10" ht="15" x14ac:dyDescent="0.2">
      <c r="A6371" s="486" t="s">
        <v>1201</v>
      </c>
      <c r="B6371" s="487" t="s">
        <v>1200</v>
      </c>
      <c r="C6371" s="488" t="s">
        <v>20297</v>
      </c>
      <c r="D6371" s="489" t="s">
        <v>20298</v>
      </c>
      <c r="E6371" s="487" t="s">
        <v>20299</v>
      </c>
      <c r="F6371" s="490">
        <v>39575</v>
      </c>
      <c r="G6371" s="489">
        <v>227</v>
      </c>
      <c r="H6371" s="489">
        <v>174.33921000000001</v>
      </c>
      <c r="I6371" s="487" t="s">
        <v>1499</v>
      </c>
      <c r="J6371" s="487" t="s">
        <v>1202</v>
      </c>
    </row>
    <row r="6372" spans="1:10" ht="15" x14ac:dyDescent="0.2">
      <c r="A6372" s="486" t="s">
        <v>1201</v>
      </c>
      <c r="B6372" s="487" t="s">
        <v>1200</v>
      </c>
      <c r="C6372" s="488" t="s">
        <v>20300</v>
      </c>
      <c r="D6372" s="489" t="s">
        <v>20301</v>
      </c>
      <c r="E6372" s="487" t="s">
        <v>20302</v>
      </c>
      <c r="F6372" s="490">
        <v>0</v>
      </c>
      <c r="G6372" s="489">
        <v>0</v>
      </c>
      <c r="H6372" s="489">
        <v>0</v>
      </c>
      <c r="I6372" s="487" t="s">
        <v>2465</v>
      </c>
      <c r="J6372" s="487" t="s">
        <v>1202</v>
      </c>
    </row>
    <row r="6373" spans="1:10" ht="15" x14ac:dyDescent="0.2">
      <c r="A6373" s="486" t="s">
        <v>1201</v>
      </c>
      <c r="B6373" s="487" t="s">
        <v>1200</v>
      </c>
      <c r="C6373" s="488" t="s">
        <v>20303</v>
      </c>
      <c r="D6373" s="489" t="s">
        <v>20304</v>
      </c>
      <c r="E6373" s="487" t="s">
        <v>20305</v>
      </c>
      <c r="F6373" s="490">
        <v>11166</v>
      </c>
      <c r="G6373" s="489">
        <v>242</v>
      </c>
      <c r="H6373" s="489">
        <v>46.140500000000003</v>
      </c>
      <c r="I6373" s="487" t="s">
        <v>1499</v>
      </c>
      <c r="J6373" s="487" t="s">
        <v>1202</v>
      </c>
    </row>
    <row r="6374" spans="1:10" ht="15" x14ac:dyDescent="0.2">
      <c r="A6374" s="486" t="s">
        <v>1201</v>
      </c>
      <c r="B6374" s="487" t="s">
        <v>1200</v>
      </c>
      <c r="C6374" s="488" t="s">
        <v>20306</v>
      </c>
      <c r="D6374" s="489" t="s">
        <v>20307</v>
      </c>
      <c r="E6374" s="487" t="s">
        <v>17226</v>
      </c>
      <c r="F6374" s="490">
        <v>738840</v>
      </c>
      <c r="G6374" s="489">
        <v>6693</v>
      </c>
      <c r="H6374" s="489">
        <v>110.38996</v>
      </c>
      <c r="I6374" s="487" t="s">
        <v>1499</v>
      </c>
      <c r="J6374" s="487" t="s">
        <v>1202</v>
      </c>
    </row>
    <row r="6375" spans="1:10" ht="15" x14ac:dyDescent="0.2">
      <c r="A6375" s="486" t="s">
        <v>1201</v>
      </c>
      <c r="B6375" s="487" t="s">
        <v>1200</v>
      </c>
      <c r="C6375" s="488" t="s">
        <v>20308</v>
      </c>
      <c r="D6375" s="489" t="s">
        <v>20309</v>
      </c>
      <c r="E6375" s="487" t="s">
        <v>20310</v>
      </c>
      <c r="F6375" s="490">
        <v>0</v>
      </c>
      <c r="G6375" s="489">
        <v>0</v>
      </c>
      <c r="H6375" s="489">
        <v>0</v>
      </c>
      <c r="I6375" s="487" t="s">
        <v>2465</v>
      </c>
      <c r="J6375" s="487" t="s">
        <v>1202</v>
      </c>
    </row>
    <row r="6376" spans="1:10" ht="15" x14ac:dyDescent="0.2">
      <c r="A6376" s="486" t="s">
        <v>1425</v>
      </c>
      <c r="B6376" s="487" t="s">
        <v>1424</v>
      </c>
      <c r="C6376" s="488" t="s">
        <v>20311</v>
      </c>
      <c r="D6376" s="489" t="s">
        <v>20312</v>
      </c>
      <c r="E6376" s="487" t="s">
        <v>20313</v>
      </c>
      <c r="F6376" s="490">
        <v>5987</v>
      </c>
      <c r="G6376" s="489">
        <v>345.82</v>
      </c>
      <c r="H6376" s="489">
        <v>17.312470000000001</v>
      </c>
      <c r="I6376" s="487" t="s">
        <v>1499</v>
      </c>
      <c r="J6376" s="487" t="s">
        <v>1426</v>
      </c>
    </row>
    <row r="6377" spans="1:10" ht="15" x14ac:dyDescent="0.2">
      <c r="A6377" s="486" t="s">
        <v>1425</v>
      </c>
      <c r="B6377" s="487" t="s">
        <v>1424</v>
      </c>
      <c r="C6377" s="488" t="s">
        <v>20314</v>
      </c>
      <c r="D6377" s="489" t="s">
        <v>20315</v>
      </c>
      <c r="E6377" s="487" t="s">
        <v>20316</v>
      </c>
      <c r="F6377" s="490">
        <v>11073</v>
      </c>
      <c r="G6377" s="489">
        <v>206.39</v>
      </c>
      <c r="H6377" s="489">
        <v>53.650860000000002</v>
      </c>
      <c r="I6377" s="487" t="s">
        <v>1499</v>
      </c>
      <c r="J6377" s="487" t="s">
        <v>1426</v>
      </c>
    </row>
    <row r="6378" spans="1:10" ht="15" x14ac:dyDescent="0.2">
      <c r="A6378" s="486" t="s">
        <v>1425</v>
      </c>
      <c r="B6378" s="487" t="s">
        <v>1424</v>
      </c>
      <c r="C6378" s="488" t="s">
        <v>20317</v>
      </c>
      <c r="D6378" s="489" t="s">
        <v>20318</v>
      </c>
      <c r="E6378" s="487" t="s">
        <v>20319</v>
      </c>
      <c r="F6378" s="490">
        <v>5655</v>
      </c>
      <c r="G6378" s="489">
        <v>95.74</v>
      </c>
      <c r="H6378" s="489">
        <v>59.066220000000001</v>
      </c>
      <c r="I6378" s="487" t="s">
        <v>1499</v>
      </c>
      <c r="J6378" s="487" t="s">
        <v>1426</v>
      </c>
    </row>
    <row r="6379" spans="1:10" ht="15" x14ac:dyDescent="0.2">
      <c r="A6379" s="486" t="s">
        <v>1425</v>
      </c>
      <c r="B6379" s="487" t="s">
        <v>1424</v>
      </c>
      <c r="C6379" s="488" t="s">
        <v>20320</v>
      </c>
      <c r="D6379" s="489" t="s">
        <v>20321</v>
      </c>
      <c r="E6379" s="487" t="s">
        <v>20322</v>
      </c>
      <c r="F6379" s="490">
        <v>35091</v>
      </c>
      <c r="G6379" s="489">
        <v>1295.42</v>
      </c>
      <c r="H6379" s="489">
        <v>27.088509999999999</v>
      </c>
      <c r="I6379" s="487" t="s">
        <v>1499</v>
      </c>
      <c r="J6379" s="487" t="s">
        <v>1426</v>
      </c>
    </row>
    <row r="6380" spans="1:10" ht="15" x14ac:dyDescent="0.2">
      <c r="A6380" s="486" t="s">
        <v>1425</v>
      </c>
      <c r="B6380" s="487" t="s">
        <v>1424</v>
      </c>
      <c r="C6380" s="488" t="s">
        <v>20323</v>
      </c>
      <c r="D6380" s="489" t="s">
        <v>20324</v>
      </c>
      <c r="E6380" s="487" t="s">
        <v>20325</v>
      </c>
      <c r="F6380" s="490">
        <v>41765</v>
      </c>
      <c r="G6380" s="489">
        <v>2074.1</v>
      </c>
      <c r="H6380" s="489">
        <v>20.13644</v>
      </c>
      <c r="I6380" s="487" t="s">
        <v>1499</v>
      </c>
      <c r="J6380" s="487" t="s">
        <v>1426</v>
      </c>
    </row>
    <row r="6381" spans="1:10" ht="15" x14ac:dyDescent="0.2">
      <c r="A6381" s="486" t="s">
        <v>1425</v>
      </c>
      <c r="B6381" s="487" t="s">
        <v>1424</v>
      </c>
      <c r="C6381" s="488" t="s">
        <v>20326</v>
      </c>
      <c r="D6381" s="489" t="s">
        <v>20327</v>
      </c>
      <c r="E6381" s="487" t="s">
        <v>20328</v>
      </c>
      <c r="F6381" s="490">
        <v>41208</v>
      </c>
      <c r="G6381" s="489">
        <v>1699.2</v>
      </c>
      <c r="H6381" s="489">
        <v>24.25141</v>
      </c>
      <c r="I6381" s="487" t="s">
        <v>1499</v>
      </c>
      <c r="J6381" s="487" t="s">
        <v>1426</v>
      </c>
    </row>
    <row r="6382" spans="1:10" ht="15" x14ac:dyDescent="0.2">
      <c r="A6382" s="486" t="s">
        <v>1425</v>
      </c>
      <c r="B6382" s="487" t="s">
        <v>1424</v>
      </c>
      <c r="C6382" s="488" t="s">
        <v>20329</v>
      </c>
      <c r="D6382" s="489" t="s">
        <v>20330</v>
      </c>
      <c r="E6382" s="487" t="s">
        <v>20331</v>
      </c>
      <c r="F6382" s="490">
        <v>4586</v>
      </c>
      <c r="G6382" s="489">
        <v>136.91999999999999</v>
      </c>
      <c r="H6382" s="489">
        <v>33.494010000000003</v>
      </c>
      <c r="I6382" s="487" t="s">
        <v>1499</v>
      </c>
      <c r="J6382" s="487" t="s">
        <v>1426</v>
      </c>
    </row>
    <row r="6383" spans="1:10" ht="15" x14ac:dyDescent="0.2">
      <c r="A6383" s="486" t="s">
        <v>1425</v>
      </c>
      <c r="B6383" s="487" t="s">
        <v>1424</v>
      </c>
      <c r="C6383" s="488" t="s">
        <v>20332</v>
      </c>
      <c r="D6383" s="489" t="s">
        <v>20333</v>
      </c>
      <c r="E6383" s="487" t="s">
        <v>20334</v>
      </c>
      <c r="F6383" s="490">
        <v>46892</v>
      </c>
      <c r="G6383" s="489">
        <v>1363.09</v>
      </c>
      <c r="H6383" s="489">
        <v>34.401249999999997</v>
      </c>
      <c r="I6383" s="487" t="s">
        <v>1499</v>
      </c>
      <c r="J6383" s="487" t="s">
        <v>1426</v>
      </c>
    </row>
    <row r="6384" spans="1:10" ht="15" x14ac:dyDescent="0.2">
      <c r="A6384" s="486" t="s">
        <v>1425</v>
      </c>
      <c r="B6384" s="487" t="s">
        <v>1424</v>
      </c>
      <c r="C6384" s="488" t="s">
        <v>20335</v>
      </c>
      <c r="D6384" s="489" t="s">
        <v>20336</v>
      </c>
      <c r="E6384" s="487" t="s">
        <v>20337</v>
      </c>
      <c r="F6384" s="490">
        <v>28607</v>
      </c>
      <c r="G6384" s="489">
        <v>435.65</v>
      </c>
      <c r="H6384" s="489">
        <v>65.665099999999995</v>
      </c>
      <c r="I6384" s="487" t="s">
        <v>1499</v>
      </c>
      <c r="J6384" s="487" t="s">
        <v>1426</v>
      </c>
    </row>
    <row r="6385" spans="1:10" ht="15" x14ac:dyDescent="0.2">
      <c r="A6385" s="486" t="s">
        <v>1425</v>
      </c>
      <c r="B6385" s="487" t="s">
        <v>1424</v>
      </c>
      <c r="C6385" s="488" t="s">
        <v>20338</v>
      </c>
      <c r="D6385" s="489" t="s">
        <v>20339</v>
      </c>
      <c r="E6385" s="487" t="s">
        <v>20340</v>
      </c>
      <c r="F6385" s="490">
        <v>13894</v>
      </c>
      <c r="G6385" s="489">
        <v>491.93</v>
      </c>
      <c r="H6385" s="489">
        <v>28.243860000000002</v>
      </c>
      <c r="I6385" s="487" t="s">
        <v>1499</v>
      </c>
      <c r="J6385" s="487" t="s">
        <v>1426</v>
      </c>
    </row>
    <row r="6386" spans="1:10" ht="15" x14ac:dyDescent="0.2">
      <c r="A6386" s="486" t="s">
        <v>1425</v>
      </c>
      <c r="B6386" s="487" t="s">
        <v>1424</v>
      </c>
      <c r="C6386" s="488" t="s">
        <v>20341</v>
      </c>
      <c r="D6386" s="489" t="s">
        <v>20342</v>
      </c>
      <c r="E6386" s="487" t="s">
        <v>20343</v>
      </c>
      <c r="F6386" s="490">
        <v>60372</v>
      </c>
      <c r="G6386" s="489">
        <v>1271.81</v>
      </c>
      <c r="H6386" s="489">
        <v>47.469349999999999</v>
      </c>
      <c r="I6386" s="487" t="s">
        <v>1499</v>
      </c>
      <c r="J6386" s="487" t="s">
        <v>1426</v>
      </c>
    </row>
    <row r="6387" spans="1:10" ht="15" x14ac:dyDescent="0.2">
      <c r="A6387" s="486" t="s">
        <v>1425</v>
      </c>
      <c r="B6387" s="487" t="s">
        <v>1424</v>
      </c>
      <c r="C6387" s="488" t="s">
        <v>20344</v>
      </c>
      <c r="D6387" s="489" t="s">
        <v>20345</v>
      </c>
      <c r="E6387" s="487" t="s">
        <v>20346</v>
      </c>
      <c r="F6387" s="490">
        <v>181895</v>
      </c>
      <c r="G6387" s="489">
        <v>3251.18</v>
      </c>
      <c r="H6387" s="489">
        <v>55.947380000000003</v>
      </c>
      <c r="I6387" s="487" t="s">
        <v>1499</v>
      </c>
      <c r="J6387" s="487" t="s">
        <v>1426</v>
      </c>
    </row>
    <row r="6388" spans="1:10" ht="15" x14ac:dyDescent="0.2">
      <c r="A6388" s="486" t="s">
        <v>1425</v>
      </c>
      <c r="B6388" s="487" t="s">
        <v>1424</v>
      </c>
      <c r="C6388" s="488" t="s">
        <v>20347</v>
      </c>
      <c r="D6388" s="489" t="s">
        <v>20348</v>
      </c>
      <c r="E6388" s="487" t="s">
        <v>20349</v>
      </c>
      <c r="F6388" s="490">
        <v>20826</v>
      </c>
      <c r="G6388" s="489">
        <v>369.35</v>
      </c>
      <c r="H6388" s="489">
        <v>56.385539999999999</v>
      </c>
      <c r="I6388" s="487" t="s">
        <v>1499</v>
      </c>
      <c r="J6388" s="487" t="s">
        <v>1426</v>
      </c>
    </row>
    <row r="6389" spans="1:10" ht="15" x14ac:dyDescent="0.2">
      <c r="A6389" s="486" t="s">
        <v>1425</v>
      </c>
      <c r="B6389" s="487" t="s">
        <v>1424</v>
      </c>
      <c r="C6389" s="488" t="s">
        <v>20350</v>
      </c>
      <c r="D6389" s="489" t="s">
        <v>20351</v>
      </c>
      <c r="E6389" s="487" t="s">
        <v>20352</v>
      </c>
      <c r="F6389" s="490">
        <v>4404</v>
      </c>
      <c r="G6389" s="489">
        <v>118.06</v>
      </c>
      <c r="H6389" s="489">
        <v>37.303069999999998</v>
      </c>
      <c r="I6389" s="487" t="s">
        <v>1499</v>
      </c>
      <c r="J6389" s="487" t="s">
        <v>1426</v>
      </c>
    </row>
    <row r="6390" spans="1:10" ht="15" x14ac:dyDescent="0.2">
      <c r="A6390" s="486" t="s">
        <v>1425</v>
      </c>
      <c r="B6390" s="487" t="s">
        <v>1424</v>
      </c>
      <c r="C6390" s="488" t="s">
        <v>20353</v>
      </c>
      <c r="D6390" s="489" t="s">
        <v>20354</v>
      </c>
      <c r="E6390" s="487" t="s">
        <v>20355</v>
      </c>
      <c r="F6390" s="490">
        <v>21252</v>
      </c>
      <c r="G6390" s="489">
        <v>837.13</v>
      </c>
      <c r="H6390" s="489">
        <v>25.38674</v>
      </c>
      <c r="I6390" s="487" t="s">
        <v>1499</v>
      </c>
      <c r="J6390" s="487" t="s">
        <v>1426</v>
      </c>
    </row>
    <row r="6391" spans="1:10" ht="15" x14ac:dyDescent="0.2">
      <c r="A6391" s="486" t="s">
        <v>1425</v>
      </c>
      <c r="B6391" s="487" t="s">
        <v>1424</v>
      </c>
      <c r="C6391" s="488" t="s">
        <v>20356</v>
      </c>
      <c r="D6391" s="489" t="s">
        <v>20357</v>
      </c>
      <c r="E6391" s="487" t="s">
        <v>20358</v>
      </c>
      <c r="F6391" s="490">
        <v>1749</v>
      </c>
      <c r="G6391" s="489">
        <v>103.13</v>
      </c>
      <c r="H6391" s="489">
        <v>16.95918</v>
      </c>
      <c r="I6391" s="487" t="s">
        <v>1499</v>
      </c>
      <c r="J6391" s="487" t="s">
        <v>1426</v>
      </c>
    </row>
    <row r="6392" spans="1:10" ht="15" x14ac:dyDescent="0.2">
      <c r="A6392" s="486" t="s">
        <v>1425</v>
      </c>
      <c r="B6392" s="487" t="s">
        <v>1424</v>
      </c>
      <c r="C6392" s="488" t="s">
        <v>20359</v>
      </c>
      <c r="D6392" s="489" t="s">
        <v>20360</v>
      </c>
      <c r="E6392" s="487" t="s">
        <v>4543</v>
      </c>
      <c r="F6392" s="490">
        <v>182268</v>
      </c>
      <c r="G6392" s="489">
        <v>3547.86</v>
      </c>
      <c r="H6392" s="489">
        <v>51.374070000000003</v>
      </c>
      <c r="I6392" s="487" t="s">
        <v>1499</v>
      </c>
      <c r="J6392" s="487" t="s">
        <v>1426</v>
      </c>
    </row>
    <row r="6393" spans="1:10" ht="15" x14ac:dyDescent="0.2">
      <c r="A6393" s="486" t="s">
        <v>1425</v>
      </c>
      <c r="B6393" s="487" t="s">
        <v>1424</v>
      </c>
      <c r="C6393" s="488" t="s">
        <v>20361</v>
      </c>
      <c r="D6393" s="489" t="s">
        <v>20362</v>
      </c>
      <c r="E6393" s="487" t="s">
        <v>18533</v>
      </c>
      <c r="F6393" s="490">
        <v>4178</v>
      </c>
      <c r="G6393" s="489">
        <v>103.77</v>
      </c>
      <c r="H6393" s="489">
        <v>40.262120000000003</v>
      </c>
      <c r="I6393" s="487" t="s">
        <v>1499</v>
      </c>
      <c r="J6393" s="487" t="s">
        <v>1426</v>
      </c>
    </row>
    <row r="6394" spans="1:10" ht="15" x14ac:dyDescent="0.2">
      <c r="A6394" s="486" t="s">
        <v>1425</v>
      </c>
      <c r="B6394" s="487" t="s">
        <v>1424</v>
      </c>
      <c r="C6394" s="488" t="s">
        <v>20363</v>
      </c>
      <c r="D6394" s="489" t="s">
        <v>20364</v>
      </c>
      <c r="E6394" s="487" t="s">
        <v>6157</v>
      </c>
      <c r="F6394" s="490">
        <v>3446</v>
      </c>
      <c r="G6394" s="489">
        <v>208.62</v>
      </c>
      <c r="H6394" s="489">
        <v>16.518070000000002</v>
      </c>
      <c r="I6394" s="487" t="s">
        <v>1499</v>
      </c>
      <c r="J6394" s="487" t="s">
        <v>1426</v>
      </c>
    </row>
    <row r="6395" spans="1:10" ht="15" x14ac:dyDescent="0.2">
      <c r="A6395" s="486" t="s">
        <v>1425</v>
      </c>
      <c r="B6395" s="487" t="s">
        <v>1424</v>
      </c>
      <c r="C6395" s="488" t="s">
        <v>20365</v>
      </c>
      <c r="D6395" s="489" t="s">
        <v>20366</v>
      </c>
      <c r="E6395" s="487" t="s">
        <v>20367</v>
      </c>
      <c r="F6395" s="490">
        <v>5566</v>
      </c>
      <c r="G6395" s="489">
        <v>227.58</v>
      </c>
      <c r="H6395" s="489">
        <v>24.457329999999999</v>
      </c>
      <c r="I6395" s="487" t="s">
        <v>1499</v>
      </c>
      <c r="J6395" s="487" t="s">
        <v>1426</v>
      </c>
    </row>
    <row r="6396" spans="1:10" ht="15" x14ac:dyDescent="0.2">
      <c r="A6396" s="486" t="s">
        <v>1425</v>
      </c>
      <c r="B6396" s="487" t="s">
        <v>1424</v>
      </c>
      <c r="C6396" s="488" t="s">
        <v>20368</v>
      </c>
      <c r="D6396" s="489" t="s">
        <v>20369</v>
      </c>
      <c r="E6396" s="487" t="s">
        <v>20370</v>
      </c>
      <c r="F6396" s="490">
        <v>36458</v>
      </c>
      <c r="G6396" s="489">
        <v>882.71</v>
      </c>
      <c r="H6396" s="489">
        <v>41.302349999999997</v>
      </c>
      <c r="I6396" s="487" t="s">
        <v>1499</v>
      </c>
      <c r="J6396" s="487" t="s">
        <v>1426</v>
      </c>
    </row>
    <row r="6397" spans="1:10" ht="15" x14ac:dyDescent="0.2">
      <c r="A6397" s="486" t="s">
        <v>1425</v>
      </c>
      <c r="B6397" s="487" t="s">
        <v>1424</v>
      </c>
      <c r="C6397" s="488" t="s">
        <v>20371</v>
      </c>
      <c r="D6397" s="489" t="s">
        <v>20372</v>
      </c>
      <c r="E6397" s="487" t="s">
        <v>20373</v>
      </c>
      <c r="F6397" s="490">
        <v>25856</v>
      </c>
      <c r="G6397" s="489">
        <v>819.93</v>
      </c>
      <c r="H6397" s="489">
        <v>31.534400000000002</v>
      </c>
      <c r="I6397" s="487" t="s">
        <v>1499</v>
      </c>
      <c r="J6397" s="487" t="s">
        <v>1426</v>
      </c>
    </row>
    <row r="6398" spans="1:10" ht="15" x14ac:dyDescent="0.2">
      <c r="A6398" s="486" t="s">
        <v>1425</v>
      </c>
      <c r="B6398" s="487" t="s">
        <v>1424</v>
      </c>
      <c r="C6398" s="488" t="s">
        <v>20374</v>
      </c>
      <c r="D6398" s="489" t="s">
        <v>20375</v>
      </c>
      <c r="E6398" s="487" t="s">
        <v>20376</v>
      </c>
      <c r="F6398" s="490">
        <v>23198</v>
      </c>
      <c r="G6398" s="489">
        <v>1365.31</v>
      </c>
      <c r="H6398" s="489">
        <v>16.991009999999999</v>
      </c>
      <c r="I6398" s="487" t="s">
        <v>1499</v>
      </c>
      <c r="J6398" s="487" t="s">
        <v>1426</v>
      </c>
    </row>
    <row r="6399" spans="1:10" ht="15" x14ac:dyDescent="0.2">
      <c r="A6399" s="486" t="s">
        <v>1425</v>
      </c>
      <c r="B6399" s="487" t="s">
        <v>1424</v>
      </c>
      <c r="C6399" s="488" t="s">
        <v>20377</v>
      </c>
      <c r="D6399" s="489" t="s">
        <v>20378</v>
      </c>
      <c r="E6399" s="487" t="s">
        <v>14368</v>
      </c>
      <c r="F6399" s="490">
        <v>53955</v>
      </c>
      <c r="G6399" s="489">
        <v>2294.85</v>
      </c>
      <c r="H6399" s="489">
        <v>23.511340000000001</v>
      </c>
      <c r="I6399" s="487" t="s">
        <v>1499</v>
      </c>
      <c r="J6399" s="487" t="s">
        <v>1426</v>
      </c>
    </row>
    <row r="6400" spans="1:10" ht="15" x14ac:dyDescent="0.2">
      <c r="A6400" s="486" t="s">
        <v>1425</v>
      </c>
      <c r="B6400" s="487" t="s">
        <v>1424</v>
      </c>
      <c r="C6400" s="488" t="s">
        <v>20379</v>
      </c>
      <c r="D6400" s="489" t="s">
        <v>20380</v>
      </c>
      <c r="E6400" s="487" t="s">
        <v>20381</v>
      </c>
      <c r="F6400" s="490">
        <v>13462</v>
      </c>
      <c r="G6400" s="489">
        <v>462.68</v>
      </c>
      <c r="H6400" s="489">
        <v>29.095700000000001</v>
      </c>
      <c r="I6400" s="487" t="s">
        <v>1499</v>
      </c>
      <c r="J6400" s="487" t="s">
        <v>1426</v>
      </c>
    </row>
    <row r="6401" spans="1:10" ht="15" x14ac:dyDescent="0.2">
      <c r="A6401" s="486" t="s">
        <v>1425</v>
      </c>
      <c r="B6401" s="487" t="s">
        <v>1424</v>
      </c>
      <c r="C6401" s="488" t="s">
        <v>20382</v>
      </c>
      <c r="D6401" s="489" t="s">
        <v>20383</v>
      </c>
      <c r="E6401" s="487" t="s">
        <v>6219</v>
      </c>
      <c r="F6401" s="490">
        <v>27184</v>
      </c>
      <c r="G6401" s="489">
        <v>650.86</v>
      </c>
      <c r="H6401" s="489">
        <v>41.766280000000002</v>
      </c>
      <c r="I6401" s="487" t="s">
        <v>1499</v>
      </c>
      <c r="J6401" s="487" t="s">
        <v>1426</v>
      </c>
    </row>
    <row r="6402" spans="1:10" ht="15" x14ac:dyDescent="0.2">
      <c r="A6402" s="486" t="s">
        <v>1425</v>
      </c>
      <c r="B6402" s="487" t="s">
        <v>1424</v>
      </c>
      <c r="C6402" s="488" t="s">
        <v>20384</v>
      </c>
      <c r="D6402" s="489" t="s">
        <v>20385</v>
      </c>
      <c r="E6402" s="487" t="s">
        <v>20386</v>
      </c>
      <c r="F6402" s="490">
        <v>11033</v>
      </c>
      <c r="G6402" s="489">
        <v>535.69000000000005</v>
      </c>
      <c r="H6402" s="489">
        <v>20.595870000000001</v>
      </c>
      <c r="I6402" s="487" t="s">
        <v>1499</v>
      </c>
      <c r="J6402" s="487" t="s">
        <v>1426</v>
      </c>
    </row>
    <row r="6403" spans="1:10" ht="15" x14ac:dyDescent="0.2">
      <c r="A6403" s="486" t="s">
        <v>1425</v>
      </c>
      <c r="B6403" s="487" t="s">
        <v>1424</v>
      </c>
      <c r="C6403" s="488" t="s">
        <v>20387</v>
      </c>
      <c r="D6403" s="489" t="s">
        <v>20388</v>
      </c>
      <c r="E6403" s="487" t="s">
        <v>20389</v>
      </c>
      <c r="F6403" s="490">
        <v>52505</v>
      </c>
      <c r="G6403" s="489">
        <v>2122.67</v>
      </c>
      <c r="H6403" s="489">
        <v>24.73536</v>
      </c>
      <c r="I6403" s="487" t="s">
        <v>1499</v>
      </c>
      <c r="J6403" s="487" t="s">
        <v>1426</v>
      </c>
    </row>
    <row r="6404" spans="1:10" ht="15" x14ac:dyDescent="0.2">
      <c r="A6404" s="486" t="s">
        <v>1425</v>
      </c>
      <c r="B6404" s="487" t="s">
        <v>1424</v>
      </c>
      <c r="C6404" s="488" t="s">
        <v>20390</v>
      </c>
      <c r="D6404" s="489" t="s">
        <v>20391</v>
      </c>
      <c r="E6404" s="487" t="s">
        <v>20392</v>
      </c>
      <c r="F6404" s="490">
        <v>45199</v>
      </c>
      <c r="G6404" s="489">
        <v>1029.78</v>
      </c>
      <c r="H6404" s="489">
        <v>43.8919</v>
      </c>
      <c r="I6404" s="487" t="s">
        <v>1499</v>
      </c>
      <c r="J6404" s="487" t="s">
        <v>1426</v>
      </c>
    </row>
    <row r="6405" spans="1:10" ht="15" x14ac:dyDescent="0.2">
      <c r="A6405" s="486" t="s">
        <v>1425</v>
      </c>
      <c r="B6405" s="487" t="s">
        <v>1424</v>
      </c>
      <c r="C6405" s="488" t="s">
        <v>20393</v>
      </c>
      <c r="D6405" s="489" t="s">
        <v>20394</v>
      </c>
      <c r="E6405" s="487" t="s">
        <v>20395</v>
      </c>
      <c r="F6405" s="490">
        <v>40343</v>
      </c>
      <c r="G6405" s="489">
        <v>859.77</v>
      </c>
      <c r="H6405" s="489">
        <v>46.923009999999998</v>
      </c>
      <c r="I6405" s="487" t="s">
        <v>1499</v>
      </c>
      <c r="J6405" s="487" t="s">
        <v>1426</v>
      </c>
    </row>
    <row r="6406" spans="1:10" ht="15" x14ac:dyDescent="0.2">
      <c r="A6406" s="486" t="s">
        <v>1425</v>
      </c>
      <c r="B6406" s="487" t="s">
        <v>1424</v>
      </c>
      <c r="C6406" s="488" t="s">
        <v>20396</v>
      </c>
      <c r="D6406" s="489" t="s">
        <v>20397</v>
      </c>
      <c r="E6406" s="487" t="s">
        <v>13700</v>
      </c>
      <c r="F6406" s="490">
        <v>69537</v>
      </c>
      <c r="G6406" s="489">
        <v>1374.66</v>
      </c>
      <c r="H6406" s="489">
        <v>50.584870000000002</v>
      </c>
      <c r="I6406" s="487" t="s">
        <v>1499</v>
      </c>
      <c r="J6406" s="487" t="s">
        <v>1426</v>
      </c>
    </row>
    <row r="6407" spans="1:10" ht="15" x14ac:dyDescent="0.2">
      <c r="A6407" s="486" t="s">
        <v>1062</v>
      </c>
      <c r="B6407" s="487" t="s">
        <v>1061</v>
      </c>
      <c r="C6407" s="488" t="s">
        <v>20398</v>
      </c>
      <c r="D6407" s="489" t="s">
        <v>20399</v>
      </c>
      <c r="E6407" s="487" t="s">
        <v>20400</v>
      </c>
      <c r="F6407" s="490">
        <v>1009.41</v>
      </c>
      <c r="G6407" s="489">
        <v>28.17</v>
      </c>
      <c r="H6407" s="489">
        <v>35.832799999999999</v>
      </c>
      <c r="I6407" s="487" t="s">
        <v>2465</v>
      </c>
      <c r="J6407" s="487" t="s">
        <v>1063</v>
      </c>
    </row>
    <row r="6408" spans="1:10" ht="15" x14ac:dyDescent="0.2">
      <c r="A6408" s="486" t="s">
        <v>1062</v>
      </c>
      <c r="B6408" s="487" t="s">
        <v>1061</v>
      </c>
      <c r="C6408" s="488" t="s">
        <v>20401</v>
      </c>
      <c r="D6408" s="489" t="s">
        <v>20402</v>
      </c>
      <c r="E6408" s="487" t="s">
        <v>20403</v>
      </c>
      <c r="F6408" s="490">
        <v>2000</v>
      </c>
      <c r="G6408" s="489">
        <v>72.66</v>
      </c>
      <c r="H6408" s="489">
        <v>27.525459999999999</v>
      </c>
      <c r="I6408" s="487" t="s">
        <v>1499</v>
      </c>
      <c r="J6408" s="487" t="s">
        <v>1063</v>
      </c>
    </row>
    <row r="6409" spans="1:10" ht="15" x14ac:dyDescent="0.2">
      <c r="A6409" s="486" t="s">
        <v>1062</v>
      </c>
      <c r="B6409" s="487" t="s">
        <v>1061</v>
      </c>
      <c r="C6409" s="488" t="s">
        <v>20404</v>
      </c>
      <c r="D6409" s="489" t="s">
        <v>20405</v>
      </c>
      <c r="E6409" s="487" t="s">
        <v>20406</v>
      </c>
      <c r="F6409" s="490">
        <v>424.07</v>
      </c>
      <c r="G6409" s="489">
        <v>11.92</v>
      </c>
      <c r="H6409" s="489">
        <v>35.576340000000002</v>
      </c>
      <c r="I6409" s="487" t="s">
        <v>1499</v>
      </c>
      <c r="J6409" s="487" t="s">
        <v>1063</v>
      </c>
    </row>
    <row r="6410" spans="1:10" ht="15" x14ac:dyDescent="0.2">
      <c r="A6410" s="486" t="s">
        <v>1062</v>
      </c>
      <c r="B6410" s="487" t="s">
        <v>1061</v>
      </c>
      <c r="C6410" s="488" t="s">
        <v>20407</v>
      </c>
      <c r="D6410" s="489" t="s">
        <v>20408</v>
      </c>
      <c r="E6410" s="487" t="s">
        <v>20409</v>
      </c>
      <c r="F6410" s="490">
        <v>0</v>
      </c>
      <c r="G6410" s="489">
        <v>26.12</v>
      </c>
      <c r="H6410" s="489">
        <v>0</v>
      </c>
      <c r="I6410" s="487" t="s">
        <v>1593</v>
      </c>
      <c r="J6410" s="487" t="s">
        <v>1063</v>
      </c>
    </row>
    <row r="6411" spans="1:10" ht="15" x14ac:dyDescent="0.2">
      <c r="A6411" s="486" t="s">
        <v>1062</v>
      </c>
      <c r="B6411" s="487" t="s">
        <v>1061</v>
      </c>
      <c r="C6411" s="488" t="s">
        <v>20410</v>
      </c>
      <c r="D6411" s="489" t="s">
        <v>20411</v>
      </c>
      <c r="E6411" s="487" t="s">
        <v>20412</v>
      </c>
      <c r="F6411" s="490">
        <v>5000</v>
      </c>
      <c r="G6411" s="489">
        <v>115.69</v>
      </c>
      <c r="H6411" s="489">
        <v>43.21895</v>
      </c>
      <c r="I6411" s="487" t="s">
        <v>1499</v>
      </c>
      <c r="J6411" s="487" t="s">
        <v>1063</v>
      </c>
    </row>
    <row r="6412" spans="1:10" ht="15" x14ac:dyDescent="0.2">
      <c r="A6412" s="486" t="s">
        <v>1062</v>
      </c>
      <c r="B6412" s="487" t="s">
        <v>1061</v>
      </c>
      <c r="C6412" s="488" t="s">
        <v>20413</v>
      </c>
      <c r="D6412" s="489" t="s">
        <v>20414</v>
      </c>
      <c r="E6412" s="487" t="s">
        <v>20415</v>
      </c>
      <c r="F6412" s="490">
        <v>0</v>
      </c>
      <c r="G6412" s="489">
        <v>108.02</v>
      </c>
      <c r="H6412" s="489">
        <v>0</v>
      </c>
      <c r="I6412" s="487" t="s">
        <v>1593</v>
      </c>
      <c r="J6412" s="487" t="s">
        <v>1063</v>
      </c>
    </row>
    <row r="6413" spans="1:10" ht="15" x14ac:dyDescent="0.2">
      <c r="A6413" s="486" t="s">
        <v>1062</v>
      </c>
      <c r="B6413" s="487" t="s">
        <v>1061</v>
      </c>
      <c r="C6413" s="488" t="s">
        <v>20416</v>
      </c>
      <c r="D6413" s="489" t="s">
        <v>20417</v>
      </c>
      <c r="E6413" s="487" t="s">
        <v>20418</v>
      </c>
      <c r="F6413" s="490">
        <v>37000</v>
      </c>
      <c r="G6413" s="489">
        <v>1169.8800000000001</v>
      </c>
      <c r="H6413" s="489">
        <v>31.627179999999999</v>
      </c>
      <c r="I6413" s="487" t="s">
        <v>1499</v>
      </c>
      <c r="J6413" s="487" t="s">
        <v>1063</v>
      </c>
    </row>
    <row r="6414" spans="1:10" ht="15" x14ac:dyDescent="0.2">
      <c r="A6414" s="486" t="s">
        <v>1062</v>
      </c>
      <c r="B6414" s="487" t="s">
        <v>1061</v>
      </c>
      <c r="C6414" s="488" t="s">
        <v>20419</v>
      </c>
      <c r="D6414" s="489" t="s">
        <v>20420</v>
      </c>
      <c r="E6414" s="487" t="s">
        <v>20421</v>
      </c>
      <c r="F6414" s="490">
        <v>4560</v>
      </c>
      <c r="G6414" s="489">
        <v>184.48</v>
      </c>
      <c r="H6414" s="489">
        <v>24.718129999999999</v>
      </c>
      <c r="I6414" s="487" t="s">
        <v>1499</v>
      </c>
      <c r="J6414" s="487" t="s">
        <v>1063</v>
      </c>
    </row>
    <row r="6415" spans="1:10" ht="15" x14ac:dyDescent="0.2">
      <c r="A6415" s="486" t="s">
        <v>1062</v>
      </c>
      <c r="B6415" s="487" t="s">
        <v>1061</v>
      </c>
      <c r="C6415" s="488" t="s">
        <v>20422</v>
      </c>
      <c r="D6415" s="489" t="s">
        <v>20423</v>
      </c>
      <c r="E6415" s="487" t="s">
        <v>20424</v>
      </c>
      <c r="F6415" s="490">
        <v>1200</v>
      </c>
      <c r="G6415" s="489">
        <v>351.59</v>
      </c>
      <c r="H6415" s="489">
        <v>3.4130699999999998</v>
      </c>
      <c r="I6415" s="487" t="s">
        <v>1499</v>
      </c>
      <c r="J6415" s="487" t="s">
        <v>1063</v>
      </c>
    </row>
    <row r="6416" spans="1:10" ht="15" x14ac:dyDescent="0.2">
      <c r="A6416" s="486" t="s">
        <v>1062</v>
      </c>
      <c r="B6416" s="487" t="s">
        <v>1061</v>
      </c>
      <c r="C6416" s="488" t="s">
        <v>20425</v>
      </c>
      <c r="D6416" s="489" t="s">
        <v>20426</v>
      </c>
      <c r="E6416" s="487" t="s">
        <v>20427</v>
      </c>
      <c r="F6416" s="490">
        <v>348.96</v>
      </c>
      <c r="G6416" s="489">
        <v>9.06</v>
      </c>
      <c r="H6416" s="489">
        <v>38.516559999999998</v>
      </c>
      <c r="I6416" s="487" t="s">
        <v>1499</v>
      </c>
      <c r="J6416" s="487" t="s">
        <v>1063</v>
      </c>
    </row>
    <row r="6417" spans="1:10" ht="15" x14ac:dyDescent="0.2">
      <c r="A6417" s="486" t="s">
        <v>1062</v>
      </c>
      <c r="B6417" s="487" t="s">
        <v>1061</v>
      </c>
      <c r="C6417" s="488" t="s">
        <v>20428</v>
      </c>
      <c r="D6417" s="489" t="s">
        <v>20429</v>
      </c>
      <c r="E6417" s="487" t="s">
        <v>14032</v>
      </c>
      <c r="F6417" s="490">
        <v>6700</v>
      </c>
      <c r="G6417" s="489">
        <v>218.52</v>
      </c>
      <c r="H6417" s="489">
        <v>30.660810000000001</v>
      </c>
      <c r="I6417" s="487" t="s">
        <v>1499</v>
      </c>
      <c r="J6417" s="487" t="s">
        <v>1063</v>
      </c>
    </row>
    <row r="6418" spans="1:10" ht="15" x14ac:dyDescent="0.2">
      <c r="A6418" s="486" t="s">
        <v>1062</v>
      </c>
      <c r="B6418" s="487" t="s">
        <v>1061</v>
      </c>
      <c r="C6418" s="488" t="s">
        <v>20430</v>
      </c>
      <c r="D6418" s="489" t="s">
        <v>20431</v>
      </c>
      <c r="E6418" s="487" t="s">
        <v>6459</v>
      </c>
      <c r="F6418" s="490">
        <v>2759.83</v>
      </c>
      <c r="G6418" s="489">
        <v>92.4</v>
      </c>
      <c r="H6418" s="489">
        <v>29.868289999999998</v>
      </c>
      <c r="I6418" s="487" t="s">
        <v>1499</v>
      </c>
      <c r="J6418" s="487" t="s">
        <v>1063</v>
      </c>
    </row>
    <row r="6419" spans="1:10" ht="15" x14ac:dyDescent="0.2">
      <c r="A6419" s="486" t="s">
        <v>1062</v>
      </c>
      <c r="B6419" s="487" t="s">
        <v>1061</v>
      </c>
      <c r="C6419" s="488" t="s">
        <v>20432</v>
      </c>
      <c r="D6419" s="489" t="s">
        <v>20433</v>
      </c>
      <c r="E6419" s="487" t="s">
        <v>20434</v>
      </c>
      <c r="F6419" s="490">
        <v>11000</v>
      </c>
      <c r="G6419" s="489">
        <v>220.86</v>
      </c>
      <c r="H6419" s="489">
        <v>49.805309999999999</v>
      </c>
      <c r="I6419" s="487" t="s">
        <v>1499</v>
      </c>
      <c r="J6419" s="487" t="s">
        <v>1063</v>
      </c>
    </row>
    <row r="6420" spans="1:10" ht="15" x14ac:dyDescent="0.2">
      <c r="A6420" s="486" t="s">
        <v>1062</v>
      </c>
      <c r="B6420" s="487" t="s">
        <v>1061</v>
      </c>
      <c r="C6420" s="488" t="s">
        <v>20435</v>
      </c>
      <c r="D6420" s="489" t="s">
        <v>20436</v>
      </c>
      <c r="E6420" s="487" t="s">
        <v>20437</v>
      </c>
      <c r="F6420" s="490">
        <v>300</v>
      </c>
      <c r="G6420" s="489">
        <v>76.11</v>
      </c>
      <c r="H6420" s="489">
        <v>3.9416600000000002</v>
      </c>
      <c r="I6420" s="487" t="s">
        <v>1499</v>
      </c>
      <c r="J6420" s="487" t="s">
        <v>1063</v>
      </c>
    </row>
    <row r="6421" spans="1:10" ht="15" x14ac:dyDescent="0.2">
      <c r="A6421" s="486" t="s">
        <v>1062</v>
      </c>
      <c r="B6421" s="487" t="s">
        <v>1061</v>
      </c>
      <c r="C6421" s="488" t="s">
        <v>20438</v>
      </c>
      <c r="D6421" s="489" t="s">
        <v>20439</v>
      </c>
      <c r="E6421" s="487" t="s">
        <v>20440</v>
      </c>
      <c r="F6421" s="490">
        <v>8500</v>
      </c>
      <c r="G6421" s="489">
        <v>352.86</v>
      </c>
      <c r="H6421" s="489">
        <v>24.08887</v>
      </c>
      <c r="I6421" s="487" t="s">
        <v>1499</v>
      </c>
      <c r="J6421" s="487" t="s">
        <v>1063</v>
      </c>
    </row>
    <row r="6422" spans="1:10" ht="15" x14ac:dyDescent="0.2">
      <c r="A6422" s="486" t="s">
        <v>1062</v>
      </c>
      <c r="B6422" s="487" t="s">
        <v>1061</v>
      </c>
      <c r="C6422" s="488" t="s">
        <v>20441</v>
      </c>
      <c r="D6422" s="489" t="s">
        <v>20442</v>
      </c>
      <c r="E6422" s="487" t="s">
        <v>20443</v>
      </c>
      <c r="F6422" s="490">
        <v>5610</v>
      </c>
      <c r="G6422" s="489">
        <v>148.38999999999999</v>
      </c>
      <c r="H6422" s="489">
        <v>37.805779999999999</v>
      </c>
      <c r="I6422" s="487" t="s">
        <v>1499</v>
      </c>
      <c r="J6422" s="487" t="s">
        <v>1063</v>
      </c>
    </row>
    <row r="6423" spans="1:10" ht="15" x14ac:dyDescent="0.2">
      <c r="A6423" s="486" t="s">
        <v>1062</v>
      </c>
      <c r="B6423" s="487" t="s">
        <v>1061</v>
      </c>
      <c r="C6423" s="488" t="s">
        <v>20444</v>
      </c>
      <c r="D6423" s="489" t="s">
        <v>20445</v>
      </c>
      <c r="E6423" s="487" t="s">
        <v>20446</v>
      </c>
      <c r="F6423" s="490">
        <v>16320</v>
      </c>
      <c r="G6423" s="489">
        <v>404.23</v>
      </c>
      <c r="H6423" s="489">
        <v>40.373049999999999</v>
      </c>
      <c r="I6423" s="487" t="s">
        <v>1499</v>
      </c>
      <c r="J6423" s="487" t="s">
        <v>1063</v>
      </c>
    </row>
    <row r="6424" spans="1:10" ht="15" x14ac:dyDescent="0.2">
      <c r="A6424" s="486" t="s">
        <v>1062</v>
      </c>
      <c r="B6424" s="487" t="s">
        <v>1061</v>
      </c>
      <c r="C6424" s="488" t="s">
        <v>20447</v>
      </c>
      <c r="D6424" s="489" t="s">
        <v>20448</v>
      </c>
      <c r="E6424" s="487" t="s">
        <v>20449</v>
      </c>
      <c r="F6424" s="490">
        <v>0</v>
      </c>
      <c r="G6424" s="489">
        <v>9.9</v>
      </c>
      <c r="H6424" s="489">
        <v>0</v>
      </c>
      <c r="I6424" s="487" t="s">
        <v>1593</v>
      </c>
      <c r="J6424" s="487" t="s">
        <v>1063</v>
      </c>
    </row>
    <row r="6425" spans="1:10" ht="15" x14ac:dyDescent="0.2">
      <c r="A6425" s="486" t="s">
        <v>1062</v>
      </c>
      <c r="B6425" s="487" t="s">
        <v>1061</v>
      </c>
      <c r="C6425" s="488" t="s">
        <v>20450</v>
      </c>
      <c r="D6425" s="489" t="s">
        <v>20451</v>
      </c>
      <c r="E6425" s="487" t="s">
        <v>20452</v>
      </c>
      <c r="F6425" s="490">
        <v>0</v>
      </c>
      <c r="G6425" s="489">
        <v>36.22</v>
      </c>
      <c r="H6425" s="489">
        <v>0</v>
      </c>
      <c r="I6425" s="487" t="s">
        <v>1593</v>
      </c>
      <c r="J6425" s="487" t="s">
        <v>1063</v>
      </c>
    </row>
    <row r="6426" spans="1:10" ht="15" x14ac:dyDescent="0.2">
      <c r="A6426" s="486" t="s">
        <v>1062</v>
      </c>
      <c r="B6426" s="487" t="s">
        <v>1061</v>
      </c>
      <c r="C6426" s="488" t="s">
        <v>20453</v>
      </c>
      <c r="D6426" s="489" t="s">
        <v>20454</v>
      </c>
      <c r="E6426" s="487" t="s">
        <v>20455</v>
      </c>
      <c r="F6426" s="490">
        <v>1250</v>
      </c>
      <c r="G6426" s="489">
        <v>104.35</v>
      </c>
      <c r="H6426" s="489">
        <v>11.97892</v>
      </c>
      <c r="I6426" s="487" t="s">
        <v>1499</v>
      </c>
      <c r="J6426" s="487" t="s">
        <v>1063</v>
      </c>
    </row>
    <row r="6427" spans="1:10" ht="15" x14ac:dyDescent="0.2">
      <c r="A6427" s="486" t="s">
        <v>1062</v>
      </c>
      <c r="B6427" s="487" t="s">
        <v>1061</v>
      </c>
      <c r="C6427" s="488" t="s">
        <v>20456</v>
      </c>
      <c r="D6427" s="489" t="s">
        <v>20457</v>
      </c>
      <c r="E6427" s="487" t="s">
        <v>20458</v>
      </c>
      <c r="F6427" s="490">
        <v>0</v>
      </c>
      <c r="G6427" s="489">
        <v>57.18</v>
      </c>
      <c r="H6427" s="489">
        <v>0</v>
      </c>
      <c r="I6427" s="487" t="s">
        <v>1593</v>
      </c>
      <c r="J6427" s="487" t="s">
        <v>1063</v>
      </c>
    </row>
    <row r="6428" spans="1:10" ht="15" x14ac:dyDescent="0.2">
      <c r="A6428" s="486" t="s">
        <v>1062</v>
      </c>
      <c r="B6428" s="487" t="s">
        <v>1061</v>
      </c>
      <c r="C6428" s="488" t="s">
        <v>20459</v>
      </c>
      <c r="D6428" s="489" t="s">
        <v>20460</v>
      </c>
      <c r="E6428" s="487" t="s">
        <v>20461</v>
      </c>
      <c r="F6428" s="490">
        <v>13990.59</v>
      </c>
      <c r="G6428" s="489">
        <v>390.44</v>
      </c>
      <c r="H6428" s="489">
        <v>35.832880000000003</v>
      </c>
      <c r="I6428" s="487" t="s">
        <v>2465</v>
      </c>
      <c r="J6428" s="487" t="s">
        <v>1063</v>
      </c>
    </row>
    <row r="6429" spans="1:10" ht="15" x14ac:dyDescent="0.2">
      <c r="A6429" s="486" t="s">
        <v>1062</v>
      </c>
      <c r="B6429" s="487" t="s">
        <v>1061</v>
      </c>
      <c r="C6429" s="488" t="s">
        <v>20462</v>
      </c>
      <c r="D6429" s="489" t="s">
        <v>20463</v>
      </c>
      <c r="E6429" s="487" t="s">
        <v>20464</v>
      </c>
      <c r="F6429" s="490">
        <v>9343</v>
      </c>
      <c r="G6429" s="489">
        <v>216.79</v>
      </c>
      <c r="H6429" s="489">
        <v>43.097009999999997</v>
      </c>
      <c r="I6429" s="487" t="s">
        <v>1499</v>
      </c>
      <c r="J6429" s="487" t="s">
        <v>1063</v>
      </c>
    </row>
    <row r="6430" spans="1:10" ht="15" x14ac:dyDescent="0.2">
      <c r="A6430" s="486" t="s">
        <v>1062</v>
      </c>
      <c r="B6430" s="487" t="s">
        <v>1061</v>
      </c>
      <c r="C6430" s="488" t="s">
        <v>20465</v>
      </c>
      <c r="D6430" s="489" t="s">
        <v>20466</v>
      </c>
      <c r="E6430" s="487" t="s">
        <v>20467</v>
      </c>
      <c r="F6430" s="490">
        <v>6000</v>
      </c>
      <c r="G6430" s="489">
        <v>122.12</v>
      </c>
      <c r="H6430" s="489">
        <v>49.131999999999998</v>
      </c>
      <c r="I6430" s="487" t="s">
        <v>1499</v>
      </c>
      <c r="J6430" s="487" t="s">
        <v>1063</v>
      </c>
    </row>
    <row r="6431" spans="1:10" ht="15" x14ac:dyDescent="0.2">
      <c r="A6431" s="486" t="s">
        <v>1062</v>
      </c>
      <c r="B6431" s="487" t="s">
        <v>1061</v>
      </c>
      <c r="C6431" s="488" t="s">
        <v>20468</v>
      </c>
      <c r="D6431" s="489" t="s">
        <v>20469</v>
      </c>
      <c r="E6431" s="487" t="s">
        <v>20470</v>
      </c>
      <c r="F6431" s="490">
        <v>5732</v>
      </c>
      <c r="G6431" s="489">
        <v>252.53</v>
      </c>
      <c r="H6431" s="489">
        <v>22.69829</v>
      </c>
      <c r="I6431" s="487" t="s">
        <v>1499</v>
      </c>
      <c r="J6431" s="487" t="s">
        <v>1063</v>
      </c>
    </row>
    <row r="6432" spans="1:10" ht="15" x14ac:dyDescent="0.2">
      <c r="A6432" s="486" t="s">
        <v>1062</v>
      </c>
      <c r="B6432" s="487" t="s">
        <v>1061</v>
      </c>
      <c r="C6432" s="488" t="s">
        <v>20471</v>
      </c>
      <c r="D6432" s="489" t="s">
        <v>20472</v>
      </c>
      <c r="E6432" s="487" t="s">
        <v>20473</v>
      </c>
      <c r="F6432" s="490">
        <v>5950</v>
      </c>
      <c r="G6432" s="489">
        <v>186.87</v>
      </c>
      <c r="H6432" s="489">
        <v>31.840319999999998</v>
      </c>
      <c r="I6432" s="487" t="s">
        <v>1499</v>
      </c>
      <c r="J6432" s="487" t="s">
        <v>1063</v>
      </c>
    </row>
    <row r="6433" spans="1:10" ht="15" x14ac:dyDescent="0.2">
      <c r="A6433" s="486" t="s">
        <v>1062</v>
      </c>
      <c r="B6433" s="487" t="s">
        <v>1061</v>
      </c>
      <c r="C6433" s="488" t="s">
        <v>20474</v>
      </c>
      <c r="D6433" s="489" t="s">
        <v>20475</v>
      </c>
      <c r="E6433" s="487" t="s">
        <v>20476</v>
      </c>
      <c r="F6433" s="490">
        <v>0</v>
      </c>
      <c r="G6433" s="489">
        <v>45.9</v>
      </c>
      <c r="H6433" s="489">
        <v>0</v>
      </c>
      <c r="I6433" s="487" t="s">
        <v>1593</v>
      </c>
      <c r="J6433" s="487" t="s">
        <v>1063</v>
      </c>
    </row>
    <row r="6434" spans="1:10" ht="15" x14ac:dyDescent="0.2">
      <c r="A6434" s="486" t="s">
        <v>1062</v>
      </c>
      <c r="B6434" s="487" t="s">
        <v>1061</v>
      </c>
      <c r="C6434" s="488" t="s">
        <v>20477</v>
      </c>
      <c r="D6434" s="489" t="s">
        <v>20478</v>
      </c>
      <c r="E6434" s="487" t="s">
        <v>20479</v>
      </c>
      <c r="F6434" s="490">
        <v>0</v>
      </c>
      <c r="G6434" s="489">
        <v>43.22</v>
      </c>
      <c r="H6434" s="489">
        <v>0</v>
      </c>
      <c r="I6434" s="487" t="s">
        <v>1593</v>
      </c>
      <c r="J6434" s="487" t="s">
        <v>1063</v>
      </c>
    </row>
    <row r="6435" spans="1:10" ht="15" x14ac:dyDescent="0.2">
      <c r="A6435" s="486" t="s">
        <v>1062</v>
      </c>
      <c r="B6435" s="487" t="s">
        <v>1061</v>
      </c>
      <c r="C6435" s="488" t="s">
        <v>20480</v>
      </c>
      <c r="D6435" s="489" t="s">
        <v>20481</v>
      </c>
      <c r="E6435" s="487" t="s">
        <v>20482</v>
      </c>
      <c r="F6435" s="490">
        <v>4050</v>
      </c>
      <c r="G6435" s="489">
        <v>149.94999999999999</v>
      </c>
      <c r="H6435" s="489">
        <v>27.009</v>
      </c>
      <c r="I6435" s="487" t="s">
        <v>1499</v>
      </c>
      <c r="J6435" s="487" t="s">
        <v>1063</v>
      </c>
    </row>
    <row r="6436" spans="1:10" ht="15" x14ac:dyDescent="0.2">
      <c r="A6436" s="486" t="s">
        <v>1062</v>
      </c>
      <c r="B6436" s="487" t="s">
        <v>1061</v>
      </c>
      <c r="C6436" s="488" t="s">
        <v>20483</v>
      </c>
      <c r="D6436" s="489" t="s">
        <v>20484</v>
      </c>
      <c r="E6436" s="487" t="s">
        <v>20485</v>
      </c>
      <c r="F6436" s="490">
        <v>0</v>
      </c>
      <c r="G6436" s="489">
        <v>36.86</v>
      </c>
      <c r="H6436" s="489">
        <v>0</v>
      </c>
      <c r="I6436" s="487" t="s">
        <v>1593</v>
      </c>
      <c r="J6436" s="487" t="s">
        <v>1063</v>
      </c>
    </row>
    <row r="6437" spans="1:10" ht="15" x14ac:dyDescent="0.2">
      <c r="A6437" s="486" t="s">
        <v>1062</v>
      </c>
      <c r="B6437" s="487" t="s">
        <v>1061</v>
      </c>
      <c r="C6437" s="488" t="s">
        <v>20486</v>
      </c>
      <c r="D6437" s="489" t="s">
        <v>20487</v>
      </c>
      <c r="E6437" s="487" t="s">
        <v>20488</v>
      </c>
      <c r="F6437" s="490">
        <v>6406.71</v>
      </c>
      <c r="G6437" s="489">
        <v>229.12</v>
      </c>
      <c r="H6437" s="489">
        <v>27.962250000000001</v>
      </c>
      <c r="I6437" s="487" t="s">
        <v>1499</v>
      </c>
      <c r="J6437" s="487" t="s">
        <v>1063</v>
      </c>
    </row>
    <row r="6438" spans="1:10" ht="15" x14ac:dyDescent="0.2">
      <c r="A6438" s="486" t="s">
        <v>1062</v>
      </c>
      <c r="B6438" s="487" t="s">
        <v>1061</v>
      </c>
      <c r="C6438" s="488" t="s">
        <v>20489</v>
      </c>
      <c r="D6438" s="489" t="s">
        <v>20490</v>
      </c>
      <c r="E6438" s="487" t="s">
        <v>20491</v>
      </c>
      <c r="F6438" s="490">
        <v>16000</v>
      </c>
      <c r="G6438" s="489">
        <v>263.55</v>
      </c>
      <c r="H6438" s="489">
        <v>60.709539999999997</v>
      </c>
      <c r="I6438" s="487" t="s">
        <v>1499</v>
      </c>
      <c r="J6438" s="487" t="s">
        <v>1063</v>
      </c>
    </row>
    <row r="6439" spans="1:10" ht="15" x14ac:dyDescent="0.2">
      <c r="A6439" s="486" t="s">
        <v>1062</v>
      </c>
      <c r="B6439" s="487" t="s">
        <v>1061</v>
      </c>
      <c r="C6439" s="488" t="s">
        <v>20492</v>
      </c>
      <c r="D6439" s="489" t="s">
        <v>20493</v>
      </c>
      <c r="E6439" s="487" t="s">
        <v>20494</v>
      </c>
      <c r="F6439" s="490">
        <v>3986.23</v>
      </c>
      <c r="G6439" s="489">
        <v>123.45</v>
      </c>
      <c r="H6439" s="489">
        <v>32.290239999999997</v>
      </c>
      <c r="I6439" s="487" t="s">
        <v>1499</v>
      </c>
      <c r="J6439" s="487" t="s">
        <v>1063</v>
      </c>
    </row>
    <row r="6440" spans="1:10" ht="15" x14ac:dyDescent="0.2">
      <c r="A6440" s="486" t="s">
        <v>1062</v>
      </c>
      <c r="B6440" s="487" t="s">
        <v>1061</v>
      </c>
      <c r="C6440" s="488" t="s">
        <v>20495</v>
      </c>
      <c r="D6440" s="489" t="s">
        <v>20496</v>
      </c>
      <c r="E6440" s="487" t="s">
        <v>20497</v>
      </c>
      <c r="F6440" s="490">
        <v>7500</v>
      </c>
      <c r="G6440" s="489">
        <v>280.57</v>
      </c>
      <c r="H6440" s="489">
        <v>26.731300000000001</v>
      </c>
      <c r="I6440" s="487" t="s">
        <v>1499</v>
      </c>
      <c r="J6440" s="487" t="s">
        <v>1063</v>
      </c>
    </row>
    <row r="6441" spans="1:10" ht="15" x14ac:dyDescent="0.2">
      <c r="A6441" s="486" t="s">
        <v>1062</v>
      </c>
      <c r="B6441" s="487" t="s">
        <v>1061</v>
      </c>
      <c r="C6441" s="488" t="s">
        <v>20498</v>
      </c>
      <c r="D6441" s="489" t="s">
        <v>20499</v>
      </c>
      <c r="E6441" s="487" t="s">
        <v>20500</v>
      </c>
      <c r="F6441" s="490">
        <v>10651.67</v>
      </c>
      <c r="G6441" s="489">
        <v>245.37</v>
      </c>
      <c r="H6441" s="489">
        <v>43.410649999999997</v>
      </c>
      <c r="I6441" s="487" t="s">
        <v>1499</v>
      </c>
      <c r="J6441" s="487" t="s">
        <v>1063</v>
      </c>
    </row>
    <row r="6442" spans="1:10" ht="15" x14ac:dyDescent="0.2">
      <c r="A6442" s="486" t="s">
        <v>1062</v>
      </c>
      <c r="B6442" s="487" t="s">
        <v>1061</v>
      </c>
      <c r="C6442" s="488" t="s">
        <v>20501</v>
      </c>
      <c r="D6442" s="489" t="s">
        <v>20502</v>
      </c>
      <c r="E6442" s="487" t="s">
        <v>20503</v>
      </c>
      <c r="F6442" s="490">
        <v>7885</v>
      </c>
      <c r="G6442" s="489">
        <v>281.01</v>
      </c>
      <c r="H6442" s="489">
        <v>28.0595</v>
      </c>
      <c r="I6442" s="487" t="s">
        <v>1499</v>
      </c>
      <c r="J6442" s="487" t="s">
        <v>1063</v>
      </c>
    </row>
    <row r="6443" spans="1:10" ht="15" x14ac:dyDescent="0.2">
      <c r="A6443" s="486" t="s">
        <v>1062</v>
      </c>
      <c r="B6443" s="487" t="s">
        <v>1061</v>
      </c>
      <c r="C6443" s="488" t="s">
        <v>20504</v>
      </c>
      <c r="D6443" s="489" t="s">
        <v>20505</v>
      </c>
      <c r="E6443" s="487" t="s">
        <v>20506</v>
      </c>
      <c r="F6443" s="490">
        <v>8755</v>
      </c>
      <c r="G6443" s="489">
        <v>144.41999999999999</v>
      </c>
      <c r="H6443" s="489">
        <v>60.6218</v>
      </c>
      <c r="I6443" s="487" t="s">
        <v>1499</v>
      </c>
      <c r="J6443" s="487" t="s">
        <v>1063</v>
      </c>
    </row>
    <row r="6444" spans="1:10" ht="15" x14ac:dyDescent="0.2">
      <c r="A6444" s="486" t="s">
        <v>1062</v>
      </c>
      <c r="B6444" s="487" t="s">
        <v>1061</v>
      </c>
      <c r="C6444" s="488" t="s">
        <v>20507</v>
      </c>
      <c r="D6444" s="489" t="s">
        <v>20508</v>
      </c>
      <c r="E6444" s="487" t="s">
        <v>20509</v>
      </c>
      <c r="F6444" s="490">
        <v>1348.33</v>
      </c>
      <c r="G6444" s="489">
        <v>31.06</v>
      </c>
      <c r="H6444" s="489">
        <v>43.410499999999999</v>
      </c>
      <c r="I6444" s="487" t="s">
        <v>1499</v>
      </c>
      <c r="J6444" s="487" t="s">
        <v>1063</v>
      </c>
    </row>
    <row r="6445" spans="1:10" ht="15" x14ac:dyDescent="0.2">
      <c r="A6445" s="486" t="s">
        <v>1062</v>
      </c>
      <c r="B6445" s="487" t="s">
        <v>1061</v>
      </c>
      <c r="C6445" s="488" t="s">
        <v>20510</v>
      </c>
      <c r="D6445" s="489" t="s">
        <v>20511</v>
      </c>
      <c r="E6445" s="487" t="s">
        <v>20512</v>
      </c>
      <c r="F6445" s="490">
        <v>4500</v>
      </c>
      <c r="G6445" s="489">
        <v>92.94</v>
      </c>
      <c r="H6445" s="489">
        <v>48.418329999999997</v>
      </c>
      <c r="I6445" s="487" t="s">
        <v>1499</v>
      </c>
      <c r="J6445" s="487" t="s">
        <v>1063</v>
      </c>
    </row>
    <row r="6446" spans="1:10" ht="15" x14ac:dyDescent="0.2">
      <c r="A6446" s="486" t="s">
        <v>1062</v>
      </c>
      <c r="B6446" s="487" t="s">
        <v>1061</v>
      </c>
      <c r="C6446" s="488" t="s">
        <v>20513</v>
      </c>
      <c r="D6446" s="489" t="s">
        <v>20514</v>
      </c>
      <c r="E6446" s="487" t="s">
        <v>20515</v>
      </c>
      <c r="F6446" s="490">
        <v>0</v>
      </c>
      <c r="G6446" s="489">
        <v>29.5</v>
      </c>
      <c r="H6446" s="489">
        <v>0</v>
      </c>
      <c r="I6446" s="487" t="s">
        <v>1593</v>
      </c>
      <c r="J6446" s="487" t="s">
        <v>1063</v>
      </c>
    </row>
    <row r="6447" spans="1:10" ht="15" x14ac:dyDescent="0.2">
      <c r="A6447" s="486" t="s">
        <v>1062</v>
      </c>
      <c r="B6447" s="487" t="s">
        <v>1061</v>
      </c>
      <c r="C6447" s="488" t="s">
        <v>20516</v>
      </c>
      <c r="D6447" s="489" t="s">
        <v>20517</v>
      </c>
      <c r="E6447" s="487" t="s">
        <v>20518</v>
      </c>
      <c r="F6447" s="490">
        <v>0</v>
      </c>
      <c r="G6447" s="489">
        <v>37.9</v>
      </c>
      <c r="H6447" s="489">
        <v>0</v>
      </c>
      <c r="I6447" s="487" t="s">
        <v>1593</v>
      </c>
      <c r="J6447" s="487" t="s">
        <v>1063</v>
      </c>
    </row>
    <row r="6448" spans="1:10" ht="15" x14ac:dyDescent="0.2">
      <c r="A6448" s="486" t="s">
        <v>1062</v>
      </c>
      <c r="B6448" s="487" t="s">
        <v>1061</v>
      </c>
      <c r="C6448" s="488" t="s">
        <v>20519</v>
      </c>
      <c r="D6448" s="489" t="s">
        <v>20520</v>
      </c>
      <c r="E6448" s="487" t="s">
        <v>20521</v>
      </c>
      <c r="F6448" s="490">
        <v>793.05</v>
      </c>
      <c r="G6448" s="489">
        <v>20.59</v>
      </c>
      <c r="H6448" s="489">
        <v>38.516269999999999</v>
      </c>
      <c r="I6448" s="487" t="s">
        <v>1499</v>
      </c>
      <c r="J6448" s="487" t="s">
        <v>1063</v>
      </c>
    </row>
    <row r="6449" spans="1:10" ht="15" x14ac:dyDescent="0.2">
      <c r="A6449" s="486" t="s">
        <v>1062</v>
      </c>
      <c r="B6449" s="487" t="s">
        <v>1061</v>
      </c>
      <c r="C6449" s="488" t="s">
        <v>20522</v>
      </c>
      <c r="D6449" s="489" t="s">
        <v>20523</v>
      </c>
      <c r="E6449" s="487" t="s">
        <v>20524</v>
      </c>
      <c r="F6449" s="490">
        <v>6200</v>
      </c>
      <c r="G6449" s="489">
        <v>179.02</v>
      </c>
      <c r="H6449" s="489">
        <v>34.633000000000003</v>
      </c>
      <c r="I6449" s="487" t="s">
        <v>1499</v>
      </c>
      <c r="J6449" s="487" t="s">
        <v>1063</v>
      </c>
    </row>
    <row r="6450" spans="1:10" ht="15" x14ac:dyDescent="0.2">
      <c r="A6450" s="486" t="s">
        <v>1062</v>
      </c>
      <c r="B6450" s="487" t="s">
        <v>1061</v>
      </c>
      <c r="C6450" s="488" t="s">
        <v>20525</v>
      </c>
      <c r="D6450" s="489" t="s">
        <v>20526</v>
      </c>
      <c r="E6450" s="487" t="s">
        <v>20527</v>
      </c>
      <c r="F6450" s="490">
        <v>174000</v>
      </c>
      <c r="G6450" s="489">
        <v>1774</v>
      </c>
      <c r="H6450" s="489">
        <v>98.083430000000007</v>
      </c>
      <c r="I6450" s="487" t="s">
        <v>1499</v>
      </c>
      <c r="J6450" s="487" t="s">
        <v>1063</v>
      </c>
    </row>
    <row r="6451" spans="1:10" ht="15" x14ac:dyDescent="0.2">
      <c r="A6451" s="486" t="s">
        <v>1062</v>
      </c>
      <c r="B6451" s="487" t="s">
        <v>1061</v>
      </c>
      <c r="C6451" s="488" t="s">
        <v>20528</v>
      </c>
      <c r="D6451" s="489" t="s">
        <v>20529</v>
      </c>
      <c r="E6451" s="487" t="s">
        <v>6855</v>
      </c>
      <c r="F6451" s="490">
        <v>21182</v>
      </c>
      <c r="G6451" s="489">
        <v>284.20999999999998</v>
      </c>
      <c r="H6451" s="489">
        <v>74.529399999999995</v>
      </c>
      <c r="I6451" s="487" t="s">
        <v>1499</v>
      </c>
      <c r="J6451" s="487" t="s">
        <v>1063</v>
      </c>
    </row>
    <row r="6452" spans="1:10" ht="15" x14ac:dyDescent="0.2">
      <c r="A6452" s="486" t="s">
        <v>1062</v>
      </c>
      <c r="B6452" s="487" t="s">
        <v>1061</v>
      </c>
      <c r="C6452" s="488" t="s">
        <v>20530</v>
      </c>
      <c r="D6452" s="489" t="s">
        <v>20531</v>
      </c>
      <c r="E6452" s="487" t="s">
        <v>20532</v>
      </c>
      <c r="F6452" s="490">
        <v>1302.0999999999999</v>
      </c>
      <c r="G6452" s="489">
        <v>37.93</v>
      </c>
      <c r="H6452" s="489">
        <v>34.329030000000003</v>
      </c>
      <c r="I6452" s="487" t="s">
        <v>2465</v>
      </c>
      <c r="J6452" s="487" t="s">
        <v>1063</v>
      </c>
    </row>
    <row r="6453" spans="1:10" ht="15" x14ac:dyDescent="0.2">
      <c r="A6453" s="486" t="s">
        <v>1062</v>
      </c>
      <c r="B6453" s="487" t="s">
        <v>1061</v>
      </c>
      <c r="C6453" s="488" t="s">
        <v>20533</v>
      </c>
      <c r="D6453" s="489" t="s">
        <v>20534</v>
      </c>
      <c r="E6453" s="487" t="s">
        <v>3521</v>
      </c>
      <c r="F6453" s="490">
        <v>14519</v>
      </c>
      <c r="G6453" s="489">
        <v>335.97</v>
      </c>
      <c r="H6453" s="489">
        <v>43.215170000000001</v>
      </c>
      <c r="I6453" s="487" t="s">
        <v>1499</v>
      </c>
      <c r="J6453" s="487" t="s">
        <v>1063</v>
      </c>
    </row>
    <row r="6454" spans="1:10" ht="15" x14ac:dyDescent="0.2">
      <c r="A6454" s="486" t="s">
        <v>1062</v>
      </c>
      <c r="B6454" s="487" t="s">
        <v>1061</v>
      </c>
      <c r="C6454" s="488" t="s">
        <v>20535</v>
      </c>
      <c r="D6454" s="489" t="s">
        <v>20536</v>
      </c>
      <c r="E6454" s="487" t="s">
        <v>20537</v>
      </c>
      <c r="F6454" s="490">
        <v>1800</v>
      </c>
      <c r="G6454" s="489">
        <v>86.78</v>
      </c>
      <c r="H6454" s="489">
        <v>20.74211</v>
      </c>
      <c r="I6454" s="487" t="s">
        <v>1499</v>
      </c>
      <c r="J6454" s="487" t="s">
        <v>1063</v>
      </c>
    </row>
    <row r="6455" spans="1:10" ht="15" x14ac:dyDescent="0.2">
      <c r="A6455" s="486" t="s">
        <v>1062</v>
      </c>
      <c r="B6455" s="487" t="s">
        <v>1061</v>
      </c>
      <c r="C6455" s="488" t="s">
        <v>20538</v>
      </c>
      <c r="D6455" s="489" t="s">
        <v>20539</v>
      </c>
      <c r="E6455" s="487" t="s">
        <v>20540</v>
      </c>
      <c r="F6455" s="490">
        <v>3500</v>
      </c>
      <c r="G6455" s="489">
        <v>104.85</v>
      </c>
      <c r="H6455" s="489">
        <v>33.381019999999999</v>
      </c>
      <c r="I6455" s="487" t="s">
        <v>1499</v>
      </c>
      <c r="J6455" s="487" t="s">
        <v>1063</v>
      </c>
    </row>
    <row r="6456" spans="1:10" ht="15" x14ac:dyDescent="0.2">
      <c r="A6456" s="486" t="s">
        <v>1062</v>
      </c>
      <c r="B6456" s="487" t="s">
        <v>1061</v>
      </c>
      <c r="C6456" s="488" t="s">
        <v>20541</v>
      </c>
      <c r="D6456" s="489" t="s">
        <v>20542</v>
      </c>
      <c r="E6456" s="487" t="s">
        <v>20543</v>
      </c>
      <c r="F6456" s="490">
        <v>400</v>
      </c>
      <c r="G6456" s="489">
        <v>92.53</v>
      </c>
      <c r="H6456" s="489">
        <v>4.3229199999999999</v>
      </c>
      <c r="I6456" s="487" t="s">
        <v>1499</v>
      </c>
      <c r="J6456" s="487" t="s">
        <v>1063</v>
      </c>
    </row>
    <row r="6457" spans="1:10" ht="15" x14ac:dyDescent="0.2">
      <c r="A6457" s="486" t="s">
        <v>1062</v>
      </c>
      <c r="B6457" s="487" t="s">
        <v>1061</v>
      </c>
      <c r="C6457" s="488" t="s">
        <v>20544</v>
      </c>
      <c r="D6457" s="489" t="s">
        <v>20545</v>
      </c>
      <c r="E6457" s="487" t="s">
        <v>20546</v>
      </c>
      <c r="F6457" s="490">
        <v>4000</v>
      </c>
      <c r="G6457" s="489">
        <v>95.73</v>
      </c>
      <c r="H6457" s="489">
        <v>41.784179999999999</v>
      </c>
      <c r="I6457" s="487" t="s">
        <v>1499</v>
      </c>
      <c r="J6457" s="487" t="s">
        <v>1063</v>
      </c>
    </row>
    <row r="6458" spans="1:10" ht="15" x14ac:dyDescent="0.2">
      <c r="A6458" s="486" t="s">
        <v>1062</v>
      </c>
      <c r="B6458" s="487" t="s">
        <v>1061</v>
      </c>
      <c r="C6458" s="488" t="s">
        <v>20547</v>
      </c>
      <c r="D6458" s="489" t="s">
        <v>20548</v>
      </c>
      <c r="E6458" s="487" t="s">
        <v>20549</v>
      </c>
      <c r="F6458" s="490">
        <v>34000</v>
      </c>
      <c r="G6458" s="489">
        <v>265.61</v>
      </c>
      <c r="H6458" s="489">
        <v>128.00722999999999</v>
      </c>
      <c r="I6458" s="487" t="s">
        <v>1499</v>
      </c>
      <c r="J6458" s="487" t="s">
        <v>1063</v>
      </c>
    </row>
    <row r="6459" spans="1:10" ht="15" x14ac:dyDescent="0.2">
      <c r="A6459" s="486" t="s">
        <v>1062</v>
      </c>
      <c r="B6459" s="487" t="s">
        <v>1061</v>
      </c>
      <c r="C6459" s="488" t="s">
        <v>20550</v>
      </c>
      <c r="D6459" s="489" t="s">
        <v>20551</v>
      </c>
      <c r="E6459" s="487" t="s">
        <v>20552</v>
      </c>
      <c r="F6459" s="490">
        <v>0</v>
      </c>
      <c r="G6459" s="489">
        <v>75.63</v>
      </c>
      <c r="H6459" s="489">
        <v>0</v>
      </c>
      <c r="I6459" s="487" t="s">
        <v>1593</v>
      </c>
      <c r="J6459" s="487" t="s">
        <v>1063</v>
      </c>
    </row>
    <row r="6460" spans="1:10" ht="15" x14ac:dyDescent="0.2">
      <c r="A6460" s="486" t="s">
        <v>1062</v>
      </c>
      <c r="B6460" s="487" t="s">
        <v>1061</v>
      </c>
      <c r="C6460" s="488" t="s">
        <v>20553</v>
      </c>
      <c r="D6460" s="489" t="s">
        <v>20554</v>
      </c>
      <c r="E6460" s="487" t="s">
        <v>20555</v>
      </c>
      <c r="F6460" s="490">
        <v>105242</v>
      </c>
      <c r="G6460" s="489">
        <v>1269.53</v>
      </c>
      <c r="H6460" s="489">
        <v>82.898399999999995</v>
      </c>
      <c r="I6460" s="487" t="s">
        <v>1499</v>
      </c>
      <c r="J6460" s="487" t="s">
        <v>1063</v>
      </c>
    </row>
    <row r="6461" spans="1:10" ht="15" x14ac:dyDescent="0.2">
      <c r="A6461" s="486" t="s">
        <v>1062</v>
      </c>
      <c r="B6461" s="487" t="s">
        <v>1061</v>
      </c>
      <c r="C6461" s="488" t="s">
        <v>20556</v>
      </c>
      <c r="D6461" s="489" t="s">
        <v>20557</v>
      </c>
      <c r="E6461" s="487" t="s">
        <v>20558</v>
      </c>
      <c r="F6461" s="490">
        <v>13482</v>
      </c>
      <c r="G6461" s="489">
        <v>197.79</v>
      </c>
      <c r="H6461" s="489">
        <v>68.163200000000003</v>
      </c>
      <c r="I6461" s="487" t="s">
        <v>1499</v>
      </c>
      <c r="J6461" s="487" t="s">
        <v>1063</v>
      </c>
    </row>
    <row r="6462" spans="1:10" ht="15" x14ac:dyDescent="0.2">
      <c r="A6462" s="486" t="s">
        <v>1062</v>
      </c>
      <c r="B6462" s="487" t="s">
        <v>1061</v>
      </c>
      <c r="C6462" s="488" t="s">
        <v>20559</v>
      </c>
      <c r="D6462" s="489" t="s">
        <v>20560</v>
      </c>
      <c r="E6462" s="487" t="s">
        <v>20561</v>
      </c>
      <c r="F6462" s="490">
        <v>0</v>
      </c>
      <c r="G6462" s="489">
        <v>24.23</v>
      </c>
      <c r="H6462" s="489">
        <v>0</v>
      </c>
      <c r="I6462" s="487" t="s">
        <v>1593</v>
      </c>
      <c r="J6462" s="487" t="s">
        <v>1063</v>
      </c>
    </row>
    <row r="6463" spans="1:10" ht="15" x14ac:dyDescent="0.2">
      <c r="A6463" s="486" t="s">
        <v>1062</v>
      </c>
      <c r="B6463" s="487" t="s">
        <v>1061</v>
      </c>
      <c r="C6463" s="488" t="s">
        <v>20562</v>
      </c>
      <c r="D6463" s="489" t="s">
        <v>20563</v>
      </c>
      <c r="E6463" s="487" t="s">
        <v>20564</v>
      </c>
      <c r="F6463" s="490">
        <v>150000</v>
      </c>
      <c r="G6463" s="489">
        <v>1352.67</v>
      </c>
      <c r="H6463" s="489">
        <v>110.89179</v>
      </c>
      <c r="I6463" s="487" t="s">
        <v>1499</v>
      </c>
      <c r="J6463" s="487" t="s">
        <v>1063</v>
      </c>
    </row>
    <row r="6464" spans="1:10" ht="15" x14ac:dyDescent="0.2">
      <c r="A6464" s="486" t="s">
        <v>1062</v>
      </c>
      <c r="B6464" s="487" t="s">
        <v>1061</v>
      </c>
      <c r="C6464" s="488" t="s">
        <v>20565</v>
      </c>
      <c r="D6464" s="489" t="s">
        <v>20566</v>
      </c>
      <c r="E6464" s="487" t="s">
        <v>20567</v>
      </c>
      <c r="F6464" s="490">
        <v>8400</v>
      </c>
      <c r="G6464" s="489">
        <v>369.77</v>
      </c>
      <c r="H6464" s="489">
        <v>22.716819999999998</v>
      </c>
      <c r="I6464" s="487" t="s">
        <v>1499</v>
      </c>
      <c r="J6464" s="487" t="s">
        <v>1063</v>
      </c>
    </row>
    <row r="6465" spans="1:10" ht="15" x14ac:dyDescent="0.2">
      <c r="A6465" s="486" t="s">
        <v>1062</v>
      </c>
      <c r="B6465" s="487" t="s">
        <v>1061</v>
      </c>
      <c r="C6465" s="488" t="s">
        <v>20568</v>
      </c>
      <c r="D6465" s="489" t="s">
        <v>20569</v>
      </c>
      <c r="E6465" s="487" t="s">
        <v>20570</v>
      </c>
      <c r="F6465" s="490">
        <v>5688.15</v>
      </c>
      <c r="G6465" s="489">
        <v>69.599999999999994</v>
      </c>
      <c r="H6465" s="489">
        <v>81.726290000000006</v>
      </c>
      <c r="I6465" s="487" t="s">
        <v>1499</v>
      </c>
      <c r="J6465" s="487" t="s">
        <v>1063</v>
      </c>
    </row>
    <row r="6466" spans="1:10" ht="15" x14ac:dyDescent="0.2">
      <c r="A6466" s="486" t="s">
        <v>1062</v>
      </c>
      <c r="B6466" s="487" t="s">
        <v>1061</v>
      </c>
      <c r="C6466" s="488" t="s">
        <v>20571</v>
      </c>
      <c r="D6466" s="489" t="s">
        <v>20572</v>
      </c>
      <c r="E6466" s="487" t="s">
        <v>20573</v>
      </c>
      <c r="F6466" s="490">
        <v>5600</v>
      </c>
      <c r="G6466" s="489">
        <v>187.62</v>
      </c>
      <c r="H6466" s="489">
        <v>29.847560000000001</v>
      </c>
      <c r="I6466" s="487" t="s">
        <v>1499</v>
      </c>
      <c r="J6466" s="487" t="s">
        <v>1063</v>
      </c>
    </row>
    <row r="6467" spans="1:10" ht="15" x14ac:dyDescent="0.2">
      <c r="A6467" s="486" t="s">
        <v>1062</v>
      </c>
      <c r="B6467" s="487" t="s">
        <v>1061</v>
      </c>
      <c r="C6467" s="488" t="s">
        <v>20574</v>
      </c>
      <c r="D6467" s="489" t="s">
        <v>20575</v>
      </c>
      <c r="E6467" s="487" t="s">
        <v>20576</v>
      </c>
      <c r="F6467" s="490">
        <v>2585</v>
      </c>
      <c r="G6467" s="489">
        <v>172.9</v>
      </c>
      <c r="H6467" s="489">
        <v>14.950839999999999</v>
      </c>
      <c r="I6467" s="487" t="s">
        <v>1499</v>
      </c>
      <c r="J6467" s="487" t="s">
        <v>1063</v>
      </c>
    </row>
    <row r="6468" spans="1:10" ht="15" x14ac:dyDescent="0.2">
      <c r="A6468" s="486" t="s">
        <v>1062</v>
      </c>
      <c r="B6468" s="487" t="s">
        <v>1061</v>
      </c>
      <c r="C6468" s="488" t="s">
        <v>20577</v>
      </c>
      <c r="D6468" s="489" t="s">
        <v>20578</v>
      </c>
      <c r="E6468" s="487" t="s">
        <v>20579</v>
      </c>
      <c r="F6468" s="490">
        <v>14300</v>
      </c>
      <c r="G6468" s="489">
        <v>203.88</v>
      </c>
      <c r="H6468" s="489">
        <v>70.139300000000006</v>
      </c>
      <c r="I6468" s="487" t="s">
        <v>1499</v>
      </c>
      <c r="J6468" s="487" t="s">
        <v>1063</v>
      </c>
    </row>
    <row r="6469" spans="1:10" ht="15" x14ac:dyDescent="0.2">
      <c r="A6469" s="486" t="s">
        <v>1062</v>
      </c>
      <c r="B6469" s="487" t="s">
        <v>1061</v>
      </c>
      <c r="C6469" s="488" t="s">
        <v>20580</v>
      </c>
      <c r="D6469" s="489" t="s">
        <v>20581</v>
      </c>
      <c r="E6469" s="487" t="s">
        <v>20582</v>
      </c>
      <c r="F6469" s="490">
        <v>0</v>
      </c>
      <c r="G6469" s="489">
        <v>11.26</v>
      </c>
      <c r="H6469" s="489">
        <v>0</v>
      </c>
      <c r="I6469" s="487" t="s">
        <v>1593</v>
      </c>
      <c r="J6469" s="487" t="s">
        <v>1063</v>
      </c>
    </row>
    <row r="6470" spans="1:10" ht="15" x14ac:dyDescent="0.2">
      <c r="A6470" s="486" t="s">
        <v>1062</v>
      </c>
      <c r="B6470" s="487" t="s">
        <v>1061</v>
      </c>
      <c r="C6470" s="488" t="s">
        <v>20583</v>
      </c>
      <c r="D6470" s="489" t="s">
        <v>20584</v>
      </c>
      <c r="E6470" s="487" t="s">
        <v>20585</v>
      </c>
      <c r="F6470" s="490">
        <v>500</v>
      </c>
      <c r="G6470" s="489">
        <v>82.27</v>
      </c>
      <c r="H6470" s="489">
        <v>6.0775499999999996</v>
      </c>
      <c r="I6470" s="487" t="s">
        <v>1499</v>
      </c>
      <c r="J6470" s="487" t="s">
        <v>1063</v>
      </c>
    </row>
    <row r="6471" spans="1:10" ht="15" x14ac:dyDescent="0.2">
      <c r="A6471" s="486" t="s">
        <v>1062</v>
      </c>
      <c r="B6471" s="487" t="s">
        <v>1061</v>
      </c>
      <c r="C6471" s="488" t="s">
        <v>20586</v>
      </c>
      <c r="D6471" s="489" t="s">
        <v>20587</v>
      </c>
      <c r="E6471" s="487" t="s">
        <v>20588</v>
      </c>
      <c r="F6471" s="490">
        <v>0</v>
      </c>
      <c r="G6471" s="489">
        <v>16.55</v>
      </c>
      <c r="H6471" s="489">
        <v>0</v>
      </c>
      <c r="I6471" s="487" t="s">
        <v>1593</v>
      </c>
      <c r="J6471" s="487" t="s">
        <v>1063</v>
      </c>
    </row>
    <row r="6472" spans="1:10" ht="15" x14ac:dyDescent="0.2">
      <c r="A6472" s="486" t="s">
        <v>1062</v>
      </c>
      <c r="B6472" s="487" t="s">
        <v>1061</v>
      </c>
      <c r="C6472" s="488" t="s">
        <v>20589</v>
      </c>
      <c r="D6472" s="489" t="s">
        <v>20590</v>
      </c>
      <c r="E6472" s="487" t="s">
        <v>20591</v>
      </c>
      <c r="F6472" s="490">
        <v>0</v>
      </c>
      <c r="G6472" s="489">
        <v>55.66</v>
      </c>
      <c r="H6472" s="489">
        <v>0</v>
      </c>
      <c r="I6472" s="487" t="s">
        <v>1593</v>
      </c>
      <c r="J6472" s="487" t="s">
        <v>1063</v>
      </c>
    </row>
    <row r="6473" spans="1:10" ht="15" x14ac:dyDescent="0.2">
      <c r="A6473" s="486" t="s">
        <v>1062</v>
      </c>
      <c r="B6473" s="487" t="s">
        <v>1061</v>
      </c>
      <c r="C6473" s="488" t="s">
        <v>20592</v>
      </c>
      <c r="D6473" s="489" t="s">
        <v>20593</v>
      </c>
      <c r="E6473" s="487" t="s">
        <v>20594</v>
      </c>
      <c r="F6473" s="490">
        <v>15000</v>
      </c>
      <c r="G6473" s="489">
        <v>455.73</v>
      </c>
      <c r="H6473" s="489">
        <v>32.914230000000003</v>
      </c>
      <c r="I6473" s="487" t="s">
        <v>1499</v>
      </c>
      <c r="J6473" s="487" t="s">
        <v>1063</v>
      </c>
    </row>
    <row r="6474" spans="1:10" ht="15" x14ac:dyDescent="0.2">
      <c r="A6474" s="486" t="s">
        <v>1062</v>
      </c>
      <c r="B6474" s="487" t="s">
        <v>1061</v>
      </c>
      <c r="C6474" s="488" t="s">
        <v>20595</v>
      </c>
      <c r="D6474" s="489" t="s">
        <v>20596</v>
      </c>
      <c r="E6474" s="487" t="s">
        <v>20597</v>
      </c>
      <c r="F6474" s="490">
        <v>14000</v>
      </c>
      <c r="G6474" s="489">
        <v>444.42</v>
      </c>
      <c r="H6474" s="489">
        <v>31.501729999999998</v>
      </c>
      <c r="I6474" s="487" t="s">
        <v>1499</v>
      </c>
      <c r="J6474" s="487" t="s">
        <v>1063</v>
      </c>
    </row>
    <row r="6475" spans="1:10" ht="15" x14ac:dyDescent="0.2">
      <c r="A6475" s="486" t="s">
        <v>1062</v>
      </c>
      <c r="B6475" s="487" t="s">
        <v>1061</v>
      </c>
      <c r="C6475" s="488" t="s">
        <v>20598</v>
      </c>
      <c r="D6475" s="489" t="s">
        <v>20599</v>
      </c>
      <c r="E6475" s="487" t="s">
        <v>20600</v>
      </c>
      <c r="F6475" s="490">
        <v>11600</v>
      </c>
      <c r="G6475" s="489">
        <v>298.91000000000003</v>
      </c>
      <c r="H6475" s="489">
        <v>38.807670000000002</v>
      </c>
      <c r="I6475" s="487" t="s">
        <v>1499</v>
      </c>
      <c r="J6475" s="487" t="s">
        <v>1063</v>
      </c>
    </row>
    <row r="6476" spans="1:10" ht="15" x14ac:dyDescent="0.2">
      <c r="A6476" s="486" t="s">
        <v>1062</v>
      </c>
      <c r="B6476" s="487" t="s">
        <v>1061</v>
      </c>
      <c r="C6476" s="488" t="s">
        <v>20601</v>
      </c>
      <c r="D6476" s="489" t="s">
        <v>20602</v>
      </c>
      <c r="E6476" s="487" t="s">
        <v>20603</v>
      </c>
      <c r="F6476" s="490">
        <v>671.31</v>
      </c>
      <c r="G6476" s="489">
        <v>20.79</v>
      </c>
      <c r="H6476" s="489">
        <v>32.290039999999998</v>
      </c>
      <c r="I6476" s="487" t="s">
        <v>1499</v>
      </c>
      <c r="J6476" s="487" t="s">
        <v>1063</v>
      </c>
    </row>
    <row r="6477" spans="1:10" ht="15" x14ac:dyDescent="0.2">
      <c r="A6477" s="486" t="s">
        <v>1062</v>
      </c>
      <c r="B6477" s="487" t="s">
        <v>1061</v>
      </c>
      <c r="C6477" s="488" t="s">
        <v>20604</v>
      </c>
      <c r="D6477" s="489" t="s">
        <v>20605</v>
      </c>
      <c r="E6477" s="487" t="s">
        <v>20606</v>
      </c>
      <c r="F6477" s="490">
        <v>722.7</v>
      </c>
      <c r="G6477" s="489">
        <v>93.77</v>
      </c>
      <c r="H6477" s="489">
        <v>7.70716</v>
      </c>
      <c r="I6477" s="487" t="s">
        <v>1499</v>
      </c>
      <c r="J6477" s="487" t="s">
        <v>1063</v>
      </c>
    </row>
    <row r="6478" spans="1:10" ht="15" x14ac:dyDescent="0.2">
      <c r="A6478" s="486" t="s">
        <v>1062</v>
      </c>
      <c r="B6478" s="487" t="s">
        <v>1061</v>
      </c>
      <c r="C6478" s="488" t="s">
        <v>20607</v>
      </c>
      <c r="D6478" s="489" t="s">
        <v>20608</v>
      </c>
      <c r="E6478" s="487" t="s">
        <v>20609</v>
      </c>
      <c r="F6478" s="490">
        <v>0</v>
      </c>
      <c r="G6478" s="489">
        <v>48.12</v>
      </c>
      <c r="H6478" s="489">
        <v>0</v>
      </c>
      <c r="I6478" s="487" t="s">
        <v>1593</v>
      </c>
      <c r="J6478" s="487" t="s">
        <v>1063</v>
      </c>
    </row>
    <row r="6479" spans="1:10" ht="15" x14ac:dyDescent="0.2">
      <c r="A6479" s="486" t="s">
        <v>1062</v>
      </c>
      <c r="B6479" s="487" t="s">
        <v>1061</v>
      </c>
      <c r="C6479" s="488" t="s">
        <v>20610</v>
      </c>
      <c r="D6479" s="489" t="s">
        <v>20611</v>
      </c>
      <c r="E6479" s="487" t="s">
        <v>20612</v>
      </c>
      <c r="F6479" s="490">
        <v>0</v>
      </c>
      <c r="G6479" s="489">
        <v>33.479999999999997</v>
      </c>
      <c r="H6479" s="489">
        <v>0</v>
      </c>
      <c r="I6479" s="487" t="s">
        <v>1593</v>
      </c>
      <c r="J6479" s="487" t="s">
        <v>1063</v>
      </c>
    </row>
    <row r="6480" spans="1:10" ht="15" x14ac:dyDescent="0.2">
      <c r="A6480" s="486" t="s">
        <v>1062</v>
      </c>
      <c r="B6480" s="487" t="s">
        <v>1061</v>
      </c>
      <c r="C6480" s="488" t="s">
        <v>20613</v>
      </c>
      <c r="D6480" s="489" t="s">
        <v>20614</v>
      </c>
      <c r="E6480" s="487" t="s">
        <v>20615</v>
      </c>
      <c r="F6480" s="490">
        <v>5362.79</v>
      </c>
      <c r="G6480" s="489">
        <v>160.88999999999999</v>
      </c>
      <c r="H6480" s="489">
        <v>33.332030000000003</v>
      </c>
      <c r="I6480" s="487" t="s">
        <v>2465</v>
      </c>
      <c r="J6480" s="487" t="s">
        <v>1063</v>
      </c>
    </row>
    <row r="6481" spans="1:10" ht="15" x14ac:dyDescent="0.2">
      <c r="A6481" s="486" t="s">
        <v>1062</v>
      </c>
      <c r="B6481" s="487" t="s">
        <v>1061</v>
      </c>
      <c r="C6481" s="488" t="s">
        <v>20616</v>
      </c>
      <c r="D6481" s="489" t="s">
        <v>20617</v>
      </c>
      <c r="E6481" s="487" t="s">
        <v>20618</v>
      </c>
      <c r="F6481" s="490">
        <v>99000</v>
      </c>
      <c r="G6481" s="489">
        <v>1902.02</v>
      </c>
      <c r="H6481" s="489">
        <v>52.049930000000003</v>
      </c>
      <c r="I6481" s="487" t="s">
        <v>1499</v>
      </c>
      <c r="J6481" s="487" t="s">
        <v>1063</v>
      </c>
    </row>
    <row r="6482" spans="1:10" ht="15" x14ac:dyDescent="0.2">
      <c r="A6482" s="486" t="s">
        <v>1062</v>
      </c>
      <c r="B6482" s="487" t="s">
        <v>1061</v>
      </c>
      <c r="C6482" s="488" t="s">
        <v>20619</v>
      </c>
      <c r="D6482" s="489" t="s">
        <v>20620</v>
      </c>
      <c r="E6482" s="487" t="s">
        <v>20621</v>
      </c>
      <c r="F6482" s="490">
        <v>6500</v>
      </c>
      <c r="G6482" s="489">
        <v>212.15</v>
      </c>
      <c r="H6482" s="489">
        <v>30.6387</v>
      </c>
      <c r="I6482" s="487" t="s">
        <v>1499</v>
      </c>
      <c r="J6482" s="487" t="s">
        <v>1063</v>
      </c>
    </row>
    <row r="6483" spans="1:10" ht="15" x14ac:dyDescent="0.2">
      <c r="A6483" s="486" t="s">
        <v>1062</v>
      </c>
      <c r="B6483" s="487" t="s">
        <v>1061</v>
      </c>
      <c r="C6483" s="488" t="s">
        <v>20622</v>
      </c>
      <c r="D6483" s="489" t="s">
        <v>20623</v>
      </c>
      <c r="E6483" s="487" t="s">
        <v>20624</v>
      </c>
      <c r="F6483" s="490">
        <v>515.49</v>
      </c>
      <c r="G6483" s="489">
        <v>11.4</v>
      </c>
      <c r="H6483" s="489">
        <v>45.218420000000002</v>
      </c>
      <c r="I6483" s="487" t="s">
        <v>2465</v>
      </c>
      <c r="J6483" s="487" t="s">
        <v>1063</v>
      </c>
    </row>
    <row r="6484" spans="1:10" ht="15" x14ac:dyDescent="0.2">
      <c r="A6484" s="486" t="s">
        <v>1062</v>
      </c>
      <c r="B6484" s="487" t="s">
        <v>1061</v>
      </c>
      <c r="C6484" s="488" t="s">
        <v>20625</v>
      </c>
      <c r="D6484" s="489" t="s">
        <v>20626</v>
      </c>
      <c r="E6484" s="487" t="s">
        <v>20627</v>
      </c>
      <c r="F6484" s="490">
        <v>26832</v>
      </c>
      <c r="G6484" s="489">
        <v>524.44000000000005</v>
      </c>
      <c r="H6484" s="489">
        <v>51.163150000000002</v>
      </c>
      <c r="I6484" s="487" t="s">
        <v>1499</v>
      </c>
      <c r="J6484" s="487" t="s">
        <v>1063</v>
      </c>
    </row>
    <row r="6485" spans="1:10" ht="15" x14ac:dyDescent="0.2">
      <c r="A6485" s="486" t="s">
        <v>1062</v>
      </c>
      <c r="B6485" s="487" t="s">
        <v>1061</v>
      </c>
      <c r="C6485" s="488" t="s">
        <v>20628</v>
      </c>
      <c r="D6485" s="489" t="s">
        <v>20629</v>
      </c>
      <c r="E6485" s="487" t="s">
        <v>9162</v>
      </c>
      <c r="F6485" s="490">
        <v>6716.72</v>
      </c>
      <c r="G6485" s="489">
        <v>145.68</v>
      </c>
      <c r="H6485" s="489">
        <v>46.105989999999998</v>
      </c>
      <c r="I6485" s="487" t="s">
        <v>1499</v>
      </c>
      <c r="J6485" s="487" t="s">
        <v>1063</v>
      </c>
    </row>
    <row r="6486" spans="1:10" ht="15" x14ac:dyDescent="0.2">
      <c r="A6486" s="486" t="s">
        <v>1062</v>
      </c>
      <c r="B6486" s="487" t="s">
        <v>1061</v>
      </c>
      <c r="C6486" s="488" t="s">
        <v>20630</v>
      </c>
      <c r="D6486" s="489" t="s">
        <v>20631</v>
      </c>
      <c r="E6486" s="487" t="s">
        <v>20632</v>
      </c>
      <c r="F6486" s="490">
        <v>6000</v>
      </c>
      <c r="G6486" s="489">
        <v>149</v>
      </c>
      <c r="H6486" s="489">
        <v>40.268459999999997</v>
      </c>
      <c r="I6486" s="487" t="s">
        <v>1499</v>
      </c>
      <c r="J6486" s="487" t="s">
        <v>1063</v>
      </c>
    </row>
    <row r="6487" spans="1:10" ht="15" x14ac:dyDescent="0.2">
      <c r="A6487" s="486" t="s">
        <v>1062</v>
      </c>
      <c r="B6487" s="487" t="s">
        <v>1061</v>
      </c>
      <c r="C6487" s="488" t="s">
        <v>20633</v>
      </c>
      <c r="D6487" s="489" t="s">
        <v>20634</v>
      </c>
      <c r="E6487" s="487" t="s">
        <v>20635</v>
      </c>
      <c r="F6487" s="490">
        <v>0</v>
      </c>
      <c r="G6487" s="489">
        <v>32.25</v>
      </c>
      <c r="H6487" s="489">
        <v>0</v>
      </c>
      <c r="I6487" s="487" t="s">
        <v>1593</v>
      </c>
      <c r="J6487" s="487" t="s">
        <v>1063</v>
      </c>
    </row>
    <row r="6488" spans="1:10" ht="15" x14ac:dyDescent="0.2">
      <c r="A6488" s="486" t="s">
        <v>1062</v>
      </c>
      <c r="B6488" s="487" t="s">
        <v>1061</v>
      </c>
      <c r="C6488" s="488" t="s">
        <v>20636</v>
      </c>
      <c r="D6488" s="489" t="s">
        <v>20637</v>
      </c>
      <c r="E6488" s="487" t="s">
        <v>20638</v>
      </c>
      <c r="F6488" s="490">
        <v>0</v>
      </c>
      <c r="G6488" s="489">
        <v>80.98</v>
      </c>
      <c r="H6488" s="489">
        <v>0</v>
      </c>
      <c r="I6488" s="487" t="s">
        <v>1593</v>
      </c>
      <c r="J6488" s="487" t="s">
        <v>1063</v>
      </c>
    </row>
    <row r="6489" spans="1:10" ht="15" x14ac:dyDescent="0.2">
      <c r="A6489" s="486" t="s">
        <v>1062</v>
      </c>
      <c r="B6489" s="487" t="s">
        <v>1061</v>
      </c>
      <c r="C6489" s="488" t="s">
        <v>20639</v>
      </c>
      <c r="D6489" s="489" t="s">
        <v>20640</v>
      </c>
      <c r="E6489" s="487" t="s">
        <v>20641</v>
      </c>
      <c r="F6489" s="490">
        <v>76000</v>
      </c>
      <c r="G6489" s="489">
        <v>2047.75</v>
      </c>
      <c r="H6489" s="489">
        <v>37.113909999999997</v>
      </c>
      <c r="I6489" s="487" t="s">
        <v>1499</v>
      </c>
      <c r="J6489" s="487" t="s">
        <v>1063</v>
      </c>
    </row>
    <row r="6490" spans="1:10" ht="15" x14ac:dyDescent="0.2">
      <c r="A6490" s="486" t="s">
        <v>1062</v>
      </c>
      <c r="B6490" s="487" t="s">
        <v>1061</v>
      </c>
      <c r="C6490" s="488" t="s">
        <v>20642</v>
      </c>
      <c r="D6490" s="489" t="s">
        <v>20643</v>
      </c>
      <c r="E6490" s="487" t="s">
        <v>20644</v>
      </c>
      <c r="F6490" s="490">
        <v>0</v>
      </c>
      <c r="G6490" s="489">
        <v>83.78</v>
      </c>
      <c r="H6490" s="489">
        <v>0</v>
      </c>
      <c r="I6490" s="487" t="s">
        <v>1593</v>
      </c>
      <c r="J6490" s="487" t="s">
        <v>1063</v>
      </c>
    </row>
    <row r="6491" spans="1:10" ht="15" x14ac:dyDescent="0.2">
      <c r="A6491" s="486" t="s">
        <v>1062</v>
      </c>
      <c r="B6491" s="487" t="s">
        <v>1061</v>
      </c>
      <c r="C6491" s="488" t="s">
        <v>20645</v>
      </c>
      <c r="D6491" s="489" t="s">
        <v>20646</v>
      </c>
      <c r="E6491" s="487" t="s">
        <v>20647</v>
      </c>
      <c r="F6491" s="490">
        <v>78000</v>
      </c>
      <c r="G6491" s="489">
        <v>1274.71</v>
      </c>
      <c r="H6491" s="489">
        <v>61.190390000000001</v>
      </c>
      <c r="I6491" s="487" t="s">
        <v>1499</v>
      </c>
      <c r="J6491" s="487" t="s">
        <v>1063</v>
      </c>
    </row>
    <row r="6492" spans="1:10" ht="15" x14ac:dyDescent="0.2">
      <c r="A6492" s="486" t="s">
        <v>1062</v>
      </c>
      <c r="B6492" s="487" t="s">
        <v>1061</v>
      </c>
      <c r="C6492" s="488" t="s">
        <v>20648</v>
      </c>
      <c r="D6492" s="489" t="s">
        <v>20649</v>
      </c>
      <c r="E6492" s="487" t="s">
        <v>20650</v>
      </c>
      <c r="F6492" s="490">
        <v>18000</v>
      </c>
      <c r="G6492" s="489">
        <v>242.36</v>
      </c>
      <c r="H6492" s="489">
        <v>74.269679999999994</v>
      </c>
      <c r="I6492" s="487" t="s">
        <v>1499</v>
      </c>
      <c r="J6492" s="487" t="s">
        <v>1063</v>
      </c>
    </row>
    <row r="6493" spans="1:10" ht="15" x14ac:dyDescent="0.2">
      <c r="A6493" s="486" t="s">
        <v>1062</v>
      </c>
      <c r="B6493" s="487" t="s">
        <v>1061</v>
      </c>
      <c r="C6493" s="488" t="s">
        <v>20651</v>
      </c>
      <c r="D6493" s="489" t="s">
        <v>20652</v>
      </c>
      <c r="E6493" s="487" t="s">
        <v>20653</v>
      </c>
      <c r="F6493" s="490">
        <v>25455.62</v>
      </c>
      <c r="G6493" s="489">
        <v>662.9</v>
      </c>
      <c r="H6493" s="489">
        <v>38.400390000000002</v>
      </c>
      <c r="I6493" s="487" t="s">
        <v>1499</v>
      </c>
      <c r="J6493" s="487" t="s">
        <v>1063</v>
      </c>
    </row>
    <row r="6494" spans="1:10" ht="15" x14ac:dyDescent="0.2">
      <c r="A6494" s="486" t="s">
        <v>1062</v>
      </c>
      <c r="B6494" s="487" t="s">
        <v>1061</v>
      </c>
      <c r="C6494" s="488" t="s">
        <v>20654</v>
      </c>
      <c r="D6494" s="489" t="s">
        <v>20655</v>
      </c>
      <c r="E6494" s="487" t="s">
        <v>20656</v>
      </c>
      <c r="F6494" s="490">
        <v>15000</v>
      </c>
      <c r="G6494" s="489">
        <v>222.75</v>
      </c>
      <c r="H6494" s="489">
        <v>67.340069999999997</v>
      </c>
      <c r="I6494" s="487" t="s">
        <v>1499</v>
      </c>
      <c r="J6494" s="487" t="s">
        <v>1063</v>
      </c>
    </row>
    <row r="6495" spans="1:10" ht="15" x14ac:dyDescent="0.2">
      <c r="A6495" s="486" t="s">
        <v>1062</v>
      </c>
      <c r="B6495" s="487" t="s">
        <v>1061</v>
      </c>
      <c r="C6495" s="488" t="s">
        <v>20657</v>
      </c>
      <c r="D6495" s="489" t="s">
        <v>20658</v>
      </c>
      <c r="E6495" s="487" t="s">
        <v>20659</v>
      </c>
      <c r="F6495" s="490">
        <v>19002</v>
      </c>
      <c r="G6495" s="489">
        <v>317.23</v>
      </c>
      <c r="H6495" s="489">
        <v>59.899760000000001</v>
      </c>
      <c r="I6495" s="487" t="s">
        <v>1499</v>
      </c>
      <c r="J6495" s="487" t="s">
        <v>1063</v>
      </c>
    </row>
    <row r="6496" spans="1:10" ht="15" x14ac:dyDescent="0.2">
      <c r="A6496" s="486" t="s">
        <v>1062</v>
      </c>
      <c r="B6496" s="487" t="s">
        <v>1061</v>
      </c>
      <c r="C6496" s="488" t="s">
        <v>20660</v>
      </c>
      <c r="D6496" s="489" t="s">
        <v>20661</v>
      </c>
      <c r="E6496" s="487" t="s">
        <v>20662</v>
      </c>
      <c r="F6496" s="490">
        <v>0</v>
      </c>
      <c r="G6496" s="489">
        <v>30.27</v>
      </c>
      <c r="H6496" s="489">
        <v>0</v>
      </c>
      <c r="I6496" s="487" t="s">
        <v>1593</v>
      </c>
      <c r="J6496" s="487" t="s">
        <v>1063</v>
      </c>
    </row>
    <row r="6497" spans="1:10" ht="15" x14ac:dyDescent="0.2">
      <c r="A6497" s="486" t="s">
        <v>1062</v>
      </c>
      <c r="B6497" s="487" t="s">
        <v>1061</v>
      </c>
      <c r="C6497" s="488" t="s">
        <v>20663</v>
      </c>
      <c r="D6497" s="489" t="s">
        <v>20664</v>
      </c>
      <c r="E6497" s="487" t="s">
        <v>20665</v>
      </c>
      <c r="F6497" s="490">
        <v>3844</v>
      </c>
      <c r="G6497" s="489">
        <v>85.75</v>
      </c>
      <c r="H6497" s="489">
        <v>44.82799</v>
      </c>
      <c r="I6497" s="487" t="s">
        <v>1499</v>
      </c>
      <c r="J6497" s="487" t="s">
        <v>1063</v>
      </c>
    </row>
    <row r="6498" spans="1:10" ht="15" x14ac:dyDescent="0.2">
      <c r="A6498" s="486" t="s">
        <v>1062</v>
      </c>
      <c r="B6498" s="487" t="s">
        <v>1061</v>
      </c>
      <c r="C6498" s="488" t="s">
        <v>20666</v>
      </c>
      <c r="D6498" s="489" t="s">
        <v>20667</v>
      </c>
      <c r="E6498" s="487" t="s">
        <v>20668</v>
      </c>
      <c r="F6498" s="490">
        <v>500.99</v>
      </c>
      <c r="G6498" s="489">
        <v>21.06</v>
      </c>
      <c r="H6498" s="489">
        <v>23.788699999999999</v>
      </c>
      <c r="I6498" s="487" t="s">
        <v>2465</v>
      </c>
      <c r="J6498" s="487" t="s">
        <v>1063</v>
      </c>
    </row>
    <row r="6499" spans="1:10" ht="15" x14ac:dyDescent="0.2">
      <c r="A6499" s="486" t="s">
        <v>1062</v>
      </c>
      <c r="B6499" s="487" t="s">
        <v>1061</v>
      </c>
      <c r="C6499" s="488" t="s">
        <v>20669</v>
      </c>
      <c r="D6499" s="489" t="s">
        <v>20670</v>
      </c>
      <c r="E6499" s="487" t="s">
        <v>3834</v>
      </c>
      <c r="F6499" s="490">
        <v>5900</v>
      </c>
      <c r="G6499" s="489">
        <v>131.86000000000001</v>
      </c>
      <c r="H6499" s="489">
        <v>44.744430000000001</v>
      </c>
      <c r="I6499" s="487" t="s">
        <v>1499</v>
      </c>
      <c r="J6499" s="487" t="s">
        <v>1063</v>
      </c>
    </row>
    <row r="6500" spans="1:10" ht="15" x14ac:dyDescent="0.2">
      <c r="A6500" s="486" t="s">
        <v>1062</v>
      </c>
      <c r="B6500" s="487" t="s">
        <v>1061</v>
      </c>
      <c r="C6500" s="488" t="s">
        <v>20671</v>
      </c>
      <c r="D6500" s="489" t="s">
        <v>20672</v>
      </c>
      <c r="E6500" s="487" t="s">
        <v>9945</v>
      </c>
      <c r="F6500" s="490">
        <v>2800</v>
      </c>
      <c r="G6500" s="489">
        <v>91.99</v>
      </c>
      <c r="H6500" s="489">
        <v>30.438089999999999</v>
      </c>
      <c r="I6500" s="487" t="s">
        <v>1499</v>
      </c>
      <c r="J6500" s="487" t="s">
        <v>1063</v>
      </c>
    </row>
    <row r="6501" spans="1:10" ht="15" x14ac:dyDescent="0.2">
      <c r="A6501" s="486" t="s">
        <v>1062</v>
      </c>
      <c r="B6501" s="487" t="s">
        <v>1061</v>
      </c>
      <c r="C6501" s="488" t="s">
        <v>20673</v>
      </c>
      <c r="D6501" s="489" t="s">
        <v>20674</v>
      </c>
      <c r="E6501" s="487" t="s">
        <v>20675</v>
      </c>
      <c r="F6501" s="490">
        <v>16000</v>
      </c>
      <c r="G6501" s="489">
        <v>184.13</v>
      </c>
      <c r="H6501" s="489">
        <v>86.895129999999995</v>
      </c>
      <c r="I6501" s="487" t="s">
        <v>1499</v>
      </c>
      <c r="J6501" s="487" t="s">
        <v>1063</v>
      </c>
    </row>
    <row r="6502" spans="1:10" ht="15" x14ac:dyDescent="0.2">
      <c r="A6502" s="486" t="s">
        <v>1062</v>
      </c>
      <c r="B6502" s="487" t="s">
        <v>1061</v>
      </c>
      <c r="C6502" s="488" t="s">
        <v>20676</v>
      </c>
      <c r="D6502" s="489" t="s">
        <v>20677</v>
      </c>
      <c r="E6502" s="487" t="s">
        <v>20678</v>
      </c>
      <c r="F6502" s="490">
        <v>4189.3</v>
      </c>
      <c r="G6502" s="489">
        <v>137.77000000000001</v>
      </c>
      <c r="H6502" s="489">
        <v>30.40793</v>
      </c>
      <c r="I6502" s="487" t="s">
        <v>1499</v>
      </c>
      <c r="J6502" s="487" t="s">
        <v>1063</v>
      </c>
    </row>
    <row r="6503" spans="1:10" ht="15" x14ac:dyDescent="0.2">
      <c r="A6503" s="486" t="s">
        <v>1062</v>
      </c>
      <c r="B6503" s="487" t="s">
        <v>1061</v>
      </c>
      <c r="C6503" s="488" t="s">
        <v>20679</v>
      </c>
      <c r="D6503" s="489" t="s">
        <v>20680</v>
      </c>
      <c r="E6503" s="487" t="s">
        <v>20681</v>
      </c>
      <c r="F6503" s="490">
        <v>18997</v>
      </c>
      <c r="G6503" s="489">
        <v>638.45000000000005</v>
      </c>
      <c r="H6503" s="489">
        <v>29.75488</v>
      </c>
      <c r="I6503" s="487" t="s">
        <v>1499</v>
      </c>
      <c r="J6503" s="487" t="s">
        <v>1063</v>
      </c>
    </row>
    <row r="6504" spans="1:10" ht="15" x14ac:dyDescent="0.2">
      <c r="A6504" s="486" t="s">
        <v>1062</v>
      </c>
      <c r="B6504" s="487" t="s">
        <v>1061</v>
      </c>
      <c r="C6504" s="488" t="s">
        <v>20682</v>
      </c>
      <c r="D6504" s="489" t="s">
        <v>20683</v>
      </c>
      <c r="E6504" s="487" t="s">
        <v>20684</v>
      </c>
      <c r="F6504" s="490">
        <v>1000</v>
      </c>
      <c r="G6504" s="489">
        <v>66.400000000000006</v>
      </c>
      <c r="H6504" s="489">
        <v>15.06024</v>
      </c>
      <c r="I6504" s="487" t="s">
        <v>1499</v>
      </c>
      <c r="J6504" s="487" t="s">
        <v>1063</v>
      </c>
    </row>
    <row r="6505" spans="1:10" ht="15" x14ac:dyDescent="0.2">
      <c r="A6505" s="486" t="s">
        <v>1062</v>
      </c>
      <c r="B6505" s="487" t="s">
        <v>1061</v>
      </c>
      <c r="C6505" s="488" t="s">
        <v>20685</v>
      </c>
      <c r="D6505" s="489" t="s">
        <v>20686</v>
      </c>
      <c r="E6505" s="487" t="s">
        <v>20687</v>
      </c>
      <c r="F6505" s="490">
        <v>814.81</v>
      </c>
      <c r="G6505" s="489">
        <v>46.86</v>
      </c>
      <c r="H6505" s="489">
        <v>17.388179999999998</v>
      </c>
      <c r="I6505" s="487" t="s">
        <v>1499</v>
      </c>
      <c r="J6505" s="487" t="s">
        <v>1063</v>
      </c>
    </row>
    <row r="6506" spans="1:10" ht="15" x14ac:dyDescent="0.2">
      <c r="A6506" s="486" t="s">
        <v>1062</v>
      </c>
      <c r="B6506" s="487" t="s">
        <v>1061</v>
      </c>
      <c r="C6506" s="488" t="s">
        <v>20688</v>
      </c>
      <c r="D6506" s="489" t="s">
        <v>20689</v>
      </c>
      <c r="E6506" s="487" t="s">
        <v>20690</v>
      </c>
      <c r="F6506" s="490">
        <v>7400</v>
      </c>
      <c r="G6506" s="489">
        <v>182.65</v>
      </c>
      <c r="H6506" s="489">
        <v>40.514650000000003</v>
      </c>
      <c r="I6506" s="487" t="s">
        <v>1499</v>
      </c>
      <c r="J6506" s="487" t="s">
        <v>1063</v>
      </c>
    </row>
    <row r="6507" spans="1:10" ht="15" x14ac:dyDescent="0.2">
      <c r="A6507" s="486" t="s">
        <v>1062</v>
      </c>
      <c r="B6507" s="487" t="s">
        <v>1061</v>
      </c>
      <c r="C6507" s="488" t="s">
        <v>20691</v>
      </c>
      <c r="D6507" s="489" t="s">
        <v>20692</v>
      </c>
      <c r="E6507" s="487" t="s">
        <v>20693</v>
      </c>
      <c r="F6507" s="490">
        <v>21500</v>
      </c>
      <c r="G6507" s="489">
        <v>273.45999999999998</v>
      </c>
      <c r="H6507" s="489">
        <v>78.622100000000003</v>
      </c>
      <c r="I6507" s="487" t="s">
        <v>1499</v>
      </c>
      <c r="J6507" s="487" t="s">
        <v>1063</v>
      </c>
    </row>
    <row r="6508" spans="1:10" ht="15" x14ac:dyDescent="0.2">
      <c r="A6508" s="486" t="s">
        <v>1062</v>
      </c>
      <c r="B6508" s="487" t="s">
        <v>1061</v>
      </c>
      <c r="C6508" s="488" t="s">
        <v>20694</v>
      </c>
      <c r="D6508" s="489" t="s">
        <v>20695</v>
      </c>
      <c r="E6508" s="487" t="s">
        <v>20696</v>
      </c>
      <c r="F6508" s="490">
        <v>11500</v>
      </c>
      <c r="G6508" s="489">
        <v>398.16</v>
      </c>
      <c r="H6508" s="489">
        <v>28.882860000000001</v>
      </c>
      <c r="I6508" s="487" t="s">
        <v>1499</v>
      </c>
      <c r="J6508" s="487" t="s">
        <v>1063</v>
      </c>
    </row>
    <row r="6509" spans="1:10" ht="15" x14ac:dyDescent="0.2">
      <c r="A6509" s="486" t="s">
        <v>1062</v>
      </c>
      <c r="B6509" s="487" t="s">
        <v>1061</v>
      </c>
      <c r="C6509" s="488" t="s">
        <v>20697</v>
      </c>
      <c r="D6509" s="489" t="s">
        <v>20698</v>
      </c>
      <c r="E6509" s="487" t="s">
        <v>20699</v>
      </c>
      <c r="F6509" s="490">
        <v>12318</v>
      </c>
      <c r="G6509" s="489">
        <v>184.67</v>
      </c>
      <c r="H6509" s="489">
        <v>66.702770000000001</v>
      </c>
      <c r="I6509" s="487" t="s">
        <v>1499</v>
      </c>
      <c r="J6509" s="487" t="s">
        <v>1063</v>
      </c>
    </row>
    <row r="6510" spans="1:10" ht="15" x14ac:dyDescent="0.2">
      <c r="A6510" s="486" t="s">
        <v>1062</v>
      </c>
      <c r="B6510" s="487" t="s">
        <v>1061</v>
      </c>
      <c r="C6510" s="488" t="s">
        <v>20700</v>
      </c>
      <c r="D6510" s="489" t="s">
        <v>20701</v>
      </c>
      <c r="E6510" s="487" t="s">
        <v>20702</v>
      </c>
      <c r="F6510" s="490">
        <v>1500</v>
      </c>
      <c r="G6510" s="489">
        <v>116.35</v>
      </c>
      <c r="H6510" s="489">
        <v>12.892139999999999</v>
      </c>
      <c r="I6510" s="487" t="s">
        <v>1499</v>
      </c>
      <c r="J6510" s="487" t="s">
        <v>1063</v>
      </c>
    </row>
    <row r="6511" spans="1:10" ht="15" x14ac:dyDescent="0.2">
      <c r="A6511" s="486" t="s">
        <v>1062</v>
      </c>
      <c r="B6511" s="487" t="s">
        <v>1061</v>
      </c>
      <c r="C6511" s="488" t="s">
        <v>20703</v>
      </c>
      <c r="D6511" s="489" t="s">
        <v>20704</v>
      </c>
      <c r="E6511" s="487" t="s">
        <v>20705</v>
      </c>
      <c r="F6511" s="490">
        <v>0</v>
      </c>
      <c r="G6511" s="489">
        <v>43.39</v>
      </c>
      <c r="H6511" s="489">
        <v>0</v>
      </c>
      <c r="I6511" s="487" t="s">
        <v>1593</v>
      </c>
      <c r="J6511" s="487" t="s">
        <v>1063</v>
      </c>
    </row>
    <row r="6512" spans="1:10" ht="15" x14ac:dyDescent="0.2">
      <c r="A6512" s="486" t="s">
        <v>1062</v>
      </c>
      <c r="B6512" s="487" t="s">
        <v>1061</v>
      </c>
      <c r="C6512" s="488" t="s">
        <v>20706</v>
      </c>
      <c r="D6512" s="489" t="s">
        <v>20707</v>
      </c>
      <c r="E6512" s="487" t="s">
        <v>20708</v>
      </c>
      <c r="F6512" s="490">
        <v>2000</v>
      </c>
      <c r="G6512" s="489">
        <v>121.94</v>
      </c>
      <c r="H6512" s="489">
        <v>16.401509999999998</v>
      </c>
      <c r="I6512" s="487" t="s">
        <v>1499</v>
      </c>
      <c r="J6512" s="487" t="s">
        <v>1063</v>
      </c>
    </row>
    <row r="6513" spans="1:10" ht="15" x14ac:dyDescent="0.2">
      <c r="A6513" s="486" t="s">
        <v>1062</v>
      </c>
      <c r="B6513" s="487" t="s">
        <v>1061</v>
      </c>
      <c r="C6513" s="488" t="s">
        <v>20709</v>
      </c>
      <c r="D6513" s="489" t="s">
        <v>20710</v>
      </c>
      <c r="E6513" s="487" t="s">
        <v>20711</v>
      </c>
      <c r="F6513" s="490">
        <v>20918.16</v>
      </c>
      <c r="G6513" s="489">
        <v>432.15</v>
      </c>
      <c r="H6513" s="489">
        <v>48.404859999999999</v>
      </c>
      <c r="I6513" s="487" t="s">
        <v>1499</v>
      </c>
      <c r="J6513" s="487" t="s">
        <v>1063</v>
      </c>
    </row>
    <row r="6514" spans="1:10" ht="15" x14ac:dyDescent="0.2">
      <c r="A6514" s="486" t="s">
        <v>1062</v>
      </c>
      <c r="B6514" s="487" t="s">
        <v>1061</v>
      </c>
      <c r="C6514" s="488" t="s">
        <v>20712</v>
      </c>
      <c r="D6514" s="489" t="s">
        <v>20713</v>
      </c>
      <c r="E6514" s="487" t="s">
        <v>20714</v>
      </c>
      <c r="F6514" s="490">
        <v>0</v>
      </c>
      <c r="G6514" s="489">
        <v>21.79</v>
      </c>
      <c r="H6514" s="489">
        <v>0</v>
      </c>
      <c r="I6514" s="487" t="s">
        <v>1593</v>
      </c>
      <c r="J6514" s="487" t="s">
        <v>1063</v>
      </c>
    </row>
    <row r="6515" spans="1:10" ht="15" x14ac:dyDescent="0.2">
      <c r="A6515" s="486" t="s">
        <v>1062</v>
      </c>
      <c r="B6515" s="487" t="s">
        <v>1061</v>
      </c>
      <c r="C6515" s="488" t="s">
        <v>20715</v>
      </c>
      <c r="D6515" s="489" t="s">
        <v>20716</v>
      </c>
      <c r="E6515" s="487" t="s">
        <v>20717</v>
      </c>
      <c r="F6515" s="490">
        <v>0</v>
      </c>
      <c r="G6515" s="489">
        <v>70.319999999999993</v>
      </c>
      <c r="H6515" s="489">
        <v>0</v>
      </c>
      <c r="I6515" s="487" t="s">
        <v>1593</v>
      </c>
      <c r="J6515" s="487" t="s">
        <v>1063</v>
      </c>
    </row>
    <row r="6516" spans="1:10" ht="15" x14ac:dyDescent="0.2">
      <c r="A6516" s="486" t="s">
        <v>1062</v>
      </c>
      <c r="B6516" s="487" t="s">
        <v>1061</v>
      </c>
      <c r="C6516" s="488" t="s">
        <v>20718</v>
      </c>
      <c r="D6516" s="489" t="s">
        <v>20719</v>
      </c>
      <c r="E6516" s="487" t="s">
        <v>20720</v>
      </c>
      <c r="F6516" s="490">
        <v>0</v>
      </c>
      <c r="G6516" s="489">
        <v>35.96</v>
      </c>
      <c r="H6516" s="489">
        <v>0</v>
      </c>
      <c r="I6516" s="487" t="s">
        <v>1593</v>
      </c>
      <c r="J6516" s="487" t="s">
        <v>1063</v>
      </c>
    </row>
    <row r="6517" spans="1:10" ht="15" x14ac:dyDescent="0.2">
      <c r="A6517" s="486" t="s">
        <v>1062</v>
      </c>
      <c r="B6517" s="487" t="s">
        <v>1061</v>
      </c>
      <c r="C6517" s="488" t="s">
        <v>20721</v>
      </c>
      <c r="D6517" s="489" t="s">
        <v>20722</v>
      </c>
      <c r="E6517" s="487" t="s">
        <v>20723</v>
      </c>
      <c r="F6517" s="490">
        <v>29822.240000000002</v>
      </c>
      <c r="G6517" s="489">
        <v>526.85</v>
      </c>
      <c r="H6517" s="489">
        <v>56.604799999999997</v>
      </c>
      <c r="I6517" s="487" t="s">
        <v>1499</v>
      </c>
      <c r="J6517" s="487" t="s">
        <v>1063</v>
      </c>
    </row>
    <row r="6518" spans="1:10" ht="15" x14ac:dyDescent="0.2">
      <c r="A6518" s="486" t="s">
        <v>1062</v>
      </c>
      <c r="B6518" s="487" t="s">
        <v>1061</v>
      </c>
      <c r="C6518" s="488" t="s">
        <v>20724</v>
      </c>
      <c r="D6518" s="489" t="s">
        <v>20725</v>
      </c>
      <c r="E6518" s="487" t="s">
        <v>20726</v>
      </c>
      <c r="F6518" s="490">
        <v>22680</v>
      </c>
      <c r="G6518" s="489">
        <v>465.84</v>
      </c>
      <c r="H6518" s="489">
        <v>48.686239999999998</v>
      </c>
      <c r="I6518" s="487" t="s">
        <v>1499</v>
      </c>
      <c r="J6518" s="487" t="s">
        <v>1063</v>
      </c>
    </row>
    <row r="6519" spans="1:10" ht="15" x14ac:dyDescent="0.2">
      <c r="A6519" s="486" t="s">
        <v>1062</v>
      </c>
      <c r="B6519" s="487" t="s">
        <v>1061</v>
      </c>
      <c r="C6519" s="488" t="s">
        <v>20727</v>
      </c>
      <c r="D6519" s="489" t="s">
        <v>20728</v>
      </c>
      <c r="E6519" s="487" t="s">
        <v>20729</v>
      </c>
      <c r="F6519" s="490">
        <v>8518.2999999999993</v>
      </c>
      <c r="G6519" s="489">
        <v>148.82</v>
      </c>
      <c r="H6519" s="489">
        <v>57.238950000000003</v>
      </c>
      <c r="I6519" s="487" t="s">
        <v>1499</v>
      </c>
      <c r="J6519" s="487" t="s">
        <v>1063</v>
      </c>
    </row>
    <row r="6520" spans="1:10" ht="15" x14ac:dyDescent="0.2">
      <c r="A6520" s="486" t="s">
        <v>1062</v>
      </c>
      <c r="B6520" s="487" t="s">
        <v>1061</v>
      </c>
      <c r="C6520" s="488" t="s">
        <v>20730</v>
      </c>
      <c r="D6520" s="489" t="s">
        <v>20731</v>
      </c>
      <c r="E6520" s="487" t="s">
        <v>20732</v>
      </c>
      <c r="F6520" s="490">
        <v>22000</v>
      </c>
      <c r="G6520" s="489">
        <v>106.91</v>
      </c>
      <c r="H6520" s="489">
        <v>205.78056000000001</v>
      </c>
      <c r="I6520" s="487" t="s">
        <v>1499</v>
      </c>
      <c r="J6520" s="487" t="s">
        <v>1063</v>
      </c>
    </row>
    <row r="6521" spans="1:10" ht="15" x14ac:dyDescent="0.2">
      <c r="A6521" s="486" t="s">
        <v>1062</v>
      </c>
      <c r="B6521" s="487" t="s">
        <v>1061</v>
      </c>
      <c r="C6521" s="488" t="s">
        <v>20733</v>
      </c>
      <c r="D6521" s="489" t="s">
        <v>20734</v>
      </c>
      <c r="E6521" s="487" t="s">
        <v>20735</v>
      </c>
      <c r="F6521" s="490">
        <v>36805</v>
      </c>
      <c r="G6521" s="489">
        <v>803.34</v>
      </c>
      <c r="H6521" s="489">
        <v>45.814970000000002</v>
      </c>
      <c r="I6521" s="487" t="s">
        <v>1499</v>
      </c>
      <c r="J6521" s="487" t="s">
        <v>1063</v>
      </c>
    </row>
    <row r="6522" spans="1:10" ht="15" x14ac:dyDescent="0.2">
      <c r="A6522" s="486" t="s">
        <v>1062</v>
      </c>
      <c r="B6522" s="487" t="s">
        <v>1061</v>
      </c>
      <c r="C6522" s="488" t="s">
        <v>20736</v>
      </c>
      <c r="D6522" s="489" t="s">
        <v>20737</v>
      </c>
      <c r="E6522" s="487" t="s">
        <v>20738</v>
      </c>
      <c r="F6522" s="490">
        <v>700</v>
      </c>
      <c r="G6522" s="489">
        <v>81.62</v>
      </c>
      <c r="H6522" s="489">
        <v>8.5763300000000005</v>
      </c>
      <c r="I6522" s="487" t="s">
        <v>1499</v>
      </c>
      <c r="J6522" s="487" t="s">
        <v>1063</v>
      </c>
    </row>
    <row r="6523" spans="1:10" ht="15" x14ac:dyDescent="0.2">
      <c r="A6523" s="486" t="s">
        <v>1062</v>
      </c>
      <c r="B6523" s="487" t="s">
        <v>1061</v>
      </c>
      <c r="C6523" s="488" t="s">
        <v>20739</v>
      </c>
      <c r="D6523" s="489" t="s">
        <v>20740</v>
      </c>
      <c r="E6523" s="487" t="s">
        <v>20741</v>
      </c>
      <c r="F6523" s="490">
        <v>2500</v>
      </c>
      <c r="G6523" s="489">
        <v>87.42</v>
      </c>
      <c r="H6523" s="489">
        <v>28.597570000000001</v>
      </c>
      <c r="I6523" s="487" t="s">
        <v>1499</v>
      </c>
      <c r="J6523" s="487" t="s">
        <v>1063</v>
      </c>
    </row>
    <row r="6524" spans="1:10" ht="15" x14ac:dyDescent="0.2">
      <c r="A6524" s="486" t="s">
        <v>1062</v>
      </c>
      <c r="B6524" s="487" t="s">
        <v>1061</v>
      </c>
      <c r="C6524" s="488" t="s">
        <v>20742</v>
      </c>
      <c r="D6524" s="489" t="s">
        <v>20743</v>
      </c>
      <c r="E6524" s="487" t="s">
        <v>20744</v>
      </c>
      <c r="F6524" s="490">
        <v>8306.91</v>
      </c>
      <c r="G6524" s="489">
        <v>426.61</v>
      </c>
      <c r="H6524" s="489">
        <v>19.471910000000001</v>
      </c>
      <c r="I6524" s="487" t="s">
        <v>1499</v>
      </c>
      <c r="J6524" s="487" t="s">
        <v>1063</v>
      </c>
    </row>
    <row r="6525" spans="1:10" ht="15" x14ac:dyDescent="0.2">
      <c r="A6525" s="486" t="s">
        <v>1062</v>
      </c>
      <c r="B6525" s="487" t="s">
        <v>1061</v>
      </c>
      <c r="C6525" s="488" t="s">
        <v>20745</v>
      </c>
      <c r="D6525" s="489" t="s">
        <v>20746</v>
      </c>
      <c r="E6525" s="487" t="s">
        <v>20747</v>
      </c>
      <c r="F6525" s="490">
        <v>6500</v>
      </c>
      <c r="G6525" s="489">
        <v>121.65</v>
      </c>
      <c r="H6525" s="489">
        <v>53.431980000000003</v>
      </c>
      <c r="I6525" s="487" t="s">
        <v>1499</v>
      </c>
      <c r="J6525" s="487" t="s">
        <v>1063</v>
      </c>
    </row>
    <row r="6526" spans="1:10" ht="15" x14ac:dyDescent="0.2">
      <c r="A6526" s="486" t="s">
        <v>1062</v>
      </c>
      <c r="B6526" s="487" t="s">
        <v>1061</v>
      </c>
      <c r="C6526" s="488" t="s">
        <v>20748</v>
      </c>
      <c r="D6526" s="489" t="s">
        <v>20749</v>
      </c>
      <c r="E6526" s="487" t="s">
        <v>20750</v>
      </c>
      <c r="F6526" s="490">
        <v>3000</v>
      </c>
      <c r="G6526" s="489">
        <v>129.32</v>
      </c>
      <c r="H6526" s="489">
        <v>23.198270000000001</v>
      </c>
      <c r="I6526" s="487" t="s">
        <v>1499</v>
      </c>
      <c r="J6526" s="487" t="s">
        <v>1063</v>
      </c>
    </row>
    <row r="6527" spans="1:10" ht="15" x14ac:dyDescent="0.2">
      <c r="A6527" s="486" t="s">
        <v>1062</v>
      </c>
      <c r="B6527" s="487" t="s">
        <v>1061</v>
      </c>
      <c r="C6527" s="488" t="s">
        <v>20751</v>
      </c>
      <c r="D6527" s="489" t="s">
        <v>20752</v>
      </c>
      <c r="E6527" s="487" t="s">
        <v>20753</v>
      </c>
      <c r="F6527" s="490">
        <v>1500</v>
      </c>
      <c r="G6527" s="489">
        <v>34.75</v>
      </c>
      <c r="H6527" s="489">
        <v>43.165469999999999</v>
      </c>
      <c r="I6527" s="487" t="s">
        <v>1499</v>
      </c>
      <c r="J6527" s="487" t="s">
        <v>1063</v>
      </c>
    </row>
    <row r="6528" spans="1:10" ht="15" x14ac:dyDescent="0.2">
      <c r="A6528" s="486" t="s">
        <v>1062</v>
      </c>
      <c r="B6528" s="487" t="s">
        <v>1061</v>
      </c>
      <c r="C6528" s="488" t="s">
        <v>20754</v>
      </c>
      <c r="D6528" s="489" t="s">
        <v>20755</v>
      </c>
      <c r="E6528" s="487" t="s">
        <v>20756</v>
      </c>
      <c r="F6528" s="490">
        <v>2940</v>
      </c>
      <c r="G6528" s="489">
        <v>191.29</v>
      </c>
      <c r="H6528" s="489">
        <v>15.36933</v>
      </c>
      <c r="I6528" s="487" t="s">
        <v>1499</v>
      </c>
      <c r="J6528" s="487" t="s">
        <v>1063</v>
      </c>
    </row>
    <row r="6529" spans="1:10" ht="15" x14ac:dyDescent="0.2">
      <c r="A6529" s="486" t="s">
        <v>1062</v>
      </c>
      <c r="B6529" s="487" t="s">
        <v>1061</v>
      </c>
      <c r="C6529" s="488" t="s">
        <v>20757</v>
      </c>
      <c r="D6529" s="489" t="s">
        <v>20758</v>
      </c>
      <c r="E6529" s="487" t="s">
        <v>20759</v>
      </c>
      <c r="F6529" s="490">
        <v>36835</v>
      </c>
      <c r="G6529" s="489">
        <v>965.91</v>
      </c>
      <c r="H6529" s="489">
        <v>38.135019999999997</v>
      </c>
      <c r="I6529" s="487" t="s">
        <v>1499</v>
      </c>
      <c r="J6529" s="487" t="s">
        <v>1063</v>
      </c>
    </row>
    <row r="6530" spans="1:10" ht="15" x14ac:dyDescent="0.2">
      <c r="A6530" s="486" t="s">
        <v>1062</v>
      </c>
      <c r="B6530" s="487" t="s">
        <v>1061</v>
      </c>
      <c r="C6530" s="488" t="s">
        <v>20760</v>
      </c>
      <c r="D6530" s="489" t="s">
        <v>20761</v>
      </c>
      <c r="E6530" s="487" t="s">
        <v>20762</v>
      </c>
      <c r="F6530" s="490">
        <v>1178.03</v>
      </c>
      <c r="G6530" s="489">
        <v>29.3</v>
      </c>
      <c r="H6530" s="489">
        <v>40.205800000000004</v>
      </c>
      <c r="I6530" s="487" t="s">
        <v>2465</v>
      </c>
      <c r="J6530" s="487" t="s">
        <v>1063</v>
      </c>
    </row>
    <row r="6531" spans="1:10" ht="15" x14ac:dyDescent="0.2">
      <c r="A6531" s="486" t="s">
        <v>1062</v>
      </c>
      <c r="B6531" s="487" t="s">
        <v>1061</v>
      </c>
      <c r="C6531" s="488" t="s">
        <v>20763</v>
      </c>
      <c r="D6531" s="489" t="s">
        <v>20764</v>
      </c>
      <c r="E6531" s="487" t="s">
        <v>6948</v>
      </c>
      <c r="F6531" s="490">
        <v>0</v>
      </c>
      <c r="G6531" s="489">
        <v>58.69</v>
      </c>
      <c r="H6531" s="489">
        <v>0</v>
      </c>
      <c r="I6531" s="487" t="s">
        <v>1593</v>
      </c>
      <c r="J6531" s="487" t="s">
        <v>1063</v>
      </c>
    </row>
    <row r="6532" spans="1:10" ht="15" x14ac:dyDescent="0.2">
      <c r="A6532" s="486" t="s">
        <v>1062</v>
      </c>
      <c r="B6532" s="487" t="s">
        <v>1061</v>
      </c>
      <c r="C6532" s="488" t="s">
        <v>20765</v>
      </c>
      <c r="D6532" s="489" t="s">
        <v>20766</v>
      </c>
      <c r="E6532" s="487" t="s">
        <v>20767</v>
      </c>
      <c r="F6532" s="490">
        <v>40898.800000000003</v>
      </c>
      <c r="G6532" s="489">
        <v>662.06</v>
      </c>
      <c r="H6532" s="489">
        <v>61.775069999999999</v>
      </c>
      <c r="I6532" s="487" t="s">
        <v>1499</v>
      </c>
      <c r="J6532" s="487" t="s">
        <v>1063</v>
      </c>
    </row>
    <row r="6533" spans="1:10" ht="15" x14ac:dyDescent="0.2">
      <c r="A6533" s="486" t="s">
        <v>1062</v>
      </c>
      <c r="B6533" s="487" t="s">
        <v>1061</v>
      </c>
      <c r="C6533" s="488" t="s">
        <v>20768</v>
      </c>
      <c r="D6533" s="489" t="s">
        <v>20769</v>
      </c>
      <c r="E6533" s="487" t="s">
        <v>20770</v>
      </c>
      <c r="F6533" s="490">
        <v>1450</v>
      </c>
      <c r="G6533" s="489">
        <v>107.48</v>
      </c>
      <c r="H6533" s="489">
        <v>13.490880000000001</v>
      </c>
      <c r="I6533" s="487" t="s">
        <v>1499</v>
      </c>
      <c r="J6533" s="487" t="s">
        <v>1063</v>
      </c>
    </row>
    <row r="6534" spans="1:10" ht="15" x14ac:dyDescent="0.2">
      <c r="A6534" s="486" t="s">
        <v>1062</v>
      </c>
      <c r="B6534" s="487" t="s">
        <v>1061</v>
      </c>
      <c r="C6534" s="488" t="s">
        <v>20771</v>
      </c>
      <c r="D6534" s="489" t="s">
        <v>20772</v>
      </c>
      <c r="E6534" s="487" t="s">
        <v>20773</v>
      </c>
      <c r="F6534" s="490">
        <v>78250</v>
      </c>
      <c r="G6534" s="489">
        <v>992.17</v>
      </c>
      <c r="H6534" s="489">
        <v>78.867530000000002</v>
      </c>
      <c r="I6534" s="487" t="s">
        <v>1499</v>
      </c>
      <c r="J6534" s="487" t="s">
        <v>1063</v>
      </c>
    </row>
    <row r="6535" spans="1:10" ht="15" x14ac:dyDescent="0.2">
      <c r="A6535" s="486" t="s">
        <v>1062</v>
      </c>
      <c r="B6535" s="487" t="s">
        <v>1061</v>
      </c>
      <c r="C6535" s="488" t="s">
        <v>20774</v>
      </c>
      <c r="D6535" s="489" t="s">
        <v>20775</v>
      </c>
      <c r="E6535" s="487" t="s">
        <v>20776</v>
      </c>
      <c r="F6535" s="490">
        <v>4500</v>
      </c>
      <c r="G6535" s="489">
        <v>85.45</v>
      </c>
      <c r="H6535" s="489">
        <v>52.662379999999999</v>
      </c>
      <c r="I6535" s="487" t="s">
        <v>1499</v>
      </c>
      <c r="J6535" s="487" t="s">
        <v>1063</v>
      </c>
    </row>
    <row r="6536" spans="1:10" ht="15" x14ac:dyDescent="0.2">
      <c r="A6536" s="486" t="s">
        <v>1062</v>
      </c>
      <c r="B6536" s="487" t="s">
        <v>1061</v>
      </c>
      <c r="C6536" s="488" t="s">
        <v>20777</v>
      </c>
      <c r="D6536" s="489" t="s">
        <v>20778</v>
      </c>
      <c r="E6536" s="487" t="s">
        <v>20779</v>
      </c>
      <c r="F6536" s="490">
        <v>36110</v>
      </c>
      <c r="G6536" s="489">
        <v>581.07000000000005</v>
      </c>
      <c r="H6536" s="489">
        <v>62.143979999999999</v>
      </c>
      <c r="I6536" s="487" t="s">
        <v>1499</v>
      </c>
      <c r="J6536" s="487" t="s">
        <v>1063</v>
      </c>
    </row>
    <row r="6537" spans="1:10" ht="15" x14ac:dyDescent="0.2">
      <c r="A6537" s="486" t="s">
        <v>1062</v>
      </c>
      <c r="B6537" s="487" t="s">
        <v>1061</v>
      </c>
      <c r="C6537" s="488" t="s">
        <v>20780</v>
      </c>
      <c r="D6537" s="489" t="s">
        <v>20781</v>
      </c>
      <c r="E6537" s="487" t="s">
        <v>20782</v>
      </c>
      <c r="F6537" s="490">
        <v>8176</v>
      </c>
      <c r="G6537" s="489">
        <v>366.27</v>
      </c>
      <c r="H6537" s="489">
        <v>22.322330000000001</v>
      </c>
      <c r="I6537" s="487" t="s">
        <v>1499</v>
      </c>
      <c r="J6537" s="487" t="s">
        <v>1063</v>
      </c>
    </row>
    <row r="6538" spans="1:10" ht="15" x14ac:dyDescent="0.2">
      <c r="A6538" s="486" t="s">
        <v>1062</v>
      </c>
      <c r="B6538" s="487" t="s">
        <v>1061</v>
      </c>
      <c r="C6538" s="488" t="s">
        <v>20783</v>
      </c>
      <c r="D6538" s="489" t="s">
        <v>20784</v>
      </c>
      <c r="E6538" s="487" t="s">
        <v>20785</v>
      </c>
      <c r="F6538" s="490">
        <v>7000</v>
      </c>
      <c r="G6538" s="489">
        <v>214.44</v>
      </c>
      <c r="H6538" s="489">
        <v>32.643160000000002</v>
      </c>
      <c r="I6538" s="487" t="s">
        <v>1499</v>
      </c>
      <c r="J6538" s="487" t="s">
        <v>1063</v>
      </c>
    </row>
    <row r="6539" spans="1:10" ht="15" x14ac:dyDescent="0.2">
      <c r="A6539" s="486" t="s">
        <v>1062</v>
      </c>
      <c r="B6539" s="487" t="s">
        <v>1061</v>
      </c>
      <c r="C6539" s="488" t="s">
        <v>20786</v>
      </c>
      <c r="D6539" s="489" t="s">
        <v>20787</v>
      </c>
      <c r="E6539" s="487" t="s">
        <v>20788</v>
      </c>
      <c r="F6539" s="490">
        <v>3539.46</v>
      </c>
      <c r="G6539" s="489">
        <v>72.41</v>
      </c>
      <c r="H6539" s="489">
        <v>48.88082</v>
      </c>
      <c r="I6539" s="487" t="s">
        <v>1499</v>
      </c>
      <c r="J6539" s="487" t="s">
        <v>1063</v>
      </c>
    </row>
    <row r="6540" spans="1:10" ht="15" x14ac:dyDescent="0.2">
      <c r="A6540" s="486" t="s">
        <v>1062</v>
      </c>
      <c r="B6540" s="487" t="s">
        <v>1061</v>
      </c>
      <c r="C6540" s="488" t="s">
        <v>20789</v>
      </c>
      <c r="D6540" s="489" t="s">
        <v>20790</v>
      </c>
      <c r="E6540" s="487" t="s">
        <v>20791</v>
      </c>
      <c r="F6540" s="490">
        <v>311.92</v>
      </c>
      <c r="G6540" s="489">
        <v>10.3</v>
      </c>
      <c r="H6540" s="489">
        <v>30.2835</v>
      </c>
      <c r="I6540" s="487" t="s">
        <v>1499</v>
      </c>
      <c r="J6540" s="487" t="s">
        <v>1063</v>
      </c>
    </row>
    <row r="6541" spans="1:10" ht="15" x14ac:dyDescent="0.2">
      <c r="A6541" s="486" t="s">
        <v>1062</v>
      </c>
      <c r="B6541" s="487" t="s">
        <v>1061</v>
      </c>
      <c r="C6541" s="488" t="s">
        <v>20792</v>
      </c>
      <c r="D6541" s="489" t="s">
        <v>20793</v>
      </c>
      <c r="E6541" s="487" t="s">
        <v>20794</v>
      </c>
      <c r="F6541" s="490">
        <v>27000</v>
      </c>
      <c r="G6541" s="489">
        <v>522.29999999999995</v>
      </c>
      <c r="H6541" s="489">
        <v>51.694429999999997</v>
      </c>
      <c r="I6541" s="487" t="s">
        <v>1499</v>
      </c>
      <c r="J6541" s="487" t="s">
        <v>1063</v>
      </c>
    </row>
    <row r="6542" spans="1:10" ht="15" x14ac:dyDescent="0.2">
      <c r="A6542" s="486" t="s">
        <v>1062</v>
      </c>
      <c r="B6542" s="487" t="s">
        <v>1061</v>
      </c>
      <c r="C6542" s="488" t="s">
        <v>20795</v>
      </c>
      <c r="D6542" s="489" t="s">
        <v>20796</v>
      </c>
      <c r="E6542" s="487" t="s">
        <v>20797</v>
      </c>
      <c r="F6542" s="490">
        <v>224.02</v>
      </c>
      <c r="G6542" s="489">
        <v>15.82</v>
      </c>
      <c r="H6542" s="489">
        <v>14.16056</v>
      </c>
      <c r="I6542" s="487" t="s">
        <v>1499</v>
      </c>
      <c r="J6542" s="487" t="s">
        <v>1063</v>
      </c>
    </row>
    <row r="6543" spans="1:10" ht="15" x14ac:dyDescent="0.2">
      <c r="A6543" s="486" t="s">
        <v>1062</v>
      </c>
      <c r="B6543" s="487" t="s">
        <v>1061</v>
      </c>
      <c r="C6543" s="488" t="s">
        <v>20798</v>
      </c>
      <c r="D6543" s="489" t="s">
        <v>20799</v>
      </c>
      <c r="E6543" s="487" t="s">
        <v>20800</v>
      </c>
      <c r="F6543" s="490">
        <v>7500</v>
      </c>
      <c r="G6543" s="489">
        <v>283.62</v>
      </c>
      <c r="H6543" s="489">
        <v>26.443829999999998</v>
      </c>
      <c r="I6543" s="487" t="s">
        <v>1499</v>
      </c>
      <c r="J6543" s="487" t="s">
        <v>1063</v>
      </c>
    </row>
    <row r="6544" spans="1:10" ht="15" x14ac:dyDescent="0.2">
      <c r="A6544" s="486" t="s">
        <v>1062</v>
      </c>
      <c r="B6544" s="487" t="s">
        <v>1061</v>
      </c>
      <c r="C6544" s="488" t="s">
        <v>20801</v>
      </c>
      <c r="D6544" s="489" t="s">
        <v>20802</v>
      </c>
      <c r="E6544" s="487" t="s">
        <v>20803</v>
      </c>
      <c r="F6544" s="490">
        <v>7464</v>
      </c>
      <c r="G6544" s="489">
        <v>317.95999999999998</v>
      </c>
      <c r="H6544" s="489">
        <v>23.47465</v>
      </c>
      <c r="I6544" s="487" t="s">
        <v>1499</v>
      </c>
      <c r="J6544" s="487" t="s">
        <v>1063</v>
      </c>
    </row>
    <row r="6545" spans="1:10" ht="15" x14ac:dyDescent="0.2">
      <c r="A6545" s="486" t="s">
        <v>1062</v>
      </c>
      <c r="B6545" s="487" t="s">
        <v>1061</v>
      </c>
      <c r="C6545" s="488" t="s">
        <v>20804</v>
      </c>
      <c r="D6545" s="489" t="s">
        <v>20805</v>
      </c>
      <c r="E6545" s="487" t="s">
        <v>20806</v>
      </c>
      <c r="F6545" s="490">
        <v>163000</v>
      </c>
      <c r="G6545" s="489">
        <v>1495.93</v>
      </c>
      <c r="H6545" s="489">
        <v>108.96232000000001</v>
      </c>
      <c r="I6545" s="487" t="s">
        <v>1499</v>
      </c>
      <c r="J6545" s="487" t="s">
        <v>1063</v>
      </c>
    </row>
    <row r="6546" spans="1:10" ht="15" x14ac:dyDescent="0.2">
      <c r="A6546" s="486" t="s">
        <v>1062</v>
      </c>
      <c r="B6546" s="487" t="s">
        <v>1061</v>
      </c>
      <c r="C6546" s="488" t="s">
        <v>20807</v>
      </c>
      <c r="D6546" s="489" t="s">
        <v>20808</v>
      </c>
      <c r="E6546" s="487" t="s">
        <v>20809</v>
      </c>
      <c r="F6546" s="490">
        <v>0</v>
      </c>
      <c r="G6546" s="489">
        <v>53.22</v>
      </c>
      <c r="H6546" s="489">
        <v>0</v>
      </c>
      <c r="I6546" s="487" t="s">
        <v>1593</v>
      </c>
      <c r="J6546" s="487" t="s">
        <v>1063</v>
      </c>
    </row>
    <row r="6547" spans="1:10" ht="15" x14ac:dyDescent="0.2">
      <c r="A6547" s="486" t="s">
        <v>1062</v>
      </c>
      <c r="B6547" s="487" t="s">
        <v>1061</v>
      </c>
      <c r="C6547" s="488" t="s">
        <v>20810</v>
      </c>
      <c r="D6547" s="489" t="s">
        <v>20811</v>
      </c>
      <c r="E6547" s="487" t="s">
        <v>20812</v>
      </c>
      <c r="F6547" s="490">
        <v>2491.5700000000002</v>
      </c>
      <c r="G6547" s="489">
        <v>74.75</v>
      </c>
      <c r="H6547" s="489">
        <v>33.332039999999999</v>
      </c>
      <c r="I6547" s="487" t="s">
        <v>2465</v>
      </c>
      <c r="J6547" s="487" t="s">
        <v>1063</v>
      </c>
    </row>
    <row r="6548" spans="1:10" ht="15" x14ac:dyDescent="0.2">
      <c r="A6548" s="486" t="s">
        <v>1062</v>
      </c>
      <c r="B6548" s="487" t="s">
        <v>1061</v>
      </c>
      <c r="C6548" s="488" t="s">
        <v>20813</v>
      </c>
      <c r="D6548" s="489" t="s">
        <v>20814</v>
      </c>
      <c r="E6548" s="487" t="s">
        <v>20815</v>
      </c>
      <c r="F6548" s="490">
        <v>1753.04</v>
      </c>
      <c r="G6548" s="489">
        <v>74.89</v>
      </c>
      <c r="H6548" s="489">
        <v>23.408200000000001</v>
      </c>
      <c r="I6548" s="487" t="s">
        <v>2465</v>
      </c>
      <c r="J6548" s="487" t="s">
        <v>1063</v>
      </c>
    </row>
    <row r="6549" spans="1:10" ht="15" x14ac:dyDescent="0.2">
      <c r="A6549" s="486" t="s">
        <v>1062</v>
      </c>
      <c r="B6549" s="487" t="s">
        <v>1061</v>
      </c>
      <c r="C6549" s="488" t="s">
        <v>20816</v>
      </c>
      <c r="D6549" s="489" t="s">
        <v>20817</v>
      </c>
      <c r="E6549" s="487" t="s">
        <v>20818</v>
      </c>
      <c r="F6549" s="490">
        <v>0</v>
      </c>
      <c r="G6549" s="489">
        <v>41.29</v>
      </c>
      <c r="H6549" s="489">
        <v>0</v>
      </c>
      <c r="I6549" s="487" t="s">
        <v>1593</v>
      </c>
      <c r="J6549" s="487" t="s">
        <v>1063</v>
      </c>
    </row>
    <row r="6550" spans="1:10" ht="15" x14ac:dyDescent="0.2">
      <c r="A6550" s="486" t="s">
        <v>1062</v>
      </c>
      <c r="B6550" s="487" t="s">
        <v>1061</v>
      </c>
      <c r="C6550" s="488" t="s">
        <v>20819</v>
      </c>
      <c r="D6550" s="489" t="s">
        <v>20820</v>
      </c>
      <c r="E6550" s="487" t="s">
        <v>20821</v>
      </c>
      <c r="F6550" s="490">
        <v>1500</v>
      </c>
      <c r="G6550" s="489">
        <v>119.14</v>
      </c>
      <c r="H6550" s="489">
        <v>12.59023</v>
      </c>
      <c r="I6550" s="487" t="s">
        <v>1499</v>
      </c>
      <c r="J6550" s="487" t="s">
        <v>1063</v>
      </c>
    </row>
    <row r="6551" spans="1:10" ht="15" x14ac:dyDescent="0.2">
      <c r="A6551" s="486" t="s">
        <v>1062</v>
      </c>
      <c r="B6551" s="487" t="s">
        <v>1061</v>
      </c>
      <c r="C6551" s="488" t="s">
        <v>20822</v>
      </c>
      <c r="D6551" s="489" t="s">
        <v>20823</v>
      </c>
      <c r="E6551" s="487" t="s">
        <v>20824</v>
      </c>
      <c r="F6551" s="490">
        <v>1000</v>
      </c>
      <c r="G6551" s="489">
        <v>72.86</v>
      </c>
      <c r="H6551" s="489">
        <v>13.72495</v>
      </c>
      <c r="I6551" s="487" t="s">
        <v>1499</v>
      </c>
      <c r="J6551" s="487" t="s">
        <v>1063</v>
      </c>
    </row>
    <row r="6552" spans="1:10" ht="15" x14ac:dyDescent="0.2">
      <c r="A6552" s="486" t="s">
        <v>1062</v>
      </c>
      <c r="B6552" s="487" t="s">
        <v>1061</v>
      </c>
      <c r="C6552" s="488" t="s">
        <v>20825</v>
      </c>
      <c r="D6552" s="489" t="s">
        <v>20826</v>
      </c>
      <c r="E6552" s="487" t="s">
        <v>20827</v>
      </c>
      <c r="F6552" s="490">
        <v>33954</v>
      </c>
      <c r="G6552" s="489">
        <v>593.74</v>
      </c>
      <c r="H6552" s="489">
        <v>57.18665</v>
      </c>
      <c r="I6552" s="487" t="s">
        <v>1499</v>
      </c>
      <c r="J6552" s="487" t="s">
        <v>1063</v>
      </c>
    </row>
    <row r="6553" spans="1:10" ht="15" x14ac:dyDescent="0.2">
      <c r="A6553" s="486" t="s">
        <v>1062</v>
      </c>
      <c r="B6553" s="487" t="s">
        <v>1061</v>
      </c>
      <c r="C6553" s="488" t="s">
        <v>20828</v>
      </c>
      <c r="D6553" s="489" t="s">
        <v>20829</v>
      </c>
      <c r="E6553" s="487" t="s">
        <v>20830</v>
      </c>
      <c r="F6553" s="490">
        <v>3171.05</v>
      </c>
      <c r="G6553" s="489">
        <v>82.33</v>
      </c>
      <c r="H6553" s="489">
        <v>38.51634</v>
      </c>
      <c r="I6553" s="487" t="s">
        <v>1499</v>
      </c>
      <c r="J6553" s="487" t="s">
        <v>1063</v>
      </c>
    </row>
    <row r="6554" spans="1:10" ht="15" x14ac:dyDescent="0.2">
      <c r="A6554" s="486" t="s">
        <v>1062</v>
      </c>
      <c r="B6554" s="487" t="s">
        <v>1061</v>
      </c>
      <c r="C6554" s="488" t="s">
        <v>20831</v>
      </c>
      <c r="D6554" s="489" t="s">
        <v>20832</v>
      </c>
      <c r="E6554" s="487" t="s">
        <v>20833</v>
      </c>
      <c r="F6554" s="490">
        <v>0</v>
      </c>
      <c r="G6554" s="489">
        <v>5.91</v>
      </c>
      <c r="H6554" s="489">
        <v>0</v>
      </c>
      <c r="I6554" s="487" t="s">
        <v>1593</v>
      </c>
      <c r="J6554" s="487" t="s">
        <v>1063</v>
      </c>
    </row>
    <row r="6555" spans="1:10" ht="15" x14ac:dyDescent="0.2">
      <c r="A6555" s="486" t="s">
        <v>1062</v>
      </c>
      <c r="B6555" s="487" t="s">
        <v>1061</v>
      </c>
      <c r="C6555" s="488" t="s">
        <v>20834</v>
      </c>
      <c r="D6555" s="489" t="s">
        <v>20835</v>
      </c>
      <c r="E6555" s="487" t="s">
        <v>20836</v>
      </c>
      <c r="F6555" s="490">
        <v>0</v>
      </c>
      <c r="G6555" s="489">
        <v>41.44</v>
      </c>
      <c r="H6555" s="489">
        <v>0</v>
      </c>
      <c r="I6555" s="487" t="s">
        <v>1593</v>
      </c>
      <c r="J6555" s="487" t="s">
        <v>1063</v>
      </c>
    </row>
    <row r="6556" spans="1:10" ht="15" x14ac:dyDescent="0.2">
      <c r="A6556" s="486" t="s">
        <v>1062</v>
      </c>
      <c r="B6556" s="487" t="s">
        <v>1061</v>
      </c>
      <c r="C6556" s="488" t="s">
        <v>20837</v>
      </c>
      <c r="D6556" s="489" t="s">
        <v>20838</v>
      </c>
      <c r="E6556" s="487" t="s">
        <v>20839</v>
      </c>
      <c r="F6556" s="490">
        <v>291.95</v>
      </c>
      <c r="G6556" s="489">
        <v>37.880000000000003</v>
      </c>
      <c r="H6556" s="489">
        <v>7.70723</v>
      </c>
      <c r="I6556" s="487" t="s">
        <v>1499</v>
      </c>
      <c r="J6556" s="487" t="s">
        <v>1063</v>
      </c>
    </row>
    <row r="6557" spans="1:10" ht="15" x14ac:dyDescent="0.2">
      <c r="A6557" s="486" t="s">
        <v>1062</v>
      </c>
      <c r="B6557" s="487" t="s">
        <v>1061</v>
      </c>
      <c r="C6557" s="488" t="s">
        <v>20840</v>
      </c>
      <c r="D6557" s="489" t="s">
        <v>20841</v>
      </c>
      <c r="E6557" s="487" t="s">
        <v>20842</v>
      </c>
      <c r="F6557" s="490">
        <v>80000</v>
      </c>
      <c r="G6557" s="489">
        <v>921.88</v>
      </c>
      <c r="H6557" s="489">
        <v>86.77919</v>
      </c>
      <c r="I6557" s="487" t="s">
        <v>1499</v>
      </c>
      <c r="J6557" s="487" t="s">
        <v>1063</v>
      </c>
    </row>
    <row r="6558" spans="1:10" ht="15" x14ac:dyDescent="0.2">
      <c r="A6558" s="486" t="s">
        <v>1062</v>
      </c>
      <c r="B6558" s="487" t="s">
        <v>1061</v>
      </c>
      <c r="C6558" s="488" t="s">
        <v>20843</v>
      </c>
      <c r="D6558" s="489" t="s">
        <v>20844</v>
      </c>
      <c r="E6558" s="487" t="s">
        <v>20845</v>
      </c>
      <c r="F6558" s="490">
        <v>4200</v>
      </c>
      <c r="G6558" s="489">
        <v>103.71</v>
      </c>
      <c r="H6558" s="489">
        <v>40.497540000000001</v>
      </c>
      <c r="I6558" s="487" t="s">
        <v>1499</v>
      </c>
      <c r="J6558" s="487" t="s">
        <v>1063</v>
      </c>
    </row>
    <row r="6559" spans="1:10" ht="15" x14ac:dyDescent="0.2">
      <c r="A6559" s="486" t="s">
        <v>1062</v>
      </c>
      <c r="B6559" s="487" t="s">
        <v>1061</v>
      </c>
      <c r="C6559" s="488" t="s">
        <v>20846</v>
      </c>
      <c r="D6559" s="489" t="s">
        <v>20847</v>
      </c>
      <c r="E6559" s="487" t="s">
        <v>20848</v>
      </c>
      <c r="F6559" s="490">
        <v>0</v>
      </c>
      <c r="G6559" s="489">
        <v>87.94</v>
      </c>
      <c r="H6559" s="489">
        <v>0</v>
      </c>
      <c r="I6559" s="487" t="s">
        <v>1593</v>
      </c>
      <c r="J6559" s="487" t="s">
        <v>1063</v>
      </c>
    </row>
    <row r="6560" spans="1:10" ht="15" x14ac:dyDescent="0.2">
      <c r="A6560" s="486" t="s">
        <v>1062</v>
      </c>
      <c r="B6560" s="487" t="s">
        <v>1061</v>
      </c>
      <c r="C6560" s="488" t="s">
        <v>20849</v>
      </c>
      <c r="D6560" s="489" t="s">
        <v>20850</v>
      </c>
      <c r="E6560" s="487" t="s">
        <v>20851</v>
      </c>
      <c r="F6560" s="490">
        <v>11279.76</v>
      </c>
      <c r="G6560" s="489">
        <v>276.67</v>
      </c>
      <c r="H6560" s="489">
        <v>40.769730000000003</v>
      </c>
      <c r="I6560" s="487" t="s">
        <v>1499</v>
      </c>
      <c r="J6560" s="487" t="s">
        <v>1063</v>
      </c>
    </row>
    <row r="6561" spans="1:10" ht="15" x14ac:dyDescent="0.2">
      <c r="A6561" s="486" t="s">
        <v>1062</v>
      </c>
      <c r="B6561" s="487" t="s">
        <v>1061</v>
      </c>
      <c r="C6561" s="488" t="s">
        <v>20852</v>
      </c>
      <c r="D6561" s="489" t="s">
        <v>20853</v>
      </c>
      <c r="E6561" s="487" t="s">
        <v>20854</v>
      </c>
      <c r="F6561" s="490">
        <v>975</v>
      </c>
      <c r="G6561" s="489">
        <v>97</v>
      </c>
      <c r="H6561" s="489">
        <v>10.051550000000001</v>
      </c>
      <c r="I6561" s="487" t="s">
        <v>1499</v>
      </c>
      <c r="J6561" s="487" t="s">
        <v>1063</v>
      </c>
    </row>
    <row r="6562" spans="1:10" ht="15" x14ac:dyDescent="0.2">
      <c r="A6562" s="486" t="s">
        <v>1062</v>
      </c>
      <c r="B6562" s="487" t="s">
        <v>1061</v>
      </c>
      <c r="C6562" s="488" t="s">
        <v>20855</v>
      </c>
      <c r="D6562" s="489" t="s">
        <v>20856</v>
      </c>
      <c r="E6562" s="487" t="s">
        <v>20857</v>
      </c>
      <c r="F6562" s="490">
        <v>4884</v>
      </c>
      <c r="G6562" s="489">
        <v>194.67</v>
      </c>
      <c r="H6562" s="489">
        <v>25.088609999999999</v>
      </c>
      <c r="I6562" s="487" t="s">
        <v>1499</v>
      </c>
      <c r="J6562" s="487" t="s">
        <v>1063</v>
      </c>
    </row>
    <row r="6563" spans="1:10" ht="15" x14ac:dyDescent="0.2">
      <c r="A6563" s="486" t="s">
        <v>1062</v>
      </c>
      <c r="B6563" s="487" t="s">
        <v>1061</v>
      </c>
      <c r="C6563" s="488" t="s">
        <v>20858</v>
      </c>
      <c r="D6563" s="489" t="s">
        <v>20859</v>
      </c>
      <c r="E6563" s="487" t="s">
        <v>20860</v>
      </c>
      <c r="F6563" s="490">
        <v>6803.14</v>
      </c>
      <c r="G6563" s="489">
        <v>71.27</v>
      </c>
      <c r="H6563" s="489">
        <v>95.455870000000004</v>
      </c>
      <c r="I6563" s="487" t="s">
        <v>1499</v>
      </c>
      <c r="J6563" s="487" t="s">
        <v>1063</v>
      </c>
    </row>
    <row r="6564" spans="1:10" ht="15" x14ac:dyDescent="0.2">
      <c r="A6564" s="486" t="s">
        <v>1062</v>
      </c>
      <c r="B6564" s="487" t="s">
        <v>1061</v>
      </c>
      <c r="C6564" s="488" t="s">
        <v>20861</v>
      </c>
      <c r="D6564" s="489" t="s">
        <v>20862</v>
      </c>
      <c r="E6564" s="487" t="s">
        <v>20863</v>
      </c>
      <c r="F6564" s="490">
        <v>3800</v>
      </c>
      <c r="G6564" s="489">
        <v>207.66</v>
      </c>
      <c r="H6564" s="489">
        <v>18.299140000000001</v>
      </c>
      <c r="I6564" s="487" t="s">
        <v>1499</v>
      </c>
      <c r="J6564" s="487" t="s">
        <v>1063</v>
      </c>
    </row>
    <row r="6565" spans="1:10" ht="15" x14ac:dyDescent="0.2">
      <c r="A6565" s="486" t="s">
        <v>1062</v>
      </c>
      <c r="B6565" s="487" t="s">
        <v>1061</v>
      </c>
      <c r="C6565" s="488" t="s">
        <v>20864</v>
      </c>
      <c r="D6565" s="489" t="s">
        <v>20865</v>
      </c>
      <c r="E6565" s="487" t="s">
        <v>20866</v>
      </c>
      <c r="F6565" s="490">
        <v>1000</v>
      </c>
      <c r="G6565" s="489">
        <v>135.61000000000001</v>
      </c>
      <c r="H6565" s="489">
        <v>7.3740899999999998</v>
      </c>
      <c r="I6565" s="487" t="s">
        <v>1499</v>
      </c>
      <c r="J6565" s="487" t="s">
        <v>1063</v>
      </c>
    </row>
    <row r="6566" spans="1:10" ht="15" x14ac:dyDescent="0.2">
      <c r="A6566" s="486" t="s">
        <v>1062</v>
      </c>
      <c r="B6566" s="487" t="s">
        <v>1061</v>
      </c>
      <c r="C6566" s="488" t="s">
        <v>20867</v>
      </c>
      <c r="D6566" s="489" t="s">
        <v>20868</v>
      </c>
      <c r="E6566" s="487" t="s">
        <v>20869</v>
      </c>
      <c r="F6566" s="490">
        <v>0</v>
      </c>
      <c r="G6566" s="489">
        <v>9.75</v>
      </c>
      <c r="H6566" s="489">
        <v>0</v>
      </c>
      <c r="I6566" s="487" t="s">
        <v>1593</v>
      </c>
      <c r="J6566" s="487" t="s">
        <v>1063</v>
      </c>
    </row>
    <row r="6567" spans="1:10" ht="15" x14ac:dyDescent="0.2">
      <c r="A6567" s="486" t="s">
        <v>1062</v>
      </c>
      <c r="B6567" s="487" t="s">
        <v>1061</v>
      </c>
      <c r="C6567" s="488" t="s">
        <v>20870</v>
      </c>
      <c r="D6567" s="489" t="s">
        <v>20871</v>
      </c>
      <c r="E6567" s="487" t="s">
        <v>20872</v>
      </c>
      <c r="F6567" s="490">
        <v>0</v>
      </c>
      <c r="G6567" s="489">
        <v>218.87</v>
      </c>
      <c r="H6567" s="489">
        <v>0</v>
      </c>
      <c r="I6567" s="487" t="s">
        <v>1593</v>
      </c>
      <c r="J6567" s="487" t="s">
        <v>1063</v>
      </c>
    </row>
    <row r="6568" spans="1:10" ht="15" x14ac:dyDescent="0.2">
      <c r="A6568" s="486" t="s">
        <v>1062</v>
      </c>
      <c r="B6568" s="487" t="s">
        <v>1061</v>
      </c>
      <c r="C6568" s="488" t="s">
        <v>20873</v>
      </c>
      <c r="D6568" s="489" t="s">
        <v>20874</v>
      </c>
      <c r="E6568" s="487" t="s">
        <v>5979</v>
      </c>
      <c r="F6568" s="490">
        <v>11931</v>
      </c>
      <c r="G6568" s="489">
        <v>385.72</v>
      </c>
      <c r="H6568" s="489">
        <v>30.931760000000001</v>
      </c>
      <c r="I6568" s="487" t="s">
        <v>1499</v>
      </c>
      <c r="J6568" s="487" t="s">
        <v>1063</v>
      </c>
    </row>
    <row r="6569" spans="1:10" ht="15" x14ac:dyDescent="0.2">
      <c r="A6569" s="486" t="s">
        <v>1062</v>
      </c>
      <c r="B6569" s="487" t="s">
        <v>1061</v>
      </c>
      <c r="C6569" s="488" t="s">
        <v>20875</v>
      </c>
      <c r="D6569" s="489" t="s">
        <v>20876</v>
      </c>
      <c r="E6569" s="487" t="s">
        <v>20877</v>
      </c>
      <c r="F6569" s="490">
        <v>0</v>
      </c>
      <c r="G6569" s="489">
        <v>51.65</v>
      </c>
      <c r="H6569" s="489">
        <v>0</v>
      </c>
      <c r="I6569" s="487" t="s">
        <v>1593</v>
      </c>
      <c r="J6569" s="487" t="s">
        <v>1063</v>
      </c>
    </row>
    <row r="6570" spans="1:10" ht="15" x14ac:dyDescent="0.2">
      <c r="A6570" s="486" t="s">
        <v>1062</v>
      </c>
      <c r="B6570" s="487" t="s">
        <v>1061</v>
      </c>
      <c r="C6570" s="488" t="s">
        <v>20878</v>
      </c>
      <c r="D6570" s="489" t="s">
        <v>20879</v>
      </c>
      <c r="E6570" s="487" t="s">
        <v>20880</v>
      </c>
      <c r="F6570" s="490">
        <v>9500</v>
      </c>
      <c r="G6570" s="489">
        <v>334.66</v>
      </c>
      <c r="H6570" s="489">
        <v>28.38702</v>
      </c>
      <c r="I6570" s="487" t="s">
        <v>1499</v>
      </c>
      <c r="J6570" s="487" t="s">
        <v>1063</v>
      </c>
    </row>
    <row r="6571" spans="1:10" ht="15" x14ac:dyDescent="0.2">
      <c r="A6571" s="486" t="s">
        <v>1062</v>
      </c>
      <c r="B6571" s="487" t="s">
        <v>1061</v>
      </c>
      <c r="C6571" s="488" t="s">
        <v>20881</v>
      </c>
      <c r="D6571" s="489" t="s">
        <v>20882</v>
      </c>
      <c r="E6571" s="487" t="s">
        <v>20883</v>
      </c>
      <c r="F6571" s="490">
        <v>0</v>
      </c>
      <c r="G6571" s="489">
        <v>95.25</v>
      </c>
      <c r="H6571" s="489">
        <v>0</v>
      </c>
      <c r="I6571" s="487" t="s">
        <v>1593</v>
      </c>
      <c r="J6571" s="487" t="s">
        <v>1063</v>
      </c>
    </row>
    <row r="6572" spans="1:10" ht="15" x14ac:dyDescent="0.2">
      <c r="A6572" s="486" t="s">
        <v>1062</v>
      </c>
      <c r="B6572" s="487" t="s">
        <v>1061</v>
      </c>
      <c r="C6572" s="488" t="s">
        <v>20884</v>
      </c>
      <c r="D6572" s="489" t="s">
        <v>20885</v>
      </c>
      <c r="E6572" s="487" t="s">
        <v>20886</v>
      </c>
      <c r="F6572" s="490">
        <v>3650</v>
      </c>
      <c r="G6572" s="489">
        <v>116.77</v>
      </c>
      <c r="H6572" s="489">
        <v>31.258030000000002</v>
      </c>
      <c r="I6572" s="487" t="s">
        <v>1499</v>
      </c>
      <c r="J6572" s="487" t="s">
        <v>1063</v>
      </c>
    </row>
    <row r="6573" spans="1:10" ht="15" x14ac:dyDescent="0.2">
      <c r="A6573" s="486" t="s">
        <v>1062</v>
      </c>
      <c r="B6573" s="487" t="s">
        <v>1061</v>
      </c>
      <c r="C6573" s="488" t="s">
        <v>20887</v>
      </c>
      <c r="D6573" s="489" t="s">
        <v>20888</v>
      </c>
      <c r="E6573" s="487" t="s">
        <v>20889</v>
      </c>
      <c r="F6573" s="490">
        <v>14487.83</v>
      </c>
      <c r="G6573" s="489">
        <v>618.91999999999996</v>
      </c>
      <c r="H6573" s="489">
        <v>23.408239999999999</v>
      </c>
      <c r="I6573" s="487" t="s">
        <v>2465</v>
      </c>
      <c r="J6573" s="487" t="s">
        <v>1063</v>
      </c>
    </row>
    <row r="6574" spans="1:10" ht="15" x14ac:dyDescent="0.2">
      <c r="A6574" s="486" t="s">
        <v>1062</v>
      </c>
      <c r="B6574" s="487" t="s">
        <v>1061</v>
      </c>
      <c r="C6574" s="488" t="s">
        <v>20890</v>
      </c>
      <c r="D6574" s="489" t="s">
        <v>20891</v>
      </c>
      <c r="E6574" s="487" t="s">
        <v>20892</v>
      </c>
      <c r="F6574" s="490">
        <v>2778.75</v>
      </c>
      <c r="G6574" s="489">
        <v>117.55</v>
      </c>
      <c r="H6574" s="489">
        <v>23.63888</v>
      </c>
      <c r="I6574" s="487" t="s">
        <v>1499</v>
      </c>
      <c r="J6574" s="487" t="s">
        <v>1063</v>
      </c>
    </row>
    <row r="6575" spans="1:10" ht="15" x14ac:dyDescent="0.2">
      <c r="A6575" s="486" t="s">
        <v>1062</v>
      </c>
      <c r="B6575" s="487" t="s">
        <v>1061</v>
      </c>
      <c r="C6575" s="488" t="s">
        <v>20893</v>
      </c>
      <c r="D6575" s="489" t="s">
        <v>20894</v>
      </c>
      <c r="E6575" s="487" t="s">
        <v>20895</v>
      </c>
      <c r="F6575" s="490">
        <v>16537.5</v>
      </c>
      <c r="G6575" s="489">
        <v>526.74</v>
      </c>
      <c r="H6575" s="489">
        <v>31.39594</v>
      </c>
      <c r="I6575" s="487" t="s">
        <v>1499</v>
      </c>
      <c r="J6575" s="487" t="s">
        <v>1063</v>
      </c>
    </row>
    <row r="6576" spans="1:10" ht="15" x14ac:dyDescent="0.2">
      <c r="A6576" s="486" t="s">
        <v>1062</v>
      </c>
      <c r="B6576" s="487" t="s">
        <v>1061</v>
      </c>
      <c r="C6576" s="488" t="s">
        <v>20896</v>
      </c>
      <c r="D6576" s="489" t="s">
        <v>20897</v>
      </c>
      <c r="E6576" s="487" t="s">
        <v>20898</v>
      </c>
      <c r="F6576" s="490">
        <v>543.80999999999995</v>
      </c>
      <c r="G6576" s="489">
        <v>22.86</v>
      </c>
      <c r="H6576" s="489">
        <v>23.788709999999998</v>
      </c>
      <c r="I6576" s="487" t="s">
        <v>2465</v>
      </c>
      <c r="J6576" s="487" t="s">
        <v>1063</v>
      </c>
    </row>
    <row r="6577" spans="1:10" ht="15" x14ac:dyDescent="0.2">
      <c r="A6577" s="486" t="s">
        <v>1062</v>
      </c>
      <c r="B6577" s="487" t="s">
        <v>1061</v>
      </c>
      <c r="C6577" s="488" t="s">
        <v>20899</v>
      </c>
      <c r="D6577" s="489" t="s">
        <v>20900</v>
      </c>
      <c r="E6577" s="487" t="s">
        <v>20331</v>
      </c>
      <c r="F6577" s="490">
        <v>0</v>
      </c>
      <c r="G6577" s="489">
        <v>47.04</v>
      </c>
      <c r="H6577" s="489">
        <v>0</v>
      </c>
      <c r="I6577" s="487" t="s">
        <v>1593</v>
      </c>
      <c r="J6577" s="487" t="s">
        <v>1063</v>
      </c>
    </row>
    <row r="6578" spans="1:10" ht="15" x14ac:dyDescent="0.2">
      <c r="A6578" s="486" t="s">
        <v>1062</v>
      </c>
      <c r="B6578" s="487" t="s">
        <v>1061</v>
      </c>
      <c r="C6578" s="488" t="s">
        <v>20901</v>
      </c>
      <c r="D6578" s="489" t="s">
        <v>20902</v>
      </c>
      <c r="E6578" s="487" t="s">
        <v>20903</v>
      </c>
      <c r="F6578" s="490">
        <v>17132.96</v>
      </c>
      <c r="G6578" s="489">
        <v>417.52</v>
      </c>
      <c r="H6578" s="489">
        <v>41.035060000000001</v>
      </c>
      <c r="I6578" s="487" t="s">
        <v>1499</v>
      </c>
      <c r="J6578" s="487" t="s">
        <v>1063</v>
      </c>
    </row>
    <row r="6579" spans="1:10" ht="15" x14ac:dyDescent="0.2">
      <c r="A6579" s="486" t="s">
        <v>1062</v>
      </c>
      <c r="B6579" s="487" t="s">
        <v>1061</v>
      </c>
      <c r="C6579" s="488" t="s">
        <v>20904</v>
      </c>
      <c r="D6579" s="489" t="s">
        <v>20905</v>
      </c>
      <c r="E6579" s="487" t="s">
        <v>20906</v>
      </c>
      <c r="F6579" s="490">
        <v>506.33</v>
      </c>
      <c r="G6579" s="489">
        <v>22.14</v>
      </c>
      <c r="H6579" s="489">
        <v>22.86947</v>
      </c>
      <c r="I6579" s="487" t="s">
        <v>1499</v>
      </c>
      <c r="J6579" s="487" t="s">
        <v>1063</v>
      </c>
    </row>
    <row r="6580" spans="1:10" ht="15" x14ac:dyDescent="0.2">
      <c r="A6580" s="486" t="s">
        <v>1062</v>
      </c>
      <c r="B6580" s="487" t="s">
        <v>1061</v>
      </c>
      <c r="C6580" s="488" t="s">
        <v>20907</v>
      </c>
      <c r="D6580" s="489" t="s">
        <v>20908</v>
      </c>
      <c r="E6580" s="487" t="s">
        <v>20909</v>
      </c>
      <c r="F6580" s="490">
        <v>12500</v>
      </c>
      <c r="G6580" s="489">
        <v>131.53</v>
      </c>
      <c r="H6580" s="489">
        <v>95.035349999999994</v>
      </c>
      <c r="I6580" s="487" t="s">
        <v>1499</v>
      </c>
      <c r="J6580" s="487" t="s">
        <v>1063</v>
      </c>
    </row>
    <row r="6581" spans="1:10" ht="15" x14ac:dyDescent="0.2">
      <c r="A6581" s="486" t="s">
        <v>1062</v>
      </c>
      <c r="B6581" s="487" t="s">
        <v>1061</v>
      </c>
      <c r="C6581" s="488" t="s">
        <v>20910</v>
      </c>
      <c r="D6581" s="489" t="s">
        <v>20911</v>
      </c>
      <c r="E6581" s="487" t="s">
        <v>20912</v>
      </c>
      <c r="F6581" s="490">
        <v>10480</v>
      </c>
      <c r="G6581" s="489">
        <v>160.22999999999999</v>
      </c>
      <c r="H6581" s="489">
        <v>65.40598</v>
      </c>
      <c r="I6581" s="487" t="s">
        <v>1499</v>
      </c>
      <c r="J6581" s="487" t="s">
        <v>1063</v>
      </c>
    </row>
    <row r="6582" spans="1:10" ht="15" x14ac:dyDescent="0.2">
      <c r="A6582" s="486" t="s">
        <v>1062</v>
      </c>
      <c r="B6582" s="487" t="s">
        <v>1061</v>
      </c>
      <c r="C6582" s="488" t="s">
        <v>20913</v>
      </c>
      <c r="D6582" s="489" t="s">
        <v>20914</v>
      </c>
      <c r="E6582" s="487" t="s">
        <v>20915</v>
      </c>
      <c r="F6582" s="490">
        <v>2250</v>
      </c>
      <c r="G6582" s="489">
        <v>130.35</v>
      </c>
      <c r="H6582" s="489">
        <v>17.261220000000002</v>
      </c>
      <c r="I6582" s="487" t="s">
        <v>1499</v>
      </c>
      <c r="J6582" s="487" t="s">
        <v>1063</v>
      </c>
    </row>
    <row r="6583" spans="1:10" ht="15" x14ac:dyDescent="0.2">
      <c r="A6583" s="486" t="s">
        <v>1062</v>
      </c>
      <c r="B6583" s="487" t="s">
        <v>1061</v>
      </c>
      <c r="C6583" s="488" t="s">
        <v>20916</v>
      </c>
      <c r="D6583" s="489" t="s">
        <v>20917</v>
      </c>
      <c r="E6583" s="487" t="s">
        <v>20918</v>
      </c>
      <c r="F6583" s="490">
        <v>300</v>
      </c>
      <c r="G6583" s="489">
        <v>56.01</v>
      </c>
      <c r="H6583" s="489">
        <v>5.3561899999999998</v>
      </c>
      <c r="I6583" s="487" t="s">
        <v>1499</v>
      </c>
      <c r="J6583" s="487" t="s">
        <v>1063</v>
      </c>
    </row>
    <row r="6584" spans="1:10" ht="15" x14ac:dyDescent="0.2">
      <c r="A6584" s="486" t="s">
        <v>1062</v>
      </c>
      <c r="B6584" s="487" t="s">
        <v>1061</v>
      </c>
      <c r="C6584" s="488" t="s">
        <v>20919</v>
      </c>
      <c r="D6584" s="489" t="s">
        <v>20920</v>
      </c>
      <c r="E6584" s="487" t="s">
        <v>20921</v>
      </c>
      <c r="F6584" s="490">
        <v>0</v>
      </c>
      <c r="G6584" s="489">
        <v>63.2</v>
      </c>
      <c r="H6584" s="489">
        <v>0</v>
      </c>
      <c r="I6584" s="487" t="s">
        <v>1593</v>
      </c>
      <c r="J6584" s="487" t="s">
        <v>1063</v>
      </c>
    </row>
    <row r="6585" spans="1:10" ht="15" x14ac:dyDescent="0.2">
      <c r="A6585" s="486" t="s">
        <v>1062</v>
      </c>
      <c r="B6585" s="487" t="s">
        <v>1061</v>
      </c>
      <c r="C6585" s="488" t="s">
        <v>20922</v>
      </c>
      <c r="D6585" s="489" t="s">
        <v>20923</v>
      </c>
      <c r="E6585" s="487" t="s">
        <v>20924</v>
      </c>
      <c r="F6585" s="490">
        <v>201469</v>
      </c>
      <c r="G6585" s="489">
        <v>2591.9499999999998</v>
      </c>
      <c r="H6585" s="489">
        <v>77.728740000000002</v>
      </c>
      <c r="I6585" s="487" t="s">
        <v>1499</v>
      </c>
      <c r="J6585" s="487" t="s">
        <v>1063</v>
      </c>
    </row>
    <row r="6586" spans="1:10" ht="15" x14ac:dyDescent="0.2">
      <c r="A6586" s="486" t="s">
        <v>1062</v>
      </c>
      <c r="B6586" s="487" t="s">
        <v>1061</v>
      </c>
      <c r="C6586" s="488" t="s">
        <v>20925</v>
      </c>
      <c r="D6586" s="489" t="s">
        <v>20926</v>
      </c>
      <c r="E6586" s="487" t="s">
        <v>20927</v>
      </c>
      <c r="F6586" s="490">
        <v>32495</v>
      </c>
      <c r="G6586" s="489">
        <v>683.07</v>
      </c>
      <c r="H6586" s="489">
        <v>47.57199</v>
      </c>
      <c r="I6586" s="487" t="s">
        <v>1499</v>
      </c>
      <c r="J6586" s="487" t="s">
        <v>1063</v>
      </c>
    </row>
    <row r="6587" spans="1:10" ht="15" x14ac:dyDescent="0.2">
      <c r="A6587" s="486" t="s">
        <v>1062</v>
      </c>
      <c r="B6587" s="487" t="s">
        <v>1061</v>
      </c>
      <c r="C6587" s="488" t="s">
        <v>20928</v>
      </c>
      <c r="D6587" s="489" t="s">
        <v>20929</v>
      </c>
      <c r="E6587" s="487" t="s">
        <v>20930</v>
      </c>
      <c r="F6587" s="490">
        <v>7500</v>
      </c>
      <c r="G6587" s="489">
        <v>262.8</v>
      </c>
      <c r="H6587" s="489">
        <v>28.538810000000002</v>
      </c>
      <c r="I6587" s="487" t="s">
        <v>1499</v>
      </c>
      <c r="J6587" s="487" t="s">
        <v>1063</v>
      </c>
    </row>
    <row r="6588" spans="1:10" ht="15" x14ac:dyDescent="0.2">
      <c r="A6588" s="486" t="s">
        <v>1062</v>
      </c>
      <c r="B6588" s="487" t="s">
        <v>1061</v>
      </c>
      <c r="C6588" s="488" t="s">
        <v>20931</v>
      </c>
      <c r="D6588" s="489" t="s">
        <v>20932</v>
      </c>
      <c r="E6588" s="487" t="s">
        <v>20933</v>
      </c>
      <c r="F6588" s="490">
        <v>3680</v>
      </c>
      <c r="G6588" s="489">
        <v>136.99</v>
      </c>
      <c r="H6588" s="489">
        <v>26.86327</v>
      </c>
      <c r="I6588" s="487" t="s">
        <v>1499</v>
      </c>
      <c r="J6588" s="487" t="s">
        <v>1063</v>
      </c>
    </row>
    <row r="6589" spans="1:10" ht="15" x14ac:dyDescent="0.2">
      <c r="A6589" s="486" t="s">
        <v>1062</v>
      </c>
      <c r="B6589" s="487" t="s">
        <v>1061</v>
      </c>
      <c r="C6589" s="488" t="s">
        <v>20934</v>
      </c>
      <c r="D6589" s="489" t="s">
        <v>20935</v>
      </c>
      <c r="E6589" s="487" t="s">
        <v>20936</v>
      </c>
      <c r="F6589" s="490">
        <v>890.88</v>
      </c>
      <c r="G6589" s="489">
        <v>23.13</v>
      </c>
      <c r="H6589" s="489">
        <v>38.516210000000001</v>
      </c>
      <c r="I6589" s="487" t="s">
        <v>1499</v>
      </c>
      <c r="J6589" s="487" t="s">
        <v>1063</v>
      </c>
    </row>
    <row r="6590" spans="1:10" ht="15" x14ac:dyDescent="0.2">
      <c r="A6590" s="486" t="s">
        <v>1062</v>
      </c>
      <c r="B6590" s="487" t="s">
        <v>1061</v>
      </c>
      <c r="C6590" s="488" t="s">
        <v>20937</v>
      </c>
      <c r="D6590" s="489" t="s">
        <v>20938</v>
      </c>
      <c r="E6590" s="487" t="s">
        <v>20939</v>
      </c>
      <c r="F6590" s="490">
        <v>0</v>
      </c>
      <c r="G6590" s="489">
        <v>38.700000000000003</v>
      </c>
      <c r="H6590" s="489">
        <v>0</v>
      </c>
      <c r="I6590" s="487" t="s">
        <v>1593</v>
      </c>
      <c r="J6590" s="487" t="s">
        <v>1063</v>
      </c>
    </row>
    <row r="6591" spans="1:10" ht="15" x14ac:dyDescent="0.2">
      <c r="A6591" s="486" t="s">
        <v>1062</v>
      </c>
      <c r="B6591" s="487" t="s">
        <v>1061</v>
      </c>
      <c r="C6591" s="488" t="s">
        <v>20940</v>
      </c>
      <c r="D6591" s="489" t="s">
        <v>20941</v>
      </c>
      <c r="E6591" s="487" t="s">
        <v>20942</v>
      </c>
      <c r="F6591" s="490">
        <v>293.81</v>
      </c>
      <c r="G6591" s="489">
        <v>40.51</v>
      </c>
      <c r="H6591" s="489">
        <v>7.2527799999999996</v>
      </c>
      <c r="I6591" s="487" t="s">
        <v>1499</v>
      </c>
      <c r="J6591" s="487" t="s">
        <v>1063</v>
      </c>
    </row>
    <row r="6592" spans="1:10" ht="15" x14ac:dyDescent="0.2">
      <c r="A6592" s="486" t="s">
        <v>1062</v>
      </c>
      <c r="B6592" s="487" t="s">
        <v>1061</v>
      </c>
      <c r="C6592" s="488" t="s">
        <v>20943</v>
      </c>
      <c r="D6592" s="489" t="s">
        <v>20944</v>
      </c>
      <c r="E6592" s="487" t="s">
        <v>20945</v>
      </c>
      <c r="F6592" s="490">
        <v>470.72</v>
      </c>
      <c r="G6592" s="489">
        <v>16.350000000000001</v>
      </c>
      <c r="H6592" s="489">
        <v>28.790209999999998</v>
      </c>
      <c r="I6592" s="487" t="s">
        <v>1499</v>
      </c>
      <c r="J6592" s="487" t="s">
        <v>1063</v>
      </c>
    </row>
    <row r="6593" spans="1:10" ht="15" x14ac:dyDescent="0.2">
      <c r="A6593" s="486" t="s">
        <v>1062</v>
      </c>
      <c r="B6593" s="487" t="s">
        <v>1061</v>
      </c>
      <c r="C6593" s="488" t="s">
        <v>20946</v>
      </c>
      <c r="D6593" s="489" t="s">
        <v>20947</v>
      </c>
      <c r="E6593" s="487" t="s">
        <v>20948</v>
      </c>
      <c r="F6593" s="490">
        <v>4250</v>
      </c>
      <c r="G6593" s="489">
        <v>135.97</v>
      </c>
      <c r="H6593" s="489">
        <v>31.256889999999999</v>
      </c>
      <c r="I6593" s="487" t="s">
        <v>1499</v>
      </c>
      <c r="J6593" s="487" t="s">
        <v>1063</v>
      </c>
    </row>
    <row r="6594" spans="1:10" ht="15" x14ac:dyDescent="0.2">
      <c r="A6594" s="486" t="s">
        <v>1062</v>
      </c>
      <c r="B6594" s="487" t="s">
        <v>1061</v>
      </c>
      <c r="C6594" s="488" t="s">
        <v>20949</v>
      </c>
      <c r="D6594" s="489" t="s">
        <v>20950</v>
      </c>
      <c r="E6594" s="487" t="s">
        <v>20951</v>
      </c>
      <c r="F6594" s="490">
        <v>108720</v>
      </c>
      <c r="G6594" s="489">
        <v>1689.2</v>
      </c>
      <c r="H6594" s="489">
        <v>64.361829999999998</v>
      </c>
      <c r="I6594" s="487" t="s">
        <v>1499</v>
      </c>
      <c r="J6594" s="487" t="s">
        <v>1063</v>
      </c>
    </row>
    <row r="6595" spans="1:10" ht="15" x14ac:dyDescent="0.2">
      <c r="A6595" s="486" t="s">
        <v>1062</v>
      </c>
      <c r="B6595" s="487" t="s">
        <v>1061</v>
      </c>
      <c r="C6595" s="488" t="s">
        <v>20952</v>
      </c>
      <c r="D6595" s="489" t="s">
        <v>20953</v>
      </c>
      <c r="E6595" s="487" t="s">
        <v>20954</v>
      </c>
      <c r="F6595" s="490">
        <v>12474</v>
      </c>
      <c r="G6595" s="489">
        <v>269.41000000000003</v>
      </c>
      <c r="H6595" s="489">
        <v>46.301180000000002</v>
      </c>
      <c r="I6595" s="487" t="s">
        <v>1499</v>
      </c>
      <c r="J6595" s="487" t="s">
        <v>1063</v>
      </c>
    </row>
    <row r="6596" spans="1:10" ht="15" x14ac:dyDescent="0.2">
      <c r="A6596" s="486" t="s">
        <v>1062</v>
      </c>
      <c r="B6596" s="487" t="s">
        <v>1061</v>
      </c>
      <c r="C6596" s="488" t="s">
        <v>20955</v>
      </c>
      <c r="D6596" s="489" t="s">
        <v>20956</v>
      </c>
      <c r="E6596" s="487" t="s">
        <v>20957</v>
      </c>
      <c r="F6596" s="490">
        <v>527</v>
      </c>
      <c r="G6596" s="489">
        <v>70.569999999999993</v>
      </c>
      <c r="H6596" s="489">
        <v>7.4677600000000002</v>
      </c>
      <c r="I6596" s="487" t="s">
        <v>1499</v>
      </c>
      <c r="J6596" s="487" t="s">
        <v>1063</v>
      </c>
    </row>
    <row r="6597" spans="1:10" ht="15" x14ac:dyDescent="0.2">
      <c r="A6597" s="486" t="s">
        <v>1062</v>
      </c>
      <c r="B6597" s="487" t="s">
        <v>1061</v>
      </c>
      <c r="C6597" s="488" t="s">
        <v>20958</v>
      </c>
      <c r="D6597" s="489" t="s">
        <v>20959</v>
      </c>
      <c r="E6597" s="487" t="s">
        <v>20960</v>
      </c>
      <c r="F6597" s="490">
        <v>28827</v>
      </c>
      <c r="G6597" s="489">
        <v>807.26</v>
      </c>
      <c r="H6597" s="489">
        <v>35.709679999999999</v>
      </c>
      <c r="I6597" s="487" t="s">
        <v>1499</v>
      </c>
      <c r="J6597" s="487" t="s">
        <v>1063</v>
      </c>
    </row>
    <row r="6598" spans="1:10" ht="15" x14ac:dyDescent="0.2">
      <c r="A6598" s="486" t="s">
        <v>1062</v>
      </c>
      <c r="B6598" s="487" t="s">
        <v>1061</v>
      </c>
      <c r="C6598" s="488" t="s">
        <v>20961</v>
      </c>
      <c r="D6598" s="489" t="s">
        <v>20962</v>
      </c>
      <c r="E6598" s="487" t="s">
        <v>20963</v>
      </c>
      <c r="F6598" s="490">
        <v>5150</v>
      </c>
      <c r="G6598" s="489">
        <v>243.74</v>
      </c>
      <c r="H6598" s="489">
        <v>21.129069999999999</v>
      </c>
      <c r="I6598" s="487" t="s">
        <v>1499</v>
      </c>
      <c r="J6598" s="487" t="s">
        <v>1063</v>
      </c>
    </row>
    <row r="6599" spans="1:10" ht="15" x14ac:dyDescent="0.2">
      <c r="A6599" s="486" t="s">
        <v>1062</v>
      </c>
      <c r="B6599" s="487" t="s">
        <v>1061</v>
      </c>
      <c r="C6599" s="488" t="s">
        <v>20964</v>
      </c>
      <c r="D6599" s="489" t="s">
        <v>20965</v>
      </c>
      <c r="E6599" s="487" t="s">
        <v>20966</v>
      </c>
      <c r="F6599" s="490">
        <v>0</v>
      </c>
      <c r="G6599" s="489">
        <v>11.33</v>
      </c>
      <c r="H6599" s="489">
        <v>0</v>
      </c>
      <c r="I6599" s="487" t="s">
        <v>1593</v>
      </c>
      <c r="J6599" s="487" t="s">
        <v>1063</v>
      </c>
    </row>
    <row r="6600" spans="1:10" ht="15" x14ac:dyDescent="0.2">
      <c r="A6600" s="486" t="s">
        <v>1062</v>
      </c>
      <c r="B6600" s="487" t="s">
        <v>1061</v>
      </c>
      <c r="C6600" s="488" t="s">
        <v>20967</v>
      </c>
      <c r="D6600" s="489" t="s">
        <v>20968</v>
      </c>
      <c r="E6600" s="487" t="s">
        <v>20969</v>
      </c>
      <c r="F6600" s="490">
        <v>895.19</v>
      </c>
      <c r="G6600" s="489">
        <v>26.2</v>
      </c>
      <c r="H6600" s="489">
        <v>34.167560000000002</v>
      </c>
      <c r="I6600" s="487" t="s">
        <v>1499</v>
      </c>
      <c r="J6600" s="487" t="s">
        <v>1063</v>
      </c>
    </row>
    <row r="6601" spans="1:10" ht="15" x14ac:dyDescent="0.2">
      <c r="A6601" s="486" t="s">
        <v>1062</v>
      </c>
      <c r="B6601" s="487" t="s">
        <v>1061</v>
      </c>
      <c r="C6601" s="488" t="s">
        <v>20970</v>
      </c>
      <c r="D6601" s="489" t="s">
        <v>20971</v>
      </c>
      <c r="E6601" s="487" t="s">
        <v>20972</v>
      </c>
      <c r="F6601" s="490">
        <v>2340.89</v>
      </c>
      <c r="G6601" s="489">
        <v>68.19</v>
      </c>
      <c r="H6601" s="489">
        <v>34.32893</v>
      </c>
      <c r="I6601" s="487" t="s">
        <v>2465</v>
      </c>
      <c r="J6601" s="487" t="s">
        <v>1063</v>
      </c>
    </row>
    <row r="6602" spans="1:10" ht="15" x14ac:dyDescent="0.2">
      <c r="A6602" s="486" t="s">
        <v>1062</v>
      </c>
      <c r="B6602" s="487" t="s">
        <v>1061</v>
      </c>
      <c r="C6602" s="488" t="s">
        <v>20973</v>
      </c>
      <c r="D6602" s="489" t="s">
        <v>20974</v>
      </c>
      <c r="E6602" s="487" t="s">
        <v>20975</v>
      </c>
      <c r="F6602" s="490">
        <v>548.16999999999996</v>
      </c>
      <c r="G6602" s="489">
        <v>10.83</v>
      </c>
      <c r="H6602" s="489">
        <v>50.615879999999997</v>
      </c>
      <c r="I6602" s="487" t="s">
        <v>1499</v>
      </c>
      <c r="J6602" s="487" t="s">
        <v>1063</v>
      </c>
    </row>
    <row r="6603" spans="1:10" ht="15" x14ac:dyDescent="0.2">
      <c r="A6603" s="486" t="s">
        <v>1062</v>
      </c>
      <c r="B6603" s="487" t="s">
        <v>1061</v>
      </c>
      <c r="C6603" s="488" t="s">
        <v>20976</v>
      </c>
      <c r="D6603" s="489" t="s">
        <v>20977</v>
      </c>
      <c r="E6603" s="487" t="s">
        <v>20978</v>
      </c>
      <c r="F6603" s="490">
        <v>750</v>
      </c>
      <c r="G6603" s="489">
        <v>62.74</v>
      </c>
      <c r="H6603" s="489">
        <v>11.9541</v>
      </c>
      <c r="I6603" s="487" t="s">
        <v>1499</v>
      </c>
      <c r="J6603" s="487" t="s">
        <v>1063</v>
      </c>
    </row>
    <row r="6604" spans="1:10" ht="15" x14ac:dyDescent="0.2">
      <c r="A6604" s="486" t="s">
        <v>1062</v>
      </c>
      <c r="B6604" s="487" t="s">
        <v>1061</v>
      </c>
      <c r="C6604" s="488" t="s">
        <v>20979</v>
      </c>
      <c r="D6604" s="489" t="s">
        <v>20980</v>
      </c>
      <c r="E6604" s="487" t="s">
        <v>20981</v>
      </c>
      <c r="F6604" s="490">
        <v>0</v>
      </c>
      <c r="G6604" s="489">
        <v>39.67</v>
      </c>
      <c r="H6604" s="489">
        <v>0</v>
      </c>
      <c r="I6604" s="487" t="s">
        <v>1593</v>
      </c>
      <c r="J6604" s="487" t="s">
        <v>1063</v>
      </c>
    </row>
    <row r="6605" spans="1:10" ht="15" x14ac:dyDescent="0.2">
      <c r="A6605" s="486" t="s">
        <v>1062</v>
      </c>
      <c r="B6605" s="487" t="s">
        <v>1061</v>
      </c>
      <c r="C6605" s="488" t="s">
        <v>20982</v>
      </c>
      <c r="D6605" s="489" t="s">
        <v>20983</v>
      </c>
      <c r="E6605" s="487" t="s">
        <v>20984</v>
      </c>
      <c r="F6605" s="490">
        <v>35000</v>
      </c>
      <c r="G6605" s="489">
        <v>898.34</v>
      </c>
      <c r="H6605" s="489">
        <v>38.960749999999997</v>
      </c>
      <c r="I6605" s="487" t="s">
        <v>1499</v>
      </c>
      <c r="J6605" s="487" t="s">
        <v>1063</v>
      </c>
    </row>
    <row r="6606" spans="1:10" ht="15" x14ac:dyDescent="0.2">
      <c r="A6606" s="486" t="s">
        <v>1062</v>
      </c>
      <c r="B6606" s="487" t="s">
        <v>1061</v>
      </c>
      <c r="C6606" s="488" t="s">
        <v>20985</v>
      </c>
      <c r="D6606" s="489" t="s">
        <v>20986</v>
      </c>
      <c r="E6606" s="487" t="s">
        <v>20987</v>
      </c>
      <c r="F6606" s="490">
        <v>6825</v>
      </c>
      <c r="G6606" s="489">
        <v>119.16</v>
      </c>
      <c r="H6606" s="489">
        <v>57.275930000000002</v>
      </c>
      <c r="I6606" s="487" t="s">
        <v>1499</v>
      </c>
      <c r="J6606" s="487" t="s">
        <v>1063</v>
      </c>
    </row>
    <row r="6607" spans="1:10" ht="15" x14ac:dyDescent="0.2">
      <c r="A6607" s="486" t="s">
        <v>1062</v>
      </c>
      <c r="B6607" s="487" t="s">
        <v>1061</v>
      </c>
      <c r="C6607" s="488" t="s">
        <v>20988</v>
      </c>
      <c r="D6607" s="489" t="s">
        <v>20989</v>
      </c>
      <c r="E6607" s="487" t="s">
        <v>20990</v>
      </c>
      <c r="F6607" s="490">
        <v>850</v>
      </c>
      <c r="G6607" s="489">
        <v>28.98</v>
      </c>
      <c r="H6607" s="489">
        <v>29.330570000000002</v>
      </c>
      <c r="I6607" s="487" t="s">
        <v>1499</v>
      </c>
      <c r="J6607" s="487" t="s">
        <v>1063</v>
      </c>
    </row>
    <row r="6608" spans="1:10" ht="15" x14ac:dyDescent="0.2">
      <c r="A6608" s="486" t="s">
        <v>1062</v>
      </c>
      <c r="B6608" s="487" t="s">
        <v>1061</v>
      </c>
      <c r="C6608" s="488" t="s">
        <v>20991</v>
      </c>
      <c r="D6608" s="489" t="s">
        <v>20992</v>
      </c>
      <c r="E6608" s="487" t="s">
        <v>20993</v>
      </c>
      <c r="F6608" s="490">
        <v>22560.93</v>
      </c>
      <c r="G6608" s="489">
        <v>461.48</v>
      </c>
      <c r="H6608" s="489">
        <v>48.888210000000001</v>
      </c>
      <c r="I6608" s="487" t="s">
        <v>1499</v>
      </c>
      <c r="J6608" s="487" t="s">
        <v>1063</v>
      </c>
    </row>
    <row r="6609" spans="1:10" ht="15" x14ac:dyDescent="0.2">
      <c r="A6609" s="486" t="s">
        <v>1062</v>
      </c>
      <c r="B6609" s="487" t="s">
        <v>1061</v>
      </c>
      <c r="C6609" s="488" t="s">
        <v>20994</v>
      </c>
      <c r="D6609" s="489" t="s">
        <v>20995</v>
      </c>
      <c r="E6609" s="487" t="s">
        <v>20996</v>
      </c>
      <c r="F6609" s="490">
        <v>0</v>
      </c>
      <c r="G6609" s="489">
        <v>52.64</v>
      </c>
      <c r="H6609" s="489">
        <v>0</v>
      </c>
      <c r="I6609" s="487" t="s">
        <v>1593</v>
      </c>
      <c r="J6609" s="487" t="s">
        <v>1063</v>
      </c>
    </row>
    <row r="6610" spans="1:10" ht="15" x14ac:dyDescent="0.2">
      <c r="A6610" s="486" t="s">
        <v>1062</v>
      </c>
      <c r="B6610" s="487" t="s">
        <v>1061</v>
      </c>
      <c r="C6610" s="488" t="s">
        <v>20997</v>
      </c>
      <c r="D6610" s="489" t="s">
        <v>20998</v>
      </c>
      <c r="E6610" s="487" t="s">
        <v>20999</v>
      </c>
      <c r="F6610" s="490">
        <v>16880</v>
      </c>
      <c r="G6610" s="489">
        <v>1057</v>
      </c>
      <c r="H6610" s="489">
        <v>15.96973</v>
      </c>
      <c r="I6610" s="487" t="s">
        <v>1499</v>
      </c>
      <c r="J6610" s="487" t="s">
        <v>1063</v>
      </c>
    </row>
    <row r="6611" spans="1:10" ht="15" x14ac:dyDescent="0.2">
      <c r="A6611" s="486" t="s">
        <v>1062</v>
      </c>
      <c r="B6611" s="487" t="s">
        <v>1061</v>
      </c>
      <c r="C6611" s="488" t="s">
        <v>21000</v>
      </c>
      <c r="D6611" s="489" t="s">
        <v>21001</v>
      </c>
      <c r="E6611" s="487" t="s">
        <v>21002</v>
      </c>
      <c r="F6611" s="490">
        <v>17000</v>
      </c>
      <c r="G6611" s="489">
        <v>650.03</v>
      </c>
      <c r="H6611" s="489">
        <v>26.152640000000002</v>
      </c>
      <c r="I6611" s="487" t="s">
        <v>1499</v>
      </c>
      <c r="J6611" s="487" t="s">
        <v>1063</v>
      </c>
    </row>
    <row r="6612" spans="1:10" ht="15" x14ac:dyDescent="0.2">
      <c r="A6612" s="486" t="s">
        <v>1062</v>
      </c>
      <c r="B6612" s="487" t="s">
        <v>1061</v>
      </c>
      <c r="C6612" s="488" t="s">
        <v>21003</v>
      </c>
      <c r="D6612" s="489" t="s">
        <v>21004</v>
      </c>
      <c r="E6612" s="487" t="s">
        <v>21005</v>
      </c>
      <c r="F6612" s="490">
        <v>1550</v>
      </c>
      <c r="G6612" s="489">
        <v>113.5</v>
      </c>
      <c r="H6612" s="489">
        <v>13.65639</v>
      </c>
      <c r="I6612" s="487" t="s">
        <v>1499</v>
      </c>
      <c r="J6612" s="487" t="s">
        <v>1063</v>
      </c>
    </row>
    <row r="6613" spans="1:10" ht="15" x14ac:dyDescent="0.2">
      <c r="A6613" s="486" t="s">
        <v>1062</v>
      </c>
      <c r="B6613" s="487" t="s">
        <v>1061</v>
      </c>
      <c r="C6613" s="488" t="s">
        <v>21006</v>
      </c>
      <c r="D6613" s="489" t="s">
        <v>21007</v>
      </c>
      <c r="E6613" s="487" t="s">
        <v>21008</v>
      </c>
      <c r="F6613" s="490">
        <v>0</v>
      </c>
      <c r="G6613" s="489">
        <v>62.87</v>
      </c>
      <c r="H6613" s="489">
        <v>0</v>
      </c>
      <c r="I6613" s="487" t="s">
        <v>1593</v>
      </c>
      <c r="J6613" s="487" t="s">
        <v>1063</v>
      </c>
    </row>
    <row r="6614" spans="1:10" ht="15" x14ac:dyDescent="0.2">
      <c r="A6614" s="486" t="s">
        <v>1062</v>
      </c>
      <c r="B6614" s="487" t="s">
        <v>1061</v>
      </c>
      <c r="C6614" s="488" t="s">
        <v>21009</v>
      </c>
      <c r="D6614" s="489" t="s">
        <v>21010</v>
      </c>
      <c r="E6614" s="487" t="s">
        <v>21011</v>
      </c>
      <c r="F6614" s="490">
        <v>14235</v>
      </c>
      <c r="G6614" s="489">
        <v>347.26</v>
      </c>
      <c r="H6614" s="489">
        <v>40.992339999999999</v>
      </c>
      <c r="I6614" s="487" t="s">
        <v>1499</v>
      </c>
      <c r="J6614" s="487" t="s">
        <v>1063</v>
      </c>
    </row>
    <row r="6615" spans="1:10" ht="15" x14ac:dyDescent="0.2">
      <c r="A6615" s="486" t="s">
        <v>1062</v>
      </c>
      <c r="B6615" s="487" t="s">
        <v>1061</v>
      </c>
      <c r="C6615" s="488" t="s">
        <v>21012</v>
      </c>
      <c r="D6615" s="489" t="s">
        <v>21013</v>
      </c>
      <c r="E6615" s="487" t="s">
        <v>21014</v>
      </c>
      <c r="F6615" s="490">
        <v>480</v>
      </c>
      <c r="G6615" s="489">
        <v>55.97</v>
      </c>
      <c r="H6615" s="489">
        <v>8.5760199999999998</v>
      </c>
      <c r="I6615" s="487" t="s">
        <v>1499</v>
      </c>
      <c r="J6615" s="487" t="s">
        <v>1063</v>
      </c>
    </row>
    <row r="6616" spans="1:10" ht="15" x14ac:dyDescent="0.2">
      <c r="A6616" s="486" t="s">
        <v>1062</v>
      </c>
      <c r="B6616" s="487" t="s">
        <v>1061</v>
      </c>
      <c r="C6616" s="488" t="s">
        <v>21015</v>
      </c>
      <c r="D6616" s="489" t="s">
        <v>21016</v>
      </c>
      <c r="E6616" s="487" t="s">
        <v>21017</v>
      </c>
      <c r="F6616" s="490">
        <v>475</v>
      </c>
      <c r="G6616" s="489">
        <v>53.81</v>
      </c>
      <c r="H6616" s="489">
        <v>8.8273600000000005</v>
      </c>
      <c r="I6616" s="487" t="s">
        <v>1499</v>
      </c>
      <c r="J6616" s="487" t="s">
        <v>1063</v>
      </c>
    </row>
    <row r="6617" spans="1:10" ht="15" x14ac:dyDescent="0.2">
      <c r="A6617" s="486" t="s">
        <v>1062</v>
      </c>
      <c r="B6617" s="487" t="s">
        <v>1061</v>
      </c>
      <c r="C6617" s="488" t="s">
        <v>21018</v>
      </c>
      <c r="D6617" s="489" t="s">
        <v>21019</v>
      </c>
      <c r="E6617" s="487" t="s">
        <v>21020</v>
      </c>
      <c r="F6617" s="490">
        <v>475</v>
      </c>
      <c r="G6617" s="489">
        <v>60.2</v>
      </c>
      <c r="H6617" s="489">
        <v>7.8903699999999999</v>
      </c>
      <c r="I6617" s="487" t="s">
        <v>1499</v>
      </c>
      <c r="J6617" s="487" t="s">
        <v>1063</v>
      </c>
    </row>
    <row r="6618" spans="1:10" ht="15" x14ac:dyDescent="0.2">
      <c r="A6618" s="486" t="s">
        <v>1062</v>
      </c>
      <c r="B6618" s="487" t="s">
        <v>1061</v>
      </c>
      <c r="C6618" s="488" t="s">
        <v>21021</v>
      </c>
      <c r="D6618" s="489" t="s">
        <v>21022</v>
      </c>
      <c r="E6618" s="487" t="s">
        <v>8539</v>
      </c>
      <c r="F6618" s="490">
        <v>1870</v>
      </c>
      <c r="G6618" s="489">
        <v>124.48</v>
      </c>
      <c r="H6618" s="489">
        <v>15.022489999999999</v>
      </c>
      <c r="I6618" s="487" t="s">
        <v>1499</v>
      </c>
      <c r="J6618" s="487" t="s">
        <v>1063</v>
      </c>
    </row>
    <row r="6619" spans="1:10" ht="15" x14ac:dyDescent="0.2">
      <c r="A6619" s="486" t="s">
        <v>1062</v>
      </c>
      <c r="B6619" s="487" t="s">
        <v>1061</v>
      </c>
      <c r="C6619" s="488" t="s">
        <v>21023</v>
      </c>
      <c r="D6619" s="489" t="s">
        <v>21024</v>
      </c>
      <c r="E6619" s="487" t="s">
        <v>21025</v>
      </c>
      <c r="F6619" s="490">
        <v>17325</v>
      </c>
      <c r="G6619" s="489">
        <v>225.04</v>
      </c>
      <c r="H6619" s="489">
        <v>76.986310000000003</v>
      </c>
      <c r="I6619" s="487" t="s">
        <v>1499</v>
      </c>
      <c r="J6619" s="487" t="s">
        <v>1063</v>
      </c>
    </row>
    <row r="6620" spans="1:10" ht="15" x14ac:dyDescent="0.2">
      <c r="A6620" s="486" t="s">
        <v>1062</v>
      </c>
      <c r="B6620" s="487" t="s">
        <v>1061</v>
      </c>
      <c r="C6620" s="488" t="s">
        <v>21026</v>
      </c>
      <c r="D6620" s="489" t="s">
        <v>21027</v>
      </c>
      <c r="E6620" s="487" t="s">
        <v>21028</v>
      </c>
      <c r="F6620" s="490">
        <v>0</v>
      </c>
      <c r="G6620" s="489">
        <v>4.83</v>
      </c>
      <c r="H6620" s="489">
        <v>0</v>
      </c>
      <c r="I6620" s="487" t="s">
        <v>1593</v>
      </c>
      <c r="J6620" s="487" t="s">
        <v>1063</v>
      </c>
    </row>
    <row r="6621" spans="1:10" ht="15" x14ac:dyDescent="0.2">
      <c r="A6621" s="486" t="s">
        <v>1062</v>
      </c>
      <c r="B6621" s="487" t="s">
        <v>1061</v>
      </c>
      <c r="C6621" s="488" t="s">
        <v>21029</v>
      </c>
      <c r="D6621" s="489" t="s">
        <v>21030</v>
      </c>
      <c r="E6621" s="487" t="s">
        <v>21031</v>
      </c>
      <c r="F6621" s="490">
        <v>3800</v>
      </c>
      <c r="G6621" s="489">
        <v>222.52</v>
      </c>
      <c r="H6621" s="489">
        <v>17.077120000000001</v>
      </c>
      <c r="I6621" s="487" t="s">
        <v>1499</v>
      </c>
      <c r="J6621" s="487" t="s">
        <v>1063</v>
      </c>
    </row>
    <row r="6622" spans="1:10" ht="15" x14ac:dyDescent="0.2">
      <c r="A6622" s="486" t="s">
        <v>1062</v>
      </c>
      <c r="B6622" s="487" t="s">
        <v>1061</v>
      </c>
      <c r="C6622" s="488" t="s">
        <v>21032</v>
      </c>
      <c r="D6622" s="489" t="s">
        <v>21033</v>
      </c>
      <c r="E6622" s="487" t="s">
        <v>21034</v>
      </c>
      <c r="F6622" s="490">
        <v>461.26</v>
      </c>
      <c r="G6622" s="489">
        <v>59.85</v>
      </c>
      <c r="H6622" s="489">
        <v>7.7069299999999998</v>
      </c>
      <c r="I6622" s="487" t="s">
        <v>1499</v>
      </c>
      <c r="J6622" s="487" t="s">
        <v>1063</v>
      </c>
    </row>
    <row r="6623" spans="1:10" ht="15" x14ac:dyDescent="0.2">
      <c r="A6623" s="486" t="s">
        <v>1062</v>
      </c>
      <c r="B6623" s="487" t="s">
        <v>1061</v>
      </c>
      <c r="C6623" s="488" t="s">
        <v>21035</v>
      </c>
      <c r="D6623" s="489" t="s">
        <v>21036</v>
      </c>
      <c r="E6623" s="487" t="s">
        <v>21037</v>
      </c>
      <c r="F6623" s="490">
        <v>5665</v>
      </c>
      <c r="G6623" s="489">
        <v>188.62</v>
      </c>
      <c r="H6623" s="489">
        <v>30.033930000000002</v>
      </c>
      <c r="I6623" s="487" t="s">
        <v>1499</v>
      </c>
      <c r="J6623" s="487" t="s">
        <v>1063</v>
      </c>
    </row>
    <row r="6624" spans="1:10" ht="15" x14ac:dyDescent="0.2">
      <c r="A6624" s="486" t="s">
        <v>1062</v>
      </c>
      <c r="B6624" s="487" t="s">
        <v>1061</v>
      </c>
      <c r="C6624" s="488" t="s">
        <v>21038</v>
      </c>
      <c r="D6624" s="489" t="s">
        <v>21039</v>
      </c>
      <c r="E6624" s="487" t="s">
        <v>21040</v>
      </c>
      <c r="F6624" s="490">
        <v>600</v>
      </c>
      <c r="G6624" s="489">
        <v>110.12</v>
      </c>
      <c r="H6624" s="489">
        <v>5.4485999999999999</v>
      </c>
      <c r="I6624" s="487" t="s">
        <v>1499</v>
      </c>
      <c r="J6624" s="487" t="s">
        <v>1063</v>
      </c>
    </row>
    <row r="6625" spans="1:10" ht="15" x14ac:dyDescent="0.2">
      <c r="A6625" s="486" t="s">
        <v>1062</v>
      </c>
      <c r="B6625" s="487" t="s">
        <v>1061</v>
      </c>
      <c r="C6625" s="488" t="s">
        <v>21041</v>
      </c>
      <c r="D6625" s="489" t="s">
        <v>21042</v>
      </c>
      <c r="E6625" s="487" t="s">
        <v>21043</v>
      </c>
      <c r="F6625" s="490">
        <v>213690</v>
      </c>
      <c r="G6625" s="489">
        <v>3658.85</v>
      </c>
      <c r="H6625" s="489">
        <v>58.403599999999997</v>
      </c>
      <c r="I6625" s="487" t="s">
        <v>1499</v>
      </c>
      <c r="J6625" s="487" t="s">
        <v>1063</v>
      </c>
    </row>
    <row r="6626" spans="1:10" ht="15" x14ac:dyDescent="0.2">
      <c r="A6626" s="486" t="s">
        <v>1062</v>
      </c>
      <c r="B6626" s="487" t="s">
        <v>1061</v>
      </c>
      <c r="C6626" s="488" t="s">
        <v>21044</v>
      </c>
      <c r="D6626" s="489" t="s">
        <v>21045</v>
      </c>
      <c r="E6626" s="487" t="s">
        <v>21046</v>
      </c>
      <c r="F6626" s="490">
        <v>3533.88</v>
      </c>
      <c r="G6626" s="489">
        <v>91.75</v>
      </c>
      <c r="H6626" s="489">
        <v>38.516399999999997</v>
      </c>
      <c r="I6626" s="487" t="s">
        <v>1499</v>
      </c>
      <c r="J6626" s="487" t="s">
        <v>1063</v>
      </c>
    </row>
    <row r="6627" spans="1:10" ht="15" x14ac:dyDescent="0.2">
      <c r="A6627" s="486" t="s">
        <v>1062</v>
      </c>
      <c r="B6627" s="487" t="s">
        <v>1061</v>
      </c>
      <c r="C6627" s="488" t="s">
        <v>21047</v>
      </c>
      <c r="D6627" s="489" t="s">
        <v>21048</v>
      </c>
      <c r="E6627" s="487" t="s">
        <v>21049</v>
      </c>
      <c r="F6627" s="490">
        <v>0</v>
      </c>
      <c r="G6627" s="489">
        <v>24.19</v>
      </c>
      <c r="H6627" s="489">
        <v>0</v>
      </c>
      <c r="I6627" s="487" t="s">
        <v>1593</v>
      </c>
      <c r="J6627" s="487" t="s">
        <v>1063</v>
      </c>
    </row>
    <row r="6628" spans="1:10" ht="15" x14ac:dyDescent="0.2">
      <c r="A6628" s="486" t="s">
        <v>1062</v>
      </c>
      <c r="B6628" s="487" t="s">
        <v>1061</v>
      </c>
      <c r="C6628" s="488" t="s">
        <v>21050</v>
      </c>
      <c r="D6628" s="489" t="s">
        <v>21051</v>
      </c>
      <c r="E6628" s="487" t="s">
        <v>21052</v>
      </c>
      <c r="F6628" s="490">
        <v>0</v>
      </c>
      <c r="G6628" s="489">
        <v>63.64</v>
      </c>
      <c r="H6628" s="489">
        <v>0</v>
      </c>
      <c r="I6628" s="487" t="s">
        <v>1593</v>
      </c>
      <c r="J6628" s="487" t="s">
        <v>1063</v>
      </c>
    </row>
    <row r="6629" spans="1:10" ht="15" x14ac:dyDescent="0.2">
      <c r="A6629" s="486" t="s">
        <v>1062</v>
      </c>
      <c r="B6629" s="487" t="s">
        <v>1061</v>
      </c>
      <c r="C6629" s="488" t="s">
        <v>21053</v>
      </c>
      <c r="D6629" s="489" t="s">
        <v>21054</v>
      </c>
      <c r="E6629" s="487" t="s">
        <v>21055</v>
      </c>
      <c r="F6629" s="490">
        <v>1510.73</v>
      </c>
      <c r="G6629" s="489">
        <v>50.58</v>
      </c>
      <c r="H6629" s="489">
        <v>29.868130000000001</v>
      </c>
      <c r="I6629" s="487" t="s">
        <v>1499</v>
      </c>
      <c r="J6629" s="487" t="s">
        <v>1063</v>
      </c>
    </row>
    <row r="6630" spans="1:10" ht="15" x14ac:dyDescent="0.2">
      <c r="A6630" s="486" t="s">
        <v>1062</v>
      </c>
      <c r="B6630" s="487" t="s">
        <v>1061</v>
      </c>
      <c r="C6630" s="488" t="s">
        <v>21056</v>
      </c>
      <c r="D6630" s="489" t="s">
        <v>21057</v>
      </c>
      <c r="E6630" s="487" t="s">
        <v>21058</v>
      </c>
      <c r="F6630" s="490">
        <v>4750</v>
      </c>
      <c r="G6630" s="489">
        <v>158.4</v>
      </c>
      <c r="H6630" s="489">
        <v>29.987369999999999</v>
      </c>
      <c r="I6630" s="487" t="s">
        <v>1499</v>
      </c>
      <c r="J6630" s="487" t="s">
        <v>1063</v>
      </c>
    </row>
    <row r="6631" spans="1:10" ht="15" x14ac:dyDescent="0.2">
      <c r="A6631" s="486" t="s">
        <v>1062</v>
      </c>
      <c r="B6631" s="487" t="s">
        <v>1061</v>
      </c>
      <c r="C6631" s="488" t="s">
        <v>21059</v>
      </c>
      <c r="D6631" s="489" t="s">
        <v>21060</v>
      </c>
      <c r="E6631" s="487" t="s">
        <v>21061</v>
      </c>
      <c r="F6631" s="490">
        <v>10855</v>
      </c>
      <c r="G6631" s="489">
        <v>193.86</v>
      </c>
      <c r="H6631" s="489">
        <v>55.994019999999999</v>
      </c>
      <c r="I6631" s="487" t="s">
        <v>1499</v>
      </c>
      <c r="J6631" s="487" t="s">
        <v>1063</v>
      </c>
    </row>
    <row r="6632" spans="1:10" ht="15" x14ac:dyDescent="0.2">
      <c r="A6632" s="486" t="s">
        <v>1062</v>
      </c>
      <c r="B6632" s="487" t="s">
        <v>1061</v>
      </c>
      <c r="C6632" s="488" t="s">
        <v>21062</v>
      </c>
      <c r="D6632" s="489" t="s">
        <v>21063</v>
      </c>
      <c r="E6632" s="487" t="s">
        <v>21064</v>
      </c>
      <c r="F6632" s="490">
        <v>11150</v>
      </c>
      <c r="G6632" s="489">
        <v>387.51</v>
      </c>
      <c r="H6632" s="489">
        <v>28.77345</v>
      </c>
      <c r="I6632" s="487" t="s">
        <v>1499</v>
      </c>
      <c r="J6632" s="487" t="s">
        <v>1063</v>
      </c>
    </row>
    <row r="6633" spans="1:10" ht="15" x14ac:dyDescent="0.2">
      <c r="A6633" s="486" t="s">
        <v>1062</v>
      </c>
      <c r="B6633" s="487" t="s">
        <v>1061</v>
      </c>
      <c r="C6633" s="488" t="s">
        <v>21065</v>
      </c>
      <c r="D6633" s="489" t="s">
        <v>21066</v>
      </c>
      <c r="E6633" s="487" t="s">
        <v>21067</v>
      </c>
      <c r="F6633" s="490">
        <v>0</v>
      </c>
      <c r="G6633" s="489">
        <v>80.36</v>
      </c>
      <c r="H6633" s="489">
        <v>0</v>
      </c>
      <c r="I6633" s="487" t="s">
        <v>1593</v>
      </c>
      <c r="J6633" s="487" t="s">
        <v>1063</v>
      </c>
    </row>
    <row r="6634" spans="1:10" ht="15" x14ac:dyDescent="0.2">
      <c r="A6634" s="486" t="s">
        <v>1062</v>
      </c>
      <c r="B6634" s="487" t="s">
        <v>1061</v>
      </c>
      <c r="C6634" s="488" t="s">
        <v>21068</v>
      </c>
      <c r="D6634" s="489" t="s">
        <v>21069</v>
      </c>
      <c r="E6634" s="487" t="s">
        <v>21070</v>
      </c>
      <c r="F6634" s="490">
        <v>3000</v>
      </c>
      <c r="G6634" s="489">
        <v>134.34</v>
      </c>
      <c r="H6634" s="489">
        <v>22.331399999999999</v>
      </c>
      <c r="I6634" s="487" t="s">
        <v>1499</v>
      </c>
      <c r="J6634" s="487" t="s">
        <v>1063</v>
      </c>
    </row>
    <row r="6635" spans="1:10" ht="15" x14ac:dyDescent="0.2">
      <c r="A6635" s="486" t="s">
        <v>1062</v>
      </c>
      <c r="B6635" s="487" t="s">
        <v>1061</v>
      </c>
      <c r="C6635" s="488" t="s">
        <v>21071</v>
      </c>
      <c r="D6635" s="489" t="s">
        <v>21072</v>
      </c>
      <c r="E6635" s="487" t="s">
        <v>21073</v>
      </c>
      <c r="F6635" s="490">
        <v>9700</v>
      </c>
      <c r="G6635" s="489">
        <v>125.48</v>
      </c>
      <c r="H6635" s="489">
        <v>77.303160000000005</v>
      </c>
      <c r="I6635" s="487" t="s">
        <v>1499</v>
      </c>
      <c r="J6635" s="487" t="s">
        <v>1063</v>
      </c>
    </row>
    <row r="6636" spans="1:10" ht="15" x14ac:dyDescent="0.2">
      <c r="A6636" s="486" t="s">
        <v>1062</v>
      </c>
      <c r="B6636" s="487" t="s">
        <v>1061</v>
      </c>
      <c r="C6636" s="488" t="s">
        <v>21074</v>
      </c>
      <c r="D6636" s="489" t="s">
        <v>21075</v>
      </c>
      <c r="E6636" s="487" t="s">
        <v>21076</v>
      </c>
      <c r="F6636" s="490">
        <v>6100</v>
      </c>
      <c r="G6636" s="489">
        <v>99.46</v>
      </c>
      <c r="H6636" s="489">
        <v>61.331189999999999</v>
      </c>
      <c r="I6636" s="487" t="s">
        <v>1499</v>
      </c>
      <c r="J6636" s="487" t="s">
        <v>1063</v>
      </c>
    </row>
    <row r="6637" spans="1:10" ht="15" x14ac:dyDescent="0.2">
      <c r="A6637" s="486" t="s">
        <v>1062</v>
      </c>
      <c r="B6637" s="487" t="s">
        <v>1061</v>
      </c>
      <c r="C6637" s="488" t="s">
        <v>21077</v>
      </c>
      <c r="D6637" s="489" t="s">
        <v>21078</v>
      </c>
      <c r="E6637" s="487" t="s">
        <v>21079</v>
      </c>
      <c r="F6637" s="490">
        <v>24310</v>
      </c>
      <c r="G6637" s="489">
        <v>777.49</v>
      </c>
      <c r="H6637" s="489">
        <v>31.26728</v>
      </c>
      <c r="I6637" s="487" t="s">
        <v>2465</v>
      </c>
      <c r="J6637" s="487" t="s">
        <v>1063</v>
      </c>
    </row>
    <row r="6638" spans="1:10" ht="15" x14ac:dyDescent="0.2">
      <c r="A6638" s="486" t="s">
        <v>1062</v>
      </c>
      <c r="B6638" s="487" t="s">
        <v>1061</v>
      </c>
      <c r="C6638" s="488" t="s">
        <v>21080</v>
      </c>
      <c r="D6638" s="489" t="s">
        <v>21081</v>
      </c>
      <c r="E6638" s="487" t="s">
        <v>21082</v>
      </c>
      <c r="F6638" s="490">
        <v>2300</v>
      </c>
      <c r="G6638" s="489">
        <v>83.26</v>
      </c>
      <c r="H6638" s="489">
        <v>27.624310000000001</v>
      </c>
      <c r="I6638" s="487" t="s">
        <v>1499</v>
      </c>
      <c r="J6638" s="487" t="s">
        <v>1063</v>
      </c>
    </row>
    <row r="6639" spans="1:10" ht="15" x14ac:dyDescent="0.2">
      <c r="A6639" s="486" t="s">
        <v>1062</v>
      </c>
      <c r="B6639" s="487" t="s">
        <v>1061</v>
      </c>
      <c r="C6639" s="488" t="s">
        <v>21083</v>
      </c>
      <c r="D6639" s="489" t="s">
        <v>21084</v>
      </c>
      <c r="E6639" s="487" t="s">
        <v>21085</v>
      </c>
      <c r="F6639" s="490">
        <v>54000</v>
      </c>
      <c r="G6639" s="489">
        <v>829.53</v>
      </c>
      <c r="H6639" s="489">
        <v>65.097099999999998</v>
      </c>
      <c r="I6639" s="487" t="s">
        <v>1499</v>
      </c>
      <c r="J6639" s="487" t="s">
        <v>1063</v>
      </c>
    </row>
    <row r="6640" spans="1:10" ht="15" x14ac:dyDescent="0.2">
      <c r="A6640" s="486" t="s">
        <v>1062</v>
      </c>
      <c r="B6640" s="487" t="s">
        <v>1061</v>
      </c>
      <c r="C6640" s="488" t="s">
        <v>21086</v>
      </c>
      <c r="D6640" s="489" t="s">
        <v>21087</v>
      </c>
      <c r="E6640" s="487" t="s">
        <v>21088</v>
      </c>
      <c r="F6640" s="490">
        <v>629.36</v>
      </c>
      <c r="G6640" s="489">
        <v>16.34</v>
      </c>
      <c r="H6640" s="489">
        <v>38.51652</v>
      </c>
      <c r="I6640" s="487" t="s">
        <v>1499</v>
      </c>
      <c r="J6640" s="487" t="s">
        <v>1063</v>
      </c>
    </row>
    <row r="6641" spans="1:10" ht="15" x14ac:dyDescent="0.2">
      <c r="A6641" s="486" t="s">
        <v>1062</v>
      </c>
      <c r="B6641" s="487" t="s">
        <v>1061</v>
      </c>
      <c r="C6641" s="488" t="s">
        <v>21089</v>
      </c>
      <c r="D6641" s="489" t="s">
        <v>21090</v>
      </c>
      <c r="E6641" s="487" t="s">
        <v>21091</v>
      </c>
      <c r="F6641" s="490">
        <v>7000</v>
      </c>
      <c r="G6641" s="489">
        <v>147.44</v>
      </c>
      <c r="H6641" s="489">
        <v>47.476939999999999</v>
      </c>
      <c r="I6641" s="487" t="s">
        <v>1499</v>
      </c>
      <c r="J6641" s="487" t="s">
        <v>1063</v>
      </c>
    </row>
    <row r="6642" spans="1:10" ht="15" x14ac:dyDescent="0.2">
      <c r="A6642" s="486" t="s">
        <v>1062</v>
      </c>
      <c r="B6642" s="487" t="s">
        <v>1061</v>
      </c>
      <c r="C6642" s="488" t="s">
        <v>21092</v>
      </c>
      <c r="D6642" s="489" t="s">
        <v>21093</v>
      </c>
      <c r="E6642" s="487" t="s">
        <v>21094</v>
      </c>
      <c r="F6642" s="490">
        <v>7009.75</v>
      </c>
      <c r="G6642" s="489">
        <v>115.19</v>
      </c>
      <c r="H6642" s="489">
        <v>60.853810000000003</v>
      </c>
      <c r="I6642" s="487" t="s">
        <v>1499</v>
      </c>
      <c r="J6642" s="487" t="s">
        <v>1063</v>
      </c>
    </row>
    <row r="6643" spans="1:10" ht="15" x14ac:dyDescent="0.2">
      <c r="A6643" s="486" t="s">
        <v>1062</v>
      </c>
      <c r="B6643" s="487" t="s">
        <v>1061</v>
      </c>
      <c r="C6643" s="488" t="s">
        <v>21095</v>
      </c>
      <c r="D6643" s="489" t="s">
        <v>21096</v>
      </c>
      <c r="E6643" s="487" t="s">
        <v>21097</v>
      </c>
      <c r="F6643" s="490">
        <v>0</v>
      </c>
      <c r="G6643" s="489">
        <v>21.03</v>
      </c>
      <c r="H6643" s="489">
        <v>0</v>
      </c>
      <c r="I6643" s="487" t="s">
        <v>1593</v>
      </c>
      <c r="J6643" s="487" t="s">
        <v>1063</v>
      </c>
    </row>
    <row r="6644" spans="1:10" ht="15" x14ac:dyDescent="0.2">
      <c r="A6644" s="486" t="s">
        <v>1062</v>
      </c>
      <c r="B6644" s="487" t="s">
        <v>1061</v>
      </c>
      <c r="C6644" s="488" t="s">
        <v>21098</v>
      </c>
      <c r="D6644" s="489" t="s">
        <v>21099</v>
      </c>
      <c r="E6644" s="487" t="s">
        <v>21100</v>
      </c>
      <c r="F6644" s="490">
        <v>0</v>
      </c>
      <c r="G6644" s="489">
        <v>69.03</v>
      </c>
      <c r="H6644" s="489">
        <v>0</v>
      </c>
      <c r="I6644" s="487" t="s">
        <v>1593</v>
      </c>
      <c r="J6644" s="487" t="s">
        <v>1063</v>
      </c>
    </row>
    <row r="6645" spans="1:10" ht="15" x14ac:dyDescent="0.2">
      <c r="A6645" s="486" t="s">
        <v>1062</v>
      </c>
      <c r="B6645" s="487" t="s">
        <v>1061</v>
      </c>
      <c r="C6645" s="488" t="s">
        <v>21101</v>
      </c>
      <c r="D6645" s="489" t="s">
        <v>21102</v>
      </c>
      <c r="E6645" s="487" t="s">
        <v>21103</v>
      </c>
      <c r="F6645" s="490">
        <v>29000</v>
      </c>
      <c r="G6645" s="489">
        <v>596.82000000000005</v>
      </c>
      <c r="H6645" s="489">
        <v>48.590859999999999</v>
      </c>
      <c r="I6645" s="487" t="s">
        <v>1499</v>
      </c>
      <c r="J6645" s="487" t="s">
        <v>1063</v>
      </c>
    </row>
    <row r="6646" spans="1:10" ht="15" x14ac:dyDescent="0.2">
      <c r="A6646" s="486" t="s">
        <v>1062</v>
      </c>
      <c r="B6646" s="487" t="s">
        <v>1061</v>
      </c>
      <c r="C6646" s="488" t="s">
        <v>21104</v>
      </c>
      <c r="D6646" s="489" t="s">
        <v>21105</v>
      </c>
      <c r="E6646" s="487" t="s">
        <v>21106</v>
      </c>
      <c r="F6646" s="490">
        <v>650</v>
      </c>
      <c r="G6646" s="489">
        <v>72.45</v>
      </c>
      <c r="H6646" s="489">
        <v>8.9717000000000002</v>
      </c>
      <c r="I6646" s="487" t="s">
        <v>1499</v>
      </c>
      <c r="J6646" s="487" t="s">
        <v>1063</v>
      </c>
    </row>
    <row r="6647" spans="1:10" ht="15" x14ac:dyDescent="0.2">
      <c r="A6647" s="486" t="s">
        <v>1062</v>
      </c>
      <c r="B6647" s="487" t="s">
        <v>1061</v>
      </c>
      <c r="C6647" s="488" t="s">
        <v>21107</v>
      </c>
      <c r="D6647" s="489" t="s">
        <v>21108</v>
      </c>
      <c r="E6647" s="487" t="s">
        <v>21109</v>
      </c>
      <c r="F6647" s="490">
        <v>1850</v>
      </c>
      <c r="G6647" s="489">
        <v>114.01</v>
      </c>
      <c r="H6647" s="489">
        <v>16.226649999999999</v>
      </c>
      <c r="I6647" s="487" t="s">
        <v>1499</v>
      </c>
      <c r="J6647" s="487" t="s">
        <v>1063</v>
      </c>
    </row>
    <row r="6648" spans="1:10" ht="15" x14ac:dyDescent="0.2">
      <c r="A6648" s="486" t="s">
        <v>1062</v>
      </c>
      <c r="B6648" s="487" t="s">
        <v>1061</v>
      </c>
      <c r="C6648" s="488" t="s">
        <v>21110</v>
      </c>
      <c r="D6648" s="489" t="s">
        <v>21111</v>
      </c>
      <c r="E6648" s="487" t="s">
        <v>21112</v>
      </c>
      <c r="F6648" s="490">
        <v>4620</v>
      </c>
      <c r="G6648" s="489">
        <v>261.33</v>
      </c>
      <c r="H6648" s="489">
        <v>17.678799999999999</v>
      </c>
      <c r="I6648" s="487" t="s">
        <v>1499</v>
      </c>
      <c r="J6648" s="487" t="s">
        <v>1063</v>
      </c>
    </row>
    <row r="6649" spans="1:10" ht="15" x14ac:dyDescent="0.2">
      <c r="A6649" s="486" t="s">
        <v>1062</v>
      </c>
      <c r="B6649" s="487" t="s">
        <v>1061</v>
      </c>
      <c r="C6649" s="488" t="s">
        <v>21113</v>
      </c>
      <c r="D6649" s="489" t="s">
        <v>21114</v>
      </c>
      <c r="E6649" s="487" t="s">
        <v>21115</v>
      </c>
      <c r="F6649" s="490">
        <v>0</v>
      </c>
      <c r="G6649" s="489">
        <v>20.329999999999998</v>
      </c>
      <c r="H6649" s="489">
        <v>0</v>
      </c>
      <c r="I6649" s="487" t="s">
        <v>1593</v>
      </c>
      <c r="J6649" s="487" t="s">
        <v>1063</v>
      </c>
    </row>
    <row r="6650" spans="1:10" ht="15" x14ac:dyDescent="0.2">
      <c r="A6650" s="486" t="s">
        <v>1062</v>
      </c>
      <c r="B6650" s="487" t="s">
        <v>1061</v>
      </c>
      <c r="C6650" s="488" t="s">
        <v>21116</v>
      </c>
      <c r="D6650" s="489" t="s">
        <v>21117</v>
      </c>
      <c r="E6650" s="487" t="s">
        <v>21118</v>
      </c>
      <c r="F6650" s="490">
        <v>11000</v>
      </c>
      <c r="G6650" s="489">
        <v>518.6</v>
      </c>
      <c r="H6650" s="489">
        <v>21.21095</v>
      </c>
      <c r="I6650" s="487" t="s">
        <v>1499</v>
      </c>
      <c r="J6650" s="487" t="s">
        <v>1063</v>
      </c>
    </row>
    <row r="6651" spans="1:10" ht="15" x14ac:dyDescent="0.2">
      <c r="A6651" s="486" t="s">
        <v>1062</v>
      </c>
      <c r="B6651" s="487" t="s">
        <v>1061</v>
      </c>
      <c r="C6651" s="488" t="s">
        <v>21119</v>
      </c>
      <c r="D6651" s="489" t="s">
        <v>21120</v>
      </c>
      <c r="E6651" s="487" t="s">
        <v>21121</v>
      </c>
      <c r="F6651" s="490">
        <v>99880</v>
      </c>
      <c r="G6651" s="489">
        <v>1526.47</v>
      </c>
      <c r="H6651" s="489">
        <v>65.432010000000005</v>
      </c>
      <c r="I6651" s="487" t="s">
        <v>1499</v>
      </c>
      <c r="J6651" s="487" t="s">
        <v>1063</v>
      </c>
    </row>
    <row r="6652" spans="1:10" ht="15" x14ac:dyDescent="0.2">
      <c r="A6652" s="486" t="s">
        <v>1062</v>
      </c>
      <c r="B6652" s="487" t="s">
        <v>1061</v>
      </c>
      <c r="C6652" s="488" t="s">
        <v>21122</v>
      </c>
      <c r="D6652" s="489" t="s">
        <v>21123</v>
      </c>
      <c r="E6652" s="487" t="s">
        <v>21124</v>
      </c>
      <c r="F6652" s="490">
        <v>3516.66</v>
      </c>
      <c r="G6652" s="489">
        <v>260.33999999999997</v>
      </c>
      <c r="H6652" s="489">
        <v>13.507949999999999</v>
      </c>
      <c r="I6652" s="487" t="s">
        <v>1499</v>
      </c>
      <c r="J6652" s="487" t="s">
        <v>1063</v>
      </c>
    </row>
    <row r="6653" spans="1:10" ht="15" x14ac:dyDescent="0.2">
      <c r="A6653" s="486" t="s">
        <v>1062</v>
      </c>
      <c r="B6653" s="487" t="s">
        <v>1061</v>
      </c>
      <c r="C6653" s="488" t="s">
        <v>21125</v>
      </c>
      <c r="D6653" s="489" t="s">
        <v>21126</v>
      </c>
      <c r="E6653" s="487" t="s">
        <v>21127</v>
      </c>
      <c r="F6653" s="490">
        <v>8300</v>
      </c>
      <c r="G6653" s="489">
        <v>347.72</v>
      </c>
      <c r="H6653" s="489">
        <v>23.869779999999999</v>
      </c>
      <c r="I6653" s="487" t="s">
        <v>1499</v>
      </c>
      <c r="J6653" s="487" t="s">
        <v>1063</v>
      </c>
    </row>
    <row r="6654" spans="1:10" ht="15" x14ac:dyDescent="0.2">
      <c r="A6654" s="486" t="s">
        <v>1062</v>
      </c>
      <c r="B6654" s="487" t="s">
        <v>1061</v>
      </c>
      <c r="C6654" s="488" t="s">
        <v>21128</v>
      </c>
      <c r="D6654" s="489" t="s">
        <v>21129</v>
      </c>
      <c r="E6654" s="487" t="s">
        <v>21130</v>
      </c>
      <c r="F6654" s="490">
        <v>19500</v>
      </c>
      <c r="G6654" s="489">
        <v>257.95999999999998</v>
      </c>
      <c r="H6654" s="489">
        <v>75.593119999999999</v>
      </c>
      <c r="I6654" s="487" t="s">
        <v>1499</v>
      </c>
      <c r="J6654" s="487" t="s">
        <v>1063</v>
      </c>
    </row>
    <row r="6655" spans="1:10" ht="15" x14ac:dyDescent="0.2">
      <c r="A6655" s="486" t="s">
        <v>1062</v>
      </c>
      <c r="B6655" s="487" t="s">
        <v>1061</v>
      </c>
      <c r="C6655" s="488" t="s">
        <v>21131</v>
      </c>
      <c r="D6655" s="489" t="s">
        <v>21132</v>
      </c>
      <c r="E6655" s="487" t="s">
        <v>21133</v>
      </c>
      <c r="F6655" s="490">
        <v>81315</v>
      </c>
      <c r="G6655" s="489">
        <v>609.04999999999995</v>
      </c>
      <c r="H6655" s="489">
        <v>133.51121000000001</v>
      </c>
      <c r="I6655" s="487" t="s">
        <v>1499</v>
      </c>
      <c r="J6655" s="487" t="s">
        <v>1063</v>
      </c>
    </row>
    <row r="6656" spans="1:10" ht="15" x14ac:dyDescent="0.2">
      <c r="A6656" s="486" t="s">
        <v>1062</v>
      </c>
      <c r="B6656" s="487" t="s">
        <v>1061</v>
      </c>
      <c r="C6656" s="488" t="s">
        <v>21134</v>
      </c>
      <c r="D6656" s="489" t="s">
        <v>21135</v>
      </c>
      <c r="E6656" s="487" t="s">
        <v>21136</v>
      </c>
      <c r="F6656" s="490">
        <v>23062.5</v>
      </c>
      <c r="G6656" s="489">
        <v>546.36</v>
      </c>
      <c r="H6656" s="489">
        <v>42.211179999999999</v>
      </c>
      <c r="I6656" s="487" t="s">
        <v>1499</v>
      </c>
      <c r="J6656" s="487" t="s">
        <v>1063</v>
      </c>
    </row>
    <row r="6657" spans="1:10" ht="15" x14ac:dyDescent="0.2">
      <c r="A6657" s="486" t="s">
        <v>1062</v>
      </c>
      <c r="B6657" s="487" t="s">
        <v>1061</v>
      </c>
      <c r="C6657" s="488" t="s">
        <v>21137</v>
      </c>
      <c r="D6657" s="489" t="s">
        <v>21138</v>
      </c>
      <c r="E6657" s="487" t="s">
        <v>21139</v>
      </c>
      <c r="F6657" s="490">
        <v>185000</v>
      </c>
      <c r="G6657" s="489">
        <v>1877.45</v>
      </c>
      <c r="H6657" s="489">
        <v>98.537909999999997</v>
      </c>
      <c r="I6657" s="487" t="s">
        <v>1499</v>
      </c>
      <c r="J6657" s="487" t="s">
        <v>1063</v>
      </c>
    </row>
    <row r="6658" spans="1:10" ht="15" x14ac:dyDescent="0.2">
      <c r="A6658" s="486" t="s">
        <v>1062</v>
      </c>
      <c r="B6658" s="487" t="s">
        <v>1061</v>
      </c>
      <c r="C6658" s="488" t="s">
        <v>21140</v>
      </c>
      <c r="D6658" s="489" t="s">
        <v>21141</v>
      </c>
      <c r="E6658" s="487" t="s">
        <v>21142</v>
      </c>
      <c r="F6658" s="490">
        <v>0</v>
      </c>
      <c r="G6658" s="489">
        <v>50.97</v>
      </c>
      <c r="H6658" s="489">
        <v>0</v>
      </c>
      <c r="I6658" s="487" t="s">
        <v>1593</v>
      </c>
      <c r="J6658" s="487" t="s">
        <v>1063</v>
      </c>
    </row>
    <row r="6659" spans="1:10" ht="15" x14ac:dyDescent="0.2">
      <c r="A6659" s="486" t="s">
        <v>1062</v>
      </c>
      <c r="B6659" s="487" t="s">
        <v>1061</v>
      </c>
      <c r="C6659" s="488" t="s">
        <v>21143</v>
      </c>
      <c r="D6659" s="489" t="s">
        <v>21144</v>
      </c>
      <c r="E6659" s="487" t="s">
        <v>21145</v>
      </c>
      <c r="F6659" s="490">
        <v>750</v>
      </c>
      <c r="G6659" s="489">
        <v>55.64</v>
      </c>
      <c r="H6659" s="489">
        <v>13.479509999999999</v>
      </c>
      <c r="I6659" s="487" t="s">
        <v>1499</v>
      </c>
      <c r="J6659" s="487" t="s">
        <v>1063</v>
      </c>
    </row>
    <row r="6660" spans="1:10" ht="15" x14ac:dyDescent="0.2">
      <c r="A6660" s="486" t="s">
        <v>1062</v>
      </c>
      <c r="B6660" s="487" t="s">
        <v>1061</v>
      </c>
      <c r="C6660" s="488" t="s">
        <v>21146</v>
      </c>
      <c r="D6660" s="489" t="s">
        <v>21147</v>
      </c>
      <c r="E6660" s="487" t="s">
        <v>21148</v>
      </c>
      <c r="F6660" s="490">
        <v>16203.26</v>
      </c>
      <c r="G6660" s="489">
        <v>332.47</v>
      </c>
      <c r="H6660" s="489">
        <v>48.73601</v>
      </c>
      <c r="I6660" s="487" t="s">
        <v>1499</v>
      </c>
      <c r="J6660" s="487" t="s">
        <v>1063</v>
      </c>
    </row>
    <row r="6661" spans="1:10" ht="15" x14ac:dyDescent="0.2">
      <c r="A6661" s="486" t="s">
        <v>1062</v>
      </c>
      <c r="B6661" s="487" t="s">
        <v>1061</v>
      </c>
      <c r="C6661" s="488" t="s">
        <v>21149</v>
      </c>
      <c r="D6661" s="489" t="s">
        <v>21150</v>
      </c>
      <c r="E6661" s="487" t="s">
        <v>21151</v>
      </c>
      <c r="F6661" s="490">
        <v>1624.92</v>
      </c>
      <c r="G6661" s="489">
        <v>99.84</v>
      </c>
      <c r="H6661" s="489">
        <v>16.27524</v>
      </c>
      <c r="I6661" s="487" t="s">
        <v>1499</v>
      </c>
      <c r="J6661" s="487" t="s">
        <v>1063</v>
      </c>
    </row>
    <row r="6662" spans="1:10" ht="15" x14ac:dyDescent="0.2">
      <c r="A6662" s="486" t="s">
        <v>1062</v>
      </c>
      <c r="B6662" s="487" t="s">
        <v>1061</v>
      </c>
      <c r="C6662" s="488" t="s">
        <v>21152</v>
      </c>
      <c r="D6662" s="489" t="s">
        <v>21153</v>
      </c>
      <c r="E6662" s="487" t="s">
        <v>21154</v>
      </c>
      <c r="F6662" s="490">
        <v>23900</v>
      </c>
      <c r="G6662" s="489">
        <v>503.51</v>
      </c>
      <c r="H6662" s="489">
        <v>47.46678</v>
      </c>
      <c r="I6662" s="487" t="s">
        <v>1499</v>
      </c>
      <c r="J6662" s="487" t="s">
        <v>1063</v>
      </c>
    </row>
    <row r="6663" spans="1:10" ht="15" x14ac:dyDescent="0.2">
      <c r="A6663" s="486" t="s">
        <v>1062</v>
      </c>
      <c r="B6663" s="487" t="s">
        <v>1061</v>
      </c>
      <c r="C6663" s="488" t="s">
        <v>21155</v>
      </c>
      <c r="D6663" s="489" t="s">
        <v>21156</v>
      </c>
      <c r="E6663" s="487" t="s">
        <v>21157</v>
      </c>
      <c r="F6663" s="490">
        <v>6650</v>
      </c>
      <c r="G6663" s="489">
        <v>236.6</v>
      </c>
      <c r="H6663" s="489">
        <v>28.10651</v>
      </c>
      <c r="I6663" s="487" t="s">
        <v>1499</v>
      </c>
      <c r="J6663" s="487" t="s">
        <v>1063</v>
      </c>
    </row>
    <row r="6664" spans="1:10" ht="15" x14ac:dyDescent="0.2">
      <c r="A6664" s="486" t="s">
        <v>1062</v>
      </c>
      <c r="B6664" s="487" t="s">
        <v>1061</v>
      </c>
      <c r="C6664" s="488" t="s">
        <v>21158</v>
      </c>
      <c r="D6664" s="489" t="s">
        <v>21159</v>
      </c>
      <c r="E6664" s="487" t="s">
        <v>21160</v>
      </c>
      <c r="F6664" s="490">
        <v>1490.52</v>
      </c>
      <c r="G6664" s="489">
        <v>36.69</v>
      </c>
      <c r="H6664" s="489">
        <v>40.624690000000001</v>
      </c>
      <c r="I6664" s="487" t="s">
        <v>2465</v>
      </c>
      <c r="J6664" s="487" t="s">
        <v>1063</v>
      </c>
    </row>
    <row r="6665" spans="1:10" ht="15" x14ac:dyDescent="0.2">
      <c r="A6665" s="486" t="s">
        <v>1062</v>
      </c>
      <c r="B6665" s="487" t="s">
        <v>1061</v>
      </c>
      <c r="C6665" s="488" t="s">
        <v>21161</v>
      </c>
      <c r="D6665" s="489" t="s">
        <v>21162</v>
      </c>
      <c r="E6665" s="487" t="s">
        <v>21163</v>
      </c>
      <c r="F6665" s="490">
        <v>5571.83</v>
      </c>
      <c r="G6665" s="489">
        <v>110.08</v>
      </c>
      <c r="H6665" s="489">
        <v>50.616190000000003</v>
      </c>
      <c r="I6665" s="487" t="s">
        <v>1499</v>
      </c>
      <c r="J6665" s="487" t="s">
        <v>1063</v>
      </c>
    </row>
    <row r="6666" spans="1:10" ht="15" x14ac:dyDescent="0.2">
      <c r="A6666" s="486" t="s">
        <v>1062</v>
      </c>
      <c r="B6666" s="487" t="s">
        <v>1061</v>
      </c>
      <c r="C6666" s="488" t="s">
        <v>21164</v>
      </c>
      <c r="D6666" s="489" t="s">
        <v>21165</v>
      </c>
      <c r="E6666" s="487" t="s">
        <v>21166</v>
      </c>
      <c r="F6666" s="490">
        <v>13090.26</v>
      </c>
      <c r="G6666" s="489">
        <v>220.44</v>
      </c>
      <c r="H6666" s="489">
        <v>59.382420000000003</v>
      </c>
      <c r="I6666" s="487" t="s">
        <v>2465</v>
      </c>
      <c r="J6666" s="487" t="s">
        <v>1063</v>
      </c>
    </row>
    <row r="6667" spans="1:10" ht="15" x14ac:dyDescent="0.2">
      <c r="A6667" s="486" t="s">
        <v>1062</v>
      </c>
      <c r="B6667" s="487" t="s">
        <v>1061</v>
      </c>
      <c r="C6667" s="488" t="s">
        <v>21167</v>
      </c>
      <c r="D6667" s="489" t="s">
        <v>21168</v>
      </c>
      <c r="E6667" s="487" t="s">
        <v>21169</v>
      </c>
      <c r="F6667" s="490">
        <v>4022.68</v>
      </c>
      <c r="G6667" s="489">
        <v>169.5</v>
      </c>
      <c r="H6667" s="489">
        <v>23.73263</v>
      </c>
      <c r="I6667" s="487" t="s">
        <v>1499</v>
      </c>
      <c r="J6667" s="487" t="s">
        <v>1063</v>
      </c>
    </row>
    <row r="6668" spans="1:10" ht="15" x14ac:dyDescent="0.2">
      <c r="A6668" s="486" t="s">
        <v>1062</v>
      </c>
      <c r="B6668" s="487" t="s">
        <v>1061</v>
      </c>
      <c r="C6668" s="488" t="s">
        <v>21170</v>
      </c>
      <c r="D6668" s="489" t="s">
        <v>21171</v>
      </c>
      <c r="E6668" s="487" t="s">
        <v>21172</v>
      </c>
      <c r="F6668" s="490">
        <v>1700</v>
      </c>
      <c r="G6668" s="489">
        <v>143.56</v>
      </c>
      <c r="H6668" s="489">
        <v>11.84174</v>
      </c>
      <c r="I6668" s="487" t="s">
        <v>1499</v>
      </c>
      <c r="J6668" s="487" t="s">
        <v>1063</v>
      </c>
    </row>
    <row r="6669" spans="1:10" ht="15" x14ac:dyDescent="0.2">
      <c r="A6669" s="486" t="s">
        <v>1062</v>
      </c>
      <c r="B6669" s="487" t="s">
        <v>1061</v>
      </c>
      <c r="C6669" s="488" t="s">
        <v>21173</v>
      </c>
      <c r="D6669" s="489" t="s">
        <v>21174</v>
      </c>
      <c r="E6669" s="487" t="s">
        <v>21175</v>
      </c>
      <c r="F6669" s="490">
        <v>3075.93</v>
      </c>
      <c r="G6669" s="489">
        <v>86.46</v>
      </c>
      <c r="H6669" s="489">
        <v>35.576340000000002</v>
      </c>
      <c r="I6669" s="487" t="s">
        <v>1499</v>
      </c>
      <c r="J6669" s="487" t="s">
        <v>1063</v>
      </c>
    </row>
    <row r="6670" spans="1:10" ht="15" x14ac:dyDescent="0.2">
      <c r="A6670" s="486" t="s">
        <v>1062</v>
      </c>
      <c r="B6670" s="487" t="s">
        <v>1061</v>
      </c>
      <c r="C6670" s="488" t="s">
        <v>21176</v>
      </c>
      <c r="D6670" s="489" t="s">
        <v>21177</v>
      </c>
      <c r="E6670" s="487" t="s">
        <v>21178</v>
      </c>
      <c r="F6670" s="490">
        <v>1401.63</v>
      </c>
      <c r="G6670" s="489">
        <v>58.92</v>
      </c>
      <c r="H6670" s="489">
        <v>23.788699999999999</v>
      </c>
      <c r="I6670" s="487" t="s">
        <v>2465</v>
      </c>
      <c r="J6670" s="487" t="s">
        <v>1063</v>
      </c>
    </row>
    <row r="6671" spans="1:10" ht="15" x14ac:dyDescent="0.2">
      <c r="A6671" s="486" t="s">
        <v>1062</v>
      </c>
      <c r="B6671" s="487" t="s">
        <v>1061</v>
      </c>
      <c r="C6671" s="488" t="s">
        <v>21179</v>
      </c>
      <c r="D6671" s="489" t="s">
        <v>21180</v>
      </c>
      <c r="E6671" s="487" t="s">
        <v>21181</v>
      </c>
      <c r="F6671" s="490">
        <v>1100</v>
      </c>
      <c r="G6671" s="489">
        <v>55.76</v>
      </c>
      <c r="H6671" s="489">
        <v>19.727399999999999</v>
      </c>
      <c r="I6671" s="487" t="s">
        <v>1499</v>
      </c>
      <c r="J6671" s="487" t="s">
        <v>1063</v>
      </c>
    </row>
    <row r="6672" spans="1:10" ht="15" x14ac:dyDescent="0.2">
      <c r="A6672" s="486" t="s">
        <v>1062</v>
      </c>
      <c r="B6672" s="487" t="s">
        <v>1061</v>
      </c>
      <c r="C6672" s="488" t="s">
        <v>21182</v>
      </c>
      <c r="D6672" s="489" t="s">
        <v>21183</v>
      </c>
      <c r="E6672" s="487" t="s">
        <v>21184</v>
      </c>
      <c r="F6672" s="490">
        <v>0</v>
      </c>
      <c r="G6672" s="489">
        <v>39.18</v>
      </c>
      <c r="H6672" s="489">
        <v>0</v>
      </c>
      <c r="I6672" s="487" t="s">
        <v>1593</v>
      </c>
      <c r="J6672" s="487" t="s">
        <v>1063</v>
      </c>
    </row>
    <row r="6673" spans="1:10" ht="15" x14ac:dyDescent="0.2">
      <c r="A6673" s="486" t="s">
        <v>1062</v>
      </c>
      <c r="B6673" s="487" t="s">
        <v>1061</v>
      </c>
      <c r="C6673" s="488" t="s">
        <v>21185</v>
      </c>
      <c r="D6673" s="489" t="s">
        <v>21186</v>
      </c>
      <c r="E6673" s="487" t="s">
        <v>21187</v>
      </c>
      <c r="F6673" s="490">
        <v>694.18</v>
      </c>
      <c r="G6673" s="489">
        <v>27.34</v>
      </c>
      <c r="H6673" s="489">
        <v>25.390640000000001</v>
      </c>
      <c r="I6673" s="487" t="s">
        <v>2465</v>
      </c>
      <c r="J6673" s="487" t="s">
        <v>1063</v>
      </c>
    </row>
    <row r="6674" spans="1:10" ht="15" x14ac:dyDescent="0.2">
      <c r="A6674" s="486" t="s">
        <v>1062</v>
      </c>
      <c r="B6674" s="487" t="s">
        <v>1061</v>
      </c>
      <c r="C6674" s="488" t="s">
        <v>21188</v>
      </c>
      <c r="D6674" s="489" t="s">
        <v>21189</v>
      </c>
      <c r="E6674" s="487" t="s">
        <v>21190</v>
      </c>
      <c r="F6674" s="490">
        <v>17630</v>
      </c>
      <c r="G6674" s="489">
        <v>621.25</v>
      </c>
      <c r="H6674" s="489">
        <v>28.378270000000001</v>
      </c>
      <c r="I6674" s="487" t="s">
        <v>1499</v>
      </c>
      <c r="J6674" s="487" t="s">
        <v>1063</v>
      </c>
    </row>
    <row r="6675" spans="1:10" ht="15" x14ac:dyDescent="0.2">
      <c r="A6675" s="486" t="s">
        <v>1062</v>
      </c>
      <c r="B6675" s="487" t="s">
        <v>1061</v>
      </c>
      <c r="C6675" s="488" t="s">
        <v>21191</v>
      </c>
      <c r="D6675" s="489" t="s">
        <v>21192</v>
      </c>
      <c r="E6675" s="487" t="s">
        <v>21193</v>
      </c>
      <c r="F6675" s="490">
        <v>0</v>
      </c>
      <c r="G6675" s="489">
        <v>17.649999999999999</v>
      </c>
      <c r="H6675" s="489">
        <v>0</v>
      </c>
      <c r="I6675" s="487" t="s">
        <v>2465</v>
      </c>
      <c r="J6675" s="487" t="s">
        <v>1063</v>
      </c>
    </row>
    <row r="6676" spans="1:10" ht="15" x14ac:dyDescent="0.2">
      <c r="A6676" s="486" t="s">
        <v>1062</v>
      </c>
      <c r="B6676" s="487" t="s">
        <v>1061</v>
      </c>
      <c r="C6676" s="488" t="s">
        <v>21194</v>
      </c>
      <c r="D6676" s="489" t="s">
        <v>21195</v>
      </c>
      <c r="E6676" s="487" t="s">
        <v>21196</v>
      </c>
      <c r="F6676" s="490">
        <v>8000</v>
      </c>
      <c r="G6676" s="489">
        <v>197.18</v>
      </c>
      <c r="H6676" s="489">
        <v>40.572069999999997</v>
      </c>
      <c r="I6676" s="487" t="s">
        <v>1499</v>
      </c>
      <c r="J6676" s="487" t="s">
        <v>1063</v>
      </c>
    </row>
    <row r="6677" spans="1:10" ht="15" x14ac:dyDescent="0.2">
      <c r="A6677" s="486" t="s">
        <v>1062</v>
      </c>
      <c r="B6677" s="487" t="s">
        <v>1061</v>
      </c>
      <c r="C6677" s="488" t="s">
        <v>21197</v>
      </c>
      <c r="D6677" s="489" t="s">
        <v>21198</v>
      </c>
      <c r="E6677" s="487" t="s">
        <v>21199</v>
      </c>
      <c r="F6677" s="490">
        <v>7500</v>
      </c>
      <c r="G6677" s="489">
        <v>139.54</v>
      </c>
      <c r="H6677" s="489">
        <v>53.74803</v>
      </c>
      <c r="I6677" s="487" t="s">
        <v>1499</v>
      </c>
      <c r="J6677" s="487" t="s">
        <v>1063</v>
      </c>
    </row>
    <row r="6678" spans="1:10" ht="15" x14ac:dyDescent="0.2">
      <c r="A6678" s="486" t="s">
        <v>1062</v>
      </c>
      <c r="B6678" s="487" t="s">
        <v>1061</v>
      </c>
      <c r="C6678" s="488" t="s">
        <v>21200</v>
      </c>
      <c r="D6678" s="489" t="s">
        <v>21201</v>
      </c>
      <c r="E6678" s="487" t="s">
        <v>21202</v>
      </c>
      <c r="F6678" s="490">
        <v>0</v>
      </c>
      <c r="G6678" s="489">
        <v>32.049999999999997</v>
      </c>
      <c r="H6678" s="489">
        <v>0</v>
      </c>
      <c r="I6678" s="487" t="s">
        <v>1593</v>
      </c>
      <c r="J6678" s="487" t="s">
        <v>1063</v>
      </c>
    </row>
    <row r="6679" spans="1:10" ht="15" x14ac:dyDescent="0.2">
      <c r="A6679" s="486" t="s">
        <v>1062</v>
      </c>
      <c r="B6679" s="487" t="s">
        <v>1061</v>
      </c>
      <c r="C6679" s="488" t="s">
        <v>21203</v>
      </c>
      <c r="D6679" s="489" t="s">
        <v>21204</v>
      </c>
      <c r="E6679" s="487" t="s">
        <v>21205</v>
      </c>
      <c r="F6679" s="490">
        <v>0</v>
      </c>
      <c r="G6679" s="489">
        <v>39.04</v>
      </c>
      <c r="H6679" s="489">
        <v>0</v>
      </c>
      <c r="I6679" s="487" t="s">
        <v>1593</v>
      </c>
      <c r="J6679" s="487" t="s">
        <v>1063</v>
      </c>
    </row>
    <row r="6680" spans="1:10" ht="15" x14ac:dyDescent="0.2">
      <c r="A6680" s="486" t="s">
        <v>1062</v>
      </c>
      <c r="B6680" s="487" t="s">
        <v>1061</v>
      </c>
      <c r="C6680" s="488" t="s">
        <v>21206</v>
      </c>
      <c r="D6680" s="489" t="s">
        <v>21207</v>
      </c>
      <c r="E6680" s="487" t="s">
        <v>21208</v>
      </c>
      <c r="F6680" s="490">
        <v>0</v>
      </c>
      <c r="G6680" s="489">
        <v>44.46</v>
      </c>
      <c r="H6680" s="489">
        <v>0</v>
      </c>
      <c r="I6680" s="487" t="s">
        <v>1593</v>
      </c>
      <c r="J6680" s="487" t="s">
        <v>1063</v>
      </c>
    </row>
    <row r="6681" spans="1:10" ht="15" x14ac:dyDescent="0.2">
      <c r="A6681" s="486" t="s">
        <v>1062</v>
      </c>
      <c r="B6681" s="487" t="s">
        <v>1061</v>
      </c>
      <c r="C6681" s="488" t="s">
        <v>21209</v>
      </c>
      <c r="D6681" s="489" t="s">
        <v>21210</v>
      </c>
      <c r="E6681" s="487" t="s">
        <v>21211</v>
      </c>
      <c r="F6681" s="490">
        <v>14900</v>
      </c>
      <c r="G6681" s="489">
        <v>476.57</v>
      </c>
      <c r="H6681" s="489">
        <v>31.265080000000001</v>
      </c>
      <c r="I6681" s="487" t="s">
        <v>1499</v>
      </c>
      <c r="J6681" s="487" t="s">
        <v>1063</v>
      </c>
    </row>
    <row r="6682" spans="1:10" ht="15" x14ac:dyDescent="0.2">
      <c r="A6682" s="486" t="s">
        <v>1062</v>
      </c>
      <c r="B6682" s="487" t="s">
        <v>1061</v>
      </c>
      <c r="C6682" s="488" t="s">
        <v>21212</v>
      </c>
      <c r="D6682" s="489" t="s">
        <v>21213</v>
      </c>
      <c r="E6682" s="487" t="s">
        <v>21214</v>
      </c>
      <c r="F6682" s="490">
        <v>1508.69</v>
      </c>
      <c r="G6682" s="489">
        <v>63.42</v>
      </c>
      <c r="H6682" s="489">
        <v>23.788869999999999</v>
      </c>
      <c r="I6682" s="487" t="s">
        <v>2465</v>
      </c>
      <c r="J6682" s="487" t="s">
        <v>1063</v>
      </c>
    </row>
    <row r="6683" spans="1:10" ht="15" x14ac:dyDescent="0.2">
      <c r="A6683" s="486" t="s">
        <v>1062</v>
      </c>
      <c r="B6683" s="487" t="s">
        <v>1061</v>
      </c>
      <c r="C6683" s="488" t="s">
        <v>21215</v>
      </c>
      <c r="D6683" s="489" t="s">
        <v>21216</v>
      </c>
      <c r="E6683" s="487" t="s">
        <v>21217</v>
      </c>
      <c r="F6683" s="490">
        <v>8106</v>
      </c>
      <c r="G6683" s="489">
        <v>356.3</v>
      </c>
      <c r="H6683" s="489">
        <v>22.750489999999999</v>
      </c>
      <c r="I6683" s="487" t="s">
        <v>1499</v>
      </c>
      <c r="J6683" s="487" t="s">
        <v>1063</v>
      </c>
    </row>
    <row r="6684" spans="1:10" ht="15" x14ac:dyDescent="0.2">
      <c r="A6684" s="486" t="s">
        <v>1062</v>
      </c>
      <c r="B6684" s="487" t="s">
        <v>1061</v>
      </c>
      <c r="C6684" s="488" t="s">
        <v>21218</v>
      </c>
      <c r="D6684" s="489" t="s">
        <v>21219</v>
      </c>
      <c r="E6684" s="487" t="s">
        <v>21220</v>
      </c>
      <c r="F6684" s="490">
        <v>15868.4</v>
      </c>
      <c r="G6684" s="489">
        <v>575.19000000000005</v>
      </c>
      <c r="H6684" s="489">
        <v>27.588100000000001</v>
      </c>
      <c r="I6684" s="487" t="s">
        <v>1499</v>
      </c>
      <c r="J6684" s="487" t="s">
        <v>1063</v>
      </c>
    </row>
    <row r="6685" spans="1:10" ht="15" x14ac:dyDescent="0.2">
      <c r="A6685" s="486" t="s">
        <v>1062</v>
      </c>
      <c r="B6685" s="487" t="s">
        <v>1061</v>
      </c>
      <c r="C6685" s="488" t="s">
        <v>21221</v>
      </c>
      <c r="D6685" s="489" t="s">
        <v>21222</v>
      </c>
      <c r="E6685" s="487" t="s">
        <v>21223</v>
      </c>
      <c r="F6685" s="490">
        <v>0</v>
      </c>
      <c r="G6685" s="489">
        <v>48.45</v>
      </c>
      <c r="H6685" s="489">
        <v>0</v>
      </c>
      <c r="I6685" s="487" t="s">
        <v>1593</v>
      </c>
      <c r="J6685" s="487" t="s">
        <v>1063</v>
      </c>
    </row>
    <row r="6686" spans="1:10" ht="15" x14ac:dyDescent="0.2">
      <c r="A6686" s="486" t="s">
        <v>1062</v>
      </c>
      <c r="B6686" s="487" t="s">
        <v>1061</v>
      </c>
      <c r="C6686" s="488" t="s">
        <v>21224</v>
      </c>
      <c r="D6686" s="489" t="s">
        <v>21225</v>
      </c>
      <c r="E6686" s="487" t="s">
        <v>21226</v>
      </c>
      <c r="F6686" s="490">
        <v>950</v>
      </c>
      <c r="G6686" s="489">
        <v>98.43</v>
      </c>
      <c r="H6686" s="489">
        <v>9.6515299999999993</v>
      </c>
      <c r="I6686" s="487" t="s">
        <v>1499</v>
      </c>
      <c r="J6686" s="487" t="s">
        <v>1063</v>
      </c>
    </row>
    <row r="6687" spans="1:10" ht="15" x14ac:dyDescent="0.2">
      <c r="A6687" s="486" t="s">
        <v>1062</v>
      </c>
      <c r="B6687" s="487" t="s">
        <v>1061</v>
      </c>
      <c r="C6687" s="488" t="s">
        <v>21227</v>
      </c>
      <c r="D6687" s="489" t="s">
        <v>21228</v>
      </c>
      <c r="E6687" s="487" t="s">
        <v>21229</v>
      </c>
      <c r="F6687" s="490">
        <v>8700</v>
      </c>
      <c r="G6687" s="489">
        <v>296.36</v>
      </c>
      <c r="H6687" s="489">
        <v>29.356190000000002</v>
      </c>
      <c r="I6687" s="487" t="s">
        <v>1499</v>
      </c>
      <c r="J6687" s="487" t="s">
        <v>1063</v>
      </c>
    </row>
    <row r="6688" spans="1:10" ht="15" x14ac:dyDescent="0.2">
      <c r="A6688" s="486" t="s">
        <v>1062</v>
      </c>
      <c r="B6688" s="487" t="s">
        <v>1061</v>
      </c>
      <c r="C6688" s="488" t="s">
        <v>21230</v>
      </c>
      <c r="D6688" s="489" t="s">
        <v>21231</v>
      </c>
      <c r="E6688" s="487" t="s">
        <v>21232</v>
      </c>
      <c r="F6688" s="490">
        <v>0</v>
      </c>
      <c r="G6688" s="489">
        <v>46.94</v>
      </c>
      <c r="H6688" s="489">
        <v>0</v>
      </c>
      <c r="I6688" s="487" t="s">
        <v>1593</v>
      </c>
      <c r="J6688" s="487" t="s">
        <v>1063</v>
      </c>
    </row>
    <row r="6689" spans="1:10" ht="15" x14ac:dyDescent="0.2">
      <c r="A6689" s="486" t="s">
        <v>1062</v>
      </c>
      <c r="B6689" s="487" t="s">
        <v>1061</v>
      </c>
      <c r="C6689" s="488" t="s">
        <v>21233</v>
      </c>
      <c r="D6689" s="489" t="s">
        <v>21234</v>
      </c>
      <c r="E6689" s="487" t="s">
        <v>21235</v>
      </c>
      <c r="F6689" s="490">
        <v>3821.97</v>
      </c>
      <c r="G6689" s="489">
        <v>95.06</v>
      </c>
      <c r="H6689" s="489">
        <v>40.205869999999997</v>
      </c>
      <c r="I6689" s="487" t="s">
        <v>2465</v>
      </c>
      <c r="J6689" s="487" t="s">
        <v>1063</v>
      </c>
    </row>
    <row r="6690" spans="1:10" ht="15" x14ac:dyDescent="0.2">
      <c r="A6690" s="486" t="s">
        <v>1062</v>
      </c>
      <c r="B6690" s="487" t="s">
        <v>1061</v>
      </c>
      <c r="C6690" s="488" t="s">
        <v>21236</v>
      </c>
      <c r="D6690" s="489" t="s">
        <v>21237</v>
      </c>
      <c r="E6690" s="487" t="s">
        <v>21238</v>
      </c>
      <c r="F6690" s="490">
        <v>4000</v>
      </c>
      <c r="G6690" s="489">
        <v>129.25</v>
      </c>
      <c r="H6690" s="489">
        <v>30.947780000000002</v>
      </c>
      <c r="I6690" s="487" t="s">
        <v>1499</v>
      </c>
      <c r="J6690" s="487" t="s">
        <v>1063</v>
      </c>
    </row>
    <row r="6691" spans="1:10" ht="15" x14ac:dyDescent="0.2">
      <c r="A6691" s="486" t="s">
        <v>1062</v>
      </c>
      <c r="B6691" s="487" t="s">
        <v>1061</v>
      </c>
      <c r="C6691" s="488" t="s">
        <v>21239</v>
      </c>
      <c r="D6691" s="489" t="s">
        <v>21240</v>
      </c>
      <c r="E6691" s="487" t="s">
        <v>21241</v>
      </c>
      <c r="F6691" s="490">
        <v>8000</v>
      </c>
      <c r="G6691" s="489">
        <v>96.27</v>
      </c>
      <c r="H6691" s="489">
        <v>83.099620000000002</v>
      </c>
      <c r="I6691" s="487" t="s">
        <v>1499</v>
      </c>
      <c r="J6691" s="487" t="s">
        <v>1063</v>
      </c>
    </row>
    <row r="6692" spans="1:10" ht="15" x14ac:dyDescent="0.2">
      <c r="A6692" s="486" t="s">
        <v>1062</v>
      </c>
      <c r="B6692" s="487" t="s">
        <v>1061</v>
      </c>
      <c r="C6692" s="488" t="s">
        <v>21242</v>
      </c>
      <c r="D6692" s="489" t="s">
        <v>21243</v>
      </c>
      <c r="E6692" s="487" t="s">
        <v>21244</v>
      </c>
      <c r="F6692" s="490">
        <v>27859</v>
      </c>
      <c r="G6692" s="489">
        <v>583.03</v>
      </c>
      <c r="H6692" s="489">
        <v>47.78313</v>
      </c>
      <c r="I6692" s="487" t="s">
        <v>1499</v>
      </c>
      <c r="J6692" s="487" t="s">
        <v>1063</v>
      </c>
    </row>
    <row r="6693" spans="1:10" ht="15" x14ac:dyDescent="0.2">
      <c r="A6693" s="486" t="s">
        <v>1062</v>
      </c>
      <c r="B6693" s="487" t="s">
        <v>1061</v>
      </c>
      <c r="C6693" s="488" t="s">
        <v>21245</v>
      </c>
      <c r="D6693" s="489" t="s">
        <v>21246</v>
      </c>
      <c r="E6693" s="487" t="s">
        <v>21247</v>
      </c>
      <c r="F6693" s="490">
        <v>160000</v>
      </c>
      <c r="G6693" s="489">
        <v>908.03</v>
      </c>
      <c r="H6693" s="489">
        <v>176.20563000000001</v>
      </c>
      <c r="I6693" s="487" t="s">
        <v>1499</v>
      </c>
      <c r="J6693" s="487" t="s">
        <v>1063</v>
      </c>
    </row>
    <row r="6694" spans="1:10" ht="15" x14ac:dyDescent="0.2">
      <c r="A6694" s="486" t="s">
        <v>1062</v>
      </c>
      <c r="B6694" s="487" t="s">
        <v>1061</v>
      </c>
      <c r="C6694" s="488" t="s">
        <v>21248</v>
      </c>
      <c r="D6694" s="489" t="s">
        <v>21249</v>
      </c>
      <c r="E6694" s="487" t="s">
        <v>21250</v>
      </c>
      <c r="F6694" s="490">
        <v>10783.28</v>
      </c>
      <c r="G6694" s="489">
        <v>233.88</v>
      </c>
      <c r="H6694" s="489">
        <v>46.10604</v>
      </c>
      <c r="I6694" s="487" t="s">
        <v>1499</v>
      </c>
      <c r="J6694" s="487" t="s">
        <v>1063</v>
      </c>
    </row>
    <row r="6695" spans="1:10" ht="15" x14ac:dyDescent="0.2">
      <c r="A6695" s="486" t="s">
        <v>1062</v>
      </c>
      <c r="B6695" s="487" t="s">
        <v>1061</v>
      </c>
      <c r="C6695" s="488" t="s">
        <v>21251</v>
      </c>
      <c r="D6695" s="489" t="s">
        <v>21252</v>
      </c>
      <c r="E6695" s="487" t="s">
        <v>21253</v>
      </c>
      <c r="F6695" s="490">
        <v>23017</v>
      </c>
      <c r="G6695" s="489">
        <v>727.22</v>
      </c>
      <c r="H6695" s="489">
        <v>31.650670000000002</v>
      </c>
      <c r="I6695" s="487" t="s">
        <v>1499</v>
      </c>
      <c r="J6695" s="487" t="s">
        <v>1063</v>
      </c>
    </row>
    <row r="6696" spans="1:10" ht="15" x14ac:dyDescent="0.2">
      <c r="A6696" s="486" t="s">
        <v>1062</v>
      </c>
      <c r="B6696" s="487" t="s">
        <v>1061</v>
      </c>
      <c r="C6696" s="488" t="s">
        <v>21254</v>
      </c>
      <c r="D6696" s="489" t="s">
        <v>21255</v>
      </c>
      <c r="E6696" s="487" t="s">
        <v>21256</v>
      </c>
      <c r="F6696" s="490">
        <v>0</v>
      </c>
      <c r="G6696" s="489">
        <v>31.86</v>
      </c>
      <c r="H6696" s="489">
        <v>0</v>
      </c>
      <c r="I6696" s="487" t="s">
        <v>1593</v>
      </c>
      <c r="J6696" s="487" t="s">
        <v>1063</v>
      </c>
    </row>
    <row r="6697" spans="1:10" ht="15" x14ac:dyDescent="0.2">
      <c r="A6697" s="486" t="s">
        <v>1062</v>
      </c>
      <c r="B6697" s="487" t="s">
        <v>1061</v>
      </c>
      <c r="C6697" s="488" t="s">
        <v>21257</v>
      </c>
      <c r="D6697" s="489" t="s">
        <v>21258</v>
      </c>
      <c r="E6697" s="487" t="s">
        <v>21259</v>
      </c>
      <c r="F6697" s="490">
        <v>18500</v>
      </c>
      <c r="G6697" s="489">
        <v>310.33999999999997</v>
      </c>
      <c r="H6697" s="489">
        <v>59.61204</v>
      </c>
      <c r="I6697" s="487" t="s">
        <v>1499</v>
      </c>
      <c r="J6697" s="487" t="s">
        <v>1063</v>
      </c>
    </row>
    <row r="6698" spans="1:10" ht="15" x14ac:dyDescent="0.2">
      <c r="A6698" s="486" t="s">
        <v>1062</v>
      </c>
      <c r="B6698" s="487" t="s">
        <v>1061</v>
      </c>
      <c r="C6698" s="488" t="s">
        <v>21260</v>
      </c>
      <c r="D6698" s="489" t="s">
        <v>21261</v>
      </c>
      <c r="E6698" s="487" t="s">
        <v>21262</v>
      </c>
      <c r="F6698" s="490">
        <v>5290</v>
      </c>
      <c r="G6698" s="489">
        <v>164.26</v>
      </c>
      <c r="H6698" s="489">
        <v>32.205039999999997</v>
      </c>
      <c r="I6698" s="487" t="s">
        <v>1499</v>
      </c>
      <c r="J6698" s="487" t="s">
        <v>1063</v>
      </c>
    </row>
    <row r="6699" spans="1:10" ht="15" x14ac:dyDescent="0.2">
      <c r="A6699" s="486" t="s">
        <v>1062</v>
      </c>
      <c r="B6699" s="487" t="s">
        <v>1061</v>
      </c>
      <c r="C6699" s="488" t="s">
        <v>21263</v>
      </c>
      <c r="D6699" s="489" t="s">
        <v>21264</v>
      </c>
      <c r="E6699" s="487" t="s">
        <v>21265</v>
      </c>
      <c r="F6699" s="490">
        <v>0</v>
      </c>
      <c r="G6699" s="489">
        <v>87.35</v>
      </c>
      <c r="H6699" s="489">
        <v>0</v>
      </c>
      <c r="I6699" s="487" t="s">
        <v>1593</v>
      </c>
      <c r="J6699" s="487" t="s">
        <v>1063</v>
      </c>
    </row>
    <row r="6700" spans="1:10" ht="15" x14ac:dyDescent="0.2">
      <c r="A6700" s="486" t="s">
        <v>1062</v>
      </c>
      <c r="B6700" s="487" t="s">
        <v>1061</v>
      </c>
      <c r="C6700" s="488" t="s">
        <v>21266</v>
      </c>
      <c r="D6700" s="489" t="s">
        <v>21267</v>
      </c>
      <c r="E6700" s="487" t="s">
        <v>21268</v>
      </c>
      <c r="F6700" s="490">
        <v>6583</v>
      </c>
      <c r="G6700" s="489">
        <v>224.86</v>
      </c>
      <c r="H6700" s="489">
        <v>29.27599</v>
      </c>
      <c r="I6700" s="487" t="s">
        <v>1499</v>
      </c>
      <c r="J6700" s="487" t="s">
        <v>1063</v>
      </c>
    </row>
    <row r="6701" spans="1:10" ht="15" x14ac:dyDescent="0.2">
      <c r="A6701" s="486" t="s">
        <v>1062</v>
      </c>
      <c r="B6701" s="487" t="s">
        <v>1061</v>
      </c>
      <c r="C6701" s="488" t="s">
        <v>21269</v>
      </c>
      <c r="D6701" s="489" t="s">
        <v>21270</v>
      </c>
      <c r="E6701" s="487" t="s">
        <v>21271</v>
      </c>
      <c r="F6701" s="490">
        <v>4131.6000000000004</v>
      </c>
      <c r="G6701" s="489">
        <v>149.76</v>
      </c>
      <c r="H6701" s="489">
        <v>27.588139999999999</v>
      </c>
      <c r="I6701" s="487" t="s">
        <v>1499</v>
      </c>
      <c r="J6701" s="487" t="s">
        <v>1063</v>
      </c>
    </row>
    <row r="6702" spans="1:10" ht="15" x14ac:dyDescent="0.2">
      <c r="A6702" s="486" t="s">
        <v>1062</v>
      </c>
      <c r="B6702" s="487" t="s">
        <v>1061</v>
      </c>
      <c r="C6702" s="488" t="s">
        <v>21272</v>
      </c>
      <c r="D6702" s="489" t="s">
        <v>21273</v>
      </c>
      <c r="E6702" s="487" t="s">
        <v>21274</v>
      </c>
      <c r="F6702" s="490">
        <v>40000</v>
      </c>
      <c r="G6702" s="489">
        <v>993.64</v>
      </c>
      <c r="H6702" s="489">
        <v>40.256030000000003</v>
      </c>
      <c r="I6702" s="487" t="s">
        <v>1499</v>
      </c>
      <c r="J6702" s="487" t="s">
        <v>1063</v>
      </c>
    </row>
    <row r="6703" spans="1:10" ht="15" x14ac:dyDescent="0.2">
      <c r="A6703" s="486" t="s">
        <v>1062</v>
      </c>
      <c r="B6703" s="487" t="s">
        <v>1061</v>
      </c>
      <c r="C6703" s="488" t="s">
        <v>21275</v>
      </c>
      <c r="D6703" s="489" t="s">
        <v>21276</v>
      </c>
      <c r="E6703" s="487" t="s">
        <v>21277</v>
      </c>
      <c r="F6703" s="490">
        <v>735.01</v>
      </c>
      <c r="G6703" s="489">
        <v>24.11</v>
      </c>
      <c r="H6703" s="489">
        <v>30.485690000000002</v>
      </c>
      <c r="I6703" s="487" t="s">
        <v>1499</v>
      </c>
      <c r="J6703" s="487" t="s">
        <v>1063</v>
      </c>
    </row>
    <row r="6704" spans="1:10" ht="15" x14ac:dyDescent="0.2">
      <c r="A6704" s="486" t="s">
        <v>1062</v>
      </c>
      <c r="B6704" s="487" t="s">
        <v>1061</v>
      </c>
      <c r="C6704" s="488" t="s">
        <v>21278</v>
      </c>
      <c r="D6704" s="489" t="s">
        <v>21279</v>
      </c>
      <c r="E6704" s="487" t="s">
        <v>21280</v>
      </c>
      <c r="F6704" s="490">
        <v>15065</v>
      </c>
      <c r="G6704" s="489">
        <v>339.99</v>
      </c>
      <c r="H6704" s="489">
        <v>44.310130000000001</v>
      </c>
      <c r="I6704" s="487" t="s">
        <v>1499</v>
      </c>
      <c r="J6704" s="487" t="s">
        <v>1063</v>
      </c>
    </row>
    <row r="6705" spans="1:10" ht="15" x14ac:dyDescent="0.2">
      <c r="A6705" s="486" t="s">
        <v>1062</v>
      </c>
      <c r="B6705" s="487" t="s">
        <v>1061</v>
      </c>
      <c r="C6705" s="488" t="s">
        <v>21281</v>
      </c>
      <c r="D6705" s="489" t="s">
        <v>21282</v>
      </c>
      <c r="E6705" s="487" t="s">
        <v>21283</v>
      </c>
      <c r="F6705" s="490">
        <v>23600</v>
      </c>
      <c r="G6705" s="489">
        <v>935.04</v>
      </c>
      <c r="H6705" s="489">
        <v>25.239560000000001</v>
      </c>
      <c r="I6705" s="487" t="s">
        <v>1499</v>
      </c>
      <c r="J6705" s="487" t="s">
        <v>1063</v>
      </c>
    </row>
    <row r="6706" spans="1:10" ht="15" x14ac:dyDescent="0.2">
      <c r="A6706" s="486" t="s">
        <v>1062</v>
      </c>
      <c r="B6706" s="487" t="s">
        <v>1061</v>
      </c>
      <c r="C6706" s="488" t="s">
        <v>21284</v>
      </c>
      <c r="D6706" s="489" t="s">
        <v>21285</v>
      </c>
      <c r="E6706" s="487" t="s">
        <v>21286</v>
      </c>
      <c r="F6706" s="490">
        <v>32000</v>
      </c>
      <c r="G6706" s="489">
        <v>1204.82</v>
      </c>
      <c r="H6706" s="489">
        <v>26.559979999999999</v>
      </c>
      <c r="I6706" s="487" t="s">
        <v>1499</v>
      </c>
      <c r="J6706" s="487" t="s">
        <v>1063</v>
      </c>
    </row>
    <row r="6707" spans="1:10" ht="15" x14ac:dyDescent="0.2">
      <c r="A6707" s="486" t="s">
        <v>1062</v>
      </c>
      <c r="B6707" s="487" t="s">
        <v>1061</v>
      </c>
      <c r="C6707" s="488" t="s">
        <v>21287</v>
      </c>
      <c r="D6707" s="489" t="s">
        <v>21288</v>
      </c>
      <c r="E6707" s="487" t="s">
        <v>21289</v>
      </c>
      <c r="F6707" s="490">
        <v>10000</v>
      </c>
      <c r="G6707" s="489">
        <v>117.86</v>
      </c>
      <c r="H6707" s="489">
        <v>84.846429999999998</v>
      </c>
      <c r="I6707" s="487" t="s">
        <v>1499</v>
      </c>
      <c r="J6707" s="487" t="s">
        <v>1063</v>
      </c>
    </row>
    <row r="6708" spans="1:10" ht="15" x14ac:dyDescent="0.2">
      <c r="A6708" s="486" t="s">
        <v>1062</v>
      </c>
      <c r="B6708" s="487" t="s">
        <v>1061</v>
      </c>
      <c r="C6708" s="488" t="s">
        <v>21290</v>
      </c>
      <c r="D6708" s="489" t="s">
        <v>21291</v>
      </c>
      <c r="E6708" s="487" t="s">
        <v>3922</v>
      </c>
      <c r="F6708" s="490">
        <v>0</v>
      </c>
      <c r="G6708" s="489">
        <v>27.71</v>
      </c>
      <c r="H6708" s="489">
        <v>0</v>
      </c>
      <c r="I6708" s="487" t="s">
        <v>1593</v>
      </c>
      <c r="J6708" s="487" t="s">
        <v>1063</v>
      </c>
    </row>
    <row r="6709" spans="1:10" ht="15" x14ac:dyDescent="0.2">
      <c r="A6709" s="486" t="s">
        <v>1062</v>
      </c>
      <c r="B6709" s="487" t="s">
        <v>1061</v>
      </c>
      <c r="C6709" s="488" t="s">
        <v>21292</v>
      </c>
      <c r="D6709" s="489" t="s">
        <v>21293</v>
      </c>
      <c r="E6709" s="487" t="s">
        <v>21294</v>
      </c>
      <c r="F6709" s="490">
        <v>0</v>
      </c>
      <c r="G6709" s="489">
        <v>1.38</v>
      </c>
      <c r="H6709" s="489">
        <v>0</v>
      </c>
      <c r="I6709" s="487" t="s">
        <v>1593</v>
      </c>
      <c r="J6709" s="487" t="s">
        <v>1063</v>
      </c>
    </row>
    <row r="6710" spans="1:10" ht="15" x14ac:dyDescent="0.2">
      <c r="A6710" s="486" t="s">
        <v>1062</v>
      </c>
      <c r="B6710" s="487" t="s">
        <v>1061</v>
      </c>
      <c r="C6710" s="488" t="s">
        <v>21295</v>
      </c>
      <c r="D6710" s="489" t="s">
        <v>21296</v>
      </c>
      <c r="E6710" s="487" t="s">
        <v>21297</v>
      </c>
      <c r="F6710" s="490">
        <v>2189.84</v>
      </c>
      <c r="G6710" s="489">
        <v>134.55000000000001</v>
      </c>
      <c r="H6710" s="489">
        <v>16.275289999999998</v>
      </c>
      <c r="I6710" s="487" t="s">
        <v>1499</v>
      </c>
      <c r="J6710" s="487" t="s">
        <v>1063</v>
      </c>
    </row>
    <row r="6711" spans="1:10" ht="15" x14ac:dyDescent="0.2">
      <c r="A6711" s="486" t="s">
        <v>1062</v>
      </c>
      <c r="B6711" s="487" t="s">
        <v>1061</v>
      </c>
      <c r="C6711" s="488" t="s">
        <v>21298</v>
      </c>
      <c r="D6711" s="489" t="s">
        <v>21299</v>
      </c>
      <c r="E6711" s="487" t="s">
        <v>21300</v>
      </c>
      <c r="F6711" s="490">
        <v>0</v>
      </c>
      <c r="G6711" s="489">
        <v>53.55</v>
      </c>
      <c r="H6711" s="489">
        <v>0</v>
      </c>
      <c r="I6711" s="487" t="s">
        <v>1593</v>
      </c>
      <c r="J6711" s="487" t="s">
        <v>1063</v>
      </c>
    </row>
    <row r="6712" spans="1:10" ht="15" x14ac:dyDescent="0.2">
      <c r="A6712" s="486" t="s">
        <v>1062</v>
      </c>
      <c r="B6712" s="487" t="s">
        <v>1061</v>
      </c>
      <c r="C6712" s="488" t="s">
        <v>21301</v>
      </c>
      <c r="D6712" s="489" t="s">
        <v>21302</v>
      </c>
      <c r="E6712" s="487" t="s">
        <v>21303</v>
      </c>
      <c r="F6712" s="490">
        <v>20000</v>
      </c>
      <c r="G6712" s="489">
        <v>212.3</v>
      </c>
      <c r="H6712" s="489">
        <v>94.206310000000002</v>
      </c>
      <c r="I6712" s="487" t="s">
        <v>1499</v>
      </c>
      <c r="J6712" s="487" t="s">
        <v>1063</v>
      </c>
    </row>
    <row r="6713" spans="1:10" ht="15" x14ac:dyDescent="0.2">
      <c r="A6713" s="486" t="s">
        <v>1062</v>
      </c>
      <c r="B6713" s="487" t="s">
        <v>1061</v>
      </c>
      <c r="C6713" s="488" t="s">
        <v>21304</v>
      </c>
      <c r="D6713" s="489" t="s">
        <v>21305</v>
      </c>
      <c r="E6713" s="487" t="s">
        <v>21306</v>
      </c>
      <c r="F6713" s="490">
        <v>8400</v>
      </c>
      <c r="G6713" s="489">
        <v>261.31</v>
      </c>
      <c r="H6713" s="489">
        <v>32.14573</v>
      </c>
      <c r="I6713" s="487" t="s">
        <v>1499</v>
      </c>
      <c r="J6713" s="487" t="s">
        <v>1063</v>
      </c>
    </row>
    <row r="6714" spans="1:10" ht="15" x14ac:dyDescent="0.2">
      <c r="A6714" s="486" t="s">
        <v>1062</v>
      </c>
      <c r="B6714" s="487" t="s">
        <v>1061</v>
      </c>
      <c r="C6714" s="488" t="s">
        <v>21307</v>
      </c>
      <c r="D6714" s="489" t="s">
        <v>21308</v>
      </c>
      <c r="E6714" s="487" t="s">
        <v>20133</v>
      </c>
      <c r="F6714" s="490">
        <v>0</v>
      </c>
      <c r="G6714" s="489">
        <v>7.98</v>
      </c>
      <c r="H6714" s="489">
        <v>0</v>
      </c>
      <c r="I6714" s="487" t="s">
        <v>1593</v>
      </c>
      <c r="J6714" s="487" t="s">
        <v>1063</v>
      </c>
    </row>
    <row r="6715" spans="1:10" ht="15" x14ac:dyDescent="0.2">
      <c r="A6715" s="486" t="s">
        <v>1062</v>
      </c>
      <c r="B6715" s="487" t="s">
        <v>1061</v>
      </c>
      <c r="C6715" s="488" t="s">
        <v>21309</v>
      </c>
      <c r="D6715" s="489" t="s">
        <v>21310</v>
      </c>
      <c r="E6715" s="487" t="s">
        <v>21311</v>
      </c>
      <c r="F6715" s="490">
        <v>30.27</v>
      </c>
      <c r="G6715" s="489">
        <v>1.38</v>
      </c>
      <c r="H6715" s="489">
        <v>21.93478</v>
      </c>
      <c r="I6715" s="487" t="s">
        <v>1499</v>
      </c>
      <c r="J6715" s="487" t="s">
        <v>1063</v>
      </c>
    </row>
    <row r="6716" spans="1:10" ht="15" x14ac:dyDescent="0.2">
      <c r="A6716" s="486" t="s">
        <v>1062</v>
      </c>
      <c r="B6716" s="487" t="s">
        <v>1061</v>
      </c>
      <c r="C6716" s="488" t="s">
        <v>21312</v>
      </c>
      <c r="D6716" s="489" t="s">
        <v>21313</v>
      </c>
      <c r="E6716" s="487" t="s">
        <v>21314</v>
      </c>
      <c r="F6716" s="490">
        <v>0</v>
      </c>
      <c r="G6716" s="489">
        <v>60.48</v>
      </c>
      <c r="H6716" s="489">
        <v>0</v>
      </c>
      <c r="I6716" s="487" t="s">
        <v>1593</v>
      </c>
      <c r="J6716" s="487" t="s">
        <v>1063</v>
      </c>
    </row>
    <row r="6717" spans="1:10" ht="15" x14ac:dyDescent="0.2">
      <c r="A6717" s="486" t="s">
        <v>1062</v>
      </c>
      <c r="B6717" s="487" t="s">
        <v>1061</v>
      </c>
      <c r="C6717" s="488" t="s">
        <v>21315</v>
      </c>
      <c r="D6717" s="489" t="s">
        <v>21316</v>
      </c>
      <c r="E6717" s="487" t="s">
        <v>21317</v>
      </c>
      <c r="F6717" s="490">
        <v>13200</v>
      </c>
      <c r="G6717" s="489">
        <v>546.04999999999995</v>
      </c>
      <c r="H6717" s="489">
        <v>24.17361</v>
      </c>
      <c r="I6717" s="487" t="s">
        <v>1499</v>
      </c>
      <c r="J6717" s="487" t="s">
        <v>1063</v>
      </c>
    </row>
    <row r="6718" spans="1:10" ht="15" x14ac:dyDescent="0.2">
      <c r="A6718" s="486" t="s">
        <v>1062</v>
      </c>
      <c r="B6718" s="487" t="s">
        <v>1061</v>
      </c>
      <c r="C6718" s="488" t="s">
        <v>21318</v>
      </c>
      <c r="D6718" s="489" t="s">
        <v>21319</v>
      </c>
      <c r="E6718" s="487" t="s">
        <v>21320</v>
      </c>
      <c r="F6718" s="490">
        <v>0</v>
      </c>
      <c r="G6718" s="489">
        <v>38.020000000000003</v>
      </c>
      <c r="H6718" s="489">
        <v>0</v>
      </c>
      <c r="I6718" s="487" t="s">
        <v>1593</v>
      </c>
      <c r="J6718" s="487" t="s">
        <v>1063</v>
      </c>
    </row>
    <row r="6719" spans="1:10" ht="15" x14ac:dyDescent="0.2">
      <c r="A6719" s="486" t="s">
        <v>1062</v>
      </c>
      <c r="B6719" s="487" t="s">
        <v>1061</v>
      </c>
      <c r="C6719" s="488" t="s">
        <v>21321</v>
      </c>
      <c r="D6719" s="489" t="s">
        <v>21322</v>
      </c>
      <c r="E6719" s="487" t="s">
        <v>21323</v>
      </c>
      <c r="F6719" s="490">
        <v>3427.92</v>
      </c>
      <c r="G6719" s="489">
        <v>149.88999999999999</v>
      </c>
      <c r="H6719" s="489">
        <v>22.86957</v>
      </c>
      <c r="I6719" s="487" t="s">
        <v>1499</v>
      </c>
      <c r="J6719" s="487" t="s">
        <v>1063</v>
      </c>
    </row>
    <row r="6720" spans="1:10" ht="15" x14ac:dyDescent="0.2">
      <c r="A6720" s="486" t="s">
        <v>1062</v>
      </c>
      <c r="B6720" s="487" t="s">
        <v>1061</v>
      </c>
      <c r="C6720" s="488" t="s">
        <v>21324</v>
      </c>
      <c r="D6720" s="489" t="s">
        <v>21325</v>
      </c>
      <c r="E6720" s="487" t="s">
        <v>21326</v>
      </c>
      <c r="F6720" s="490">
        <v>144500</v>
      </c>
      <c r="G6720" s="489">
        <v>1194.06</v>
      </c>
      <c r="H6720" s="489">
        <v>121.01569000000001</v>
      </c>
      <c r="I6720" s="487" t="s">
        <v>1499</v>
      </c>
      <c r="J6720" s="487" t="s">
        <v>1063</v>
      </c>
    </row>
    <row r="6721" spans="1:10" ht="15" x14ac:dyDescent="0.2">
      <c r="A6721" s="486" t="s">
        <v>1062</v>
      </c>
      <c r="B6721" s="487" t="s">
        <v>1061</v>
      </c>
      <c r="C6721" s="488" t="s">
        <v>21327</v>
      </c>
      <c r="D6721" s="489" t="s">
        <v>21328</v>
      </c>
      <c r="E6721" s="487" t="s">
        <v>15319</v>
      </c>
      <c r="F6721" s="490">
        <v>6400</v>
      </c>
      <c r="G6721" s="489">
        <v>196.71</v>
      </c>
      <c r="H6721" s="489">
        <v>32.535200000000003</v>
      </c>
      <c r="I6721" s="487" t="s">
        <v>1499</v>
      </c>
      <c r="J6721" s="487" t="s">
        <v>1063</v>
      </c>
    </row>
    <row r="6722" spans="1:10" ht="15" x14ac:dyDescent="0.2">
      <c r="A6722" s="486" t="s">
        <v>1062</v>
      </c>
      <c r="B6722" s="487" t="s">
        <v>1061</v>
      </c>
      <c r="C6722" s="488" t="s">
        <v>21329</v>
      </c>
      <c r="D6722" s="489" t="s">
        <v>21330</v>
      </c>
      <c r="E6722" s="487" t="s">
        <v>21331</v>
      </c>
      <c r="F6722" s="490">
        <v>8500</v>
      </c>
      <c r="G6722" s="489">
        <v>219.06</v>
      </c>
      <c r="H6722" s="489">
        <v>38.802149999999997</v>
      </c>
      <c r="I6722" s="487" t="s">
        <v>1499</v>
      </c>
      <c r="J6722" s="487" t="s">
        <v>1063</v>
      </c>
    </row>
    <row r="6723" spans="1:10" ht="15" x14ac:dyDescent="0.2">
      <c r="A6723" s="486" t="s">
        <v>1062</v>
      </c>
      <c r="B6723" s="487" t="s">
        <v>1061</v>
      </c>
      <c r="C6723" s="488" t="s">
        <v>21332</v>
      </c>
      <c r="D6723" s="489" t="s">
        <v>21333</v>
      </c>
      <c r="E6723" s="487" t="s">
        <v>21334</v>
      </c>
      <c r="F6723" s="490">
        <v>0</v>
      </c>
      <c r="G6723" s="489">
        <v>41.27</v>
      </c>
      <c r="H6723" s="489">
        <v>0</v>
      </c>
      <c r="I6723" s="487" t="s">
        <v>1593</v>
      </c>
      <c r="J6723" s="487" t="s">
        <v>1063</v>
      </c>
    </row>
    <row r="6724" spans="1:10" ht="15" x14ac:dyDescent="0.2">
      <c r="A6724" s="486" t="s">
        <v>1062</v>
      </c>
      <c r="B6724" s="487" t="s">
        <v>1061</v>
      </c>
      <c r="C6724" s="488" t="s">
        <v>21335</v>
      </c>
      <c r="D6724" s="489" t="s">
        <v>21336</v>
      </c>
      <c r="E6724" s="487" t="s">
        <v>21337</v>
      </c>
      <c r="F6724" s="490">
        <v>13300</v>
      </c>
      <c r="G6724" s="489">
        <v>153.24</v>
      </c>
      <c r="H6724" s="489">
        <v>86.791960000000003</v>
      </c>
      <c r="I6724" s="487" t="s">
        <v>1499</v>
      </c>
      <c r="J6724" s="487" t="s">
        <v>1063</v>
      </c>
    </row>
    <row r="6725" spans="1:10" ht="15" x14ac:dyDescent="0.2">
      <c r="A6725" s="486" t="s">
        <v>1062</v>
      </c>
      <c r="B6725" s="487" t="s">
        <v>1061</v>
      </c>
      <c r="C6725" s="488" t="s">
        <v>21338</v>
      </c>
      <c r="D6725" s="489" t="s">
        <v>21339</v>
      </c>
      <c r="E6725" s="487" t="s">
        <v>21340</v>
      </c>
      <c r="F6725" s="490">
        <v>473.75</v>
      </c>
      <c r="G6725" s="489">
        <v>12.3</v>
      </c>
      <c r="H6725" s="489">
        <v>38.516260000000003</v>
      </c>
      <c r="I6725" s="487" t="s">
        <v>1499</v>
      </c>
      <c r="J6725" s="487" t="s">
        <v>1063</v>
      </c>
    </row>
    <row r="6726" spans="1:10" ht="15" x14ac:dyDescent="0.2">
      <c r="A6726" s="486" t="s">
        <v>1062</v>
      </c>
      <c r="B6726" s="487" t="s">
        <v>1061</v>
      </c>
      <c r="C6726" s="488" t="s">
        <v>21341</v>
      </c>
      <c r="D6726" s="489" t="s">
        <v>21342</v>
      </c>
      <c r="E6726" s="487" t="s">
        <v>21343</v>
      </c>
      <c r="F6726" s="490">
        <v>8150</v>
      </c>
      <c r="G6726" s="489">
        <v>119.33</v>
      </c>
      <c r="H6726" s="489">
        <v>68.298000000000002</v>
      </c>
      <c r="I6726" s="487" t="s">
        <v>1499</v>
      </c>
      <c r="J6726" s="487" t="s">
        <v>1063</v>
      </c>
    </row>
    <row r="6727" spans="1:10" ht="15" x14ac:dyDescent="0.2">
      <c r="A6727" s="486" t="s">
        <v>1062</v>
      </c>
      <c r="B6727" s="487" t="s">
        <v>1061</v>
      </c>
      <c r="C6727" s="488" t="s">
        <v>21344</v>
      </c>
      <c r="D6727" s="489" t="s">
        <v>21345</v>
      </c>
      <c r="E6727" s="487" t="s">
        <v>21346</v>
      </c>
      <c r="F6727" s="490">
        <v>431.01</v>
      </c>
      <c r="G6727" s="489">
        <v>16.04</v>
      </c>
      <c r="H6727" s="489">
        <v>26.870950000000001</v>
      </c>
      <c r="I6727" s="487" t="s">
        <v>2465</v>
      </c>
      <c r="J6727" s="487" t="s">
        <v>1063</v>
      </c>
    </row>
    <row r="6728" spans="1:10" ht="15" x14ac:dyDescent="0.2">
      <c r="A6728" s="486" t="s">
        <v>1062</v>
      </c>
      <c r="B6728" s="487" t="s">
        <v>1061</v>
      </c>
      <c r="C6728" s="488" t="s">
        <v>21347</v>
      </c>
      <c r="D6728" s="489" t="s">
        <v>21348</v>
      </c>
      <c r="E6728" s="487" t="s">
        <v>21349</v>
      </c>
      <c r="F6728" s="490">
        <v>37379.31</v>
      </c>
      <c r="G6728" s="489">
        <v>800.62</v>
      </c>
      <c r="H6728" s="489">
        <v>46.687950000000001</v>
      </c>
      <c r="I6728" s="487" t="s">
        <v>1499</v>
      </c>
      <c r="J6728" s="487" t="s">
        <v>1063</v>
      </c>
    </row>
    <row r="6729" spans="1:10" ht="15" x14ac:dyDescent="0.2">
      <c r="A6729" s="486" t="s">
        <v>1062</v>
      </c>
      <c r="B6729" s="487" t="s">
        <v>1061</v>
      </c>
      <c r="C6729" s="488" t="s">
        <v>21350</v>
      </c>
      <c r="D6729" s="489" t="s">
        <v>21351</v>
      </c>
      <c r="E6729" s="487" t="s">
        <v>21352</v>
      </c>
      <c r="F6729" s="490">
        <v>2173.0500000000002</v>
      </c>
      <c r="G6729" s="489">
        <v>40.840000000000003</v>
      </c>
      <c r="H6729" s="489">
        <v>53.208860000000001</v>
      </c>
      <c r="I6729" s="487" t="s">
        <v>1499</v>
      </c>
      <c r="J6729" s="487" t="s">
        <v>1063</v>
      </c>
    </row>
    <row r="6730" spans="1:10" ht="15" x14ac:dyDescent="0.2">
      <c r="A6730" s="486" t="s">
        <v>1062</v>
      </c>
      <c r="B6730" s="487" t="s">
        <v>1061</v>
      </c>
      <c r="C6730" s="488" t="s">
        <v>21353</v>
      </c>
      <c r="D6730" s="489" t="s">
        <v>21354</v>
      </c>
      <c r="E6730" s="487" t="s">
        <v>21355</v>
      </c>
      <c r="F6730" s="490">
        <v>4750</v>
      </c>
      <c r="G6730" s="489">
        <v>134.78</v>
      </c>
      <c r="H6730" s="489">
        <v>35.242620000000002</v>
      </c>
      <c r="I6730" s="487" t="s">
        <v>1499</v>
      </c>
      <c r="J6730" s="487" t="s">
        <v>1063</v>
      </c>
    </row>
    <row r="6731" spans="1:10" ht="15" x14ac:dyDescent="0.2">
      <c r="A6731" s="486" t="s">
        <v>1062</v>
      </c>
      <c r="B6731" s="487" t="s">
        <v>1061</v>
      </c>
      <c r="C6731" s="488" t="s">
        <v>21356</v>
      </c>
      <c r="D6731" s="489" t="s">
        <v>21357</v>
      </c>
      <c r="E6731" s="487" t="s">
        <v>21358</v>
      </c>
      <c r="F6731" s="490">
        <v>7900</v>
      </c>
      <c r="G6731" s="489">
        <v>170.32</v>
      </c>
      <c r="H6731" s="489">
        <v>46.383279999999999</v>
      </c>
      <c r="I6731" s="487" t="s">
        <v>1499</v>
      </c>
      <c r="J6731" s="487" t="s">
        <v>1063</v>
      </c>
    </row>
    <row r="6732" spans="1:10" ht="15" x14ac:dyDescent="0.2">
      <c r="A6732" s="486" t="s">
        <v>1062</v>
      </c>
      <c r="B6732" s="487" t="s">
        <v>1061</v>
      </c>
      <c r="C6732" s="488" t="s">
        <v>21359</v>
      </c>
      <c r="D6732" s="489" t="s">
        <v>21360</v>
      </c>
      <c r="E6732" s="487" t="s">
        <v>21361</v>
      </c>
      <c r="F6732" s="490">
        <v>9000</v>
      </c>
      <c r="G6732" s="489">
        <v>181.98</v>
      </c>
      <c r="H6732" s="489">
        <v>49.455979999999997</v>
      </c>
      <c r="I6732" s="487" t="s">
        <v>1499</v>
      </c>
      <c r="J6732" s="487" t="s">
        <v>1063</v>
      </c>
    </row>
    <row r="6733" spans="1:10" ht="15" x14ac:dyDescent="0.2">
      <c r="A6733" s="486" t="s">
        <v>1062</v>
      </c>
      <c r="B6733" s="487" t="s">
        <v>1061</v>
      </c>
      <c r="C6733" s="488" t="s">
        <v>21362</v>
      </c>
      <c r="D6733" s="489" t="s">
        <v>21363</v>
      </c>
      <c r="E6733" s="487" t="s">
        <v>9373</v>
      </c>
      <c r="F6733" s="490">
        <v>117650</v>
      </c>
      <c r="G6733" s="489">
        <v>907.8</v>
      </c>
      <c r="H6733" s="489">
        <v>129.59903</v>
      </c>
      <c r="I6733" s="487" t="s">
        <v>1499</v>
      </c>
      <c r="J6733" s="487" t="s">
        <v>1063</v>
      </c>
    </row>
    <row r="6734" spans="1:10" ht="15" x14ac:dyDescent="0.2">
      <c r="A6734" s="486" t="s">
        <v>1062</v>
      </c>
      <c r="B6734" s="487" t="s">
        <v>1061</v>
      </c>
      <c r="C6734" s="488" t="s">
        <v>21364</v>
      </c>
      <c r="D6734" s="489" t="s">
        <v>21365</v>
      </c>
      <c r="E6734" s="487" t="s">
        <v>21366</v>
      </c>
      <c r="F6734" s="490">
        <v>8300</v>
      </c>
      <c r="G6734" s="489">
        <v>144.63</v>
      </c>
      <c r="H6734" s="489">
        <v>57.387819999999998</v>
      </c>
      <c r="I6734" s="487" t="s">
        <v>1499</v>
      </c>
      <c r="J6734" s="487" t="s">
        <v>1063</v>
      </c>
    </row>
    <row r="6735" spans="1:10" ht="15" x14ac:dyDescent="0.2">
      <c r="A6735" s="486" t="s">
        <v>1062</v>
      </c>
      <c r="B6735" s="487" t="s">
        <v>1061</v>
      </c>
      <c r="C6735" s="488" t="s">
        <v>21367</v>
      </c>
      <c r="D6735" s="489" t="s">
        <v>21368</v>
      </c>
      <c r="E6735" s="487" t="s">
        <v>21369</v>
      </c>
      <c r="F6735" s="490">
        <v>3050</v>
      </c>
      <c r="G6735" s="489">
        <v>117.01</v>
      </c>
      <c r="H6735" s="489">
        <v>26.06615</v>
      </c>
      <c r="I6735" s="487" t="s">
        <v>1499</v>
      </c>
      <c r="J6735" s="487" t="s">
        <v>1063</v>
      </c>
    </row>
    <row r="6736" spans="1:10" ht="15" x14ac:dyDescent="0.2">
      <c r="A6736" s="486" t="s">
        <v>1062</v>
      </c>
      <c r="B6736" s="487" t="s">
        <v>1061</v>
      </c>
      <c r="C6736" s="488" t="s">
        <v>21370</v>
      </c>
      <c r="D6736" s="489" t="s">
        <v>21371</v>
      </c>
      <c r="E6736" s="487" t="s">
        <v>21372</v>
      </c>
      <c r="F6736" s="490">
        <v>9286</v>
      </c>
      <c r="G6736" s="489">
        <v>174.33</v>
      </c>
      <c r="H6736" s="489">
        <v>53.26679</v>
      </c>
      <c r="I6736" s="487" t="s">
        <v>1499</v>
      </c>
      <c r="J6736" s="487" t="s">
        <v>1063</v>
      </c>
    </row>
    <row r="6737" spans="1:10" ht="15" x14ac:dyDescent="0.2">
      <c r="A6737" s="486" t="s">
        <v>1062</v>
      </c>
      <c r="B6737" s="487" t="s">
        <v>1061</v>
      </c>
      <c r="C6737" s="488" t="s">
        <v>21373</v>
      </c>
      <c r="D6737" s="489" t="s">
        <v>21374</v>
      </c>
      <c r="E6737" s="487" t="s">
        <v>21375</v>
      </c>
      <c r="F6737" s="490">
        <v>16377.31</v>
      </c>
      <c r="G6737" s="489">
        <v>295.94</v>
      </c>
      <c r="H6737" s="489">
        <v>55.339970000000001</v>
      </c>
      <c r="I6737" s="487" t="s">
        <v>1499</v>
      </c>
      <c r="J6737" s="487" t="s">
        <v>1063</v>
      </c>
    </row>
    <row r="6738" spans="1:10" ht="15" x14ac:dyDescent="0.2">
      <c r="A6738" s="486" t="s">
        <v>1062</v>
      </c>
      <c r="B6738" s="487" t="s">
        <v>1061</v>
      </c>
      <c r="C6738" s="488" t="s">
        <v>21376</v>
      </c>
      <c r="D6738" s="489" t="s">
        <v>21377</v>
      </c>
      <c r="E6738" s="487" t="s">
        <v>21378</v>
      </c>
      <c r="F6738" s="490">
        <v>1556.59</v>
      </c>
      <c r="G6738" s="489">
        <v>42.28</v>
      </c>
      <c r="H6738" s="489">
        <v>36.816229999999997</v>
      </c>
      <c r="I6738" s="487" t="s">
        <v>1499</v>
      </c>
      <c r="J6738" s="487" t="s">
        <v>1063</v>
      </c>
    </row>
    <row r="6739" spans="1:10" ht="15" x14ac:dyDescent="0.2">
      <c r="A6739" s="486" t="s">
        <v>1062</v>
      </c>
      <c r="B6739" s="487" t="s">
        <v>1061</v>
      </c>
      <c r="C6739" s="488" t="s">
        <v>21379</v>
      </c>
      <c r="D6739" s="489" t="s">
        <v>21380</v>
      </c>
      <c r="E6739" s="487" t="s">
        <v>21381</v>
      </c>
      <c r="F6739" s="490">
        <v>9000</v>
      </c>
      <c r="G6739" s="489">
        <v>235.39</v>
      </c>
      <c r="H6739" s="489">
        <v>38.23442</v>
      </c>
      <c r="I6739" s="487" t="s">
        <v>1499</v>
      </c>
      <c r="J6739" s="487" t="s">
        <v>1063</v>
      </c>
    </row>
    <row r="6740" spans="1:10" ht="15" x14ac:dyDescent="0.2">
      <c r="A6740" s="486" t="s">
        <v>1062</v>
      </c>
      <c r="B6740" s="487" t="s">
        <v>1061</v>
      </c>
      <c r="C6740" s="488" t="s">
        <v>21382</v>
      </c>
      <c r="D6740" s="489" t="s">
        <v>21383</v>
      </c>
      <c r="E6740" s="487" t="s">
        <v>21384</v>
      </c>
      <c r="F6740" s="490">
        <v>10870</v>
      </c>
      <c r="G6740" s="489">
        <v>137.44999999999999</v>
      </c>
      <c r="H6740" s="489">
        <v>79.083299999999994</v>
      </c>
      <c r="I6740" s="487" t="s">
        <v>1499</v>
      </c>
      <c r="J6740" s="487" t="s">
        <v>1063</v>
      </c>
    </row>
    <row r="6741" spans="1:10" ht="15" x14ac:dyDescent="0.2">
      <c r="A6741" s="486" t="s">
        <v>1062</v>
      </c>
      <c r="B6741" s="487" t="s">
        <v>1061</v>
      </c>
      <c r="C6741" s="488" t="s">
        <v>21385</v>
      </c>
      <c r="D6741" s="489" t="s">
        <v>21386</v>
      </c>
      <c r="E6741" s="487" t="s">
        <v>21387</v>
      </c>
      <c r="F6741" s="490">
        <v>0</v>
      </c>
      <c r="G6741" s="489">
        <v>45.55</v>
      </c>
      <c r="H6741" s="489">
        <v>0</v>
      </c>
      <c r="I6741" s="487" t="s">
        <v>1593</v>
      </c>
      <c r="J6741" s="487" t="s">
        <v>1063</v>
      </c>
    </row>
    <row r="6742" spans="1:10" ht="15" x14ac:dyDescent="0.2">
      <c r="A6742" s="486" t="s">
        <v>1062</v>
      </c>
      <c r="B6742" s="487" t="s">
        <v>1061</v>
      </c>
      <c r="C6742" s="488" t="s">
        <v>21388</v>
      </c>
      <c r="D6742" s="489" t="s">
        <v>21389</v>
      </c>
      <c r="E6742" s="487" t="s">
        <v>21390</v>
      </c>
      <c r="F6742" s="490">
        <v>1715.2</v>
      </c>
      <c r="G6742" s="489">
        <v>124.65</v>
      </c>
      <c r="H6742" s="489">
        <v>13.76013</v>
      </c>
      <c r="I6742" s="487" t="s">
        <v>1499</v>
      </c>
      <c r="J6742" s="487" t="s">
        <v>1063</v>
      </c>
    </row>
    <row r="6743" spans="1:10" ht="15" x14ac:dyDescent="0.2">
      <c r="A6743" s="486" t="s">
        <v>1062</v>
      </c>
      <c r="B6743" s="487" t="s">
        <v>1061</v>
      </c>
      <c r="C6743" s="488" t="s">
        <v>21391</v>
      </c>
      <c r="D6743" s="489" t="s">
        <v>21392</v>
      </c>
      <c r="E6743" s="487" t="s">
        <v>9183</v>
      </c>
      <c r="F6743" s="490">
        <v>0</v>
      </c>
      <c r="G6743" s="489">
        <v>11.36</v>
      </c>
      <c r="H6743" s="489">
        <v>0</v>
      </c>
      <c r="I6743" s="487" t="s">
        <v>1593</v>
      </c>
      <c r="J6743" s="487" t="s">
        <v>1063</v>
      </c>
    </row>
    <row r="6744" spans="1:10" ht="15" x14ac:dyDescent="0.2">
      <c r="A6744" s="486" t="s">
        <v>1062</v>
      </c>
      <c r="B6744" s="487" t="s">
        <v>1061</v>
      </c>
      <c r="C6744" s="488" t="s">
        <v>21393</v>
      </c>
      <c r="D6744" s="489" t="s">
        <v>21394</v>
      </c>
      <c r="E6744" s="487" t="s">
        <v>21395</v>
      </c>
      <c r="F6744" s="490">
        <v>45000</v>
      </c>
      <c r="G6744" s="489">
        <v>2401.35</v>
      </c>
      <c r="H6744" s="489">
        <v>18.739460000000001</v>
      </c>
      <c r="I6744" s="487" t="s">
        <v>1499</v>
      </c>
      <c r="J6744" s="487" t="s">
        <v>1063</v>
      </c>
    </row>
    <row r="6745" spans="1:10" ht="15" x14ac:dyDescent="0.2">
      <c r="A6745" s="486" t="s">
        <v>1062</v>
      </c>
      <c r="B6745" s="487" t="s">
        <v>1061</v>
      </c>
      <c r="C6745" s="488" t="s">
        <v>21396</v>
      </c>
      <c r="D6745" s="489" t="s">
        <v>21397</v>
      </c>
      <c r="E6745" s="487" t="s">
        <v>21398</v>
      </c>
      <c r="F6745" s="490">
        <v>0</v>
      </c>
      <c r="G6745" s="489">
        <v>26.05</v>
      </c>
      <c r="H6745" s="489">
        <v>0</v>
      </c>
      <c r="I6745" s="487" t="s">
        <v>1593</v>
      </c>
      <c r="J6745" s="487" t="s">
        <v>1063</v>
      </c>
    </row>
    <row r="6746" spans="1:10" ht="15" x14ac:dyDescent="0.2">
      <c r="A6746" s="486" t="s">
        <v>1062</v>
      </c>
      <c r="B6746" s="487" t="s">
        <v>1061</v>
      </c>
      <c r="C6746" s="488" t="s">
        <v>21399</v>
      </c>
      <c r="D6746" s="489" t="s">
        <v>21400</v>
      </c>
      <c r="E6746" s="487" t="s">
        <v>21401</v>
      </c>
      <c r="F6746" s="490">
        <v>0</v>
      </c>
      <c r="G6746" s="489">
        <v>116.51</v>
      </c>
      <c r="H6746" s="489">
        <v>0</v>
      </c>
      <c r="I6746" s="487" t="s">
        <v>1593</v>
      </c>
      <c r="J6746" s="487" t="s">
        <v>1063</v>
      </c>
    </row>
    <row r="6747" spans="1:10" ht="15" x14ac:dyDescent="0.2">
      <c r="A6747" s="486" t="s">
        <v>1062</v>
      </c>
      <c r="B6747" s="487" t="s">
        <v>1061</v>
      </c>
      <c r="C6747" s="488" t="s">
        <v>21402</v>
      </c>
      <c r="D6747" s="489" t="s">
        <v>21403</v>
      </c>
      <c r="E6747" s="487" t="s">
        <v>21404</v>
      </c>
      <c r="F6747" s="490">
        <v>0</v>
      </c>
      <c r="G6747" s="489">
        <v>34.64</v>
      </c>
      <c r="H6747" s="489">
        <v>0</v>
      </c>
      <c r="I6747" s="487" t="s">
        <v>1593</v>
      </c>
      <c r="J6747" s="487" t="s">
        <v>1063</v>
      </c>
    </row>
    <row r="6748" spans="1:10" ht="15" x14ac:dyDescent="0.2">
      <c r="A6748" s="486" t="s">
        <v>1062</v>
      </c>
      <c r="B6748" s="487" t="s">
        <v>1061</v>
      </c>
      <c r="C6748" s="488" t="s">
        <v>21405</v>
      </c>
      <c r="D6748" s="489" t="s">
        <v>21406</v>
      </c>
      <c r="E6748" s="487" t="s">
        <v>21407</v>
      </c>
      <c r="F6748" s="490">
        <v>6000</v>
      </c>
      <c r="G6748" s="489">
        <v>617.38</v>
      </c>
      <c r="H6748" s="489">
        <v>9.7184899999999992</v>
      </c>
      <c r="I6748" s="487" t="s">
        <v>1499</v>
      </c>
      <c r="J6748" s="487" t="s">
        <v>1063</v>
      </c>
    </row>
    <row r="6749" spans="1:10" ht="15" x14ac:dyDescent="0.2">
      <c r="A6749" s="486" t="s">
        <v>1062</v>
      </c>
      <c r="B6749" s="487" t="s">
        <v>1061</v>
      </c>
      <c r="C6749" s="488" t="s">
        <v>21408</v>
      </c>
      <c r="D6749" s="489" t="s">
        <v>21409</v>
      </c>
      <c r="E6749" s="487" t="s">
        <v>21410</v>
      </c>
      <c r="F6749" s="490">
        <v>342.2</v>
      </c>
      <c r="G6749" s="489">
        <v>44.4</v>
      </c>
      <c r="H6749" s="489">
        <v>7.7072099999999999</v>
      </c>
      <c r="I6749" s="487" t="s">
        <v>1499</v>
      </c>
      <c r="J6749" s="487" t="s">
        <v>1063</v>
      </c>
    </row>
    <row r="6750" spans="1:10" ht="15" x14ac:dyDescent="0.2">
      <c r="A6750" s="486" t="s">
        <v>1062</v>
      </c>
      <c r="B6750" s="487" t="s">
        <v>1061</v>
      </c>
      <c r="C6750" s="488" t="s">
        <v>21411</v>
      </c>
      <c r="D6750" s="489" t="s">
        <v>21412</v>
      </c>
      <c r="E6750" s="487" t="s">
        <v>21413</v>
      </c>
      <c r="F6750" s="490">
        <v>6264</v>
      </c>
      <c r="G6750" s="489">
        <v>120.8</v>
      </c>
      <c r="H6750" s="489">
        <v>51.854300000000002</v>
      </c>
      <c r="I6750" s="487" t="s">
        <v>1499</v>
      </c>
      <c r="J6750" s="487" t="s">
        <v>1063</v>
      </c>
    </row>
    <row r="6751" spans="1:10" ht="15" x14ac:dyDescent="0.2">
      <c r="A6751" s="486" t="s">
        <v>1062</v>
      </c>
      <c r="B6751" s="487" t="s">
        <v>1061</v>
      </c>
      <c r="C6751" s="488" t="s">
        <v>21414</v>
      </c>
      <c r="D6751" s="489" t="s">
        <v>21415</v>
      </c>
      <c r="E6751" s="487" t="s">
        <v>21416</v>
      </c>
      <c r="F6751" s="490">
        <v>1554.96</v>
      </c>
      <c r="G6751" s="489">
        <v>45.51</v>
      </c>
      <c r="H6751" s="489">
        <v>34.167439999999999</v>
      </c>
      <c r="I6751" s="487" t="s">
        <v>1499</v>
      </c>
      <c r="J6751" s="487" t="s">
        <v>1063</v>
      </c>
    </row>
    <row r="6752" spans="1:10" ht="15" x14ac:dyDescent="0.2">
      <c r="A6752" s="486" t="s">
        <v>1062</v>
      </c>
      <c r="B6752" s="487" t="s">
        <v>1061</v>
      </c>
      <c r="C6752" s="488" t="s">
        <v>21417</v>
      </c>
      <c r="D6752" s="489" t="s">
        <v>21418</v>
      </c>
      <c r="E6752" s="487" t="s">
        <v>21419</v>
      </c>
      <c r="F6752" s="490">
        <v>1877.98</v>
      </c>
      <c r="G6752" s="489">
        <v>56.01</v>
      </c>
      <c r="H6752" s="489">
        <v>33.52937</v>
      </c>
      <c r="I6752" s="487" t="s">
        <v>1499</v>
      </c>
      <c r="J6752" s="487" t="s">
        <v>1063</v>
      </c>
    </row>
    <row r="6753" spans="1:10" ht="15" x14ac:dyDescent="0.2">
      <c r="A6753" s="486" t="s">
        <v>1062</v>
      </c>
      <c r="B6753" s="487" t="s">
        <v>1061</v>
      </c>
      <c r="C6753" s="488" t="s">
        <v>21420</v>
      </c>
      <c r="D6753" s="489" t="s">
        <v>21421</v>
      </c>
      <c r="E6753" s="487" t="s">
        <v>21422</v>
      </c>
      <c r="F6753" s="490">
        <v>8078</v>
      </c>
      <c r="G6753" s="489">
        <v>266.05</v>
      </c>
      <c r="H6753" s="489">
        <v>30.36271</v>
      </c>
      <c r="I6753" s="487" t="s">
        <v>1499</v>
      </c>
      <c r="J6753" s="487" t="s">
        <v>1063</v>
      </c>
    </row>
    <row r="6754" spans="1:10" ht="15" x14ac:dyDescent="0.2">
      <c r="A6754" s="486" t="s">
        <v>1062</v>
      </c>
      <c r="B6754" s="487" t="s">
        <v>1061</v>
      </c>
      <c r="C6754" s="488" t="s">
        <v>21423</v>
      </c>
      <c r="D6754" s="489" t="s">
        <v>21424</v>
      </c>
      <c r="E6754" s="487" t="s">
        <v>21425</v>
      </c>
      <c r="F6754" s="490">
        <v>8160</v>
      </c>
      <c r="G6754" s="489">
        <v>263.72000000000003</v>
      </c>
      <c r="H6754" s="489">
        <v>30.94191</v>
      </c>
      <c r="I6754" s="487" t="s">
        <v>1499</v>
      </c>
      <c r="J6754" s="487" t="s">
        <v>1063</v>
      </c>
    </row>
    <row r="6755" spans="1:10" ht="15" x14ac:dyDescent="0.2">
      <c r="A6755" s="486" t="s">
        <v>1062</v>
      </c>
      <c r="B6755" s="487" t="s">
        <v>1061</v>
      </c>
      <c r="C6755" s="488" t="s">
        <v>21426</v>
      </c>
      <c r="D6755" s="489" t="s">
        <v>21427</v>
      </c>
      <c r="E6755" s="487" t="s">
        <v>21428</v>
      </c>
      <c r="F6755" s="490">
        <v>14175</v>
      </c>
      <c r="G6755" s="489">
        <v>198.81</v>
      </c>
      <c r="H6755" s="489">
        <v>71.299229999999994</v>
      </c>
      <c r="I6755" s="487" t="s">
        <v>1499</v>
      </c>
      <c r="J6755" s="487" t="s">
        <v>1063</v>
      </c>
    </row>
    <row r="6756" spans="1:10" ht="15" x14ac:dyDescent="0.2">
      <c r="A6756" s="486" t="s">
        <v>1062</v>
      </c>
      <c r="B6756" s="487" t="s">
        <v>1061</v>
      </c>
      <c r="C6756" s="488" t="s">
        <v>21429</v>
      </c>
      <c r="D6756" s="489" t="s">
        <v>21430</v>
      </c>
      <c r="E6756" s="487" t="s">
        <v>21431</v>
      </c>
      <c r="F6756" s="490">
        <v>4900</v>
      </c>
      <c r="G6756" s="489">
        <v>166.2</v>
      </c>
      <c r="H6756" s="489">
        <v>29.48255</v>
      </c>
      <c r="I6756" s="487" t="s">
        <v>1499</v>
      </c>
      <c r="J6756" s="487" t="s">
        <v>1063</v>
      </c>
    </row>
    <row r="6757" spans="1:10" ht="15" x14ac:dyDescent="0.2">
      <c r="A6757" s="486" t="s">
        <v>1062</v>
      </c>
      <c r="B6757" s="487" t="s">
        <v>1061</v>
      </c>
      <c r="C6757" s="488" t="s">
        <v>21432</v>
      </c>
      <c r="D6757" s="489" t="s">
        <v>21433</v>
      </c>
      <c r="E6757" s="487" t="s">
        <v>21434</v>
      </c>
      <c r="F6757" s="490">
        <v>8400</v>
      </c>
      <c r="G6757" s="489">
        <v>248.83</v>
      </c>
      <c r="H6757" s="489">
        <v>33.757989999999999</v>
      </c>
      <c r="I6757" s="487" t="s">
        <v>1499</v>
      </c>
      <c r="J6757" s="487" t="s">
        <v>1063</v>
      </c>
    </row>
    <row r="6758" spans="1:10" ht="15" x14ac:dyDescent="0.2">
      <c r="A6758" s="486" t="s">
        <v>1062</v>
      </c>
      <c r="B6758" s="487" t="s">
        <v>1061</v>
      </c>
      <c r="C6758" s="488" t="s">
        <v>21435</v>
      </c>
      <c r="D6758" s="489" t="s">
        <v>21436</v>
      </c>
      <c r="E6758" s="487" t="s">
        <v>21437</v>
      </c>
      <c r="F6758" s="490">
        <v>0</v>
      </c>
      <c r="G6758" s="489">
        <v>57.29</v>
      </c>
      <c r="H6758" s="489">
        <v>0</v>
      </c>
      <c r="I6758" s="487" t="s">
        <v>2465</v>
      </c>
      <c r="J6758" s="487" t="s">
        <v>1063</v>
      </c>
    </row>
    <row r="6759" spans="1:10" ht="15" x14ac:dyDescent="0.2">
      <c r="A6759" s="486" t="s">
        <v>1062</v>
      </c>
      <c r="B6759" s="487" t="s">
        <v>1061</v>
      </c>
      <c r="C6759" s="488" t="s">
        <v>21438</v>
      </c>
      <c r="D6759" s="489" t="s">
        <v>21439</v>
      </c>
      <c r="E6759" s="487" t="s">
        <v>21440</v>
      </c>
      <c r="F6759" s="490">
        <v>20000</v>
      </c>
      <c r="G6759" s="489">
        <v>551.41999999999996</v>
      </c>
      <c r="H6759" s="489">
        <v>36.26999</v>
      </c>
      <c r="I6759" s="487" t="s">
        <v>1499</v>
      </c>
      <c r="J6759" s="487" t="s">
        <v>1063</v>
      </c>
    </row>
    <row r="6760" spans="1:10" ht="15" x14ac:dyDescent="0.2">
      <c r="A6760" s="486" t="s">
        <v>1062</v>
      </c>
      <c r="B6760" s="487" t="s">
        <v>1061</v>
      </c>
      <c r="C6760" s="488" t="s">
        <v>21441</v>
      </c>
      <c r="D6760" s="489" t="s">
        <v>21442</v>
      </c>
      <c r="E6760" s="487" t="s">
        <v>21443</v>
      </c>
      <c r="F6760" s="490">
        <v>10500</v>
      </c>
      <c r="G6760" s="489">
        <v>282.26</v>
      </c>
      <c r="H6760" s="489">
        <v>37.199739999999998</v>
      </c>
      <c r="I6760" s="487" t="s">
        <v>1499</v>
      </c>
      <c r="J6760" s="487" t="s">
        <v>1063</v>
      </c>
    </row>
    <row r="6761" spans="1:10" ht="15" x14ac:dyDescent="0.2">
      <c r="A6761" s="486" t="s">
        <v>1062</v>
      </c>
      <c r="B6761" s="487" t="s">
        <v>1061</v>
      </c>
      <c r="C6761" s="488" t="s">
        <v>21444</v>
      </c>
      <c r="D6761" s="489" t="s">
        <v>21445</v>
      </c>
      <c r="E6761" s="487" t="s">
        <v>21446</v>
      </c>
      <c r="F6761" s="490">
        <v>1791.54</v>
      </c>
      <c r="G6761" s="489">
        <v>44.1</v>
      </c>
      <c r="H6761" s="489">
        <v>40.624490000000002</v>
      </c>
      <c r="I6761" s="487" t="s">
        <v>2465</v>
      </c>
      <c r="J6761" s="487" t="s">
        <v>1063</v>
      </c>
    </row>
    <row r="6762" spans="1:10" ht="15" x14ac:dyDescent="0.2">
      <c r="A6762" s="486" t="s">
        <v>1062</v>
      </c>
      <c r="B6762" s="487" t="s">
        <v>1061</v>
      </c>
      <c r="C6762" s="488" t="s">
        <v>21447</v>
      </c>
      <c r="D6762" s="489" t="s">
        <v>21448</v>
      </c>
      <c r="E6762" s="487" t="s">
        <v>21449</v>
      </c>
      <c r="F6762" s="490">
        <v>102650</v>
      </c>
      <c r="G6762" s="489">
        <v>1392.74</v>
      </c>
      <c r="H6762" s="489">
        <v>73.703630000000004</v>
      </c>
      <c r="I6762" s="487" t="s">
        <v>1499</v>
      </c>
      <c r="J6762" s="487" t="s">
        <v>1063</v>
      </c>
    </row>
    <row r="6763" spans="1:10" ht="15" x14ac:dyDescent="0.2">
      <c r="A6763" s="486" t="s">
        <v>1062</v>
      </c>
      <c r="B6763" s="487" t="s">
        <v>1061</v>
      </c>
      <c r="C6763" s="488" t="s">
        <v>21450</v>
      </c>
      <c r="D6763" s="489" t="s">
        <v>21451</v>
      </c>
      <c r="E6763" s="487" t="s">
        <v>21452</v>
      </c>
      <c r="F6763" s="490">
        <v>2241.6</v>
      </c>
      <c r="G6763" s="489">
        <v>102.21</v>
      </c>
      <c r="H6763" s="489">
        <v>21.931319999999999</v>
      </c>
      <c r="I6763" s="487" t="s">
        <v>1499</v>
      </c>
      <c r="J6763" s="487" t="s">
        <v>1063</v>
      </c>
    </row>
    <row r="6764" spans="1:10" ht="15" x14ac:dyDescent="0.2">
      <c r="A6764" s="486" t="s">
        <v>1062</v>
      </c>
      <c r="B6764" s="487" t="s">
        <v>1061</v>
      </c>
      <c r="C6764" s="488" t="s">
        <v>21453</v>
      </c>
      <c r="D6764" s="489" t="s">
        <v>21454</v>
      </c>
      <c r="E6764" s="487" t="s">
        <v>21455</v>
      </c>
      <c r="F6764" s="490">
        <v>237867</v>
      </c>
      <c r="G6764" s="489">
        <v>6431.28</v>
      </c>
      <c r="H6764" s="489">
        <v>36.985950000000003</v>
      </c>
      <c r="I6764" s="487" t="s">
        <v>1499</v>
      </c>
      <c r="J6764" s="487" t="s">
        <v>1063</v>
      </c>
    </row>
    <row r="6765" spans="1:10" ht="15" x14ac:dyDescent="0.2">
      <c r="A6765" s="486" t="s">
        <v>1062</v>
      </c>
      <c r="B6765" s="487" t="s">
        <v>1061</v>
      </c>
      <c r="C6765" s="488" t="s">
        <v>21456</v>
      </c>
      <c r="D6765" s="489" t="s">
        <v>21457</v>
      </c>
      <c r="E6765" s="487" t="s">
        <v>21458</v>
      </c>
      <c r="F6765" s="490">
        <v>5877.13</v>
      </c>
      <c r="G6765" s="489">
        <v>179.53</v>
      </c>
      <c r="H6765" s="489">
        <v>32.736199999999997</v>
      </c>
      <c r="I6765" s="487" t="s">
        <v>1499</v>
      </c>
      <c r="J6765" s="487" t="s">
        <v>1063</v>
      </c>
    </row>
    <row r="6766" spans="1:10" ht="15" x14ac:dyDescent="0.2">
      <c r="A6766" s="486" t="s">
        <v>1062</v>
      </c>
      <c r="B6766" s="487" t="s">
        <v>1061</v>
      </c>
      <c r="C6766" s="488" t="s">
        <v>21459</v>
      </c>
      <c r="D6766" s="489" t="s">
        <v>21460</v>
      </c>
      <c r="E6766" s="487" t="s">
        <v>21461</v>
      </c>
      <c r="F6766" s="490">
        <v>333.55</v>
      </c>
      <c r="G6766" s="489">
        <v>9.06</v>
      </c>
      <c r="H6766" s="489">
        <v>36.815669999999997</v>
      </c>
      <c r="I6766" s="487" t="s">
        <v>1499</v>
      </c>
      <c r="J6766" s="487" t="s">
        <v>1063</v>
      </c>
    </row>
    <row r="6767" spans="1:10" ht="15" x14ac:dyDescent="0.2">
      <c r="A6767" s="486" t="s">
        <v>1062</v>
      </c>
      <c r="B6767" s="487" t="s">
        <v>1061</v>
      </c>
      <c r="C6767" s="488" t="s">
        <v>21462</v>
      </c>
      <c r="D6767" s="489" t="s">
        <v>21463</v>
      </c>
      <c r="E6767" s="487" t="s">
        <v>21464</v>
      </c>
      <c r="F6767" s="490">
        <v>13500</v>
      </c>
      <c r="G6767" s="489">
        <v>190.93</v>
      </c>
      <c r="H6767" s="489">
        <v>70.706540000000004</v>
      </c>
      <c r="I6767" s="487" t="s">
        <v>1499</v>
      </c>
      <c r="J6767" s="487" t="s">
        <v>1063</v>
      </c>
    </row>
    <row r="6768" spans="1:10" ht="15" x14ac:dyDescent="0.2">
      <c r="A6768" s="486" t="s">
        <v>1062</v>
      </c>
      <c r="B6768" s="487" t="s">
        <v>1061</v>
      </c>
      <c r="C6768" s="488" t="s">
        <v>21465</v>
      </c>
      <c r="D6768" s="489" t="s">
        <v>21466</v>
      </c>
      <c r="E6768" s="487" t="s">
        <v>21467</v>
      </c>
      <c r="F6768" s="490">
        <v>1220.24</v>
      </c>
      <c r="G6768" s="489">
        <v>29.93</v>
      </c>
      <c r="H6768" s="489">
        <v>40.769799999999996</v>
      </c>
      <c r="I6768" s="487" t="s">
        <v>1499</v>
      </c>
      <c r="J6768" s="487" t="s">
        <v>1063</v>
      </c>
    </row>
    <row r="6769" spans="1:10" ht="15" x14ac:dyDescent="0.2">
      <c r="A6769" s="486" t="s">
        <v>1062</v>
      </c>
      <c r="B6769" s="487" t="s">
        <v>1061</v>
      </c>
      <c r="C6769" s="488" t="s">
        <v>21468</v>
      </c>
      <c r="D6769" s="489" t="s">
        <v>21469</v>
      </c>
      <c r="E6769" s="487" t="s">
        <v>21470</v>
      </c>
      <c r="F6769" s="490">
        <v>0</v>
      </c>
      <c r="G6769" s="489">
        <v>454.93</v>
      </c>
      <c r="H6769" s="489">
        <v>0</v>
      </c>
      <c r="I6769" s="487" t="s">
        <v>1593</v>
      </c>
      <c r="J6769" s="487" t="s">
        <v>1063</v>
      </c>
    </row>
    <row r="6770" spans="1:10" ht="15" x14ac:dyDescent="0.2">
      <c r="A6770" s="486" t="s">
        <v>1062</v>
      </c>
      <c r="B6770" s="487" t="s">
        <v>1061</v>
      </c>
      <c r="C6770" s="488" t="s">
        <v>21471</v>
      </c>
      <c r="D6770" s="489" t="s">
        <v>21472</v>
      </c>
      <c r="E6770" s="487" t="s">
        <v>21473</v>
      </c>
      <c r="F6770" s="490">
        <v>0</v>
      </c>
      <c r="G6770" s="489">
        <v>44.56</v>
      </c>
      <c r="H6770" s="489">
        <v>0</v>
      </c>
      <c r="I6770" s="487" t="s">
        <v>1593</v>
      </c>
      <c r="J6770" s="487" t="s">
        <v>1063</v>
      </c>
    </row>
    <row r="6771" spans="1:10" ht="15" x14ac:dyDescent="0.2">
      <c r="A6771" s="486" t="s">
        <v>1062</v>
      </c>
      <c r="B6771" s="487" t="s">
        <v>1061</v>
      </c>
      <c r="C6771" s="488" t="s">
        <v>21474</v>
      </c>
      <c r="D6771" s="489" t="s">
        <v>21475</v>
      </c>
      <c r="E6771" s="487" t="s">
        <v>21476</v>
      </c>
      <c r="F6771" s="490">
        <v>1770</v>
      </c>
      <c r="G6771" s="489">
        <v>77.37</v>
      </c>
      <c r="H6771" s="489">
        <v>22.877079999999999</v>
      </c>
      <c r="I6771" s="487" t="s">
        <v>1499</v>
      </c>
      <c r="J6771" s="487" t="s">
        <v>1063</v>
      </c>
    </row>
    <row r="6772" spans="1:10" ht="15" x14ac:dyDescent="0.2">
      <c r="A6772" s="486" t="s">
        <v>1062</v>
      </c>
      <c r="B6772" s="487" t="s">
        <v>1061</v>
      </c>
      <c r="C6772" s="488" t="s">
        <v>21477</v>
      </c>
      <c r="D6772" s="489" t="s">
        <v>21478</v>
      </c>
      <c r="E6772" s="487" t="s">
        <v>21479</v>
      </c>
      <c r="F6772" s="490">
        <v>0</v>
      </c>
      <c r="G6772" s="489">
        <v>144.04</v>
      </c>
      <c r="H6772" s="489">
        <v>0</v>
      </c>
      <c r="I6772" s="487" t="s">
        <v>1593</v>
      </c>
      <c r="J6772" s="487" t="s">
        <v>1063</v>
      </c>
    </row>
    <row r="6773" spans="1:10" ht="15" x14ac:dyDescent="0.2">
      <c r="A6773" s="486" t="s">
        <v>1062</v>
      </c>
      <c r="B6773" s="487" t="s">
        <v>1061</v>
      </c>
      <c r="C6773" s="488" t="s">
        <v>21480</v>
      </c>
      <c r="D6773" s="489" t="s">
        <v>21481</v>
      </c>
      <c r="E6773" s="487" t="s">
        <v>21482</v>
      </c>
      <c r="F6773" s="490">
        <v>321.25</v>
      </c>
      <c r="G6773" s="489">
        <v>13.59</v>
      </c>
      <c r="H6773" s="489">
        <v>23.6387</v>
      </c>
      <c r="I6773" s="487" t="s">
        <v>1499</v>
      </c>
      <c r="J6773" s="487" t="s">
        <v>1063</v>
      </c>
    </row>
    <row r="6774" spans="1:10" ht="15" x14ac:dyDescent="0.2">
      <c r="A6774" s="486" t="s">
        <v>1062</v>
      </c>
      <c r="B6774" s="487" t="s">
        <v>1061</v>
      </c>
      <c r="C6774" s="488" t="s">
        <v>21483</v>
      </c>
      <c r="D6774" s="489" t="s">
        <v>21484</v>
      </c>
      <c r="E6774" s="487" t="s">
        <v>21485</v>
      </c>
      <c r="F6774" s="490">
        <v>2499.27</v>
      </c>
      <c r="G6774" s="489">
        <v>23.55</v>
      </c>
      <c r="H6774" s="489">
        <v>106.12611</v>
      </c>
      <c r="I6774" s="487" t="s">
        <v>2465</v>
      </c>
      <c r="J6774" s="487" t="s">
        <v>1063</v>
      </c>
    </row>
    <row r="6775" spans="1:10" ht="15" x14ac:dyDescent="0.2">
      <c r="A6775" s="486" t="s">
        <v>1062</v>
      </c>
      <c r="B6775" s="487" t="s">
        <v>1061</v>
      </c>
      <c r="C6775" s="488" t="s">
        <v>21486</v>
      </c>
      <c r="D6775" s="489" t="s">
        <v>21487</v>
      </c>
      <c r="E6775" s="487" t="s">
        <v>21488</v>
      </c>
      <c r="F6775" s="490">
        <v>0</v>
      </c>
      <c r="G6775" s="489">
        <v>3.55</v>
      </c>
      <c r="H6775" s="489">
        <v>0</v>
      </c>
      <c r="I6775" s="487" t="s">
        <v>1593</v>
      </c>
      <c r="J6775" s="487" t="s">
        <v>1063</v>
      </c>
    </row>
    <row r="6776" spans="1:10" ht="15" x14ac:dyDescent="0.2">
      <c r="A6776" s="486" t="s">
        <v>1062</v>
      </c>
      <c r="B6776" s="487" t="s">
        <v>1061</v>
      </c>
      <c r="C6776" s="488" t="s">
        <v>21489</v>
      </c>
      <c r="D6776" s="489" t="s">
        <v>21490</v>
      </c>
      <c r="E6776" s="487" t="s">
        <v>21491</v>
      </c>
      <c r="F6776" s="490">
        <v>2000</v>
      </c>
      <c r="G6776" s="489">
        <v>147.96</v>
      </c>
      <c r="H6776" s="489">
        <v>13.51717</v>
      </c>
      <c r="I6776" s="487" t="s">
        <v>1499</v>
      </c>
      <c r="J6776" s="487" t="s">
        <v>1063</v>
      </c>
    </row>
    <row r="6777" spans="1:10" ht="15" x14ac:dyDescent="0.2">
      <c r="A6777" s="486" t="s">
        <v>1062</v>
      </c>
      <c r="B6777" s="487" t="s">
        <v>1061</v>
      </c>
      <c r="C6777" s="488" t="s">
        <v>21492</v>
      </c>
      <c r="D6777" s="489" t="s">
        <v>21493</v>
      </c>
      <c r="E6777" s="487" t="s">
        <v>21494</v>
      </c>
      <c r="F6777" s="490">
        <v>3909.74</v>
      </c>
      <c r="G6777" s="489">
        <v>65.84</v>
      </c>
      <c r="H6777" s="489">
        <v>59.382440000000003</v>
      </c>
      <c r="I6777" s="487" t="s">
        <v>2465</v>
      </c>
      <c r="J6777" s="487" t="s">
        <v>1063</v>
      </c>
    </row>
    <row r="6778" spans="1:10" ht="15" x14ac:dyDescent="0.2">
      <c r="A6778" s="486" t="s">
        <v>1062</v>
      </c>
      <c r="B6778" s="487" t="s">
        <v>1061</v>
      </c>
      <c r="C6778" s="488" t="s">
        <v>21495</v>
      </c>
      <c r="D6778" s="489" t="s">
        <v>21496</v>
      </c>
      <c r="E6778" s="487" t="s">
        <v>21497</v>
      </c>
      <c r="F6778" s="490">
        <v>0</v>
      </c>
      <c r="G6778" s="489">
        <v>51.91</v>
      </c>
      <c r="H6778" s="489">
        <v>0</v>
      </c>
      <c r="I6778" s="487" t="s">
        <v>1593</v>
      </c>
      <c r="J6778" s="487" t="s">
        <v>1063</v>
      </c>
    </row>
    <row r="6779" spans="1:10" ht="15" x14ac:dyDescent="0.2">
      <c r="A6779" s="486" t="s">
        <v>1062</v>
      </c>
      <c r="B6779" s="487" t="s">
        <v>1061</v>
      </c>
      <c r="C6779" s="488" t="s">
        <v>21498</v>
      </c>
      <c r="D6779" s="489" t="s">
        <v>21499</v>
      </c>
      <c r="E6779" s="487" t="s">
        <v>21500</v>
      </c>
      <c r="F6779" s="490">
        <v>91055</v>
      </c>
      <c r="G6779" s="489">
        <v>1089.32</v>
      </c>
      <c r="H6779" s="489">
        <v>83.588840000000005</v>
      </c>
      <c r="I6779" s="487" t="s">
        <v>1499</v>
      </c>
      <c r="J6779" s="487" t="s">
        <v>1063</v>
      </c>
    </row>
    <row r="6780" spans="1:10" ht="15" x14ac:dyDescent="0.2">
      <c r="A6780" s="486" t="s">
        <v>1062</v>
      </c>
      <c r="B6780" s="487" t="s">
        <v>1061</v>
      </c>
      <c r="C6780" s="488" t="s">
        <v>21501</v>
      </c>
      <c r="D6780" s="489" t="s">
        <v>21502</v>
      </c>
      <c r="E6780" s="487" t="s">
        <v>21503</v>
      </c>
      <c r="F6780" s="490">
        <v>1000</v>
      </c>
      <c r="G6780" s="489">
        <v>83.35</v>
      </c>
      <c r="H6780" s="489">
        <v>11.9976</v>
      </c>
      <c r="I6780" s="487" t="s">
        <v>1499</v>
      </c>
      <c r="J6780" s="487" t="s">
        <v>1063</v>
      </c>
    </row>
    <row r="6781" spans="1:10" ht="15" x14ac:dyDescent="0.2">
      <c r="A6781" s="486" t="s">
        <v>1062</v>
      </c>
      <c r="B6781" s="487" t="s">
        <v>1061</v>
      </c>
      <c r="C6781" s="488" t="s">
        <v>21504</v>
      </c>
      <c r="D6781" s="489" t="s">
        <v>21505</v>
      </c>
      <c r="E6781" s="487" t="s">
        <v>3675</v>
      </c>
      <c r="F6781" s="490">
        <v>7050</v>
      </c>
      <c r="G6781" s="489">
        <v>103.27</v>
      </c>
      <c r="H6781" s="489">
        <v>68.267650000000003</v>
      </c>
      <c r="I6781" s="487" t="s">
        <v>1499</v>
      </c>
      <c r="J6781" s="487" t="s">
        <v>1063</v>
      </c>
    </row>
    <row r="6782" spans="1:10" ht="15" x14ac:dyDescent="0.2">
      <c r="A6782" s="486" t="s">
        <v>1062</v>
      </c>
      <c r="B6782" s="487" t="s">
        <v>1061</v>
      </c>
      <c r="C6782" s="488" t="s">
        <v>21506</v>
      </c>
      <c r="D6782" s="489" t="s">
        <v>21507</v>
      </c>
      <c r="E6782" s="487" t="s">
        <v>21508</v>
      </c>
      <c r="F6782" s="490">
        <v>18500</v>
      </c>
      <c r="G6782" s="489">
        <v>333.64</v>
      </c>
      <c r="H6782" s="489">
        <v>55.448990000000002</v>
      </c>
      <c r="I6782" s="487" t="s">
        <v>1499</v>
      </c>
      <c r="J6782" s="487" t="s">
        <v>1063</v>
      </c>
    </row>
    <row r="6783" spans="1:10" ht="15" x14ac:dyDescent="0.2">
      <c r="A6783" s="486" t="s">
        <v>1062</v>
      </c>
      <c r="B6783" s="487" t="s">
        <v>1061</v>
      </c>
      <c r="C6783" s="488" t="s">
        <v>21509</v>
      </c>
      <c r="D6783" s="489" t="s">
        <v>21510</v>
      </c>
      <c r="E6783" s="487" t="s">
        <v>21511</v>
      </c>
      <c r="F6783" s="490">
        <v>0</v>
      </c>
      <c r="G6783" s="489">
        <v>59.1</v>
      </c>
      <c r="H6783" s="489">
        <v>0</v>
      </c>
      <c r="I6783" s="487" t="s">
        <v>1593</v>
      </c>
      <c r="J6783" s="487" t="s">
        <v>1063</v>
      </c>
    </row>
    <row r="6784" spans="1:10" ht="15" x14ac:dyDescent="0.2">
      <c r="A6784" s="486" t="s">
        <v>1062</v>
      </c>
      <c r="B6784" s="487" t="s">
        <v>1061</v>
      </c>
      <c r="C6784" s="488" t="s">
        <v>21512</v>
      </c>
      <c r="D6784" s="489" t="s">
        <v>21513</v>
      </c>
      <c r="E6784" s="487" t="s">
        <v>21514</v>
      </c>
      <c r="F6784" s="490">
        <v>0</v>
      </c>
      <c r="G6784" s="489">
        <v>14.45</v>
      </c>
      <c r="H6784" s="489">
        <v>0</v>
      </c>
      <c r="I6784" s="487" t="s">
        <v>1593</v>
      </c>
      <c r="J6784" s="487" t="s">
        <v>1063</v>
      </c>
    </row>
    <row r="6785" spans="1:10" ht="15" x14ac:dyDescent="0.2">
      <c r="A6785" s="486" t="s">
        <v>1062</v>
      </c>
      <c r="B6785" s="487" t="s">
        <v>1061</v>
      </c>
      <c r="C6785" s="488" t="s">
        <v>21515</v>
      </c>
      <c r="D6785" s="489" t="s">
        <v>21516</v>
      </c>
      <c r="E6785" s="487" t="s">
        <v>21517</v>
      </c>
      <c r="F6785" s="490">
        <v>0</v>
      </c>
      <c r="G6785" s="489">
        <v>53.59</v>
      </c>
      <c r="H6785" s="489">
        <v>0</v>
      </c>
      <c r="I6785" s="487" t="s">
        <v>1593</v>
      </c>
      <c r="J6785" s="487" t="s">
        <v>1063</v>
      </c>
    </row>
    <row r="6786" spans="1:10" ht="15" x14ac:dyDescent="0.2">
      <c r="A6786" s="486" t="s">
        <v>1062</v>
      </c>
      <c r="B6786" s="487" t="s">
        <v>1061</v>
      </c>
      <c r="C6786" s="488" t="s">
        <v>21518</v>
      </c>
      <c r="D6786" s="489" t="s">
        <v>21519</v>
      </c>
      <c r="E6786" s="487" t="s">
        <v>21520</v>
      </c>
      <c r="F6786" s="490">
        <v>0</v>
      </c>
      <c r="G6786" s="489">
        <v>22.31</v>
      </c>
      <c r="H6786" s="489">
        <v>0</v>
      </c>
      <c r="I6786" s="487" t="s">
        <v>1593</v>
      </c>
      <c r="J6786" s="487" t="s">
        <v>1063</v>
      </c>
    </row>
    <row r="6787" spans="1:10" ht="15" x14ac:dyDescent="0.2">
      <c r="A6787" s="486" t="s">
        <v>1062</v>
      </c>
      <c r="B6787" s="487" t="s">
        <v>1061</v>
      </c>
      <c r="C6787" s="488" t="s">
        <v>21521</v>
      </c>
      <c r="D6787" s="489" t="s">
        <v>21522</v>
      </c>
      <c r="E6787" s="487" t="s">
        <v>21523</v>
      </c>
      <c r="F6787" s="490">
        <v>5350</v>
      </c>
      <c r="G6787" s="489">
        <v>192.35</v>
      </c>
      <c r="H6787" s="489">
        <v>27.813880000000001</v>
      </c>
      <c r="I6787" s="487" t="s">
        <v>1499</v>
      </c>
      <c r="J6787" s="487" t="s">
        <v>1063</v>
      </c>
    </row>
    <row r="6788" spans="1:10" ht="15" x14ac:dyDescent="0.2">
      <c r="A6788" s="486" t="s">
        <v>1062</v>
      </c>
      <c r="B6788" s="487" t="s">
        <v>1061</v>
      </c>
      <c r="C6788" s="488" t="s">
        <v>21524</v>
      </c>
      <c r="D6788" s="489" t="s">
        <v>21525</v>
      </c>
      <c r="E6788" s="487" t="s">
        <v>21526</v>
      </c>
      <c r="F6788" s="490">
        <v>6825</v>
      </c>
      <c r="G6788" s="489">
        <v>113.99</v>
      </c>
      <c r="H6788" s="489">
        <v>59.873669999999997</v>
      </c>
      <c r="I6788" s="487" t="s">
        <v>1499</v>
      </c>
      <c r="J6788" s="487" t="s">
        <v>1063</v>
      </c>
    </row>
    <row r="6789" spans="1:10" ht="15" x14ac:dyDescent="0.2">
      <c r="A6789" s="486" t="s">
        <v>1062</v>
      </c>
      <c r="B6789" s="487" t="s">
        <v>1061</v>
      </c>
      <c r="C6789" s="488" t="s">
        <v>21527</v>
      </c>
      <c r="D6789" s="489" t="s">
        <v>21528</v>
      </c>
      <c r="E6789" s="487" t="s">
        <v>21529</v>
      </c>
      <c r="F6789" s="490">
        <v>447.24</v>
      </c>
      <c r="G6789" s="489">
        <v>27.48</v>
      </c>
      <c r="H6789" s="489">
        <v>16.275110000000002</v>
      </c>
      <c r="I6789" s="487" t="s">
        <v>1499</v>
      </c>
      <c r="J6789" s="487" t="s">
        <v>1063</v>
      </c>
    </row>
    <row r="6790" spans="1:10" ht="15" x14ac:dyDescent="0.2">
      <c r="A6790" s="486" t="s">
        <v>1062</v>
      </c>
      <c r="B6790" s="487" t="s">
        <v>1061</v>
      </c>
      <c r="C6790" s="488" t="s">
        <v>21530</v>
      </c>
      <c r="D6790" s="489" t="s">
        <v>21531</v>
      </c>
      <c r="E6790" s="487" t="s">
        <v>21532</v>
      </c>
      <c r="F6790" s="490">
        <v>6758.5</v>
      </c>
      <c r="G6790" s="489">
        <v>141.28</v>
      </c>
      <c r="H6790" s="489">
        <v>47.837629999999997</v>
      </c>
      <c r="I6790" s="487" t="s">
        <v>1499</v>
      </c>
      <c r="J6790" s="487" t="s">
        <v>1063</v>
      </c>
    </row>
    <row r="6791" spans="1:10" ht="15" x14ac:dyDescent="0.2">
      <c r="A6791" s="486" t="s">
        <v>1062</v>
      </c>
      <c r="B6791" s="487" t="s">
        <v>1061</v>
      </c>
      <c r="C6791" s="488" t="s">
        <v>21533</v>
      </c>
      <c r="D6791" s="489" t="s">
        <v>21534</v>
      </c>
      <c r="E6791" s="487" t="s">
        <v>21535</v>
      </c>
      <c r="F6791" s="490">
        <v>4619</v>
      </c>
      <c r="G6791" s="489">
        <v>245.72</v>
      </c>
      <c r="H6791" s="489">
        <v>18.797820000000002</v>
      </c>
      <c r="I6791" s="487" t="s">
        <v>1499</v>
      </c>
      <c r="J6791" s="487" t="s">
        <v>1063</v>
      </c>
    </row>
    <row r="6792" spans="1:10" ht="15" x14ac:dyDescent="0.2">
      <c r="A6792" s="486" t="s">
        <v>1062</v>
      </c>
      <c r="B6792" s="487" t="s">
        <v>1061</v>
      </c>
      <c r="C6792" s="488" t="s">
        <v>21536</v>
      </c>
      <c r="D6792" s="489" t="s">
        <v>21537</v>
      </c>
      <c r="E6792" s="487" t="s">
        <v>6633</v>
      </c>
      <c r="F6792" s="490">
        <v>0</v>
      </c>
      <c r="G6792" s="489">
        <v>42.38</v>
      </c>
      <c r="H6792" s="489">
        <v>0</v>
      </c>
      <c r="I6792" s="487" t="s">
        <v>1593</v>
      </c>
      <c r="J6792" s="487" t="s">
        <v>1063</v>
      </c>
    </row>
    <row r="6793" spans="1:10" ht="15" x14ac:dyDescent="0.2">
      <c r="A6793" s="486" t="s">
        <v>1062</v>
      </c>
      <c r="B6793" s="487" t="s">
        <v>1061</v>
      </c>
      <c r="C6793" s="488" t="s">
        <v>21538</v>
      </c>
      <c r="D6793" s="489" t="s">
        <v>21539</v>
      </c>
      <c r="E6793" s="487" t="s">
        <v>21540</v>
      </c>
      <c r="F6793" s="490">
        <v>5610</v>
      </c>
      <c r="G6793" s="489">
        <v>150.72</v>
      </c>
      <c r="H6793" s="489">
        <v>37.221339999999998</v>
      </c>
      <c r="I6793" s="487" t="s">
        <v>1499</v>
      </c>
      <c r="J6793" s="487" t="s">
        <v>1063</v>
      </c>
    </row>
    <row r="6794" spans="1:10" ht="15" x14ac:dyDescent="0.2">
      <c r="A6794" s="486" t="s">
        <v>1062</v>
      </c>
      <c r="B6794" s="487" t="s">
        <v>1061</v>
      </c>
      <c r="C6794" s="488" t="s">
        <v>21541</v>
      </c>
      <c r="D6794" s="489" t="s">
        <v>21542</v>
      </c>
      <c r="E6794" s="487" t="s">
        <v>21543</v>
      </c>
      <c r="F6794" s="490">
        <v>1300</v>
      </c>
      <c r="G6794" s="489">
        <v>42.63</v>
      </c>
      <c r="H6794" s="489">
        <v>30.494959999999999</v>
      </c>
      <c r="I6794" s="487" t="s">
        <v>1499</v>
      </c>
      <c r="J6794" s="487" t="s">
        <v>1063</v>
      </c>
    </row>
    <row r="6795" spans="1:10" ht="15" x14ac:dyDescent="0.2">
      <c r="A6795" s="486" t="s">
        <v>1062</v>
      </c>
      <c r="B6795" s="487" t="s">
        <v>1061</v>
      </c>
      <c r="C6795" s="488" t="s">
        <v>21544</v>
      </c>
      <c r="D6795" s="489" t="s">
        <v>21545</v>
      </c>
      <c r="E6795" s="487" t="s">
        <v>21546</v>
      </c>
      <c r="F6795" s="490">
        <v>7500</v>
      </c>
      <c r="G6795" s="489">
        <v>255.02</v>
      </c>
      <c r="H6795" s="489">
        <v>29.409459999999999</v>
      </c>
      <c r="I6795" s="487" t="s">
        <v>1499</v>
      </c>
      <c r="J6795" s="487" t="s">
        <v>1063</v>
      </c>
    </row>
    <row r="6796" spans="1:10" ht="15" x14ac:dyDescent="0.2">
      <c r="A6796" s="486" t="s">
        <v>1062</v>
      </c>
      <c r="B6796" s="487" t="s">
        <v>1061</v>
      </c>
      <c r="C6796" s="488" t="s">
        <v>21547</v>
      </c>
      <c r="D6796" s="489" t="s">
        <v>21548</v>
      </c>
      <c r="E6796" s="487" t="s">
        <v>21549</v>
      </c>
      <c r="F6796" s="490">
        <v>31000</v>
      </c>
      <c r="G6796" s="489">
        <v>343.4</v>
      </c>
      <c r="H6796" s="489">
        <v>90.27373</v>
      </c>
      <c r="I6796" s="487" t="s">
        <v>1499</v>
      </c>
      <c r="J6796" s="487" t="s">
        <v>1063</v>
      </c>
    </row>
    <row r="6797" spans="1:10" ht="15" x14ac:dyDescent="0.2">
      <c r="A6797" s="486" t="s">
        <v>1062</v>
      </c>
      <c r="B6797" s="487" t="s">
        <v>1061</v>
      </c>
      <c r="C6797" s="488" t="s">
        <v>21550</v>
      </c>
      <c r="D6797" s="489" t="s">
        <v>21551</v>
      </c>
      <c r="E6797" s="487" t="s">
        <v>21552</v>
      </c>
      <c r="F6797" s="490">
        <v>18520</v>
      </c>
      <c r="G6797" s="489">
        <v>282.08</v>
      </c>
      <c r="H6797" s="489">
        <v>65.65513</v>
      </c>
      <c r="I6797" s="487" t="s">
        <v>1499</v>
      </c>
      <c r="J6797" s="487" t="s">
        <v>1063</v>
      </c>
    </row>
    <row r="6798" spans="1:10" ht="15" x14ac:dyDescent="0.2">
      <c r="A6798" s="486" t="s">
        <v>1062</v>
      </c>
      <c r="B6798" s="487" t="s">
        <v>1061</v>
      </c>
      <c r="C6798" s="488" t="s">
        <v>21553</v>
      </c>
      <c r="D6798" s="489" t="s">
        <v>21554</v>
      </c>
      <c r="E6798" s="487" t="s">
        <v>21555</v>
      </c>
      <c r="F6798" s="490">
        <v>1593.29</v>
      </c>
      <c r="G6798" s="489">
        <v>56.98</v>
      </c>
      <c r="H6798" s="489">
        <v>27.96227</v>
      </c>
      <c r="I6798" s="487" t="s">
        <v>1499</v>
      </c>
      <c r="J6798" s="487" t="s">
        <v>1063</v>
      </c>
    </row>
    <row r="6799" spans="1:10" ht="15" x14ac:dyDescent="0.2">
      <c r="A6799" s="486" t="s">
        <v>1062</v>
      </c>
      <c r="B6799" s="487" t="s">
        <v>1061</v>
      </c>
      <c r="C6799" s="488" t="s">
        <v>21556</v>
      </c>
      <c r="D6799" s="489" t="s">
        <v>21557</v>
      </c>
      <c r="E6799" s="487" t="s">
        <v>21558</v>
      </c>
      <c r="F6799" s="490">
        <v>4460.99</v>
      </c>
      <c r="G6799" s="489">
        <v>146.33000000000001</v>
      </c>
      <c r="H6799" s="489">
        <v>30.48582</v>
      </c>
      <c r="I6799" s="487" t="s">
        <v>1499</v>
      </c>
      <c r="J6799" s="487" t="s">
        <v>1063</v>
      </c>
    </row>
    <row r="6800" spans="1:10" ht="15" x14ac:dyDescent="0.2">
      <c r="A6800" s="486" t="s">
        <v>1062</v>
      </c>
      <c r="B6800" s="487" t="s">
        <v>1061</v>
      </c>
      <c r="C6800" s="488" t="s">
        <v>21559</v>
      </c>
      <c r="D6800" s="489" t="s">
        <v>21560</v>
      </c>
      <c r="E6800" s="487" t="s">
        <v>21561</v>
      </c>
      <c r="F6800" s="490">
        <v>10500</v>
      </c>
      <c r="G6800" s="489">
        <v>419.62</v>
      </c>
      <c r="H6800" s="489">
        <v>25.022639999999999</v>
      </c>
      <c r="I6800" s="487" t="s">
        <v>1499</v>
      </c>
      <c r="J6800" s="487" t="s">
        <v>1063</v>
      </c>
    </row>
    <row r="6801" spans="1:10" ht="15" x14ac:dyDescent="0.2">
      <c r="A6801" s="486" t="s">
        <v>1062</v>
      </c>
      <c r="B6801" s="487" t="s">
        <v>1061</v>
      </c>
      <c r="C6801" s="488" t="s">
        <v>21562</v>
      </c>
      <c r="D6801" s="489" t="s">
        <v>21563</v>
      </c>
      <c r="E6801" s="487" t="s">
        <v>21564</v>
      </c>
      <c r="F6801" s="490">
        <v>7523.92</v>
      </c>
      <c r="G6801" s="489">
        <v>179.02</v>
      </c>
      <c r="H6801" s="489">
        <v>42.028379999999999</v>
      </c>
      <c r="I6801" s="487" t="s">
        <v>1499</v>
      </c>
      <c r="J6801" s="487" t="s">
        <v>1063</v>
      </c>
    </row>
    <row r="6802" spans="1:10" ht="15" x14ac:dyDescent="0.2">
      <c r="A6802" s="486" t="s">
        <v>1062</v>
      </c>
      <c r="B6802" s="487" t="s">
        <v>1061</v>
      </c>
      <c r="C6802" s="488" t="s">
        <v>21565</v>
      </c>
      <c r="D6802" s="489" t="s">
        <v>21566</v>
      </c>
      <c r="E6802" s="487" t="s">
        <v>21567</v>
      </c>
      <c r="F6802" s="490">
        <v>8945</v>
      </c>
      <c r="G6802" s="489">
        <v>331.03</v>
      </c>
      <c r="H6802" s="489">
        <v>27.021719999999998</v>
      </c>
      <c r="I6802" s="487" t="s">
        <v>1499</v>
      </c>
      <c r="J6802" s="487" t="s">
        <v>1063</v>
      </c>
    </row>
    <row r="6803" spans="1:10" ht="15" x14ac:dyDescent="0.2">
      <c r="A6803" s="486" t="s">
        <v>1062</v>
      </c>
      <c r="B6803" s="487" t="s">
        <v>1061</v>
      </c>
      <c r="C6803" s="488" t="s">
        <v>21568</v>
      </c>
      <c r="D6803" s="489" t="s">
        <v>21569</v>
      </c>
      <c r="E6803" s="487" t="s">
        <v>21570</v>
      </c>
      <c r="F6803" s="490">
        <v>0</v>
      </c>
      <c r="G6803" s="489">
        <v>75.2</v>
      </c>
      <c r="H6803" s="489">
        <v>0</v>
      </c>
      <c r="I6803" s="487" t="s">
        <v>2465</v>
      </c>
      <c r="J6803" s="487" t="s">
        <v>1063</v>
      </c>
    </row>
    <row r="6804" spans="1:10" ht="15" x14ac:dyDescent="0.2">
      <c r="A6804" s="486" t="s">
        <v>1062</v>
      </c>
      <c r="B6804" s="487" t="s">
        <v>1061</v>
      </c>
      <c r="C6804" s="488" t="s">
        <v>21571</v>
      </c>
      <c r="D6804" s="489" t="s">
        <v>21572</v>
      </c>
      <c r="E6804" s="487" t="s">
        <v>21573</v>
      </c>
      <c r="F6804" s="490">
        <v>0</v>
      </c>
      <c r="G6804" s="489">
        <v>27.39</v>
      </c>
      <c r="H6804" s="489">
        <v>0</v>
      </c>
      <c r="I6804" s="487" t="s">
        <v>2465</v>
      </c>
      <c r="J6804" s="487" t="s">
        <v>1063</v>
      </c>
    </row>
    <row r="6805" spans="1:10" ht="15" x14ac:dyDescent="0.2">
      <c r="A6805" s="486" t="s">
        <v>1062</v>
      </c>
      <c r="B6805" s="487" t="s">
        <v>1061</v>
      </c>
      <c r="C6805" s="488" t="s">
        <v>21574</v>
      </c>
      <c r="D6805" s="489" t="s">
        <v>21575</v>
      </c>
      <c r="E6805" s="487" t="s">
        <v>21576</v>
      </c>
      <c r="F6805" s="490">
        <v>272970</v>
      </c>
      <c r="G6805" s="489">
        <v>2422.71</v>
      </c>
      <c r="H6805" s="489">
        <v>112.67135</v>
      </c>
      <c r="I6805" s="487" t="s">
        <v>1499</v>
      </c>
      <c r="J6805" s="487" t="s">
        <v>1063</v>
      </c>
    </row>
    <row r="6806" spans="1:10" ht="15" x14ac:dyDescent="0.2">
      <c r="A6806" s="486" t="s">
        <v>1062</v>
      </c>
      <c r="B6806" s="487" t="s">
        <v>1061</v>
      </c>
      <c r="C6806" s="488" t="s">
        <v>21577</v>
      </c>
      <c r="D6806" s="489" t="s">
        <v>21578</v>
      </c>
      <c r="E6806" s="487" t="s">
        <v>21579</v>
      </c>
      <c r="F6806" s="490">
        <v>3838.08</v>
      </c>
      <c r="G6806" s="489">
        <v>126.74</v>
      </c>
      <c r="H6806" s="489">
        <v>30.283100000000001</v>
      </c>
      <c r="I6806" s="487" t="s">
        <v>1499</v>
      </c>
      <c r="J6806" s="487" t="s">
        <v>1063</v>
      </c>
    </row>
    <row r="6807" spans="1:10" ht="15" x14ac:dyDescent="0.2">
      <c r="A6807" s="486" t="s">
        <v>1062</v>
      </c>
      <c r="B6807" s="487" t="s">
        <v>1061</v>
      </c>
      <c r="C6807" s="488" t="s">
        <v>21580</v>
      </c>
      <c r="D6807" s="489" t="s">
        <v>21581</v>
      </c>
      <c r="E6807" s="487" t="s">
        <v>21582</v>
      </c>
      <c r="F6807" s="490">
        <v>0</v>
      </c>
      <c r="G6807" s="489">
        <v>64.44</v>
      </c>
      <c r="H6807" s="489">
        <v>0</v>
      </c>
      <c r="I6807" s="487" t="s">
        <v>1593</v>
      </c>
      <c r="J6807" s="487" t="s">
        <v>1063</v>
      </c>
    </row>
    <row r="6808" spans="1:10" ht="15" x14ac:dyDescent="0.2">
      <c r="A6808" s="486" t="s">
        <v>1062</v>
      </c>
      <c r="B6808" s="487" t="s">
        <v>1061</v>
      </c>
      <c r="C6808" s="488" t="s">
        <v>21583</v>
      </c>
      <c r="D6808" s="489" t="s">
        <v>21584</v>
      </c>
      <c r="E6808" s="487" t="s">
        <v>21585</v>
      </c>
      <c r="F6808" s="490">
        <v>0</v>
      </c>
      <c r="G6808" s="489">
        <v>5.14</v>
      </c>
      <c r="H6808" s="489">
        <v>0</v>
      </c>
      <c r="I6808" s="487" t="s">
        <v>1593</v>
      </c>
      <c r="J6808" s="487" t="s">
        <v>1063</v>
      </c>
    </row>
    <row r="6809" spans="1:10" ht="15" x14ac:dyDescent="0.2">
      <c r="A6809" s="486" t="s">
        <v>1062</v>
      </c>
      <c r="B6809" s="487" t="s">
        <v>1061</v>
      </c>
      <c r="C6809" s="488" t="s">
        <v>21586</v>
      </c>
      <c r="D6809" s="489" t="s">
        <v>21587</v>
      </c>
      <c r="E6809" s="487" t="s">
        <v>21588</v>
      </c>
      <c r="F6809" s="490">
        <v>7228.2</v>
      </c>
      <c r="G6809" s="489">
        <v>314.85000000000002</v>
      </c>
      <c r="H6809" s="489">
        <v>22.957599999999999</v>
      </c>
      <c r="I6809" s="487" t="s">
        <v>1499</v>
      </c>
      <c r="J6809" s="487" t="s">
        <v>1063</v>
      </c>
    </row>
    <row r="6810" spans="1:10" ht="15" x14ac:dyDescent="0.2">
      <c r="A6810" s="486" t="s">
        <v>1062</v>
      </c>
      <c r="B6810" s="487" t="s">
        <v>1061</v>
      </c>
      <c r="C6810" s="488" t="s">
        <v>21589</v>
      </c>
      <c r="D6810" s="489" t="s">
        <v>21590</v>
      </c>
      <c r="E6810" s="487" t="s">
        <v>21591</v>
      </c>
      <c r="F6810" s="490">
        <v>1700</v>
      </c>
      <c r="G6810" s="489">
        <v>88.23</v>
      </c>
      <c r="H6810" s="489">
        <v>19.26782</v>
      </c>
      <c r="I6810" s="487" t="s">
        <v>1499</v>
      </c>
      <c r="J6810" s="487" t="s">
        <v>1063</v>
      </c>
    </row>
    <row r="6811" spans="1:10" ht="15" x14ac:dyDescent="0.2">
      <c r="A6811" s="486" t="s">
        <v>1062</v>
      </c>
      <c r="B6811" s="487" t="s">
        <v>1061</v>
      </c>
      <c r="C6811" s="488" t="s">
        <v>21592</v>
      </c>
      <c r="D6811" s="489" t="s">
        <v>21593</v>
      </c>
      <c r="E6811" s="487" t="s">
        <v>21594</v>
      </c>
      <c r="F6811" s="490">
        <v>3622.44</v>
      </c>
      <c r="G6811" s="489">
        <v>92.28</v>
      </c>
      <c r="H6811" s="489">
        <v>39.25488</v>
      </c>
      <c r="I6811" s="487" t="s">
        <v>1499</v>
      </c>
      <c r="J6811" s="487" t="s">
        <v>1063</v>
      </c>
    </row>
    <row r="6812" spans="1:10" ht="15" x14ac:dyDescent="0.2">
      <c r="A6812" s="486" t="s">
        <v>1062</v>
      </c>
      <c r="B6812" s="487" t="s">
        <v>1061</v>
      </c>
      <c r="C6812" s="488" t="s">
        <v>21595</v>
      </c>
      <c r="D6812" s="489" t="s">
        <v>21596</v>
      </c>
      <c r="E6812" s="487" t="s">
        <v>4254</v>
      </c>
      <c r="F6812" s="490">
        <v>462</v>
      </c>
      <c r="G6812" s="489">
        <v>106.02</v>
      </c>
      <c r="H6812" s="489">
        <v>4.3576699999999997</v>
      </c>
      <c r="I6812" s="487" t="s">
        <v>1499</v>
      </c>
      <c r="J6812" s="487" t="s">
        <v>1063</v>
      </c>
    </row>
    <row r="6813" spans="1:10" ht="15" x14ac:dyDescent="0.2">
      <c r="A6813" s="486" t="s">
        <v>1062</v>
      </c>
      <c r="B6813" s="487" t="s">
        <v>1061</v>
      </c>
      <c r="C6813" s="488" t="s">
        <v>21597</v>
      </c>
      <c r="D6813" s="489" t="s">
        <v>21598</v>
      </c>
      <c r="E6813" s="487" t="s">
        <v>21599</v>
      </c>
      <c r="F6813" s="490">
        <v>7100</v>
      </c>
      <c r="G6813" s="489">
        <v>284.16000000000003</v>
      </c>
      <c r="H6813" s="489">
        <v>24.98592</v>
      </c>
      <c r="I6813" s="487" t="s">
        <v>1499</v>
      </c>
      <c r="J6813" s="487" t="s">
        <v>1063</v>
      </c>
    </row>
    <row r="6814" spans="1:10" ht="15" x14ac:dyDescent="0.2">
      <c r="A6814" s="486" t="s">
        <v>1062</v>
      </c>
      <c r="B6814" s="487" t="s">
        <v>1061</v>
      </c>
      <c r="C6814" s="488" t="s">
        <v>21600</v>
      </c>
      <c r="D6814" s="489" t="s">
        <v>21601</v>
      </c>
      <c r="E6814" s="487" t="s">
        <v>21602</v>
      </c>
      <c r="F6814" s="490">
        <v>0</v>
      </c>
      <c r="G6814" s="489">
        <v>37.31</v>
      </c>
      <c r="H6814" s="489">
        <v>0</v>
      </c>
      <c r="I6814" s="487" t="s">
        <v>1593</v>
      </c>
      <c r="J6814" s="487" t="s">
        <v>1063</v>
      </c>
    </row>
    <row r="6815" spans="1:10" ht="15" x14ac:dyDescent="0.2">
      <c r="A6815" s="486" t="s">
        <v>1062</v>
      </c>
      <c r="B6815" s="487" t="s">
        <v>1061</v>
      </c>
      <c r="C6815" s="488" t="s">
        <v>21603</v>
      </c>
      <c r="D6815" s="489" t="s">
        <v>21604</v>
      </c>
      <c r="E6815" s="487" t="s">
        <v>21605</v>
      </c>
      <c r="F6815" s="490">
        <v>2630</v>
      </c>
      <c r="G6815" s="489">
        <v>115.24</v>
      </c>
      <c r="H6815" s="489">
        <v>22.821940000000001</v>
      </c>
      <c r="I6815" s="487" t="s">
        <v>1499</v>
      </c>
      <c r="J6815" s="487" t="s">
        <v>1063</v>
      </c>
    </row>
    <row r="6816" spans="1:10" ht="15" x14ac:dyDescent="0.2">
      <c r="A6816" s="486" t="s">
        <v>1062</v>
      </c>
      <c r="B6816" s="487" t="s">
        <v>1061</v>
      </c>
      <c r="C6816" s="488" t="s">
        <v>21606</v>
      </c>
      <c r="D6816" s="489" t="s">
        <v>21607</v>
      </c>
      <c r="E6816" s="487" t="s">
        <v>21608</v>
      </c>
      <c r="F6816" s="490">
        <v>2500</v>
      </c>
      <c r="G6816" s="489">
        <v>152.63999999999999</v>
      </c>
      <c r="H6816" s="489">
        <v>16.378409999999999</v>
      </c>
      <c r="I6816" s="487" t="s">
        <v>1499</v>
      </c>
      <c r="J6816" s="487" t="s">
        <v>1063</v>
      </c>
    </row>
    <row r="6817" spans="1:10" ht="15" x14ac:dyDescent="0.2">
      <c r="A6817" s="486" t="s">
        <v>1062</v>
      </c>
      <c r="B6817" s="487" t="s">
        <v>1061</v>
      </c>
      <c r="C6817" s="488" t="s">
        <v>21609</v>
      </c>
      <c r="D6817" s="489" t="s">
        <v>21610</v>
      </c>
      <c r="E6817" s="487" t="s">
        <v>21611</v>
      </c>
      <c r="F6817" s="490">
        <v>0</v>
      </c>
      <c r="G6817" s="489">
        <v>628.12</v>
      </c>
      <c r="H6817" s="489">
        <v>0</v>
      </c>
      <c r="I6817" s="487" t="s">
        <v>1593</v>
      </c>
      <c r="J6817" s="487" t="s">
        <v>1063</v>
      </c>
    </row>
    <row r="6818" spans="1:10" ht="15" x14ac:dyDescent="0.2">
      <c r="A6818" s="486" t="s">
        <v>1062</v>
      </c>
      <c r="B6818" s="487" t="s">
        <v>1061</v>
      </c>
      <c r="C6818" s="488" t="s">
        <v>21612</v>
      </c>
      <c r="D6818" s="489" t="s">
        <v>21613</v>
      </c>
      <c r="E6818" s="487" t="s">
        <v>21614</v>
      </c>
      <c r="F6818" s="490">
        <v>1480.34</v>
      </c>
      <c r="G6818" s="489">
        <v>71.349999999999994</v>
      </c>
      <c r="H6818" s="489">
        <v>20.747579999999999</v>
      </c>
      <c r="I6818" s="487" t="s">
        <v>1499</v>
      </c>
      <c r="J6818" s="487" t="s">
        <v>1063</v>
      </c>
    </row>
    <row r="6819" spans="1:10" ht="15" x14ac:dyDescent="0.2">
      <c r="A6819" s="486" t="s">
        <v>1062</v>
      </c>
      <c r="B6819" s="487" t="s">
        <v>1061</v>
      </c>
      <c r="C6819" s="488" t="s">
        <v>21615</v>
      </c>
      <c r="D6819" s="489" t="s">
        <v>21616</v>
      </c>
      <c r="E6819" s="487" t="s">
        <v>21617</v>
      </c>
      <c r="F6819" s="490">
        <v>1700</v>
      </c>
      <c r="G6819" s="489">
        <v>259.14999999999998</v>
      </c>
      <c r="H6819" s="489">
        <v>6.5599100000000004</v>
      </c>
      <c r="I6819" s="487" t="s">
        <v>1499</v>
      </c>
      <c r="J6819" s="487" t="s">
        <v>1063</v>
      </c>
    </row>
    <row r="6820" spans="1:10" ht="15" x14ac:dyDescent="0.2">
      <c r="A6820" s="486" t="s">
        <v>1062</v>
      </c>
      <c r="B6820" s="487" t="s">
        <v>1061</v>
      </c>
      <c r="C6820" s="488" t="s">
        <v>21618</v>
      </c>
      <c r="D6820" s="489" t="s">
        <v>21619</v>
      </c>
      <c r="E6820" s="487" t="s">
        <v>6139</v>
      </c>
      <c r="F6820" s="490">
        <v>0</v>
      </c>
      <c r="G6820" s="489">
        <v>31.04</v>
      </c>
      <c r="H6820" s="489">
        <v>0</v>
      </c>
      <c r="I6820" s="487" t="s">
        <v>1593</v>
      </c>
      <c r="J6820" s="487" t="s">
        <v>1063</v>
      </c>
    </row>
    <row r="6821" spans="1:10" ht="15" x14ac:dyDescent="0.2">
      <c r="A6821" s="486" t="s">
        <v>1062</v>
      </c>
      <c r="B6821" s="487" t="s">
        <v>1061</v>
      </c>
      <c r="C6821" s="488" t="s">
        <v>21620</v>
      </c>
      <c r="D6821" s="489" t="s">
        <v>21621</v>
      </c>
      <c r="E6821" s="487" t="s">
        <v>21622</v>
      </c>
      <c r="F6821" s="490">
        <v>12500</v>
      </c>
      <c r="G6821" s="489">
        <v>309.47000000000003</v>
      </c>
      <c r="H6821" s="489">
        <v>40.391640000000002</v>
      </c>
      <c r="I6821" s="487" t="s">
        <v>1499</v>
      </c>
      <c r="J6821" s="487" t="s">
        <v>1063</v>
      </c>
    </row>
    <row r="6822" spans="1:10" ht="15" x14ac:dyDescent="0.2">
      <c r="A6822" s="486" t="s">
        <v>1062</v>
      </c>
      <c r="B6822" s="487" t="s">
        <v>1061</v>
      </c>
      <c r="C6822" s="488" t="s">
        <v>21623</v>
      </c>
      <c r="D6822" s="489" t="s">
        <v>21624</v>
      </c>
      <c r="E6822" s="487" t="s">
        <v>21625</v>
      </c>
      <c r="F6822" s="490">
        <v>5620</v>
      </c>
      <c r="G6822" s="489">
        <v>189.14</v>
      </c>
      <c r="H6822" s="489">
        <v>29.713439999999999</v>
      </c>
      <c r="I6822" s="487" t="s">
        <v>1499</v>
      </c>
      <c r="J6822" s="487" t="s">
        <v>1063</v>
      </c>
    </row>
    <row r="6823" spans="1:10" ht="15" x14ac:dyDescent="0.2">
      <c r="A6823" s="486" t="s">
        <v>1062</v>
      </c>
      <c r="B6823" s="487" t="s">
        <v>1061</v>
      </c>
      <c r="C6823" s="488" t="s">
        <v>21626</v>
      </c>
      <c r="D6823" s="489" t="s">
        <v>21627</v>
      </c>
      <c r="E6823" s="487" t="s">
        <v>21628</v>
      </c>
      <c r="F6823" s="490">
        <v>1207.01</v>
      </c>
      <c r="G6823" s="489">
        <v>35.159999999999997</v>
      </c>
      <c r="H6823" s="489">
        <v>34.329070000000002</v>
      </c>
      <c r="I6823" s="487" t="s">
        <v>2465</v>
      </c>
      <c r="J6823" s="487" t="s">
        <v>1063</v>
      </c>
    </row>
    <row r="6824" spans="1:10" ht="15" x14ac:dyDescent="0.2">
      <c r="A6824" s="486" t="s">
        <v>1062</v>
      </c>
      <c r="B6824" s="487" t="s">
        <v>1061</v>
      </c>
      <c r="C6824" s="488" t="s">
        <v>21629</v>
      </c>
      <c r="D6824" s="489" t="s">
        <v>21630</v>
      </c>
      <c r="E6824" s="487" t="s">
        <v>21631</v>
      </c>
      <c r="F6824" s="490">
        <v>6000</v>
      </c>
      <c r="G6824" s="489">
        <v>407.72</v>
      </c>
      <c r="H6824" s="489">
        <v>14.71598</v>
      </c>
      <c r="I6824" s="487" t="s">
        <v>1499</v>
      </c>
      <c r="J6824" s="487" t="s">
        <v>1063</v>
      </c>
    </row>
    <row r="6825" spans="1:10" ht="15" x14ac:dyDescent="0.2">
      <c r="A6825" s="486" t="s">
        <v>1062</v>
      </c>
      <c r="B6825" s="487" t="s">
        <v>1061</v>
      </c>
      <c r="C6825" s="488" t="s">
        <v>21632</v>
      </c>
      <c r="D6825" s="489" t="s">
        <v>21633</v>
      </c>
      <c r="E6825" s="487" t="s">
        <v>21634</v>
      </c>
      <c r="F6825" s="490">
        <v>14500</v>
      </c>
      <c r="G6825" s="489">
        <v>415.05</v>
      </c>
      <c r="H6825" s="489">
        <v>34.935549999999999</v>
      </c>
      <c r="I6825" s="487" t="s">
        <v>1499</v>
      </c>
      <c r="J6825" s="487" t="s">
        <v>1063</v>
      </c>
    </row>
    <row r="6826" spans="1:10" ht="15" x14ac:dyDescent="0.2">
      <c r="A6826" s="486" t="s">
        <v>1062</v>
      </c>
      <c r="B6826" s="487" t="s">
        <v>1061</v>
      </c>
      <c r="C6826" s="488" t="s">
        <v>21635</v>
      </c>
      <c r="D6826" s="489" t="s">
        <v>21636</v>
      </c>
      <c r="E6826" s="487" t="s">
        <v>21637</v>
      </c>
      <c r="F6826" s="490">
        <v>2142.04</v>
      </c>
      <c r="G6826" s="489">
        <v>45.88</v>
      </c>
      <c r="H6826" s="489">
        <v>46.68788</v>
      </c>
      <c r="I6826" s="487" t="s">
        <v>1499</v>
      </c>
      <c r="J6826" s="487" t="s">
        <v>1063</v>
      </c>
    </row>
    <row r="6827" spans="1:10" ht="15" x14ac:dyDescent="0.2">
      <c r="A6827" s="486" t="s">
        <v>1062</v>
      </c>
      <c r="B6827" s="487" t="s">
        <v>1061</v>
      </c>
      <c r="C6827" s="488" t="s">
        <v>21638</v>
      </c>
      <c r="D6827" s="489" t="s">
        <v>21639</v>
      </c>
      <c r="E6827" s="487" t="s">
        <v>21640</v>
      </c>
      <c r="F6827" s="490">
        <v>30200</v>
      </c>
      <c r="G6827" s="489">
        <v>355.52</v>
      </c>
      <c r="H6827" s="489">
        <v>84.945989999999995</v>
      </c>
      <c r="I6827" s="487" t="s">
        <v>1499</v>
      </c>
      <c r="J6827" s="487" t="s">
        <v>1063</v>
      </c>
    </row>
    <row r="6828" spans="1:10" ht="15" x14ac:dyDescent="0.2">
      <c r="A6828" s="486" t="s">
        <v>1062</v>
      </c>
      <c r="B6828" s="487" t="s">
        <v>1061</v>
      </c>
      <c r="C6828" s="488" t="s">
        <v>21641</v>
      </c>
      <c r="D6828" s="489" t="s">
        <v>21642</v>
      </c>
      <c r="E6828" s="487" t="s">
        <v>21643</v>
      </c>
      <c r="F6828" s="490">
        <v>23265.9</v>
      </c>
      <c r="G6828" s="489">
        <v>449.97</v>
      </c>
      <c r="H6828" s="489">
        <v>51.705449999999999</v>
      </c>
      <c r="I6828" s="487" t="s">
        <v>1499</v>
      </c>
      <c r="J6828" s="487" t="s">
        <v>1063</v>
      </c>
    </row>
    <row r="6829" spans="1:10" ht="15" x14ac:dyDescent="0.2">
      <c r="A6829" s="486" t="s">
        <v>1062</v>
      </c>
      <c r="B6829" s="487" t="s">
        <v>1061</v>
      </c>
      <c r="C6829" s="488" t="s">
        <v>21644</v>
      </c>
      <c r="D6829" s="489" t="s">
        <v>21645</v>
      </c>
      <c r="E6829" s="487" t="s">
        <v>21646</v>
      </c>
      <c r="F6829" s="490">
        <v>5920</v>
      </c>
      <c r="G6829" s="489">
        <v>147.11000000000001</v>
      </c>
      <c r="H6829" s="489">
        <v>40.241999999999997</v>
      </c>
      <c r="I6829" s="487" t="s">
        <v>1499</v>
      </c>
      <c r="J6829" s="487" t="s">
        <v>1063</v>
      </c>
    </row>
    <row r="6830" spans="1:10" ht="15" x14ac:dyDescent="0.2">
      <c r="A6830" s="486" t="s">
        <v>1062</v>
      </c>
      <c r="B6830" s="487" t="s">
        <v>1061</v>
      </c>
      <c r="C6830" s="488" t="s">
        <v>21647</v>
      </c>
      <c r="D6830" s="489" t="s">
        <v>21648</v>
      </c>
      <c r="E6830" s="487" t="s">
        <v>21649</v>
      </c>
      <c r="F6830" s="490">
        <v>13000</v>
      </c>
      <c r="G6830" s="489">
        <v>272.68</v>
      </c>
      <c r="H6830" s="489">
        <v>47.674930000000003</v>
      </c>
      <c r="I6830" s="487" t="s">
        <v>1499</v>
      </c>
      <c r="J6830" s="487" t="s">
        <v>1063</v>
      </c>
    </row>
    <row r="6831" spans="1:10" ht="15" x14ac:dyDescent="0.2">
      <c r="A6831" s="486" t="s">
        <v>1062</v>
      </c>
      <c r="B6831" s="487" t="s">
        <v>1061</v>
      </c>
      <c r="C6831" s="488" t="s">
        <v>21650</v>
      </c>
      <c r="D6831" s="489" t="s">
        <v>21651</v>
      </c>
      <c r="E6831" s="487" t="s">
        <v>4600</v>
      </c>
      <c r="F6831" s="490">
        <v>0</v>
      </c>
      <c r="G6831" s="489">
        <v>96.26</v>
      </c>
      <c r="H6831" s="489">
        <v>0</v>
      </c>
      <c r="I6831" s="487" t="s">
        <v>1593</v>
      </c>
      <c r="J6831" s="487" t="s">
        <v>1063</v>
      </c>
    </row>
    <row r="6832" spans="1:10" ht="15" x14ac:dyDescent="0.2">
      <c r="A6832" s="486" t="s">
        <v>1062</v>
      </c>
      <c r="B6832" s="487" t="s">
        <v>1061</v>
      </c>
      <c r="C6832" s="488" t="s">
        <v>21652</v>
      </c>
      <c r="D6832" s="489" t="s">
        <v>21653</v>
      </c>
      <c r="E6832" s="487" t="s">
        <v>21654</v>
      </c>
      <c r="F6832" s="490">
        <v>2500</v>
      </c>
      <c r="G6832" s="489">
        <v>210.18</v>
      </c>
      <c r="H6832" s="489">
        <v>11.89457</v>
      </c>
      <c r="I6832" s="487" t="s">
        <v>1499</v>
      </c>
      <c r="J6832" s="487" t="s">
        <v>1063</v>
      </c>
    </row>
    <row r="6833" spans="1:10" ht="15" x14ac:dyDescent="0.2">
      <c r="A6833" s="486" t="s">
        <v>1062</v>
      </c>
      <c r="B6833" s="487" t="s">
        <v>1061</v>
      </c>
      <c r="C6833" s="488" t="s">
        <v>21655</v>
      </c>
      <c r="D6833" s="489" t="s">
        <v>21656</v>
      </c>
      <c r="E6833" s="487" t="s">
        <v>21657</v>
      </c>
      <c r="F6833" s="490">
        <v>10250</v>
      </c>
      <c r="G6833" s="489">
        <v>124.78</v>
      </c>
      <c r="H6833" s="489">
        <v>82.144570000000002</v>
      </c>
      <c r="I6833" s="487" t="s">
        <v>1499</v>
      </c>
      <c r="J6833" s="487" t="s">
        <v>1063</v>
      </c>
    </row>
    <row r="6834" spans="1:10" ht="15" x14ac:dyDescent="0.2">
      <c r="A6834" s="486" t="s">
        <v>1062</v>
      </c>
      <c r="B6834" s="487" t="s">
        <v>1061</v>
      </c>
      <c r="C6834" s="488" t="s">
        <v>21658</v>
      </c>
      <c r="D6834" s="489" t="s">
        <v>21659</v>
      </c>
      <c r="E6834" s="487" t="s">
        <v>21660</v>
      </c>
      <c r="F6834" s="490">
        <v>1600</v>
      </c>
      <c r="G6834" s="489">
        <v>69.86</v>
      </c>
      <c r="H6834" s="489">
        <v>22.902950000000001</v>
      </c>
      <c r="I6834" s="487" t="s">
        <v>1499</v>
      </c>
      <c r="J6834" s="487" t="s">
        <v>1063</v>
      </c>
    </row>
    <row r="6835" spans="1:10" ht="15" x14ac:dyDescent="0.2">
      <c r="A6835" s="486" t="s">
        <v>1062</v>
      </c>
      <c r="B6835" s="487" t="s">
        <v>1061</v>
      </c>
      <c r="C6835" s="488" t="s">
        <v>21661</v>
      </c>
      <c r="D6835" s="489" t="s">
        <v>21662</v>
      </c>
      <c r="E6835" s="487" t="s">
        <v>21663</v>
      </c>
      <c r="F6835" s="490">
        <v>5115</v>
      </c>
      <c r="G6835" s="489">
        <v>283.33999999999997</v>
      </c>
      <c r="H6835" s="489">
        <v>18.052520000000001</v>
      </c>
      <c r="I6835" s="487" t="s">
        <v>1499</v>
      </c>
      <c r="J6835" s="487" t="s">
        <v>1063</v>
      </c>
    </row>
    <row r="6836" spans="1:10" ht="15" x14ac:dyDescent="0.2">
      <c r="A6836" s="486" t="s">
        <v>1062</v>
      </c>
      <c r="B6836" s="487" t="s">
        <v>1061</v>
      </c>
      <c r="C6836" s="488" t="s">
        <v>21664</v>
      </c>
      <c r="D6836" s="489" t="s">
        <v>21665</v>
      </c>
      <c r="E6836" s="487" t="s">
        <v>21666</v>
      </c>
      <c r="F6836" s="490">
        <v>1763.49</v>
      </c>
      <c r="G6836" s="489">
        <v>47.9</v>
      </c>
      <c r="H6836" s="489">
        <v>36.816079999999999</v>
      </c>
      <c r="I6836" s="487" t="s">
        <v>1499</v>
      </c>
      <c r="J6836" s="487" t="s">
        <v>1063</v>
      </c>
    </row>
    <row r="6837" spans="1:10" ht="15" x14ac:dyDescent="0.2">
      <c r="A6837" s="486" t="s">
        <v>1062</v>
      </c>
      <c r="B6837" s="487" t="s">
        <v>1061</v>
      </c>
      <c r="C6837" s="488" t="s">
        <v>21667</v>
      </c>
      <c r="D6837" s="489" t="s">
        <v>21668</v>
      </c>
      <c r="E6837" s="487" t="s">
        <v>1003</v>
      </c>
      <c r="F6837" s="490">
        <v>191.56</v>
      </c>
      <c r="G6837" s="489">
        <v>4.88</v>
      </c>
      <c r="H6837" s="489">
        <v>39.254100000000001</v>
      </c>
      <c r="I6837" s="487" t="s">
        <v>1499</v>
      </c>
      <c r="J6837" s="487" t="s">
        <v>1063</v>
      </c>
    </row>
    <row r="6838" spans="1:10" ht="15" x14ac:dyDescent="0.2">
      <c r="A6838" s="486" t="s">
        <v>1062</v>
      </c>
      <c r="B6838" s="487" t="s">
        <v>1061</v>
      </c>
      <c r="C6838" s="488" t="s">
        <v>21669</v>
      </c>
      <c r="D6838" s="489" t="s">
        <v>21670</v>
      </c>
      <c r="E6838" s="487" t="s">
        <v>21671</v>
      </c>
      <c r="F6838" s="490">
        <v>0</v>
      </c>
      <c r="G6838" s="489">
        <v>66.92</v>
      </c>
      <c r="H6838" s="489">
        <v>0</v>
      </c>
      <c r="I6838" s="487" t="s">
        <v>1593</v>
      </c>
      <c r="J6838" s="487" t="s">
        <v>1063</v>
      </c>
    </row>
    <row r="6839" spans="1:10" ht="15" x14ac:dyDescent="0.2">
      <c r="A6839" s="486" t="s">
        <v>1062</v>
      </c>
      <c r="B6839" s="487" t="s">
        <v>1061</v>
      </c>
      <c r="C6839" s="488" t="s">
        <v>21672</v>
      </c>
      <c r="D6839" s="489" t="s">
        <v>21673</v>
      </c>
      <c r="E6839" s="487" t="s">
        <v>6172</v>
      </c>
      <c r="F6839" s="490">
        <v>1766.27</v>
      </c>
      <c r="G6839" s="489">
        <v>54.7</v>
      </c>
      <c r="H6839" s="489">
        <v>32.290129999999998</v>
      </c>
      <c r="I6839" s="487" t="s">
        <v>1499</v>
      </c>
      <c r="J6839" s="487" t="s">
        <v>1063</v>
      </c>
    </row>
    <row r="6840" spans="1:10" ht="15" x14ac:dyDescent="0.2">
      <c r="A6840" s="486" t="s">
        <v>1062</v>
      </c>
      <c r="B6840" s="487" t="s">
        <v>1061</v>
      </c>
      <c r="C6840" s="488" t="s">
        <v>21674</v>
      </c>
      <c r="D6840" s="489" t="s">
        <v>21675</v>
      </c>
      <c r="E6840" s="487" t="s">
        <v>16388</v>
      </c>
      <c r="F6840" s="490">
        <v>0</v>
      </c>
      <c r="G6840" s="489">
        <v>22.46</v>
      </c>
      <c r="H6840" s="489">
        <v>0</v>
      </c>
      <c r="I6840" s="487" t="s">
        <v>1593</v>
      </c>
      <c r="J6840" s="487" t="s">
        <v>1063</v>
      </c>
    </row>
    <row r="6841" spans="1:10" ht="15" x14ac:dyDescent="0.2">
      <c r="A6841" s="486" t="s">
        <v>1062</v>
      </c>
      <c r="B6841" s="487" t="s">
        <v>1061</v>
      </c>
      <c r="C6841" s="488" t="s">
        <v>21676</v>
      </c>
      <c r="D6841" s="489" t="s">
        <v>21677</v>
      </c>
      <c r="E6841" s="487" t="s">
        <v>6175</v>
      </c>
      <c r="F6841" s="490">
        <v>7812</v>
      </c>
      <c r="G6841" s="489">
        <v>112.52</v>
      </c>
      <c r="H6841" s="489">
        <v>69.427660000000003</v>
      </c>
      <c r="I6841" s="487" t="s">
        <v>1499</v>
      </c>
      <c r="J6841" s="487" t="s">
        <v>1063</v>
      </c>
    </row>
    <row r="6842" spans="1:10" ht="15" x14ac:dyDescent="0.2">
      <c r="A6842" s="486" t="s">
        <v>1062</v>
      </c>
      <c r="B6842" s="487" t="s">
        <v>1061</v>
      </c>
      <c r="C6842" s="488" t="s">
        <v>21678</v>
      </c>
      <c r="D6842" s="489" t="s">
        <v>21679</v>
      </c>
      <c r="E6842" s="487" t="s">
        <v>21680</v>
      </c>
      <c r="F6842" s="490">
        <v>123768</v>
      </c>
      <c r="G6842" s="489">
        <v>3901.63</v>
      </c>
      <c r="H6842" s="489">
        <v>31.72213</v>
      </c>
      <c r="I6842" s="487" t="s">
        <v>1499</v>
      </c>
      <c r="J6842" s="487" t="s">
        <v>1063</v>
      </c>
    </row>
    <row r="6843" spans="1:10" ht="15" x14ac:dyDescent="0.2">
      <c r="A6843" s="486" t="s">
        <v>1062</v>
      </c>
      <c r="B6843" s="487" t="s">
        <v>1061</v>
      </c>
      <c r="C6843" s="488" t="s">
        <v>21681</v>
      </c>
      <c r="D6843" s="489" t="s">
        <v>21682</v>
      </c>
      <c r="E6843" s="487" t="s">
        <v>21683</v>
      </c>
      <c r="F6843" s="490">
        <v>1821.42</v>
      </c>
      <c r="G6843" s="489">
        <v>87.79</v>
      </c>
      <c r="H6843" s="489">
        <v>20.74747</v>
      </c>
      <c r="I6843" s="487" t="s">
        <v>1499</v>
      </c>
      <c r="J6843" s="487" t="s">
        <v>1063</v>
      </c>
    </row>
    <row r="6844" spans="1:10" ht="15" x14ac:dyDescent="0.2">
      <c r="A6844" s="486" t="s">
        <v>1062</v>
      </c>
      <c r="B6844" s="487" t="s">
        <v>1061</v>
      </c>
      <c r="C6844" s="488" t="s">
        <v>21684</v>
      </c>
      <c r="D6844" s="489" t="s">
        <v>21685</v>
      </c>
      <c r="E6844" s="487" t="s">
        <v>21686</v>
      </c>
      <c r="F6844" s="490">
        <v>3711.42</v>
      </c>
      <c r="G6844" s="489">
        <v>139.69</v>
      </c>
      <c r="H6844" s="489">
        <v>26.56897</v>
      </c>
      <c r="I6844" s="487" t="s">
        <v>1499</v>
      </c>
      <c r="J6844" s="487" t="s">
        <v>1063</v>
      </c>
    </row>
    <row r="6845" spans="1:10" ht="15" x14ac:dyDescent="0.2">
      <c r="A6845" s="486" t="s">
        <v>1062</v>
      </c>
      <c r="B6845" s="487" t="s">
        <v>1061</v>
      </c>
      <c r="C6845" s="488" t="s">
        <v>21687</v>
      </c>
      <c r="D6845" s="489" t="s">
        <v>21688</v>
      </c>
      <c r="E6845" s="487" t="s">
        <v>11209</v>
      </c>
      <c r="F6845" s="490">
        <v>3000</v>
      </c>
      <c r="G6845" s="489">
        <v>92.38</v>
      </c>
      <c r="H6845" s="489">
        <v>32.474559999999997</v>
      </c>
      <c r="I6845" s="487" t="s">
        <v>1499</v>
      </c>
      <c r="J6845" s="487" t="s">
        <v>1063</v>
      </c>
    </row>
    <row r="6846" spans="1:10" ht="15" x14ac:dyDescent="0.2">
      <c r="A6846" s="486" t="s">
        <v>1062</v>
      </c>
      <c r="B6846" s="487" t="s">
        <v>1061</v>
      </c>
      <c r="C6846" s="488" t="s">
        <v>21689</v>
      </c>
      <c r="D6846" s="489" t="s">
        <v>21690</v>
      </c>
      <c r="E6846" s="487" t="s">
        <v>21691</v>
      </c>
      <c r="F6846" s="490">
        <v>3000</v>
      </c>
      <c r="G6846" s="489">
        <v>161.19999999999999</v>
      </c>
      <c r="H6846" s="489">
        <v>18.610420000000001</v>
      </c>
      <c r="I6846" s="487" t="s">
        <v>1499</v>
      </c>
      <c r="J6846" s="487" t="s">
        <v>1063</v>
      </c>
    </row>
    <row r="6847" spans="1:10" ht="15" x14ac:dyDescent="0.2">
      <c r="A6847" s="486" t="s">
        <v>1062</v>
      </c>
      <c r="B6847" s="487" t="s">
        <v>1061</v>
      </c>
      <c r="C6847" s="488" t="s">
        <v>21692</v>
      </c>
      <c r="D6847" s="489" t="s">
        <v>21693</v>
      </c>
      <c r="E6847" s="487" t="s">
        <v>21694</v>
      </c>
      <c r="F6847" s="490">
        <v>2055.02</v>
      </c>
      <c r="G6847" s="489">
        <v>61.29</v>
      </c>
      <c r="H6847" s="489">
        <v>33.529449999999997</v>
      </c>
      <c r="I6847" s="487" t="s">
        <v>1499</v>
      </c>
      <c r="J6847" s="487" t="s">
        <v>1063</v>
      </c>
    </row>
    <row r="6848" spans="1:10" ht="15" x14ac:dyDescent="0.2">
      <c r="A6848" s="486" t="s">
        <v>1062</v>
      </c>
      <c r="B6848" s="487" t="s">
        <v>1061</v>
      </c>
      <c r="C6848" s="488" t="s">
        <v>21695</v>
      </c>
      <c r="D6848" s="489" t="s">
        <v>21696</v>
      </c>
      <c r="E6848" s="487" t="s">
        <v>21697</v>
      </c>
      <c r="F6848" s="490">
        <v>9850</v>
      </c>
      <c r="G6848" s="489">
        <v>261.49</v>
      </c>
      <c r="H6848" s="489">
        <v>37.66874</v>
      </c>
      <c r="I6848" s="487" t="s">
        <v>1499</v>
      </c>
      <c r="J6848" s="487" t="s">
        <v>1063</v>
      </c>
    </row>
    <row r="6849" spans="1:10" ht="15" x14ac:dyDescent="0.2">
      <c r="A6849" s="486" t="s">
        <v>1062</v>
      </c>
      <c r="B6849" s="487" t="s">
        <v>1061</v>
      </c>
      <c r="C6849" s="488" t="s">
        <v>21698</v>
      </c>
      <c r="D6849" s="489" t="s">
        <v>21699</v>
      </c>
      <c r="E6849" s="487" t="s">
        <v>21700</v>
      </c>
      <c r="F6849" s="490">
        <v>3705</v>
      </c>
      <c r="G6849" s="489">
        <v>176.77</v>
      </c>
      <c r="H6849" s="489">
        <v>20.959440000000001</v>
      </c>
      <c r="I6849" s="487" t="s">
        <v>1499</v>
      </c>
      <c r="J6849" s="487" t="s">
        <v>1063</v>
      </c>
    </row>
    <row r="6850" spans="1:10" ht="15" x14ac:dyDescent="0.2">
      <c r="A6850" s="486" t="s">
        <v>1062</v>
      </c>
      <c r="B6850" s="487" t="s">
        <v>1061</v>
      </c>
      <c r="C6850" s="488" t="s">
        <v>21701</v>
      </c>
      <c r="D6850" s="489" t="s">
        <v>21702</v>
      </c>
      <c r="E6850" s="487" t="s">
        <v>21703</v>
      </c>
      <c r="F6850" s="490">
        <v>0</v>
      </c>
      <c r="G6850" s="489">
        <v>27.64</v>
      </c>
      <c r="H6850" s="489">
        <v>0</v>
      </c>
      <c r="I6850" s="487" t="s">
        <v>1593</v>
      </c>
      <c r="J6850" s="487" t="s">
        <v>1063</v>
      </c>
    </row>
    <row r="6851" spans="1:10" ht="15" x14ac:dyDescent="0.2">
      <c r="A6851" s="486" t="s">
        <v>1062</v>
      </c>
      <c r="B6851" s="487" t="s">
        <v>1061</v>
      </c>
      <c r="C6851" s="488" t="s">
        <v>21704</v>
      </c>
      <c r="D6851" s="489" t="s">
        <v>21705</v>
      </c>
      <c r="E6851" s="487" t="s">
        <v>21706</v>
      </c>
      <c r="F6851" s="490">
        <v>2155.59</v>
      </c>
      <c r="G6851" s="489">
        <v>47.67</v>
      </c>
      <c r="H6851" s="489">
        <v>45.219009999999997</v>
      </c>
      <c r="I6851" s="487" t="s">
        <v>2465</v>
      </c>
      <c r="J6851" s="487" t="s">
        <v>1063</v>
      </c>
    </row>
    <row r="6852" spans="1:10" ht="15" x14ac:dyDescent="0.2">
      <c r="A6852" s="486" t="s">
        <v>1062</v>
      </c>
      <c r="B6852" s="487" t="s">
        <v>1061</v>
      </c>
      <c r="C6852" s="488" t="s">
        <v>21707</v>
      </c>
      <c r="D6852" s="489" t="s">
        <v>21708</v>
      </c>
      <c r="E6852" s="487" t="s">
        <v>21709</v>
      </c>
      <c r="F6852" s="490">
        <v>8892</v>
      </c>
      <c r="G6852" s="489">
        <v>269.98</v>
      </c>
      <c r="H6852" s="489">
        <v>32.935769999999998</v>
      </c>
      <c r="I6852" s="487" t="s">
        <v>1499</v>
      </c>
      <c r="J6852" s="487" t="s">
        <v>1063</v>
      </c>
    </row>
    <row r="6853" spans="1:10" ht="15" x14ac:dyDescent="0.2">
      <c r="A6853" s="486" t="s">
        <v>1062</v>
      </c>
      <c r="B6853" s="487" t="s">
        <v>1061</v>
      </c>
      <c r="C6853" s="488" t="s">
        <v>21710</v>
      </c>
      <c r="D6853" s="489" t="s">
        <v>21711</v>
      </c>
      <c r="E6853" s="487" t="s">
        <v>21712</v>
      </c>
      <c r="F6853" s="490">
        <v>2703.75</v>
      </c>
      <c r="G6853" s="489">
        <v>135.84</v>
      </c>
      <c r="H6853" s="489">
        <v>19.903929999999999</v>
      </c>
      <c r="I6853" s="487" t="s">
        <v>1499</v>
      </c>
      <c r="J6853" s="487" t="s">
        <v>1063</v>
      </c>
    </row>
    <row r="6854" spans="1:10" ht="15" x14ac:dyDescent="0.2">
      <c r="A6854" s="486" t="s">
        <v>1062</v>
      </c>
      <c r="B6854" s="487" t="s">
        <v>1061</v>
      </c>
      <c r="C6854" s="488" t="s">
        <v>21713</v>
      </c>
      <c r="D6854" s="489" t="s">
        <v>21714</v>
      </c>
      <c r="E6854" s="487" t="s">
        <v>21715</v>
      </c>
      <c r="F6854" s="490">
        <v>0</v>
      </c>
      <c r="G6854" s="489">
        <v>68.75</v>
      </c>
      <c r="H6854" s="489">
        <v>0</v>
      </c>
      <c r="I6854" s="487" t="s">
        <v>1593</v>
      </c>
      <c r="J6854" s="487" t="s">
        <v>1063</v>
      </c>
    </row>
    <row r="6855" spans="1:10" ht="15" x14ac:dyDescent="0.2">
      <c r="A6855" s="486" t="s">
        <v>1062</v>
      </c>
      <c r="B6855" s="487" t="s">
        <v>1061</v>
      </c>
      <c r="C6855" s="488" t="s">
        <v>21716</v>
      </c>
      <c r="D6855" s="489" t="s">
        <v>21717</v>
      </c>
      <c r="E6855" s="487" t="s">
        <v>21718</v>
      </c>
      <c r="F6855" s="490">
        <v>500</v>
      </c>
      <c r="G6855" s="489">
        <v>72.17</v>
      </c>
      <c r="H6855" s="489">
        <v>6.9280900000000001</v>
      </c>
      <c r="I6855" s="487" t="s">
        <v>1499</v>
      </c>
      <c r="J6855" s="487" t="s">
        <v>1063</v>
      </c>
    </row>
    <row r="6856" spans="1:10" ht="15" x14ac:dyDescent="0.2">
      <c r="A6856" s="486" t="s">
        <v>1062</v>
      </c>
      <c r="B6856" s="487" t="s">
        <v>1061</v>
      </c>
      <c r="C6856" s="488" t="s">
        <v>21719</v>
      </c>
      <c r="D6856" s="489" t="s">
        <v>21720</v>
      </c>
      <c r="E6856" s="487" t="s">
        <v>21721</v>
      </c>
      <c r="F6856" s="490">
        <v>4300</v>
      </c>
      <c r="G6856" s="489">
        <v>217.36</v>
      </c>
      <c r="H6856" s="489">
        <v>19.78285</v>
      </c>
      <c r="I6856" s="487" t="s">
        <v>1499</v>
      </c>
      <c r="J6856" s="487" t="s">
        <v>1063</v>
      </c>
    </row>
    <row r="6857" spans="1:10" ht="15" x14ac:dyDescent="0.2">
      <c r="A6857" s="486" t="s">
        <v>1062</v>
      </c>
      <c r="B6857" s="487" t="s">
        <v>1061</v>
      </c>
      <c r="C6857" s="488" t="s">
        <v>21722</v>
      </c>
      <c r="D6857" s="489" t="s">
        <v>21723</v>
      </c>
      <c r="E6857" s="487" t="s">
        <v>21724</v>
      </c>
      <c r="F6857" s="490">
        <v>1050</v>
      </c>
      <c r="G6857" s="489">
        <v>39.659999999999997</v>
      </c>
      <c r="H6857" s="489">
        <v>26.47504</v>
      </c>
      <c r="I6857" s="487" t="s">
        <v>1499</v>
      </c>
      <c r="J6857" s="487" t="s">
        <v>1063</v>
      </c>
    </row>
    <row r="6858" spans="1:10" ht="15" x14ac:dyDescent="0.2">
      <c r="A6858" s="486" t="s">
        <v>1062</v>
      </c>
      <c r="B6858" s="487" t="s">
        <v>1061</v>
      </c>
      <c r="C6858" s="488" t="s">
        <v>21725</v>
      </c>
      <c r="D6858" s="489" t="s">
        <v>21726</v>
      </c>
      <c r="E6858" s="487" t="s">
        <v>21727</v>
      </c>
      <c r="F6858" s="490">
        <v>22800</v>
      </c>
      <c r="G6858" s="489">
        <v>530.9</v>
      </c>
      <c r="H6858" s="489">
        <v>42.94594</v>
      </c>
      <c r="I6858" s="487" t="s">
        <v>1499</v>
      </c>
      <c r="J6858" s="487" t="s">
        <v>1063</v>
      </c>
    </row>
    <row r="6859" spans="1:10" ht="15" x14ac:dyDescent="0.2">
      <c r="A6859" s="486" t="s">
        <v>1062</v>
      </c>
      <c r="B6859" s="487" t="s">
        <v>1061</v>
      </c>
      <c r="C6859" s="488" t="s">
        <v>21728</v>
      </c>
      <c r="D6859" s="489" t="s">
        <v>21729</v>
      </c>
      <c r="E6859" s="487" t="s">
        <v>21730</v>
      </c>
      <c r="F6859" s="490">
        <v>0</v>
      </c>
      <c r="G6859" s="489">
        <v>17.63</v>
      </c>
      <c r="H6859" s="489">
        <v>0</v>
      </c>
      <c r="I6859" s="487" t="s">
        <v>1593</v>
      </c>
      <c r="J6859" s="487" t="s">
        <v>1063</v>
      </c>
    </row>
    <row r="6860" spans="1:10" ht="15" x14ac:dyDescent="0.2">
      <c r="A6860" s="486" t="s">
        <v>1062</v>
      </c>
      <c r="B6860" s="487" t="s">
        <v>1061</v>
      </c>
      <c r="C6860" s="488" t="s">
        <v>21731</v>
      </c>
      <c r="D6860" s="489" t="s">
        <v>21732</v>
      </c>
      <c r="E6860" s="487" t="s">
        <v>21733</v>
      </c>
      <c r="F6860" s="490">
        <v>0</v>
      </c>
      <c r="G6860" s="489">
        <v>21.18</v>
      </c>
      <c r="H6860" s="489">
        <v>0</v>
      </c>
      <c r="I6860" s="487" t="s">
        <v>1593</v>
      </c>
      <c r="J6860" s="487" t="s">
        <v>1063</v>
      </c>
    </row>
    <row r="6861" spans="1:10" ht="15" x14ac:dyDescent="0.2">
      <c r="A6861" s="486" t="s">
        <v>1062</v>
      </c>
      <c r="B6861" s="487" t="s">
        <v>1061</v>
      </c>
      <c r="C6861" s="488" t="s">
        <v>21734</v>
      </c>
      <c r="D6861" s="489" t="s">
        <v>21735</v>
      </c>
      <c r="E6861" s="487" t="s">
        <v>21736</v>
      </c>
      <c r="F6861" s="490">
        <v>9515</v>
      </c>
      <c r="G6861" s="489">
        <v>247.37</v>
      </c>
      <c r="H6861" s="489">
        <v>38.464649999999999</v>
      </c>
      <c r="I6861" s="487" t="s">
        <v>1499</v>
      </c>
      <c r="J6861" s="487" t="s">
        <v>1063</v>
      </c>
    </row>
    <row r="6862" spans="1:10" ht="15" x14ac:dyDescent="0.2">
      <c r="A6862" s="486" t="s">
        <v>1062</v>
      </c>
      <c r="B6862" s="487" t="s">
        <v>1061</v>
      </c>
      <c r="C6862" s="488" t="s">
        <v>21737</v>
      </c>
      <c r="D6862" s="489" t="s">
        <v>21738</v>
      </c>
      <c r="E6862" s="487" t="s">
        <v>21739</v>
      </c>
      <c r="F6862" s="490">
        <v>19830</v>
      </c>
      <c r="G6862" s="489">
        <v>300.29000000000002</v>
      </c>
      <c r="H6862" s="489">
        <v>66.036169999999998</v>
      </c>
      <c r="I6862" s="487" t="s">
        <v>1499</v>
      </c>
      <c r="J6862" s="487" t="s">
        <v>1063</v>
      </c>
    </row>
    <row r="6863" spans="1:10" ht="15" x14ac:dyDescent="0.2">
      <c r="A6863" s="486" t="s">
        <v>1062</v>
      </c>
      <c r="B6863" s="487" t="s">
        <v>1061</v>
      </c>
      <c r="C6863" s="488" t="s">
        <v>21740</v>
      </c>
      <c r="D6863" s="489" t="s">
        <v>21741</v>
      </c>
      <c r="E6863" s="487" t="s">
        <v>1456</v>
      </c>
      <c r="F6863" s="490">
        <v>41945</v>
      </c>
      <c r="G6863" s="489">
        <v>952.37</v>
      </c>
      <c r="H6863" s="489">
        <v>44.042760000000001</v>
      </c>
      <c r="I6863" s="487" t="s">
        <v>1499</v>
      </c>
      <c r="J6863" s="487" t="s">
        <v>1063</v>
      </c>
    </row>
    <row r="6864" spans="1:10" ht="15" x14ac:dyDescent="0.2">
      <c r="A6864" s="486" t="s">
        <v>1062</v>
      </c>
      <c r="B6864" s="487" t="s">
        <v>1061</v>
      </c>
      <c r="C6864" s="488" t="s">
        <v>21742</v>
      </c>
      <c r="D6864" s="489" t="s">
        <v>21743</v>
      </c>
      <c r="E6864" s="487" t="s">
        <v>1466</v>
      </c>
      <c r="F6864" s="490">
        <v>730808</v>
      </c>
      <c r="G6864" s="489">
        <v>5042.3999999999996</v>
      </c>
      <c r="H6864" s="489">
        <v>144.93257</v>
      </c>
      <c r="I6864" s="487" t="s">
        <v>1499</v>
      </c>
      <c r="J6864" s="487" t="s">
        <v>1063</v>
      </c>
    </row>
    <row r="6865" spans="1:10" ht="15" x14ac:dyDescent="0.2">
      <c r="A6865" s="486" t="s">
        <v>1062</v>
      </c>
      <c r="B6865" s="487" t="s">
        <v>1061</v>
      </c>
      <c r="C6865" s="488" t="s">
        <v>21744</v>
      </c>
      <c r="D6865" s="489" t="s">
        <v>21745</v>
      </c>
      <c r="E6865" s="487" t="s">
        <v>21746</v>
      </c>
      <c r="F6865" s="490">
        <v>468500</v>
      </c>
      <c r="G6865" s="489">
        <v>3631.63</v>
      </c>
      <c r="H6865" s="489">
        <v>129.00542999999999</v>
      </c>
      <c r="I6865" s="487" t="s">
        <v>1499</v>
      </c>
      <c r="J6865" s="487" t="s">
        <v>1063</v>
      </c>
    </row>
    <row r="6866" spans="1:10" ht="15" x14ac:dyDescent="0.2">
      <c r="A6866" s="486" t="s">
        <v>1062</v>
      </c>
      <c r="B6866" s="487" t="s">
        <v>1061</v>
      </c>
      <c r="C6866" s="488" t="s">
        <v>21747</v>
      </c>
      <c r="D6866" s="489" t="s">
        <v>21748</v>
      </c>
      <c r="E6866" s="487" t="s">
        <v>21749</v>
      </c>
      <c r="F6866" s="490">
        <v>182496</v>
      </c>
      <c r="G6866" s="489">
        <v>2660.88</v>
      </c>
      <c r="H6866" s="489">
        <v>68.584829999999997</v>
      </c>
      <c r="I6866" s="487" t="s">
        <v>1499</v>
      </c>
      <c r="J6866" s="487" t="s">
        <v>1063</v>
      </c>
    </row>
    <row r="6867" spans="1:10" ht="15" x14ac:dyDescent="0.2">
      <c r="A6867" s="486" t="s">
        <v>1062</v>
      </c>
      <c r="B6867" s="487" t="s">
        <v>1061</v>
      </c>
      <c r="C6867" s="488" t="s">
        <v>21750</v>
      </c>
      <c r="D6867" s="489" t="s">
        <v>21751</v>
      </c>
      <c r="E6867" s="487" t="s">
        <v>21752</v>
      </c>
      <c r="F6867" s="490">
        <v>14500</v>
      </c>
      <c r="G6867" s="489">
        <v>151.1</v>
      </c>
      <c r="H6867" s="489">
        <v>95.962940000000003</v>
      </c>
      <c r="I6867" s="487" t="s">
        <v>1499</v>
      </c>
      <c r="J6867" s="487" t="s">
        <v>1063</v>
      </c>
    </row>
    <row r="6868" spans="1:10" ht="15" x14ac:dyDescent="0.2">
      <c r="A6868" s="486" t="s">
        <v>1062</v>
      </c>
      <c r="B6868" s="487" t="s">
        <v>1061</v>
      </c>
      <c r="C6868" s="488" t="s">
        <v>21753</v>
      </c>
      <c r="D6868" s="489" t="s">
        <v>21754</v>
      </c>
      <c r="E6868" s="487" t="s">
        <v>21755</v>
      </c>
      <c r="F6868" s="490">
        <v>2000</v>
      </c>
      <c r="G6868" s="489">
        <v>140.27000000000001</v>
      </c>
      <c r="H6868" s="489">
        <v>14.25822</v>
      </c>
      <c r="I6868" s="487" t="s">
        <v>1499</v>
      </c>
      <c r="J6868" s="487" t="s">
        <v>1063</v>
      </c>
    </row>
    <row r="6869" spans="1:10" ht="15" x14ac:dyDescent="0.2">
      <c r="A6869" s="486" t="s">
        <v>1062</v>
      </c>
      <c r="B6869" s="487" t="s">
        <v>1061</v>
      </c>
      <c r="C6869" s="488" t="s">
        <v>21756</v>
      </c>
      <c r="D6869" s="489" t="s">
        <v>21757</v>
      </c>
      <c r="E6869" s="487" t="s">
        <v>21758</v>
      </c>
      <c r="F6869" s="490">
        <v>0</v>
      </c>
      <c r="G6869" s="489">
        <v>84.06</v>
      </c>
      <c r="H6869" s="489">
        <v>0</v>
      </c>
      <c r="I6869" s="487" t="s">
        <v>1593</v>
      </c>
      <c r="J6869" s="487" t="s">
        <v>1063</v>
      </c>
    </row>
    <row r="6870" spans="1:10" ht="15" x14ac:dyDescent="0.2">
      <c r="A6870" s="486" t="s">
        <v>1062</v>
      </c>
      <c r="B6870" s="487" t="s">
        <v>1061</v>
      </c>
      <c r="C6870" s="488" t="s">
        <v>21759</v>
      </c>
      <c r="D6870" s="489" t="s">
        <v>21760</v>
      </c>
      <c r="E6870" s="487" t="s">
        <v>18596</v>
      </c>
      <c r="F6870" s="490">
        <v>6300</v>
      </c>
      <c r="G6870" s="489">
        <v>532.39</v>
      </c>
      <c r="H6870" s="489">
        <v>11.83343</v>
      </c>
      <c r="I6870" s="487" t="s">
        <v>1499</v>
      </c>
      <c r="J6870" s="487" t="s">
        <v>1063</v>
      </c>
    </row>
    <row r="6871" spans="1:10" ht="15" x14ac:dyDescent="0.2">
      <c r="A6871" s="486" t="s">
        <v>1062</v>
      </c>
      <c r="B6871" s="487" t="s">
        <v>1061</v>
      </c>
      <c r="C6871" s="488" t="s">
        <v>21761</v>
      </c>
      <c r="D6871" s="489" t="s">
        <v>21762</v>
      </c>
      <c r="E6871" s="487" t="s">
        <v>21763</v>
      </c>
      <c r="F6871" s="490">
        <v>10392.69</v>
      </c>
      <c r="G6871" s="489">
        <v>304.17</v>
      </c>
      <c r="H6871" s="489">
        <v>34.167369999999998</v>
      </c>
      <c r="I6871" s="487" t="s">
        <v>1499</v>
      </c>
      <c r="J6871" s="487" t="s">
        <v>1063</v>
      </c>
    </row>
    <row r="6872" spans="1:10" ht="15" x14ac:dyDescent="0.2">
      <c r="A6872" s="486" t="s">
        <v>1062</v>
      </c>
      <c r="B6872" s="487" t="s">
        <v>1061</v>
      </c>
      <c r="C6872" s="488" t="s">
        <v>21764</v>
      </c>
      <c r="D6872" s="489" t="s">
        <v>21765</v>
      </c>
      <c r="E6872" s="487" t="s">
        <v>21766</v>
      </c>
      <c r="F6872" s="490">
        <v>3994</v>
      </c>
      <c r="G6872" s="489">
        <v>133.1</v>
      </c>
      <c r="H6872" s="489">
        <v>30.00751</v>
      </c>
      <c r="I6872" s="487" t="s">
        <v>1499</v>
      </c>
      <c r="J6872" s="487" t="s">
        <v>1063</v>
      </c>
    </row>
    <row r="6873" spans="1:10" ht="15" x14ac:dyDescent="0.2">
      <c r="A6873" s="486" t="s">
        <v>1062</v>
      </c>
      <c r="B6873" s="487" t="s">
        <v>1061</v>
      </c>
      <c r="C6873" s="488" t="s">
        <v>21767</v>
      </c>
      <c r="D6873" s="489" t="s">
        <v>21768</v>
      </c>
      <c r="E6873" s="487" t="s">
        <v>21769</v>
      </c>
      <c r="F6873" s="490">
        <v>0</v>
      </c>
      <c r="G6873" s="489">
        <v>25.21</v>
      </c>
      <c r="H6873" s="489">
        <v>0</v>
      </c>
      <c r="I6873" s="487" t="s">
        <v>1593</v>
      </c>
      <c r="J6873" s="487" t="s">
        <v>1063</v>
      </c>
    </row>
    <row r="6874" spans="1:10" ht="15" x14ac:dyDescent="0.2">
      <c r="A6874" s="486" t="s">
        <v>1062</v>
      </c>
      <c r="B6874" s="487" t="s">
        <v>1061</v>
      </c>
      <c r="C6874" s="488" t="s">
        <v>21770</v>
      </c>
      <c r="D6874" s="489" t="s">
        <v>21771</v>
      </c>
      <c r="E6874" s="487" t="s">
        <v>21772</v>
      </c>
      <c r="F6874" s="490">
        <v>2200</v>
      </c>
      <c r="G6874" s="489">
        <v>63.47</v>
      </c>
      <c r="H6874" s="489">
        <v>34.662050000000001</v>
      </c>
      <c r="I6874" s="487" t="s">
        <v>1499</v>
      </c>
      <c r="J6874" s="487" t="s">
        <v>1063</v>
      </c>
    </row>
    <row r="6875" spans="1:10" ht="15" x14ac:dyDescent="0.2">
      <c r="A6875" s="486" t="s">
        <v>1062</v>
      </c>
      <c r="B6875" s="487" t="s">
        <v>1061</v>
      </c>
      <c r="C6875" s="488" t="s">
        <v>21773</v>
      </c>
      <c r="D6875" s="489" t="s">
        <v>21774</v>
      </c>
      <c r="E6875" s="487" t="s">
        <v>21775</v>
      </c>
      <c r="F6875" s="490">
        <v>0</v>
      </c>
      <c r="G6875" s="489">
        <v>34.380000000000003</v>
      </c>
      <c r="H6875" s="489">
        <v>0</v>
      </c>
      <c r="I6875" s="487" t="s">
        <v>1593</v>
      </c>
      <c r="J6875" s="487" t="s">
        <v>1063</v>
      </c>
    </row>
    <row r="6876" spans="1:10" ht="15" x14ac:dyDescent="0.2">
      <c r="A6876" s="486" t="s">
        <v>1062</v>
      </c>
      <c r="B6876" s="487" t="s">
        <v>1061</v>
      </c>
      <c r="C6876" s="488" t="s">
        <v>21776</v>
      </c>
      <c r="D6876" s="489" t="s">
        <v>21777</v>
      </c>
      <c r="E6876" s="487" t="s">
        <v>21778</v>
      </c>
      <c r="F6876" s="490">
        <v>1346.37</v>
      </c>
      <c r="G6876" s="489">
        <v>36.57</v>
      </c>
      <c r="H6876" s="489">
        <v>36.816240000000001</v>
      </c>
      <c r="I6876" s="487" t="s">
        <v>1499</v>
      </c>
      <c r="J6876" s="487" t="s">
        <v>1063</v>
      </c>
    </row>
    <row r="6877" spans="1:10" ht="15" x14ac:dyDescent="0.2">
      <c r="A6877" s="486" t="s">
        <v>1062</v>
      </c>
      <c r="B6877" s="487" t="s">
        <v>1061</v>
      </c>
      <c r="C6877" s="488" t="s">
        <v>21779</v>
      </c>
      <c r="D6877" s="489" t="s">
        <v>21780</v>
      </c>
      <c r="E6877" s="487" t="s">
        <v>11662</v>
      </c>
      <c r="F6877" s="490">
        <v>225</v>
      </c>
      <c r="G6877" s="489">
        <v>25.41</v>
      </c>
      <c r="H6877" s="489">
        <v>8.8547799999999999</v>
      </c>
      <c r="I6877" s="487" t="s">
        <v>1499</v>
      </c>
      <c r="J6877" s="487" t="s">
        <v>1063</v>
      </c>
    </row>
    <row r="6878" spans="1:10" ht="15" x14ac:dyDescent="0.2">
      <c r="A6878" s="486" t="s">
        <v>1062</v>
      </c>
      <c r="B6878" s="487" t="s">
        <v>1061</v>
      </c>
      <c r="C6878" s="488" t="s">
        <v>21781</v>
      </c>
      <c r="D6878" s="489" t="s">
        <v>21782</v>
      </c>
      <c r="E6878" s="487" t="s">
        <v>21783</v>
      </c>
      <c r="F6878" s="490">
        <v>0</v>
      </c>
      <c r="G6878" s="489">
        <v>15.83</v>
      </c>
      <c r="H6878" s="489">
        <v>0</v>
      </c>
      <c r="I6878" s="487" t="s">
        <v>1593</v>
      </c>
      <c r="J6878" s="487" t="s">
        <v>1063</v>
      </c>
    </row>
    <row r="6879" spans="1:10" ht="15" x14ac:dyDescent="0.2">
      <c r="A6879" s="486" t="s">
        <v>1062</v>
      </c>
      <c r="B6879" s="487" t="s">
        <v>1061</v>
      </c>
      <c r="C6879" s="488" t="s">
        <v>21784</v>
      </c>
      <c r="D6879" s="489" t="s">
        <v>21785</v>
      </c>
      <c r="E6879" s="487" t="s">
        <v>21786</v>
      </c>
      <c r="F6879" s="490">
        <v>39183</v>
      </c>
      <c r="G6879" s="489">
        <v>1316.41</v>
      </c>
      <c r="H6879" s="489">
        <v>29.765039999999999</v>
      </c>
      <c r="I6879" s="487" t="s">
        <v>1499</v>
      </c>
      <c r="J6879" s="487" t="s">
        <v>1063</v>
      </c>
    </row>
    <row r="6880" spans="1:10" ht="15" x14ac:dyDescent="0.2">
      <c r="A6880" s="486" t="s">
        <v>1062</v>
      </c>
      <c r="B6880" s="487" t="s">
        <v>1061</v>
      </c>
      <c r="C6880" s="488" t="s">
        <v>21787</v>
      </c>
      <c r="D6880" s="489" t="s">
        <v>21788</v>
      </c>
      <c r="E6880" s="487" t="s">
        <v>21789</v>
      </c>
      <c r="F6880" s="490">
        <v>4750</v>
      </c>
      <c r="G6880" s="489">
        <v>100.51</v>
      </c>
      <c r="H6880" s="489">
        <v>47.258980000000001</v>
      </c>
      <c r="I6880" s="487" t="s">
        <v>1499</v>
      </c>
      <c r="J6880" s="487" t="s">
        <v>1063</v>
      </c>
    </row>
    <row r="6881" spans="1:10" ht="15" x14ac:dyDescent="0.2">
      <c r="A6881" s="486" t="s">
        <v>1062</v>
      </c>
      <c r="B6881" s="487" t="s">
        <v>1061</v>
      </c>
      <c r="C6881" s="488" t="s">
        <v>21790</v>
      </c>
      <c r="D6881" s="489" t="s">
        <v>21791</v>
      </c>
      <c r="E6881" s="487" t="s">
        <v>21792</v>
      </c>
      <c r="F6881" s="490">
        <v>304150</v>
      </c>
      <c r="G6881" s="489">
        <v>3073.63</v>
      </c>
      <c r="H6881" s="489">
        <v>98.954660000000004</v>
      </c>
      <c r="I6881" s="487" t="s">
        <v>1499</v>
      </c>
      <c r="J6881" s="487" t="s">
        <v>1063</v>
      </c>
    </row>
    <row r="6882" spans="1:10" ht="15" x14ac:dyDescent="0.2">
      <c r="A6882" s="486" t="s">
        <v>1062</v>
      </c>
      <c r="B6882" s="487" t="s">
        <v>1061</v>
      </c>
      <c r="C6882" s="488" t="s">
        <v>21793</v>
      </c>
      <c r="D6882" s="489" t="s">
        <v>21794</v>
      </c>
      <c r="E6882" s="487" t="s">
        <v>21795</v>
      </c>
      <c r="F6882" s="490">
        <v>3552.37</v>
      </c>
      <c r="G6882" s="489">
        <v>208.49</v>
      </c>
      <c r="H6882" s="489">
        <v>17.03856</v>
      </c>
      <c r="I6882" s="487" t="s">
        <v>1499</v>
      </c>
      <c r="J6882" s="487" t="s">
        <v>1063</v>
      </c>
    </row>
    <row r="6883" spans="1:10" ht="15" x14ac:dyDescent="0.2">
      <c r="A6883" s="486" t="s">
        <v>1062</v>
      </c>
      <c r="B6883" s="487" t="s">
        <v>1061</v>
      </c>
      <c r="C6883" s="488" t="s">
        <v>21796</v>
      </c>
      <c r="D6883" s="489" t="s">
        <v>21797</v>
      </c>
      <c r="E6883" s="487" t="s">
        <v>21798</v>
      </c>
      <c r="F6883" s="490">
        <v>500</v>
      </c>
      <c r="G6883" s="489">
        <v>64.13</v>
      </c>
      <c r="H6883" s="489">
        <v>7.7966600000000001</v>
      </c>
      <c r="I6883" s="487" t="s">
        <v>1499</v>
      </c>
      <c r="J6883" s="487" t="s">
        <v>1063</v>
      </c>
    </row>
    <row r="6884" spans="1:10" ht="15" x14ac:dyDescent="0.2">
      <c r="A6884" s="486" t="s">
        <v>1062</v>
      </c>
      <c r="B6884" s="487" t="s">
        <v>1061</v>
      </c>
      <c r="C6884" s="488" t="s">
        <v>21799</v>
      </c>
      <c r="D6884" s="489" t="s">
        <v>21800</v>
      </c>
      <c r="E6884" s="487" t="s">
        <v>21801</v>
      </c>
      <c r="F6884" s="490">
        <v>0</v>
      </c>
      <c r="G6884" s="489">
        <v>49.8</v>
      </c>
      <c r="H6884" s="489">
        <v>0</v>
      </c>
      <c r="I6884" s="487" t="s">
        <v>1593</v>
      </c>
      <c r="J6884" s="487" t="s">
        <v>1063</v>
      </c>
    </row>
    <row r="6885" spans="1:10" ht="15" x14ac:dyDescent="0.2">
      <c r="A6885" s="486" t="s">
        <v>1062</v>
      </c>
      <c r="B6885" s="487" t="s">
        <v>1061</v>
      </c>
      <c r="C6885" s="488" t="s">
        <v>21802</v>
      </c>
      <c r="D6885" s="489" t="s">
        <v>21803</v>
      </c>
      <c r="E6885" s="487" t="s">
        <v>21804</v>
      </c>
      <c r="F6885" s="490">
        <v>9000</v>
      </c>
      <c r="G6885" s="489">
        <v>153.75</v>
      </c>
      <c r="H6885" s="489">
        <v>58.536589999999997</v>
      </c>
      <c r="I6885" s="487" t="s">
        <v>1499</v>
      </c>
      <c r="J6885" s="487" t="s">
        <v>1063</v>
      </c>
    </row>
    <row r="6886" spans="1:10" ht="15" x14ac:dyDescent="0.2">
      <c r="A6886" s="486" t="s">
        <v>1062</v>
      </c>
      <c r="B6886" s="487" t="s">
        <v>1061</v>
      </c>
      <c r="C6886" s="488" t="s">
        <v>21805</v>
      </c>
      <c r="D6886" s="489" t="s">
        <v>21806</v>
      </c>
      <c r="E6886" s="487" t="s">
        <v>21807</v>
      </c>
      <c r="F6886" s="490">
        <v>4797</v>
      </c>
      <c r="G6886" s="489">
        <v>106.52</v>
      </c>
      <c r="H6886" s="489">
        <v>45.033799999999999</v>
      </c>
      <c r="I6886" s="487" t="s">
        <v>1499</v>
      </c>
      <c r="J6886" s="487" t="s">
        <v>1063</v>
      </c>
    </row>
    <row r="6887" spans="1:10" ht="15" x14ac:dyDescent="0.2">
      <c r="A6887" s="486" t="s">
        <v>1062</v>
      </c>
      <c r="B6887" s="487" t="s">
        <v>1061</v>
      </c>
      <c r="C6887" s="488" t="s">
        <v>21808</v>
      </c>
      <c r="D6887" s="489" t="s">
        <v>21809</v>
      </c>
      <c r="E6887" s="487" t="s">
        <v>21810</v>
      </c>
      <c r="F6887" s="490">
        <v>9300</v>
      </c>
      <c r="G6887" s="489">
        <v>205.79</v>
      </c>
      <c r="H6887" s="489">
        <v>45.191699999999997</v>
      </c>
      <c r="I6887" s="487" t="s">
        <v>1499</v>
      </c>
      <c r="J6887" s="487" t="s">
        <v>1063</v>
      </c>
    </row>
    <row r="6888" spans="1:10" ht="15" x14ac:dyDescent="0.2">
      <c r="A6888" s="486" t="s">
        <v>1062</v>
      </c>
      <c r="B6888" s="487" t="s">
        <v>1061</v>
      </c>
      <c r="C6888" s="488" t="s">
        <v>21811</v>
      </c>
      <c r="D6888" s="489" t="s">
        <v>21812</v>
      </c>
      <c r="E6888" s="487" t="s">
        <v>21813</v>
      </c>
      <c r="F6888" s="490">
        <v>0</v>
      </c>
      <c r="G6888" s="489">
        <v>3.55</v>
      </c>
      <c r="H6888" s="489">
        <v>0</v>
      </c>
      <c r="I6888" s="487" t="s">
        <v>1593</v>
      </c>
      <c r="J6888" s="487" t="s">
        <v>1063</v>
      </c>
    </row>
    <row r="6889" spans="1:10" ht="15" x14ac:dyDescent="0.2">
      <c r="A6889" s="486" t="s">
        <v>1062</v>
      </c>
      <c r="B6889" s="487" t="s">
        <v>1061</v>
      </c>
      <c r="C6889" s="488" t="s">
        <v>21814</v>
      </c>
      <c r="D6889" s="489" t="s">
        <v>21815</v>
      </c>
      <c r="E6889" s="487" t="s">
        <v>21816</v>
      </c>
      <c r="F6889" s="490">
        <v>11000</v>
      </c>
      <c r="G6889" s="489">
        <v>288.56</v>
      </c>
      <c r="H6889" s="489">
        <v>38.12032</v>
      </c>
      <c r="I6889" s="487" t="s">
        <v>1499</v>
      </c>
      <c r="J6889" s="487" t="s">
        <v>1063</v>
      </c>
    </row>
    <row r="6890" spans="1:10" ht="15" x14ac:dyDescent="0.2">
      <c r="A6890" s="486" t="s">
        <v>1062</v>
      </c>
      <c r="B6890" s="487" t="s">
        <v>1061</v>
      </c>
      <c r="C6890" s="488" t="s">
        <v>21817</v>
      </c>
      <c r="D6890" s="489" t="s">
        <v>21818</v>
      </c>
      <c r="E6890" s="487" t="s">
        <v>21819</v>
      </c>
      <c r="F6890" s="490">
        <v>4022.88</v>
      </c>
      <c r="G6890" s="489">
        <v>158.44</v>
      </c>
      <c r="H6890" s="489">
        <v>25.390560000000001</v>
      </c>
      <c r="I6890" s="487" t="s">
        <v>2465</v>
      </c>
      <c r="J6890" s="487" t="s">
        <v>1063</v>
      </c>
    </row>
    <row r="6891" spans="1:10" ht="15" x14ac:dyDescent="0.2">
      <c r="A6891" s="486" t="s">
        <v>1062</v>
      </c>
      <c r="B6891" s="487" t="s">
        <v>1061</v>
      </c>
      <c r="C6891" s="488" t="s">
        <v>21820</v>
      </c>
      <c r="D6891" s="489" t="s">
        <v>21821</v>
      </c>
      <c r="E6891" s="487" t="s">
        <v>21822</v>
      </c>
      <c r="F6891" s="490">
        <v>5400</v>
      </c>
      <c r="G6891" s="489">
        <v>130.55000000000001</v>
      </c>
      <c r="H6891" s="489">
        <v>41.363460000000003</v>
      </c>
      <c r="I6891" s="487" t="s">
        <v>1499</v>
      </c>
      <c r="J6891" s="487" t="s">
        <v>1063</v>
      </c>
    </row>
    <row r="6892" spans="1:10" ht="15" x14ac:dyDescent="0.2">
      <c r="A6892" s="486" t="s">
        <v>1062</v>
      </c>
      <c r="B6892" s="487" t="s">
        <v>1061</v>
      </c>
      <c r="C6892" s="488" t="s">
        <v>21823</v>
      </c>
      <c r="D6892" s="489" t="s">
        <v>21824</v>
      </c>
      <c r="E6892" s="487" t="s">
        <v>21825</v>
      </c>
      <c r="F6892" s="490">
        <v>13147</v>
      </c>
      <c r="G6892" s="489">
        <v>197.24</v>
      </c>
      <c r="H6892" s="489">
        <v>66.654839999999993</v>
      </c>
      <c r="I6892" s="487" t="s">
        <v>1499</v>
      </c>
      <c r="J6892" s="487" t="s">
        <v>1063</v>
      </c>
    </row>
    <row r="6893" spans="1:10" ht="15" x14ac:dyDescent="0.2">
      <c r="A6893" s="486" t="s">
        <v>1062</v>
      </c>
      <c r="B6893" s="487" t="s">
        <v>1061</v>
      </c>
      <c r="C6893" s="488" t="s">
        <v>21826</v>
      </c>
      <c r="D6893" s="489" t="s">
        <v>21827</v>
      </c>
      <c r="E6893" s="487" t="s">
        <v>21828</v>
      </c>
      <c r="F6893" s="490">
        <v>0</v>
      </c>
      <c r="G6893" s="489">
        <v>429.95</v>
      </c>
      <c r="H6893" s="489">
        <v>0</v>
      </c>
      <c r="I6893" s="487" t="s">
        <v>1593</v>
      </c>
      <c r="J6893" s="487" t="s">
        <v>1063</v>
      </c>
    </row>
    <row r="6894" spans="1:10" ht="15" x14ac:dyDescent="0.2">
      <c r="A6894" s="486" t="s">
        <v>1062</v>
      </c>
      <c r="B6894" s="487" t="s">
        <v>1061</v>
      </c>
      <c r="C6894" s="488" t="s">
        <v>21829</v>
      </c>
      <c r="D6894" s="489" t="s">
        <v>21830</v>
      </c>
      <c r="E6894" s="487" t="s">
        <v>21831</v>
      </c>
      <c r="F6894" s="490">
        <v>10365</v>
      </c>
      <c r="G6894" s="489">
        <v>176.91</v>
      </c>
      <c r="H6894" s="489">
        <v>58.589109999999998</v>
      </c>
      <c r="I6894" s="487" t="s">
        <v>1499</v>
      </c>
      <c r="J6894" s="487" t="s">
        <v>1063</v>
      </c>
    </row>
    <row r="6895" spans="1:10" ht="15" x14ac:dyDescent="0.2">
      <c r="A6895" s="486" t="s">
        <v>1062</v>
      </c>
      <c r="B6895" s="487" t="s">
        <v>1061</v>
      </c>
      <c r="C6895" s="488" t="s">
        <v>21832</v>
      </c>
      <c r="D6895" s="489" t="s">
        <v>21833</v>
      </c>
      <c r="E6895" s="487" t="s">
        <v>21834</v>
      </c>
      <c r="F6895" s="490">
        <v>111543</v>
      </c>
      <c r="G6895" s="489">
        <v>939.06</v>
      </c>
      <c r="H6895" s="489">
        <v>118.78155</v>
      </c>
      <c r="I6895" s="487" t="s">
        <v>1499</v>
      </c>
      <c r="J6895" s="487" t="s">
        <v>1063</v>
      </c>
    </row>
    <row r="6896" spans="1:10" ht="15" x14ac:dyDescent="0.2">
      <c r="A6896" s="486" t="s">
        <v>1062</v>
      </c>
      <c r="B6896" s="487" t="s">
        <v>1061</v>
      </c>
      <c r="C6896" s="488" t="s">
        <v>21835</v>
      </c>
      <c r="D6896" s="489" t="s">
        <v>21836</v>
      </c>
      <c r="E6896" s="487" t="s">
        <v>21837</v>
      </c>
      <c r="F6896" s="490">
        <v>214721</v>
      </c>
      <c r="G6896" s="489">
        <v>3212.33</v>
      </c>
      <c r="H6896" s="489">
        <v>66.842759999999998</v>
      </c>
      <c r="I6896" s="487" t="s">
        <v>1499</v>
      </c>
      <c r="J6896" s="487" t="s">
        <v>1063</v>
      </c>
    </row>
    <row r="6897" spans="1:10" ht="15" x14ac:dyDescent="0.2">
      <c r="A6897" s="486" t="s">
        <v>1062</v>
      </c>
      <c r="B6897" s="487" t="s">
        <v>1061</v>
      </c>
      <c r="C6897" s="488" t="s">
        <v>21838</v>
      </c>
      <c r="D6897" s="489" t="s">
        <v>21839</v>
      </c>
      <c r="E6897" s="487" t="s">
        <v>21840</v>
      </c>
      <c r="F6897" s="490">
        <v>0</v>
      </c>
      <c r="G6897" s="489">
        <v>39.299999999999997</v>
      </c>
      <c r="H6897" s="489">
        <v>0</v>
      </c>
      <c r="I6897" s="487" t="s">
        <v>1593</v>
      </c>
      <c r="J6897" s="487" t="s">
        <v>1063</v>
      </c>
    </row>
    <row r="6898" spans="1:10" ht="15" x14ac:dyDescent="0.2">
      <c r="A6898" s="486" t="s">
        <v>1062</v>
      </c>
      <c r="B6898" s="487" t="s">
        <v>1061</v>
      </c>
      <c r="C6898" s="488" t="s">
        <v>21841</v>
      </c>
      <c r="D6898" s="489" t="s">
        <v>21842</v>
      </c>
      <c r="E6898" s="487" t="s">
        <v>21843</v>
      </c>
      <c r="F6898" s="490">
        <v>23000</v>
      </c>
      <c r="G6898" s="489">
        <v>443.01</v>
      </c>
      <c r="H6898" s="489">
        <v>51.917560000000002</v>
      </c>
      <c r="I6898" s="487" t="s">
        <v>1499</v>
      </c>
      <c r="J6898" s="487" t="s">
        <v>1063</v>
      </c>
    </row>
    <row r="6899" spans="1:10" ht="15" x14ac:dyDescent="0.2">
      <c r="A6899" s="486" t="s">
        <v>1062</v>
      </c>
      <c r="B6899" s="487" t="s">
        <v>1061</v>
      </c>
      <c r="C6899" s="488" t="s">
        <v>21844</v>
      </c>
      <c r="D6899" s="489" t="s">
        <v>21845</v>
      </c>
      <c r="E6899" s="487" t="s">
        <v>6373</v>
      </c>
      <c r="F6899" s="490">
        <v>3847</v>
      </c>
      <c r="G6899" s="489">
        <v>139.76</v>
      </c>
      <c r="H6899" s="489">
        <v>27.525759999999998</v>
      </c>
      <c r="I6899" s="487" t="s">
        <v>1499</v>
      </c>
      <c r="J6899" s="487" t="s">
        <v>1063</v>
      </c>
    </row>
    <row r="6900" spans="1:10" ht="15" x14ac:dyDescent="0.2">
      <c r="A6900" s="486" t="s">
        <v>1062</v>
      </c>
      <c r="B6900" s="487" t="s">
        <v>1061</v>
      </c>
      <c r="C6900" s="488" t="s">
        <v>21846</v>
      </c>
      <c r="D6900" s="489" t="s">
        <v>21847</v>
      </c>
      <c r="E6900" s="487" t="s">
        <v>21848</v>
      </c>
      <c r="F6900" s="490">
        <v>483200</v>
      </c>
      <c r="G6900" s="489">
        <v>6062.89</v>
      </c>
      <c r="H6900" s="489">
        <v>79.697969999999998</v>
      </c>
      <c r="I6900" s="487" t="s">
        <v>1499</v>
      </c>
      <c r="J6900" s="487" t="s">
        <v>1063</v>
      </c>
    </row>
    <row r="6901" spans="1:10" ht="15" x14ac:dyDescent="0.2">
      <c r="A6901" s="486" t="s">
        <v>1062</v>
      </c>
      <c r="B6901" s="487" t="s">
        <v>1061</v>
      </c>
      <c r="C6901" s="488" t="s">
        <v>21849</v>
      </c>
      <c r="D6901" s="489" t="s">
        <v>21850</v>
      </c>
      <c r="E6901" s="487" t="s">
        <v>21851</v>
      </c>
      <c r="F6901" s="490">
        <v>10047</v>
      </c>
      <c r="G6901" s="489">
        <v>115.34</v>
      </c>
      <c r="H6901" s="489">
        <v>87.107680000000002</v>
      </c>
      <c r="I6901" s="487" t="s">
        <v>1499</v>
      </c>
      <c r="J6901" s="487" t="s">
        <v>1063</v>
      </c>
    </row>
    <row r="6902" spans="1:10" ht="15" x14ac:dyDescent="0.2">
      <c r="A6902" s="486" t="s">
        <v>1062</v>
      </c>
      <c r="B6902" s="487" t="s">
        <v>1061</v>
      </c>
      <c r="C6902" s="488" t="s">
        <v>21852</v>
      </c>
      <c r="D6902" s="489" t="s">
        <v>21853</v>
      </c>
      <c r="E6902" s="487" t="s">
        <v>21854</v>
      </c>
      <c r="F6902" s="490">
        <v>80653</v>
      </c>
      <c r="G6902" s="489">
        <v>2390.92</v>
      </c>
      <c r="H6902" s="489">
        <v>33.733040000000003</v>
      </c>
      <c r="I6902" s="487" t="s">
        <v>1499</v>
      </c>
      <c r="J6902" s="487" t="s">
        <v>1063</v>
      </c>
    </row>
    <row r="6903" spans="1:10" ht="15" x14ac:dyDescent="0.2">
      <c r="A6903" s="486" t="s">
        <v>1062</v>
      </c>
      <c r="B6903" s="487" t="s">
        <v>1061</v>
      </c>
      <c r="C6903" s="488" t="s">
        <v>21855</v>
      </c>
      <c r="D6903" s="489" t="s">
        <v>21856</v>
      </c>
      <c r="E6903" s="487" t="s">
        <v>21857</v>
      </c>
      <c r="F6903" s="490">
        <v>179.55</v>
      </c>
      <c r="G6903" s="489">
        <v>12.68</v>
      </c>
      <c r="H6903" s="489">
        <v>14.16009</v>
      </c>
      <c r="I6903" s="487" t="s">
        <v>1499</v>
      </c>
      <c r="J6903" s="487" t="s">
        <v>1063</v>
      </c>
    </row>
    <row r="6904" spans="1:10" ht="15" x14ac:dyDescent="0.2">
      <c r="A6904" s="486" t="s">
        <v>1062</v>
      </c>
      <c r="B6904" s="487" t="s">
        <v>1061</v>
      </c>
      <c r="C6904" s="488" t="s">
        <v>21858</v>
      </c>
      <c r="D6904" s="489" t="s">
        <v>21859</v>
      </c>
      <c r="E6904" s="487" t="s">
        <v>21860</v>
      </c>
      <c r="F6904" s="490">
        <v>10450</v>
      </c>
      <c r="G6904" s="489">
        <v>212.46</v>
      </c>
      <c r="H6904" s="489">
        <v>49.18573</v>
      </c>
      <c r="I6904" s="487" t="s">
        <v>1499</v>
      </c>
      <c r="J6904" s="487" t="s">
        <v>1063</v>
      </c>
    </row>
    <row r="6905" spans="1:10" ht="15" x14ac:dyDescent="0.2">
      <c r="A6905" s="486" t="s">
        <v>1062</v>
      </c>
      <c r="B6905" s="487" t="s">
        <v>1061</v>
      </c>
      <c r="C6905" s="488" t="s">
        <v>21861</v>
      </c>
      <c r="D6905" s="489" t="s">
        <v>21862</v>
      </c>
      <c r="E6905" s="487" t="s">
        <v>21863</v>
      </c>
      <c r="F6905" s="490">
        <v>1078.92</v>
      </c>
      <c r="G6905" s="489">
        <v>23.86</v>
      </c>
      <c r="H6905" s="489">
        <v>45.218780000000002</v>
      </c>
      <c r="I6905" s="487" t="s">
        <v>2465</v>
      </c>
      <c r="J6905" s="487" t="s">
        <v>1063</v>
      </c>
    </row>
    <row r="6906" spans="1:10" ht="15" x14ac:dyDescent="0.2">
      <c r="A6906" s="486" t="s">
        <v>1062</v>
      </c>
      <c r="B6906" s="487" t="s">
        <v>1061</v>
      </c>
      <c r="C6906" s="488" t="s">
        <v>21864</v>
      </c>
      <c r="D6906" s="489" t="s">
        <v>21865</v>
      </c>
      <c r="E6906" s="487" t="s">
        <v>21866</v>
      </c>
      <c r="F6906" s="490">
        <v>8880.0499999999993</v>
      </c>
      <c r="G6906" s="489">
        <v>190.2</v>
      </c>
      <c r="H6906" s="489">
        <v>46.687959999999997</v>
      </c>
      <c r="I6906" s="487" t="s">
        <v>1499</v>
      </c>
      <c r="J6906" s="487" t="s">
        <v>1063</v>
      </c>
    </row>
    <row r="6907" spans="1:10" ht="15" x14ac:dyDescent="0.2">
      <c r="A6907" s="486" t="s">
        <v>1062</v>
      </c>
      <c r="B6907" s="487" t="s">
        <v>1061</v>
      </c>
      <c r="C6907" s="488" t="s">
        <v>21867</v>
      </c>
      <c r="D6907" s="489" t="s">
        <v>21868</v>
      </c>
      <c r="E6907" s="487" t="s">
        <v>21869</v>
      </c>
      <c r="F6907" s="490">
        <v>0</v>
      </c>
      <c r="G6907" s="489">
        <v>81.36</v>
      </c>
      <c r="H6907" s="489">
        <v>0</v>
      </c>
      <c r="I6907" s="487" t="s">
        <v>1593</v>
      </c>
      <c r="J6907" s="487" t="s">
        <v>1063</v>
      </c>
    </row>
    <row r="6908" spans="1:10" ht="15" x14ac:dyDescent="0.2">
      <c r="A6908" s="486" t="s">
        <v>1062</v>
      </c>
      <c r="B6908" s="487" t="s">
        <v>1061</v>
      </c>
      <c r="C6908" s="488" t="s">
        <v>21870</v>
      </c>
      <c r="D6908" s="489" t="s">
        <v>21871</v>
      </c>
      <c r="E6908" s="487" t="s">
        <v>21872</v>
      </c>
      <c r="F6908" s="490">
        <v>7500</v>
      </c>
      <c r="G6908" s="489">
        <v>109.39</v>
      </c>
      <c r="H6908" s="489">
        <v>68.562029999999993</v>
      </c>
      <c r="I6908" s="487" t="s">
        <v>1499</v>
      </c>
      <c r="J6908" s="487" t="s">
        <v>1063</v>
      </c>
    </row>
    <row r="6909" spans="1:10" ht="15" x14ac:dyDescent="0.2">
      <c r="A6909" s="486" t="s">
        <v>1062</v>
      </c>
      <c r="B6909" s="487" t="s">
        <v>1061</v>
      </c>
      <c r="C6909" s="488" t="s">
        <v>21873</v>
      </c>
      <c r="D6909" s="489" t="s">
        <v>21874</v>
      </c>
      <c r="E6909" s="487" t="s">
        <v>21875</v>
      </c>
      <c r="F6909" s="490">
        <v>0</v>
      </c>
      <c r="G6909" s="489">
        <v>37.47</v>
      </c>
      <c r="H6909" s="489">
        <v>0</v>
      </c>
      <c r="I6909" s="487" t="s">
        <v>1593</v>
      </c>
      <c r="J6909" s="487" t="s">
        <v>1063</v>
      </c>
    </row>
    <row r="6910" spans="1:10" ht="15" x14ac:dyDescent="0.2">
      <c r="A6910" s="486" t="s">
        <v>1062</v>
      </c>
      <c r="B6910" s="487" t="s">
        <v>1061</v>
      </c>
      <c r="C6910" s="488" t="s">
        <v>21876</v>
      </c>
      <c r="D6910" s="489" t="s">
        <v>21877</v>
      </c>
      <c r="E6910" s="487" t="s">
        <v>21878</v>
      </c>
      <c r="F6910" s="490">
        <v>6500</v>
      </c>
      <c r="G6910" s="489">
        <v>124.78</v>
      </c>
      <c r="H6910" s="489">
        <v>52.091679999999997</v>
      </c>
      <c r="I6910" s="487" t="s">
        <v>1499</v>
      </c>
      <c r="J6910" s="487" t="s">
        <v>1063</v>
      </c>
    </row>
    <row r="6911" spans="1:10" ht="15" x14ac:dyDescent="0.2">
      <c r="A6911" s="486" t="s">
        <v>1062</v>
      </c>
      <c r="B6911" s="487" t="s">
        <v>1061</v>
      </c>
      <c r="C6911" s="488" t="s">
        <v>21879</v>
      </c>
      <c r="D6911" s="489" t="s">
        <v>21880</v>
      </c>
      <c r="E6911" s="487" t="s">
        <v>21881</v>
      </c>
      <c r="F6911" s="490">
        <v>29965.73</v>
      </c>
      <c r="G6911" s="489">
        <v>282.36</v>
      </c>
      <c r="H6911" s="489">
        <v>106.12597</v>
      </c>
      <c r="I6911" s="487" t="s">
        <v>2465</v>
      </c>
      <c r="J6911" s="487" t="s">
        <v>1063</v>
      </c>
    </row>
    <row r="6912" spans="1:10" ht="15" x14ac:dyDescent="0.2">
      <c r="A6912" s="486" t="s">
        <v>1062</v>
      </c>
      <c r="B6912" s="487" t="s">
        <v>1061</v>
      </c>
      <c r="C6912" s="488" t="s">
        <v>21882</v>
      </c>
      <c r="D6912" s="489" t="s">
        <v>21883</v>
      </c>
      <c r="E6912" s="487" t="s">
        <v>21884</v>
      </c>
      <c r="F6912" s="490">
        <v>4000</v>
      </c>
      <c r="G6912" s="489">
        <v>98.36</v>
      </c>
      <c r="H6912" s="489">
        <v>40.666939999999997</v>
      </c>
      <c r="I6912" s="487" t="s">
        <v>1499</v>
      </c>
      <c r="J6912" s="487" t="s">
        <v>1063</v>
      </c>
    </row>
    <row r="6913" spans="1:10" ht="15" x14ac:dyDescent="0.2">
      <c r="A6913" s="486" t="s">
        <v>1062</v>
      </c>
      <c r="B6913" s="487" t="s">
        <v>1061</v>
      </c>
      <c r="C6913" s="488" t="s">
        <v>21885</v>
      </c>
      <c r="D6913" s="489" t="s">
        <v>21886</v>
      </c>
      <c r="E6913" s="487" t="s">
        <v>21887</v>
      </c>
      <c r="F6913" s="490">
        <v>4000</v>
      </c>
      <c r="G6913" s="489">
        <v>122.15</v>
      </c>
      <c r="H6913" s="489">
        <v>32.74662</v>
      </c>
      <c r="I6913" s="487" t="s">
        <v>1499</v>
      </c>
      <c r="J6913" s="487" t="s">
        <v>1063</v>
      </c>
    </row>
    <row r="6914" spans="1:10" ht="15" x14ac:dyDescent="0.2">
      <c r="A6914" s="486" t="s">
        <v>1062</v>
      </c>
      <c r="B6914" s="487" t="s">
        <v>1061</v>
      </c>
      <c r="C6914" s="488" t="s">
        <v>21888</v>
      </c>
      <c r="D6914" s="489" t="s">
        <v>21889</v>
      </c>
      <c r="E6914" s="487" t="s">
        <v>21890</v>
      </c>
      <c r="F6914" s="490">
        <v>18500</v>
      </c>
      <c r="G6914" s="489">
        <v>341.13</v>
      </c>
      <c r="H6914" s="489">
        <v>54.231520000000003</v>
      </c>
      <c r="I6914" s="487" t="s">
        <v>1499</v>
      </c>
      <c r="J6914" s="487" t="s">
        <v>1063</v>
      </c>
    </row>
    <row r="6915" spans="1:10" ht="15" x14ac:dyDescent="0.2">
      <c r="A6915" s="486" t="s">
        <v>1062</v>
      </c>
      <c r="B6915" s="487" t="s">
        <v>1061</v>
      </c>
      <c r="C6915" s="488" t="s">
        <v>21891</v>
      </c>
      <c r="D6915" s="489" t="s">
        <v>21892</v>
      </c>
      <c r="E6915" s="487" t="s">
        <v>21893</v>
      </c>
      <c r="F6915" s="490">
        <v>310</v>
      </c>
      <c r="G6915" s="489">
        <v>38.31</v>
      </c>
      <c r="H6915" s="489">
        <v>8.0918799999999997</v>
      </c>
      <c r="I6915" s="487" t="s">
        <v>1499</v>
      </c>
      <c r="J6915" s="487" t="s">
        <v>1063</v>
      </c>
    </row>
    <row r="6916" spans="1:10" ht="15" x14ac:dyDescent="0.2">
      <c r="A6916" s="486" t="s">
        <v>1062</v>
      </c>
      <c r="B6916" s="487" t="s">
        <v>1061</v>
      </c>
      <c r="C6916" s="488" t="s">
        <v>21894</v>
      </c>
      <c r="D6916" s="489" t="s">
        <v>21895</v>
      </c>
      <c r="E6916" s="487" t="s">
        <v>21896</v>
      </c>
      <c r="F6916" s="490">
        <v>56000</v>
      </c>
      <c r="G6916" s="489">
        <v>931.74</v>
      </c>
      <c r="H6916" s="489">
        <v>60.102600000000002</v>
      </c>
      <c r="I6916" s="487" t="s">
        <v>1499</v>
      </c>
      <c r="J6916" s="487" t="s">
        <v>1063</v>
      </c>
    </row>
    <row r="6917" spans="1:10" ht="15" x14ac:dyDescent="0.2">
      <c r="A6917" s="486" t="s">
        <v>1062</v>
      </c>
      <c r="B6917" s="487" t="s">
        <v>1061</v>
      </c>
      <c r="C6917" s="488" t="s">
        <v>21897</v>
      </c>
      <c r="D6917" s="489" t="s">
        <v>21898</v>
      </c>
      <c r="E6917" s="487" t="s">
        <v>21899</v>
      </c>
      <c r="F6917" s="490">
        <v>7500</v>
      </c>
      <c r="G6917" s="489">
        <v>340.19</v>
      </c>
      <c r="H6917" s="489">
        <v>22.046500000000002</v>
      </c>
      <c r="I6917" s="487" t="s">
        <v>1499</v>
      </c>
      <c r="J6917" s="487" t="s">
        <v>1063</v>
      </c>
    </row>
    <row r="6918" spans="1:10" ht="15" x14ac:dyDescent="0.2">
      <c r="A6918" s="486" t="s">
        <v>1062</v>
      </c>
      <c r="B6918" s="487" t="s">
        <v>1061</v>
      </c>
      <c r="C6918" s="488" t="s">
        <v>21900</v>
      </c>
      <c r="D6918" s="489" t="s">
        <v>21901</v>
      </c>
      <c r="E6918" s="487" t="s">
        <v>21902</v>
      </c>
      <c r="F6918" s="490">
        <v>1800</v>
      </c>
      <c r="G6918" s="489">
        <v>92.5</v>
      </c>
      <c r="H6918" s="489">
        <v>19.45946</v>
      </c>
      <c r="I6918" s="487" t="s">
        <v>1499</v>
      </c>
      <c r="J6918" s="487" t="s">
        <v>1063</v>
      </c>
    </row>
    <row r="6919" spans="1:10" ht="15" x14ac:dyDescent="0.2">
      <c r="A6919" s="486" t="s">
        <v>1062</v>
      </c>
      <c r="B6919" s="487" t="s">
        <v>1061</v>
      </c>
      <c r="C6919" s="488" t="s">
        <v>21903</v>
      </c>
      <c r="D6919" s="489" t="s">
        <v>21904</v>
      </c>
      <c r="E6919" s="487" t="s">
        <v>21905</v>
      </c>
      <c r="F6919" s="490">
        <v>10903</v>
      </c>
      <c r="G6919" s="489">
        <v>233.3</v>
      </c>
      <c r="H6919" s="489">
        <v>46.733820000000001</v>
      </c>
      <c r="I6919" s="487" t="s">
        <v>1499</v>
      </c>
      <c r="J6919" s="487" t="s">
        <v>1063</v>
      </c>
    </row>
    <row r="6920" spans="1:10" ht="15" x14ac:dyDescent="0.2">
      <c r="A6920" s="486" t="s">
        <v>1062</v>
      </c>
      <c r="B6920" s="487" t="s">
        <v>1061</v>
      </c>
      <c r="C6920" s="488" t="s">
        <v>21906</v>
      </c>
      <c r="D6920" s="489" t="s">
        <v>21907</v>
      </c>
      <c r="E6920" s="487" t="s">
        <v>21908</v>
      </c>
      <c r="F6920" s="490">
        <v>6400</v>
      </c>
      <c r="G6920" s="489">
        <v>218.67</v>
      </c>
      <c r="H6920" s="489">
        <v>29.267849999999999</v>
      </c>
      <c r="I6920" s="487" t="s">
        <v>1499</v>
      </c>
      <c r="J6920" s="487" t="s">
        <v>1063</v>
      </c>
    </row>
    <row r="6921" spans="1:10" ht="15" x14ac:dyDescent="0.2">
      <c r="A6921" s="486" t="s">
        <v>1062</v>
      </c>
      <c r="B6921" s="487" t="s">
        <v>1061</v>
      </c>
      <c r="C6921" s="488" t="s">
        <v>21909</v>
      </c>
      <c r="D6921" s="489" t="s">
        <v>21910</v>
      </c>
      <c r="E6921" s="487" t="s">
        <v>21911</v>
      </c>
      <c r="F6921" s="490">
        <v>7200</v>
      </c>
      <c r="G6921" s="489">
        <v>288.70999999999998</v>
      </c>
      <c r="H6921" s="489">
        <v>24.93852</v>
      </c>
      <c r="I6921" s="487" t="s">
        <v>1499</v>
      </c>
      <c r="J6921" s="487" t="s">
        <v>1063</v>
      </c>
    </row>
    <row r="6922" spans="1:10" ht="15" x14ac:dyDescent="0.2">
      <c r="A6922" s="486" t="s">
        <v>1062</v>
      </c>
      <c r="B6922" s="487" t="s">
        <v>1061</v>
      </c>
      <c r="C6922" s="488" t="s">
        <v>21912</v>
      </c>
      <c r="D6922" s="489" t="s">
        <v>21913</v>
      </c>
      <c r="E6922" s="487" t="s">
        <v>21914</v>
      </c>
      <c r="F6922" s="490">
        <v>35000</v>
      </c>
      <c r="G6922" s="489">
        <v>1627.5</v>
      </c>
      <c r="H6922" s="489">
        <v>21.505379999999999</v>
      </c>
      <c r="I6922" s="487" t="s">
        <v>1499</v>
      </c>
      <c r="J6922" s="487" t="s">
        <v>1063</v>
      </c>
    </row>
    <row r="6923" spans="1:10" ht="15" x14ac:dyDescent="0.2">
      <c r="A6923" s="486" t="s">
        <v>1062</v>
      </c>
      <c r="B6923" s="487" t="s">
        <v>1061</v>
      </c>
      <c r="C6923" s="488" t="s">
        <v>21915</v>
      </c>
      <c r="D6923" s="489" t="s">
        <v>21916</v>
      </c>
      <c r="E6923" s="487" t="s">
        <v>21917</v>
      </c>
      <c r="F6923" s="490">
        <v>9176.9500000000007</v>
      </c>
      <c r="G6923" s="489">
        <v>172.47</v>
      </c>
      <c r="H6923" s="489">
        <v>53.208959999999998</v>
      </c>
      <c r="I6923" s="487" t="s">
        <v>1499</v>
      </c>
      <c r="J6923" s="487" t="s">
        <v>1063</v>
      </c>
    </row>
    <row r="6924" spans="1:10" ht="15" x14ac:dyDescent="0.2">
      <c r="A6924" s="486" t="s">
        <v>1062</v>
      </c>
      <c r="B6924" s="487" t="s">
        <v>1061</v>
      </c>
      <c r="C6924" s="488" t="s">
        <v>21918</v>
      </c>
      <c r="D6924" s="489" t="s">
        <v>21919</v>
      </c>
      <c r="E6924" s="487" t="s">
        <v>21920</v>
      </c>
      <c r="F6924" s="490">
        <v>172660</v>
      </c>
      <c r="G6924" s="489">
        <v>1195.3699999999999</v>
      </c>
      <c r="H6924" s="489">
        <v>144.44063</v>
      </c>
      <c r="I6924" s="487" t="s">
        <v>1499</v>
      </c>
      <c r="J6924" s="487" t="s">
        <v>1063</v>
      </c>
    </row>
    <row r="6925" spans="1:10" ht="15" x14ac:dyDescent="0.2">
      <c r="A6925" s="486" t="s">
        <v>1062</v>
      </c>
      <c r="B6925" s="487" t="s">
        <v>1061</v>
      </c>
      <c r="C6925" s="488" t="s">
        <v>21921</v>
      </c>
      <c r="D6925" s="489" t="s">
        <v>21922</v>
      </c>
      <c r="E6925" s="487" t="s">
        <v>21923</v>
      </c>
      <c r="F6925" s="490">
        <v>7000</v>
      </c>
      <c r="G6925" s="489">
        <v>141.02000000000001</v>
      </c>
      <c r="H6925" s="489">
        <v>49.638350000000003</v>
      </c>
      <c r="I6925" s="487" t="s">
        <v>1499</v>
      </c>
      <c r="J6925" s="487" t="s">
        <v>1063</v>
      </c>
    </row>
    <row r="6926" spans="1:10" ht="15" x14ac:dyDescent="0.2">
      <c r="A6926" s="486" t="s">
        <v>1062</v>
      </c>
      <c r="B6926" s="487" t="s">
        <v>1061</v>
      </c>
      <c r="C6926" s="488" t="s">
        <v>21924</v>
      </c>
      <c r="D6926" s="489" t="s">
        <v>21925</v>
      </c>
      <c r="E6926" s="487" t="s">
        <v>21926</v>
      </c>
      <c r="F6926" s="490">
        <v>0</v>
      </c>
      <c r="G6926" s="489">
        <v>10.93</v>
      </c>
      <c r="H6926" s="489">
        <v>0</v>
      </c>
      <c r="I6926" s="487" t="s">
        <v>1593</v>
      </c>
      <c r="J6926" s="487" t="s">
        <v>1063</v>
      </c>
    </row>
    <row r="6927" spans="1:10" ht="15" x14ac:dyDescent="0.2">
      <c r="A6927" s="486" t="s">
        <v>1062</v>
      </c>
      <c r="B6927" s="487" t="s">
        <v>1061</v>
      </c>
      <c r="C6927" s="488" t="s">
        <v>21927</v>
      </c>
      <c r="D6927" s="489" t="s">
        <v>21928</v>
      </c>
      <c r="E6927" s="487" t="s">
        <v>21929</v>
      </c>
      <c r="F6927" s="490">
        <v>14068</v>
      </c>
      <c r="G6927" s="489">
        <v>282.05</v>
      </c>
      <c r="H6927" s="489">
        <v>49.877679999999998</v>
      </c>
      <c r="I6927" s="487" t="s">
        <v>1499</v>
      </c>
      <c r="J6927" s="487" t="s">
        <v>1063</v>
      </c>
    </row>
    <row r="6928" spans="1:10" ht="15" x14ac:dyDescent="0.2">
      <c r="A6928" s="486" t="s">
        <v>1062</v>
      </c>
      <c r="B6928" s="487" t="s">
        <v>1061</v>
      </c>
      <c r="C6928" s="488" t="s">
        <v>21930</v>
      </c>
      <c r="D6928" s="489" t="s">
        <v>21931</v>
      </c>
      <c r="E6928" s="487" t="s">
        <v>21932</v>
      </c>
      <c r="F6928" s="490">
        <v>34000</v>
      </c>
      <c r="G6928" s="489">
        <v>285.2</v>
      </c>
      <c r="H6928" s="489">
        <v>119.21459</v>
      </c>
      <c r="I6928" s="487" t="s">
        <v>1499</v>
      </c>
      <c r="J6928" s="487" t="s">
        <v>1063</v>
      </c>
    </row>
    <row r="6929" spans="1:10" ht="15" x14ac:dyDescent="0.2">
      <c r="A6929" s="486" t="s">
        <v>1062</v>
      </c>
      <c r="B6929" s="487" t="s">
        <v>1061</v>
      </c>
      <c r="C6929" s="488" t="s">
        <v>21933</v>
      </c>
      <c r="D6929" s="489" t="s">
        <v>21934</v>
      </c>
      <c r="E6929" s="487" t="s">
        <v>21935</v>
      </c>
      <c r="F6929" s="490">
        <v>284350</v>
      </c>
      <c r="G6929" s="489">
        <v>3004.93</v>
      </c>
      <c r="H6929" s="489">
        <v>94.627830000000003</v>
      </c>
      <c r="I6929" s="487" t="s">
        <v>1499</v>
      </c>
      <c r="J6929" s="487" t="s">
        <v>1063</v>
      </c>
    </row>
    <row r="6930" spans="1:10" ht="15" x14ac:dyDescent="0.2">
      <c r="A6930" s="486" t="s">
        <v>1062</v>
      </c>
      <c r="B6930" s="487" t="s">
        <v>1061</v>
      </c>
      <c r="C6930" s="488" t="s">
        <v>21936</v>
      </c>
      <c r="D6930" s="489" t="s">
        <v>21937</v>
      </c>
      <c r="E6930" s="487" t="s">
        <v>21938</v>
      </c>
      <c r="F6930" s="490">
        <v>24500</v>
      </c>
      <c r="G6930" s="489">
        <v>483.05</v>
      </c>
      <c r="H6930" s="489">
        <v>50.719389999999997</v>
      </c>
      <c r="I6930" s="487" t="s">
        <v>1499</v>
      </c>
      <c r="J6930" s="487" t="s">
        <v>1063</v>
      </c>
    </row>
    <row r="6931" spans="1:10" ht="15" x14ac:dyDescent="0.2">
      <c r="A6931" s="486" t="s">
        <v>1062</v>
      </c>
      <c r="B6931" s="487" t="s">
        <v>1061</v>
      </c>
      <c r="C6931" s="488" t="s">
        <v>21939</v>
      </c>
      <c r="D6931" s="489" t="s">
        <v>21940</v>
      </c>
      <c r="E6931" s="487" t="s">
        <v>11057</v>
      </c>
      <c r="F6931" s="490">
        <v>16500</v>
      </c>
      <c r="G6931" s="489">
        <v>319.08999999999997</v>
      </c>
      <c r="H6931" s="489">
        <v>51.70955</v>
      </c>
      <c r="I6931" s="487" t="s">
        <v>1499</v>
      </c>
      <c r="J6931" s="487" t="s">
        <v>1063</v>
      </c>
    </row>
    <row r="6932" spans="1:10" ht="15" x14ac:dyDescent="0.2">
      <c r="A6932" s="486" t="s">
        <v>1062</v>
      </c>
      <c r="B6932" s="487" t="s">
        <v>1061</v>
      </c>
      <c r="C6932" s="488" t="s">
        <v>21941</v>
      </c>
      <c r="D6932" s="489" t="s">
        <v>21942</v>
      </c>
      <c r="E6932" s="487" t="s">
        <v>21943</v>
      </c>
      <c r="F6932" s="490">
        <v>3000</v>
      </c>
      <c r="G6932" s="489">
        <v>191.03</v>
      </c>
      <c r="H6932" s="489">
        <v>15.70434</v>
      </c>
      <c r="I6932" s="487" t="s">
        <v>1499</v>
      </c>
      <c r="J6932" s="487" t="s">
        <v>1063</v>
      </c>
    </row>
    <row r="6933" spans="1:10" ht="15" x14ac:dyDescent="0.2">
      <c r="A6933" s="486" t="s">
        <v>1062</v>
      </c>
      <c r="B6933" s="487" t="s">
        <v>1061</v>
      </c>
      <c r="C6933" s="488" t="s">
        <v>21944</v>
      </c>
      <c r="D6933" s="489" t="s">
        <v>21945</v>
      </c>
      <c r="E6933" s="487" t="s">
        <v>21946</v>
      </c>
      <c r="F6933" s="490">
        <v>389.42</v>
      </c>
      <c r="G6933" s="489">
        <v>16.37</v>
      </c>
      <c r="H6933" s="489">
        <v>23.788640000000001</v>
      </c>
      <c r="I6933" s="487" t="s">
        <v>2465</v>
      </c>
      <c r="J6933" s="487" t="s">
        <v>1063</v>
      </c>
    </row>
    <row r="6934" spans="1:10" ht="15" x14ac:dyDescent="0.2">
      <c r="A6934" s="486" t="s">
        <v>1062</v>
      </c>
      <c r="B6934" s="487" t="s">
        <v>1061</v>
      </c>
      <c r="C6934" s="488" t="s">
        <v>21947</v>
      </c>
      <c r="D6934" s="489" t="s">
        <v>21948</v>
      </c>
      <c r="E6934" s="487" t="s">
        <v>21949</v>
      </c>
      <c r="F6934" s="490">
        <v>1067.6300000000001</v>
      </c>
      <c r="G6934" s="489">
        <v>62.66</v>
      </c>
      <c r="H6934" s="489">
        <v>17.038460000000001</v>
      </c>
      <c r="I6934" s="487" t="s">
        <v>1499</v>
      </c>
      <c r="J6934" s="487" t="s">
        <v>1063</v>
      </c>
    </row>
    <row r="6935" spans="1:10" ht="15" x14ac:dyDescent="0.2">
      <c r="A6935" s="486" t="s">
        <v>1062</v>
      </c>
      <c r="B6935" s="487" t="s">
        <v>1061</v>
      </c>
      <c r="C6935" s="488" t="s">
        <v>21950</v>
      </c>
      <c r="D6935" s="489" t="s">
        <v>21951</v>
      </c>
      <c r="E6935" s="487" t="s">
        <v>21952</v>
      </c>
      <c r="F6935" s="490">
        <v>6650</v>
      </c>
      <c r="G6935" s="489">
        <v>158.05000000000001</v>
      </c>
      <c r="H6935" s="489">
        <v>42.075290000000003</v>
      </c>
      <c r="I6935" s="487" t="s">
        <v>1499</v>
      </c>
      <c r="J6935" s="487" t="s">
        <v>1063</v>
      </c>
    </row>
    <row r="6936" spans="1:10" ht="15" x14ac:dyDescent="0.2">
      <c r="A6936" s="486" t="s">
        <v>1062</v>
      </c>
      <c r="B6936" s="487" t="s">
        <v>1061</v>
      </c>
      <c r="C6936" s="488" t="s">
        <v>21953</v>
      </c>
      <c r="D6936" s="489" t="s">
        <v>21954</v>
      </c>
      <c r="E6936" s="487" t="s">
        <v>21955</v>
      </c>
      <c r="F6936" s="490">
        <v>7300</v>
      </c>
      <c r="G6936" s="489">
        <v>165.74</v>
      </c>
      <c r="H6936" s="489">
        <v>44.044890000000002</v>
      </c>
      <c r="I6936" s="487" t="s">
        <v>1499</v>
      </c>
      <c r="J6936" s="487" t="s">
        <v>1063</v>
      </c>
    </row>
    <row r="6937" spans="1:10" ht="15" x14ac:dyDescent="0.2">
      <c r="A6937" s="486" t="s">
        <v>1062</v>
      </c>
      <c r="B6937" s="487" t="s">
        <v>1061</v>
      </c>
      <c r="C6937" s="488" t="s">
        <v>21956</v>
      </c>
      <c r="D6937" s="489" t="s">
        <v>21957</v>
      </c>
      <c r="E6937" s="487" t="s">
        <v>6219</v>
      </c>
      <c r="F6937" s="490">
        <v>5016</v>
      </c>
      <c r="G6937" s="489">
        <v>149.24</v>
      </c>
      <c r="H6937" s="489">
        <v>33.610289999999999</v>
      </c>
      <c r="I6937" s="487" t="s">
        <v>1499</v>
      </c>
      <c r="J6937" s="487" t="s">
        <v>1063</v>
      </c>
    </row>
    <row r="6938" spans="1:10" ht="15" x14ac:dyDescent="0.2">
      <c r="A6938" s="486" t="s">
        <v>1062</v>
      </c>
      <c r="B6938" s="487" t="s">
        <v>1061</v>
      </c>
      <c r="C6938" s="488" t="s">
        <v>21958</v>
      </c>
      <c r="D6938" s="489" t="s">
        <v>21959</v>
      </c>
      <c r="E6938" s="487" t="s">
        <v>21960</v>
      </c>
      <c r="F6938" s="490">
        <v>572500</v>
      </c>
      <c r="G6938" s="489">
        <v>5802.81</v>
      </c>
      <c r="H6938" s="489">
        <v>98.659099999999995</v>
      </c>
      <c r="I6938" s="487" t="s">
        <v>1499</v>
      </c>
      <c r="J6938" s="487" t="s">
        <v>1063</v>
      </c>
    </row>
    <row r="6939" spans="1:10" ht="15" x14ac:dyDescent="0.2">
      <c r="A6939" s="486" t="s">
        <v>1062</v>
      </c>
      <c r="B6939" s="487" t="s">
        <v>1061</v>
      </c>
      <c r="C6939" s="488" t="s">
        <v>21961</v>
      </c>
      <c r="D6939" s="489" t="s">
        <v>21962</v>
      </c>
      <c r="E6939" s="487" t="s">
        <v>21963</v>
      </c>
      <c r="F6939" s="490">
        <v>0</v>
      </c>
      <c r="G6939" s="489">
        <v>39.94</v>
      </c>
      <c r="H6939" s="489">
        <v>0</v>
      </c>
      <c r="I6939" s="487" t="s">
        <v>1593</v>
      </c>
      <c r="J6939" s="487" t="s">
        <v>1063</v>
      </c>
    </row>
    <row r="6940" spans="1:10" ht="15" x14ac:dyDescent="0.2">
      <c r="A6940" s="486" t="s">
        <v>1062</v>
      </c>
      <c r="B6940" s="487" t="s">
        <v>1061</v>
      </c>
      <c r="C6940" s="488" t="s">
        <v>21964</v>
      </c>
      <c r="D6940" s="489" t="s">
        <v>21965</v>
      </c>
      <c r="E6940" s="487" t="s">
        <v>21966</v>
      </c>
      <c r="F6940" s="490">
        <v>10000</v>
      </c>
      <c r="G6940" s="489">
        <v>166.07</v>
      </c>
      <c r="H6940" s="489">
        <v>60.21557</v>
      </c>
      <c r="I6940" s="487" t="s">
        <v>1499</v>
      </c>
      <c r="J6940" s="487" t="s">
        <v>1063</v>
      </c>
    </row>
    <row r="6941" spans="1:10" ht="15" x14ac:dyDescent="0.2">
      <c r="A6941" s="486" t="s">
        <v>1062</v>
      </c>
      <c r="B6941" s="487" t="s">
        <v>1061</v>
      </c>
      <c r="C6941" s="488" t="s">
        <v>21967</v>
      </c>
      <c r="D6941" s="489" t="s">
        <v>21968</v>
      </c>
      <c r="E6941" s="487" t="s">
        <v>21969</v>
      </c>
      <c r="F6941" s="490">
        <v>2923.6</v>
      </c>
      <c r="G6941" s="489">
        <v>62.62</v>
      </c>
      <c r="H6941" s="489">
        <v>46.687959999999997</v>
      </c>
      <c r="I6941" s="487" t="s">
        <v>1499</v>
      </c>
      <c r="J6941" s="487" t="s">
        <v>1063</v>
      </c>
    </row>
    <row r="6942" spans="1:10" ht="15" x14ac:dyDescent="0.2">
      <c r="A6942" s="486" t="s">
        <v>1062</v>
      </c>
      <c r="B6942" s="487" t="s">
        <v>1061</v>
      </c>
      <c r="C6942" s="488" t="s">
        <v>21970</v>
      </c>
      <c r="D6942" s="489" t="s">
        <v>21971</v>
      </c>
      <c r="E6942" s="487" t="s">
        <v>21972</v>
      </c>
      <c r="F6942" s="490">
        <v>8190</v>
      </c>
      <c r="G6942" s="489">
        <v>268.27999999999997</v>
      </c>
      <c r="H6942" s="489">
        <v>30.527809999999999</v>
      </c>
      <c r="I6942" s="487" t="s">
        <v>1499</v>
      </c>
      <c r="J6942" s="487" t="s">
        <v>1063</v>
      </c>
    </row>
    <row r="6943" spans="1:10" ht="15" x14ac:dyDescent="0.2">
      <c r="A6943" s="486" t="s">
        <v>1062</v>
      </c>
      <c r="B6943" s="487" t="s">
        <v>1061</v>
      </c>
      <c r="C6943" s="488" t="s">
        <v>21973</v>
      </c>
      <c r="D6943" s="489" t="s">
        <v>21974</v>
      </c>
      <c r="E6943" s="487" t="s">
        <v>21975</v>
      </c>
      <c r="F6943" s="490">
        <v>27000</v>
      </c>
      <c r="G6943" s="489">
        <v>375.39</v>
      </c>
      <c r="H6943" s="489">
        <v>71.925200000000004</v>
      </c>
      <c r="I6943" s="487" t="s">
        <v>1499</v>
      </c>
      <c r="J6943" s="487" t="s">
        <v>1063</v>
      </c>
    </row>
    <row r="6944" spans="1:10" ht="15" x14ac:dyDescent="0.2">
      <c r="A6944" s="486" t="s">
        <v>1062</v>
      </c>
      <c r="B6944" s="487" t="s">
        <v>1061</v>
      </c>
      <c r="C6944" s="488" t="s">
        <v>21976</v>
      </c>
      <c r="D6944" s="489" t="s">
        <v>21977</v>
      </c>
      <c r="E6944" s="487" t="s">
        <v>21978</v>
      </c>
      <c r="F6944" s="490">
        <v>9117</v>
      </c>
      <c r="G6944" s="489">
        <v>181.89</v>
      </c>
      <c r="H6944" s="489">
        <v>50.123699999999999</v>
      </c>
      <c r="I6944" s="487" t="s">
        <v>1499</v>
      </c>
      <c r="J6944" s="487" t="s">
        <v>1063</v>
      </c>
    </row>
    <row r="6945" spans="1:10" ht="15" x14ac:dyDescent="0.2">
      <c r="A6945" s="486" t="s">
        <v>1062</v>
      </c>
      <c r="B6945" s="487" t="s">
        <v>1061</v>
      </c>
      <c r="C6945" s="488" t="s">
        <v>21979</v>
      </c>
      <c r="D6945" s="489" t="s">
        <v>21980</v>
      </c>
      <c r="E6945" s="487" t="s">
        <v>21981</v>
      </c>
      <c r="F6945" s="490">
        <v>0</v>
      </c>
      <c r="G6945" s="489">
        <v>84.47</v>
      </c>
      <c r="H6945" s="489">
        <v>0</v>
      </c>
      <c r="I6945" s="487" t="s">
        <v>1593</v>
      </c>
      <c r="J6945" s="487" t="s">
        <v>1063</v>
      </c>
    </row>
    <row r="6946" spans="1:10" ht="15" x14ac:dyDescent="0.2">
      <c r="A6946" s="486" t="s">
        <v>1062</v>
      </c>
      <c r="B6946" s="487" t="s">
        <v>1061</v>
      </c>
      <c r="C6946" s="488" t="s">
        <v>21982</v>
      </c>
      <c r="D6946" s="489" t="s">
        <v>21983</v>
      </c>
      <c r="E6946" s="487" t="s">
        <v>21984</v>
      </c>
      <c r="F6946" s="490">
        <v>0</v>
      </c>
      <c r="G6946" s="489">
        <v>49.25</v>
      </c>
      <c r="H6946" s="489">
        <v>0</v>
      </c>
      <c r="I6946" s="487" t="s">
        <v>1593</v>
      </c>
      <c r="J6946" s="487" t="s">
        <v>1063</v>
      </c>
    </row>
    <row r="6947" spans="1:10" ht="15" x14ac:dyDescent="0.2">
      <c r="A6947" s="486" t="s">
        <v>1062</v>
      </c>
      <c r="B6947" s="487" t="s">
        <v>1061</v>
      </c>
      <c r="C6947" s="488" t="s">
        <v>21985</v>
      </c>
      <c r="D6947" s="489" t="s">
        <v>21986</v>
      </c>
      <c r="E6947" s="487" t="s">
        <v>21987</v>
      </c>
      <c r="F6947" s="490">
        <v>829</v>
      </c>
      <c r="G6947" s="489">
        <v>37.119999999999997</v>
      </c>
      <c r="H6947" s="489">
        <v>22.33297</v>
      </c>
      <c r="I6947" s="487" t="s">
        <v>1499</v>
      </c>
      <c r="J6947" s="487" t="s">
        <v>1063</v>
      </c>
    </row>
    <row r="6948" spans="1:10" ht="15" x14ac:dyDescent="0.2">
      <c r="A6948" s="486" t="s">
        <v>1062</v>
      </c>
      <c r="B6948" s="487" t="s">
        <v>1061</v>
      </c>
      <c r="C6948" s="488" t="s">
        <v>21988</v>
      </c>
      <c r="D6948" s="489" t="s">
        <v>21989</v>
      </c>
      <c r="E6948" s="487" t="s">
        <v>21990</v>
      </c>
      <c r="F6948" s="490">
        <v>6000</v>
      </c>
      <c r="G6948" s="489">
        <v>117.74</v>
      </c>
      <c r="H6948" s="489">
        <v>50.959739999999996</v>
      </c>
      <c r="I6948" s="487" t="s">
        <v>1499</v>
      </c>
      <c r="J6948" s="487" t="s">
        <v>1063</v>
      </c>
    </row>
    <row r="6949" spans="1:10" ht="15" x14ac:dyDescent="0.2">
      <c r="A6949" s="486" t="s">
        <v>1062</v>
      </c>
      <c r="B6949" s="487" t="s">
        <v>1061</v>
      </c>
      <c r="C6949" s="488" t="s">
        <v>21991</v>
      </c>
      <c r="D6949" s="489" t="s">
        <v>21992</v>
      </c>
      <c r="E6949" s="487" t="s">
        <v>21993</v>
      </c>
      <c r="F6949" s="490">
        <v>31445</v>
      </c>
      <c r="G6949" s="489">
        <v>1064.74</v>
      </c>
      <c r="H6949" s="489">
        <v>29.53303</v>
      </c>
      <c r="I6949" s="487" t="s">
        <v>1499</v>
      </c>
      <c r="J6949" s="487" t="s">
        <v>1063</v>
      </c>
    </row>
    <row r="6950" spans="1:10" ht="15" x14ac:dyDescent="0.2">
      <c r="A6950" s="486" t="s">
        <v>1062</v>
      </c>
      <c r="B6950" s="487" t="s">
        <v>1061</v>
      </c>
      <c r="C6950" s="488" t="s">
        <v>21994</v>
      </c>
      <c r="D6950" s="489" t="s">
        <v>21995</v>
      </c>
      <c r="E6950" s="487" t="s">
        <v>21996</v>
      </c>
      <c r="F6950" s="490">
        <v>3498.24</v>
      </c>
      <c r="G6950" s="489">
        <v>168.61</v>
      </c>
      <c r="H6950" s="489">
        <v>20.747520000000002</v>
      </c>
      <c r="I6950" s="487" t="s">
        <v>1499</v>
      </c>
      <c r="J6950" s="487" t="s">
        <v>1063</v>
      </c>
    </row>
    <row r="6951" spans="1:10" ht="15" x14ac:dyDescent="0.2">
      <c r="A6951" s="486" t="s">
        <v>1062</v>
      </c>
      <c r="B6951" s="487" t="s">
        <v>1061</v>
      </c>
      <c r="C6951" s="488" t="s">
        <v>21997</v>
      </c>
      <c r="D6951" s="489" t="s">
        <v>21998</v>
      </c>
      <c r="E6951" s="487" t="s">
        <v>21999</v>
      </c>
      <c r="F6951" s="490">
        <v>0</v>
      </c>
      <c r="G6951" s="489">
        <v>100.76</v>
      </c>
      <c r="H6951" s="489">
        <v>0</v>
      </c>
      <c r="I6951" s="487" t="s">
        <v>1593</v>
      </c>
      <c r="J6951" s="487" t="s">
        <v>1063</v>
      </c>
    </row>
    <row r="6952" spans="1:10" ht="15" x14ac:dyDescent="0.2">
      <c r="A6952" s="486" t="s">
        <v>1062</v>
      </c>
      <c r="B6952" s="487" t="s">
        <v>1061</v>
      </c>
      <c r="C6952" s="488" t="s">
        <v>22000</v>
      </c>
      <c r="D6952" s="489" t="s">
        <v>22001</v>
      </c>
      <c r="E6952" s="487" t="s">
        <v>22002</v>
      </c>
      <c r="F6952" s="490">
        <v>130000</v>
      </c>
      <c r="G6952" s="489">
        <v>2389.17</v>
      </c>
      <c r="H6952" s="489">
        <v>54.412199999999999</v>
      </c>
      <c r="I6952" s="487" t="s">
        <v>1499</v>
      </c>
      <c r="J6952" s="487" t="s">
        <v>1063</v>
      </c>
    </row>
    <row r="6953" spans="1:10" ht="15" x14ac:dyDescent="0.2">
      <c r="A6953" s="486" t="s">
        <v>1062</v>
      </c>
      <c r="B6953" s="487" t="s">
        <v>1061</v>
      </c>
      <c r="C6953" s="488" t="s">
        <v>22003</v>
      </c>
      <c r="D6953" s="489" t="s">
        <v>22004</v>
      </c>
      <c r="E6953" s="487" t="s">
        <v>22005</v>
      </c>
      <c r="F6953" s="490">
        <v>690.18</v>
      </c>
      <c r="G6953" s="489">
        <v>20.2</v>
      </c>
      <c r="H6953" s="489">
        <v>34.16733</v>
      </c>
      <c r="I6953" s="487" t="s">
        <v>1499</v>
      </c>
      <c r="J6953" s="487" t="s">
        <v>1063</v>
      </c>
    </row>
    <row r="6954" spans="1:10" ht="15" x14ac:dyDescent="0.2">
      <c r="A6954" s="486" t="s">
        <v>1062</v>
      </c>
      <c r="B6954" s="487" t="s">
        <v>1061</v>
      </c>
      <c r="C6954" s="488" t="s">
        <v>22006</v>
      </c>
      <c r="D6954" s="489" t="s">
        <v>22007</v>
      </c>
      <c r="E6954" s="487" t="s">
        <v>22008</v>
      </c>
      <c r="F6954" s="490">
        <v>0</v>
      </c>
      <c r="G6954" s="489">
        <v>38.18</v>
      </c>
      <c r="H6954" s="489">
        <v>0</v>
      </c>
      <c r="I6954" s="487" t="s">
        <v>1593</v>
      </c>
      <c r="J6954" s="487" t="s">
        <v>1063</v>
      </c>
    </row>
    <row r="6955" spans="1:10" ht="15" x14ac:dyDescent="0.2">
      <c r="A6955" s="486" t="s">
        <v>1062</v>
      </c>
      <c r="B6955" s="487" t="s">
        <v>1061</v>
      </c>
      <c r="C6955" s="488" t="s">
        <v>22009</v>
      </c>
      <c r="D6955" s="489" t="s">
        <v>22010</v>
      </c>
      <c r="E6955" s="487" t="s">
        <v>22011</v>
      </c>
      <c r="F6955" s="490">
        <v>2650</v>
      </c>
      <c r="G6955" s="489">
        <v>105.56</v>
      </c>
      <c r="H6955" s="489">
        <v>25.104209999999998</v>
      </c>
      <c r="I6955" s="487" t="s">
        <v>1499</v>
      </c>
      <c r="J6955" s="487" t="s">
        <v>1063</v>
      </c>
    </row>
    <row r="6956" spans="1:10" ht="15" x14ac:dyDescent="0.2">
      <c r="A6956" s="486" t="s">
        <v>1062</v>
      </c>
      <c r="B6956" s="487" t="s">
        <v>1061</v>
      </c>
      <c r="C6956" s="488" t="s">
        <v>22012</v>
      </c>
      <c r="D6956" s="489" t="s">
        <v>22013</v>
      </c>
      <c r="E6956" s="487" t="s">
        <v>22014</v>
      </c>
      <c r="F6956" s="490">
        <v>12144.1</v>
      </c>
      <c r="G6956" s="489">
        <v>568.94000000000005</v>
      </c>
      <c r="H6956" s="489">
        <v>21.345130000000001</v>
      </c>
      <c r="I6956" s="487" t="s">
        <v>1499</v>
      </c>
      <c r="J6956" s="487" t="s">
        <v>1063</v>
      </c>
    </row>
    <row r="6957" spans="1:10" ht="15" x14ac:dyDescent="0.2">
      <c r="A6957" s="486" t="s">
        <v>1062</v>
      </c>
      <c r="B6957" s="487" t="s">
        <v>1061</v>
      </c>
      <c r="C6957" s="488" t="s">
        <v>22015</v>
      </c>
      <c r="D6957" s="489" t="s">
        <v>22016</v>
      </c>
      <c r="E6957" s="487" t="s">
        <v>17214</v>
      </c>
      <c r="F6957" s="490">
        <v>595</v>
      </c>
      <c r="G6957" s="489">
        <v>56.98</v>
      </c>
      <c r="H6957" s="489">
        <v>10.442259999999999</v>
      </c>
      <c r="I6957" s="487" t="s">
        <v>1499</v>
      </c>
      <c r="J6957" s="487" t="s">
        <v>1063</v>
      </c>
    </row>
    <row r="6958" spans="1:10" ht="15" x14ac:dyDescent="0.2">
      <c r="A6958" s="486" t="s">
        <v>1062</v>
      </c>
      <c r="B6958" s="487" t="s">
        <v>1061</v>
      </c>
      <c r="C6958" s="488" t="s">
        <v>22017</v>
      </c>
      <c r="D6958" s="489" t="s">
        <v>22018</v>
      </c>
      <c r="E6958" s="487" t="s">
        <v>22019</v>
      </c>
      <c r="F6958" s="490">
        <v>3600</v>
      </c>
      <c r="G6958" s="489">
        <v>96.39</v>
      </c>
      <c r="H6958" s="489">
        <v>37.348269999999999</v>
      </c>
      <c r="I6958" s="487" t="s">
        <v>1499</v>
      </c>
      <c r="J6958" s="487" t="s">
        <v>1063</v>
      </c>
    </row>
    <row r="6959" spans="1:10" ht="15" x14ac:dyDescent="0.2">
      <c r="A6959" s="486" t="s">
        <v>1062</v>
      </c>
      <c r="B6959" s="487" t="s">
        <v>1061</v>
      </c>
      <c r="C6959" s="488" t="s">
        <v>22020</v>
      </c>
      <c r="D6959" s="489" t="s">
        <v>22021</v>
      </c>
      <c r="E6959" s="487" t="s">
        <v>22022</v>
      </c>
      <c r="F6959" s="490">
        <v>10000</v>
      </c>
      <c r="G6959" s="489">
        <v>129.19999999999999</v>
      </c>
      <c r="H6959" s="489">
        <v>77.399379999999994</v>
      </c>
      <c r="I6959" s="487" t="s">
        <v>1499</v>
      </c>
      <c r="J6959" s="487" t="s">
        <v>1063</v>
      </c>
    </row>
    <row r="6960" spans="1:10" ht="15" x14ac:dyDescent="0.2">
      <c r="A6960" s="486" t="s">
        <v>1062</v>
      </c>
      <c r="B6960" s="487" t="s">
        <v>1061</v>
      </c>
      <c r="C6960" s="488" t="s">
        <v>22023</v>
      </c>
      <c r="D6960" s="489" t="s">
        <v>22024</v>
      </c>
      <c r="E6960" s="487" t="s">
        <v>6237</v>
      </c>
      <c r="F6960" s="490">
        <v>150.94</v>
      </c>
      <c r="G6960" s="489">
        <v>6.6</v>
      </c>
      <c r="H6960" s="489">
        <v>22.869700000000002</v>
      </c>
      <c r="I6960" s="487" t="s">
        <v>1499</v>
      </c>
      <c r="J6960" s="487" t="s">
        <v>1063</v>
      </c>
    </row>
    <row r="6961" spans="1:10" ht="15" x14ac:dyDescent="0.2">
      <c r="A6961" s="486" t="s">
        <v>1062</v>
      </c>
      <c r="B6961" s="487" t="s">
        <v>1061</v>
      </c>
      <c r="C6961" s="488" t="s">
        <v>22025</v>
      </c>
      <c r="D6961" s="489" t="s">
        <v>22026</v>
      </c>
      <c r="E6961" s="487" t="s">
        <v>22027</v>
      </c>
      <c r="F6961" s="490">
        <v>3834</v>
      </c>
      <c r="G6961" s="489">
        <v>145.87</v>
      </c>
      <c r="H6961" s="489">
        <v>26.28368</v>
      </c>
      <c r="I6961" s="487" t="s">
        <v>1499</v>
      </c>
      <c r="J6961" s="487" t="s">
        <v>1063</v>
      </c>
    </row>
    <row r="6962" spans="1:10" ht="15" x14ac:dyDescent="0.2">
      <c r="A6962" s="486" t="s">
        <v>1062</v>
      </c>
      <c r="B6962" s="487" t="s">
        <v>1061</v>
      </c>
      <c r="C6962" s="488" t="s">
        <v>22028</v>
      </c>
      <c r="D6962" s="489" t="s">
        <v>22029</v>
      </c>
      <c r="E6962" s="487" t="s">
        <v>22030</v>
      </c>
      <c r="F6962" s="490">
        <v>1995</v>
      </c>
      <c r="G6962" s="489">
        <v>62.47</v>
      </c>
      <c r="H6962" s="489">
        <v>31.93533</v>
      </c>
      <c r="I6962" s="487" t="s">
        <v>1499</v>
      </c>
      <c r="J6962" s="487" t="s">
        <v>1063</v>
      </c>
    </row>
    <row r="6963" spans="1:10" ht="15" x14ac:dyDescent="0.2">
      <c r="A6963" s="486" t="s">
        <v>1062</v>
      </c>
      <c r="B6963" s="487" t="s">
        <v>1061</v>
      </c>
      <c r="C6963" s="488" t="s">
        <v>22031</v>
      </c>
      <c r="D6963" s="489" t="s">
        <v>22032</v>
      </c>
      <c r="E6963" s="487" t="s">
        <v>22033</v>
      </c>
      <c r="F6963" s="490">
        <v>4060.54</v>
      </c>
      <c r="G6963" s="489">
        <v>83.07</v>
      </c>
      <c r="H6963" s="489">
        <v>48.880940000000002</v>
      </c>
      <c r="I6963" s="487" t="s">
        <v>1499</v>
      </c>
      <c r="J6963" s="487" t="s">
        <v>1063</v>
      </c>
    </row>
    <row r="6964" spans="1:10" ht="15" x14ac:dyDescent="0.2">
      <c r="A6964" s="486" t="s">
        <v>1062</v>
      </c>
      <c r="B6964" s="487" t="s">
        <v>1061</v>
      </c>
      <c r="C6964" s="488" t="s">
        <v>22034</v>
      </c>
      <c r="D6964" s="489" t="s">
        <v>22035</v>
      </c>
      <c r="E6964" s="487" t="s">
        <v>22036</v>
      </c>
      <c r="F6964" s="490">
        <v>0</v>
      </c>
      <c r="G6964" s="489">
        <v>33.51</v>
      </c>
      <c r="H6964" s="489">
        <v>0</v>
      </c>
      <c r="I6964" s="487" t="s">
        <v>1593</v>
      </c>
      <c r="J6964" s="487" t="s">
        <v>1063</v>
      </c>
    </row>
    <row r="6965" spans="1:10" ht="15" x14ac:dyDescent="0.2">
      <c r="A6965" s="486" t="s">
        <v>1062</v>
      </c>
      <c r="B6965" s="487" t="s">
        <v>1061</v>
      </c>
      <c r="C6965" s="488" t="s">
        <v>22037</v>
      </c>
      <c r="D6965" s="489" t="s">
        <v>22038</v>
      </c>
      <c r="E6965" s="487" t="s">
        <v>6453</v>
      </c>
      <c r="F6965" s="490">
        <v>7035</v>
      </c>
      <c r="G6965" s="489">
        <v>297.45</v>
      </c>
      <c r="H6965" s="489">
        <v>23.651029999999999</v>
      </c>
      <c r="I6965" s="487" t="s">
        <v>1499</v>
      </c>
      <c r="J6965" s="487" t="s">
        <v>1063</v>
      </c>
    </row>
    <row r="6966" spans="1:10" ht="15" x14ac:dyDescent="0.2">
      <c r="A6966" s="486" t="s">
        <v>1062</v>
      </c>
      <c r="B6966" s="487" t="s">
        <v>1061</v>
      </c>
      <c r="C6966" s="488" t="s">
        <v>22039</v>
      </c>
      <c r="D6966" s="489" t="s">
        <v>22040</v>
      </c>
      <c r="E6966" s="487" t="s">
        <v>22041</v>
      </c>
      <c r="F6966" s="490">
        <v>695.64</v>
      </c>
      <c r="G6966" s="489">
        <v>20.87</v>
      </c>
      <c r="H6966" s="489">
        <v>33.332059999999998</v>
      </c>
      <c r="I6966" s="487" t="s">
        <v>2465</v>
      </c>
      <c r="J6966" s="487" t="s">
        <v>1063</v>
      </c>
    </row>
    <row r="6967" spans="1:10" ht="15" x14ac:dyDescent="0.2">
      <c r="A6967" s="486" t="s">
        <v>1062</v>
      </c>
      <c r="B6967" s="487" t="s">
        <v>1061</v>
      </c>
      <c r="C6967" s="488" t="s">
        <v>22042</v>
      </c>
      <c r="D6967" s="489" t="s">
        <v>22043</v>
      </c>
      <c r="E6967" s="487" t="s">
        <v>22044</v>
      </c>
      <c r="F6967" s="490">
        <v>7250</v>
      </c>
      <c r="G6967" s="489">
        <v>214.7</v>
      </c>
      <c r="H6967" s="489">
        <v>33.768050000000002</v>
      </c>
      <c r="I6967" s="487" t="s">
        <v>1499</v>
      </c>
      <c r="J6967" s="487" t="s">
        <v>1063</v>
      </c>
    </row>
    <row r="6968" spans="1:10" ht="15" x14ac:dyDescent="0.2">
      <c r="A6968" s="486" t="s">
        <v>1062</v>
      </c>
      <c r="B6968" s="487" t="s">
        <v>1061</v>
      </c>
      <c r="C6968" s="488" t="s">
        <v>22045</v>
      </c>
      <c r="D6968" s="489" t="s">
        <v>22046</v>
      </c>
      <c r="E6968" s="487" t="s">
        <v>22047</v>
      </c>
      <c r="F6968" s="490">
        <v>14175</v>
      </c>
      <c r="G6968" s="489">
        <v>411.65</v>
      </c>
      <c r="H6968" s="489">
        <v>34.43459</v>
      </c>
      <c r="I6968" s="487" t="s">
        <v>1499</v>
      </c>
      <c r="J6968" s="487" t="s">
        <v>1063</v>
      </c>
    </row>
    <row r="6969" spans="1:10" ht="15" x14ac:dyDescent="0.2">
      <c r="A6969" s="486" t="s">
        <v>1062</v>
      </c>
      <c r="B6969" s="487" t="s">
        <v>1061</v>
      </c>
      <c r="C6969" s="488" t="s">
        <v>22048</v>
      </c>
      <c r="D6969" s="489" t="s">
        <v>22049</v>
      </c>
      <c r="E6969" s="487" t="s">
        <v>22050</v>
      </c>
      <c r="F6969" s="490">
        <v>0</v>
      </c>
      <c r="G6969" s="489">
        <v>110.09</v>
      </c>
      <c r="H6969" s="489">
        <v>0</v>
      </c>
      <c r="I6969" s="487" t="s">
        <v>1593</v>
      </c>
      <c r="J6969" s="487" t="s">
        <v>1063</v>
      </c>
    </row>
    <row r="6970" spans="1:10" ht="15" x14ac:dyDescent="0.2">
      <c r="A6970" s="486" t="s">
        <v>1062</v>
      </c>
      <c r="B6970" s="487" t="s">
        <v>1061</v>
      </c>
      <c r="C6970" s="488" t="s">
        <v>22051</v>
      </c>
      <c r="D6970" s="489" t="s">
        <v>22052</v>
      </c>
      <c r="E6970" s="487" t="s">
        <v>22053</v>
      </c>
      <c r="F6970" s="490">
        <v>191450</v>
      </c>
      <c r="G6970" s="489">
        <v>2222.8000000000002</v>
      </c>
      <c r="H6970" s="489">
        <v>86.130110000000002</v>
      </c>
      <c r="I6970" s="487" t="s">
        <v>1499</v>
      </c>
      <c r="J6970" s="487" t="s">
        <v>1063</v>
      </c>
    </row>
    <row r="6971" spans="1:10" ht="15" x14ac:dyDescent="0.2">
      <c r="A6971" s="486" t="s">
        <v>1062</v>
      </c>
      <c r="B6971" s="487" t="s">
        <v>1061</v>
      </c>
      <c r="C6971" s="488" t="s">
        <v>22054</v>
      </c>
      <c r="D6971" s="489" t="s">
        <v>22055</v>
      </c>
      <c r="E6971" s="487" t="s">
        <v>22056</v>
      </c>
      <c r="F6971" s="490">
        <v>0</v>
      </c>
      <c r="G6971" s="489">
        <v>52.2</v>
      </c>
      <c r="H6971" s="489">
        <v>0</v>
      </c>
      <c r="I6971" s="487" t="s">
        <v>1593</v>
      </c>
      <c r="J6971" s="487" t="s">
        <v>1063</v>
      </c>
    </row>
    <row r="6972" spans="1:10" ht="15" x14ac:dyDescent="0.2">
      <c r="A6972" s="486" t="s">
        <v>1062</v>
      </c>
      <c r="B6972" s="487" t="s">
        <v>1061</v>
      </c>
      <c r="C6972" s="488" t="s">
        <v>22057</v>
      </c>
      <c r="D6972" s="489" t="s">
        <v>22058</v>
      </c>
      <c r="E6972" s="487" t="s">
        <v>22059</v>
      </c>
      <c r="F6972" s="490">
        <v>10000</v>
      </c>
      <c r="G6972" s="489">
        <v>360.14</v>
      </c>
      <c r="H6972" s="489">
        <v>27.76698</v>
      </c>
      <c r="I6972" s="487" t="s">
        <v>1499</v>
      </c>
      <c r="J6972" s="487" t="s">
        <v>1063</v>
      </c>
    </row>
    <row r="6973" spans="1:10" ht="15" x14ac:dyDescent="0.2">
      <c r="A6973" s="486" t="s">
        <v>1062</v>
      </c>
      <c r="B6973" s="487" t="s">
        <v>1061</v>
      </c>
      <c r="C6973" s="488" t="s">
        <v>22060</v>
      </c>
      <c r="D6973" s="489" t="s">
        <v>22061</v>
      </c>
      <c r="E6973" s="487" t="s">
        <v>22062</v>
      </c>
      <c r="F6973" s="490">
        <v>786.46</v>
      </c>
      <c r="G6973" s="489">
        <v>33.06</v>
      </c>
      <c r="H6973" s="489">
        <v>23.788869999999999</v>
      </c>
      <c r="I6973" s="487" t="s">
        <v>2465</v>
      </c>
      <c r="J6973" s="487" t="s">
        <v>1063</v>
      </c>
    </row>
    <row r="6974" spans="1:10" ht="15" x14ac:dyDescent="0.2">
      <c r="A6974" s="486" t="s">
        <v>1062</v>
      </c>
      <c r="B6974" s="487" t="s">
        <v>1061</v>
      </c>
      <c r="C6974" s="488" t="s">
        <v>22063</v>
      </c>
      <c r="D6974" s="489" t="s">
        <v>22064</v>
      </c>
      <c r="E6974" s="487" t="s">
        <v>1263</v>
      </c>
      <c r="F6974" s="490">
        <v>106000</v>
      </c>
      <c r="G6974" s="489">
        <v>1252.8</v>
      </c>
      <c r="H6974" s="489">
        <v>84.610470000000007</v>
      </c>
      <c r="I6974" s="487" t="s">
        <v>1499</v>
      </c>
      <c r="J6974" s="487" t="s">
        <v>1063</v>
      </c>
    </row>
    <row r="6975" spans="1:10" ht="15" x14ac:dyDescent="0.2">
      <c r="A6975" s="486" t="s">
        <v>1062</v>
      </c>
      <c r="B6975" s="487" t="s">
        <v>1061</v>
      </c>
      <c r="C6975" s="488" t="s">
        <v>22065</v>
      </c>
      <c r="D6975" s="489" t="s">
        <v>22066</v>
      </c>
      <c r="E6975" s="487" t="s">
        <v>22067</v>
      </c>
      <c r="F6975" s="490">
        <v>20000</v>
      </c>
      <c r="G6975" s="489">
        <v>416.16</v>
      </c>
      <c r="H6975" s="489">
        <v>48.058439999999997</v>
      </c>
      <c r="I6975" s="487" t="s">
        <v>1499</v>
      </c>
      <c r="J6975" s="487" t="s">
        <v>1063</v>
      </c>
    </row>
    <row r="6976" spans="1:10" ht="15" x14ac:dyDescent="0.2">
      <c r="A6976" s="486" t="s">
        <v>1062</v>
      </c>
      <c r="B6976" s="487" t="s">
        <v>1061</v>
      </c>
      <c r="C6976" s="488" t="s">
        <v>22068</v>
      </c>
      <c r="D6976" s="489" t="s">
        <v>22069</v>
      </c>
      <c r="E6976" s="487" t="s">
        <v>22070</v>
      </c>
      <c r="F6976" s="490">
        <v>0</v>
      </c>
      <c r="G6976" s="489">
        <v>148.35</v>
      </c>
      <c r="H6976" s="489">
        <v>0</v>
      </c>
      <c r="I6976" s="487" t="s">
        <v>1593</v>
      </c>
      <c r="J6976" s="487" t="s">
        <v>1063</v>
      </c>
    </row>
    <row r="6977" spans="1:10" ht="15" x14ac:dyDescent="0.2">
      <c r="A6977" s="486" t="s">
        <v>1062</v>
      </c>
      <c r="B6977" s="487" t="s">
        <v>1061</v>
      </c>
      <c r="C6977" s="488" t="s">
        <v>22071</v>
      </c>
      <c r="D6977" s="489" t="s">
        <v>22072</v>
      </c>
      <c r="E6977" s="487" t="s">
        <v>22073</v>
      </c>
      <c r="F6977" s="490">
        <v>1046.1300000000001</v>
      </c>
      <c r="G6977" s="489">
        <v>47.7</v>
      </c>
      <c r="H6977" s="489">
        <v>21.931450000000002</v>
      </c>
      <c r="I6977" s="487" t="s">
        <v>1499</v>
      </c>
      <c r="J6977" s="487" t="s">
        <v>1063</v>
      </c>
    </row>
    <row r="6978" spans="1:10" ht="15" x14ac:dyDescent="0.2">
      <c r="A6978" s="486" t="s">
        <v>1062</v>
      </c>
      <c r="B6978" s="487" t="s">
        <v>1061</v>
      </c>
      <c r="C6978" s="488" t="s">
        <v>22074</v>
      </c>
      <c r="D6978" s="489" t="s">
        <v>22075</v>
      </c>
      <c r="E6978" s="487" t="s">
        <v>22076</v>
      </c>
      <c r="F6978" s="490">
        <v>257.55</v>
      </c>
      <c r="G6978" s="489">
        <v>8.4700000000000006</v>
      </c>
      <c r="H6978" s="489">
        <v>30.407319999999999</v>
      </c>
      <c r="I6978" s="487" t="s">
        <v>1499</v>
      </c>
      <c r="J6978" s="487" t="s">
        <v>1063</v>
      </c>
    </row>
    <row r="6979" spans="1:10" ht="15" x14ac:dyDescent="0.2">
      <c r="A6979" s="486" t="s">
        <v>1062</v>
      </c>
      <c r="B6979" s="487" t="s">
        <v>1061</v>
      </c>
      <c r="C6979" s="488" t="s">
        <v>22077</v>
      </c>
      <c r="D6979" s="489" t="s">
        <v>22078</v>
      </c>
      <c r="E6979" s="487" t="s">
        <v>22079</v>
      </c>
      <c r="F6979" s="490">
        <v>8156</v>
      </c>
      <c r="G6979" s="489">
        <v>231.99</v>
      </c>
      <c r="H6979" s="489">
        <v>35.156689999999998</v>
      </c>
      <c r="I6979" s="487" t="s">
        <v>1499</v>
      </c>
      <c r="J6979" s="487" t="s">
        <v>1063</v>
      </c>
    </row>
    <row r="6980" spans="1:10" ht="15" x14ac:dyDescent="0.2">
      <c r="A6980" s="486" t="s">
        <v>1062</v>
      </c>
      <c r="B6980" s="487" t="s">
        <v>1061</v>
      </c>
      <c r="C6980" s="488" t="s">
        <v>22080</v>
      </c>
      <c r="D6980" s="489" t="s">
        <v>22081</v>
      </c>
      <c r="E6980" s="487" t="s">
        <v>22082</v>
      </c>
      <c r="F6980" s="490">
        <v>175544.95999999999</v>
      </c>
      <c r="G6980" s="489">
        <v>2114.4899999999998</v>
      </c>
      <c r="H6980" s="489">
        <v>83.02</v>
      </c>
      <c r="I6980" s="487" t="s">
        <v>1499</v>
      </c>
      <c r="J6980" s="487" t="s">
        <v>1063</v>
      </c>
    </row>
    <row r="6981" spans="1:10" ht="15" x14ac:dyDescent="0.2">
      <c r="A6981" s="486" t="s">
        <v>1062</v>
      </c>
      <c r="B6981" s="487" t="s">
        <v>1061</v>
      </c>
      <c r="C6981" s="488" t="s">
        <v>22083</v>
      </c>
      <c r="D6981" s="489" t="s">
        <v>22084</v>
      </c>
      <c r="E6981" s="487" t="s">
        <v>22085</v>
      </c>
      <c r="F6981" s="490">
        <v>0</v>
      </c>
      <c r="G6981" s="489">
        <v>44.3</v>
      </c>
      <c r="H6981" s="489">
        <v>0</v>
      </c>
      <c r="I6981" s="487" t="s">
        <v>1593</v>
      </c>
      <c r="J6981" s="487" t="s">
        <v>1063</v>
      </c>
    </row>
    <row r="6982" spans="1:10" ht="15" x14ac:dyDescent="0.2">
      <c r="A6982" s="486" t="s">
        <v>1062</v>
      </c>
      <c r="B6982" s="487" t="s">
        <v>1061</v>
      </c>
      <c r="C6982" s="488" t="s">
        <v>22086</v>
      </c>
      <c r="D6982" s="489" t="s">
        <v>22087</v>
      </c>
      <c r="E6982" s="487" t="s">
        <v>22088</v>
      </c>
      <c r="F6982" s="490">
        <v>4300</v>
      </c>
      <c r="G6982" s="489">
        <v>254.43</v>
      </c>
      <c r="H6982" s="489">
        <v>16.90052</v>
      </c>
      <c r="I6982" s="487" t="s">
        <v>1499</v>
      </c>
      <c r="J6982" s="487" t="s">
        <v>1063</v>
      </c>
    </row>
    <row r="6983" spans="1:10" ht="15" x14ac:dyDescent="0.2">
      <c r="A6983" s="486" t="s">
        <v>1062</v>
      </c>
      <c r="B6983" s="487" t="s">
        <v>1061</v>
      </c>
      <c r="C6983" s="488" t="s">
        <v>22089</v>
      </c>
      <c r="D6983" s="489" t="s">
        <v>22090</v>
      </c>
      <c r="E6983" s="487" t="s">
        <v>22091</v>
      </c>
      <c r="F6983" s="490">
        <v>1282.3</v>
      </c>
      <c r="G6983" s="489">
        <v>42.17</v>
      </c>
      <c r="H6983" s="489">
        <v>30.407869999999999</v>
      </c>
      <c r="I6983" s="487" t="s">
        <v>1499</v>
      </c>
      <c r="J6983" s="487" t="s">
        <v>1063</v>
      </c>
    </row>
    <row r="6984" spans="1:10" ht="15" x14ac:dyDescent="0.2">
      <c r="A6984" s="486" t="s">
        <v>1062</v>
      </c>
      <c r="B6984" s="487" t="s">
        <v>1061</v>
      </c>
      <c r="C6984" s="488" t="s">
        <v>22092</v>
      </c>
      <c r="D6984" s="489" t="s">
        <v>22093</v>
      </c>
      <c r="E6984" s="487" t="s">
        <v>17760</v>
      </c>
      <c r="F6984" s="490">
        <v>1278.54</v>
      </c>
      <c r="G6984" s="489">
        <v>37.42</v>
      </c>
      <c r="H6984" s="489">
        <v>34.167290000000001</v>
      </c>
      <c r="I6984" s="487" t="s">
        <v>1499</v>
      </c>
      <c r="J6984" s="487" t="s">
        <v>1063</v>
      </c>
    </row>
    <row r="6985" spans="1:10" ht="15" x14ac:dyDescent="0.2">
      <c r="A6985" s="486" t="s">
        <v>1062</v>
      </c>
      <c r="B6985" s="487" t="s">
        <v>1061</v>
      </c>
      <c r="C6985" s="488" t="s">
        <v>22094</v>
      </c>
      <c r="D6985" s="489" t="s">
        <v>22095</v>
      </c>
      <c r="E6985" s="487" t="s">
        <v>22096</v>
      </c>
      <c r="F6985" s="490">
        <v>3000</v>
      </c>
      <c r="G6985" s="489">
        <v>143.26</v>
      </c>
      <c r="H6985" s="489">
        <v>20.940950000000001</v>
      </c>
      <c r="I6985" s="487" t="s">
        <v>1499</v>
      </c>
      <c r="J6985" s="487" t="s">
        <v>1063</v>
      </c>
    </row>
    <row r="6986" spans="1:10" ht="15" x14ac:dyDescent="0.2">
      <c r="A6986" s="486" t="s">
        <v>1062</v>
      </c>
      <c r="B6986" s="487" t="s">
        <v>1061</v>
      </c>
      <c r="C6986" s="488" t="s">
        <v>22097</v>
      </c>
      <c r="D6986" s="489" t="s">
        <v>22098</v>
      </c>
      <c r="E6986" s="487" t="s">
        <v>22099</v>
      </c>
      <c r="F6986" s="490">
        <v>0</v>
      </c>
      <c r="G6986" s="489">
        <v>69.08</v>
      </c>
      <c r="H6986" s="489">
        <v>0</v>
      </c>
      <c r="I6986" s="487" t="s">
        <v>1593</v>
      </c>
      <c r="J6986" s="487" t="s">
        <v>1063</v>
      </c>
    </row>
    <row r="6987" spans="1:10" ht="15" x14ac:dyDescent="0.2">
      <c r="A6987" s="486" t="s">
        <v>1062</v>
      </c>
      <c r="B6987" s="487" t="s">
        <v>1061</v>
      </c>
      <c r="C6987" s="488" t="s">
        <v>22100</v>
      </c>
      <c r="D6987" s="489" t="s">
        <v>22101</v>
      </c>
      <c r="E6987" s="487" t="s">
        <v>22102</v>
      </c>
      <c r="F6987" s="490">
        <v>661.85</v>
      </c>
      <c r="G6987" s="489">
        <v>46.74</v>
      </c>
      <c r="H6987" s="489">
        <v>14.16025</v>
      </c>
      <c r="I6987" s="487" t="s">
        <v>1499</v>
      </c>
      <c r="J6987" s="487" t="s">
        <v>1063</v>
      </c>
    </row>
    <row r="6988" spans="1:10" ht="15" x14ac:dyDescent="0.2">
      <c r="A6988" s="486" t="s">
        <v>1062</v>
      </c>
      <c r="B6988" s="487" t="s">
        <v>1061</v>
      </c>
      <c r="C6988" s="488" t="s">
        <v>22103</v>
      </c>
      <c r="D6988" s="489" t="s">
        <v>22104</v>
      </c>
      <c r="E6988" s="487" t="s">
        <v>22105</v>
      </c>
      <c r="F6988" s="490">
        <v>262800</v>
      </c>
      <c r="G6988" s="489">
        <v>1898.43</v>
      </c>
      <c r="H6988" s="489">
        <v>138.43018000000001</v>
      </c>
      <c r="I6988" s="487" t="s">
        <v>1499</v>
      </c>
      <c r="J6988" s="487" t="s">
        <v>1063</v>
      </c>
    </row>
    <row r="6989" spans="1:10" ht="15" x14ac:dyDescent="0.2">
      <c r="A6989" s="486" t="s">
        <v>1062</v>
      </c>
      <c r="B6989" s="487" t="s">
        <v>1061</v>
      </c>
      <c r="C6989" s="488" t="s">
        <v>22106</v>
      </c>
      <c r="D6989" s="489" t="s">
        <v>22107</v>
      </c>
      <c r="E6989" s="487" t="s">
        <v>22108</v>
      </c>
      <c r="F6989" s="490">
        <v>1680</v>
      </c>
      <c r="G6989" s="489">
        <v>83.92</v>
      </c>
      <c r="H6989" s="489">
        <v>20.019069999999999</v>
      </c>
      <c r="I6989" s="487" t="s">
        <v>1499</v>
      </c>
      <c r="J6989" s="487" t="s">
        <v>1063</v>
      </c>
    </row>
    <row r="6990" spans="1:10" ht="15" x14ac:dyDescent="0.2">
      <c r="A6990" s="486" t="s">
        <v>1062</v>
      </c>
      <c r="B6990" s="487" t="s">
        <v>1061</v>
      </c>
      <c r="C6990" s="488" t="s">
        <v>22109</v>
      </c>
      <c r="D6990" s="489" t="s">
        <v>22110</v>
      </c>
      <c r="E6990" s="487" t="s">
        <v>22111</v>
      </c>
      <c r="F6990" s="490">
        <v>1700</v>
      </c>
      <c r="G6990" s="489">
        <v>118.74</v>
      </c>
      <c r="H6990" s="489">
        <v>14.317</v>
      </c>
      <c r="I6990" s="487" t="s">
        <v>1499</v>
      </c>
      <c r="J6990" s="487" t="s">
        <v>1063</v>
      </c>
    </row>
    <row r="6991" spans="1:10" ht="15" x14ac:dyDescent="0.2">
      <c r="A6991" s="486" t="s">
        <v>1062</v>
      </c>
      <c r="B6991" s="487" t="s">
        <v>1061</v>
      </c>
      <c r="C6991" s="488" t="s">
        <v>22112</v>
      </c>
      <c r="D6991" s="489" t="s">
        <v>22113</v>
      </c>
      <c r="E6991" s="487" t="s">
        <v>22114</v>
      </c>
      <c r="F6991" s="490">
        <v>3437.29</v>
      </c>
      <c r="G6991" s="489">
        <v>106.45</v>
      </c>
      <c r="H6991" s="489">
        <v>32.290179999999999</v>
      </c>
      <c r="I6991" s="487" t="s">
        <v>1499</v>
      </c>
      <c r="J6991" s="487" t="s">
        <v>1063</v>
      </c>
    </row>
    <row r="6992" spans="1:10" ht="15" x14ac:dyDescent="0.2">
      <c r="A6992" s="486" t="s">
        <v>1062</v>
      </c>
      <c r="B6992" s="487" t="s">
        <v>1061</v>
      </c>
      <c r="C6992" s="488" t="s">
        <v>22115</v>
      </c>
      <c r="D6992" s="489" t="s">
        <v>22116</v>
      </c>
      <c r="E6992" s="487" t="s">
        <v>18700</v>
      </c>
      <c r="F6992" s="490">
        <v>14250</v>
      </c>
      <c r="G6992" s="489">
        <v>181.23</v>
      </c>
      <c r="H6992" s="489">
        <v>78.629369999999994</v>
      </c>
      <c r="I6992" s="487" t="s">
        <v>1499</v>
      </c>
      <c r="J6992" s="487" t="s">
        <v>1063</v>
      </c>
    </row>
    <row r="6993" spans="1:10" ht="15" x14ac:dyDescent="0.2">
      <c r="A6993" s="486" t="s">
        <v>1062</v>
      </c>
      <c r="B6993" s="487" t="s">
        <v>1061</v>
      </c>
      <c r="C6993" s="488" t="s">
        <v>22117</v>
      </c>
      <c r="D6993" s="489" t="s">
        <v>22118</v>
      </c>
      <c r="E6993" s="487" t="s">
        <v>22119</v>
      </c>
      <c r="F6993" s="490">
        <v>350</v>
      </c>
      <c r="G6993" s="489">
        <v>57.16</v>
      </c>
      <c r="H6993" s="489">
        <v>6.1231600000000004</v>
      </c>
      <c r="I6993" s="487" t="s">
        <v>1499</v>
      </c>
      <c r="J6993" s="487" t="s">
        <v>1063</v>
      </c>
    </row>
    <row r="6994" spans="1:10" ht="15" x14ac:dyDescent="0.2">
      <c r="A6994" s="486" t="s">
        <v>1062</v>
      </c>
      <c r="B6994" s="487" t="s">
        <v>1061</v>
      </c>
      <c r="C6994" s="488" t="s">
        <v>22120</v>
      </c>
      <c r="D6994" s="489" t="s">
        <v>22121</v>
      </c>
      <c r="E6994" s="487" t="s">
        <v>22122</v>
      </c>
      <c r="F6994" s="490">
        <v>0</v>
      </c>
      <c r="G6994" s="489">
        <v>8.15</v>
      </c>
      <c r="H6994" s="489">
        <v>0</v>
      </c>
      <c r="I6994" s="487" t="s">
        <v>1593</v>
      </c>
      <c r="J6994" s="487" t="s">
        <v>1063</v>
      </c>
    </row>
    <row r="6995" spans="1:10" ht="15" x14ac:dyDescent="0.2">
      <c r="A6995" s="486" t="s">
        <v>1062</v>
      </c>
      <c r="B6995" s="487" t="s">
        <v>1061</v>
      </c>
      <c r="C6995" s="488" t="s">
        <v>22123</v>
      </c>
      <c r="D6995" s="489" t="s">
        <v>22124</v>
      </c>
      <c r="E6995" s="487" t="s">
        <v>22125</v>
      </c>
      <c r="F6995" s="490">
        <v>0</v>
      </c>
      <c r="G6995" s="489">
        <v>103.18</v>
      </c>
      <c r="H6995" s="489">
        <v>0</v>
      </c>
      <c r="I6995" s="487" t="s">
        <v>1593</v>
      </c>
      <c r="J6995" s="487" t="s">
        <v>1063</v>
      </c>
    </row>
    <row r="6996" spans="1:10" ht="15" x14ac:dyDescent="0.2">
      <c r="A6996" s="486" t="s">
        <v>1062</v>
      </c>
      <c r="B6996" s="487" t="s">
        <v>1061</v>
      </c>
      <c r="C6996" s="488" t="s">
        <v>22126</v>
      </c>
      <c r="D6996" s="489" t="s">
        <v>22127</v>
      </c>
      <c r="E6996" s="487" t="s">
        <v>22128</v>
      </c>
      <c r="F6996" s="490">
        <v>0</v>
      </c>
      <c r="G6996" s="489">
        <v>167.64</v>
      </c>
      <c r="H6996" s="489">
        <v>0</v>
      </c>
      <c r="I6996" s="487" t="s">
        <v>1593</v>
      </c>
      <c r="J6996" s="487" t="s">
        <v>1063</v>
      </c>
    </row>
    <row r="6997" spans="1:10" ht="15" x14ac:dyDescent="0.2">
      <c r="A6997" s="486" t="s">
        <v>1062</v>
      </c>
      <c r="B6997" s="487" t="s">
        <v>1061</v>
      </c>
      <c r="C6997" s="488" t="s">
        <v>22129</v>
      </c>
      <c r="D6997" s="489" t="s">
        <v>22130</v>
      </c>
      <c r="E6997" s="487" t="s">
        <v>22131</v>
      </c>
      <c r="F6997" s="490">
        <v>16816.689999999999</v>
      </c>
      <c r="G6997" s="489">
        <v>215.8</v>
      </c>
      <c r="H6997" s="489">
        <v>77.927199999999999</v>
      </c>
      <c r="I6997" s="487" t="s">
        <v>1499</v>
      </c>
      <c r="J6997" s="487" t="s">
        <v>1063</v>
      </c>
    </row>
    <row r="6998" spans="1:10" ht="15" x14ac:dyDescent="0.2">
      <c r="A6998" s="486" t="s">
        <v>1062</v>
      </c>
      <c r="B6998" s="487" t="s">
        <v>1061</v>
      </c>
      <c r="C6998" s="488" t="s">
        <v>22132</v>
      </c>
      <c r="D6998" s="489" t="s">
        <v>22133</v>
      </c>
      <c r="E6998" s="487" t="s">
        <v>22134</v>
      </c>
      <c r="F6998" s="490">
        <v>0</v>
      </c>
      <c r="G6998" s="489">
        <v>124.24</v>
      </c>
      <c r="H6998" s="489">
        <v>0</v>
      </c>
      <c r="I6998" s="487" t="s">
        <v>1593</v>
      </c>
      <c r="J6998" s="487" t="s">
        <v>1063</v>
      </c>
    </row>
    <row r="6999" spans="1:10" ht="15" x14ac:dyDescent="0.2">
      <c r="A6999" s="486" t="s">
        <v>1062</v>
      </c>
      <c r="B6999" s="487" t="s">
        <v>1061</v>
      </c>
      <c r="C6999" s="488" t="s">
        <v>22135</v>
      </c>
      <c r="D6999" s="489" t="s">
        <v>22136</v>
      </c>
      <c r="E6999" s="487" t="s">
        <v>22137</v>
      </c>
      <c r="F6999" s="490">
        <v>48730</v>
      </c>
      <c r="G6999" s="489">
        <v>911.56</v>
      </c>
      <c r="H6999" s="489">
        <v>53.457810000000002</v>
      </c>
      <c r="I6999" s="487" t="s">
        <v>1499</v>
      </c>
      <c r="J6999" s="487" t="s">
        <v>1063</v>
      </c>
    </row>
    <row r="7000" spans="1:10" ht="15" x14ac:dyDescent="0.2">
      <c r="A7000" s="486" t="s">
        <v>1062</v>
      </c>
      <c r="B7000" s="487" t="s">
        <v>1061</v>
      </c>
      <c r="C7000" s="488" t="s">
        <v>22138</v>
      </c>
      <c r="D7000" s="489" t="s">
        <v>22139</v>
      </c>
      <c r="E7000" s="487" t="s">
        <v>22140</v>
      </c>
      <c r="F7000" s="490">
        <v>2295.2399999999998</v>
      </c>
      <c r="G7000" s="489">
        <v>160.74</v>
      </c>
      <c r="H7000" s="489">
        <v>14.279210000000001</v>
      </c>
      <c r="I7000" s="487" t="s">
        <v>1499</v>
      </c>
      <c r="J7000" s="487" t="s">
        <v>1063</v>
      </c>
    </row>
    <row r="7001" spans="1:10" ht="15" x14ac:dyDescent="0.2">
      <c r="A7001" s="486" t="s">
        <v>1062</v>
      </c>
      <c r="B7001" s="487" t="s">
        <v>1061</v>
      </c>
      <c r="C7001" s="488" t="s">
        <v>22141</v>
      </c>
      <c r="D7001" s="489" t="s">
        <v>22142</v>
      </c>
      <c r="E7001" s="487" t="s">
        <v>22143</v>
      </c>
      <c r="F7001" s="490">
        <v>854.76</v>
      </c>
      <c r="G7001" s="489">
        <v>59.86</v>
      </c>
      <c r="H7001" s="489">
        <v>14.27932</v>
      </c>
      <c r="I7001" s="487" t="s">
        <v>1499</v>
      </c>
      <c r="J7001" s="487" t="s">
        <v>1063</v>
      </c>
    </row>
    <row r="7002" spans="1:10" ht="15" x14ac:dyDescent="0.2">
      <c r="A7002" s="486" t="s">
        <v>1062</v>
      </c>
      <c r="B7002" s="487" t="s">
        <v>1061</v>
      </c>
      <c r="C7002" s="488" t="s">
        <v>22144</v>
      </c>
      <c r="D7002" s="489" t="s">
        <v>22145</v>
      </c>
      <c r="E7002" s="487" t="s">
        <v>22146</v>
      </c>
      <c r="F7002" s="490">
        <v>0</v>
      </c>
      <c r="G7002" s="489">
        <v>16.649999999999999</v>
      </c>
      <c r="H7002" s="489">
        <v>0</v>
      </c>
      <c r="I7002" s="487" t="s">
        <v>1593</v>
      </c>
      <c r="J7002" s="487" t="s">
        <v>1063</v>
      </c>
    </row>
    <row r="7003" spans="1:10" ht="15" x14ac:dyDescent="0.2">
      <c r="A7003" s="486" t="s">
        <v>1062</v>
      </c>
      <c r="B7003" s="487" t="s">
        <v>1061</v>
      </c>
      <c r="C7003" s="488" t="s">
        <v>22147</v>
      </c>
      <c r="D7003" s="489" t="s">
        <v>22148</v>
      </c>
      <c r="E7003" s="487" t="s">
        <v>22149</v>
      </c>
      <c r="F7003" s="490">
        <v>2138.9</v>
      </c>
      <c r="G7003" s="489">
        <v>66.239999999999995</v>
      </c>
      <c r="H7003" s="489">
        <v>32.29016</v>
      </c>
      <c r="I7003" s="487" t="s">
        <v>1499</v>
      </c>
      <c r="J7003" s="487" t="s">
        <v>1063</v>
      </c>
    </row>
    <row r="7004" spans="1:10" ht="15" x14ac:dyDescent="0.2">
      <c r="A7004" s="486" t="s">
        <v>1062</v>
      </c>
      <c r="B7004" s="487" t="s">
        <v>1061</v>
      </c>
      <c r="C7004" s="488" t="s">
        <v>22150</v>
      </c>
      <c r="D7004" s="489" t="s">
        <v>22151</v>
      </c>
      <c r="E7004" s="487" t="s">
        <v>22152</v>
      </c>
      <c r="F7004" s="490">
        <v>3500</v>
      </c>
      <c r="G7004" s="489">
        <v>103.38</v>
      </c>
      <c r="H7004" s="489">
        <v>33.85568</v>
      </c>
      <c r="I7004" s="487" t="s">
        <v>1499</v>
      </c>
      <c r="J7004" s="487" t="s">
        <v>1063</v>
      </c>
    </row>
    <row r="7005" spans="1:10" ht="15" x14ac:dyDescent="0.2">
      <c r="A7005" s="486" t="s">
        <v>1062</v>
      </c>
      <c r="B7005" s="487" t="s">
        <v>1061</v>
      </c>
      <c r="C7005" s="488" t="s">
        <v>22153</v>
      </c>
      <c r="D7005" s="489" t="s">
        <v>22154</v>
      </c>
      <c r="E7005" s="487" t="s">
        <v>22155</v>
      </c>
      <c r="F7005" s="490">
        <v>1271.03</v>
      </c>
      <c r="G7005" s="489">
        <v>89.76</v>
      </c>
      <c r="H7005" s="489">
        <v>14.16032</v>
      </c>
      <c r="I7005" s="487" t="s">
        <v>1499</v>
      </c>
      <c r="J7005" s="487" t="s">
        <v>1063</v>
      </c>
    </row>
    <row r="7006" spans="1:10" ht="15" x14ac:dyDescent="0.2">
      <c r="A7006" s="486" t="s">
        <v>1062</v>
      </c>
      <c r="B7006" s="487" t="s">
        <v>1061</v>
      </c>
      <c r="C7006" s="488" t="s">
        <v>22156</v>
      </c>
      <c r="D7006" s="489" t="s">
        <v>22157</v>
      </c>
      <c r="E7006" s="487" t="s">
        <v>22158</v>
      </c>
      <c r="F7006" s="490">
        <v>0</v>
      </c>
      <c r="G7006" s="489">
        <v>10.68</v>
      </c>
      <c r="H7006" s="489">
        <v>0</v>
      </c>
      <c r="I7006" s="487" t="s">
        <v>1593</v>
      </c>
      <c r="J7006" s="487" t="s">
        <v>1063</v>
      </c>
    </row>
    <row r="7007" spans="1:10" ht="15" x14ac:dyDescent="0.2">
      <c r="A7007" s="486" t="s">
        <v>1062</v>
      </c>
      <c r="B7007" s="487" t="s">
        <v>1061</v>
      </c>
      <c r="C7007" s="488" t="s">
        <v>22159</v>
      </c>
      <c r="D7007" s="489" t="s">
        <v>22160</v>
      </c>
      <c r="E7007" s="487" t="s">
        <v>6729</v>
      </c>
      <c r="F7007" s="490">
        <v>0</v>
      </c>
      <c r="G7007" s="489">
        <v>30.34</v>
      </c>
      <c r="H7007" s="489">
        <v>0</v>
      </c>
      <c r="I7007" s="487" t="s">
        <v>1593</v>
      </c>
      <c r="J7007" s="487" t="s">
        <v>1063</v>
      </c>
    </row>
    <row r="7008" spans="1:10" ht="15" x14ac:dyDescent="0.2">
      <c r="A7008" s="486" t="s">
        <v>1062</v>
      </c>
      <c r="B7008" s="487" t="s">
        <v>1061</v>
      </c>
      <c r="C7008" s="488" t="s">
        <v>22161</v>
      </c>
      <c r="D7008" s="489" t="s">
        <v>22162</v>
      </c>
      <c r="E7008" s="487" t="s">
        <v>22163</v>
      </c>
      <c r="F7008" s="490">
        <v>600</v>
      </c>
      <c r="G7008" s="489">
        <v>46.03</v>
      </c>
      <c r="H7008" s="489">
        <v>13.034979999999999</v>
      </c>
      <c r="I7008" s="487" t="s">
        <v>1499</v>
      </c>
      <c r="J7008" s="487" t="s">
        <v>1063</v>
      </c>
    </row>
    <row r="7009" spans="1:10" ht="15" x14ac:dyDescent="0.2">
      <c r="A7009" s="486" t="s">
        <v>1062</v>
      </c>
      <c r="B7009" s="487" t="s">
        <v>1061</v>
      </c>
      <c r="C7009" s="488" t="s">
        <v>22164</v>
      </c>
      <c r="D7009" s="489" t="s">
        <v>22165</v>
      </c>
      <c r="E7009" s="487" t="s">
        <v>22166</v>
      </c>
      <c r="F7009" s="490">
        <v>80500</v>
      </c>
      <c r="G7009" s="489">
        <v>1265.8800000000001</v>
      </c>
      <c r="H7009" s="489">
        <v>63.592129999999997</v>
      </c>
      <c r="I7009" s="487" t="s">
        <v>1499</v>
      </c>
      <c r="J7009" s="487" t="s">
        <v>1063</v>
      </c>
    </row>
    <row r="7010" spans="1:10" ht="15" x14ac:dyDescent="0.2">
      <c r="A7010" s="486" t="s">
        <v>1062</v>
      </c>
      <c r="B7010" s="487" t="s">
        <v>1061</v>
      </c>
      <c r="C7010" s="488" t="s">
        <v>22167</v>
      </c>
      <c r="D7010" s="489" t="s">
        <v>22168</v>
      </c>
      <c r="E7010" s="487" t="s">
        <v>22169</v>
      </c>
      <c r="F7010" s="490">
        <v>9941</v>
      </c>
      <c r="G7010" s="489">
        <v>420.32</v>
      </c>
      <c r="H7010" s="489">
        <v>23.651029999999999</v>
      </c>
      <c r="I7010" s="487" t="s">
        <v>1499</v>
      </c>
      <c r="J7010" s="487" t="s">
        <v>1063</v>
      </c>
    </row>
    <row r="7011" spans="1:10" ht="15" x14ac:dyDescent="0.2">
      <c r="A7011" s="486" t="s">
        <v>1062</v>
      </c>
      <c r="B7011" s="487" t="s">
        <v>1061</v>
      </c>
      <c r="C7011" s="488" t="s">
        <v>22170</v>
      </c>
      <c r="D7011" s="489" t="s">
        <v>22171</v>
      </c>
      <c r="E7011" s="487" t="s">
        <v>22172</v>
      </c>
      <c r="F7011" s="490">
        <v>0</v>
      </c>
      <c r="G7011" s="489">
        <v>70.349999999999994</v>
      </c>
      <c r="H7011" s="489">
        <v>0</v>
      </c>
      <c r="I7011" s="487" t="s">
        <v>1593</v>
      </c>
      <c r="J7011" s="487" t="s">
        <v>1063</v>
      </c>
    </row>
    <row r="7012" spans="1:10" ht="15" x14ac:dyDescent="0.2">
      <c r="A7012" s="486" t="s">
        <v>1062</v>
      </c>
      <c r="B7012" s="487" t="s">
        <v>1061</v>
      </c>
      <c r="C7012" s="488" t="s">
        <v>22173</v>
      </c>
      <c r="D7012" s="489" t="s">
        <v>22174</v>
      </c>
      <c r="E7012" s="487" t="s">
        <v>22175</v>
      </c>
      <c r="F7012" s="490">
        <v>1500</v>
      </c>
      <c r="G7012" s="489">
        <v>52.51</v>
      </c>
      <c r="H7012" s="489">
        <v>28.565989999999999</v>
      </c>
      <c r="I7012" s="487" t="s">
        <v>1499</v>
      </c>
      <c r="J7012" s="487" t="s">
        <v>1063</v>
      </c>
    </row>
    <row r="7013" spans="1:10" ht="15" x14ac:dyDescent="0.2">
      <c r="A7013" s="486" t="s">
        <v>1062</v>
      </c>
      <c r="B7013" s="487" t="s">
        <v>1061</v>
      </c>
      <c r="C7013" s="488" t="s">
        <v>22176</v>
      </c>
      <c r="D7013" s="489" t="s">
        <v>22177</v>
      </c>
      <c r="E7013" s="487" t="s">
        <v>22178</v>
      </c>
      <c r="F7013" s="490">
        <v>57905.72</v>
      </c>
      <c r="G7013" s="489">
        <v>956.88</v>
      </c>
      <c r="H7013" s="489">
        <v>60.515129999999999</v>
      </c>
      <c r="I7013" s="487" t="s">
        <v>1499</v>
      </c>
      <c r="J7013" s="487" t="s">
        <v>1063</v>
      </c>
    </row>
    <row r="7014" spans="1:10" ht="15" x14ac:dyDescent="0.2">
      <c r="A7014" s="486" t="s">
        <v>1062</v>
      </c>
      <c r="B7014" s="487" t="s">
        <v>1061</v>
      </c>
      <c r="C7014" s="488" t="s">
        <v>22179</v>
      </c>
      <c r="D7014" s="489" t="s">
        <v>22180</v>
      </c>
      <c r="E7014" s="487" t="s">
        <v>22181</v>
      </c>
      <c r="F7014" s="490">
        <v>14600</v>
      </c>
      <c r="G7014" s="489">
        <v>477.18</v>
      </c>
      <c r="H7014" s="489">
        <v>30.596419999999998</v>
      </c>
      <c r="I7014" s="487" t="s">
        <v>1499</v>
      </c>
      <c r="J7014" s="487" t="s">
        <v>1063</v>
      </c>
    </row>
    <row r="7015" spans="1:10" ht="15" x14ac:dyDescent="0.2">
      <c r="A7015" s="486" t="s">
        <v>1062</v>
      </c>
      <c r="B7015" s="487" t="s">
        <v>1061</v>
      </c>
      <c r="C7015" s="488" t="s">
        <v>22182</v>
      </c>
      <c r="D7015" s="489" t="s">
        <v>22183</v>
      </c>
      <c r="E7015" s="487" t="s">
        <v>22184</v>
      </c>
      <c r="F7015" s="490">
        <v>34636</v>
      </c>
      <c r="G7015" s="489">
        <v>403.5</v>
      </c>
      <c r="H7015" s="489">
        <v>85.838909999999998</v>
      </c>
      <c r="I7015" s="487" t="s">
        <v>1499</v>
      </c>
      <c r="J7015" s="487" t="s">
        <v>1063</v>
      </c>
    </row>
    <row r="7016" spans="1:10" ht="15" x14ac:dyDescent="0.2">
      <c r="A7016" s="486" t="s">
        <v>1062</v>
      </c>
      <c r="B7016" s="487" t="s">
        <v>1061</v>
      </c>
      <c r="C7016" s="488" t="s">
        <v>22185</v>
      </c>
      <c r="D7016" s="489" t="s">
        <v>22186</v>
      </c>
      <c r="E7016" s="487" t="s">
        <v>22187</v>
      </c>
      <c r="F7016" s="490">
        <v>4163.21</v>
      </c>
      <c r="G7016" s="489">
        <v>102.48</v>
      </c>
      <c r="H7016" s="489">
        <v>40.624609999999997</v>
      </c>
      <c r="I7016" s="487" t="s">
        <v>2465</v>
      </c>
      <c r="J7016" s="487" t="s">
        <v>1063</v>
      </c>
    </row>
    <row r="7017" spans="1:10" ht="15" x14ac:dyDescent="0.2">
      <c r="A7017" s="486" t="s">
        <v>1062</v>
      </c>
      <c r="B7017" s="487" t="s">
        <v>1061</v>
      </c>
      <c r="C7017" s="488" t="s">
        <v>22188</v>
      </c>
      <c r="D7017" s="489" t="s">
        <v>22189</v>
      </c>
      <c r="E7017" s="487" t="s">
        <v>15658</v>
      </c>
      <c r="F7017" s="490">
        <v>6050</v>
      </c>
      <c r="G7017" s="489">
        <v>145.79</v>
      </c>
      <c r="H7017" s="489">
        <v>41.498049999999999</v>
      </c>
      <c r="I7017" s="487" t="s">
        <v>1499</v>
      </c>
      <c r="J7017" s="487" t="s">
        <v>1063</v>
      </c>
    </row>
    <row r="7018" spans="1:10" ht="15" x14ac:dyDescent="0.2">
      <c r="A7018" s="486" t="s">
        <v>1062</v>
      </c>
      <c r="B7018" s="487" t="s">
        <v>1061</v>
      </c>
      <c r="C7018" s="488" t="s">
        <v>22190</v>
      </c>
      <c r="D7018" s="489" t="s">
        <v>22191</v>
      </c>
      <c r="E7018" s="487" t="s">
        <v>22192</v>
      </c>
      <c r="F7018" s="490">
        <v>0</v>
      </c>
      <c r="G7018" s="489">
        <v>32.380000000000003</v>
      </c>
      <c r="H7018" s="489">
        <v>0</v>
      </c>
      <c r="I7018" s="487" t="s">
        <v>1593</v>
      </c>
      <c r="J7018" s="487" t="s">
        <v>1063</v>
      </c>
    </row>
    <row r="7019" spans="1:10" ht="15" x14ac:dyDescent="0.2">
      <c r="A7019" s="486" t="s">
        <v>1062</v>
      </c>
      <c r="B7019" s="487" t="s">
        <v>1061</v>
      </c>
      <c r="C7019" s="488" t="s">
        <v>22193</v>
      </c>
      <c r="D7019" s="489" t="s">
        <v>22194</v>
      </c>
      <c r="E7019" s="487" t="s">
        <v>22195</v>
      </c>
      <c r="F7019" s="490">
        <v>2318.9899999999998</v>
      </c>
      <c r="G7019" s="489">
        <v>86.3</v>
      </c>
      <c r="H7019" s="489">
        <v>26.871259999999999</v>
      </c>
      <c r="I7019" s="487" t="s">
        <v>2465</v>
      </c>
      <c r="J7019" s="487" t="s">
        <v>1063</v>
      </c>
    </row>
    <row r="7020" spans="1:10" ht="15" x14ac:dyDescent="0.2">
      <c r="A7020" s="486" t="s">
        <v>1062</v>
      </c>
      <c r="B7020" s="487" t="s">
        <v>1061</v>
      </c>
      <c r="C7020" s="488" t="s">
        <v>22196</v>
      </c>
      <c r="D7020" s="489" t="s">
        <v>22197</v>
      </c>
      <c r="E7020" s="487" t="s">
        <v>22198</v>
      </c>
      <c r="F7020" s="490">
        <v>30475</v>
      </c>
      <c r="G7020" s="489">
        <v>530.48</v>
      </c>
      <c r="H7020" s="489">
        <v>57.447969999999998</v>
      </c>
      <c r="I7020" s="487" t="s">
        <v>1499</v>
      </c>
      <c r="J7020" s="487" t="s">
        <v>1063</v>
      </c>
    </row>
    <row r="7021" spans="1:10" ht="15" x14ac:dyDescent="0.2">
      <c r="A7021" s="486" t="s">
        <v>1062</v>
      </c>
      <c r="B7021" s="487" t="s">
        <v>1061</v>
      </c>
      <c r="C7021" s="488" t="s">
        <v>22199</v>
      </c>
      <c r="D7021" s="489" t="s">
        <v>22200</v>
      </c>
      <c r="E7021" s="487" t="s">
        <v>22201</v>
      </c>
      <c r="F7021" s="490">
        <v>8650</v>
      </c>
      <c r="G7021" s="489">
        <v>275.51</v>
      </c>
      <c r="H7021" s="489">
        <v>31.396319999999999</v>
      </c>
      <c r="I7021" s="487" t="s">
        <v>1499</v>
      </c>
      <c r="J7021" s="487" t="s">
        <v>1063</v>
      </c>
    </row>
    <row r="7022" spans="1:10" ht="15" x14ac:dyDescent="0.2">
      <c r="A7022" s="486" t="s">
        <v>1062</v>
      </c>
      <c r="B7022" s="487" t="s">
        <v>1061</v>
      </c>
      <c r="C7022" s="488" t="s">
        <v>22202</v>
      </c>
      <c r="D7022" s="489" t="s">
        <v>22203</v>
      </c>
      <c r="E7022" s="487" t="s">
        <v>22204</v>
      </c>
      <c r="F7022" s="490">
        <v>181.89</v>
      </c>
      <c r="G7022" s="489">
        <v>23.6</v>
      </c>
      <c r="H7022" s="489">
        <v>7.7072000000000003</v>
      </c>
      <c r="I7022" s="487" t="s">
        <v>1499</v>
      </c>
      <c r="J7022" s="487" t="s">
        <v>1063</v>
      </c>
    </row>
    <row r="7023" spans="1:10" ht="15" x14ac:dyDescent="0.2">
      <c r="A7023" s="486" t="s">
        <v>1062</v>
      </c>
      <c r="B7023" s="487" t="s">
        <v>1061</v>
      </c>
      <c r="C7023" s="488" t="s">
        <v>22205</v>
      </c>
      <c r="D7023" s="489" t="s">
        <v>22206</v>
      </c>
      <c r="E7023" s="487" t="s">
        <v>22207</v>
      </c>
      <c r="F7023" s="490">
        <v>114.81</v>
      </c>
      <c r="G7023" s="489">
        <v>5.0199999999999996</v>
      </c>
      <c r="H7023" s="489">
        <v>22.870519999999999</v>
      </c>
      <c r="I7023" s="487" t="s">
        <v>1499</v>
      </c>
      <c r="J7023" s="487" t="s">
        <v>1063</v>
      </c>
    </row>
    <row r="7024" spans="1:10" ht="15" x14ac:dyDescent="0.2">
      <c r="A7024" s="486" t="s">
        <v>1062</v>
      </c>
      <c r="B7024" s="487" t="s">
        <v>1061</v>
      </c>
      <c r="C7024" s="488" t="s">
        <v>22208</v>
      </c>
      <c r="D7024" s="489" t="s">
        <v>22209</v>
      </c>
      <c r="E7024" s="487" t="s">
        <v>22210</v>
      </c>
      <c r="F7024" s="490">
        <v>0</v>
      </c>
      <c r="G7024" s="489">
        <v>35.479999999999997</v>
      </c>
      <c r="H7024" s="489">
        <v>0</v>
      </c>
      <c r="I7024" s="487" t="s">
        <v>1593</v>
      </c>
      <c r="J7024" s="487" t="s">
        <v>1063</v>
      </c>
    </row>
    <row r="7025" spans="1:10" ht="15" x14ac:dyDescent="0.2">
      <c r="A7025" s="486" t="s">
        <v>1062</v>
      </c>
      <c r="B7025" s="487" t="s">
        <v>1061</v>
      </c>
      <c r="C7025" s="488" t="s">
        <v>22211</v>
      </c>
      <c r="D7025" s="489" t="s">
        <v>22212</v>
      </c>
      <c r="E7025" s="487" t="s">
        <v>22213</v>
      </c>
      <c r="F7025" s="490">
        <v>0</v>
      </c>
      <c r="G7025" s="489">
        <v>11.36</v>
      </c>
      <c r="H7025" s="489">
        <v>0</v>
      </c>
      <c r="I7025" s="487" t="s">
        <v>1593</v>
      </c>
      <c r="J7025" s="487" t="s">
        <v>1063</v>
      </c>
    </row>
    <row r="7026" spans="1:10" ht="15" x14ac:dyDescent="0.2">
      <c r="A7026" s="486" t="s">
        <v>1062</v>
      </c>
      <c r="B7026" s="487" t="s">
        <v>1061</v>
      </c>
      <c r="C7026" s="488" t="s">
        <v>22214</v>
      </c>
      <c r="D7026" s="489" t="s">
        <v>22215</v>
      </c>
      <c r="E7026" s="487" t="s">
        <v>22216</v>
      </c>
      <c r="F7026" s="490">
        <v>0</v>
      </c>
      <c r="G7026" s="489">
        <v>24.38</v>
      </c>
      <c r="H7026" s="489">
        <v>0</v>
      </c>
      <c r="I7026" s="487" t="s">
        <v>1593</v>
      </c>
      <c r="J7026" s="487" t="s">
        <v>1063</v>
      </c>
    </row>
    <row r="7027" spans="1:10" ht="15" x14ac:dyDescent="0.2">
      <c r="A7027" s="486" t="s">
        <v>1062</v>
      </c>
      <c r="B7027" s="487" t="s">
        <v>1061</v>
      </c>
      <c r="C7027" s="488" t="s">
        <v>22217</v>
      </c>
      <c r="D7027" s="489" t="s">
        <v>22218</v>
      </c>
      <c r="E7027" s="487" t="s">
        <v>22219</v>
      </c>
      <c r="F7027" s="490">
        <v>1800</v>
      </c>
      <c r="G7027" s="489">
        <v>117.16</v>
      </c>
      <c r="H7027" s="489">
        <v>15.36361</v>
      </c>
      <c r="I7027" s="487" t="s">
        <v>1499</v>
      </c>
      <c r="J7027" s="487" t="s">
        <v>1063</v>
      </c>
    </row>
    <row r="7028" spans="1:10" ht="15" x14ac:dyDescent="0.2">
      <c r="A7028" s="486" t="s">
        <v>1062</v>
      </c>
      <c r="B7028" s="487" t="s">
        <v>1061</v>
      </c>
      <c r="C7028" s="488" t="s">
        <v>22220</v>
      </c>
      <c r="D7028" s="489" t="s">
        <v>22221</v>
      </c>
      <c r="E7028" s="487" t="s">
        <v>22222</v>
      </c>
      <c r="F7028" s="490">
        <v>8520</v>
      </c>
      <c r="G7028" s="489">
        <v>293.82</v>
      </c>
      <c r="H7028" s="489">
        <v>28.997350000000001</v>
      </c>
      <c r="I7028" s="487" t="s">
        <v>2465</v>
      </c>
      <c r="J7028" s="487" t="s">
        <v>1063</v>
      </c>
    </row>
    <row r="7029" spans="1:10" ht="15" x14ac:dyDescent="0.2">
      <c r="A7029" s="486" t="s">
        <v>1062</v>
      </c>
      <c r="B7029" s="487" t="s">
        <v>1061</v>
      </c>
      <c r="C7029" s="488" t="s">
        <v>22223</v>
      </c>
      <c r="D7029" s="489" t="s">
        <v>22224</v>
      </c>
      <c r="E7029" s="487" t="s">
        <v>22225</v>
      </c>
      <c r="F7029" s="490">
        <v>3690</v>
      </c>
      <c r="G7029" s="489">
        <v>115.23</v>
      </c>
      <c r="H7029" s="489">
        <v>32.022910000000003</v>
      </c>
      <c r="I7029" s="487" t="s">
        <v>1499</v>
      </c>
      <c r="J7029" s="487" t="s">
        <v>1063</v>
      </c>
    </row>
    <row r="7030" spans="1:10" ht="15" x14ac:dyDescent="0.2">
      <c r="A7030" s="486" t="s">
        <v>1062</v>
      </c>
      <c r="B7030" s="487" t="s">
        <v>1061</v>
      </c>
      <c r="C7030" s="488" t="s">
        <v>22226</v>
      </c>
      <c r="D7030" s="489" t="s">
        <v>22227</v>
      </c>
      <c r="E7030" s="487" t="s">
        <v>22228</v>
      </c>
      <c r="F7030" s="490">
        <v>5000</v>
      </c>
      <c r="G7030" s="489">
        <v>126.79</v>
      </c>
      <c r="H7030" s="489">
        <v>39.435290000000002</v>
      </c>
      <c r="I7030" s="487" t="s">
        <v>1499</v>
      </c>
      <c r="J7030" s="487" t="s">
        <v>1063</v>
      </c>
    </row>
    <row r="7031" spans="1:10" ht="15" x14ac:dyDescent="0.2">
      <c r="A7031" s="486" t="s">
        <v>1062</v>
      </c>
      <c r="B7031" s="487" t="s">
        <v>1061</v>
      </c>
      <c r="C7031" s="488" t="s">
        <v>22229</v>
      </c>
      <c r="D7031" s="489" t="s">
        <v>22230</v>
      </c>
      <c r="E7031" s="487" t="s">
        <v>22231</v>
      </c>
      <c r="F7031" s="490">
        <v>7500</v>
      </c>
      <c r="G7031" s="489">
        <v>494.23</v>
      </c>
      <c r="H7031" s="489">
        <v>15.17512</v>
      </c>
      <c r="I7031" s="487" t="s">
        <v>1499</v>
      </c>
      <c r="J7031" s="487" t="s">
        <v>1063</v>
      </c>
    </row>
    <row r="7032" spans="1:10" ht="15" x14ac:dyDescent="0.2">
      <c r="A7032" s="486" t="s">
        <v>1062</v>
      </c>
      <c r="B7032" s="487" t="s">
        <v>1061</v>
      </c>
      <c r="C7032" s="488" t="s">
        <v>22232</v>
      </c>
      <c r="D7032" s="489" t="s">
        <v>22233</v>
      </c>
      <c r="E7032" s="487" t="s">
        <v>22234</v>
      </c>
      <c r="F7032" s="490">
        <v>4000</v>
      </c>
      <c r="G7032" s="489">
        <v>216.56</v>
      </c>
      <c r="H7032" s="489">
        <v>18.47063</v>
      </c>
      <c r="I7032" s="487" t="s">
        <v>1499</v>
      </c>
      <c r="J7032" s="487" t="s">
        <v>1063</v>
      </c>
    </row>
    <row r="7033" spans="1:10" ht="15" x14ac:dyDescent="0.2">
      <c r="A7033" s="486" t="s">
        <v>1062</v>
      </c>
      <c r="B7033" s="487" t="s">
        <v>1061</v>
      </c>
      <c r="C7033" s="488" t="s">
        <v>22235</v>
      </c>
      <c r="D7033" s="489" t="s">
        <v>22236</v>
      </c>
      <c r="E7033" s="487" t="s">
        <v>22237</v>
      </c>
      <c r="F7033" s="490">
        <v>0</v>
      </c>
      <c r="G7033" s="489">
        <v>31.95</v>
      </c>
      <c r="H7033" s="489">
        <v>0</v>
      </c>
      <c r="I7033" s="487" t="s">
        <v>1593</v>
      </c>
      <c r="J7033" s="487" t="s">
        <v>1063</v>
      </c>
    </row>
    <row r="7034" spans="1:10" ht="15" x14ac:dyDescent="0.2">
      <c r="A7034" s="486" t="s">
        <v>1062</v>
      </c>
      <c r="B7034" s="487" t="s">
        <v>1061</v>
      </c>
      <c r="C7034" s="488" t="s">
        <v>22238</v>
      </c>
      <c r="D7034" s="489" t="s">
        <v>22239</v>
      </c>
      <c r="E7034" s="487" t="s">
        <v>22240</v>
      </c>
      <c r="F7034" s="490">
        <v>1130</v>
      </c>
      <c r="G7034" s="489">
        <v>129.87</v>
      </c>
      <c r="H7034" s="489">
        <v>8.7010100000000001</v>
      </c>
      <c r="I7034" s="487" t="s">
        <v>1499</v>
      </c>
      <c r="J7034" s="487" t="s">
        <v>1063</v>
      </c>
    </row>
    <row r="7035" spans="1:10" ht="15" x14ac:dyDescent="0.2">
      <c r="A7035" s="486" t="s">
        <v>1062</v>
      </c>
      <c r="B7035" s="487" t="s">
        <v>1061</v>
      </c>
      <c r="C7035" s="488" t="s">
        <v>22241</v>
      </c>
      <c r="D7035" s="489" t="s">
        <v>22242</v>
      </c>
      <c r="E7035" s="487" t="s">
        <v>17793</v>
      </c>
      <c r="F7035" s="490">
        <v>2000</v>
      </c>
      <c r="G7035" s="489">
        <v>129.31</v>
      </c>
      <c r="H7035" s="489">
        <v>15.466710000000001</v>
      </c>
      <c r="I7035" s="487" t="s">
        <v>1499</v>
      </c>
      <c r="J7035" s="487" t="s">
        <v>1063</v>
      </c>
    </row>
    <row r="7036" spans="1:10" ht="15" x14ac:dyDescent="0.2">
      <c r="A7036" s="486" t="s">
        <v>1062</v>
      </c>
      <c r="B7036" s="487" t="s">
        <v>1061</v>
      </c>
      <c r="C7036" s="488" t="s">
        <v>22243</v>
      </c>
      <c r="D7036" s="489" t="s">
        <v>22244</v>
      </c>
      <c r="E7036" s="487" t="s">
        <v>22245</v>
      </c>
      <c r="F7036" s="490">
        <v>850</v>
      </c>
      <c r="G7036" s="489">
        <v>72.349999999999994</v>
      </c>
      <c r="H7036" s="489">
        <v>11.74845</v>
      </c>
      <c r="I7036" s="487" t="s">
        <v>1499</v>
      </c>
      <c r="J7036" s="487" t="s">
        <v>1063</v>
      </c>
    </row>
    <row r="7037" spans="1:10" ht="15" x14ac:dyDescent="0.2">
      <c r="A7037" s="486" t="s">
        <v>1062</v>
      </c>
      <c r="B7037" s="487" t="s">
        <v>1061</v>
      </c>
      <c r="C7037" s="488" t="s">
        <v>22246</v>
      </c>
      <c r="D7037" s="489" t="s">
        <v>22247</v>
      </c>
      <c r="E7037" s="487" t="s">
        <v>22248</v>
      </c>
      <c r="F7037" s="490">
        <v>29000</v>
      </c>
      <c r="G7037" s="489">
        <v>422.91</v>
      </c>
      <c r="H7037" s="489">
        <v>68.572509999999994</v>
      </c>
      <c r="I7037" s="487" t="s">
        <v>1499</v>
      </c>
      <c r="J7037" s="487" t="s">
        <v>1063</v>
      </c>
    </row>
    <row r="7038" spans="1:10" ht="15" x14ac:dyDescent="0.2">
      <c r="A7038" s="486" t="s">
        <v>1062</v>
      </c>
      <c r="B7038" s="487" t="s">
        <v>1061</v>
      </c>
      <c r="C7038" s="488" t="s">
        <v>22249</v>
      </c>
      <c r="D7038" s="489" t="s">
        <v>22250</v>
      </c>
      <c r="E7038" s="487" t="s">
        <v>22251</v>
      </c>
      <c r="F7038" s="490">
        <v>7500</v>
      </c>
      <c r="G7038" s="489">
        <v>99.53</v>
      </c>
      <c r="H7038" s="489">
        <v>75.354159999999993</v>
      </c>
      <c r="I7038" s="487" t="s">
        <v>1499</v>
      </c>
      <c r="J7038" s="487" t="s">
        <v>1063</v>
      </c>
    </row>
    <row r="7039" spans="1:10" ht="15" x14ac:dyDescent="0.2">
      <c r="A7039" s="486" t="s">
        <v>1062</v>
      </c>
      <c r="B7039" s="487" t="s">
        <v>1061</v>
      </c>
      <c r="C7039" s="488" t="s">
        <v>22252</v>
      </c>
      <c r="D7039" s="489" t="s">
        <v>22253</v>
      </c>
      <c r="E7039" s="487" t="s">
        <v>22254</v>
      </c>
      <c r="F7039" s="490">
        <v>605.79</v>
      </c>
      <c r="G7039" s="489">
        <v>17.73</v>
      </c>
      <c r="H7039" s="489">
        <v>34.16751</v>
      </c>
      <c r="I7039" s="487" t="s">
        <v>1499</v>
      </c>
      <c r="J7039" s="487" t="s">
        <v>1063</v>
      </c>
    </row>
    <row r="7040" spans="1:10" ht="15" x14ac:dyDescent="0.2">
      <c r="A7040" s="486" t="s">
        <v>1062</v>
      </c>
      <c r="B7040" s="487" t="s">
        <v>1061</v>
      </c>
      <c r="C7040" s="488" t="s">
        <v>22255</v>
      </c>
      <c r="D7040" s="489" t="s">
        <v>22256</v>
      </c>
      <c r="E7040" s="487" t="s">
        <v>22257</v>
      </c>
      <c r="F7040" s="490">
        <v>159.07</v>
      </c>
      <c r="G7040" s="489">
        <v>4.13</v>
      </c>
      <c r="H7040" s="489">
        <v>38.515740000000001</v>
      </c>
      <c r="I7040" s="487" t="s">
        <v>1499</v>
      </c>
      <c r="J7040" s="487" t="s">
        <v>1063</v>
      </c>
    </row>
    <row r="7041" spans="1:10" ht="15" x14ac:dyDescent="0.2">
      <c r="A7041" s="486" t="s">
        <v>1062</v>
      </c>
      <c r="B7041" s="487" t="s">
        <v>1061</v>
      </c>
      <c r="C7041" s="488" t="s">
        <v>22258</v>
      </c>
      <c r="D7041" s="489" t="s">
        <v>22259</v>
      </c>
      <c r="E7041" s="487" t="s">
        <v>22260</v>
      </c>
      <c r="F7041" s="490">
        <v>0</v>
      </c>
      <c r="G7041" s="489">
        <v>24.59</v>
      </c>
      <c r="H7041" s="489">
        <v>0</v>
      </c>
      <c r="I7041" s="487" t="s">
        <v>1593</v>
      </c>
      <c r="J7041" s="487" t="s">
        <v>1063</v>
      </c>
    </row>
    <row r="7042" spans="1:10" ht="15" x14ac:dyDescent="0.2">
      <c r="A7042" s="486" t="s">
        <v>1062</v>
      </c>
      <c r="B7042" s="487" t="s">
        <v>1061</v>
      </c>
      <c r="C7042" s="488" t="s">
        <v>22261</v>
      </c>
      <c r="D7042" s="489" t="s">
        <v>22262</v>
      </c>
      <c r="E7042" s="487" t="s">
        <v>22263</v>
      </c>
      <c r="F7042" s="490">
        <v>706.19</v>
      </c>
      <c r="G7042" s="489">
        <v>97.37</v>
      </c>
      <c r="H7042" s="489">
        <v>7.2526400000000004</v>
      </c>
      <c r="I7042" s="487" t="s">
        <v>1499</v>
      </c>
      <c r="J7042" s="487" t="s">
        <v>1063</v>
      </c>
    </row>
    <row r="7043" spans="1:10" ht="15" x14ac:dyDescent="0.2">
      <c r="A7043" s="486" t="s">
        <v>1062</v>
      </c>
      <c r="B7043" s="487" t="s">
        <v>1061</v>
      </c>
      <c r="C7043" s="488" t="s">
        <v>22264</v>
      </c>
      <c r="D7043" s="489" t="s">
        <v>22265</v>
      </c>
      <c r="E7043" s="487" t="s">
        <v>22266</v>
      </c>
      <c r="F7043" s="490">
        <v>0</v>
      </c>
      <c r="G7043" s="489">
        <v>48.59</v>
      </c>
      <c r="H7043" s="489">
        <v>0</v>
      </c>
      <c r="I7043" s="487" t="s">
        <v>1593</v>
      </c>
      <c r="J7043" s="487" t="s">
        <v>1063</v>
      </c>
    </row>
    <row r="7044" spans="1:10" ht="15" x14ac:dyDescent="0.2">
      <c r="A7044" s="486" t="s">
        <v>1062</v>
      </c>
      <c r="B7044" s="487" t="s">
        <v>1061</v>
      </c>
      <c r="C7044" s="488" t="s">
        <v>22267</v>
      </c>
      <c r="D7044" s="489" t="s">
        <v>22268</v>
      </c>
      <c r="E7044" s="487" t="s">
        <v>22269</v>
      </c>
      <c r="F7044" s="490">
        <v>8559.2800000000007</v>
      </c>
      <c r="G7044" s="489">
        <v>297.3</v>
      </c>
      <c r="H7044" s="489">
        <v>28.790040000000001</v>
      </c>
      <c r="I7044" s="487" t="s">
        <v>1499</v>
      </c>
      <c r="J7044" s="487" t="s">
        <v>1063</v>
      </c>
    </row>
    <row r="7045" spans="1:10" ht="15" x14ac:dyDescent="0.2">
      <c r="A7045" s="486" t="s">
        <v>1062</v>
      </c>
      <c r="B7045" s="487" t="s">
        <v>1061</v>
      </c>
      <c r="C7045" s="488" t="s">
        <v>22270</v>
      </c>
      <c r="D7045" s="489" t="s">
        <v>22271</v>
      </c>
      <c r="E7045" s="487" t="s">
        <v>22272</v>
      </c>
      <c r="F7045" s="490">
        <v>4750</v>
      </c>
      <c r="G7045" s="489">
        <v>230.07</v>
      </c>
      <c r="H7045" s="489">
        <v>20.645890000000001</v>
      </c>
      <c r="I7045" s="487" t="s">
        <v>1499</v>
      </c>
      <c r="J7045" s="487" t="s">
        <v>1063</v>
      </c>
    </row>
    <row r="7046" spans="1:10" ht="15" x14ac:dyDescent="0.2">
      <c r="A7046" s="486" t="s">
        <v>1062</v>
      </c>
      <c r="B7046" s="487" t="s">
        <v>1061</v>
      </c>
      <c r="C7046" s="488" t="s">
        <v>22273</v>
      </c>
      <c r="D7046" s="489" t="s">
        <v>22274</v>
      </c>
      <c r="E7046" s="487" t="s">
        <v>22275</v>
      </c>
      <c r="F7046" s="490">
        <v>1759.13</v>
      </c>
      <c r="G7046" s="489">
        <v>75.150000000000006</v>
      </c>
      <c r="H7046" s="489">
        <v>23.408249999999999</v>
      </c>
      <c r="I7046" s="487" t="s">
        <v>2465</v>
      </c>
      <c r="J7046" s="487" t="s">
        <v>1063</v>
      </c>
    </row>
    <row r="7047" spans="1:10" ht="15" x14ac:dyDescent="0.2">
      <c r="A7047" s="486" t="s">
        <v>1062</v>
      </c>
      <c r="B7047" s="487" t="s">
        <v>1061</v>
      </c>
      <c r="C7047" s="488" t="s">
        <v>22276</v>
      </c>
      <c r="D7047" s="489" t="s">
        <v>22277</v>
      </c>
      <c r="E7047" s="487" t="s">
        <v>22278</v>
      </c>
      <c r="F7047" s="490">
        <v>2500</v>
      </c>
      <c r="G7047" s="489">
        <v>150.86000000000001</v>
      </c>
      <c r="H7047" s="489">
        <v>16.571660000000001</v>
      </c>
      <c r="I7047" s="487" t="s">
        <v>1499</v>
      </c>
      <c r="J7047" s="487" t="s">
        <v>1063</v>
      </c>
    </row>
    <row r="7048" spans="1:10" ht="15" x14ac:dyDescent="0.2">
      <c r="A7048" s="486" t="s">
        <v>1062</v>
      </c>
      <c r="B7048" s="487" t="s">
        <v>1061</v>
      </c>
      <c r="C7048" s="488" t="s">
        <v>22279</v>
      </c>
      <c r="D7048" s="489" t="s">
        <v>22280</v>
      </c>
      <c r="E7048" s="487" t="s">
        <v>22281</v>
      </c>
      <c r="F7048" s="490">
        <v>0</v>
      </c>
      <c r="G7048" s="489">
        <v>45.07</v>
      </c>
      <c r="H7048" s="489">
        <v>0</v>
      </c>
      <c r="I7048" s="487" t="s">
        <v>1593</v>
      </c>
      <c r="J7048" s="487" t="s">
        <v>1063</v>
      </c>
    </row>
    <row r="7049" spans="1:10" ht="15" x14ac:dyDescent="0.2">
      <c r="A7049" s="486" t="s">
        <v>1062</v>
      </c>
      <c r="B7049" s="487" t="s">
        <v>1061</v>
      </c>
      <c r="C7049" s="488" t="s">
        <v>22282</v>
      </c>
      <c r="D7049" s="489" t="s">
        <v>22283</v>
      </c>
      <c r="E7049" s="487" t="s">
        <v>22284</v>
      </c>
      <c r="F7049" s="490">
        <v>0</v>
      </c>
      <c r="G7049" s="489">
        <v>67.17</v>
      </c>
      <c r="H7049" s="489">
        <v>0</v>
      </c>
      <c r="I7049" s="487" t="s">
        <v>1593</v>
      </c>
      <c r="J7049" s="487" t="s">
        <v>1063</v>
      </c>
    </row>
    <row r="7050" spans="1:10" ht="15" x14ac:dyDescent="0.2">
      <c r="A7050" s="486" t="s">
        <v>1062</v>
      </c>
      <c r="B7050" s="487" t="s">
        <v>1061</v>
      </c>
      <c r="C7050" s="488" t="s">
        <v>22285</v>
      </c>
      <c r="D7050" s="489" t="s">
        <v>22286</v>
      </c>
      <c r="E7050" s="487" t="s">
        <v>22287</v>
      </c>
      <c r="F7050" s="490">
        <v>0</v>
      </c>
      <c r="G7050" s="489">
        <v>45.47</v>
      </c>
      <c r="H7050" s="489">
        <v>0</v>
      </c>
      <c r="I7050" s="487" t="s">
        <v>1593</v>
      </c>
      <c r="J7050" s="487" t="s">
        <v>1063</v>
      </c>
    </row>
    <row r="7051" spans="1:10" ht="15" x14ac:dyDescent="0.2">
      <c r="A7051" s="486" t="s">
        <v>1062</v>
      </c>
      <c r="B7051" s="487" t="s">
        <v>1061</v>
      </c>
      <c r="C7051" s="488" t="s">
        <v>22288</v>
      </c>
      <c r="D7051" s="489" t="s">
        <v>22289</v>
      </c>
      <c r="E7051" s="487" t="s">
        <v>22290</v>
      </c>
      <c r="F7051" s="490">
        <v>389000</v>
      </c>
      <c r="G7051" s="489">
        <v>5664.27</v>
      </c>
      <c r="H7051" s="489">
        <v>68.676100000000005</v>
      </c>
      <c r="I7051" s="487" t="s">
        <v>1499</v>
      </c>
      <c r="J7051" s="487" t="s">
        <v>1063</v>
      </c>
    </row>
    <row r="7052" spans="1:10" ht="15" x14ac:dyDescent="0.2">
      <c r="A7052" s="486" t="s">
        <v>1062</v>
      </c>
      <c r="B7052" s="487" t="s">
        <v>1061</v>
      </c>
      <c r="C7052" s="488" t="s">
        <v>22291</v>
      </c>
      <c r="D7052" s="489" t="s">
        <v>22292</v>
      </c>
      <c r="E7052" s="487" t="s">
        <v>4666</v>
      </c>
      <c r="F7052" s="490">
        <v>13000</v>
      </c>
      <c r="G7052" s="489">
        <v>403.74</v>
      </c>
      <c r="H7052" s="489">
        <v>32.19894</v>
      </c>
      <c r="I7052" s="487" t="s">
        <v>1499</v>
      </c>
      <c r="J7052" s="487" t="s">
        <v>1063</v>
      </c>
    </row>
    <row r="7053" spans="1:10" ht="15" x14ac:dyDescent="0.2">
      <c r="A7053" s="486" t="s">
        <v>1062</v>
      </c>
      <c r="B7053" s="487" t="s">
        <v>1061</v>
      </c>
      <c r="C7053" s="488" t="s">
        <v>22293</v>
      </c>
      <c r="D7053" s="489" t="s">
        <v>22294</v>
      </c>
      <c r="E7053" s="487" t="s">
        <v>6444</v>
      </c>
      <c r="F7053" s="490">
        <v>0</v>
      </c>
      <c r="G7053" s="489">
        <v>14.58</v>
      </c>
      <c r="H7053" s="489">
        <v>0</v>
      </c>
      <c r="I7053" s="487" t="s">
        <v>1593</v>
      </c>
      <c r="J7053" s="487" t="s">
        <v>1063</v>
      </c>
    </row>
    <row r="7054" spans="1:10" ht="15" x14ac:dyDescent="0.2">
      <c r="A7054" s="486" t="s">
        <v>1062</v>
      </c>
      <c r="B7054" s="487" t="s">
        <v>1061</v>
      </c>
      <c r="C7054" s="488" t="s">
        <v>22295</v>
      </c>
      <c r="D7054" s="489" t="s">
        <v>22296</v>
      </c>
      <c r="E7054" s="487" t="s">
        <v>22297</v>
      </c>
      <c r="F7054" s="490">
        <v>2000</v>
      </c>
      <c r="G7054" s="489">
        <v>109.16</v>
      </c>
      <c r="H7054" s="489">
        <v>18.321729999999999</v>
      </c>
      <c r="I7054" s="487" t="s">
        <v>1499</v>
      </c>
      <c r="J7054" s="487" t="s">
        <v>1063</v>
      </c>
    </row>
    <row r="7055" spans="1:10" ht="15" x14ac:dyDescent="0.2">
      <c r="A7055" s="486" t="s">
        <v>1062</v>
      </c>
      <c r="B7055" s="487" t="s">
        <v>1061</v>
      </c>
      <c r="C7055" s="488" t="s">
        <v>22298</v>
      </c>
      <c r="D7055" s="489" t="s">
        <v>22299</v>
      </c>
      <c r="E7055" s="487" t="s">
        <v>22300</v>
      </c>
      <c r="F7055" s="490">
        <v>9200</v>
      </c>
      <c r="G7055" s="489">
        <v>377.65</v>
      </c>
      <c r="H7055" s="489">
        <v>24.361180000000001</v>
      </c>
      <c r="I7055" s="487" t="s">
        <v>1499</v>
      </c>
      <c r="J7055" s="487" t="s">
        <v>1063</v>
      </c>
    </row>
    <row r="7056" spans="1:10" ht="15" x14ac:dyDescent="0.2">
      <c r="A7056" s="486" t="s">
        <v>1062</v>
      </c>
      <c r="B7056" s="487" t="s">
        <v>1061</v>
      </c>
      <c r="C7056" s="488" t="s">
        <v>22301</v>
      </c>
      <c r="D7056" s="489" t="s">
        <v>22302</v>
      </c>
      <c r="E7056" s="487" t="s">
        <v>22303</v>
      </c>
      <c r="F7056" s="490">
        <v>10924.2</v>
      </c>
      <c r="G7056" s="489">
        <v>293.33</v>
      </c>
      <c r="H7056" s="489">
        <v>37.242010000000001</v>
      </c>
      <c r="I7056" s="487" t="s">
        <v>1499</v>
      </c>
      <c r="J7056" s="487" t="s">
        <v>1063</v>
      </c>
    </row>
    <row r="7057" spans="1:10" ht="15" x14ac:dyDescent="0.2">
      <c r="A7057" s="486" t="s">
        <v>1062</v>
      </c>
      <c r="B7057" s="487" t="s">
        <v>1061</v>
      </c>
      <c r="C7057" s="488" t="s">
        <v>22304</v>
      </c>
      <c r="D7057" s="489" t="s">
        <v>22305</v>
      </c>
      <c r="E7057" s="487" t="s">
        <v>22306</v>
      </c>
      <c r="F7057" s="490">
        <v>3782.94</v>
      </c>
      <c r="G7057" s="489">
        <v>148.99</v>
      </c>
      <c r="H7057" s="489">
        <v>25.390560000000001</v>
      </c>
      <c r="I7057" s="487" t="s">
        <v>2465</v>
      </c>
      <c r="J7057" s="487" t="s">
        <v>1063</v>
      </c>
    </row>
    <row r="7058" spans="1:10" ht="15" x14ac:dyDescent="0.2">
      <c r="A7058" s="486" t="s">
        <v>1062</v>
      </c>
      <c r="B7058" s="487" t="s">
        <v>1061</v>
      </c>
      <c r="C7058" s="488" t="s">
        <v>22307</v>
      </c>
      <c r="D7058" s="489" t="s">
        <v>22308</v>
      </c>
      <c r="E7058" s="487" t="s">
        <v>22309</v>
      </c>
      <c r="F7058" s="490">
        <v>5000</v>
      </c>
      <c r="G7058" s="489">
        <v>106.15</v>
      </c>
      <c r="H7058" s="489">
        <v>47.103160000000003</v>
      </c>
      <c r="I7058" s="487" t="s">
        <v>1499</v>
      </c>
      <c r="J7058" s="487" t="s">
        <v>1063</v>
      </c>
    </row>
    <row r="7059" spans="1:10" ht="15" x14ac:dyDescent="0.2">
      <c r="A7059" s="486" t="s">
        <v>1062</v>
      </c>
      <c r="B7059" s="487" t="s">
        <v>1061</v>
      </c>
      <c r="C7059" s="488" t="s">
        <v>22310</v>
      </c>
      <c r="D7059" s="489" t="s">
        <v>22311</v>
      </c>
      <c r="E7059" s="487" t="s">
        <v>22312</v>
      </c>
      <c r="F7059" s="490">
        <v>0</v>
      </c>
      <c r="G7059" s="489">
        <v>11.43</v>
      </c>
      <c r="H7059" s="489">
        <v>0</v>
      </c>
      <c r="I7059" s="487" t="s">
        <v>1593</v>
      </c>
      <c r="J7059" s="487" t="s">
        <v>1063</v>
      </c>
    </row>
    <row r="7060" spans="1:10" ht="15" x14ac:dyDescent="0.2">
      <c r="A7060" s="486" t="s">
        <v>1062</v>
      </c>
      <c r="B7060" s="487" t="s">
        <v>1061</v>
      </c>
      <c r="C7060" s="488" t="s">
        <v>22313</v>
      </c>
      <c r="D7060" s="489" t="s">
        <v>22314</v>
      </c>
      <c r="E7060" s="487" t="s">
        <v>14501</v>
      </c>
      <c r="F7060" s="490">
        <v>9500</v>
      </c>
      <c r="G7060" s="489">
        <v>239.26</v>
      </c>
      <c r="H7060" s="489">
        <v>39.705759999999998</v>
      </c>
      <c r="I7060" s="487" t="s">
        <v>1499</v>
      </c>
      <c r="J7060" s="487" t="s">
        <v>1063</v>
      </c>
    </row>
    <row r="7061" spans="1:10" ht="15" x14ac:dyDescent="0.2">
      <c r="A7061" s="486" t="s">
        <v>1062</v>
      </c>
      <c r="B7061" s="487" t="s">
        <v>1061</v>
      </c>
      <c r="C7061" s="488" t="s">
        <v>22315</v>
      </c>
      <c r="D7061" s="489" t="s">
        <v>22316</v>
      </c>
      <c r="E7061" s="487" t="s">
        <v>22317</v>
      </c>
      <c r="F7061" s="490">
        <v>982.65</v>
      </c>
      <c r="G7061" s="489">
        <v>28.76</v>
      </c>
      <c r="H7061" s="489">
        <v>34.167250000000003</v>
      </c>
      <c r="I7061" s="487" t="s">
        <v>1499</v>
      </c>
      <c r="J7061" s="487" t="s">
        <v>1063</v>
      </c>
    </row>
    <row r="7062" spans="1:10" ht="15" x14ac:dyDescent="0.2">
      <c r="A7062" s="486" t="s">
        <v>1062</v>
      </c>
      <c r="B7062" s="487" t="s">
        <v>1061</v>
      </c>
      <c r="C7062" s="488" t="s">
        <v>22318</v>
      </c>
      <c r="D7062" s="489" t="s">
        <v>22319</v>
      </c>
      <c r="E7062" s="487" t="s">
        <v>22320</v>
      </c>
      <c r="F7062" s="490">
        <v>2000</v>
      </c>
      <c r="G7062" s="489">
        <v>85.74</v>
      </c>
      <c r="H7062" s="489">
        <v>23.326339999999998</v>
      </c>
      <c r="I7062" s="487" t="s">
        <v>1499</v>
      </c>
      <c r="J7062" s="487" t="s">
        <v>1063</v>
      </c>
    </row>
    <row r="7063" spans="1:10" ht="15" x14ac:dyDescent="0.2">
      <c r="A7063" s="486" t="s">
        <v>1062</v>
      </c>
      <c r="B7063" s="487" t="s">
        <v>1061</v>
      </c>
      <c r="C7063" s="488" t="s">
        <v>22321</v>
      </c>
      <c r="D7063" s="489" t="s">
        <v>22322</v>
      </c>
      <c r="E7063" s="487" t="s">
        <v>4021</v>
      </c>
      <c r="F7063" s="490">
        <v>20750</v>
      </c>
      <c r="G7063" s="489">
        <v>505.73</v>
      </c>
      <c r="H7063" s="489">
        <v>41.029800000000002</v>
      </c>
      <c r="I7063" s="487" t="s">
        <v>1499</v>
      </c>
      <c r="J7063" s="487" t="s">
        <v>1063</v>
      </c>
    </row>
    <row r="7064" spans="1:10" ht="15" x14ac:dyDescent="0.2">
      <c r="A7064" s="486" t="s">
        <v>1062</v>
      </c>
      <c r="B7064" s="487" t="s">
        <v>1061</v>
      </c>
      <c r="C7064" s="488" t="s">
        <v>22323</v>
      </c>
      <c r="D7064" s="489" t="s">
        <v>22324</v>
      </c>
      <c r="E7064" s="487" t="s">
        <v>22325</v>
      </c>
      <c r="F7064" s="490">
        <v>4600</v>
      </c>
      <c r="G7064" s="489">
        <v>165.56</v>
      </c>
      <c r="H7064" s="489">
        <v>27.784490000000002</v>
      </c>
      <c r="I7064" s="487" t="s">
        <v>1499</v>
      </c>
      <c r="J7064" s="487" t="s">
        <v>1063</v>
      </c>
    </row>
    <row r="7065" spans="1:10" ht="15" x14ac:dyDescent="0.2">
      <c r="A7065" s="486" t="s">
        <v>1062</v>
      </c>
      <c r="B7065" s="487" t="s">
        <v>1061</v>
      </c>
      <c r="C7065" s="488" t="s">
        <v>22326</v>
      </c>
      <c r="D7065" s="489" t="s">
        <v>22327</v>
      </c>
      <c r="E7065" s="487" t="s">
        <v>22328</v>
      </c>
      <c r="F7065" s="490">
        <v>23500</v>
      </c>
      <c r="G7065" s="489">
        <v>187.52</v>
      </c>
      <c r="H7065" s="489">
        <v>125.31997</v>
      </c>
      <c r="I7065" s="487" t="s">
        <v>1499</v>
      </c>
      <c r="J7065" s="487" t="s">
        <v>1063</v>
      </c>
    </row>
    <row r="7066" spans="1:10" ht="15" x14ac:dyDescent="0.2">
      <c r="A7066" s="486" t="s">
        <v>1062</v>
      </c>
      <c r="B7066" s="487" t="s">
        <v>1061</v>
      </c>
      <c r="C7066" s="488" t="s">
        <v>22329</v>
      </c>
      <c r="D7066" s="489" t="s">
        <v>22330</v>
      </c>
      <c r="E7066" s="487" t="s">
        <v>22331</v>
      </c>
      <c r="F7066" s="490">
        <v>3126</v>
      </c>
      <c r="G7066" s="489">
        <v>112.65</v>
      </c>
      <c r="H7066" s="489">
        <v>27.749669999999998</v>
      </c>
      <c r="I7066" s="487" t="s">
        <v>1499</v>
      </c>
      <c r="J7066" s="487" t="s">
        <v>1063</v>
      </c>
    </row>
    <row r="7067" spans="1:10" ht="15" x14ac:dyDescent="0.2">
      <c r="A7067" s="486" t="s">
        <v>1062</v>
      </c>
      <c r="B7067" s="487" t="s">
        <v>1061</v>
      </c>
      <c r="C7067" s="488" t="s">
        <v>22332</v>
      </c>
      <c r="D7067" s="489" t="s">
        <v>22333</v>
      </c>
      <c r="E7067" s="487" t="s">
        <v>22334</v>
      </c>
      <c r="F7067" s="490">
        <v>0</v>
      </c>
      <c r="G7067" s="489">
        <v>79.06</v>
      </c>
      <c r="H7067" s="489">
        <v>0</v>
      </c>
      <c r="I7067" s="487" t="s">
        <v>1593</v>
      </c>
      <c r="J7067" s="487" t="s">
        <v>1063</v>
      </c>
    </row>
    <row r="7068" spans="1:10" ht="15" x14ac:dyDescent="0.2">
      <c r="A7068" s="486" t="s">
        <v>1062</v>
      </c>
      <c r="B7068" s="487" t="s">
        <v>1061</v>
      </c>
      <c r="C7068" s="488" t="s">
        <v>22335</v>
      </c>
      <c r="D7068" s="489" t="s">
        <v>22336</v>
      </c>
      <c r="E7068" s="487" t="s">
        <v>22337</v>
      </c>
      <c r="F7068" s="490">
        <v>0</v>
      </c>
      <c r="G7068" s="489">
        <v>56</v>
      </c>
      <c r="H7068" s="489">
        <v>0</v>
      </c>
      <c r="I7068" s="487" t="s">
        <v>1593</v>
      </c>
      <c r="J7068" s="487" t="s">
        <v>1063</v>
      </c>
    </row>
    <row r="7069" spans="1:10" ht="15" x14ac:dyDescent="0.2">
      <c r="A7069" s="486" t="s">
        <v>1062</v>
      </c>
      <c r="B7069" s="487" t="s">
        <v>1061</v>
      </c>
      <c r="C7069" s="488" t="s">
        <v>22338</v>
      </c>
      <c r="D7069" s="489" t="s">
        <v>22339</v>
      </c>
      <c r="E7069" s="487" t="s">
        <v>22340</v>
      </c>
      <c r="F7069" s="490">
        <v>579.44000000000005</v>
      </c>
      <c r="G7069" s="489">
        <v>19.399999999999999</v>
      </c>
      <c r="H7069" s="489">
        <v>29.868040000000001</v>
      </c>
      <c r="I7069" s="487" t="s">
        <v>1499</v>
      </c>
      <c r="J7069" s="487" t="s">
        <v>1063</v>
      </c>
    </row>
    <row r="7070" spans="1:10" ht="15" x14ac:dyDescent="0.2">
      <c r="A7070" s="486" t="s">
        <v>1062</v>
      </c>
      <c r="B7070" s="487" t="s">
        <v>1061</v>
      </c>
      <c r="C7070" s="488" t="s">
        <v>22341</v>
      </c>
      <c r="D7070" s="489" t="s">
        <v>22342</v>
      </c>
      <c r="E7070" s="487" t="s">
        <v>1458</v>
      </c>
      <c r="F7070" s="490">
        <v>362000</v>
      </c>
      <c r="G7070" s="489">
        <v>28426.89</v>
      </c>
      <c r="H7070" s="489">
        <v>12.73442</v>
      </c>
      <c r="I7070" s="487" t="s">
        <v>1499</v>
      </c>
      <c r="J7070" s="487" t="s">
        <v>1063</v>
      </c>
    </row>
    <row r="7071" spans="1:10" ht="15" x14ac:dyDescent="0.2">
      <c r="A7071" s="486" t="s">
        <v>1062</v>
      </c>
      <c r="B7071" s="487" t="s">
        <v>1061</v>
      </c>
      <c r="C7071" s="488" t="s">
        <v>22343</v>
      </c>
      <c r="D7071" s="489" t="s">
        <v>22344</v>
      </c>
      <c r="E7071" s="487" t="s">
        <v>1464</v>
      </c>
      <c r="F7071" s="490">
        <v>384000</v>
      </c>
      <c r="G7071" s="489">
        <v>13294.84</v>
      </c>
      <c r="H7071" s="489">
        <v>28.883389999999999</v>
      </c>
      <c r="I7071" s="487" t="s">
        <v>1499</v>
      </c>
      <c r="J7071" s="487" t="s">
        <v>1063</v>
      </c>
    </row>
    <row r="7072" spans="1:10" ht="15" x14ac:dyDescent="0.2">
      <c r="A7072" s="486" t="s">
        <v>1040</v>
      </c>
      <c r="B7072" s="487" t="s">
        <v>1039</v>
      </c>
      <c r="C7072" s="488" t="s">
        <v>22345</v>
      </c>
      <c r="D7072" s="489" t="s">
        <v>22346</v>
      </c>
      <c r="E7072" s="487" t="s">
        <v>22347</v>
      </c>
      <c r="F7072" s="490">
        <v>12500</v>
      </c>
      <c r="G7072" s="489">
        <v>164</v>
      </c>
      <c r="H7072" s="489">
        <v>76.21951</v>
      </c>
      <c r="I7072" s="487" t="s">
        <v>1499</v>
      </c>
      <c r="J7072" s="487" t="s">
        <v>1041</v>
      </c>
    </row>
    <row r="7073" spans="1:10" ht="15" x14ac:dyDescent="0.2">
      <c r="A7073" s="486" t="s">
        <v>1040</v>
      </c>
      <c r="B7073" s="487" t="s">
        <v>1039</v>
      </c>
      <c r="C7073" s="488" t="s">
        <v>22348</v>
      </c>
      <c r="D7073" s="489" t="s">
        <v>22349</v>
      </c>
      <c r="E7073" s="487" t="s">
        <v>22350</v>
      </c>
      <c r="F7073" s="490">
        <v>3300</v>
      </c>
      <c r="G7073" s="489">
        <v>91</v>
      </c>
      <c r="H7073" s="489">
        <v>36.263739999999999</v>
      </c>
      <c r="I7073" s="487" t="s">
        <v>1499</v>
      </c>
      <c r="J7073" s="487" t="s">
        <v>1041</v>
      </c>
    </row>
    <row r="7074" spans="1:10" ht="15" x14ac:dyDescent="0.2">
      <c r="A7074" s="486" t="s">
        <v>1040</v>
      </c>
      <c r="B7074" s="487" t="s">
        <v>1039</v>
      </c>
      <c r="C7074" s="488" t="s">
        <v>22351</v>
      </c>
      <c r="D7074" s="489" t="s">
        <v>22352</v>
      </c>
      <c r="E7074" s="487" t="s">
        <v>3349</v>
      </c>
      <c r="F7074" s="490">
        <v>11550</v>
      </c>
      <c r="G7074" s="489">
        <v>136</v>
      </c>
      <c r="H7074" s="489">
        <v>84.926469999999995</v>
      </c>
      <c r="I7074" s="487" t="s">
        <v>1499</v>
      </c>
      <c r="J7074" s="487" t="s">
        <v>1041</v>
      </c>
    </row>
    <row r="7075" spans="1:10" ht="15" x14ac:dyDescent="0.2">
      <c r="A7075" s="486" t="s">
        <v>1040</v>
      </c>
      <c r="B7075" s="487" t="s">
        <v>1039</v>
      </c>
      <c r="C7075" s="488" t="s">
        <v>22353</v>
      </c>
      <c r="D7075" s="489" t="s">
        <v>22354</v>
      </c>
      <c r="E7075" s="487" t="s">
        <v>7823</v>
      </c>
      <c r="F7075" s="490">
        <v>8687</v>
      </c>
      <c r="G7075" s="489">
        <v>109</v>
      </c>
      <c r="H7075" s="489">
        <v>79.697249999999997</v>
      </c>
      <c r="I7075" s="487" t="s">
        <v>1499</v>
      </c>
      <c r="J7075" s="487" t="s">
        <v>1041</v>
      </c>
    </row>
    <row r="7076" spans="1:10" ht="15" x14ac:dyDescent="0.2">
      <c r="A7076" s="486" t="s">
        <v>1040</v>
      </c>
      <c r="B7076" s="487" t="s">
        <v>1039</v>
      </c>
      <c r="C7076" s="488" t="s">
        <v>22355</v>
      </c>
      <c r="D7076" s="489" t="s">
        <v>22356</v>
      </c>
      <c r="E7076" s="487" t="s">
        <v>22357</v>
      </c>
      <c r="F7076" s="490">
        <v>14680</v>
      </c>
      <c r="G7076" s="489">
        <v>175</v>
      </c>
      <c r="H7076" s="489">
        <v>83.885710000000003</v>
      </c>
      <c r="I7076" s="487" t="s">
        <v>1499</v>
      </c>
      <c r="J7076" s="487" t="s">
        <v>1041</v>
      </c>
    </row>
    <row r="7077" spans="1:10" ht="15" x14ac:dyDescent="0.2">
      <c r="A7077" s="486" t="s">
        <v>1040</v>
      </c>
      <c r="B7077" s="487" t="s">
        <v>1039</v>
      </c>
      <c r="C7077" s="488" t="s">
        <v>22358</v>
      </c>
      <c r="D7077" s="489" t="s">
        <v>22359</v>
      </c>
      <c r="E7077" s="487" t="s">
        <v>22360</v>
      </c>
      <c r="F7077" s="490">
        <v>60000</v>
      </c>
      <c r="G7077" s="489">
        <v>2650</v>
      </c>
      <c r="H7077" s="489">
        <v>22.64151</v>
      </c>
      <c r="I7077" s="487" t="s">
        <v>1499</v>
      </c>
      <c r="J7077" s="487" t="s">
        <v>1041</v>
      </c>
    </row>
    <row r="7078" spans="1:10" ht="15" x14ac:dyDescent="0.2">
      <c r="A7078" s="486" t="s">
        <v>1040</v>
      </c>
      <c r="B7078" s="487" t="s">
        <v>1039</v>
      </c>
      <c r="C7078" s="488" t="s">
        <v>22361</v>
      </c>
      <c r="D7078" s="489" t="s">
        <v>22362</v>
      </c>
      <c r="E7078" s="487" t="s">
        <v>22363</v>
      </c>
      <c r="F7078" s="490">
        <v>10000</v>
      </c>
      <c r="G7078" s="489">
        <v>192</v>
      </c>
      <c r="H7078" s="489">
        <v>52.083329999999997</v>
      </c>
      <c r="I7078" s="487" t="s">
        <v>1499</v>
      </c>
      <c r="J7078" s="487" t="s">
        <v>1041</v>
      </c>
    </row>
    <row r="7079" spans="1:10" ht="15" x14ac:dyDescent="0.2">
      <c r="A7079" s="486" t="s">
        <v>1040</v>
      </c>
      <c r="B7079" s="487" t="s">
        <v>1039</v>
      </c>
      <c r="C7079" s="488" t="s">
        <v>22364</v>
      </c>
      <c r="D7079" s="489" t="s">
        <v>22365</v>
      </c>
      <c r="E7079" s="487" t="s">
        <v>22366</v>
      </c>
      <c r="F7079" s="490">
        <v>0</v>
      </c>
      <c r="G7079" s="489">
        <v>24</v>
      </c>
      <c r="H7079" s="489">
        <v>0</v>
      </c>
      <c r="I7079" s="487" t="s">
        <v>1593</v>
      </c>
      <c r="J7079" s="487" t="s">
        <v>1041</v>
      </c>
    </row>
    <row r="7080" spans="1:10" ht="15" x14ac:dyDescent="0.2">
      <c r="A7080" s="486" t="s">
        <v>1040</v>
      </c>
      <c r="B7080" s="487" t="s">
        <v>1039</v>
      </c>
      <c r="C7080" s="488" t="s">
        <v>22367</v>
      </c>
      <c r="D7080" s="489" t="s">
        <v>22368</v>
      </c>
      <c r="E7080" s="487" t="s">
        <v>22369</v>
      </c>
      <c r="F7080" s="490">
        <v>40830</v>
      </c>
      <c r="G7080" s="489">
        <v>768</v>
      </c>
      <c r="H7080" s="489">
        <v>53.164059999999999</v>
      </c>
      <c r="I7080" s="487" t="s">
        <v>1499</v>
      </c>
      <c r="J7080" s="487" t="s">
        <v>1041</v>
      </c>
    </row>
    <row r="7081" spans="1:10" ht="15" x14ac:dyDescent="0.2">
      <c r="A7081" s="486" t="s">
        <v>1040</v>
      </c>
      <c r="B7081" s="487" t="s">
        <v>1039</v>
      </c>
      <c r="C7081" s="488" t="s">
        <v>22370</v>
      </c>
      <c r="D7081" s="489" t="s">
        <v>22371</v>
      </c>
      <c r="E7081" s="487" t="s">
        <v>22372</v>
      </c>
      <c r="F7081" s="490">
        <v>1750</v>
      </c>
      <c r="G7081" s="489">
        <v>36</v>
      </c>
      <c r="H7081" s="489">
        <v>48.611109999999996</v>
      </c>
      <c r="I7081" s="487" t="s">
        <v>1499</v>
      </c>
      <c r="J7081" s="487" t="s">
        <v>1041</v>
      </c>
    </row>
    <row r="7082" spans="1:10" ht="15" x14ac:dyDescent="0.2">
      <c r="A7082" s="486" t="s">
        <v>1040</v>
      </c>
      <c r="B7082" s="487" t="s">
        <v>1039</v>
      </c>
      <c r="C7082" s="488" t="s">
        <v>22373</v>
      </c>
      <c r="D7082" s="489" t="s">
        <v>22374</v>
      </c>
      <c r="E7082" s="487" t="s">
        <v>22375</v>
      </c>
      <c r="F7082" s="490">
        <v>10500</v>
      </c>
      <c r="G7082" s="489">
        <v>195</v>
      </c>
      <c r="H7082" s="489">
        <v>53.846150000000002</v>
      </c>
      <c r="I7082" s="487" t="s">
        <v>1499</v>
      </c>
      <c r="J7082" s="487" t="s">
        <v>1041</v>
      </c>
    </row>
    <row r="7083" spans="1:10" ht="15" x14ac:dyDescent="0.2">
      <c r="A7083" s="486" t="s">
        <v>1040</v>
      </c>
      <c r="B7083" s="487" t="s">
        <v>1039</v>
      </c>
      <c r="C7083" s="488" t="s">
        <v>22376</v>
      </c>
      <c r="D7083" s="489" t="s">
        <v>22377</v>
      </c>
      <c r="E7083" s="487" t="s">
        <v>22378</v>
      </c>
      <c r="F7083" s="490">
        <v>32130</v>
      </c>
      <c r="G7083" s="489">
        <v>559</v>
      </c>
      <c r="H7083" s="489">
        <v>57.477640000000001</v>
      </c>
      <c r="I7083" s="487" t="s">
        <v>1499</v>
      </c>
      <c r="J7083" s="487" t="s">
        <v>1041</v>
      </c>
    </row>
    <row r="7084" spans="1:10" ht="15" x14ac:dyDescent="0.2">
      <c r="A7084" s="486" t="s">
        <v>1040</v>
      </c>
      <c r="B7084" s="487" t="s">
        <v>1039</v>
      </c>
      <c r="C7084" s="488" t="s">
        <v>22379</v>
      </c>
      <c r="D7084" s="489" t="s">
        <v>22380</v>
      </c>
      <c r="E7084" s="487" t="s">
        <v>2627</v>
      </c>
      <c r="F7084" s="490">
        <v>14000</v>
      </c>
      <c r="G7084" s="489">
        <v>839</v>
      </c>
      <c r="H7084" s="489">
        <v>16.686530000000001</v>
      </c>
      <c r="I7084" s="487" t="s">
        <v>1499</v>
      </c>
      <c r="J7084" s="487" t="s">
        <v>1041</v>
      </c>
    </row>
    <row r="7085" spans="1:10" ht="15" x14ac:dyDescent="0.2">
      <c r="A7085" s="486" t="s">
        <v>1040</v>
      </c>
      <c r="B7085" s="487" t="s">
        <v>1039</v>
      </c>
      <c r="C7085" s="488" t="s">
        <v>22381</v>
      </c>
      <c r="D7085" s="489" t="s">
        <v>22382</v>
      </c>
      <c r="E7085" s="487" t="s">
        <v>22383</v>
      </c>
      <c r="F7085" s="490">
        <v>15000</v>
      </c>
      <c r="G7085" s="489">
        <v>87</v>
      </c>
      <c r="H7085" s="489">
        <v>172.41379000000001</v>
      </c>
      <c r="I7085" s="487" t="s">
        <v>1499</v>
      </c>
      <c r="J7085" s="487" t="s">
        <v>1041</v>
      </c>
    </row>
    <row r="7086" spans="1:10" ht="15" x14ac:dyDescent="0.2">
      <c r="A7086" s="486" t="s">
        <v>1040</v>
      </c>
      <c r="B7086" s="487" t="s">
        <v>1039</v>
      </c>
      <c r="C7086" s="488" t="s">
        <v>22384</v>
      </c>
      <c r="D7086" s="489" t="s">
        <v>22385</v>
      </c>
      <c r="E7086" s="487" t="s">
        <v>22386</v>
      </c>
      <c r="F7086" s="490">
        <v>389000</v>
      </c>
      <c r="G7086" s="489">
        <v>3205</v>
      </c>
      <c r="H7086" s="489">
        <v>121.37285</v>
      </c>
      <c r="I7086" s="487" t="s">
        <v>1499</v>
      </c>
      <c r="J7086" s="487" t="s">
        <v>1041</v>
      </c>
    </row>
    <row r="7087" spans="1:10" ht="15" x14ac:dyDescent="0.2">
      <c r="A7087" s="486" t="s">
        <v>1040</v>
      </c>
      <c r="B7087" s="487" t="s">
        <v>1039</v>
      </c>
      <c r="C7087" s="488" t="s">
        <v>22387</v>
      </c>
      <c r="D7087" s="489" t="s">
        <v>22388</v>
      </c>
      <c r="E7087" s="487" t="s">
        <v>22389</v>
      </c>
      <c r="F7087" s="490">
        <v>12800</v>
      </c>
      <c r="G7087" s="489">
        <v>213</v>
      </c>
      <c r="H7087" s="489">
        <v>60.093899999999998</v>
      </c>
      <c r="I7087" s="487" t="s">
        <v>1499</v>
      </c>
      <c r="J7087" s="487" t="s">
        <v>1041</v>
      </c>
    </row>
    <row r="7088" spans="1:10" ht="15" x14ac:dyDescent="0.2">
      <c r="A7088" s="486" t="s">
        <v>1040</v>
      </c>
      <c r="B7088" s="487" t="s">
        <v>1039</v>
      </c>
      <c r="C7088" s="488" t="s">
        <v>22390</v>
      </c>
      <c r="D7088" s="489" t="s">
        <v>22391</v>
      </c>
      <c r="E7088" s="487" t="s">
        <v>22392</v>
      </c>
      <c r="F7088" s="490">
        <v>0</v>
      </c>
      <c r="G7088" s="489">
        <v>65</v>
      </c>
      <c r="H7088" s="489">
        <v>0</v>
      </c>
      <c r="I7088" s="487" t="s">
        <v>1593</v>
      </c>
      <c r="J7088" s="487" t="s">
        <v>1041</v>
      </c>
    </row>
    <row r="7089" spans="1:10" ht="15" x14ac:dyDescent="0.2">
      <c r="A7089" s="486" t="s">
        <v>1040</v>
      </c>
      <c r="B7089" s="487" t="s">
        <v>1039</v>
      </c>
      <c r="C7089" s="488" t="s">
        <v>22393</v>
      </c>
      <c r="D7089" s="489" t="s">
        <v>22394</v>
      </c>
      <c r="E7089" s="487" t="s">
        <v>22395</v>
      </c>
      <c r="F7089" s="490">
        <v>31000</v>
      </c>
      <c r="G7089" s="489">
        <v>229</v>
      </c>
      <c r="H7089" s="489">
        <v>135.37118000000001</v>
      </c>
      <c r="I7089" s="487" t="s">
        <v>1499</v>
      </c>
      <c r="J7089" s="487" t="s">
        <v>1041</v>
      </c>
    </row>
    <row r="7090" spans="1:10" ht="15" x14ac:dyDescent="0.2">
      <c r="A7090" s="486" t="s">
        <v>1040</v>
      </c>
      <c r="B7090" s="487" t="s">
        <v>1039</v>
      </c>
      <c r="C7090" s="488" t="s">
        <v>22396</v>
      </c>
      <c r="D7090" s="489" t="s">
        <v>22397</v>
      </c>
      <c r="E7090" s="487" t="s">
        <v>22398</v>
      </c>
      <c r="F7090" s="490">
        <v>0</v>
      </c>
      <c r="G7090" s="489">
        <v>86</v>
      </c>
      <c r="H7090" s="489">
        <v>0</v>
      </c>
      <c r="I7090" s="487" t="s">
        <v>1593</v>
      </c>
      <c r="J7090" s="487" t="s">
        <v>1041</v>
      </c>
    </row>
    <row r="7091" spans="1:10" ht="15" x14ac:dyDescent="0.2">
      <c r="A7091" s="486" t="s">
        <v>1040</v>
      </c>
      <c r="B7091" s="487" t="s">
        <v>1039</v>
      </c>
      <c r="C7091" s="488" t="s">
        <v>22399</v>
      </c>
      <c r="D7091" s="489" t="s">
        <v>22400</v>
      </c>
      <c r="E7091" s="487" t="s">
        <v>14141</v>
      </c>
      <c r="F7091" s="490">
        <v>26308</v>
      </c>
      <c r="G7091" s="489">
        <v>369</v>
      </c>
      <c r="H7091" s="489">
        <v>71.295389999999998</v>
      </c>
      <c r="I7091" s="487" t="s">
        <v>1499</v>
      </c>
      <c r="J7091" s="487" t="s">
        <v>1041</v>
      </c>
    </row>
    <row r="7092" spans="1:10" ht="15" x14ac:dyDescent="0.2">
      <c r="A7092" s="486" t="s">
        <v>1040</v>
      </c>
      <c r="B7092" s="487" t="s">
        <v>1039</v>
      </c>
      <c r="C7092" s="488" t="s">
        <v>22401</v>
      </c>
      <c r="D7092" s="489" t="s">
        <v>22402</v>
      </c>
      <c r="E7092" s="487" t="s">
        <v>22403</v>
      </c>
      <c r="F7092" s="490">
        <v>13300</v>
      </c>
      <c r="G7092" s="489">
        <v>171</v>
      </c>
      <c r="H7092" s="489">
        <v>77.777780000000007</v>
      </c>
      <c r="I7092" s="487" t="s">
        <v>1499</v>
      </c>
      <c r="J7092" s="487" t="s">
        <v>1041</v>
      </c>
    </row>
    <row r="7093" spans="1:10" ht="15" x14ac:dyDescent="0.2">
      <c r="A7093" s="486" t="s">
        <v>1040</v>
      </c>
      <c r="B7093" s="487" t="s">
        <v>1039</v>
      </c>
      <c r="C7093" s="488" t="s">
        <v>22404</v>
      </c>
      <c r="D7093" s="489" t="s">
        <v>22405</v>
      </c>
      <c r="E7093" s="487" t="s">
        <v>22406</v>
      </c>
      <c r="F7093" s="490">
        <v>13000</v>
      </c>
      <c r="G7093" s="489">
        <v>122</v>
      </c>
      <c r="H7093" s="489">
        <v>106.55737999999999</v>
      </c>
      <c r="I7093" s="487" t="s">
        <v>1499</v>
      </c>
      <c r="J7093" s="487" t="s">
        <v>1041</v>
      </c>
    </row>
    <row r="7094" spans="1:10" ht="15" x14ac:dyDescent="0.2">
      <c r="A7094" s="486" t="s">
        <v>1040</v>
      </c>
      <c r="B7094" s="487" t="s">
        <v>1039</v>
      </c>
      <c r="C7094" s="488" t="s">
        <v>22407</v>
      </c>
      <c r="D7094" s="489" t="s">
        <v>22408</v>
      </c>
      <c r="E7094" s="487" t="s">
        <v>22409</v>
      </c>
      <c r="F7094" s="490">
        <v>16388</v>
      </c>
      <c r="G7094" s="489">
        <v>178</v>
      </c>
      <c r="H7094" s="489">
        <v>92.067419999999998</v>
      </c>
      <c r="I7094" s="487" t="s">
        <v>2465</v>
      </c>
      <c r="J7094" s="487" t="s">
        <v>1041</v>
      </c>
    </row>
    <row r="7095" spans="1:10" ht="15" x14ac:dyDescent="0.2">
      <c r="A7095" s="486" t="s">
        <v>1040</v>
      </c>
      <c r="B7095" s="487" t="s">
        <v>1039</v>
      </c>
      <c r="C7095" s="488" t="s">
        <v>22410</v>
      </c>
      <c r="D7095" s="489" t="s">
        <v>22411</v>
      </c>
      <c r="E7095" s="487" t="s">
        <v>22412</v>
      </c>
      <c r="F7095" s="490">
        <v>0</v>
      </c>
      <c r="G7095" s="489">
        <v>0</v>
      </c>
      <c r="H7095" s="489">
        <v>0</v>
      </c>
      <c r="I7095" s="487" t="s">
        <v>2465</v>
      </c>
      <c r="J7095" s="487" t="s">
        <v>1041</v>
      </c>
    </row>
    <row r="7096" spans="1:10" ht="15" x14ac:dyDescent="0.2">
      <c r="A7096" s="486" t="s">
        <v>1040</v>
      </c>
      <c r="B7096" s="487" t="s">
        <v>1039</v>
      </c>
      <c r="C7096" s="488" t="s">
        <v>22413</v>
      </c>
      <c r="D7096" s="489" t="s">
        <v>22414</v>
      </c>
      <c r="E7096" s="487" t="s">
        <v>22415</v>
      </c>
      <c r="F7096" s="490">
        <v>8500</v>
      </c>
      <c r="G7096" s="489">
        <v>130</v>
      </c>
      <c r="H7096" s="489">
        <v>65.384619999999998</v>
      </c>
      <c r="I7096" s="487" t="s">
        <v>1499</v>
      </c>
      <c r="J7096" s="487" t="s">
        <v>1041</v>
      </c>
    </row>
    <row r="7097" spans="1:10" ht="15" x14ac:dyDescent="0.2">
      <c r="A7097" s="486" t="s">
        <v>1040</v>
      </c>
      <c r="B7097" s="487" t="s">
        <v>1039</v>
      </c>
      <c r="C7097" s="488" t="s">
        <v>22416</v>
      </c>
      <c r="D7097" s="489" t="s">
        <v>22417</v>
      </c>
      <c r="E7097" s="487" t="s">
        <v>22418</v>
      </c>
      <c r="F7097" s="490">
        <v>75000</v>
      </c>
      <c r="G7097" s="489">
        <v>4114</v>
      </c>
      <c r="H7097" s="489">
        <v>18.230429999999998</v>
      </c>
      <c r="I7097" s="487" t="s">
        <v>1499</v>
      </c>
      <c r="J7097" s="487" t="s">
        <v>1041</v>
      </c>
    </row>
    <row r="7098" spans="1:10" ht="15" x14ac:dyDescent="0.2">
      <c r="A7098" s="486" t="s">
        <v>1040</v>
      </c>
      <c r="B7098" s="487" t="s">
        <v>1039</v>
      </c>
      <c r="C7098" s="488" t="s">
        <v>22419</v>
      </c>
      <c r="D7098" s="489" t="s">
        <v>22420</v>
      </c>
      <c r="E7098" s="487" t="s">
        <v>22421</v>
      </c>
      <c r="F7098" s="490">
        <v>8867</v>
      </c>
      <c r="G7098" s="489">
        <v>111</v>
      </c>
      <c r="H7098" s="489">
        <v>79.88288</v>
      </c>
      <c r="I7098" s="487" t="s">
        <v>1499</v>
      </c>
      <c r="J7098" s="487" t="s">
        <v>1041</v>
      </c>
    </row>
    <row r="7099" spans="1:10" ht="15" x14ac:dyDescent="0.2">
      <c r="A7099" s="486" t="s">
        <v>1040</v>
      </c>
      <c r="B7099" s="487" t="s">
        <v>1039</v>
      </c>
      <c r="C7099" s="488" t="s">
        <v>22422</v>
      </c>
      <c r="D7099" s="489" t="s">
        <v>22423</v>
      </c>
      <c r="E7099" s="487" t="s">
        <v>22424</v>
      </c>
      <c r="F7099" s="490">
        <v>10000</v>
      </c>
      <c r="G7099" s="489">
        <v>103</v>
      </c>
      <c r="H7099" s="489">
        <v>97.087379999999996</v>
      </c>
      <c r="I7099" s="487" t="s">
        <v>1499</v>
      </c>
      <c r="J7099" s="487" t="s">
        <v>1041</v>
      </c>
    </row>
    <row r="7100" spans="1:10" ht="15" x14ac:dyDescent="0.2">
      <c r="A7100" s="486" t="s">
        <v>1040</v>
      </c>
      <c r="B7100" s="487" t="s">
        <v>1039</v>
      </c>
      <c r="C7100" s="488" t="s">
        <v>22425</v>
      </c>
      <c r="D7100" s="489" t="s">
        <v>22426</v>
      </c>
      <c r="E7100" s="487" t="s">
        <v>22427</v>
      </c>
      <c r="F7100" s="490">
        <v>208616</v>
      </c>
      <c r="G7100" s="489">
        <v>2263</v>
      </c>
      <c r="H7100" s="489">
        <v>92.185590000000005</v>
      </c>
      <c r="I7100" s="487" t="s">
        <v>1499</v>
      </c>
      <c r="J7100" s="487" t="s">
        <v>1041</v>
      </c>
    </row>
    <row r="7101" spans="1:10" ht="15" x14ac:dyDescent="0.2">
      <c r="A7101" s="486" t="s">
        <v>1040</v>
      </c>
      <c r="B7101" s="487" t="s">
        <v>1039</v>
      </c>
      <c r="C7101" s="488" t="s">
        <v>22428</v>
      </c>
      <c r="D7101" s="489" t="s">
        <v>22429</v>
      </c>
      <c r="E7101" s="487" t="s">
        <v>22430</v>
      </c>
      <c r="F7101" s="490">
        <v>6743</v>
      </c>
      <c r="G7101" s="489">
        <v>120</v>
      </c>
      <c r="H7101" s="489">
        <v>56.191670000000002</v>
      </c>
      <c r="I7101" s="487" t="s">
        <v>1499</v>
      </c>
      <c r="J7101" s="487" t="s">
        <v>1041</v>
      </c>
    </row>
    <row r="7102" spans="1:10" ht="15" x14ac:dyDescent="0.2">
      <c r="A7102" s="486" t="s">
        <v>1040</v>
      </c>
      <c r="B7102" s="487" t="s">
        <v>1039</v>
      </c>
      <c r="C7102" s="488" t="s">
        <v>22431</v>
      </c>
      <c r="D7102" s="489" t="s">
        <v>22432</v>
      </c>
      <c r="E7102" s="487" t="s">
        <v>22433</v>
      </c>
      <c r="F7102" s="490">
        <v>1700</v>
      </c>
      <c r="G7102" s="489">
        <v>41</v>
      </c>
      <c r="H7102" s="489">
        <v>41.463410000000003</v>
      </c>
      <c r="I7102" s="487" t="s">
        <v>1499</v>
      </c>
      <c r="J7102" s="487" t="s">
        <v>1041</v>
      </c>
    </row>
    <row r="7103" spans="1:10" ht="15" x14ac:dyDescent="0.2">
      <c r="A7103" s="486" t="s">
        <v>1040</v>
      </c>
      <c r="B7103" s="487" t="s">
        <v>1039</v>
      </c>
      <c r="C7103" s="488" t="s">
        <v>22434</v>
      </c>
      <c r="D7103" s="489" t="s">
        <v>22435</v>
      </c>
      <c r="E7103" s="487" t="s">
        <v>22436</v>
      </c>
      <c r="F7103" s="490">
        <v>41212</v>
      </c>
      <c r="G7103" s="489">
        <v>459</v>
      </c>
      <c r="H7103" s="489">
        <v>89.786490000000001</v>
      </c>
      <c r="I7103" s="487" t="s">
        <v>1499</v>
      </c>
      <c r="J7103" s="487" t="s">
        <v>1041</v>
      </c>
    </row>
    <row r="7104" spans="1:10" ht="15" x14ac:dyDescent="0.2">
      <c r="A7104" s="486" t="s">
        <v>1040</v>
      </c>
      <c r="B7104" s="487" t="s">
        <v>1039</v>
      </c>
      <c r="C7104" s="488" t="s">
        <v>22437</v>
      </c>
      <c r="D7104" s="489" t="s">
        <v>22438</v>
      </c>
      <c r="E7104" s="487" t="s">
        <v>22439</v>
      </c>
      <c r="F7104" s="490">
        <v>16335</v>
      </c>
      <c r="G7104" s="489">
        <v>227</v>
      </c>
      <c r="H7104" s="489">
        <v>71.960350000000005</v>
      </c>
      <c r="I7104" s="487" t="s">
        <v>1499</v>
      </c>
      <c r="J7104" s="487" t="s">
        <v>1041</v>
      </c>
    </row>
    <row r="7105" spans="1:10" ht="15" x14ac:dyDescent="0.2">
      <c r="A7105" s="486" t="s">
        <v>1040</v>
      </c>
      <c r="B7105" s="487" t="s">
        <v>1039</v>
      </c>
      <c r="C7105" s="488" t="s">
        <v>22440</v>
      </c>
      <c r="D7105" s="489" t="s">
        <v>22441</v>
      </c>
      <c r="E7105" s="487" t="s">
        <v>22442</v>
      </c>
      <c r="F7105" s="490">
        <v>185820</v>
      </c>
      <c r="G7105" s="489">
        <v>1504</v>
      </c>
      <c r="H7105" s="489">
        <v>123.55052999999999</v>
      </c>
      <c r="I7105" s="487" t="s">
        <v>1499</v>
      </c>
      <c r="J7105" s="487" t="s">
        <v>1041</v>
      </c>
    </row>
    <row r="7106" spans="1:10" ht="15" x14ac:dyDescent="0.2">
      <c r="A7106" s="486" t="s">
        <v>1040</v>
      </c>
      <c r="B7106" s="487" t="s">
        <v>1039</v>
      </c>
      <c r="C7106" s="488" t="s">
        <v>22443</v>
      </c>
      <c r="D7106" s="489" t="s">
        <v>22444</v>
      </c>
      <c r="E7106" s="487" t="s">
        <v>22445</v>
      </c>
      <c r="F7106" s="490">
        <v>0</v>
      </c>
      <c r="G7106" s="489">
        <v>74</v>
      </c>
      <c r="H7106" s="489">
        <v>0</v>
      </c>
      <c r="I7106" s="487" t="s">
        <v>1593</v>
      </c>
      <c r="J7106" s="487" t="s">
        <v>1041</v>
      </c>
    </row>
    <row r="7107" spans="1:10" ht="15" x14ac:dyDescent="0.2">
      <c r="A7107" s="486" t="s">
        <v>1040</v>
      </c>
      <c r="B7107" s="487" t="s">
        <v>1039</v>
      </c>
      <c r="C7107" s="488" t="s">
        <v>22446</v>
      </c>
      <c r="D7107" s="489" t="s">
        <v>22447</v>
      </c>
      <c r="E7107" s="487" t="s">
        <v>22448</v>
      </c>
      <c r="F7107" s="490">
        <v>30000</v>
      </c>
      <c r="G7107" s="489">
        <v>638</v>
      </c>
      <c r="H7107" s="489">
        <v>47.021940000000001</v>
      </c>
      <c r="I7107" s="487" t="s">
        <v>1499</v>
      </c>
      <c r="J7107" s="487" t="s">
        <v>1041</v>
      </c>
    </row>
    <row r="7108" spans="1:10" ht="15" x14ac:dyDescent="0.2">
      <c r="A7108" s="486" t="s">
        <v>1040</v>
      </c>
      <c r="B7108" s="487" t="s">
        <v>1039</v>
      </c>
      <c r="C7108" s="488" t="s">
        <v>22449</v>
      </c>
      <c r="D7108" s="489" t="s">
        <v>22450</v>
      </c>
      <c r="E7108" s="487" t="s">
        <v>22451</v>
      </c>
      <c r="F7108" s="490">
        <v>19000</v>
      </c>
      <c r="G7108" s="489">
        <v>194</v>
      </c>
      <c r="H7108" s="489">
        <v>97.938140000000004</v>
      </c>
      <c r="I7108" s="487" t="s">
        <v>1499</v>
      </c>
      <c r="J7108" s="487" t="s">
        <v>1041</v>
      </c>
    </row>
    <row r="7109" spans="1:10" ht="15" x14ac:dyDescent="0.2">
      <c r="A7109" s="486" t="s">
        <v>1040</v>
      </c>
      <c r="B7109" s="487" t="s">
        <v>1039</v>
      </c>
      <c r="C7109" s="488" t="s">
        <v>22452</v>
      </c>
      <c r="D7109" s="489" t="s">
        <v>22453</v>
      </c>
      <c r="E7109" s="487" t="s">
        <v>22454</v>
      </c>
      <c r="F7109" s="490">
        <v>4220</v>
      </c>
      <c r="G7109" s="489">
        <v>70</v>
      </c>
      <c r="H7109" s="489">
        <v>60.285710000000002</v>
      </c>
      <c r="I7109" s="487" t="s">
        <v>1499</v>
      </c>
      <c r="J7109" s="487" t="s">
        <v>1041</v>
      </c>
    </row>
    <row r="7110" spans="1:10" ht="15" x14ac:dyDescent="0.2">
      <c r="A7110" s="486" t="s">
        <v>1040</v>
      </c>
      <c r="B7110" s="487" t="s">
        <v>1039</v>
      </c>
      <c r="C7110" s="488" t="s">
        <v>22455</v>
      </c>
      <c r="D7110" s="489" t="s">
        <v>22456</v>
      </c>
      <c r="E7110" s="487" t="s">
        <v>22457</v>
      </c>
      <c r="F7110" s="490">
        <v>14161</v>
      </c>
      <c r="G7110" s="489">
        <v>130</v>
      </c>
      <c r="H7110" s="489">
        <v>108.93077</v>
      </c>
      <c r="I7110" s="487" t="s">
        <v>1499</v>
      </c>
      <c r="J7110" s="487" t="s">
        <v>1041</v>
      </c>
    </row>
    <row r="7111" spans="1:10" ht="15" x14ac:dyDescent="0.2">
      <c r="A7111" s="486" t="s">
        <v>1040</v>
      </c>
      <c r="B7111" s="487" t="s">
        <v>1039</v>
      </c>
      <c r="C7111" s="488" t="s">
        <v>22458</v>
      </c>
      <c r="D7111" s="489" t="s">
        <v>22459</v>
      </c>
      <c r="E7111" s="487" t="s">
        <v>22460</v>
      </c>
      <c r="F7111" s="490">
        <v>30000</v>
      </c>
      <c r="G7111" s="489">
        <v>480</v>
      </c>
      <c r="H7111" s="489">
        <v>62.5</v>
      </c>
      <c r="I7111" s="487" t="s">
        <v>1499</v>
      </c>
      <c r="J7111" s="487" t="s">
        <v>1041</v>
      </c>
    </row>
    <row r="7112" spans="1:10" ht="15" x14ac:dyDescent="0.2">
      <c r="A7112" s="486" t="s">
        <v>1040</v>
      </c>
      <c r="B7112" s="487" t="s">
        <v>1039</v>
      </c>
      <c r="C7112" s="488" t="s">
        <v>22461</v>
      </c>
      <c r="D7112" s="489" t="s">
        <v>22462</v>
      </c>
      <c r="E7112" s="487" t="s">
        <v>22463</v>
      </c>
      <c r="F7112" s="490">
        <v>3000</v>
      </c>
      <c r="G7112" s="489">
        <v>43</v>
      </c>
      <c r="H7112" s="489">
        <v>69.767439999999993</v>
      </c>
      <c r="I7112" s="487" t="s">
        <v>1499</v>
      </c>
      <c r="J7112" s="487" t="s">
        <v>1041</v>
      </c>
    </row>
    <row r="7113" spans="1:10" ht="15" x14ac:dyDescent="0.2">
      <c r="A7113" s="486" t="s">
        <v>1040</v>
      </c>
      <c r="B7113" s="487" t="s">
        <v>1039</v>
      </c>
      <c r="C7113" s="488" t="s">
        <v>22464</v>
      </c>
      <c r="D7113" s="489" t="s">
        <v>22465</v>
      </c>
      <c r="E7113" s="487" t="s">
        <v>22466</v>
      </c>
      <c r="F7113" s="490">
        <v>17935</v>
      </c>
      <c r="G7113" s="489">
        <v>261</v>
      </c>
      <c r="H7113" s="489">
        <v>68.716480000000004</v>
      </c>
      <c r="I7113" s="487" t="s">
        <v>1499</v>
      </c>
      <c r="J7113" s="487" t="s">
        <v>1041</v>
      </c>
    </row>
    <row r="7114" spans="1:10" ht="15" x14ac:dyDescent="0.2">
      <c r="A7114" s="486" t="s">
        <v>1040</v>
      </c>
      <c r="B7114" s="487" t="s">
        <v>1039</v>
      </c>
      <c r="C7114" s="488" t="s">
        <v>22467</v>
      </c>
      <c r="D7114" s="489" t="s">
        <v>22468</v>
      </c>
      <c r="E7114" s="487" t="s">
        <v>11474</v>
      </c>
      <c r="F7114" s="490">
        <v>40000</v>
      </c>
      <c r="G7114" s="489">
        <v>567</v>
      </c>
      <c r="H7114" s="489">
        <v>70.54674</v>
      </c>
      <c r="I7114" s="487" t="s">
        <v>1499</v>
      </c>
      <c r="J7114" s="487" t="s">
        <v>1041</v>
      </c>
    </row>
    <row r="7115" spans="1:10" ht="15" x14ac:dyDescent="0.2">
      <c r="A7115" s="486" t="s">
        <v>1040</v>
      </c>
      <c r="B7115" s="487" t="s">
        <v>1039</v>
      </c>
      <c r="C7115" s="488" t="s">
        <v>22469</v>
      </c>
      <c r="D7115" s="489" t="s">
        <v>22470</v>
      </c>
      <c r="E7115" s="487" t="s">
        <v>2965</v>
      </c>
      <c r="F7115" s="490">
        <v>2500</v>
      </c>
      <c r="G7115" s="489">
        <v>49</v>
      </c>
      <c r="H7115" s="489">
        <v>51.020409999999998</v>
      </c>
      <c r="I7115" s="487" t="s">
        <v>1499</v>
      </c>
      <c r="J7115" s="487" t="s">
        <v>1041</v>
      </c>
    </row>
    <row r="7116" spans="1:10" ht="15" x14ac:dyDescent="0.2">
      <c r="A7116" s="486" t="s">
        <v>1040</v>
      </c>
      <c r="B7116" s="487" t="s">
        <v>1039</v>
      </c>
      <c r="C7116" s="488" t="s">
        <v>22471</v>
      </c>
      <c r="D7116" s="489" t="s">
        <v>22472</v>
      </c>
      <c r="E7116" s="487" t="s">
        <v>22473</v>
      </c>
      <c r="F7116" s="490">
        <v>8550</v>
      </c>
      <c r="G7116" s="489">
        <v>123</v>
      </c>
      <c r="H7116" s="489">
        <v>69.512200000000007</v>
      </c>
      <c r="I7116" s="487" t="s">
        <v>1499</v>
      </c>
      <c r="J7116" s="487" t="s">
        <v>1041</v>
      </c>
    </row>
    <row r="7117" spans="1:10" ht="15" x14ac:dyDescent="0.2">
      <c r="A7117" s="486" t="s">
        <v>1040</v>
      </c>
      <c r="B7117" s="487" t="s">
        <v>1039</v>
      </c>
      <c r="C7117" s="488" t="s">
        <v>22474</v>
      </c>
      <c r="D7117" s="489" t="s">
        <v>22475</v>
      </c>
      <c r="E7117" s="487" t="s">
        <v>17548</v>
      </c>
      <c r="F7117" s="490">
        <v>4382</v>
      </c>
      <c r="G7117" s="489">
        <v>73</v>
      </c>
      <c r="H7117" s="489">
        <v>60.0274</v>
      </c>
      <c r="I7117" s="487" t="s">
        <v>1499</v>
      </c>
      <c r="J7117" s="487" t="s">
        <v>1041</v>
      </c>
    </row>
    <row r="7118" spans="1:10" ht="15" x14ac:dyDescent="0.2">
      <c r="A7118" s="486" t="s">
        <v>1040</v>
      </c>
      <c r="B7118" s="487" t="s">
        <v>1039</v>
      </c>
      <c r="C7118" s="488" t="s">
        <v>22476</v>
      </c>
      <c r="D7118" s="489" t="s">
        <v>22477</v>
      </c>
      <c r="E7118" s="487" t="s">
        <v>22478</v>
      </c>
      <c r="F7118" s="490">
        <v>7090</v>
      </c>
      <c r="G7118" s="489">
        <v>135</v>
      </c>
      <c r="H7118" s="489">
        <v>52.518520000000002</v>
      </c>
      <c r="I7118" s="487" t="s">
        <v>1499</v>
      </c>
      <c r="J7118" s="487" t="s">
        <v>1041</v>
      </c>
    </row>
    <row r="7119" spans="1:10" ht="15" x14ac:dyDescent="0.2">
      <c r="A7119" s="486" t="s">
        <v>1040</v>
      </c>
      <c r="B7119" s="487" t="s">
        <v>1039</v>
      </c>
      <c r="C7119" s="488" t="s">
        <v>22479</v>
      </c>
      <c r="D7119" s="489" t="s">
        <v>22480</v>
      </c>
      <c r="E7119" s="487" t="s">
        <v>22481</v>
      </c>
      <c r="F7119" s="490">
        <v>5876</v>
      </c>
      <c r="G7119" s="489">
        <v>131</v>
      </c>
      <c r="H7119" s="489">
        <v>44.854959999999998</v>
      </c>
      <c r="I7119" s="487" t="s">
        <v>2465</v>
      </c>
      <c r="J7119" s="487" t="s">
        <v>1041</v>
      </c>
    </row>
    <row r="7120" spans="1:10" ht="15" x14ac:dyDescent="0.2">
      <c r="A7120" s="486" t="s">
        <v>1040</v>
      </c>
      <c r="B7120" s="487" t="s">
        <v>1039</v>
      </c>
      <c r="C7120" s="488" t="s">
        <v>22482</v>
      </c>
      <c r="D7120" s="489" t="s">
        <v>22483</v>
      </c>
      <c r="E7120" s="487" t="s">
        <v>22484</v>
      </c>
      <c r="F7120" s="490">
        <v>535600</v>
      </c>
      <c r="G7120" s="489">
        <v>3012</v>
      </c>
      <c r="H7120" s="489">
        <v>177.82204999999999</v>
      </c>
      <c r="I7120" s="487" t="s">
        <v>1499</v>
      </c>
      <c r="J7120" s="487" t="s">
        <v>1041</v>
      </c>
    </row>
    <row r="7121" spans="1:10" ht="15" x14ac:dyDescent="0.2">
      <c r="A7121" s="486" t="s">
        <v>1040</v>
      </c>
      <c r="B7121" s="487" t="s">
        <v>1039</v>
      </c>
      <c r="C7121" s="488" t="s">
        <v>22485</v>
      </c>
      <c r="D7121" s="489" t="s">
        <v>22486</v>
      </c>
      <c r="E7121" s="487" t="s">
        <v>22487</v>
      </c>
      <c r="F7121" s="490">
        <v>107386</v>
      </c>
      <c r="G7121" s="489">
        <v>1585</v>
      </c>
      <c r="H7121" s="489">
        <v>67.751419999999996</v>
      </c>
      <c r="I7121" s="487" t="s">
        <v>1499</v>
      </c>
      <c r="J7121" s="487" t="s">
        <v>1041</v>
      </c>
    </row>
    <row r="7122" spans="1:10" ht="15" x14ac:dyDescent="0.2">
      <c r="A7122" s="486" t="s">
        <v>1040</v>
      </c>
      <c r="B7122" s="487" t="s">
        <v>1039</v>
      </c>
      <c r="C7122" s="488" t="s">
        <v>22488</v>
      </c>
      <c r="D7122" s="489" t="s">
        <v>22489</v>
      </c>
      <c r="E7122" s="487" t="s">
        <v>22490</v>
      </c>
      <c r="F7122" s="490">
        <v>587760</v>
      </c>
      <c r="G7122" s="489">
        <v>2844</v>
      </c>
      <c r="H7122" s="489">
        <v>206.66667000000001</v>
      </c>
      <c r="I7122" s="487" t="s">
        <v>1499</v>
      </c>
      <c r="J7122" s="487" t="s">
        <v>1041</v>
      </c>
    </row>
    <row r="7123" spans="1:10" ht="15" x14ac:dyDescent="0.2">
      <c r="A7123" s="486" t="s">
        <v>1040</v>
      </c>
      <c r="B7123" s="487" t="s">
        <v>1039</v>
      </c>
      <c r="C7123" s="488" t="s">
        <v>22491</v>
      </c>
      <c r="D7123" s="489" t="s">
        <v>22492</v>
      </c>
      <c r="E7123" s="487" t="s">
        <v>22493</v>
      </c>
      <c r="F7123" s="490">
        <v>29683</v>
      </c>
      <c r="G7123" s="489">
        <v>347</v>
      </c>
      <c r="H7123" s="489">
        <v>85.541790000000006</v>
      </c>
      <c r="I7123" s="487" t="s">
        <v>1499</v>
      </c>
      <c r="J7123" s="487" t="s">
        <v>1041</v>
      </c>
    </row>
    <row r="7124" spans="1:10" ht="15" x14ac:dyDescent="0.2">
      <c r="A7124" s="486" t="s">
        <v>1040</v>
      </c>
      <c r="B7124" s="487" t="s">
        <v>1039</v>
      </c>
      <c r="C7124" s="488" t="s">
        <v>22494</v>
      </c>
      <c r="D7124" s="489" t="s">
        <v>22495</v>
      </c>
      <c r="E7124" s="487" t="s">
        <v>22496</v>
      </c>
      <c r="F7124" s="490">
        <v>28000</v>
      </c>
      <c r="G7124" s="489">
        <v>294</v>
      </c>
      <c r="H7124" s="489">
        <v>95.238100000000003</v>
      </c>
      <c r="I7124" s="487" t="s">
        <v>1499</v>
      </c>
      <c r="J7124" s="487" t="s">
        <v>1041</v>
      </c>
    </row>
    <row r="7125" spans="1:10" ht="15" x14ac:dyDescent="0.2">
      <c r="A7125" s="486" t="s">
        <v>1040</v>
      </c>
      <c r="B7125" s="487" t="s">
        <v>1039</v>
      </c>
      <c r="C7125" s="488" t="s">
        <v>22497</v>
      </c>
      <c r="D7125" s="489" t="s">
        <v>22498</v>
      </c>
      <c r="E7125" s="487" t="s">
        <v>22499</v>
      </c>
      <c r="F7125" s="490">
        <v>38000</v>
      </c>
      <c r="G7125" s="489">
        <v>620</v>
      </c>
      <c r="H7125" s="489">
        <v>61.290320000000001</v>
      </c>
      <c r="I7125" s="487" t="s">
        <v>1499</v>
      </c>
      <c r="J7125" s="487" t="s">
        <v>1041</v>
      </c>
    </row>
    <row r="7126" spans="1:10" ht="15" x14ac:dyDescent="0.2">
      <c r="A7126" s="486" t="s">
        <v>1040</v>
      </c>
      <c r="B7126" s="487" t="s">
        <v>1039</v>
      </c>
      <c r="C7126" s="488" t="s">
        <v>22500</v>
      </c>
      <c r="D7126" s="489" t="s">
        <v>22501</v>
      </c>
      <c r="E7126" s="487" t="s">
        <v>14290</v>
      </c>
      <c r="F7126" s="490">
        <v>0</v>
      </c>
      <c r="G7126" s="489">
        <v>65</v>
      </c>
      <c r="H7126" s="489">
        <v>0</v>
      </c>
      <c r="I7126" s="487" t="s">
        <v>1593</v>
      </c>
      <c r="J7126" s="487" t="s">
        <v>1041</v>
      </c>
    </row>
    <row r="7127" spans="1:10" ht="15" x14ac:dyDescent="0.2">
      <c r="A7127" s="486" t="s">
        <v>1040</v>
      </c>
      <c r="B7127" s="487" t="s">
        <v>1039</v>
      </c>
      <c r="C7127" s="488" t="s">
        <v>22502</v>
      </c>
      <c r="D7127" s="489" t="s">
        <v>22503</v>
      </c>
      <c r="E7127" s="487" t="s">
        <v>22504</v>
      </c>
      <c r="F7127" s="490">
        <v>7190</v>
      </c>
      <c r="G7127" s="489">
        <v>135</v>
      </c>
      <c r="H7127" s="489">
        <v>53.259259999999998</v>
      </c>
      <c r="I7127" s="487" t="s">
        <v>2465</v>
      </c>
      <c r="J7127" s="487" t="s">
        <v>1041</v>
      </c>
    </row>
    <row r="7128" spans="1:10" ht="15" x14ac:dyDescent="0.2">
      <c r="A7128" s="486" t="s">
        <v>1040</v>
      </c>
      <c r="B7128" s="487" t="s">
        <v>1039</v>
      </c>
      <c r="C7128" s="488" t="s">
        <v>22505</v>
      </c>
      <c r="D7128" s="489" t="s">
        <v>22506</v>
      </c>
      <c r="E7128" s="487" t="s">
        <v>22507</v>
      </c>
      <c r="F7128" s="490">
        <v>16600</v>
      </c>
      <c r="G7128" s="489">
        <v>150</v>
      </c>
      <c r="H7128" s="489">
        <v>110.66667</v>
      </c>
      <c r="I7128" s="487" t="s">
        <v>1499</v>
      </c>
      <c r="J7128" s="487" t="s">
        <v>1041</v>
      </c>
    </row>
    <row r="7129" spans="1:10" ht="15" x14ac:dyDescent="0.2">
      <c r="A7129" s="486" t="s">
        <v>1040</v>
      </c>
      <c r="B7129" s="487" t="s">
        <v>1039</v>
      </c>
      <c r="C7129" s="488" t="s">
        <v>22508</v>
      </c>
      <c r="D7129" s="489" t="s">
        <v>22509</v>
      </c>
      <c r="E7129" s="487" t="s">
        <v>22510</v>
      </c>
      <c r="F7129" s="490">
        <v>31800</v>
      </c>
      <c r="G7129" s="489">
        <v>345</v>
      </c>
      <c r="H7129" s="489">
        <v>92.173910000000006</v>
      </c>
      <c r="I7129" s="487" t="s">
        <v>1499</v>
      </c>
      <c r="J7129" s="487" t="s">
        <v>1041</v>
      </c>
    </row>
    <row r="7130" spans="1:10" ht="15" x14ac:dyDescent="0.2">
      <c r="A7130" s="486" t="s">
        <v>1040</v>
      </c>
      <c r="B7130" s="487" t="s">
        <v>1039</v>
      </c>
      <c r="C7130" s="488" t="s">
        <v>22511</v>
      </c>
      <c r="D7130" s="489" t="s">
        <v>22512</v>
      </c>
      <c r="E7130" s="487" t="s">
        <v>22513</v>
      </c>
      <c r="F7130" s="490">
        <v>32603</v>
      </c>
      <c r="G7130" s="489">
        <v>713</v>
      </c>
      <c r="H7130" s="489">
        <v>45.726509999999998</v>
      </c>
      <c r="I7130" s="487" t="s">
        <v>1499</v>
      </c>
      <c r="J7130" s="487" t="s">
        <v>1041</v>
      </c>
    </row>
    <row r="7131" spans="1:10" ht="15" x14ac:dyDescent="0.2">
      <c r="A7131" s="486" t="s">
        <v>1040</v>
      </c>
      <c r="B7131" s="487" t="s">
        <v>1039</v>
      </c>
      <c r="C7131" s="488" t="s">
        <v>22514</v>
      </c>
      <c r="D7131" s="489" t="s">
        <v>22515</v>
      </c>
      <c r="E7131" s="487" t="s">
        <v>16957</v>
      </c>
      <c r="F7131" s="490">
        <v>14350</v>
      </c>
      <c r="G7131" s="489">
        <v>219</v>
      </c>
      <c r="H7131" s="489">
        <v>65.525109999999998</v>
      </c>
      <c r="I7131" s="487" t="s">
        <v>1499</v>
      </c>
      <c r="J7131" s="487" t="s">
        <v>1041</v>
      </c>
    </row>
    <row r="7132" spans="1:10" ht="15" x14ac:dyDescent="0.2">
      <c r="A7132" s="486" t="s">
        <v>1040</v>
      </c>
      <c r="B7132" s="487" t="s">
        <v>1039</v>
      </c>
      <c r="C7132" s="488" t="s">
        <v>22516</v>
      </c>
      <c r="D7132" s="489" t="s">
        <v>22517</v>
      </c>
      <c r="E7132" s="487" t="s">
        <v>6118</v>
      </c>
      <c r="F7132" s="490">
        <v>15000</v>
      </c>
      <c r="G7132" s="489">
        <v>134</v>
      </c>
      <c r="H7132" s="489">
        <v>111.94029999999999</v>
      </c>
      <c r="I7132" s="487" t="s">
        <v>1499</v>
      </c>
      <c r="J7132" s="487" t="s">
        <v>1041</v>
      </c>
    </row>
    <row r="7133" spans="1:10" ht="15" x14ac:dyDescent="0.2">
      <c r="A7133" s="486" t="s">
        <v>1040</v>
      </c>
      <c r="B7133" s="487" t="s">
        <v>1039</v>
      </c>
      <c r="C7133" s="488" t="s">
        <v>22518</v>
      </c>
      <c r="D7133" s="489" t="s">
        <v>22519</v>
      </c>
      <c r="E7133" s="487" t="s">
        <v>22520</v>
      </c>
      <c r="F7133" s="490">
        <v>0</v>
      </c>
      <c r="G7133" s="489">
        <v>0</v>
      </c>
      <c r="H7133" s="489">
        <v>0</v>
      </c>
      <c r="I7133" s="487" t="s">
        <v>2465</v>
      </c>
      <c r="J7133" s="487" t="s">
        <v>1041</v>
      </c>
    </row>
    <row r="7134" spans="1:10" ht="15" x14ac:dyDescent="0.2">
      <c r="A7134" s="486" t="s">
        <v>1040</v>
      </c>
      <c r="B7134" s="487" t="s">
        <v>1039</v>
      </c>
      <c r="C7134" s="488" t="s">
        <v>22521</v>
      </c>
      <c r="D7134" s="489" t="s">
        <v>22522</v>
      </c>
      <c r="E7134" s="487" t="s">
        <v>18096</v>
      </c>
      <c r="F7134" s="490">
        <v>4400</v>
      </c>
      <c r="G7134" s="489">
        <v>69</v>
      </c>
      <c r="H7134" s="489">
        <v>63.768120000000003</v>
      </c>
      <c r="I7134" s="487" t="s">
        <v>1499</v>
      </c>
      <c r="J7134" s="487" t="s">
        <v>1041</v>
      </c>
    </row>
    <row r="7135" spans="1:10" ht="15" x14ac:dyDescent="0.2">
      <c r="A7135" s="486" t="s">
        <v>1040</v>
      </c>
      <c r="B7135" s="487" t="s">
        <v>1039</v>
      </c>
      <c r="C7135" s="488" t="s">
        <v>22523</v>
      </c>
      <c r="D7135" s="489" t="s">
        <v>22524</v>
      </c>
      <c r="E7135" s="487" t="s">
        <v>22525</v>
      </c>
      <c r="F7135" s="490">
        <v>100000</v>
      </c>
      <c r="G7135" s="489">
        <v>906</v>
      </c>
      <c r="H7135" s="489">
        <v>110.37528</v>
      </c>
      <c r="I7135" s="487" t="s">
        <v>1499</v>
      </c>
      <c r="J7135" s="487" t="s">
        <v>1041</v>
      </c>
    </row>
    <row r="7136" spans="1:10" ht="15" x14ac:dyDescent="0.2">
      <c r="A7136" s="486" t="s">
        <v>1040</v>
      </c>
      <c r="B7136" s="487" t="s">
        <v>1039</v>
      </c>
      <c r="C7136" s="488" t="s">
        <v>22526</v>
      </c>
      <c r="D7136" s="489" t="s">
        <v>22527</v>
      </c>
      <c r="E7136" s="487" t="s">
        <v>22528</v>
      </c>
      <c r="F7136" s="490">
        <v>16000</v>
      </c>
      <c r="G7136" s="489">
        <v>244</v>
      </c>
      <c r="H7136" s="489">
        <v>65.573769999999996</v>
      </c>
      <c r="I7136" s="487" t="s">
        <v>1499</v>
      </c>
      <c r="J7136" s="487" t="s">
        <v>1041</v>
      </c>
    </row>
    <row r="7137" spans="1:10" ht="15" x14ac:dyDescent="0.2">
      <c r="A7137" s="486" t="s">
        <v>1040</v>
      </c>
      <c r="B7137" s="487" t="s">
        <v>1039</v>
      </c>
      <c r="C7137" s="488" t="s">
        <v>22529</v>
      </c>
      <c r="D7137" s="489" t="s">
        <v>22530</v>
      </c>
      <c r="E7137" s="487" t="s">
        <v>6142</v>
      </c>
      <c r="F7137" s="490">
        <v>11347</v>
      </c>
      <c r="G7137" s="489">
        <v>198</v>
      </c>
      <c r="H7137" s="489">
        <v>57.308079999999997</v>
      </c>
      <c r="I7137" s="487" t="s">
        <v>1499</v>
      </c>
      <c r="J7137" s="487" t="s">
        <v>1041</v>
      </c>
    </row>
    <row r="7138" spans="1:10" ht="15" x14ac:dyDescent="0.2">
      <c r="A7138" s="486" t="s">
        <v>1040</v>
      </c>
      <c r="B7138" s="487" t="s">
        <v>1039</v>
      </c>
      <c r="C7138" s="488" t="s">
        <v>22531</v>
      </c>
      <c r="D7138" s="489" t="s">
        <v>22532</v>
      </c>
      <c r="E7138" s="487" t="s">
        <v>22533</v>
      </c>
      <c r="F7138" s="490">
        <v>66628</v>
      </c>
      <c r="G7138" s="489">
        <v>370</v>
      </c>
      <c r="H7138" s="489">
        <v>180.07568000000001</v>
      </c>
      <c r="I7138" s="487" t="s">
        <v>1499</v>
      </c>
      <c r="J7138" s="487" t="s">
        <v>1041</v>
      </c>
    </row>
    <row r="7139" spans="1:10" ht="15" x14ac:dyDescent="0.2">
      <c r="A7139" s="486" t="s">
        <v>1040</v>
      </c>
      <c r="B7139" s="487" t="s">
        <v>1039</v>
      </c>
      <c r="C7139" s="488" t="s">
        <v>22534</v>
      </c>
      <c r="D7139" s="489" t="s">
        <v>22535</v>
      </c>
      <c r="E7139" s="487" t="s">
        <v>22536</v>
      </c>
      <c r="F7139" s="490">
        <v>0</v>
      </c>
      <c r="G7139" s="489">
        <v>31</v>
      </c>
      <c r="H7139" s="489">
        <v>0</v>
      </c>
      <c r="I7139" s="487" t="s">
        <v>1593</v>
      </c>
      <c r="J7139" s="487" t="s">
        <v>1041</v>
      </c>
    </row>
    <row r="7140" spans="1:10" ht="15" x14ac:dyDescent="0.2">
      <c r="A7140" s="486" t="s">
        <v>1040</v>
      </c>
      <c r="B7140" s="487" t="s">
        <v>1039</v>
      </c>
      <c r="C7140" s="488" t="s">
        <v>22537</v>
      </c>
      <c r="D7140" s="489" t="s">
        <v>22538</v>
      </c>
      <c r="E7140" s="487" t="s">
        <v>22539</v>
      </c>
      <c r="F7140" s="490">
        <v>8360</v>
      </c>
      <c r="G7140" s="489">
        <v>229</v>
      </c>
      <c r="H7140" s="489">
        <v>36.506549999999997</v>
      </c>
      <c r="I7140" s="487" t="s">
        <v>1499</v>
      </c>
      <c r="J7140" s="487" t="s">
        <v>1041</v>
      </c>
    </row>
    <row r="7141" spans="1:10" ht="15" x14ac:dyDescent="0.2">
      <c r="A7141" s="486" t="s">
        <v>1040</v>
      </c>
      <c r="B7141" s="487" t="s">
        <v>1039</v>
      </c>
      <c r="C7141" s="488" t="s">
        <v>22540</v>
      </c>
      <c r="D7141" s="489" t="s">
        <v>22541</v>
      </c>
      <c r="E7141" s="487" t="s">
        <v>5762</v>
      </c>
      <c r="F7141" s="490">
        <v>0</v>
      </c>
      <c r="G7141" s="489">
        <v>40</v>
      </c>
      <c r="H7141" s="489">
        <v>0</v>
      </c>
      <c r="I7141" s="487" t="s">
        <v>1593</v>
      </c>
      <c r="J7141" s="487" t="s">
        <v>1041</v>
      </c>
    </row>
    <row r="7142" spans="1:10" ht="15" x14ac:dyDescent="0.2">
      <c r="A7142" s="486" t="s">
        <v>1040</v>
      </c>
      <c r="B7142" s="487" t="s">
        <v>1039</v>
      </c>
      <c r="C7142" s="488" t="s">
        <v>22542</v>
      </c>
      <c r="D7142" s="489" t="s">
        <v>22543</v>
      </c>
      <c r="E7142" s="487" t="s">
        <v>22544</v>
      </c>
      <c r="F7142" s="490">
        <v>565043</v>
      </c>
      <c r="G7142" s="489">
        <v>2289</v>
      </c>
      <c r="H7142" s="489">
        <v>246.85146</v>
      </c>
      <c r="I7142" s="487" t="s">
        <v>1499</v>
      </c>
      <c r="J7142" s="487" t="s">
        <v>1041</v>
      </c>
    </row>
    <row r="7143" spans="1:10" ht="15" x14ac:dyDescent="0.2">
      <c r="A7143" s="486" t="s">
        <v>1040</v>
      </c>
      <c r="B7143" s="487" t="s">
        <v>1039</v>
      </c>
      <c r="C7143" s="488" t="s">
        <v>22545</v>
      </c>
      <c r="D7143" s="489" t="s">
        <v>22546</v>
      </c>
      <c r="E7143" s="487" t="s">
        <v>22547</v>
      </c>
      <c r="F7143" s="490">
        <v>6250</v>
      </c>
      <c r="G7143" s="489">
        <v>128</v>
      </c>
      <c r="H7143" s="489">
        <v>48.828130000000002</v>
      </c>
      <c r="I7143" s="487" t="s">
        <v>2465</v>
      </c>
      <c r="J7143" s="487" t="s">
        <v>1041</v>
      </c>
    </row>
    <row r="7144" spans="1:10" ht="15" x14ac:dyDescent="0.2">
      <c r="A7144" s="486" t="s">
        <v>1040</v>
      </c>
      <c r="B7144" s="487" t="s">
        <v>1039</v>
      </c>
      <c r="C7144" s="488" t="s">
        <v>22548</v>
      </c>
      <c r="D7144" s="489" t="s">
        <v>22549</v>
      </c>
      <c r="E7144" s="487" t="s">
        <v>22550</v>
      </c>
      <c r="F7144" s="490">
        <v>12250</v>
      </c>
      <c r="G7144" s="489">
        <v>201</v>
      </c>
      <c r="H7144" s="489">
        <v>60.945270000000001</v>
      </c>
      <c r="I7144" s="487" t="s">
        <v>1499</v>
      </c>
      <c r="J7144" s="487" t="s">
        <v>1041</v>
      </c>
    </row>
    <row r="7145" spans="1:10" ht="15" x14ac:dyDescent="0.2">
      <c r="A7145" s="486" t="s">
        <v>1040</v>
      </c>
      <c r="B7145" s="487" t="s">
        <v>1039</v>
      </c>
      <c r="C7145" s="488" t="s">
        <v>22551</v>
      </c>
      <c r="D7145" s="489" t="s">
        <v>22552</v>
      </c>
      <c r="E7145" s="487" t="s">
        <v>22553</v>
      </c>
      <c r="F7145" s="490">
        <v>13000</v>
      </c>
      <c r="G7145" s="489">
        <v>196</v>
      </c>
      <c r="H7145" s="489">
        <v>66.326530000000005</v>
      </c>
      <c r="I7145" s="487" t="s">
        <v>1499</v>
      </c>
      <c r="J7145" s="487" t="s">
        <v>1041</v>
      </c>
    </row>
    <row r="7146" spans="1:10" ht="15" x14ac:dyDescent="0.2">
      <c r="A7146" s="486" t="s">
        <v>1040</v>
      </c>
      <c r="B7146" s="487" t="s">
        <v>1039</v>
      </c>
      <c r="C7146" s="488" t="s">
        <v>22554</v>
      </c>
      <c r="D7146" s="489" t="s">
        <v>22555</v>
      </c>
      <c r="E7146" s="487" t="s">
        <v>22556</v>
      </c>
      <c r="F7146" s="490">
        <v>662539</v>
      </c>
      <c r="G7146" s="489">
        <v>3505</v>
      </c>
      <c r="H7146" s="489">
        <v>189.02681999999999</v>
      </c>
      <c r="I7146" s="487" t="s">
        <v>1499</v>
      </c>
      <c r="J7146" s="487" t="s">
        <v>1041</v>
      </c>
    </row>
    <row r="7147" spans="1:10" ht="15" x14ac:dyDescent="0.2">
      <c r="A7147" s="486" t="s">
        <v>1040</v>
      </c>
      <c r="B7147" s="487" t="s">
        <v>1039</v>
      </c>
      <c r="C7147" s="488" t="s">
        <v>22557</v>
      </c>
      <c r="D7147" s="489" t="s">
        <v>22558</v>
      </c>
      <c r="E7147" s="487" t="s">
        <v>19489</v>
      </c>
      <c r="F7147" s="490">
        <v>79625.61</v>
      </c>
      <c r="G7147" s="489">
        <v>503</v>
      </c>
      <c r="H7147" s="489">
        <v>158.30141</v>
      </c>
      <c r="I7147" s="487" t="s">
        <v>1499</v>
      </c>
      <c r="J7147" s="487" t="s">
        <v>1041</v>
      </c>
    </row>
    <row r="7148" spans="1:10" ht="15" x14ac:dyDescent="0.2">
      <c r="A7148" s="486" t="s">
        <v>1040</v>
      </c>
      <c r="B7148" s="487" t="s">
        <v>1039</v>
      </c>
      <c r="C7148" s="488" t="s">
        <v>22559</v>
      </c>
      <c r="D7148" s="489" t="s">
        <v>22560</v>
      </c>
      <c r="E7148" s="487" t="s">
        <v>22561</v>
      </c>
      <c r="F7148" s="490">
        <v>4600</v>
      </c>
      <c r="G7148" s="489">
        <v>53</v>
      </c>
      <c r="H7148" s="489">
        <v>86.792450000000002</v>
      </c>
      <c r="I7148" s="487" t="s">
        <v>1499</v>
      </c>
      <c r="J7148" s="487" t="s">
        <v>1041</v>
      </c>
    </row>
    <row r="7149" spans="1:10" ht="15" x14ac:dyDescent="0.2">
      <c r="A7149" s="486" t="s">
        <v>1040</v>
      </c>
      <c r="B7149" s="487" t="s">
        <v>1039</v>
      </c>
      <c r="C7149" s="488" t="s">
        <v>22562</v>
      </c>
      <c r="D7149" s="489" t="s">
        <v>22563</v>
      </c>
      <c r="E7149" s="487" t="s">
        <v>18620</v>
      </c>
      <c r="F7149" s="490">
        <v>220000</v>
      </c>
      <c r="G7149" s="489">
        <v>2944</v>
      </c>
      <c r="H7149" s="489">
        <v>74.728260000000006</v>
      </c>
      <c r="I7149" s="487" t="s">
        <v>1499</v>
      </c>
      <c r="J7149" s="487" t="s">
        <v>1041</v>
      </c>
    </row>
    <row r="7150" spans="1:10" ht="15" x14ac:dyDescent="0.2">
      <c r="A7150" s="486" t="s">
        <v>1040</v>
      </c>
      <c r="B7150" s="487" t="s">
        <v>1039</v>
      </c>
      <c r="C7150" s="488" t="s">
        <v>22564</v>
      </c>
      <c r="D7150" s="489" t="s">
        <v>22565</v>
      </c>
      <c r="E7150" s="487" t="s">
        <v>22566</v>
      </c>
      <c r="F7150" s="490">
        <v>1418890</v>
      </c>
      <c r="G7150" s="489">
        <v>10009</v>
      </c>
      <c r="H7150" s="489">
        <v>141.76141000000001</v>
      </c>
      <c r="I7150" s="487" t="s">
        <v>1499</v>
      </c>
      <c r="J7150" s="487" t="s">
        <v>1041</v>
      </c>
    </row>
    <row r="7151" spans="1:10" ht="15" x14ac:dyDescent="0.2">
      <c r="A7151" s="486" t="s">
        <v>1040</v>
      </c>
      <c r="B7151" s="487" t="s">
        <v>1039</v>
      </c>
      <c r="C7151" s="488" t="s">
        <v>22567</v>
      </c>
      <c r="D7151" s="489" t="s">
        <v>22568</v>
      </c>
      <c r="E7151" s="487" t="s">
        <v>4624</v>
      </c>
      <c r="F7151" s="490">
        <v>9492.5300000000007</v>
      </c>
      <c r="G7151" s="489">
        <v>262</v>
      </c>
      <c r="H7151" s="489">
        <v>36.231029999999997</v>
      </c>
      <c r="I7151" s="487" t="s">
        <v>1499</v>
      </c>
      <c r="J7151" s="487" t="s">
        <v>1041</v>
      </c>
    </row>
    <row r="7152" spans="1:10" ht="15" x14ac:dyDescent="0.2">
      <c r="A7152" s="486" t="s">
        <v>1040</v>
      </c>
      <c r="B7152" s="487" t="s">
        <v>1039</v>
      </c>
      <c r="C7152" s="488" t="s">
        <v>22569</v>
      </c>
      <c r="D7152" s="489" t="s">
        <v>22570</v>
      </c>
      <c r="E7152" s="487" t="s">
        <v>22571</v>
      </c>
      <c r="F7152" s="490">
        <v>0</v>
      </c>
      <c r="G7152" s="489">
        <v>81</v>
      </c>
      <c r="H7152" s="489">
        <v>0</v>
      </c>
      <c r="I7152" s="487" t="s">
        <v>1593</v>
      </c>
      <c r="J7152" s="487" t="s">
        <v>1041</v>
      </c>
    </row>
    <row r="7153" spans="1:10" ht="15" x14ac:dyDescent="0.2">
      <c r="A7153" s="486" t="s">
        <v>1040</v>
      </c>
      <c r="B7153" s="487" t="s">
        <v>1039</v>
      </c>
      <c r="C7153" s="488" t="s">
        <v>22572</v>
      </c>
      <c r="D7153" s="489" t="s">
        <v>22573</v>
      </c>
      <c r="E7153" s="487" t="s">
        <v>22574</v>
      </c>
      <c r="F7153" s="490">
        <v>30802</v>
      </c>
      <c r="G7153" s="489">
        <v>399</v>
      </c>
      <c r="H7153" s="489">
        <v>77.197990000000004</v>
      </c>
      <c r="I7153" s="487" t="s">
        <v>1499</v>
      </c>
      <c r="J7153" s="487" t="s">
        <v>1041</v>
      </c>
    </row>
    <row r="7154" spans="1:10" ht="15" x14ac:dyDescent="0.2">
      <c r="A7154" s="486" t="s">
        <v>1040</v>
      </c>
      <c r="B7154" s="487" t="s">
        <v>1039</v>
      </c>
      <c r="C7154" s="488" t="s">
        <v>22575</v>
      </c>
      <c r="D7154" s="489" t="s">
        <v>22576</v>
      </c>
      <c r="E7154" s="487" t="s">
        <v>22577</v>
      </c>
      <c r="F7154" s="490">
        <v>88160</v>
      </c>
      <c r="G7154" s="489">
        <v>694</v>
      </c>
      <c r="H7154" s="489">
        <v>127.0317</v>
      </c>
      <c r="I7154" s="487" t="s">
        <v>1499</v>
      </c>
      <c r="J7154" s="487" t="s">
        <v>1041</v>
      </c>
    </row>
    <row r="7155" spans="1:10" ht="15" x14ac:dyDescent="0.2">
      <c r="A7155" s="486" t="s">
        <v>1040</v>
      </c>
      <c r="B7155" s="487" t="s">
        <v>1039</v>
      </c>
      <c r="C7155" s="488" t="s">
        <v>22578</v>
      </c>
      <c r="D7155" s="489" t="s">
        <v>22579</v>
      </c>
      <c r="E7155" s="487" t="s">
        <v>22580</v>
      </c>
      <c r="F7155" s="490">
        <v>9563</v>
      </c>
      <c r="G7155" s="489">
        <v>167</v>
      </c>
      <c r="H7155" s="489">
        <v>57.263469999999998</v>
      </c>
      <c r="I7155" s="487" t="s">
        <v>1499</v>
      </c>
      <c r="J7155" s="487" t="s">
        <v>1041</v>
      </c>
    </row>
    <row r="7156" spans="1:10" ht="15" x14ac:dyDescent="0.2">
      <c r="A7156" s="486" t="s">
        <v>1040</v>
      </c>
      <c r="B7156" s="487" t="s">
        <v>1039</v>
      </c>
      <c r="C7156" s="488" t="s">
        <v>22581</v>
      </c>
      <c r="D7156" s="489" t="s">
        <v>22582</v>
      </c>
      <c r="E7156" s="487" t="s">
        <v>22583</v>
      </c>
      <c r="F7156" s="490">
        <v>0</v>
      </c>
      <c r="G7156" s="489">
        <v>0</v>
      </c>
      <c r="H7156" s="489">
        <v>0</v>
      </c>
      <c r="I7156" s="487" t="s">
        <v>2465</v>
      </c>
      <c r="J7156" s="487" t="s">
        <v>1041</v>
      </c>
    </row>
    <row r="7157" spans="1:10" ht="15" x14ac:dyDescent="0.2">
      <c r="A7157" s="486" t="s">
        <v>1040</v>
      </c>
      <c r="B7157" s="487" t="s">
        <v>1039</v>
      </c>
      <c r="C7157" s="488" t="s">
        <v>22584</v>
      </c>
      <c r="D7157" s="489" t="s">
        <v>22585</v>
      </c>
      <c r="E7157" s="487" t="s">
        <v>22586</v>
      </c>
      <c r="F7157" s="490">
        <v>2250</v>
      </c>
      <c r="G7157" s="489">
        <v>17</v>
      </c>
      <c r="H7157" s="489">
        <v>132.35293999999999</v>
      </c>
      <c r="I7157" s="487" t="s">
        <v>1499</v>
      </c>
      <c r="J7157" s="487" t="s">
        <v>1041</v>
      </c>
    </row>
    <row r="7158" spans="1:10" ht="15" x14ac:dyDescent="0.2">
      <c r="A7158" s="486" t="s">
        <v>1040</v>
      </c>
      <c r="B7158" s="487" t="s">
        <v>1039</v>
      </c>
      <c r="C7158" s="488" t="s">
        <v>22587</v>
      </c>
      <c r="D7158" s="489" t="s">
        <v>22588</v>
      </c>
      <c r="E7158" s="487" t="s">
        <v>22589</v>
      </c>
      <c r="F7158" s="490">
        <v>12500</v>
      </c>
      <c r="G7158" s="489">
        <v>106</v>
      </c>
      <c r="H7158" s="489">
        <v>117.92453</v>
      </c>
      <c r="I7158" s="487" t="s">
        <v>1499</v>
      </c>
      <c r="J7158" s="487" t="s">
        <v>1041</v>
      </c>
    </row>
    <row r="7159" spans="1:10" ht="15" x14ac:dyDescent="0.2">
      <c r="A7159" s="486" t="s">
        <v>1040</v>
      </c>
      <c r="B7159" s="487" t="s">
        <v>1039</v>
      </c>
      <c r="C7159" s="488" t="s">
        <v>22590</v>
      </c>
      <c r="D7159" s="489" t="s">
        <v>22591</v>
      </c>
      <c r="E7159" s="487" t="s">
        <v>22592</v>
      </c>
      <c r="F7159" s="490">
        <v>1800</v>
      </c>
      <c r="G7159" s="489">
        <v>50</v>
      </c>
      <c r="H7159" s="489">
        <v>36</v>
      </c>
      <c r="I7159" s="487" t="s">
        <v>1499</v>
      </c>
      <c r="J7159" s="487" t="s">
        <v>1041</v>
      </c>
    </row>
    <row r="7160" spans="1:10" ht="15" x14ac:dyDescent="0.2">
      <c r="A7160" s="486" t="s">
        <v>1040</v>
      </c>
      <c r="B7160" s="487" t="s">
        <v>1039</v>
      </c>
      <c r="C7160" s="488" t="s">
        <v>22593</v>
      </c>
      <c r="D7160" s="489" t="s">
        <v>22594</v>
      </c>
      <c r="E7160" s="487" t="s">
        <v>22595</v>
      </c>
      <c r="F7160" s="490">
        <v>37412</v>
      </c>
      <c r="G7160" s="489">
        <v>375</v>
      </c>
      <c r="H7160" s="489">
        <v>99.765330000000006</v>
      </c>
      <c r="I7160" s="487" t="s">
        <v>1499</v>
      </c>
      <c r="J7160" s="487" t="s">
        <v>1041</v>
      </c>
    </row>
    <row r="7161" spans="1:10" ht="15" x14ac:dyDescent="0.2">
      <c r="A7161" s="486" t="s">
        <v>1040</v>
      </c>
      <c r="B7161" s="487" t="s">
        <v>1039</v>
      </c>
      <c r="C7161" s="488" t="s">
        <v>22596</v>
      </c>
      <c r="D7161" s="489" t="s">
        <v>22597</v>
      </c>
      <c r="E7161" s="487" t="s">
        <v>22598</v>
      </c>
      <c r="F7161" s="490">
        <v>0</v>
      </c>
      <c r="G7161" s="489">
        <v>98</v>
      </c>
      <c r="H7161" s="489">
        <v>0</v>
      </c>
      <c r="I7161" s="487" t="s">
        <v>1593</v>
      </c>
      <c r="J7161" s="487" t="s">
        <v>1041</v>
      </c>
    </row>
    <row r="7162" spans="1:10" ht="15" x14ac:dyDescent="0.2">
      <c r="A7162" s="486" t="s">
        <v>1040</v>
      </c>
      <c r="B7162" s="487" t="s">
        <v>1039</v>
      </c>
      <c r="C7162" s="488" t="s">
        <v>22599</v>
      </c>
      <c r="D7162" s="489" t="s">
        <v>22600</v>
      </c>
      <c r="E7162" s="487" t="s">
        <v>22601</v>
      </c>
      <c r="F7162" s="490">
        <v>0</v>
      </c>
      <c r="G7162" s="489">
        <v>0</v>
      </c>
      <c r="H7162" s="489">
        <v>0</v>
      </c>
      <c r="I7162" s="487" t="s">
        <v>2465</v>
      </c>
      <c r="J7162" s="487" t="s">
        <v>1041</v>
      </c>
    </row>
    <row r="7163" spans="1:10" ht="15" x14ac:dyDescent="0.2">
      <c r="A7163" s="486" t="s">
        <v>1040</v>
      </c>
      <c r="B7163" s="487" t="s">
        <v>1039</v>
      </c>
      <c r="C7163" s="488" t="s">
        <v>22602</v>
      </c>
      <c r="D7163" s="489" t="s">
        <v>22603</v>
      </c>
      <c r="E7163" s="487" t="s">
        <v>22604</v>
      </c>
      <c r="F7163" s="490">
        <v>2000</v>
      </c>
      <c r="G7163" s="489">
        <v>55</v>
      </c>
      <c r="H7163" s="489">
        <v>36.363639999999997</v>
      </c>
      <c r="I7163" s="487" t="s">
        <v>1499</v>
      </c>
      <c r="J7163" s="487" t="s">
        <v>1041</v>
      </c>
    </row>
    <row r="7164" spans="1:10" ht="15" x14ac:dyDescent="0.2">
      <c r="A7164" s="486" t="s">
        <v>1040</v>
      </c>
      <c r="B7164" s="487" t="s">
        <v>1039</v>
      </c>
      <c r="C7164" s="488" t="s">
        <v>22605</v>
      </c>
      <c r="D7164" s="489" t="s">
        <v>22606</v>
      </c>
      <c r="E7164" s="487" t="s">
        <v>22607</v>
      </c>
      <c r="F7164" s="490">
        <v>481741</v>
      </c>
      <c r="G7164" s="489">
        <v>2649</v>
      </c>
      <c r="H7164" s="489">
        <v>181.85767999999999</v>
      </c>
      <c r="I7164" s="487" t="s">
        <v>1499</v>
      </c>
      <c r="J7164" s="487" t="s">
        <v>1041</v>
      </c>
    </row>
    <row r="7165" spans="1:10" ht="15" x14ac:dyDescent="0.2">
      <c r="A7165" s="486" t="s">
        <v>1040</v>
      </c>
      <c r="B7165" s="487" t="s">
        <v>1039</v>
      </c>
      <c r="C7165" s="488" t="s">
        <v>22608</v>
      </c>
      <c r="D7165" s="489" t="s">
        <v>22609</v>
      </c>
      <c r="E7165" s="487" t="s">
        <v>22610</v>
      </c>
      <c r="F7165" s="490">
        <v>0</v>
      </c>
      <c r="G7165" s="489">
        <v>0</v>
      </c>
      <c r="H7165" s="489">
        <v>0</v>
      </c>
      <c r="I7165" s="487" t="s">
        <v>2465</v>
      </c>
      <c r="J7165" s="487" t="s">
        <v>1041</v>
      </c>
    </row>
    <row r="7166" spans="1:10" ht="15" x14ac:dyDescent="0.2">
      <c r="A7166" s="486" t="s">
        <v>1040</v>
      </c>
      <c r="B7166" s="487" t="s">
        <v>1039</v>
      </c>
      <c r="C7166" s="488" t="s">
        <v>22611</v>
      </c>
      <c r="D7166" s="489" t="s">
        <v>22612</v>
      </c>
      <c r="E7166" s="487" t="s">
        <v>22613</v>
      </c>
      <c r="F7166" s="490">
        <v>21000</v>
      </c>
      <c r="G7166" s="489">
        <v>253</v>
      </c>
      <c r="H7166" s="489">
        <v>83.003950000000003</v>
      </c>
      <c r="I7166" s="487" t="s">
        <v>1499</v>
      </c>
      <c r="J7166" s="487" t="s">
        <v>1041</v>
      </c>
    </row>
    <row r="7167" spans="1:10" ht="15" x14ac:dyDescent="0.2">
      <c r="A7167" s="486" t="s">
        <v>1040</v>
      </c>
      <c r="B7167" s="487" t="s">
        <v>1039</v>
      </c>
      <c r="C7167" s="488" t="s">
        <v>22614</v>
      </c>
      <c r="D7167" s="489" t="s">
        <v>22615</v>
      </c>
      <c r="E7167" s="487" t="s">
        <v>22616</v>
      </c>
      <c r="F7167" s="490">
        <v>16743</v>
      </c>
      <c r="G7167" s="489">
        <v>88</v>
      </c>
      <c r="H7167" s="489">
        <v>190.26136</v>
      </c>
      <c r="I7167" s="487" t="s">
        <v>1499</v>
      </c>
      <c r="J7167" s="487" t="s">
        <v>1041</v>
      </c>
    </row>
    <row r="7168" spans="1:10" ht="15" x14ac:dyDescent="0.2">
      <c r="A7168" s="486" t="s">
        <v>1040</v>
      </c>
      <c r="B7168" s="487" t="s">
        <v>1039</v>
      </c>
      <c r="C7168" s="488" t="s">
        <v>22617</v>
      </c>
      <c r="D7168" s="489" t="s">
        <v>22618</v>
      </c>
      <c r="E7168" s="487" t="s">
        <v>22619</v>
      </c>
      <c r="F7168" s="490">
        <v>0</v>
      </c>
      <c r="G7168" s="489">
        <v>0</v>
      </c>
      <c r="H7168" s="489">
        <v>0</v>
      </c>
      <c r="I7168" s="487" t="s">
        <v>2465</v>
      </c>
      <c r="J7168" s="487" t="s">
        <v>1041</v>
      </c>
    </row>
    <row r="7169" spans="1:10" ht="15" x14ac:dyDescent="0.2">
      <c r="A7169" s="486" t="s">
        <v>1040</v>
      </c>
      <c r="B7169" s="487" t="s">
        <v>1039</v>
      </c>
      <c r="C7169" s="488" t="s">
        <v>22620</v>
      </c>
      <c r="D7169" s="489" t="s">
        <v>22621</v>
      </c>
      <c r="E7169" s="487" t="s">
        <v>22622</v>
      </c>
      <c r="F7169" s="490">
        <v>0</v>
      </c>
      <c r="G7169" s="489">
        <v>40</v>
      </c>
      <c r="H7169" s="489">
        <v>0</v>
      </c>
      <c r="I7169" s="487" t="s">
        <v>1593</v>
      </c>
      <c r="J7169" s="487" t="s">
        <v>1041</v>
      </c>
    </row>
    <row r="7170" spans="1:10" ht="15" x14ac:dyDescent="0.2">
      <c r="A7170" s="486" t="s">
        <v>1040</v>
      </c>
      <c r="B7170" s="487" t="s">
        <v>1039</v>
      </c>
      <c r="C7170" s="488" t="s">
        <v>22623</v>
      </c>
      <c r="D7170" s="489" t="s">
        <v>22624</v>
      </c>
      <c r="E7170" s="487" t="s">
        <v>22625</v>
      </c>
      <c r="F7170" s="490">
        <v>4990</v>
      </c>
      <c r="G7170" s="489">
        <v>62</v>
      </c>
      <c r="H7170" s="489">
        <v>80.483869999999996</v>
      </c>
      <c r="I7170" s="487" t="s">
        <v>1499</v>
      </c>
      <c r="J7170" s="487" t="s">
        <v>1041</v>
      </c>
    </row>
    <row r="7171" spans="1:10" ht="15" x14ac:dyDescent="0.2">
      <c r="A7171" s="486" t="s">
        <v>1040</v>
      </c>
      <c r="B7171" s="487" t="s">
        <v>1039</v>
      </c>
      <c r="C7171" s="488" t="s">
        <v>22626</v>
      </c>
      <c r="D7171" s="489" t="s">
        <v>22627</v>
      </c>
      <c r="E7171" s="487" t="s">
        <v>22628</v>
      </c>
      <c r="F7171" s="490">
        <v>82967</v>
      </c>
      <c r="G7171" s="489">
        <v>466</v>
      </c>
      <c r="H7171" s="489">
        <v>178.04077000000001</v>
      </c>
      <c r="I7171" s="487" t="s">
        <v>1499</v>
      </c>
      <c r="J7171" s="487" t="s">
        <v>1041</v>
      </c>
    </row>
    <row r="7172" spans="1:10" ht="15" x14ac:dyDescent="0.2">
      <c r="A7172" s="486" t="s">
        <v>1040</v>
      </c>
      <c r="B7172" s="487" t="s">
        <v>1039</v>
      </c>
      <c r="C7172" s="488" t="s">
        <v>22629</v>
      </c>
      <c r="D7172" s="489" t="s">
        <v>22630</v>
      </c>
      <c r="E7172" s="487" t="s">
        <v>22631</v>
      </c>
      <c r="F7172" s="490">
        <v>4100</v>
      </c>
      <c r="G7172" s="489">
        <v>76</v>
      </c>
      <c r="H7172" s="489">
        <v>53.947369999999999</v>
      </c>
      <c r="I7172" s="487" t="s">
        <v>1499</v>
      </c>
      <c r="J7172" s="487" t="s">
        <v>1041</v>
      </c>
    </row>
    <row r="7173" spans="1:10" ht="15" x14ac:dyDescent="0.2">
      <c r="A7173" s="486" t="s">
        <v>1040</v>
      </c>
      <c r="B7173" s="487" t="s">
        <v>1039</v>
      </c>
      <c r="C7173" s="488" t="s">
        <v>22632</v>
      </c>
      <c r="D7173" s="489" t="s">
        <v>22633</v>
      </c>
      <c r="E7173" s="487" t="s">
        <v>22634</v>
      </c>
      <c r="F7173" s="490">
        <v>162000</v>
      </c>
      <c r="G7173" s="489">
        <v>3216</v>
      </c>
      <c r="H7173" s="489">
        <v>50.373130000000003</v>
      </c>
      <c r="I7173" s="487" t="s">
        <v>1499</v>
      </c>
      <c r="J7173" s="487" t="s">
        <v>1041</v>
      </c>
    </row>
    <row r="7174" spans="1:10" ht="15" x14ac:dyDescent="0.2">
      <c r="A7174" s="486" t="s">
        <v>1040</v>
      </c>
      <c r="B7174" s="487" t="s">
        <v>1039</v>
      </c>
      <c r="C7174" s="488" t="s">
        <v>22635</v>
      </c>
      <c r="D7174" s="489" t="s">
        <v>22636</v>
      </c>
      <c r="E7174" s="487" t="s">
        <v>22637</v>
      </c>
      <c r="F7174" s="490">
        <v>356436</v>
      </c>
      <c r="G7174" s="489">
        <v>16970</v>
      </c>
      <c r="H7174" s="489">
        <v>21.003889999999998</v>
      </c>
      <c r="I7174" s="487" t="s">
        <v>1499</v>
      </c>
      <c r="J7174" s="487" t="s">
        <v>1041</v>
      </c>
    </row>
    <row r="7175" spans="1:10" ht="15" x14ac:dyDescent="0.2">
      <c r="A7175" s="486" t="s">
        <v>1040</v>
      </c>
      <c r="B7175" s="487" t="s">
        <v>1039</v>
      </c>
      <c r="C7175" s="488" t="s">
        <v>22638</v>
      </c>
      <c r="D7175" s="489" t="s">
        <v>22639</v>
      </c>
      <c r="E7175" s="487" t="s">
        <v>22640</v>
      </c>
      <c r="F7175" s="490">
        <v>7384</v>
      </c>
      <c r="G7175" s="489">
        <v>87</v>
      </c>
      <c r="H7175" s="489">
        <v>84.873559999999998</v>
      </c>
      <c r="I7175" s="487" t="s">
        <v>1499</v>
      </c>
      <c r="J7175" s="487" t="s">
        <v>1041</v>
      </c>
    </row>
    <row r="7176" spans="1:10" ht="15" x14ac:dyDescent="0.2">
      <c r="A7176" s="486" t="s">
        <v>1040</v>
      </c>
      <c r="B7176" s="487" t="s">
        <v>1039</v>
      </c>
      <c r="C7176" s="488" t="s">
        <v>22641</v>
      </c>
      <c r="D7176" s="489" t="s">
        <v>22642</v>
      </c>
      <c r="E7176" s="487" t="s">
        <v>22643</v>
      </c>
      <c r="F7176" s="490">
        <v>15100</v>
      </c>
      <c r="G7176" s="489">
        <v>279</v>
      </c>
      <c r="H7176" s="489">
        <v>54.121859999999998</v>
      </c>
      <c r="I7176" s="487" t="s">
        <v>1499</v>
      </c>
      <c r="J7176" s="487" t="s">
        <v>1041</v>
      </c>
    </row>
    <row r="7177" spans="1:10" ht="15" x14ac:dyDescent="0.2">
      <c r="A7177" s="486" t="s">
        <v>1040</v>
      </c>
      <c r="B7177" s="487" t="s">
        <v>1039</v>
      </c>
      <c r="C7177" s="488" t="s">
        <v>22644</v>
      </c>
      <c r="D7177" s="489" t="s">
        <v>22645</v>
      </c>
      <c r="E7177" s="487" t="s">
        <v>22646</v>
      </c>
      <c r="F7177" s="490">
        <v>14500</v>
      </c>
      <c r="G7177" s="489">
        <v>227</v>
      </c>
      <c r="H7177" s="489">
        <v>63.876649999999998</v>
      </c>
      <c r="I7177" s="487" t="s">
        <v>1499</v>
      </c>
      <c r="J7177" s="487" t="s">
        <v>1041</v>
      </c>
    </row>
    <row r="7178" spans="1:10" ht="15" x14ac:dyDescent="0.2">
      <c r="A7178" s="486" t="s">
        <v>1040</v>
      </c>
      <c r="B7178" s="487" t="s">
        <v>1039</v>
      </c>
      <c r="C7178" s="488" t="s">
        <v>22647</v>
      </c>
      <c r="D7178" s="489" t="s">
        <v>22648</v>
      </c>
      <c r="E7178" s="487" t="s">
        <v>22649</v>
      </c>
      <c r="F7178" s="490">
        <v>107756</v>
      </c>
      <c r="G7178" s="489">
        <v>1289</v>
      </c>
      <c r="H7178" s="489">
        <v>83.596590000000006</v>
      </c>
      <c r="I7178" s="487" t="s">
        <v>1499</v>
      </c>
      <c r="J7178" s="487" t="s">
        <v>1041</v>
      </c>
    </row>
    <row r="7179" spans="1:10" ht="15" x14ac:dyDescent="0.2">
      <c r="A7179" s="486" t="s">
        <v>1040</v>
      </c>
      <c r="B7179" s="487" t="s">
        <v>1039</v>
      </c>
      <c r="C7179" s="488" t="s">
        <v>22650</v>
      </c>
      <c r="D7179" s="489" t="s">
        <v>22651</v>
      </c>
      <c r="E7179" s="487" t="s">
        <v>22652</v>
      </c>
      <c r="F7179" s="490">
        <v>23000</v>
      </c>
      <c r="G7179" s="489">
        <v>499</v>
      </c>
      <c r="H7179" s="489">
        <v>46.092179999999999</v>
      </c>
      <c r="I7179" s="487" t="s">
        <v>1499</v>
      </c>
      <c r="J7179" s="487" t="s">
        <v>1041</v>
      </c>
    </row>
    <row r="7180" spans="1:10" ht="15" x14ac:dyDescent="0.2">
      <c r="A7180" s="486" t="s">
        <v>1040</v>
      </c>
      <c r="B7180" s="487" t="s">
        <v>1039</v>
      </c>
      <c r="C7180" s="488" t="s">
        <v>22653</v>
      </c>
      <c r="D7180" s="489" t="s">
        <v>22654</v>
      </c>
      <c r="E7180" s="487" t="s">
        <v>22655</v>
      </c>
      <c r="F7180" s="490">
        <v>20536</v>
      </c>
      <c r="G7180" s="489">
        <v>231</v>
      </c>
      <c r="H7180" s="489">
        <v>88.90043</v>
      </c>
      <c r="I7180" s="487" t="s">
        <v>1499</v>
      </c>
      <c r="J7180" s="487" t="s">
        <v>1041</v>
      </c>
    </row>
    <row r="7181" spans="1:10" ht="15" x14ac:dyDescent="0.2">
      <c r="A7181" s="486" t="s">
        <v>1040</v>
      </c>
      <c r="B7181" s="487" t="s">
        <v>1039</v>
      </c>
      <c r="C7181" s="488" t="s">
        <v>22656</v>
      </c>
      <c r="D7181" s="489" t="s">
        <v>22657</v>
      </c>
      <c r="E7181" s="487" t="s">
        <v>22658</v>
      </c>
      <c r="F7181" s="490">
        <v>20950</v>
      </c>
      <c r="G7181" s="489">
        <v>259</v>
      </c>
      <c r="H7181" s="489">
        <v>80.888030000000001</v>
      </c>
      <c r="I7181" s="487" t="s">
        <v>1499</v>
      </c>
      <c r="J7181" s="487" t="s">
        <v>1041</v>
      </c>
    </row>
    <row r="7182" spans="1:10" ht="15" x14ac:dyDescent="0.2">
      <c r="A7182" s="486" t="s">
        <v>1040</v>
      </c>
      <c r="B7182" s="487" t="s">
        <v>1039</v>
      </c>
      <c r="C7182" s="488" t="s">
        <v>22659</v>
      </c>
      <c r="D7182" s="489" t="s">
        <v>22660</v>
      </c>
      <c r="E7182" s="487" t="s">
        <v>22661</v>
      </c>
      <c r="F7182" s="490">
        <v>610000</v>
      </c>
      <c r="G7182" s="489">
        <v>16165</v>
      </c>
      <c r="H7182" s="489">
        <v>37.735849999999999</v>
      </c>
      <c r="I7182" s="487" t="s">
        <v>1499</v>
      </c>
      <c r="J7182" s="487" t="s">
        <v>1041</v>
      </c>
    </row>
    <row r="7183" spans="1:10" ht="15" x14ac:dyDescent="0.2">
      <c r="A7183" s="486" t="s">
        <v>1040</v>
      </c>
      <c r="B7183" s="487" t="s">
        <v>1039</v>
      </c>
      <c r="C7183" s="488" t="s">
        <v>22662</v>
      </c>
      <c r="D7183" s="489" t="s">
        <v>22663</v>
      </c>
      <c r="E7183" s="487" t="s">
        <v>22664</v>
      </c>
      <c r="F7183" s="490">
        <v>490000</v>
      </c>
      <c r="G7183" s="489">
        <v>17344</v>
      </c>
      <c r="H7183" s="489">
        <v>28.251850000000001</v>
      </c>
      <c r="I7183" s="487" t="s">
        <v>1499</v>
      </c>
      <c r="J7183" s="487" t="s">
        <v>1041</v>
      </c>
    </row>
    <row r="7184" spans="1:10" ht="15" x14ac:dyDescent="0.2">
      <c r="A7184" s="486" t="s">
        <v>1372</v>
      </c>
      <c r="B7184" s="487" t="s">
        <v>1371</v>
      </c>
      <c r="C7184" s="488" t="s">
        <v>22665</v>
      </c>
      <c r="D7184" s="489" t="s">
        <v>22666</v>
      </c>
      <c r="E7184" s="487" t="s">
        <v>22667</v>
      </c>
      <c r="F7184" s="490">
        <v>0</v>
      </c>
      <c r="G7184" s="489">
        <v>14.5</v>
      </c>
      <c r="H7184" s="489">
        <v>0</v>
      </c>
      <c r="I7184" s="487" t="s">
        <v>1593</v>
      </c>
      <c r="J7184" s="487" t="s">
        <v>1373</v>
      </c>
    </row>
    <row r="7185" spans="1:10" ht="15" x14ac:dyDescent="0.2">
      <c r="A7185" s="486" t="s">
        <v>1372</v>
      </c>
      <c r="B7185" s="487" t="s">
        <v>1371</v>
      </c>
      <c r="C7185" s="488" t="s">
        <v>22668</v>
      </c>
      <c r="D7185" s="489" t="s">
        <v>22669</v>
      </c>
      <c r="E7185" s="487" t="s">
        <v>22670</v>
      </c>
      <c r="F7185" s="490">
        <v>7000</v>
      </c>
      <c r="G7185" s="489">
        <v>112.5</v>
      </c>
      <c r="H7185" s="489">
        <v>62.22222</v>
      </c>
      <c r="I7185" s="487" t="s">
        <v>1499</v>
      </c>
      <c r="J7185" s="487" t="s">
        <v>1373</v>
      </c>
    </row>
    <row r="7186" spans="1:10" ht="15" x14ac:dyDescent="0.2">
      <c r="A7186" s="486" t="s">
        <v>1372</v>
      </c>
      <c r="B7186" s="487" t="s">
        <v>1371</v>
      </c>
      <c r="C7186" s="488" t="s">
        <v>22671</v>
      </c>
      <c r="D7186" s="489" t="s">
        <v>22672</v>
      </c>
      <c r="E7186" s="487" t="s">
        <v>22673</v>
      </c>
      <c r="F7186" s="490">
        <v>6500</v>
      </c>
      <c r="G7186" s="489">
        <v>160.80000000000001</v>
      </c>
      <c r="H7186" s="489">
        <v>40.422890000000002</v>
      </c>
      <c r="I7186" s="487" t="s">
        <v>1499</v>
      </c>
      <c r="J7186" s="487" t="s">
        <v>1373</v>
      </c>
    </row>
    <row r="7187" spans="1:10" ht="15" x14ac:dyDescent="0.2">
      <c r="A7187" s="486" t="s">
        <v>1372</v>
      </c>
      <c r="B7187" s="487" t="s">
        <v>1371</v>
      </c>
      <c r="C7187" s="488" t="s">
        <v>22674</v>
      </c>
      <c r="D7187" s="489" t="s">
        <v>22675</v>
      </c>
      <c r="E7187" s="487" t="s">
        <v>22676</v>
      </c>
      <c r="F7187" s="490">
        <v>0</v>
      </c>
      <c r="G7187" s="489">
        <v>58</v>
      </c>
      <c r="H7187" s="489">
        <v>0</v>
      </c>
      <c r="I7187" s="487" t="s">
        <v>1593</v>
      </c>
      <c r="J7187" s="487" t="s">
        <v>1373</v>
      </c>
    </row>
    <row r="7188" spans="1:10" ht="15" x14ac:dyDescent="0.2">
      <c r="A7188" s="486" t="s">
        <v>1372</v>
      </c>
      <c r="B7188" s="487" t="s">
        <v>1371</v>
      </c>
      <c r="C7188" s="488" t="s">
        <v>22677</v>
      </c>
      <c r="D7188" s="489" t="s">
        <v>22678</v>
      </c>
      <c r="E7188" s="487" t="s">
        <v>11424</v>
      </c>
      <c r="F7188" s="490">
        <v>2800</v>
      </c>
      <c r="G7188" s="489">
        <v>57.7</v>
      </c>
      <c r="H7188" s="489">
        <v>48.526859999999999</v>
      </c>
      <c r="I7188" s="487" t="s">
        <v>1499</v>
      </c>
      <c r="J7188" s="487" t="s">
        <v>1373</v>
      </c>
    </row>
    <row r="7189" spans="1:10" ht="15" x14ac:dyDescent="0.2">
      <c r="A7189" s="486" t="s">
        <v>1372</v>
      </c>
      <c r="B7189" s="487" t="s">
        <v>1371</v>
      </c>
      <c r="C7189" s="488" t="s">
        <v>22679</v>
      </c>
      <c r="D7189" s="489" t="s">
        <v>22680</v>
      </c>
      <c r="E7189" s="487" t="s">
        <v>22681</v>
      </c>
      <c r="F7189" s="490">
        <v>7793</v>
      </c>
      <c r="G7189" s="489">
        <v>75</v>
      </c>
      <c r="H7189" s="489">
        <v>103.90667000000001</v>
      </c>
      <c r="I7189" s="487" t="s">
        <v>1499</v>
      </c>
      <c r="J7189" s="487" t="s">
        <v>1373</v>
      </c>
    </row>
    <row r="7190" spans="1:10" ht="15" x14ac:dyDescent="0.2">
      <c r="A7190" s="486" t="s">
        <v>1372</v>
      </c>
      <c r="B7190" s="487" t="s">
        <v>1371</v>
      </c>
      <c r="C7190" s="488" t="s">
        <v>22682</v>
      </c>
      <c r="D7190" s="489" t="s">
        <v>22683</v>
      </c>
      <c r="E7190" s="487" t="s">
        <v>7823</v>
      </c>
      <c r="F7190" s="490">
        <v>22000</v>
      </c>
      <c r="G7190" s="489">
        <v>183.4</v>
      </c>
      <c r="H7190" s="489">
        <v>119.95638</v>
      </c>
      <c r="I7190" s="487" t="s">
        <v>1499</v>
      </c>
      <c r="J7190" s="487" t="s">
        <v>1373</v>
      </c>
    </row>
    <row r="7191" spans="1:10" ht="15" x14ac:dyDescent="0.2">
      <c r="A7191" s="486" t="s">
        <v>1372</v>
      </c>
      <c r="B7191" s="487" t="s">
        <v>1371</v>
      </c>
      <c r="C7191" s="488" t="s">
        <v>22684</v>
      </c>
      <c r="D7191" s="489" t="s">
        <v>22685</v>
      </c>
      <c r="E7191" s="487" t="s">
        <v>22686</v>
      </c>
      <c r="F7191" s="490">
        <v>10000</v>
      </c>
      <c r="G7191" s="489">
        <v>132.80000000000001</v>
      </c>
      <c r="H7191" s="489">
        <v>75.301199999999994</v>
      </c>
      <c r="I7191" s="487" t="s">
        <v>1499</v>
      </c>
      <c r="J7191" s="487" t="s">
        <v>1373</v>
      </c>
    </row>
    <row r="7192" spans="1:10" ht="15" x14ac:dyDescent="0.2">
      <c r="A7192" s="486" t="s">
        <v>1372</v>
      </c>
      <c r="B7192" s="487" t="s">
        <v>1371</v>
      </c>
      <c r="C7192" s="488" t="s">
        <v>22687</v>
      </c>
      <c r="D7192" s="489" t="s">
        <v>22688</v>
      </c>
      <c r="E7192" s="487" t="s">
        <v>22689</v>
      </c>
      <c r="F7192" s="490">
        <v>31228</v>
      </c>
      <c r="G7192" s="489">
        <v>322.10000000000002</v>
      </c>
      <c r="H7192" s="489">
        <v>96.951260000000005</v>
      </c>
      <c r="I7192" s="487" t="s">
        <v>1499</v>
      </c>
      <c r="J7192" s="487" t="s">
        <v>1373</v>
      </c>
    </row>
    <row r="7193" spans="1:10" ht="15" x14ac:dyDescent="0.2">
      <c r="A7193" s="486" t="s">
        <v>1372</v>
      </c>
      <c r="B7193" s="487" t="s">
        <v>1371</v>
      </c>
      <c r="C7193" s="488" t="s">
        <v>22690</v>
      </c>
      <c r="D7193" s="489" t="s">
        <v>22691</v>
      </c>
      <c r="E7193" s="487" t="s">
        <v>22692</v>
      </c>
      <c r="F7193" s="490">
        <v>29163</v>
      </c>
      <c r="G7193" s="489">
        <v>290.7</v>
      </c>
      <c r="H7193" s="489">
        <v>100.31992</v>
      </c>
      <c r="I7193" s="487" t="s">
        <v>1499</v>
      </c>
      <c r="J7193" s="487" t="s">
        <v>1373</v>
      </c>
    </row>
    <row r="7194" spans="1:10" ht="15" x14ac:dyDescent="0.2">
      <c r="A7194" s="486" t="s">
        <v>1372</v>
      </c>
      <c r="B7194" s="487" t="s">
        <v>1371</v>
      </c>
      <c r="C7194" s="488" t="s">
        <v>22693</v>
      </c>
      <c r="D7194" s="489" t="s">
        <v>22694</v>
      </c>
      <c r="E7194" s="487" t="s">
        <v>22695</v>
      </c>
      <c r="F7194" s="490">
        <v>67353</v>
      </c>
      <c r="G7194" s="489">
        <v>509.8</v>
      </c>
      <c r="H7194" s="489">
        <v>132.11652000000001</v>
      </c>
      <c r="I7194" s="487" t="s">
        <v>1499</v>
      </c>
      <c r="J7194" s="487" t="s">
        <v>1373</v>
      </c>
    </row>
    <row r="7195" spans="1:10" ht="15" x14ac:dyDescent="0.2">
      <c r="A7195" s="486" t="s">
        <v>1372</v>
      </c>
      <c r="B7195" s="487" t="s">
        <v>1371</v>
      </c>
      <c r="C7195" s="488" t="s">
        <v>22696</v>
      </c>
      <c r="D7195" s="489" t="s">
        <v>22697</v>
      </c>
      <c r="E7195" s="487" t="s">
        <v>22698</v>
      </c>
      <c r="F7195" s="490">
        <v>195335</v>
      </c>
      <c r="G7195" s="489">
        <v>2706.9</v>
      </c>
      <c r="H7195" s="489">
        <v>72.161879999999996</v>
      </c>
      <c r="I7195" s="487" t="s">
        <v>1499</v>
      </c>
      <c r="J7195" s="487" t="s">
        <v>1373</v>
      </c>
    </row>
    <row r="7196" spans="1:10" ht="15" x14ac:dyDescent="0.2">
      <c r="A7196" s="486" t="s">
        <v>1372</v>
      </c>
      <c r="B7196" s="487" t="s">
        <v>1371</v>
      </c>
      <c r="C7196" s="488" t="s">
        <v>22699</v>
      </c>
      <c r="D7196" s="489" t="s">
        <v>22700</v>
      </c>
      <c r="E7196" s="487" t="s">
        <v>22701</v>
      </c>
      <c r="F7196" s="490">
        <v>33824</v>
      </c>
      <c r="G7196" s="489">
        <v>251.2</v>
      </c>
      <c r="H7196" s="489">
        <v>134.64967999999999</v>
      </c>
      <c r="I7196" s="487" t="s">
        <v>1499</v>
      </c>
      <c r="J7196" s="487" t="s">
        <v>1373</v>
      </c>
    </row>
    <row r="7197" spans="1:10" ht="15" x14ac:dyDescent="0.2">
      <c r="A7197" s="486" t="s">
        <v>1372</v>
      </c>
      <c r="B7197" s="487" t="s">
        <v>1371</v>
      </c>
      <c r="C7197" s="488" t="s">
        <v>22702</v>
      </c>
      <c r="D7197" s="489" t="s">
        <v>22703</v>
      </c>
      <c r="E7197" s="487" t="s">
        <v>22704</v>
      </c>
      <c r="F7197" s="490">
        <v>45495</v>
      </c>
      <c r="G7197" s="489">
        <v>683.6</v>
      </c>
      <c r="H7197" s="489">
        <v>66.552080000000004</v>
      </c>
      <c r="I7197" s="487" t="s">
        <v>1499</v>
      </c>
      <c r="J7197" s="487" t="s">
        <v>1373</v>
      </c>
    </row>
    <row r="7198" spans="1:10" ht="15" x14ac:dyDescent="0.2">
      <c r="A7198" s="486" t="s">
        <v>1372</v>
      </c>
      <c r="B7198" s="487" t="s">
        <v>1371</v>
      </c>
      <c r="C7198" s="488" t="s">
        <v>22705</v>
      </c>
      <c r="D7198" s="489" t="s">
        <v>22706</v>
      </c>
      <c r="E7198" s="487" t="s">
        <v>11439</v>
      </c>
      <c r="F7198" s="490">
        <v>57000</v>
      </c>
      <c r="G7198" s="489">
        <v>332.5</v>
      </c>
      <c r="H7198" s="489">
        <v>171.42857000000001</v>
      </c>
      <c r="I7198" s="487" t="s">
        <v>1499</v>
      </c>
      <c r="J7198" s="487" t="s">
        <v>1373</v>
      </c>
    </row>
    <row r="7199" spans="1:10" ht="15" x14ac:dyDescent="0.2">
      <c r="A7199" s="486" t="s">
        <v>1372</v>
      </c>
      <c r="B7199" s="487" t="s">
        <v>1371</v>
      </c>
      <c r="C7199" s="488" t="s">
        <v>22707</v>
      </c>
      <c r="D7199" s="489" t="s">
        <v>22708</v>
      </c>
      <c r="E7199" s="487" t="s">
        <v>19337</v>
      </c>
      <c r="F7199" s="490">
        <v>60000</v>
      </c>
      <c r="G7199" s="489">
        <v>1249</v>
      </c>
      <c r="H7199" s="489">
        <v>48.038429999999998</v>
      </c>
      <c r="I7199" s="487" t="s">
        <v>1499</v>
      </c>
      <c r="J7199" s="487" t="s">
        <v>1373</v>
      </c>
    </row>
    <row r="7200" spans="1:10" ht="15" x14ac:dyDescent="0.2">
      <c r="A7200" s="486" t="s">
        <v>1372</v>
      </c>
      <c r="B7200" s="487" t="s">
        <v>1371</v>
      </c>
      <c r="C7200" s="488" t="s">
        <v>22709</v>
      </c>
      <c r="D7200" s="489" t="s">
        <v>22710</v>
      </c>
      <c r="E7200" s="487" t="s">
        <v>22711</v>
      </c>
      <c r="F7200" s="490">
        <v>1095354</v>
      </c>
      <c r="G7200" s="489">
        <v>6022.7</v>
      </c>
      <c r="H7200" s="489">
        <v>181.87092000000001</v>
      </c>
      <c r="I7200" s="487" t="s">
        <v>1499</v>
      </c>
      <c r="J7200" s="487" t="s">
        <v>1373</v>
      </c>
    </row>
    <row r="7201" spans="1:10" ht="15" x14ac:dyDescent="0.2">
      <c r="A7201" s="486" t="s">
        <v>1372</v>
      </c>
      <c r="B7201" s="487" t="s">
        <v>1371</v>
      </c>
      <c r="C7201" s="488" t="s">
        <v>22712</v>
      </c>
      <c r="D7201" s="489" t="s">
        <v>22713</v>
      </c>
      <c r="E7201" s="487" t="s">
        <v>22714</v>
      </c>
      <c r="F7201" s="490">
        <v>0</v>
      </c>
      <c r="G7201" s="489">
        <v>83.3</v>
      </c>
      <c r="H7201" s="489">
        <v>0</v>
      </c>
      <c r="I7201" s="487" t="s">
        <v>1593</v>
      </c>
      <c r="J7201" s="487" t="s">
        <v>1373</v>
      </c>
    </row>
    <row r="7202" spans="1:10" ht="15" x14ac:dyDescent="0.2">
      <c r="A7202" s="486" t="s">
        <v>1372</v>
      </c>
      <c r="B7202" s="487" t="s">
        <v>1371</v>
      </c>
      <c r="C7202" s="488" t="s">
        <v>22715</v>
      </c>
      <c r="D7202" s="489" t="s">
        <v>22716</v>
      </c>
      <c r="E7202" s="487" t="s">
        <v>22717</v>
      </c>
      <c r="F7202" s="490">
        <v>22000</v>
      </c>
      <c r="G7202" s="489">
        <v>261.2</v>
      </c>
      <c r="H7202" s="489">
        <v>84.226650000000006</v>
      </c>
      <c r="I7202" s="487" t="s">
        <v>1499</v>
      </c>
      <c r="J7202" s="487" t="s">
        <v>1373</v>
      </c>
    </row>
    <row r="7203" spans="1:10" ht="15" x14ac:dyDescent="0.2">
      <c r="A7203" s="486" t="s">
        <v>1372</v>
      </c>
      <c r="B7203" s="487" t="s">
        <v>1371</v>
      </c>
      <c r="C7203" s="488" t="s">
        <v>22718</v>
      </c>
      <c r="D7203" s="489" t="s">
        <v>22719</v>
      </c>
      <c r="E7203" s="487" t="s">
        <v>22720</v>
      </c>
      <c r="F7203" s="490">
        <v>66780</v>
      </c>
      <c r="G7203" s="489">
        <v>683.2</v>
      </c>
      <c r="H7203" s="489">
        <v>97.745900000000006</v>
      </c>
      <c r="I7203" s="487" t="s">
        <v>1499</v>
      </c>
      <c r="J7203" s="487" t="s">
        <v>1373</v>
      </c>
    </row>
    <row r="7204" spans="1:10" ht="15" x14ac:dyDescent="0.2">
      <c r="A7204" s="486" t="s">
        <v>1372</v>
      </c>
      <c r="B7204" s="487" t="s">
        <v>1371</v>
      </c>
      <c r="C7204" s="488" t="s">
        <v>22721</v>
      </c>
      <c r="D7204" s="489" t="s">
        <v>22722</v>
      </c>
      <c r="E7204" s="487" t="s">
        <v>22723</v>
      </c>
      <c r="F7204" s="490">
        <v>23791</v>
      </c>
      <c r="G7204" s="489">
        <v>257.89999999999998</v>
      </c>
      <c r="H7204" s="489">
        <v>92.248930000000001</v>
      </c>
      <c r="I7204" s="487" t="s">
        <v>1499</v>
      </c>
      <c r="J7204" s="487" t="s">
        <v>1373</v>
      </c>
    </row>
    <row r="7205" spans="1:10" ht="15" x14ac:dyDescent="0.2">
      <c r="A7205" s="486" t="s">
        <v>1372</v>
      </c>
      <c r="B7205" s="487" t="s">
        <v>1371</v>
      </c>
      <c r="C7205" s="488" t="s">
        <v>22724</v>
      </c>
      <c r="D7205" s="489" t="s">
        <v>22725</v>
      </c>
      <c r="E7205" s="487" t="s">
        <v>22726</v>
      </c>
      <c r="F7205" s="490">
        <v>196464</v>
      </c>
      <c r="G7205" s="489">
        <v>2112.5</v>
      </c>
      <c r="H7205" s="489">
        <v>93.000709999999998</v>
      </c>
      <c r="I7205" s="487" t="s">
        <v>1499</v>
      </c>
      <c r="J7205" s="487" t="s">
        <v>1373</v>
      </c>
    </row>
    <row r="7206" spans="1:10" ht="15" x14ac:dyDescent="0.2">
      <c r="A7206" s="486" t="s">
        <v>1372</v>
      </c>
      <c r="B7206" s="487" t="s">
        <v>1371</v>
      </c>
      <c r="C7206" s="488" t="s">
        <v>22727</v>
      </c>
      <c r="D7206" s="489" t="s">
        <v>22728</v>
      </c>
      <c r="E7206" s="487" t="s">
        <v>22729</v>
      </c>
      <c r="F7206" s="490">
        <v>0</v>
      </c>
      <c r="G7206" s="489">
        <v>28.6</v>
      </c>
      <c r="H7206" s="489">
        <v>0</v>
      </c>
      <c r="I7206" s="487" t="s">
        <v>1593</v>
      </c>
      <c r="J7206" s="487" t="s">
        <v>1373</v>
      </c>
    </row>
    <row r="7207" spans="1:10" ht="15" x14ac:dyDescent="0.2">
      <c r="A7207" s="486" t="s">
        <v>1372</v>
      </c>
      <c r="B7207" s="487" t="s">
        <v>1371</v>
      </c>
      <c r="C7207" s="488" t="s">
        <v>22730</v>
      </c>
      <c r="D7207" s="489" t="s">
        <v>22731</v>
      </c>
      <c r="E7207" s="487" t="s">
        <v>22732</v>
      </c>
      <c r="F7207" s="490">
        <v>144915</v>
      </c>
      <c r="G7207" s="489">
        <v>1055.5999999999999</v>
      </c>
      <c r="H7207" s="489">
        <v>137.28210999999999</v>
      </c>
      <c r="I7207" s="487" t="s">
        <v>1499</v>
      </c>
      <c r="J7207" s="487" t="s">
        <v>1373</v>
      </c>
    </row>
    <row r="7208" spans="1:10" ht="15" x14ac:dyDescent="0.2">
      <c r="A7208" s="486" t="s">
        <v>1372</v>
      </c>
      <c r="B7208" s="487" t="s">
        <v>1371</v>
      </c>
      <c r="C7208" s="488" t="s">
        <v>22733</v>
      </c>
      <c r="D7208" s="489" t="s">
        <v>22734</v>
      </c>
      <c r="E7208" s="487" t="s">
        <v>22735</v>
      </c>
      <c r="F7208" s="490">
        <v>84000</v>
      </c>
      <c r="G7208" s="489">
        <v>526</v>
      </c>
      <c r="H7208" s="489">
        <v>159.69582</v>
      </c>
      <c r="I7208" s="487" t="s">
        <v>1499</v>
      </c>
      <c r="J7208" s="487" t="s">
        <v>1373</v>
      </c>
    </row>
    <row r="7209" spans="1:10" ht="15" x14ac:dyDescent="0.2">
      <c r="A7209" s="486" t="s">
        <v>1372</v>
      </c>
      <c r="B7209" s="487" t="s">
        <v>1371</v>
      </c>
      <c r="C7209" s="488" t="s">
        <v>22736</v>
      </c>
      <c r="D7209" s="489" t="s">
        <v>22737</v>
      </c>
      <c r="E7209" s="487" t="s">
        <v>22738</v>
      </c>
      <c r="F7209" s="490">
        <v>0</v>
      </c>
      <c r="G7209" s="489">
        <v>28.9</v>
      </c>
      <c r="H7209" s="489">
        <v>0</v>
      </c>
      <c r="I7209" s="487" t="s">
        <v>1593</v>
      </c>
      <c r="J7209" s="487" t="s">
        <v>1373</v>
      </c>
    </row>
    <row r="7210" spans="1:10" ht="15" x14ac:dyDescent="0.2">
      <c r="A7210" s="486" t="s">
        <v>1372</v>
      </c>
      <c r="B7210" s="487" t="s">
        <v>1371</v>
      </c>
      <c r="C7210" s="488" t="s">
        <v>22739</v>
      </c>
      <c r="D7210" s="489" t="s">
        <v>22740</v>
      </c>
      <c r="E7210" s="487" t="s">
        <v>22741</v>
      </c>
      <c r="F7210" s="490">
        <v>4200</v>
      </c>
      <c r="G7210" s="489">
        <v>66.599999999999994</v>
      </c>
      <c r="H7210" s="489">
        <v>63.06306</v>
      </c>
      <c r="I7210" s="487" t="s">
        <v>1499</v>
      </c>
      <c r="J7210" s="487" t="s">
        <v>1373</v>
      </c>
    </row>
    <row r="7211" spans="1:10" ht="15" x14ac:dyDescent="0.2">
      <c r="A7211" s="486" t="s">
        <v>1372</v>
      </c>
      <c r="B7211" s="487" t="s">
        <v>1371</v>
      </c>
      <c r="C7211" s="488" t="s">
        <v>22742</v>
      </c>
      <c r="D7211" s="489" t="s">
        <v>22743</v>
      </c>
      <c r="E7211" s="487" t="s">
        <v>22744</v>
      </c>
      <c r="F7211" s="490">
        <v>90</v>
      </c>
      <c r="G7211" s="489">
        <v>37.5</v>
      </c>
      <c r="H7211" s="489">
        <v>2.4</v>
      </c>
      <c r="I7211" s="487" t="s">
        <v>1499</v>
      </c>
      <c r="J7211" s="487" t="s">
        <v>1373</v>
      </c>
    </row>
    <row r="7212" spans="1:10" ht="15" x14ac:dyDescent="0.2">
      <c r="A7212" s="486" t="s">
        <v>1372</v>
      </c>
      <c r="B7212" s="487" t="s">
        <v>1371</v>
      </c>
      <c r="C7212" s="488" t="s">
        <v>22745</v>
      </c>
      <c r="D7212" s="489" t="s">
        <v>22746</v>
      </c>
      <c r="E7212" s="487" t="s">
        <v>22747</v>
      </c>
      <c r="F7212" s="490">
        <v>20348</v>
      </c>
      <c r="G7212" s="489">
        <v>259.39999999999998</v>
      </c>
      <c r="H7212" s="489">
        <v>78.44256</v>
      </c>
      <c r="I7212" s="487" t="s">
        <v>1499</v>
      </c>
      <c r="J7212" s="487" t="s">
        <v>1373</v>
      </c>
    </row>
    <row r="7213" spans="1:10" ht="15" x14ac:dyDescent="0.2">
      <c r="A7213" s="486" t="s">
        <v>1372</v>
      </c>
      <c r="B7213" s="487" t="s">
        <v>1371</v>
      </c>
      <c r="C7213" s="488" t="s">
        <v>22748</v>
      </c>
      <c r="D7213" s="489" t="s">
        <v>22749</v>
      </c>
      <c r="E7213" s="487" t="s">
        <v>22750</v>
      </c>
      <c r="F7213" s="490">
        <v>7000</v>
      </c>
      <c r="G7213" s="489">
        <v>102.8</v>
      </c>
      <c r="H7213" s="489">
        <v>68.093389999999999</v>
      </c>
      <c r="I7213" s="487" t="s">
        <v>1499</v>
      </c>
      <c r="J7213" s="487" t="s">
        <v>1373</v>
      </c>
    </row>
    <row r="7214" spans="1:10" ht="15" x14ac:dyDescent="0.2">
      <c r="A7214" s="486" t="s">
        <v>1372</v>
      </c>
      <c r="B7214" s="487" t="s">
        <v>1371</v>
      </c>
      <c r="C7214" s="488" t="s">
        <v>22751</v>
      </c>
      <c r="D7214" s="489" t="s">
        <v>22752</v>
      </c>
      <c r="E7214" s="487" t="s">
        <v>22753</v>
      </c>
      <c r="F7214" s="490">
        <v>18000</v>
      </c>
      <c r="G7214" s="489">
        <v>268.2</v>
      </c>
      <c r="H7214" s="489">
        <v>67.114090000000004</v>
      </c>
      <c r="I7214" s="487" t="s">
        <v>1499</v>
      </c>
      <c r="J7214" s="487" t="s">
        <v>1373</v>
      </c>
    </row>
    <row r="7215" spans="1:10" ht="15" x14ac:dyDescent="0.2">
      <c r="A7215" s="486" t="s">
        <v>1372</v>
      </c>
      <c r="B7215" s="487" t="s">
        <v>1371</v>
      </c>
      <c r="C7215" s="488" t="s">
        <v>22754</v>
      </c>
      <c r="D7215" s="489" t="s">
        <v>22755</v>
      </c>
      <c r="E7215" s="487" t="s">
        <v>22756</v>
      </c>
      <c r="F7215" s="490">
        <v>32500</v>
      </c>
      <c r="G7215" s="489">
        <v>406.6</v>
      </c>
      <c r="H7215" s="489">
        <v>79.931139999999999</v>
      </c>
      <c r="I7215" s="487" t="s">
        <v>1499</v>
      </c>
      <c r="J7215" s="487" t="s">
        <v>1373</v>
      </c>
    </row>
    <row r="7216" spans="1:10" ht="15" x14ac:dyDescent="0.2">
      <c r="A7216" s="486" t="s">
        <v>1372</v>
      </c>
      <c r="B7216" s="487" t="s">
        <v>1371</v>
      </c>
      <c r="C7216" s="488" t="s">
        <v>22757</v>
      </c>
      <c r="D7216" s="489" t="s">
        <v>22758</v>
      </c>
      <c r="E7216" s="487" t="s">
        <v>22759</v>
      </c>
      <c r="F7216" s="490">
        <v>0</v>
      </c>
      <c r="G7216" s="489">
        <v>23.2</v>
      </c>
      <c r="H7216" s="489">
        <v>0</v>
      </c>
      <c r="I7216" s="487" t="s">
        <v>1593</v>
      </c>
      <c r="J7216" s="487" t="s">
        <v>1373</v>
      </c>
    </row>
    <row r="7217" spans="1:10" ht="15" x14ac:dyDescent="0.2">
      <c r="A7217" s="486" t="s">
        <v>1372</v>
      </c>
      <c r="B7217" s="487" t="s">
        <v>1371</v>
      </c>
      <c r="C7217" s="488" t="s">
        <v>22760</v>
      </c>
      <c r="D7217" s="489" t="s">
        <v>22761</v>
      </c>
      <c r="E7217" s="487" t="s">
        <v>22762</v>
      </c>
      <c r="F7217" s="490">
        <v>25000</v>
      </c>
      <c r="G7217" s="489">
        <v>301.5</v>
      </c>
      <c r="H7217" s="489">
        <v>82.91874</v>
      </c>
      <c r="I7217" s="487" t="s">
        <v>1499</v>
      </c>
      <c r="J7217" s="487" t="s">
        <v>1373</v>
      </c>
    </row>
    <row r="7218" spans="1:10" ht="15" x14ac:dyDescent="0.2">
      <c r="A7218" s="486" t="s">
        <v>1372</v>
      </c>
      <c r="B7218" s="487" t="s">
        <v>1371</v>
      </c>
      <c r="C7218" s="488" t="s">
        <v>22763</v>
      </c>
      <c r="D7218" s="489" t="s">
        <v>22764</v>
      </c>
      <c r="E7218" s="487" t="s">
        <v>22765</v>
      </c>
      <c r="F7218" s="490">
        <v>39300</v>
      </c>
      <c r="G7218" s="489">
        <v>593.79999999999995</v>
      </c>
      <c r="H7218" s="489">
        <v>66.183899999999994</v>
      </c>
      <c r="I7218" s="487" t="s">
        <v>1499</v>
      </c>
      <c r="J7218" s="487" t="s">
        <v>1373</v>
      </c>
    </row>
    <row r="7219" spans="1:10" ht="15" x14ac:dyDescent="0.2">
      <c r="A7219" s="486" t="s">
        <v>1372</v>
      </c>
      <c r="B7219" s="487" t="s">
        <v>1371</v>
      </c>
      <c r="C7219" s="488" t="s">
        <v>22766</v>
      </c>
      <c r="D7219" s="489" t="s">
        <v>22767</v>
      </c>
      <c r="E7219" s="487" t="s">
        <v>22768</v>
      </c>
      <c r="F7219" s="490">
        <v>12000</v>
      </c>
      <c r="G7219" s="489">
        <v>126.7</v>
      </c>
      <c r="H7219" s="489">
        <v>94.711920000000006</v>
      </c>
      <c r="I7219" s="487" t="s">
        <v>1499</v>
      </c>
      <c r="J7219" s="487" t="s">
        <v>1373</v>
      </c>
    </row>
    <row r="7220" spans="1:10" ht="15" x14ac:dyDescent="0.2">
      <c r="A7220" s="486" t="s">
        <v>1372</v>
      </c>
      <c r="B7220" s="487" t="s">
        <v>1371</v>
      </c>
      <c r="C7220" s="488" t="s">
        <v>22769</v>
      </c>
      <c r="D7220" s="489" t="s">
        <v>22770</v>
      </c>
      <c r="E7220" s="487" t="s">
        <v>22771</v>
      </c>
      <c r="F7220" s="490">
        <v>12100</v>
      </c>
      <c r="G7220" s="489">
        <v>155.5</v>
      </c>
      <c r="H7220" s="489">
        <v>77.813500000000005</v>
      </c>
      <c r="I7220" s="487" t="s">
        <v>1499</v>
      </c>
      <c r="J7220" s="487" t="s">
        <v>1373</v>
      </c>
    </row>
    <row r="7221" spans="1:10" ht="15" x14ac:dyDescent="0.2">
      <c r="A7221" s="486" t="s">
        <v>1372</v>
      </c>
      <c r="B7221" s="487" t="s">
        <v>1371</v>
      </c>
      <c r="C7221" s="488" t="s">
        <v>22772</v>
      </c>
      <c r="D7221" s="489" t="s">
        <v>22773</v>
      </c>
      <c r="E7221" s="487" t="s">
        <v>22774</v>
      </c>
      <c r="F7221" s="490">
        <v>76000</v>
      </c>
      <c r="G7221" s="489">
        <v>825.1</v>
      </c>
      <c r="H7221" s="489">
        <v>92.110050000000001</v>
      </c>
      <c r="I7221" s="487" t="s">
        <v>1499</v>
      </c>
      <c r="J7221" s="487" t="s">
        <v>1373</v>
      </c>
    </row>
    <row r="7222" spans="1:10" ht="15" x14ac:dyDescent="0.2">
      <c r="A7222" s="486" t="s">
        <v>1372</v>
      </c>
      <c r="B7222" s="487" t="s">
        <v>1371</v>
      </c>
      <c r="C7222" s="488" t="s">
        <v>22775</v>
      </c>
      <c r="D7222" s="489" t="s">
        <v>22776</v>
      </c>
      <c r="E7222" s="487" t="s">
        <v>22777</v>
      </c>
      <c r="F7222" s="490">
        <v>28280</v>
      </c>
      <c r="G7222" s="489">
        <v>262.5</v>
      </c>
      <c r="H7222" s="489">
        <v>107.73333</v>
      </c>
      <c r="I7222" s="487" t="s">
        <v>1499</v>
      </c>
      <c r="J7222" s="487" t="s">
        <v>1373</v>
      </c>
    </row>
    <row r="7223" spans="1:10" ht="15" x14ac:dyDescent="0.2">
      <c r="A7223" s="486" t="s">
        <v>1372</v>
      </c>
      <c r="B7223" s="487" t="s">
        <v>1371</v>
      </c>
      <c r="C7223" s="488" t="s">
        <v>22778</v>
      </c>
      <c r="D7223" s="489" t="s">
        <v>22779</v>
      </c>
      <c r="E7223" s="487" t="s">
        <v>22780</v>
      </c>
      <c r="F7223" s="490">
        <v>0</v>
      </c>
      <c r="G7223" s="489">
        <v>72</v>
      </c>
      <c r="H7223" s="489">
        <v>0</v>
      </c>
      <c r="I7223" s="487" t="s">
        <v>1593</v>
      </c>
      <c r="J7223" s="487" t="s">
        <v>1373</v>
      </c>
    </row>
    <row r="7224" spans="1:10" ht="15" x14ac:dyDescent="0.2">
      <c r="A7224" s="486" t="s">
        <v>1372</v>
      </c>
      <c r="B7224" s="487" t="s">
        <v>1371</v>
      </c>
      <c r="C7224" s="488" t="s">
        <v>22781</v>
      </c>
      <c r="D7224" s="489" t="s">
        <v>22782</v>
      </c>
      <c r="E7224" s="487" t="s">
        <v>22783</v>
      </c>
      <c r="F7224" s="490">
        <v>0</v>
      </c>
      <c r="G7224" s="489">
        <v>45</v>
      </c>
      <c r="H7224" s="489">
        <v>0</v>
      </c>
      <c r="I7224" s="487" t="s">
        <v>1593</v>
      </c>
      <c r="J7224" s="487" t="s">
        <v>1373</v>
      </c>
    </row>
    <row r="7225" spans="1:10" ht="15" x14ac:dyDescent="0.2">
      <c r="A7225" s="486" t="s">
        <v>1372</v>
      </c>
      <c r="B7225" s="487" t="s">
        <v>1371</v>
      </c>
      <c r="C7225" s="488" t="s">
        <v>22784</v>
      </c>
      <c r="D7225" s="489" t="s">
        <v>22785</v>
      </c>
      <c r="E7225" s="487" t="s">
        <v>22786</v>
      </c>
      <c r="F7225" s="490">
        <v>28336</v>
      </c>
      <c r="G7225" s="489">
        <v>240.3</v>
      </c>
      <c r="H7225" s="489">
        <v>117.91927</v>
      </c>
      <c r="I7225" s="487" t="s">
        <v>1499</v>
      </c>
      <c r="J7225" s="487" t="s">
        <v>1373</v>
      </c>
    </row>
    <row r="7226" spans="1:10" ht="15" x14ac:dyDescent="0.2">
      <c r="A7226" s="486" t="s">
        <v>1372</v>
      </c>
      <c r="B7226" s="487" t="s">
        <v>1371</v>
      </c>
      <c r="C7226" s="488" t="s">
        <v>22787</v>
      </c>
      <c r="D7226" s="489" t="s">
        <v>22788</v>
      </c>
      <c r="E7226" s="487" t="s">
        <v>22789</v>
      </c>
      <c r="F7226" s="490">
        <v>143083</v>
      </c>
      <c r="G7226" s="489">
        <v>954.5</v>
      </c>
      <c r="H7226" s="489">
        <v>149.90360999999999</v>
      </c>
      <c r="I7226" s="487" t="s">
        <v>1499</v>
      </c>
      <c r="J7226" s="487" t="s">
        <v>1373</v>
      </c>
    </row>
    <row r="7227" spans="1:10" ht="15" x14ac:dyDescent="0.2">
      <c r="A7227" s="486" t="s">
        <v>1372</v>
      </c>
      <c r="B7227" s="487" t="s">
        <v>1371</v>
      </c>
      <c r="C7227" s="488" t="s">
        <v>22790</v>
      </c>
      <c r="D7227" s="489" t="s">
        <v>22791</v>
      </c>
      <c r="E7227" s="487" t="s">
        <v>22792</v>
      </c>
      <c r="F7227" s="490">
        <v>42543</v>
      </c>
      <c r="G7227" s="489">
        <v>314.5</v>
      </c>
      <c r="H7227" s="489">
        <v>135.27186</v>
      </c>
      <c r="I7227" s="487" t="s">
        <v>1499</v>
      </c>
      <c r="J7227" s="487" t="s">
        <v>1373</v>
      </c>
    </row>
    <row r="7228" spans="1:10" ht="15" x14ac:dyDescent="0.2">
      <c r="A7228" s="486" t="s">
        <v>1372</v>
      </c>
      <c r="B7228" s="487" t="s">
        <v>1371</v>
      </c>
      <c r="C7228" s="488" t="s">
        <v>22793</v>
      </c>
      <c r="D7228" s="489" t="s">
        <v>22794</v>
      </c>
      <c r="E7228" s="487" t="s">
        <v>22795</v>
      </c>
      <c r="F7228" s="490">
        <v>38000</v>
      </c>
      <c r="G7228" s="489">
        <v>185</v>
      </c>
      <c r="H7228" s="489">
        <v>205.40540999999999</v>
      </c>
      <c r="I7228" s="487" t="s">
        <v>1499</v>
      </c>
      <c r="J7228" s="487" t="s">
        <v>1373</v>
      </c>
    </row>
    <row r="7229" spans="1:10" ht="15" x14ac:dyDescent="0.2">
      <c r="A7229" s="486" t="s">
        <v>1372</v>
      </c>
      <c r="B7229" s="487" t="s">
        <v>1371</v>
      </c>
      <c r="C7229" s="488" t="s">
        <v>22796</v>
      </c>
      <c r="D7229" s="489" t="s">
        <v>22797</v>
      </c>
      <c r="E7229" s="487" t="s">
        <v>22798</v>
      </c>
      <c r="F7229" s="490">
        <v>1643344</v>
      </c>
      <c r="G7229" s="489">
        <v>9276.2000000000007</v>
      </c>
      <c r="H7229" s="489">
        <v>177.15702999999999</v>
      </c>
      <c r="I7229" s="487" t="s">
        <v>1499</v>
      </c>
      <c r="J7229" s="487" t="s">
        <v>1373</v>
      </c>
    </row>
    <row r="7230" spans="1:10" ht="15" x14ac:dyDescent="0.2">
      <c r="A7230" s="486" t="s">
        <v>1372</v>
      </c>
      <c r="B7230" s="487" t="s">
        <v>1371</v>
      </c>
      <c r="C7230" s="488" t="s">
        <v>22799</v>
      </c>
      <c r="D7230" s="489" t="s">
        <v>22800</v>
      </c>
      <c r="E7230" s="487" t="s">
        <v>22801</v>
      </c>
      <c r="F7230" s="490">
        <v>119000</v>
      </c>
      <c r="G7230" s="489">
        <v>1408.1</v>
      </c>
      <c r="H7230" s="489">
        <v>84.511039999999994</v>
      </c>
      <c r="I7230" s="487" t="s">
        <v>1499</v>
      </c>
      <c r="J7230" s="487" t="s">
        <v>1373</v>
      </c>
    </row>
    <row r="7231" spans="1:10" ht="15" x14ac:dyDescent="0.2">
      <c r="A7231" s="486" t="s">
        <v>1372</v>
      </c>
      <c r="B7231" s="487" t="s">
        <v>1371</v>
      </c>
      <c r="C7231" s="488" t="s">
        <v>22802</v>
      </c>
      <c r="D7231" s="489" t="s">
        <v>22803</v>
      </c>
      <c r="E7231" s="487" t="s">
        <v>9168</v>
      </c>
      <c r="F7231" s="490">
        <v>39000</v>
      </c>
      <c r="G7231" s="489">
        <v>291.5</v>
      </c>
      <c r="H7231" s="489">
        <v>133.79074</v>
      </c>
      <c r="I7231" s="487" t="s">
        <v>1499</v>
      </c>
      <c r="J7231" s="487" t="s">
        <v>1373</v>
      </c>
    </row>
    <row r="7232" spans="1:10" ht="15" x14ac:dyDescent="0.2">
      <c r="A7232" s="486" t="s">
        <v>1372</v>
      </c>
      <c r="B7232" s="487" t="s">
        <v>1371</v>
      </c>
      <c r="C7232" s="488" t="s">
        <v>22804</v>
      </c>
      <c r="D7232" s="489" t="s">
        <v>22805</v>
      </c>
      <c r="E7232" s="487" t="s">
        <v>22806</v>
      </c>
      <c r="F7232" s="490">
        <v>2600</v>
      </c>
      <c r="G7232" s="489">
        <v>79.900000000000006</v>
      </c>
      <c r="H7232" s="489">
        <v>32.540680000000002</v>
      </c>
      <c r="I7232" s="487" t="s">
        <v>1499</v>
      </c>
      <c r="J7232" s="487" t="s">
        <v>1373</v>
      </c>
    </row>
    <row r="7233" spans="1:10" ht="15" x14ac:dyDescent="0.2">
      <c r="A7233" s="486" t="s">
        <v>1372</v>
      </c>
      <c r="B7233" s="487" t="s">
        <v>1371</v>
      </c>
      <c r="C7233" s="488" t="s">
        <v>22807</v>
      </c>
      <c r="D7233" s="489" t="s">
        <v>22808</v>
      </c>
      <c r="E7233" s="487" t="s">
        <v>22809</v>
      </c>
      <c r="F7233" s="490">
        <v>678725</v>
      </c>
      <c r="G7233" s="489">
        <v>5704.2</v>
      </c>
      <c r="H7233" s="489">
        <v>118.98689</v>
      </c>
      <c r="I7233" s="487" t="s">
        <v>1499</v>
      </c>
      <c r="J7233" s="487" t="s">
        <v>1373</v>
      </c>
    </row>
    <row r="7234" spans="1:10" ht="15" x14ac:dyDescent="0.2">
      <c r="A7234" s="486" t="s">
        <v>1372</v>
      </c>
      <c r="B7234" s="487" t="s">
        <v>1371</v>
      </c>
      <c r="C7234" s="488" t="s">
        <v>22810</v>
      </c>
      <c r="D7234" s="489" t="s">
        <v>22811</v>
      </c>
      <c r="E7234" s="487" t="s">
        <v>22812</v>
      </c>
      <c r="F7234" s="490">
        <v>13516</v>
      </c>
      <c r="G7234" s="489">
        <v>150.5</v>
      </c>
      <c r="H7234" s="489">
        <v>89.807310000000001</v>
      </c>
      <c r="I7234" s="487" t="s">
        <v>1499</v>
      </c>
      <c r="J7234" s="487" t="s">
        <v>1373</v>
      </c>
    </row>
    <row r="7235" spans="1:10" ht="15" x14ac:dyDescent="0.2">
      <c r="A7235" s="486" t="s">
        <v>1372</v>
      </c>
      <c r="B7235" s="487" t="s">
        <v>1371</v>
      </c>
      <c r="C7235" s="488" t="s">
        <v>22813</v>
      </c>
      <c r="D7235" s="489" t="s">
        <v>22814</v>
      </c>
      <c r="E7235" s="487" t="s">
        <v>22815</v>
      </c>
      <c r="F7235" s="490">
        <v>29180</v>
      </c>
      <c r="G7235" s="489">
        <v>341.5</v>
      </c>
      <c r="H7235" s="489">
        <v>85.446560000000005</v>
      </c>
      <c r="I7235" s="487" t="s">
        <v>1499</v>
      </c>
      <c r="J7235" s="487" t="s">
        <v>1373</v>
      </c>
    </row>
    <row r="7236" spans="1:10" ht="15" x14ac:dyDescent="0.2">
      <c r="A7236" s="486" t="s">
        <v>1372</v>
      </c>
      <c r="B7236" s="487" t="s">
        <v>1371</v>
      </c>
      <c r="C7236" s="488" t="s">
        <v>22816</v>
      </c>
      <c r="D7236" s="489" t="s">
        <v>22817</v>
      </c>
      <c r="E7236" s="487" t="s">
        <v>22818</v>
      </c>
      <c r="F7236" s="490">
        <v>369181</v>
      </c>
      <c r="G7236" s="489">
        <v>3452.1</v>
      </c>
      <c r="H7236" s="489">
        <v>106.94389</v>
      </c>
      <c r="I7236" s="487" t="s">
        <v>1499</v>
      </c>
      <c r="J7236" s="487" t="s">
        <v>1373</v>
      </c>
    </row>
    <row r="7237" spans="1:10" ht="15" x14ac:dyDescent="0.2">
      <c r="A7237" s="486" t="s">
        <v>1372</v>
      </c>
      <c r="B7237" s="487" t="s">
        <v>1371</v>
      </c>
      <c r="C7237" s="488" t="s">
        <v>22819</v>
      </c>
      <c r="D7237" s="489" t="s">
        <v>22820</v>
      </c>
      <c r="E7237" s="487" t="s">
        <v>22821</v>
      </c>
      <c r="F7237" s="490">
        <v>0</v>
      </c>
      <c r="G7237" s="489">
        <v>41.4</v>
      </c>
      <c r="H7237" s="489">
        <v>0</v>
      </c>
      <c r="I7237" s="487" t="s">
        <v>1593</v>
      </c>
      <c r="J7237" s="487" t="s">
        <v>1373</v>
      </c>
    </row>
    <row r="7238" spans="1:10" ht="15" x14ac:dyDescent="0.2">
      <c r="A7238" s="486" t="s">
        <v>1372</v>
      </c>
      <c r="B7238" s="487" t="s">
        <v>1371</v>
      </c>
      <c r="C7238" s="488" t="s">
        <v>22822</v>
      </c>
      <c r="D7238" s="489" t="s">
        <v>22823</v>
      </c>
      <c r="E7238" s="487" t="s">
        <v>17488</v>
      </c>
      <c r="F7238" s="490">
        <v>0</v>
      </c>
      <c r="G7238" s="489">
        <v>27.7</v>
      </c>
      <c r="H7238" s="489">
        <v>0</v>
      </c>
      <c r="I7238" s="487" t="s">
        <v>1593</v>
      </c>
      <c r="J7238" s="487" t="s">
        <v>1373</v>
      </c>
    </row>
    <row r="7239" spans="1:10" ht="15" x14ac:dyDescent="0.2">
      <c r="A7239" s="486" t="s">
        <v>1372</v>
      </c>
      <c r="B7239" s="487" t="s">
        <v>1371</v>
      </c>
      <c r="C7239" s="488" t="s">
        <v>22824</v>
      </c>
      <c r="D7239" s="489" t="s">
        <v>22825</v>
      </c>
      <c r="E7239" s="487" t="s">
        <v>22826</v>
      </c>
      <c r="F7239" s="490">
        <v>26689</v>
      </c>
      <c r="G7239" s="489">
        <v>300</v>
      </c>
      <c r="H7239" s="489">
        <v>88.963329999999999</v>
      </c>
      <c r="I7239" s="487" t="s">
        <v>1499</v>
      </c>
      <c r="J7239" s="487" t="s">
        <v>1373</v>
      </c>
    </row>
    <row r="7240" spans="1:10" ht="15" x14ac:dyDescent="0.2">
      <c r="A7240" s="486" t="s">
        <v>1372</v>
      </c>
      <c r="B7240" s="487" t="s">
        <v>1371</v>
      </c>
      <c r="C7240" s="488" t="s">
        <v>22827</v>
      </c>
      <c r="D7240" s="489" t="s">
        <v>22828</v>
      </c>
      <c r="E7240" s="487" t="s">
        <v>22829</v>
      </c>
      <c r="F7240" s="490">
        <v>14500</v>
      </c>
      <c r="G7240" s="489">
        <v>173.6</v>
      </c>
      <c r="H7240" s="489">
        <v>83.525350000000003</v>
      </c>
      <c r="I7240" s="487" t="s">
        <v>1499</v>
      </c>
      <c r="J7240" s="487" t="s">
        <v>1373</v>
      </c>
    </row>
    <row r="7241" spans="1:10" ht="15" x14ac:dyDescent="0.2">
      <c r="A7241" s="486" t="s">
        <v>1372</v>
      </c>
      <c r="B7241" s="487" t="s">
        <v>1371</v>
      </c>
      <c r="C7241" s="488" t="s">
        <v>22830</v>
      </c>
      <c r="D7241" s="489" t="s">
        <v>22831</v>
      </c>
      <c r="E7241" s="487" t="s">
        <v>22832</v>
      </c>
      <c r="F7241" s="490">
        <v>28996</v>
      </c>
      <c r="G7241" s="489">
        <v>232.7</v>
      </c>
      <c r="H7241" s="489">
        <v>124.60679</v>
      </c>
      <c r="I7241" s="487" t="s">
        <v>1499</v>
      </c>
      <c r="J7241" s="487" t="s">
        <v>1373</v>
      </c>
    </row>
    <row r="7242" spans="1:10" ht="15" x14ac:dyDescent="0.2">
      <c r="A7242" s="486" t="s">
        <v>1372</v>
      </c>
      <c r="B7242" s="487" t="s">
        <v>1371</v>
      </c>
      <c r="C7242" s="488" t="s">
        <v>22833</v>
      </c>
      <c r="D7242" s="489" t="s">
        <v>22834</v>
      </c>
      <c r="E7242" s="487" t="s">
        <v>22835</v>
      </c>
      <c r="F7242" s="490">
        <v>14207</v>
      </c>
      <c r="G7242" s="489">
        <v>194.3</v>
      </c>
      <c r="H7242" s="489">
        <v>73.118889999999993</v>
      </c>
      <c r="I7242" s="487" t="s">
        <v>1499</v>
      </c>
      <c r="J7242" s="487" t="s">
        <v>1373</v>
      </c>
    </row>
    <row r="7243" spans="1:10" ht="15" x14ac:dyDescent="0.2">
      <c r="A7243" s="486" t="s">
        <v>1372</v>
      </c>
      <c r="B7243" s="487" t="s">
        <v>1371</v>
      </c>
      <c r="C7243" s="488" t="s">
        <v>22836</v>
      </c>
      <c r="D7243" s="489" t="s">
        <v>22837</v>
      </c>
      <c r="E7243" s="487" t="s">
        <v>22838</v>
      </c>
      <c r="F7243" s="490">
        <v>4500</v>
      </c>
      <c r="G7243" s="489">
        <v>91.3</v>
      </c>
      <c r="H7243" s="489">
        <v>49.288060000000002</v>
      </c>
      <c r="I7243" s="487" t="s">
        <v>1499</v>
      </c>
      <c r="J7243" s="487" t="s">
        <v>1373</v>
      </c>
    </row>
    <row r="7244" spans="1:10" ht="15" x14ac:dyDescent="0.2">
      <c r="A7244" s="486" t="s">
        <v>1372</v>
      </c>
      <c r="B7244" s="487" t="s">
        <v>1371</v>
      </c>
      <c r="C7244" s="488" t="s">
        <v>22839</v>
      </c>
      <c r="D7244" s="489" t="s">
        <v>22840</v>
      </c>
      <c r="E7244" s="487" t="s">
        <v>22841</v>
      </c>
      <c r="F7244" s="490">
        <v>0</v>
      </c>
      <c r="G7244" s="489">
        <v>25</v>
      </c>
      <c r="H7244" s="489">
        <v>0</v>
      </c>
      <c r="I7244" s="487" t="s">
        <v>1593</v>
      </c>
      <c r="J7244" s="487" t="s">
        <v>1373</v>
      </c>
    </row>
    <row r="7245" spans="1:10" ht="15" x14ac:dyDescent="0.2">
      <c r="A7245" s="486" t="s">
        <v>1372</v>
      </c>
      <c r="B7245" s="487" t="s">
        <v>1371</v>
      </c>
      <c r="C7245" s="488" t="s">
        <v>22842</v>
      </c>
      <c r="D7245" s="489" t="s">
        <v>22843</v>
      </c>
      <c r="E7245" s="487" t="s">
        <v>22844</v>
      </c>
      <c r="F7245" s="490">
        <v>42260</v>
      </c>
      <c r="G7245" s="489">
        <v>617.79999999999995</v>
      </c>
      <c r="H7245" s="489">
        <v>68.40401</v>
      </c>
      <c r="I7245" s="487" t="s">
        <v>1499</v>
      </c>
      <c r="J7245" s="487" t="s">
        <v>1373</v>
      </c>
    </row>
    <row r="7246" spans="1:10" ht="15" x14ac:dyDescent="0.2">
      <c r="A7246" s="486" t="s">
        <v>1372</v>
      </c>
      <c r="B7246" s="487" t="s">
        <v>1371</v>
      </c>
      <c r="C7246" s="488" t="s">
        <v>22845</v>
      </c>
      <c r="D7246" s="489" t="s">
        <v>22846</v>
      </c>
      <c r="E7246" s="487" t="s">
        <v>19414</v>
      </c>
      <c r="F7246" s="490">
        <v>34500</v>
      </c>
      <c r="G7246" s="489">
        <v>227.3</v>
      </c>
      <c r="H7246" s="489">
        <v>151.78179</v>
      </c>
      <c r="I7246" s="487" t="s">
        <v>1499</v>
      </c>
      <c r="J7246" s="487" t="s">
        <v>1373</v>
      </c>
    </row>
    <row r="7247" spans="1:10" ht="15" x14ac:dyDescent="0.2">
      <c r="A7247" s="486" t="s">
        <v>1372</v>
      </c>
      <c r="B7247" s="487" t="s">
        <v>1371</v>
      </c>
      <c r="C7247" s="488" t="s">
        <v>22847</v>
      </c>
      <c r="D7247" s="489" t="s">
        <v>22848</v>
      </c>
      <c r="E7247" s="487" t="s">
        <v>22849</v>
      </c>
      <c r="F7247" s="490">
        <v>0</v>
      </c>
      <c r="G7247" s="489">
        <v>50.9</v>
      </c>
      <c r="H7247" s="489">
        <v>0</v>
      </c>
      <c r="I7247" s="487" t="s">
        <v>1593</v>
      </c>
      <c r="J7247" s="487" t="s">
        <v>1373</v>
      </c>
    </row>
    <row r="7248" spans="1:10" ht="15" x14ac:dyDescent="0.2">
      <c r="A7248" s="486" t="s">
        <v>1372</v>
      </c>
      <c r="B7248" s="487" t="s">
        <v>1371</v>
      </c>
      <c r="C7248" s="488" t="s">
        <v>22850</v>
      </c>
      <c r="D7248" s="489" t="s">
        <v>22851</v>
      </c>
      <c r="E7248" s="487" t="s">
        <v>22852</v>
      </c>
      <c r="F7248" s="490">
        <v>198958</v>
      </c>
      <c r="G7248" s="489">
        <v>1631.9</v>
      </c>
      <c r="H7248" s="489">
        <v>121.91801</v>
      </c>
      <c r="I7248" s="487" t="s">
        <v>1499</v>
      </c>
      <c r="J7248" s="487" t="s">
        <v>1373</v>
      </c>
    </row>
    <row r="7249" spans="1:10" ht="15" x14ac:dyDescent="0.2">
      <c r="A7249" s="486" t="s">
        <v>1372</v>
      </c>
      <c r="B7249" s="487" t="s">
        <v>1371</v>
      </c>
      <c r="C7249" s="488" t="s">
        <v>22853</v>
      </c>
      <c r="D7249" s="489" t="s">
        <v>22854</v>
      </c>
      <c r="E7249" s="487" t="s">
        <v>22855</v>
      </c>
      <c r="F7249" s="490">
        <v>27500</v>
      </c>
      <c r="G7249" s="489">
        <v>290</v>
      </c>
      <c r="H7249" s="489">
        <v>94.827590000000001</v>
      </c>
      <c r="I7249" s="487" t="s">
        <v>1499</v>
      </c>
      <c r="J7249" s="487" t="s">
        <v>1373</v>
      </c>
    </row>
    <row r="7250" spans="1:10" ht="15" x14ac:dyDescent="0.2">
      <c r="A7250" s="486" t="s">
        <v>1372</v>
      </c>
      <c r="B7250" s="487" t="s">
        <v>1371</v>
      </c>
      <c r="C7250" s="488" t="s">
        <v>22856</v>
      </c>
      <c r="D7250" s="489" t="s">
        <v>22857</v>
      </c>
      <c r="E7250" s="487" t="s">
        <v>22858</v>
      </c>
      <c r="F7250" s="490">
        <v>16092</v>
      </c>
      <c r="G7250" s="489">
        <v>151.69999999999999</v>
      </c>
      <c r="H7250" s="489">
        <v>106.07778999999999</v>
      </c>
      <c r="I7250" s="487" t="s">
        <v>1499</v>
      </c>
      <c r="J7250" s="487" t="s">
        <v>1373</v>
      </c>
    </row>
    <row r="7251" spans="1:10" ht="15" x14ac:dyDescent="0.2">
      <c r="A7251" s="486" t="s">
        <v>1372</v>
      </c>
      <c r="B7251" s="487" t="s">
        <v>1371</v>
      </c>
      <c r="C7251" s="488" t="s">
        <v>22859</v>
      </c>
      <c r="D7251" s="489" t="s">
        <v>22860</v>
      </c>
      <c r="E7251" s="487" t="s">
        <v>22861</v>
      </c>
      <c r="F7251" s="490">
        <v>45870</v>
      </c>
      <c r="G7251" s="489">
        <v>362.4</v>
      </c>
      <c r="H7251" s="489">
        <v>126.57285</v>
      </c>
      <c r="I7251" s="487" t="s">
        <v>1499</v>
      </c>
      <c r="J7251" s="487" t="s">
        <v>1373</v>
      </c>
    </row>
    <row r="7252" spans="1:10" ht="15" x14ac:dyDescent="0.2">
      <c r="A7252" s="486" t="s">
        <v>1372</v>
      </c>
      <c r="B7252" s="487" t="s">
        <v>1371</v>
      </c>
      <c r="C7252" s="488" t="s">
        <v>22862</v>
      </c>
      <c r="D7252" s="489" t="s">
        <v>22863</v>
      </c>
      <c r="E7252" s="487" t="s">
        <v>22864</v>
      </c>
      <c r="F7252" s="490">
        <v>86000</v>
      </c>
      <c r="G7252" s="489">
        <v>654.70000000000005</v>
      </c>
      <c r="H7252" s="489">
        <v>131.35786999999999</v>
      </c>
      <c r="I7252" s="487" t="s">
        <v>1499</v>
      </c>
      <c r="J7252" s="487" t="s">
        <v>1373</v>
      </c>
    </row>
    <row r="7253" spans="1:10" ht="15" x14ac:dyDescent="0.2">
      <c r="A7253" s="486" t="s">
        <v>1372</v>
      </c>
      <c r="B7253" s="487" t="s">
        <v>1371</v>
      </c>
      <c r="C7253" s="488" t="s">
        <v>22865</v>
      </c>
      <c r="D7253" s="489" t="s">
        <v>22866</v>
      </c>
      <c r="E7253" s="487" t="s">
        <v>22867</v>
      </c>
      <c r="F7253" s="490">
        <v>34800</v>
      </c>
      <c r="G7253" s="489">
        <v>317.89999999999998</v>
      </c>
      <c r="H7253" s="489">
        <v>109.46839</v>
      </c>
      <c r="I7253" s="487" t="s">
        <v>1499</v>
      </c>
      <c r="J7253" s="487" t="s">
        <v>1373</v>
      </c>
    </row>
    <row r="7254" spans="1:10" ht="15" x14ac:dyDescent="0.2">
      <c r="A7254" s="486" t="s">
        <v>1372</v>
      </c>
      <c r="B7254" s="487" t="s">
        <v>1371</v>
      </c>
      <c r="C7254" s="488" t="s">
        <v>22868</v>
      </c>
      <c r="D7254" s="489" t="s">
        <v>22869</v>
      </c>
      <c r="E7254" s="487" t="s">
        <v>22870</v>
      </c>
      <c r="F7254" s="490">
        <v>136177</v>
      </c>
      <c r="G7254" s="489">
        <v>790.6</v>
      </c>
      <c r="H7254" s="489">
        <v>172.24512999999999</v>
      </c>
      <c r="I7254" s="487" t="s">
        <v>1499</v>
      </c>
      <c r="J7254" s="487" t="s">
        <v>1373</v>
      </c>
    </row>
    <row r="7255" spans="1:10" ht="15" x14ac:dyDescent="0.2">
      <c r="A7255" s="486" t="s">
        <v>1372</v>
      </c>
      <c r="B7255" s="487" t="s">
        <v>1371</v>
      </c>
      <c r="C7255" s="488" t="s">
        <v>22871</v>
      </c>
      <c r="D7255" s="489" t="s">
        <v>22872</v>
      </c>
      <c r="E7255" s="487" t="s">
        <v>11612</v>
      </c>
      <c r="F7255" s="490">
        <v>11025</v>
      </c>
      <c r="G7255" s="489">
        <v>144.69999999999999</v>
      </c>
      <c r="H7255" s="489">
        <v>76.192120000000003</v>
      </c>
      <c r="I7255" s="487" t="s">
        <v>1499</v>
      </c>
      <c r="J7255" s="487" t="s">
        <v>1373</v>
      </c>
    </row>
    <row r="7256" spans="1:10" ht="15" x14ac:dyDescent="0.2">
      <c r="A7256" s="486" t="s">
        <v>1372</v>
      </c>
      <c r="B7256" s="487" t="s">
        <v>1371</v>
      </c>
      <c r="C7256" s="488" t="s">
        <v>22873</v>
      </c>
      <c r="D7256" s="489" t="s">
        <v>22874</v>
      </c>
      <c r="E7256" s="487" t="s">
        <v>22875</v>
      </c>
      <c r="F7256" s="490">
        <v>60000</v>
      </c>
      <c r="G7256" s="489">
        <v>1020.9</v>
      </c>
      <c r="H7256" s="489">
        <v>58.77167</v>
      </c>
      <c r="I7256" s="487" t="s">
        <v>1499</v>
      </c>
      <c r="J7256" s="487" t="s">
        <v>1373</v>
      </c>
    </row>
    <row r="7257" spans="1:10" ht="15" x14ac:dyDescent="0.2">
      <c r="A7257" s="486" t="s">
        <v>1372</v>
      </c>
      <c r="B7257" s="487" t="s">
        <v>1371</v>
      </c>
      <c r="C7257" s="488" t="s">
        <v>22876</v>
      </c>
      <c r="D7257" s="489" t="s">
        <v>22877</v>
      </c>
      <c r="E7257" s="487" t="s">
        <v>22878</v>
      </c>
      <c r="F7257" s="490">
        <v>35000</v>
      </c>
      <c r="G7257" s="489">
        <v>241.4</v>
      </c>
      <c r="H7257" s="489">
        <v>144.98757000000001</v>
      </c>
      <c r="I7257" s="487" t="s">
        <v>1499</v>
      </c>
      <c r="J7257" s="487" t="s">
        <v>1373</v>
      </c>
    </row>
    <row r="7258" spans="1:10" ht="15" x14ac:dyDescent="0.2">
      <c r="A7258" s="486" t="s">
        <v>1372</v>
      </c>
      <c r="B7258" s="487" t="s">
        <v>1371</v>
      </c>
      <c r="C7258" s="488" t="s">
        <v>22879</v>
      </c>
      <c r="D7258" s="489" t="s">
        <v>22880</v>
      </c>
      <c r="E7258" s="487" t="s">
        <v>22881</v>
      </c>
      <c r="F7258" s="490">
        <v>32156</v>
      </c>
      <c r="G7258" s="489">
        <v>236.6</v>
      </c>
      <c r="H7258" s="489">
        <v>135.90871000000001</v>
      </c>
      <c r="I7258" s="487" t="s">
        <v>1499</v>
      </c>
      <c r="J7258" s="487" t="s">
        <v>1373</v>
      </c>
    </row>
    <row r="7259" spans="1:10" ht="15" x14ac:dyDescent="0.2">
      <c r="A7259" s="486" t="s">
        <v>1372</v>
      </c>
      <c r="B7259" s="487" t="s">
        <v>1371</v>
      </c>
      <c r="C7259" s="488" t="s">
        <v>22882</v>
      </c>
      <c r="D7259" s="489" t="s">
        <v>22883</v>
      </c>
      <c r="E7259" s="487" t="s">
        <v>22884</v>
      </c>
      <c r="F7259" s="490">
        <v>185200</v>
      </c>
      <c r="G7259" s="489">
        <v>1148.2</v>
      </c>
      <c r="H7259" s="489">
        <v>161.29594</v>
      </c>
      <c r="I7259" s="487" t="s">
        <v>1499</v>
      </c>
      <c r="J7259" s="487" t="s">
        <v>1373</v>
      </c>
    </row>
    <row r="7260" spans="1:10" ht="15" x14ac:dyDescent="0.2">
      <c r="A7260" s="486" t="s">
        <v>1372</v>
      </c>
      <c r="B7260" s="487" t="s">
        <v>1371</v>
      </c>
      <c r="C7260" s="488" t="s">
        <v>22885</v>
      </c>
      <c r="D7260" s="489" t="s">
        <v>22886</v>
      </c>
      <c r="E7260" s="487" t="s">
        <v>22887</v>
      </c>
      <c r="F7260" s="490">
        <v>85000</v>
      </c>
      <c r="G7260" s="489">
        <v>694.9</v>
      </c>
      <c r="H7260" s="489">
        <v>122.31976</v>
      </c>
      <c r="I7260" s="487" t="s">
        <v>1499</v>
      </c>
      <c r="J7260" s="487" t="s">
        <v>1373</v>
      </c>
    </row>
    <row r="7261" spans="1:10" ht="15" x14ac:dyDescent="0.2">
      <c r="A7261" s="486" t="s">
        <v>1372</v>
      </c>
      <c r="B7261" s="487" t="s">
        <v>1371</v>
      </c>
      <c r="C7261" s="488" t="s">
        <v>22888</v>
      </c>
      <c r="D7261" s="489" t="s">
        <v>22889</v>
      </c>
      <c r="E7261" s="487" t="s">
        <v>22890</v>
      </c>
      <c r="F7261" s="490">
        <v>0</v>
      </c>
      <c r="G7261" s="489">
        <v>52.2</v>
      </c>
      <c r="H7261" s="489">
        <v>0</v>
      </c>
      <c r="I7261" s="487" t="s">
        <v>1593</v>
      </c>
      <c r="J7261" s="487" t="s">
        <v>1373</v>
      </c>
    </row>
    <row r="7262" spans="1:10" ht="15" x14ac:dyDescent="0.2">
      <c r="A7262" s="486" t="s">
        <v>1372</v>
      </c>
      <c r="B7262" s="487" t="s">
        <v>1371</v>
      </c>
      <c r="C7262" s="488" t="s">
        <v>22891</v>
      </c>
      <c r="D7262" s="489" t="s">
        <v>22892</v>
      </c>
      <c r="E7262" s="487" t="s">
        <v>22893</v>
      </c>
      <c r="F7262" s="490">
        <v>500</v>
      </c>
      <c r="G7262" s="489">
        <v>124</v>
      </c>
      <c r="H7262" s="489">
        <v>4.03226</v>
      </c>
      <c r="I7262" s="487" t="s">
        <v>1499</v>
      </c>
      <c r="J7262" s="487" t="s">
        <v>1373</v>
      </c>
    </row>
    <row r="7263" spans="1:10" ht="15" x14ac:dyDescent="0.2">
      <c r="A7263" s="486" t="s">
        <v>1372</v>
      </c>
      <c r="B7263" s="487" t="s">
        <v>1371</v>
      </c>
      <c r="C7263" s="488" t="s">
        <v>22894</v>
      </c>
      <c r="D7263" s="489" t="s">
        <v>22895</v>
      </c>
      <c r="E7263" s="487" t="s">
        <v>22896</v>
      </c>
      <c r="F7263" s="490">
        <v>31926</v>
      </c>
      <c r="G7263" s="489">
        <v>406.1</v>
      </c>
      <c r="H7263" s="489">
        <v>78.616100000000003</v>
      </c>
      <c r="I7263" s="487" t="s">
        <v>1499</v>
      </c>
      <c r="J7263" s="487" t="s">
        <v>1373</v>
      </c>
    </row>
    <row r="7264" spans="1:10" ht="15" x14ac:dyDescent="0.2">
      <c r="A7264" s="486" t="s">
        <v>1372</v>
      </c>
      <c r="B7264" s="487" t="s">
        <v>1371</v>
      </c>
      <c r="C7264" s="488" t="s">
        <v>22897</v>
      </c>
      <c r="D7264" s="489" t="s">
        <v>22898</v>
      </c>
      <c r="E7264" s="487" t="s">
        <v>22899</v>
      </c>
      <c r="F7264" s="490">
        <v>0</v>
      </c>
      <c r="G7264" s="489">
        <v>105.5</v>
      </c>
      <c r="H7264" s="489">
        <v>0</v>
      </c>
      <c r="I7264" s="487" t="s">
        <v>1593</v>
      </c>
      <c r="J7264" s="487" t="s">
        <v>1373</v>
      </c>
    </row>
    <row r="7265" spans="1:10" ht="15" x14ac:dyDescent="0.2">
      <c r="A7265" s="486" t="s">
        <v>1372</v>
      </c>
      <c r="B7265" s="487" t="s">
        <v>1371</v>
      </c>
      <c r="C7265" s="488" t="s">
        <v>22900</v>
      </c>
      <c r="D7265" s="489" t="s">
        <v>22901</v>
      </c>
      <c r="E7265" s="487" t="s">
        <v>22902</v>
      </c>
      <c r="F7265" s="490">
        <v>22250</v>
      </c>
      <c r="G7265" s="489">
        <v>179.8</v>
      </c>
      <c r="H7265" s="489">
        <v>123.74861</v>
      </c>
      <c r="I7265" s="487" t="s">
        <v>1499</v>
      </c>
      <c r="J7265" s="487" t="s">
        <v>1373</v>
      </c>
    </row>
    <row r="7266" spans="1:10" ht="15" x14ac:dyDescent="0.2">
      <c r="A7266" s="486" t="s">
        <v>1372</v>
      </c>
      <c r="B7266" s="487" t="s">
        <v>1371</v>
      </c>
      <c r="C7266" s="488" t="s">
        <v>22903</v>
      </c>
      <c r="D7266" s="489" t="s">
        <v>22904</v>
      </c>
      <c r="E7266" s="487" t="s">
        <v>22905</v>
      </c>
      <c r="F7266" s="490">
        <v>0</v>
      </c>
      <c r="G7266" s="489">
        <v>44.4</v>
      </c>
      <c r="H7266" s="489">
        <v>0</v>
      </c>
      <c r="I7266" s="487" t="s">
        <v>1593</v>
      </c>
      <c r="J7266" s="487" t="s">
        <v>1373</v>
      </c>
    </row>
    <row r="7267" spans="1:10" ht="15" x14ac:dyDescent="0.2">
      <c r="A7267" s="486" t="s">
        <v>1372</v>
      </c>
      <c r="B7267" s="487" t="s">
        <v>1371</v>
      </c>
      <c r="C7267" s="488" t="s">
        <v>22906</v>
      </c>
      <c r="D7267" s="489" t="s">
        <v>22907</v>
      </c>
      <c r="E7267" s="487" t="s">
        <v>22908</v>
      </c>
      <c r="F7267" s="490">
        <v>14909</v>
      </c>
      <c r="G7267" s="489">
        <v>172.4</v>
      </c>
      <c r="H7267" s="489">
        <v>86.479119999999995</v>
      </c>
      <c r="I7267" s="487" t="s">
        <v>1499</v>
      </c>
      <c r="J7267" s="487" t="s">
        <v>1373</v>
      </c>
    </row>
    <row r="7268" spans="1:10" ht="15" x14ac:dyDescent="0.2">
      <c r="A7268" s="486" t="s">
        <v>1372</v>
      </c>
      <c r="B7268" s="487" t="s">
        <v>1371</v>
      </c>
      <c r="C7268" s="488" t="s">
        <v>22909</v>
      </c>
      <c r="D7268" s="489" t="s">
        <v>22910</v>
      </c>
      <c r="E7268" s="487" t="s">
        <v>22911</v>
      </c>
      <c r="F7268" s="490">
        <v>31500</v>
      </c>
      <c r="G7268" s="489">
        <v>1063.5</v>
      </c>
      <c r="H7268" s="489">
        <v>29.61918</v>
      </c>
      <c r="I7268" s="487" t="s">
        <v>1499</v>
      </c>
      <c r="J7268" s="487" t="s">
        <v>1373</v>
      </c>
    </row>
    <row r="7269" spans="1:10" ht="15" x14ac:dyDescent="0.2">
      <c r="A7269" s="486" t="s">
        <v>1372</v>
      </c>
      <c r="B7269" s="487" t="s">
        <v>1371</v>
      </c>
      <c r="C7269" s="488" t="s">
        <v>22912</v>
      </c>
      <c r="D7269" s="489" t="s">
        <v>22913</v>
      </c>
      <c r="E7269" s="487" t="s">
        <v>22914</v>
      </c>
      <c r="F7269" s="490">
        <v>0</v>
      </c>
      <c r="G7269" s="489">
        <v>34.700000000000003</v>
      </c>
      <c r="H7269" s="489">
        <v>0</v>
      </c>
      <c r="I7269" s="487" t="s">
        <v>1593</v>
      </c>
      <c r="J7269" s="487" t="s">
        <v>1373</v>
      </c>
    </row>
    <row r="7270" spans="1:10" ht="15" x14ac:dyDescent="0.2">
      <c r="A7270" s="486" t="s">
        <v>1372</v>
      </c>
      <c r="B7270" s="487" t="s">
        <v>1371</v>
      </c>
      <c r="C7270" s="488" t="s">
        <v>22915</v>
      </c>
      <c r="D7270" s="489" t="s">
        <v>22916</v>
      </c>
      <c r="E7270" s="487" t="s">
        <v>22917</v>
      </c>
      <c r="F7270" s="490">
        <v>60000</v>
      </c>
      <c r="G7270" s="489">
        <v>556.29999999999995</v>
      </c>
      <c r="H7270" s="489">
        <v>107.85547</v>
      </c>
      <c r="I7270" s="487" t="s">
        <v>1499</v>
      </c>
      <c r="J7270" s="487" t="s">
        <v>1373</v>
      </c>
    </row>
    <row r="7271" spans="1:10" ht="15" x14ac:dyDescent="0.2">
      <c r="A7271" s="486" t="s">
        <v>1372</v>
      </c>
      <c r="B7271" s="487" t="s">
        <v>1371</v>
      </c>
      <c r="C7271" s="488" t="s">
        <v>22918</v>
      </c>
      <c r="D7271" s="489" t="s">
        <v>22919</v>
      </c>
      <c r="E7271" s="487" t="s">
        <v>22920</v>
      </c>
      <c r="F7271" s="490">
        <v>90433</v>
      </c>
      <c r="G7271" s="489">
        <v>863.3</v>
      </c>
      <c r="H7271" s="489">
        <v>104.75269</v>
      </c>
      <c r="I7271" s="487" t="s">
        <v>1499</v>
      </c>
      <c r="J7271" s="487" t="s">
        <v>1373</v>
      </c>
    </row>
    <row r="7272" spans="1:10" ht="15" x14ac:dyDescent="0.2">
      <c r="A7272" s="486" t="s">
        <v>1372</v>
      </c>
      <c r="B7272" s="487" t="s">
        <v>1371</v>
      </c>
      <c r="C7272" s="488" t="s">
        <v>22921</v>
      </c>
      <c r="D7272" s="489" t="s">
        <v>22922</v>
      </c>
      <c r="E7272" s="487" t="s">
        <v>22923</v>
      </c>
      <c r="F7272" s="490">
        <v>96000</v>
      </c>
      <c r="G7272" s="489">
        <v>556.5</v>
      </c>
      <c r="H7272" s="489">
        <v>172.50674000000001</v>
      </c>
      <c r="I7272" s="487" t="s">
        <v>1499</v>
      </c>
      <c r="J7272" s="487" t="s">
        <v>1373</v>
      </c>
    </row>
    <row r="7273" spans="1:10" ht="15" x14ac:dyDescent="0.2">
      <c r="A7273" s="486" t="s">
        <v>1372</v>
      </c>
      <c r="B7273" s="487" t="s">
        <v>1371</v>
      </c>
      <c r="C7273" s="488" t="s">
        <v>22924</v>
      </c>
      <c r="D7273" s="489" t="s">
        <v>22925</v>
      </c>
      <c r="E7273" s="487" t="s">
        <v>22926</v>
      </c>
      <c r="F7273" s="490">
        <v>9000</v>
      </c>
      <c r="G7273" s="489">
        <v>123.5</v>
      </c>
      <c r="H7273" s="489">
        <v>72.874489999999994</v>
      </c>
      <c r="I7273" s="487" t="s">
        <v>1499</v>
      </c>
      <c r="J7273" s="487" t="s">
        <v>1373</v>
      </c>
    </row>
    <row r="7274" spans="1:10" ht="15" x14ac:dyDescent="0.2">
      <c r="A7274" s="486" t="s">
        <v>1372</v>
      </c>
      <c r="B7274" s="487" t="s">
        <v>1371</v>
      </c>
      <c r="C7274" s="488" t="s">
        <v>22927</v>
      </c>
      <c r="D7274" s="489" t="s">
        <v>22928</v>
      </c>
      <c r="E7274" s="487" t="s">
        <v>22929</v>
      </c>
      <c r="F7274" s="490">
        <v>25850</v>
      </c>
      <c r="G7274" s="489">
        <v>160.80000000000001</v>
      </c>
      <c r="H7274" s="489">
        <v>160.75871000000001</v>
      </c>
      <c r="I7274" s="487" t="s">
        <v>1499</v>
      </c>
      <c r="J7274" s="487" t="s">
        <v>1373</v>
      </c>
    </row>
    <row r="7275" spans="1:10" ht="15" x14ac:dyDescent="0.2">
      <c r="A7275" s="486" t="s">
        <v>1372</v>
      </c>
      <c r="B7275" s="487" t="s">
        <v>1371</v>
      </c>
      <c r="C7275" s="488" t="s">
        <v>22930</v>
      </c>
      <c r="D7275" s="489" t="s">
        <v>22931</v>
      </c>
      <c r="E7275" s="487" t="s">
        <v>22932</v>
      </c>
      <c r="F7275" s="490">
        <v>12500</v>
      </c>
      <c r="G7275" s="489">
        <v>170.4</v>
      </c>
      <c r="H7275" s="489">
        <v>73.356809999999996</v>
      </c>
      <c r="I7275" s="487" t="s">
        <v>1499</v>
      </c>
      <c r="J7275" s="487" t="s">
        <v>1373</v>
      </c>
    </row>
    <row r="7276" spans="1:10" ht="15" x14ac:dyDescent="0.2">
      <c r="A7276" s="486" t="s">
        <v>1372</v>
      </c>
      <c r="B7276" s="487" t="s">
        <v>1371</v>
      </c>
      <c r="C7276" s="488" t="s">
        <v>22933</v>
      </c>
      <c r="D7276" s="489" t="s">
        <v>22934</v>
      </c>
      <c r="E7276" s="487" t="s">
        <v>22935</v>
      </c>
      <c r="F7276" s="490">
        <v>19886</v>
      </c>
      <c r="G7276" s="489">
        <v>203.1</v>
      </c>
      <c r="H7276" s="489">
        <v>97.912360000000007</v>
      </c>
      <c r="I7276" s="487" t="s">
        <v>1499</v>
      </c>
      <c r="J7276" s="487" t="s">
        <v>1373</v>
      </c>
    </row>
    <row r="7277" spans="1:10" ht="15" x14ac:dyDescent="0.2">
      <c r="A7277" s="486" t="s">
        <v>1372</v>
      </c>
      <c r="B7277" s="487" t="s">
        <v>1371</v>
      </c>
      <c r="C7277" s="488" t="s">
        <v>22936</v>
      </c>
      <c r="D7277" s="489" t="s">
        <v>22937</v>
      </c>
      <c r="E7277" s="487" t="s">
        <v>22938</v>
      </c>
      <c r="F7277" s="490">
        <v>196316</v>
      </c>
      <c r="G7277" s="489">
        <v>1719.6</v>
      </c>
      <c r="H7277" s="489">
        <v>114.16376</v>
      </c>
      <c r="I7277" s="487" t="s">
        <v>1499</v>
      </c>
      <c r="J7277" s="487" t="s">
        <v>1373</v>
      </c>
    </row>
    <row r="7278" spans="1:10" ht="15" x14ac:dyDescent="0.2">
      <c r="A7278" s="486" t="s">
        <v>1372</v>
      </c>
      <c r="B7278" s="487" t="s">
        <v>1371</v>
      </c>
      <c r="C7278" s="488" t="s">
        <v>22939</v>
      </c>
      <c r="D7278" s="489" t="s">
        <v>22940</v>
      </c>
      <c r="E7278" s="487" t="s">
        <v>22941</v>
      </c>
      <c r="F7278" s="490">
        <v>5000</v>
      </c>
      <c r="G7278" s="489">
        <v>89.3</v>
      </c>
      <c r="H7278" s="489">
        <v>55.991039999999998</v>
      </c>
      <c r="I7278" s="487" t="s">
        <v>1499</v>
      </c>
      <c r="J7278" s="487" t="s">
        <v>1373</v>
      </c>
    </row>
    <row r="7279" spans="1:10" ht="15" x14ac:dyDescent="0.2">
      <c r="A7279" s="486" t="s">
        <v>1372</v>
      </c>
      <c r="B7279" s="487" t="s">
        <v>1371</v>
      </c>
      <c r="C7279" s="488" t="s">
        <v>22942</v>
      </c>
      <c r="D7279" s="489" t="s">
        <v>22943</v>
      </c>
      <c r="E7279" s="487" t="s">
        <v>22944</v>
      </c>
      <c r="F7279" s="490">
        <v>11999</v>
      </c>
      <c r="G7279" s="489">
        <v>166</v>
      </c>
      <c r="H7279" s="489">
        <v>72.28313</v>
      </c>
      <c r="I7279" s="487" t="s">
        <v>1499</v>
      </c>
      <c r="J7279" s="487" t="s">
        <v>1373</v>
      </c>
    </row>
    <row r="7280" spans="1:10" ht="15" x14ac:dyDescent="0.2">
      <c r="A7280" s="486" t="s">
        <v>1372</v>
      </c>
      <c r="B7280" s="487" t="s">
        <v>1371</v>
      </c>
      <c r="C7280" s="488" t="s">
        <v>22945</v>
      </c>
      <c r="D7280" s="489" t="s">
        <v>22946</v>
      </c>
      <c r="E7280" s="487" t="s">
        <v>22947</v>
      </c>
      <c r="F7280" s="490">
        <v>4630</v>
      </c>
      <c r="G7280" s="489">
        <v>91.6</v>
      </c>
      <c r="H7280" s="489">
        <v>50.545850000000002</v>
      </c>
      <c r="I7280" s="487" t="s">
        <v>1499</v>
      </c>
      <c r="J7280" s="487" t="s">
        <v>1373</v>
      </c>
    </row>
    <row r="7281" spans="1:10" ht="15" x14ac:dyDescent="0.2">
      <c r="A7281" s="486" t="s">
        <v>1372</v>
      </c>
      <c r="B7281" s="487" t="s">
        <v>1371</v>
      </c>
      <c r="C7281" s="488" t="s">
        <v>22948</v>
      </c>
      <c r="D7281" s="489" t="s">
        <v>22949</v>
      </c>
      <c r="E7281" s="487" t="s">
        <v>22950</v>
      </c>
      <c r="F7281" s="490">
        <v>5900</v>
      </c>
      <c r="G7281" s="489">
        <v>86.7</v>
      </c>
      <c r="H7281" s="489">
        <v>68.050749999999994</v>
      </c>
      <c r="I7281" s="487" t="s">
        <v>1499</v>
      </c>
      <c r="J7281" s="487" t="s">
        <v>1373</v>
      </c>
    </row>
    <row r="7282" spans="1:10" ht="15" x14ac:dyDescent="0.2">
      <c r="A7282" s="486" t="s">
        <v>1372</v>
      </c>
      <c r="B7282" s="487" t="s">
        <v>1371</v>
      </c>
      <c r="C7282" s="488" t="s">
        <v>22951</v>
      </c>
      <c r="D7282" s="489" t="s">
        <v>22952</v>
      </c>
      <c r="E7282" s="487" t="s">
        <v>22953</v>
      </c>
      <c r="F7282" s="490">
        <v>127805</v>
      </c>
      <c r="G7282" s="489">
        <v>1538.6</v>
      </c>
      <c r="H7282" s="489">
        <v>83.065770000000001</v>
      </c>
      <c r="I7282" s="487" t="s">
        <v>1499</v>
      </c>
      <c r="J7282" s="487" t="s">
        <v>1373</v>
      </c>
    </row>
    <row r="7283" spans="1:10" ht="15" x14ac:dyDescent="0.2">
      <c r="A7283" s="486" t="s">
        <v>1372</v>
      </c>
      <c r="B7283" s="487" t="s">
        <v>1371</v>
      </c>
      <c r="C7283" s="488" t="s">
        <v>22954</v>
      </c>
      <c r="D7283" s="489" t="s">
        <v>22955</v>
      </c>
      <c r="E7283" s="487" t="s">
        <v>22956</v>
      </c>
      <c r="F7283" s="490">
        <v>35500</v>
      </c>
      <c r="G7283" s="489">
        <v>313.89999999999998</v>
      </c>
      <c r="H7283" s="489">
        <v>113.09334</v>
      </c>
      <c r="I7283" s="487" t="s">
        <v>1499</v>
      </c>
      <c r="J7283" s="487" t="s">
        <v>1373</v>
      </c>
    </row>
    <row r="7284" spans="1:10" ht="15" x14ac:dyDescent="0.2">
      <c r="A7284" s="486" t="s">
        <v>1372</v>
      </c>
      <c r="B7284" s="487" t="s">
        <v>1371</v>
      </c>
      <c r="C7284" s="488" t="s">
        <v>22957</v>
      </c>
      <c r="D7284" s="489" t="s">
        <v>22958</v>
      </c>
      <c r="E7284" s="487" t="s">
        <v>22959</v>
      </c>
      <c r="F7284" s="490">
        <v>13250</v>
      </c>
      <c r="G7284" s="489">
        <v>196</v>
      </c>
      <c r="H7284" s="489">
        <v>67.602040000000002</v>
      </c>
      <c r="I7284" s="487" t="s">
        <v>1499</v>
      </c>
      <c r="J7284" s="487" t="s">
        <v>1373</v>
      </c>
    </row>
    <row r="7285" spans="1:10" ht="15" x14ac:dyDescent="0.2">
      <c r="A7285" s="486" t="s">
        <v>1372</v>
      </c>
      <c r="B7285" s="487" t="s">
        <v>1371</v>
      </c>
      <c r="C7285" s="488" t="s">
        <v>22960</v>
      </c>
      <c r="D7285" s="489" t="s">
        <v>22961</v>
      </c>
      <c r="E7285" s="487" t="s">
        <v>4600</v>
      </c>
      <c r="F7285" s="490">
        <v>489000</v>
      </c>
      <c r="G7285" s="489">
        <v>2101.1</v>
      </c>
      <c r="H7285" s="489">
        <v>232.73523</v>
      </c>
      <c r="I7285" s="487" t="s">
        <v>1499</v>
      </c>
      <c r="J7285" s="487" t="s">
        <v>1373</v>
      </c>
    </row>
    <row r="7286" spans="1:10" ht="15" x14ac:dyDescent="0.2">
      <c r="A7286" s="486" t="s">
        <v>1372</v>
      </c>
      <c r="B7286" s="487" t="s">
        <v>1371</v>
      </c>
      <c r="C7286" s="488" t="s">
        <v>22962</v>
      </c>
      <c r="D7286" s="489" t="s">
        <v>22963</v>
      </c>
      <c r="E7286" s="487" t="s">
        <v>22964</v>
      </c>
      <c r="F7286" s="490">
        <v>34045</v>
      </c>
      <c r="G7286" s="489">
        <v>353.6</v>
      </c>
      <c r="H7286" s="489">
        <v>96.281109999999998</v>
      </c>
      <c r="I7286" s="487" t="s">
        <v>1499</v>
      </c>
      <c r="J7286" s="487" t="s">
        <v>1373</v>
      </c>
    </row>
    <row r="7287" spans="1:10" ht="15" x14ac:dyDescent="0.2">
      <c r="A7287" s="486" t="s">
        <v>1372</v>
      </c>
      <c r="B7287" s="487" t="s">
        <v>1371</v>
      </c>
      <c r="C7287" s="488" t="s">
        <v>22965</v>
      </c>
      <c r="D7287" s="489" t="s">
        <v>22966</v>
      </c>
      <c r="E7287" s="487" t="s">
        <v>22967</v>
      </c>
      <c r="F7287" s="490">
        <v>152300</v>
      </c>
      <c r="G7287" s="489">
        <v>651</v>
      </c>
      <c r="H7287" s="489">
        <v>233.94776999999999</v>
      </c>
      <c r="I7287" s="487" t="s">
        <v>1499</v>
      </c>
      <c r="J7287" s="487" t="s">
        <v>1373</v>
      </c>
    </row>
    <row r="7288" spans="1:10" ht="15" x14ac:dyDescent="0.2">
      <c r="A7288" s="486" t="s">
        <v>1372</v>
      </c>
      <c r="B7288" s="487" t="s">
        <v>1371</v>
      </c>
      <c r="C7288" s="488" t="s">
        <v>22968</v>
      </c>
      <c r="D7288" s="489" t="s">
        <v>22969</v>
      </c>
      <c r="E7288" s="487" t="s">
        <v>22970</v>
      </c>
      <c r="F7288" s="490">
        <v>16000</v>
      </c>
      <c r="G7288" s="489">
        <v>198.3</v>
      </c>
      <c r="H7288" s="489">
        <v>80.685829999999996</v>
      </c>
      <c r="I7288" s="487" t="s">
        <v>1499</v>
      </c>
      <c r="J7288" s="487" t="s">
        <v>1373</v>
      </c>
    </row>
    <row r="7289" spans="1:10" ht="15" x14ac:dyDescent="0.2">
      <c r="A7289" s="486" t="s">
        <v>1372</v>
      </c>
      <c r="B7289" s="487" t="s">
        <v>1371</v>
      </c>
      <c r="C7289" s="488" t="s">
        <v>22971</v>
      </c>
      <c r="D7289" s="489" t="s">
        <v>22972</v>
      </c>
      <c r="E7289" s="487" t="s">
        <v>11212</v>
      </c>
      <c r="F7289" s="490">
        <v>34722</v>
      </c>
      <c r="G7289" s="489">
        <v>254.4</v>
      </c>
      <c r="H7289" s="489">
        <v>136.48585</v>
      </c>
      <c r="I7289" s="487" t="s">
        <v>1499</v>
      </c>
      <c r="J7289" s="487" t="s">
        <v>1373</v>
      </c>
    </row>
    <row r="7290" spans="1:10" ht="15" x14ac:dyDescent="0.2">
      <c r="A7290" s="486" t="s">
        <v>1372</v>
      </c>
      <c r="B7290" s="487" t="s">
        <v>1371</v>
      </c>
      <c r="C7290" s="488" t="s">
        <v>22973</v>
      </c>
      <c r="D7290" s="489" t="s">
        <v>22974</v>
      </c>
      <c r="E7290" s="487" t="s">
        <v>11505</v>
      </c>
      <c r="F7290" s="490">
        <v>19475</v>
      </c>
      <c r="G7290" s="489">
        <v>174.2</v>
      </c>
      <c r="H7290" s="489">
        <v>111.79679</v>
      </c>
      <c r="I7290" s="487" t="s">
        <v>1499</v>
      </c>
      <c r="J7290" s="487" t="s">
        <v>1373</v>
      </c>
    </row>
    <row r="7291" spans="1:10" ht="15" x14ac:dyDescent="0.2">
      <c r="A7291" s="486" t="s">
        <v>1372</v>
      </c>
      <c r="B7291" s="487" t="s">
        <v>1371</v>
      </c>
      <c r="C7291" s="488" t="s">
        <v>22975</v>
      </c>
      <c r="D7291" s="489" t="s">
        <v>22976</v>
      </c>
      <c r="E7291" s="487" t="s">
        <v>22977</v>
      </c>
      <c r="F7291" s="490">
        <v>19137</v>
      </c>
      <c r="G7291" s="489">
        <v>222.5</v>
      </c>
      <c r="H7291" s="489">
        <v>86.008989999999997</v>
      </c>
      <c r="I7291" s="487" t="s">
        <v>1499</v>
      </c>
      <c r="J7291" s="487" t="s">
        <v>1373</v>
      </c>
    </row>
    <row r="7292" spans="1:10" ht="15" x14ac:dyDescent="0.2">
      <c r="A7292" s="486" t="s">
        <v>1372</v>
      </c>
      <c r="B7292" s="487" t="s">
        <v>1371</v>
      </c>
      <c r="C7292" s="488" t="s">
        <v>22978</v>
      </c>
      <c r="D7292" s="489" t="s">
        <v>22979</v>
      </c>
      <c r="E7292" s="487" t="s">
        <v>22980</v>
      </c>
      <c r="F7292" s="490">
        <v>90000</v>
      </c>
      <c r="G7292" s="489">
        <v>944.4</v>
      </c>
      <c r="H7292" s="489">
        <v>95.298599999999993</v>
      </c>
      <c r="I7292" s="487" t="s">
        <v>1499</v>
      </c>
      <c r="J7292" s="487" t="s">
        <v>1373</v>
      </c>
    </row>
    <row r="7293" spans="1:10" ht="15" x14ac:dyDescent="0.2">
      <c r="A7293" s="486" t="s">
        <v>1372</v>
      </c>
      <c r="B7293" s="487" t="s">
        <v>1371</v>
      </c>
      <c r="C7293" s="488" t="s">
        <v>22981</v>
      </c>
      <c r="D7293" s="489" t="s">
        <v>22982</v>
      </c>
      <c r="E7293" s="487" t="s">
        <v>22983</v>
      </c>
      <c r="F7293" s="490">
        <v>101695</v>
      </c>
      <c r="G7293" s="489">
        <v>1454.7</v>
      </c>
      <c r="H7293" s="489">
        <v>69.907880000000006</v>
      </c>
      <c r="I7293" s="487" t="s">
        <v>1499</v>
      </c>
      <c r="J7293" s="487" t="s">
        <v>1373</v>
      </c>
    </row>
    <row r="7294" spans="1:10" ht="15" x14ac:dyDescent="0.2">
      <c r="A7294" s="486" t="s">
        <v>1372</v>
      </c>
      <c r="B7294" s="487" t="s">
        <v>1371</v>
      </c>
      <c r="C7294" s="488" t="s">
        <v>22984</v>
      </c>
      <c r="D7294" s="489" t="s">
        <v>22985</v>
      </c>
      <c r="E7294" s="487" t="s">
        <v>22986</v>
      </c>
      <c r="F7294" s="490">
        <v>6566</v>
      </c>
      <c r="G7294" s="489">
        <v>87.2</v>
      </c>
      <c r="H7294" s="489">
        <v>75.298169999999999</v>
      </c>
      <c r="I7294" s="487" t="s">
        <v>1499</v>
      </c>
      <c r="J7294" s="487" t="s">
        <v>1373</v>
      </c>
    </row>
    <row r="7295" spans="1:10" ht="15" x14ac:dyDescent="0.2">
      <c r="A7295" s="486" t="s">
        <v>1372</v>
      </c>
      <c r="B7295" s="487" t="s">
        <v>1371</v>
      </c>
      <c r="C7295" s="488" t="s">
        <v>22987</v>
      </c>
      <c r="D7295" s="489" t="s">
        <v>22988</v>
      </c>
      <c r="E7295" s="487" t="s">
        <v>22989</v>
      </c>
      <c r="F7295" s="490">
        <v>65500</v>
      </c>
      <c r="G7295" s="489">
        <v>641</v>
      </c>
      <c r="H7295" s="489">
        <v>102.18409</v>
      </c>
      <c r="I7295" s="487" t="s">
        <v>1499</v>
      </c>
      <c r="J7295" s="487" t="s">
        <v>1373</v>
      </c>
    </row>
    <row r="7296" spans="1:10" ht="15" x14ac:dyDescent="0.2">
      <c r="A7296" s="486" t="s">
        <v>1372</v>
      </c>
      <c r="B7296" s="487" t="s">
        <v>1371</v>
      </c>
      <c r="C7296" s="488" t="s">
        <v>22990</v>
      </c>
      <c r="D7296" s="489" t="s">
        <v>22991</v>
      </c>
      <c r="E7296" s="487" t="s">
        <v>22992</v>
      </c>
      <c r="F7296" s="490">
        <v>27000</v>
      </c>
      <c r="G7296" s="489">
        <v>489.6</v>
      </c>
      <c r="H7296" s="489">
        <v>55.147060000000003</v>
      </c>
      <c r="I7296" s="487" t="s">
        <v>1499</v>
      </c>
      <c r="J7296" s="487" t="s">
        <v>1373</v>
      </c>
    </row>
    <row r="7297" spans="1:10" ht="15" x14ac:dyDescent="0.2">
      <c r="A7297" s="486" t="s">
        <v>1372</v>
      </c>
      <c r="B7297" s="487" t="s">
        <v>1371</v>
      </c>
      <c r="C7297" s="488" t="s">
        <v>22993</v>
      </c>
      <c r="D7297" s="489" t="s">
        <v>22994</v>
      </c>
      <c r="E7297" s="487" t="s">
        <v>22995</v>
      </c>
      <c r="F7297" s="490">
        <v>39250</v>
      </c>
      <c r="G7297" s="489">
        <v>347</v>
      </c>
      <c r="H7297" s="489">
        <v>113.11239</v>
      </c>
      <c r="I7297" s="487" t="s">
        <v>1499</v>
      </c>
      <c r="J7297" s="487" t="s">
        <v>1373</v>
      </c>
    </row>
    <row r="7298" spans="1:10" ht="15" x14ac:dyDescent="0.2">
      <c r="A7298" s="486" t="s">
        <v>1372</v>
      </c>
      <c r="B7298" s="487" t="s">
        <v>1371</v>
      </c>
      <c r="C7298" s="488" t="s">
        <v>22996</v>
      </c>
      <c r="D7298" s="489" t="s">
        <v>22997</v>
      </c>
      <c r="E7298" s="487" t="s">
        <v>22998</v>
      </c>
      <c r="F7298" s="490">
        <v>60212</v>
      </c>
      <c r="G7298" s="489">
        <v>599</v>
      </c>
      <c r="H7298" s="489">
        <v>100.52087</v>
      </c>
      <c r="I7298" s="487" t="s">
        <v>1499</v>
      </c>
      <c r="J7298" s="487" t="s">
        <v>1373</v>
      </c>
    </row>
    <row r="7299" spans="1:10" ht="15" x14ac:dyDescent="0.2">
      <c r="A7299" s="486" t="s">
        <v>1372</v>
      </c>
      <c r="B7299" s="487" t="s">
        <v>1371</v>
      </c>
      <c r="C7299" s="488" t="s">
        <v>22999</v>
      </c>
      <c r="D7299" s="489" t="s">
        <v>23000</v>
      </c>
      <c r="E7299" s="487" t="s">
        <v>23001</v>
      </c>
      <c r="F7299" s="490">
        <v>8600</v>
      </c>
      <c r="G7299" s="489">
        <v>100.1</v>
      </c>
      <c r="H7299" s="489">
        <v>85.914090000000002</v>
      </c>
      <c r="I7299" s="487" t="s">
        <v>1499</v>
      </c>
      <c r="J7299" s="487" t="s">
        <v>1373</v>
      </c>
    </row>
    <row r="7300" spans="1:10" ht="15" x14ac:dyDescent="0.2">
      <c r="A7300" s="486" t="s">
        <v>1372</v>
      </c>
      <c r="B7300" s="487" t="s">
        <v>1371</v>
      </c>
      <c r="C7300" s="488" t="s">
        <v>23002</v>
      </c>
      <c r="D7300" s="489" t="s">
        <v>23003</v>
      </c>
      <c r="E7300" s="487" t="s">
        <v>23004</v>
      </c>
      <c r="F7300" s="490">
        <v>9500</v>
      </c>
      <c r="G7300" s="489">
        <v>85.1</v>
      </c>
      <c r="H7300" s="489">
        <v>111.63337</v>
      </c>
      <c r="I7300" s="487" t="s">
        <v>1499</v>
      </c>
      <c r="J7300" s="487" t="s">
        <v>1373</v>
      </c>
    </row>
    <row r="7301" spans="1:10" ht="15" x14ac:dyDescent="0.2">
      <c r="A7301" s="486" t="s">
        <v>1372</v>
      </c>
      <c r="B7301" s="487" t="s">
        <v>1371</v>
      </c>
      <c r="C7301" s="488" t="s">
        <v>23005</v>
      </c>
      <c r="D7301" s="489" t="s">
        <v>23006</v>
      </c>
      <c r="E7301" s="487" t="s">
        <v>23007</v>
      </c>
      <c r="F7301" s="490">
        <v>0</v>
      </c>
      <c r="G7301" s="489">
        <v>24.8</v>
      </c>
      <c r="H7301" s="489">
        <v>0</v>
      </c>
      <c r="I7301" s="487" t="s">
        <v>1593</v>
      </c>
      <c r="J7301" s="487" t="s">
        <v>1373</v>
      </c>
    </row>
    <row r="7302" spans="1:10" ht="15" x14ac:dyDescent="0.2">
      <c r="A7302" s="486" t="s">
        <v>1372</v>
      </c>
      <c r="B7302" s="487" t="s">
        <v>1371</v>
      </c>
      <c r="C7302" s="488" t="s">
        <v>23008</v>
      </c>
      <c r="D7302" s="489" t="s">
        <v>23009</v>
      </c>
      <c r="E7302" s="487" t="s">
        <v>23010</v>
      </c>
      <c r="F7302" s="490">
        <v>17000</v>
      </c>
      <c r="G7302" s="489">
        <v>309.8</v>
      </c>
      <c r="H7302" s="489">
        <v>54.874110000000002</v>
      </c>
      <c r="I7302" s="487" t="s">
        <v>1499</v>
      </c>
      <c r="J7302" s="487" t="s">
        <v>1373</v>
      </c>
    </row>
    <row r="7303" spans="1:10" ht="15" x14ac:dyDescent="0.2">
      <c r="A7303" s="486" t="s">
        <v>1372</v>
      </c>
      <c r="B7303" s="487" t="s">
        <v>1371</v>
      </c>
      <c r="C7303" s="488" t="s">
        <v>23011</v>
      </c>
      <c r="D7303" s="489" t="s">
        <v>23012</v>
      </c>
      <c r="E7303" s="487" t="s">
        <v>23013</v>
      </c>
      <c r="F7303" s="490">
        <v>151953</v>
      </c>
      <c r="G7303" s="489">
        <v>1263.5</v>
      </c>
      <c r="H7303" s="489">
        <v>120.26355</v>
      </c>
      <c r="I7303" s="487" t="s">
        <v>1499</v>
      </c>
      <c r="J7303" s="487" t="s">
        <v>1373</v>
      </c>
    </row>
    <row r="7304" spans="1:10" ht="15" x14ac:dyDescent="0.2">
      <c r="A7304" s="486" t="s">
        <v>1372</v>
      </c>
      <c r="B7304" s="487" t="s">
        <v>1371</v>
      </c>
      <c r="C7304" s="488" t="s">
        <v>23014</v>
      </c>
      <c r="D7304" s="489" t="s">
        <v>23015</v>
      </c>
      <c r="E7304" s="487" t="s">
        <v>23016</v>
      </c>
      <c r="F7304" s="490">
        <v>23000</v>
      </c>
      <c r="G7304" s="489">
        <v>186.9</v>
      </c>
      <c r="H7304" s="489">
        <v>123.06046000000001</v>
      </c>
      <c r="I7304" s="487" t="s">
        <v>1499</v>
      </c>
      <c r="J7304" s="487" t="s">
        <v>1373</v>
      </c>
    </row>
    <row r="7305" spans="1:10" ht="15" x14ac:dyDescent="0.2">
      <c r="A7305" s="486" t="s">
        <v>1372</v>
      </c>
      <c r="B7305" s="487" t="s">
        <v>1371</v>
      </c>
      <c r="C7305" s="488" t="s">
        <v>23017</v>
      </c>
      <c r="D7305" s="489" t="s">
        <v>23018</v>
      </c>
      <c r="E7305" s="487" t="s">
        <v>23019</v>
      </c>
      <c r="F7305" s="490">
        <v>17509</v>
      </c>
      <c r="G7305" s="489">
        <v>153.1</v>
      </c>
      <c r="H7305" s="489">
        <v>114.36315999999999</v>
      </c>
      <c r="I7305" s="487" t="s">
        <v>1499</v>
      </c>
      <c r="J7305" s="487" t="s">
        <v>1373</v>
      </c>
    </row>
    <row r="7306" spans="1:10" ht="15" x14ac:dyDescent="0.2">
      <c r="A7306" s="486" t="s">
        <v>1372</v>
      </c>
      <c r="B7306" s="487" t="s">
        <v>1371</v>
      </c>
      <c r="C7306" s="488" t="s">
        <v>23020</v>
      </c>
      <c r="D7306" s="489" t="s">
        <v>23021</v>
      </c>
      <c r="E7306" s="487" t="s">
        <v>23022</v>
      </c>
      <c r="F7306" s="490">
        <v>18000</v>
      </c>
      <c r="G7306" s="489">
        <v>138.80000000000001</v>
      </c>
      <c r="H7306" s="489">
        <v>129.68299999999999</v>
      </c>
      <c r="I7306" s="487" t="s">
        <v>1499</v>
      </c>
      <c r="J7306" s="487" t="s">
        <v>1373</v>
      </c>
    </row>
    <row r="7307" spans="1:10" ht="15" x14ac:dyDescent="0.2">
      <c r="A7307" s="486" t="s">
        <v>1372</v>
      </c>
      <c r="B7307" s="487" t="s">
        <v>1371</v>
      </c>
      <c r="C7307" s="488" t="s">
        <v>23023</v>
      </c>
      <c r="D7307" s="489" t="s">
        <v>23024</v>
      </c>
      <c r="E7307" s="487" t="s">
        <v>23025</v>
      </c>
      <c r="F7307" s="490">
        <v>22500</v>
      </c>
      <c r="G7307" s="489">
        <v>174.1</v>
      </c>
      <c r="H7307" s="489">
        <v>129.23607000000001</v>
      </c>
      <c r="I7307" s="487" t="s">
        <v>1499</v>
      </c>
      <c r="J7307" s="487" t="s">
        <v>1373</v>
      </c>
    </row>
    <row r="7308" spans="1:10" ht="15" x14ac:dyDescent="0.2">
      <c r="A7308" s="486" t="s">
        <v>1372</v>
      </c>
      <c r="B7308" s="487" t="s">
        <v>1371</v>
      </c>
      <c r="C7308" s="488" t="s">
        <v>23026</v>
      </c>
      <c r="D7308" s="489" t="s">
        <v>23027</v>
      </c>
      <c r="E7308" s="487" t="s">
        <v>23028</v>
      </c>
      <c r="F7308" s="490">
        <v>79707</v>
      </c>
      <c r="G7308" s="489">
        <v>1304</v>
      </c>
      <c r="H7308" s="489">
        <v>61.125</v>
      </c>
      <c r="I7308" s="487" t="s">
        <v>1499</v>
      </c>
      <c r="J7308" s="487" t="s">
        <v>1373</v>
      </c>
    </row>
    <row r="7309" spans="1:10" ht="15" x14ac:dyDescent="0.2">
      <c r="A7309" s="486" t="s">
        <v>1372</v>
      </c>
      <c r="B7309" s="487" t="s">
        <v>1371</v>
      </c>
      <c r="C7309" s="488" t="s">
        <v>23029</v>
      </c>
      <c r="D7309" s="489" t="s">
        <v>23030</v>
      </c>
      <c r="E7309" s="487" t="s">
        <v>3136</v>
      </c>
      <c r="F7309" s="490">
        <v>0</v>
      </c>
      <c r="G7309" s="489">
        <v>41.8</v>
      </c>
      <c r="H7309" s="489">
        <v>0</v>
      </c>
      <c r="I7309" s="487" t="s">
        <v>1593</v>
      </c>
      <c r="J7309" s="487" t="s">
        <v>1373</v>
      </c>
    </row>
    <row r="7310" spans="1:10" ht="15" x14ac:dyDescent="0.2">
      <c r="A7310" s="486" t="s">
        <v>1372</v>
      </c>
      <c r="B7310" s="487" t="s">
        <v>1371</v>
      </c>
      <c r="C7310" s="488" t="s">
        <v>23031</v>
      </c>
      <c r="D7310" s="489" t="s">
        <v>23032</v>
      </c>
      <c r="E7310" s="487" t="s">
        <v>23033</v>
      </c>
      <c r="F7310" s="490">
        <v>54000</v>
      </c>
      <c r="G7310" s="489">
        <v>473.5</v>
      </c>
      <c r="H7310" s="489">
        <v>114.04434999999999</v>
      </c>
      <c r="I7310" s="487" t="s">
        <v>1499</v>
      </c>
      <c r="J7310" s="487" t="s">
        <v>1373</v>
      </c>
    </row>
    <row r="7311" spans="1:10" ht="15" x14ac:dyDescent="0.2">
      <c r="A7311" s="486" t="s">
        <v>1372</v>
      </c>
      <c r="B7311" s="487" t="s">
        <v>1371</v>
      </c>
      <c r="C7311" s="488" t="s">
        <v>23034</v>
      </c>
      <c r="D7311" s="489" t="s">
        <v>23035</v>
      </c>
      <c r="E7311" s="487" t="s">
        <v>15544</v>
      </c>
      <c r="F7311" s="490">
        <v>0</v>
      </c>
      <c r="G7311" s="489">
        <v>29.3</v>
      </c>
      <c r="H7311" s="489">
        <v>0</v>
      </c>
      <c r="I7311" s="487" t="s">
        <v>1593</v>
      </c>
      <c r="J7311" s="487" t="s">
        <v>1373</v>
      </c>
    </row>
    <row r="7312" spans="1:10" ht="15" x14ac:dyDescent="0.2">
      <c r="A7312" s="486" t="s">
        <v>1372</v>
      </c>
      <c r="B7312" s="487" t="s">
        <v>1371</v>
      </c>
      <c r="C7312" s="488" t="s">
        <v>23036</v>
      </c>
      <c r="D7312" s="489" t="s">
        <v>23037</v>
      </c>
      <c r="E7312" s="487" t="s">
        <v>7775</v>
      </c>
      <c r="F7312" s="490">
        <v>14658</v>
      </c>
      <c r="G7312" s="489">
        <v>238.8</v>
      </c>
      <c r="H7312" s="489">
        <v>61.381909999999998</v>
      </c>
      <c r="I7312" s="487" t="s">
        <v>1499</v>
      </c>
      <c r="J7312" s="487" t="s">
        <v>1373</v>
      </c>
    </row>
    <row r="7313" spans="1:10" ht="15" x14ac:dyDescent="0.2">
      <c r="A7313" s="486" t="s">
        <v>1372</v>
      </c>
      <c r="B7313" s="487" t="s">
        <v>1371</v>
      </c>
      <c r="C7313" s="488" t="s">
        <v>23038</v>
      </c>
      <c r="D7313" s="489" t="s">
        <v>23039</v>
      </c>
      <c r="E7313" s="487" t="s">
        <v>23040</v>
      </c>
      <c r="F7313" s="490">
        <v>22000</v>
      </c>
      <c r="G7313" s="489">
        <v>186.6</v>
      </c>
      <c r="H7313" s="489">
        <v>117.89924999999999</v>
      </c>
      <c r="I7313" s="487" t="s">
        <v>1499</v>
      </c>
      <c r="J7313" s="487" t="s">
        <v>1373</v>
      </c>
    </row>
    <row r="7314" spans="1:10" ht="15" x14ac:dyDescent="0.2">
      <c r="A7314" s="486" t="s">
        <v>1372</v>
      </c>
      <c r="B7314" s="487" t="s">
        <v>1371</v>
      </c>
      <c r="C7314" s="488" t="s">
        <v>23041</v>
      </c>
      <c r="D7314" s="489" t="s">
        <v>23042</v>
      </c>
      <c r="E7314" s="487" t="s">
        <v>23043</v>
      </c>
      <c r="F7314" s="490">
        <v>7223</v>
      </c>
      <c r="G7314" s="489">
        <v>134.19999999999999</v>
      </c>
      <c r="H7314" s="489">
        <v>53.822650000000003</v>
      </c>
      <c r="I7314" s="487" t="s">
        <v>1499</v>
      </c>
      <c r="J7314" s="487" t="s">
        <v>1373</v>
      </c>
    </row>
    <row r="7315" spans="1:10" ht="15" x14ac:dyDescent="0.2">
      <c r="A7315" s="486" t="s">
        <v>1372</v>
      </c>
      <c r="B7315" s="487" t="s">
        <v>1371</v>
      </c>
      <c r="C7315" s="488" t="s">
        <v>23044</v>
      </c>
      <c r="D7315" s="489" t="s">
        <v>23045</v>
      </c>
      <c r="E7315" s="487" t="s">
        <v>23046</v>
      </c>
      <c r="F7315" s="490">
        <v>0</v>
      </c>
      <c r="G7315" s="489">
        <v>51.1</v>
      </c>
      <c r="H7315" s="489">
        <v>0</v>
      </c>
      <c r="I7315" s="487" t="s">
        <v>1593</v>
      </c>
      <c r="J7315" s="487" t="s">
        <v>1373</v>
      </c>
    </row>
    <row r="7316" spans="1:10" ht="15" x14ac:dyDescent="0.2">
      <c r="A7316" s="486" t="s">
        <v>1372</v>
      </c>
      <c r="B7316" s="487" t="s">
        <v>1371</v>
      </c>
      <c r="C7316" s="488" t="s">
        <v>23047</v>
      </c>
      <c r="D7316" s="489" t="s">
        <v>23048</v>
      </c>
      <c r="E7316" s="487" t="s">
        <v>23049</v>
      </c>
      <c r="F7316" s="490">
        <v>17078</v>
      </c>
      <c r="G7316" s="489">
        <v>210.1</v>
      </c>
      <c r="H7316" s="489">
        <v>81.2851</v>
      </c>
      <c r="I7316" s="487" t="s">
        <v>1499</v>
      </c>
      <c r="J7316" s="487" t="s">
        <v>1373</v>
      </c>
    </row>
    <row r="7317" spans="1:10" ht="15" x14ac:dyDescent="0.2">
      <c r="A7317" s="486" t="s">
        <v>1372</v>
      </c>
      <c r="B7317" s="487" t="s">
        <v>1371</v>
      </c>
      <c r="C7317" s="488" t="s">
        <v>23050</v>
      </c>
      <c r="D7317" s="489" t="s">
        <v>23051</v>
      </c>
      <c r="E7317" s="487" t="s">
        <v>23052</v>
      </c>
      <c r="F7317" s="490">
        <v>41000</v>
      </c>
      <c r="G7317" s="489">
        <v>376.9</v>
      </c>
      <c r="H7317" s="489">
        <v>108.78216999999999</v>
      </c>
      <c r="I7317" s="487" t="s">
        <v>1499</v>
      </c>
      <c r="J7317" s="487" t="s">
        <v>1373</v>
      </c>
    </row>
    <row r="7318" spans="1:10" ht="15" x14ac:dyDescent="0.2">
      <c r="A7318" s="486" t="s">
        <v>1372</v>
      </c>
      <c r="B7318" s="487" t="s">
        <v>1371</v>
      </c>
      <c r="C7318" s="488" t="s">
        <v>23053</v>
      </c>
      <c r="D7318" s="489" t="s">
        <v>23054</v>
      </c>
      <c r="E7318" s="487" t="s">
        <v>23055</v>
      </c>
      <c r="F7318" s="490">
        <v>0</v>
      </c>
      <c r="G7318" s="489">
        <v>54.6</v>
      </c>
      <c r="H7318" s="489">
        <v>0</v>
      </c>
      <c r="I7318" s="487" t="s">
        <v>1593</v>
      </c>
      <c r="J7318" s="487" t="s">
        <v>1373</v>
      </c>
    </row>
    <row r="7319" spans="1:10" ht="15" x14ac:dyDescent="0.2">
      <c r="A7319" s="486" t="s">
        <v>1372</v>
      </c>
      <c r="B7319" s="487" t="s">
        <v>1371</v>
      </c>
      <c r="C7319" s="488" t="s">
        <v>23056</v>
      </c>
      <c r="D7319" s="489" t="s">
        <v>23057</v>
      </c>
      <c r="E7319" s="487" t="s">
        <v>23058</v>
      </c>
      <c r="F7319" s="490">
        <v>2000</v>
      </c>
      <c r="G7319" s="489">
        <v>77.3</v>
      </c>
      <c r="H7319" s="489">
        <v>25.87322</v>
      </c>
      <c r="I7319" s="487" t="s">
        <v>1499</v>
      </c>
      <c r="J7319" s="487" t="s">
        <v>1373</v>
      </c>
    </row>
    <row r="7320" spans="1:10" ht="15" x14ac:dyDescent="0.2">
      <c r="A7320" s="486" t="s">
        <v>1372</v>
      </c>
      <c r="B7320" s="487" t="s">
        <v>1371</v>
      </c>
      <c r="C7320" s="488" t="s">
        <v>23059</v>
      </c>
      <c r="D7320" s="489" t="s">
        <v>23060</v>
      </c>
      <c r="E7320" s="487" t="s">
        <v>23061</v>
      </c>
      <c r="F7320" s="490">
        <v>4000</v>
      </c>
      <c r="G7320" s="489">
        <v>89.3</v>
      </c>
      <c r="H7320" s="489">
        <v>44.792830000000002</v>
      </c>
      <c r="I7320" s="487" t="s">
        <v>1499</v>
      </c>
      <c r="J7320" s="487" t="s">
        <v>1373</v>
      </c>
    </row>
    <row r="7321" spans="1:10" ht="15" x14ac:dyDescent="0.2">
      <c r="A7321" s="486" t="s">
        <v>1372</v>
      </c>
      <c r="B7321" s="487" t="s">
        <v>1371</v>
      </c>
      <c r="C7321" s="488" t="s">
        <v>23062</v>
      </c>
      <c r="D7321" s="489" t="s">
        <v>23063</v>
      </c>
      <c r="E7321" s="487" t="s">
        <v>23064</v>
      </c>
      <c r="F7321" s="490">
        <v>26740</v>
      </c>
      <c r="G7321" s="489">
        <v>191.3</v>
      </c>
      <c r="H7321" s="489">
        <v>139.78045</v>
      </c>
      <c r="I7321" s="487" t="s">
        <v>1499</v>
      </c>
      <c r="J7321" s="487" t="s">
        <v>1373</v>
      </c>
    </row>
    <row r="7322" spans="1:10" ht="15" x14ac:dyDescent="0.2">
      <c r="A7322" s="486" t="s">
        <v>1372</v>
      </c>
      <c r="B7322" s="487" t="s">
        <v>1371</v>
      </c>
      <c r="C7322" s="488" t="s">
        <v>23065</v>
      </c>
      <c r="D7322" s="489" t="s">
        <v>23066</v>
      </c>
      <c r="E7322" s="487" t="s">
        <v>23067</v>
      </c>
      <c r="F7322" s="490">
        <v>749962</v>
      </c>
      <c r="G7322" s="489">
        <v>5261.9</v>
      </c>
      <c r="H7322" s="489">
        <v>142.52683999999999</v>
      </c>
      <c r="I7322" s="487" t="s">
        <v>1499</v>
      </c>
      <c r="J7322" s="487" t="s">
        <v>1373</v>
      </c>
    </row>
    <row r="7323" spans="1:10" ht="15" x14ac:dyDescent="0.2">
      <c r="A7323" s="486" t="s">
        <v>1372</v>
      </c>
      <c r="B7323" s="487" t="s">
        <v>1371</v>
      </c>
      <c r="C7323" s="488" t="s">
        <v>23068</v>
      </c>
      <c r="D7323" s="489" t="s">
        <v>23069</v>
      </c>
      <c r="E7323" s="487" t="s">
        <v>23070</v>
      </c>
      <c r="F7323" s="490">
        <v>3000</v>
      </c>
      <c r="G7323" s="489">
        <v>35.799999999999997</v>
      </c>
      <c r="H7323" s="489">
        <v>83.798879999999997</v>
      </c>
      <c r="I7323" s="487" t="s">
        <v>1499</v>
      </c>
      <c r="J7323" s="487" t="s">
        <v>1373</v>
      </c>
    </row>
    <row r="7324" spans="1:10" ht="15" x14ac:dyDescent="0.2">
      <c r="A7324" s="486" t="s">
        <v>1372</v>
      </c>
      <c r="B7324" s="487" t="s">
        <v>1371</v>
      </c>
      <c r="C7324" s="488" t="s">
        <v>23071</v>
      </c>
      <c r="D7324" s="489" t="s">
        <v>23072</v>
      </c>
      <c r="E7324" s="487" t="s">
        <v>3334</v>
      </c>
      <c r="F7324" s="490">
        <v>118298</v>
      </c>
      <c r="G7324" s="489">
        <v>3306.7</v>
      </c>
      <c r="H7324" s="489">
        <v>35.775239999999997</v>
      </c>
      <c r="I7324" s="487" t="s">
        <v>1499</v>
      </c>
      <c r="J7324" s="487" t="s">
        <v>1373</v>
      </c>
    </row>
    <row r="7325" spans="1:10" ht="15" x14ac:dyDescent="0.2">
      <c r="A7325" s="486" t="s">
        <v>1372</v>
      </c>
      <c r="B7325" s="487" t="s">
        <v>1371</v>
      </c>
      <c r="C7325" s="488" t="s">
        <v>23073</v>
      </c>
      <c r="D7325" s="489" t="s">
        <v>23074</v>
      </c>
      <c r="E7325" s="487" t="s">
        <v>23075</v>
      </c>
      <c r="F7325" s="490">
        <v>33255</v>
      </c>
      <c r="G7325" s="489">
        <v>375.3</v>
      </c>
      <c r="H7325" s="489">
        <v>88.609110000000001</v>
      </c>
      <c r="I7325" s="487" t="s">
        <v>1499</v>
      </c>
      <c r="J7325" s="487" t="s">
        <v>1373</v>
      </c>
    </row>
    <row r="7326" spans="1:10" ht="15" x14ac:dyDescent="0.2">
      <c r="A7326" s="486" t="s">
        <v>1372</v>
      </c>
      <c r="B7326" s="487" t="s">
        <v>1371</v>
      </c>
      <c r="C7326" s="488" t="s">
        <v>23076</v>
      </c>
      <c r="D7326" s="489" t="s">
        <v>23077</v>
      </c>
      <c r="E7326" s="487" t="s">
        <v>23078</v>
      </c>
      <c r="F7326" s="490">
        <v>5500</v>
      </c>
      <c r="G7326" s="489">
        <v>153.30000000000001</v>
      </c>
      <c r="H7326" s="489">
        <v>35.877360000000003</v>
      </c>
      <c r="I7326" s="487" t="s">
        <v>1499</v>
      </c>
      <c r="J7326" s="487" t="s">
        <v>1373</v>
      </c>
    </row>
    <row r="7327" spans="1:10" ht="15" x14ac:dyDescent="0.2">
      <c r="A7327" s="486" t="s">
        <v>1372</v>
      </c>
      <c r="B7327" s="487" t="s">
        <v>1371</v>
      </c>
      <c r="C7327" s="488" t="s">
        <v>23079</v>
      </c>
      <c r="D7327" s="489" t="s">
        <v>23080</v>
      </c>
      <c r="E7327" s="487" t="s">
        <v>23081</v>
      </c>
      <c r="F7327" s="490">
        <v>0</v>
      </c>
      <c r="G7327" s="489">
        <v>24.7</v>
      </c>
      <c r="H7327" s="489">
        <v>0</v>
      </c>
      <c r="I7327" s="487" t="s">
        <v>1593</v>
      </c>
      <c r="J7327" s="487" t="s">
        <v>1373</v>
      </c>
    </row>
    <row r="7328" spans="1:10" ht="15" x14ac:dyDescent="0.2">
      <c r="A7328" s="486" t="s">
        <v>1372</v>
      </c>
      <c r="B7328" s="487" t="s">
        <v>1371</v>
      </c>
      <c r="C7328" s="488" t="s">
        <v>23082</v>
      </c>
      <c r="D7328" s="489" t="s">
        <v>23083</v>
      </c>
      <c r="E7328" s="487" t="s">
        <v>1347</v>
      </c>
      <c r="F7328" s="490">
        <v>18500</v>
      </c>
      <c r="G7328" s="489">
        <v>132.6</v>
      </c>
      <c r="H7328" s="489">
        <v>139.51734999999999</v>
      </c>
      <c r="I7328" s="487" t="s">
        <v>1499</v>
      </c>
      <c r="J7328" s="487" t="s">
        <v>1373</v>
      </c>
    </row>
    <row r="7329" spans="1:10" ht="15" x14ac:dyDescent="0.2">
      <c r="A7329" s="486" t="s">
        <v>1372</v>
      </c>
      <c r="B7329" s="487" t="s">
        <v>1371</v>
      </c>
      <c r="C7329" s="488" t="s">
        <v>23084</v>
      </c>
      <c r="D7329" s="489" t="s">
        <v>23085</v>
      </c>
      <c r="E7329" s="487" t="s">
        <v>23086</v>
      </c>
      <c r="F7329" s="490">
        <v>151375</v>
      </c>
      <c r="G7329" s="489">
        <v>1043.8</v>
      </c>
      <c r="H7329" s="489">
        <v>145.02298999999999</v>
      </c>
      <c r="I7329" s="487" t="s">
        <v>1499</v>
      </c>
      <c r="J7329" s="487" t="s">
        <v>1373</v>
      </c>
    </row>
    <row r="7330" spans="1:10" ht="15" x14ac:dyDescent="0.2">
      <c r="A7330" s="486" t="s">
        <v>1372</v>
      </c>
      <c r="B7330" s="487" t="s">
        <v>1371</v>
      </c>
      <c r="C7330" s="488" t="s">
        <v>23087</v>
      </c>
      <c r="D7330" s="489" t="s">
        <v>23088</v>
      </c>
      <c r="E7330" s="487" t="s">
        <v>2489</v>
      </c>
      <c r="F7330" s="490">
        <v>51775</v>
      </c>
      <c r="G7330" s="489">
        <v>484.8</v>
      </c>
      <c r="H7330" s="489">
        <v>106.79662</v>
      </c>
      <c r="I7330" s="487" t="s">
        <v>1499</v>
      </c>
      <c r="J7330" s="487" t="s">
        <v>1373</v>
      </c>
    </row>
    <row r="7331" spans="1:10" ht="15" x14ac:dyDescent="0.2">
      <c r="A7331" s="486" t="s">
        <v>1372</v>
      </c>
      <c r="B7331" s="487" t="s">
        <v>1371</v>
      </c>
      <c r="C7331" s="488" t="s">
        <v>23089</v>
      </c>
      <c r="D7331" s="489" t="s">
        <v>23090</v>
      </c>
      <c r="E7331" s="487" t="s">
        <v>14489</v>
      </c>
      <c r="F7331" s="490">
        <v>18485</v>
      </c>
      <c r="G7331" s="489">
        <v>310.7</v>
      </c>
      <c r="H7331" s="489">
        <v>59.494689999999999</v>
      </c>
      <c r="I7331" s="487" t="s">
        <v>1499</v>
      </c>
      <c r="J7331" s="487" t="s">
        <v>1373</v>
      </c>
    </row>
    <row r="7332" spans="1:10" ht="15" x14ac:dyDescent="0.2">
      <c r="A7332" s="486" t="s">
        <v>1372</v>
      </c>
      <c r="B7332" s="487" t="s">
        <v>1371</v>
      </c>
      <c r="C7332" s="488" t="s">
        <v>23091</v>
      </c>
      <c r="D7332" s="489" t="s">
        <v>23092</v>
      </c>
      <c r="E7332" s="487" t="s">
        <v>23093</v>
      </c>
      <c r="F7332" s="490">
        <v>185492</v>
      </c>
      <c r="G7332" s="489">
        <v>796.1</v>
      </c>
      <c r="H7332" s="489">
        <v>233.00088</v>
      </c>
      <c r="I7332" s="487" t="s">
        <v>1499</v>
      </c>
      <c r="J7332" s="487" t="s">
        <v>1373</v>
      </c>
    </row>
    <row r="7333" spans="1:10" ht="15" x14ac:dyDescent="0.2">
      <c r="A7333" s="486" t="s">
        <v>1372</v>
      </c>
      <c r="B7333" s="487" t="s">
        <v>1371</v>
      </c>
      <c r="C7333" s="488" t="s">
        <v>23094</v>
      </c>
      <c r="D7333" s="489" t="s">
        <v>23095</v>
      </c>
      <c r="E7333" s="487" t="s">
        <v>23096</v>
      </c>
      <c r="F7333" s="490">
        <v>28500</v>
      </c>
      <c r="G7333" s="489">
        <v>1631.9</v>
      </c>
      <c r="H7333" s="489">
        <v>17.464310000000001</v>
      </c>
      <c r="I7333" s="487" t="s">
        <v>1499</v>
      </c>
      <c r="J7333" s="487" t="s">
        <v>1373</v>
      </c>
    </row>
    <row r="7334" spans="1:10" ht="15" x14ac:dyDescent="0.2">
      <c r="A7334" s="486" t="s">
        <v>1372</v>
      </c>
      <c r="B7334" s="487" t="s">
        <v>1371</v>
      </c>
      <c r="C7334" s="488" t="s">
        <v>23097</v>
      </c>
      <c r="D7334" s="489" t="s">
        <v>23098</v>
      </c>
      <c r="E7334" s="487" t="s">
        <v>23099</v>
      </c>
      <c r="F7334" s="490">
        <v>8000</v>
      </c>
      <c r="G7334" s="489">
        <v>184.9</v>
      </c>
      <c r="H7334" s="489">
        <v>43.266629999999999</v>
      </c>
      <c r="I7334" s="487" t="s">
        <v>1499</v>
      </c>
      <c r="J7334" s="487" t="s">
        <v>1373</v>
      </c>
    </row>
    <row r="7335" spans="1:10" ht="15" x14ac:dyDescent="0.2">
      <c r="A7335" s="486" t="s">
        <v>1372</v>
      </c>
      <c r="B7335" s="487" t="s">
        <v>1371</v>
      </c>
      <c r="C7335" s="488" t="s">
        <v>23100</v>
      </c>
      <c r="D7335" s="489" t="s">
        <v>23101</v>
      </c>
      <c r="E7335" s="487" t="s">
        <v>23102</v>
      </c>
      <c r="F7335" s="490">
        <v>18905</v>
      </c>
      <c r="G7335" s="489">
        <v>140.1</v>
      </c>
      <c r="H7335" s="489">
        <v>134.93933000000001</v>
      </c>
      <c r="I7335" s="487" t="s">
        <v>1499</v>
      </c>
      <c r="J7335" s="487" t="s">
        <v>1373</v>
      </c>
    </row>
    <row r="7336" spans="1:10" ht="15" x14ac:dyDescent="0.2">
      <c r="A7336" s="486" t="s">
        <v>1372</v>
      </c>
      <c r="B7336" s="487" t="s">
        <v>1371</v>
      </c>
      <c r="C7336" s="488" t="s">
        <v>23103</v>
      </c>
      <c r="D7336" s="489" t="s">
        <v>23104</v>
      </c>
      <c r="E7336" s="487" t="s">
        <v>15229</v>
      </c>
      <c r="F7336" s="490">
        <v>0</v>
      </c>
      <c r="G7336" s="489">
        <v>105.2</v>
      </c>
      <c r="H7336" s="489">
        <v>0</v>
      </c>
      <c r="I7336" s="487" t="s">
        <v>1593</v>
      </c>
      <c r="J7336" s="487" t="s">
        <v>1373</v>
      </c>
    </row>
    <row r="7337" spans="1:10" ht="15" x14ac:dyDescent="0.2">
      <c r="A7337" s="486" t="s">
        <v>1372</v>
      </c>
      <c r="B7337" s="487" t="s">
        <v>1371</v>
      </c>
      <c r="C7337" s="488" t="s">
        <v>23105</v>
      </c>
      <c r="D7337" s="489" t="s">
        <v>23106</v>
      </c>
      <c r="E7337" s="487" t="s">
        <v>23107</v>
      </c>
      <c r="F7337" s="490">
        <v>30321</v>
      </c>
      <c r="G7337" s="489">
        <v>261.2</v>
      </c>
      <c r="H7337" s="489">
        <v>116.08346</v>
      </c>
      <c r="I7337" s="487" t="s">
        <v>1499</v>
      </c>
      <c r="J7337" s="487" t="s">
        <v>1373</v>
      </c>
    </row>
    <row r="7338" spans="1:10" ht="15" x14ac:dyDescent="0.2">
      <c r="A7338" s="486" t="s">
        <v>1372</v>
      </c>
      <c r="B7338" s="487" t="s">
        <v>1371</v>
      </c>
      <c r="C7338" s="488" t="s">
        <v>23108</v>
      </c>
      <c r="D7338" s="489" t="s">
        <v>23109</v>
      </c>
      <c r="E7338" s="487" t="s">
        <v>3437</v>
      </c>
      <c r="F7338" s="490">
        <v>11400</v>
      </c>
      <c r="G7338" s="489">
        <v>161.5</v>
      </c>
      <c r="H7338" s="489">
        <v>70.588239999999999</v>
      </c>
      <c r="I7338" s="487" t="s">
        <v>1499</v>
      </c>
      <c r="J7338" s="487" t="s">
        <v>1373</v>
      </c>
    </row>
    <row r="7339" spans="1:10" ht="15" x14ac:dyDescent="0.2">
      <c r="A7339" s="486" t="s">
        <v>1372</v>
      </c>
      <c r="B7339" s="487" t="s">
        <v>1371</v>
      </c>
      <c r="C7339" s="488" t="s">
        <v>23110</v>
      </c>
      <c r="D7339" s="489" t="s">
        <v>23111</v>
      </c>
      <c r="E7339" s="487" t="s">
        <v>4018</v>
      </c>
      <c r="F7339" s="490">
        <v>1200</v>
      </c>
      <c r="G7339" s="489">
        <v>51.2</v>
      </c>
      <c r="H7339" s="489">
        <v>23.4375</v>
      </c>
      <c r="I7339" s="487" t="s">
        <v>1499</v>
      </c>
      <c r="J7339" s="487" t="s">
        <v>1373</v>
      </c>
    </row>
    <row r="7340" spans="1:10" ht="15" x14ac:dyDescent="0.2">
      <c r="A7340" s="486" t="s">
        <v>1372</v>
      </c>
      <c r="B7340" s="487" t="s">
        <v>1371</v>
      </c>
      <c r="C7340" s="488" t="s">
        <v>23112</v>
      </c>
      <c r="D7340" s="489" t="s">
        <v>23113</v>
      </c>
      <c r="E7340" s="487" t="s">
        <v>23114</v>
      </c>
      <c r="F7340" s="490">
        <v>0</v>
      </c>
      <c r="G7340" s="489">
        <v>85.1</v>
      </c>
      <c r="H7340" s="489">
        <v>0</v>
      </c>
      <c r="I7340" s="487" t="s">
        <v>1593</v>
      </c>
      <c r="J7340" s="487" t="s">
        <v>1373</v>
      </c>
    </row>
    <row r="7341" spans="1:10" ht="15" x14ac:dyDescent="0.2">
      <c r="A7341" s="486" t="s">
        <v>1372</v>
      </c>
      <c r="B7341" s="487" t="s">
        <v>1371</v>
      </c>
      <c r="C7341" s="488" t="s">
        <v>23115</v>
      </c>
      <c r="D7341" s="489" t="s">
        <v>23116</v>
      </c>
      <c r="E7341" s="487" t="s">
        <v>23117</v>
      </c>
      <c r="F7341" s="490">
        <v>237152</v>
      </c>
      <c r="G7341" s="489">
        <v>1390.1</v>
      </c>
      <c r="H7341" s="489">
        <v>170.60068000000001</v>
      </c>
      <c r="I7341" s="487" t="s">
        <v>1499</v>
      </c>
      <c r="J7341" s="487" t="s">
        <v>1373</v>
      </c>
    </row>
    <row r="7342" spans="1:10" ht="15" x14ac:dyDescent="0.2">
      <c r="A7342" s="486" t="s">
        <v>1372</v>
      </c>
      <c r="B7342" s="487" t="s">
        <v>1371</v>
      </c>
      <c r="C7342" s="488" t="s">
        <v>23118</v>
      </c>
      <c r="D7342" s="489" t="s">
        <v>23119</v>
      </c>
      <c r="E7342" s="487" t="s">
        <v>2059</v>
      </c>
      <c r="F7342" s="490">
        <v>438848</v>
      </c>
      <c r="G7342" s="489">
        <v>3441.5</v>
      </c>
      <c r="H7342" s="489">
        <v>127.51649</v>
      </c>
      <c r="I7342" s="487" t="s">
        <v>1499</v>
      </c>
      <c r="J7342" s="487" t="s">
        <v>1373</v>
      </c>
    </row>
    <row r="7343" spans="1:10" ht="15" x14ac:dyDescent="0.2">
      <c r="A7343" s="486" t="s">
        <v>1372</v>
      </c>
      <c r="B7343" s="487" t="s">
        <v>1371</v>
      </c>
      <c r="C7343" s="488" t="s">
        <v>23120</v>
      </c>
      <c r="D7343" s="489" t="s">
        <v>23121</v>
      </c>
      <c r="E7343" s="487" t="s">
        <v>23122</v>
      </c>
      <c r="F7343" s="490">
        <v>35600</v>
      </c>
      <c r="G7343" s="489">
        <v>489.7</v>
      </c>
      <c r="H7343" s="489">
        <v>72.697569999999999</v>
      </c>
      <c r="I7343" s="487" t="s">
        <v>1499</v>
      </c>
      <c r="J7343" s="487" t="s">
        <v>1373</v>
      </c>
    </row>
    <row r="7344" spans="1:10" ht="15" x14ac:dyDescent="0.2">
      <c r="A7344" s="486" t="s">
        <v>1372</v>
      </c>
      <c r="B7344" s="487" t="s">
        <v>1371</v>
      </c>
      <c r="C7344" s="488" t="s">
        <v>23123</v>
      </c>
      <c r="D7344" s="489" t="s">
        <v>23124</v>
      </c>
      <c r="E7344" s="487" t="s">
        <v>23125</v>
      </c>
      <c r="F7344" s="490">
        <v>29242</v>
      </c>
      <c r="G7344" s="489">
        <v>343.3</v>
      </c>
      <c r="H7344" s="489">
        <v>85.179140000000004</v>
      </c>
      <c r="I7344" s="487" t="s">
        <v>1499</v>
      </c>
      <c r="J7344" s="487" t="s">
        <v>1373</v>
      </c>
    </row>
    <row r="7345" spans="1:10" ht="15" x14ac:dyDescent="0.2">
      <c r="A7345" s="486" t="s">
        <v>1372</v>
      </c>
      <c r="B7345" s="487" t="s">
        <v>1371</v>
      </c>
      <c r="C7345" s="488" t="s">
        <v>23126</v>
      </c>
      <c r="D7345" s="489" t="s">
        <v>23127</v>
      </c>
      <c r="E7345" s="487" t="s">
        <v>23128</v>
      </c>
      <c r="F7345" s="490">
        <v>31011</v>
      </c>
      <c r="G7345" s="489">
        <v>336.7</v>
      </c>
      <c r="H7345" s="489">
        <v>92.102760000000004</v>
      </c>
      <c r="I7345" s="487" t="s">
        <v>1499</v>
      </c>
      <c r="J7345" s="487" t="s">
        <v>1373</v>
      </c>
    </row>
    <row r="7346" spans="1:10" ht="15" x14ac:dyDescent="0.2">
      <c r="A7346" s="486" t="s">
        <v>1372</v>
      </c>
      <c r="B7346" s="487" t="s">
        <v>1371</v>
      </c>
      <c r="C7346" s="488" t="s">
        <v>23129</v>
      </c>
      <c r="D7346" s="489" t="s">
        <v>23130</v>
      </c>
      <c r="E7346" s="487" t="s">
        <v>23131</v>
      </c>
      <c r="F7346" s="490">
        <v>159392</v>
      </c>
      <c r="G7346" s="489">
        <v>3174.5</v>
      </c>
      <c r="H7346" s="489">
        <v>50.21011</v>
      </c>
      <c r="I7346" s="487" t="s">
        <v>1499</v>
      </c>
      <c r="J7346" s="487" t="s">
        <v>1373</v>
      </c>
    </row>
    <row r="7347" spans="1:10" ht="15" x14ac:dyDescent="0.2">
      <c r="A7347" s="486" t="s">
        <v>1372</v>
      </c>
      <c r="B7347" s="487" t="s">
        <v>1371</v>
      </c>
      <c r="C7347" s="488" t="s">
        <v>23132</v>
      </c>
      <c r="D7347" s="489" t="s">
        <v>23133</v>
      </c>
      <c r="E7347" s="487" t="s">
        <v>23134</v>
      </c>
      <c r="F7347" s="490">
        <v>435000</v>
      </c>
      <c r="G7347" s="489">
        <v>7438.2</v>
      </c>
      <c r="H7347" s="489">
        <v>58.48189</v>
      </c>
      <c r="I7347" s="487" t="s">
        <v>1499</v>
      </c>
      <c r="J7347" s="487" t="s">
        <v>1373</v>
      </c>
    </row>
    <row r="7348" spans="1:10" ht="15" x14ac:dyDescent="0.2">
      <c r="A7348" s="486" t="s">
        <v>1372</v>
      </c>
      <c r="B7348" s="487" t="s">
        <v>1371</v>
      </c>
      <c r="C7348" s="488" t="s">
        <v>23135</v>
      </c>
      <c r="D7348" s="489" t="s">
        <v>23136</v>
      </c>
      <c r="E7348" s="487" t="s">
        <v>23137</v>
      </c>
      <c r="F7348" s="490">
        <v>1841300</v>
      </c>
      <c r="G7348" s="489">
        <v>37745.300000000003</v>
      </c>
      <c r="H7348" s="489">
        <v>48.782229999999998</v>
      </c>
      <c r="I7348" s="487" t="s">
        <v>1499</v>
      </c>
      <c r="J7348" s="487" t="s">
        <v>1373</v>
      </c>
    </row>
    <row r="7349" spans="1:10" ht="15" x14ac:dyDescent="0.2">
      <c r="A7349" s="486" t="s">
        <v>1068</v>
      </c>
      <c r="B7349" s="487" t="s">
        <v>1067</v>
      </c>
      <c r="C7349" s="488" t="s">
        <v>23138</v>
      </c>
      <c r="D7349" s="489" t="s">
        <v>23139</v>
      </c>
      <c r="E7349" s="487" t="s">
        <v>23140</v>
      </c>
      <c r="F7349" s="490">
        <v>11294</v>
      </c>
      <c r="G7349" s="489">
        <v>319.63</v>
      </c>
      <c r="H7349" s="489">
        <v>35.334609999999998</v>
      </c>
      <c r="I7349" s="487" t="s">
        <v>1499</v>
      </c>
      <c r="J7349" s="487" t="s">
        <v>1069</v>
      </c>
    </row>
    <row r="7350" spans="1:10" ht="15" x14ac:dyDescent="0.2">
      <c r="A7350" s="486" t="s">
        <v>1068</v>
      </c>
      <c r="B7350" s="487" t="s">
        <v>1067</v>
      </c>
      <c r="C7350" s="488" t="s">
        <v>23141</v>
      </c>
      <c r="D7350" s="489" t="s">
        <v>23142</v>
      </c>
      <c r="E7350" s="487" t="s">
        <v>23143</v>
      </c>
      <c r="F7350" s="490">
        <v>61000</v>
      </c>
      <c r="G7350" s="489">
        <v>524.11</v>
      </c>
      <c r="H7350" s="489">
        <v>116.38778000000001</v>
      </c>
      <c r="I7350" s="487" t="s">
        <v>1499</v>
      </c>
      <c r="J7350" s="487" t="s">
        <v>1069</v>
      </c>
    </row>
    <row r="7351" spans="1:10" ht="15" x14ac:dyDescent="0.2">
      <c r="A7351" s="486" t="s">
        <v>1068</v>
      </c>
      <c r="B7351" s="487" t="s">
        <v>1067</v>
      </c>
      <c r="C7351" s="488" t="s">
        <v>23144</v>
      </c>
      <c r="D7351" s="489" t="s">
        <v>23145</v>
      </c>
      <c r="E7351" s="487" t="s">
        <v>23146</v>
      </c>
      <c r="F7351" s="490">
        <v>3000</v>
      </c>
      <c r="G7351" s="489">
        <v>155.56</v>
      </c>
      <c r="H7351" s="489">
        <v>19.285160000000001</v>
      </c>
      <c r="I7351" s="487" t="s">
        <v>1499</v>
      </c>
      <c r="J7351" s="487" t="s">
        <v>1069</v>
      </c>
    </row>
    <row r="7352" spans="1:10" ht="15" x14ac:dyDescent="0.2">
      <c r="A7352" s="486" t="s">
        <v>1068</v>
      </c>
      <c r="B7352" s="487" t="s">
        <v>1067</v>
      </c>
      <c r="C7352" s="488" t="s">
        <v>23147</v>
      </c>
      <c r="D7352" s="489" t="s">
        <v>23148</v>
      </c>
      <c r="E7352" s="487" t="s">
        <v>23149</v>
      </c>
      <c r="F7352" s="490">
        <v>0</v>
      </c>
      <c r="G7352" s="489">
        <v>50.26</v>
      </c>
      <c r="H7352" s="489">
        <v>0</v>
      </c>
      <c r="I7352" s="487" t="s">
        <v>1593</v>
      </c>
      <c r="J7352" s="487" t="s">
        <v>1069</v>
      </c>
    </row>
    <row r="7353" spans="1:10" ht="15" x14ac:dyDescent="0.2">
      <c r="A7353" s="486" t="s">
        <v>1068</v>
      </c>
      <c r="B7353" s="487" t="s">
        <v>1067</v>
      </c>
      <c r="C7353" s="488" t="s">
        <v>23150</v>
      </c>
      <c r="D7353" s="489" t="s">
        <v>23151</v>
      </c>
      <c r="E7353" s="487" t="s">
        <v>23152</v>
      </c>
      <c r="F7353" s="490">
        <v>46000</v>
      </c>
      <c r="G7353" s="489">
        <v>927.96</v>
      </c>
      <c r="H7353" s="489">
        <v>49.571100000000001</v>
      </c>
      <c r="I7353" s="487" t="s">
        <v>1499</v>
      </c>
      <c r="J7353" s="487" t="s">
        <v>1069</v>
      </c>
    </row>
    <row r="7354" spans="1:10" ht="15" x14ac:dyDescent="0.2">
      <c r="A7354" s="486" t="s">
        <v>1068</v>
      </c>
      <c r="B7354" s="487" t="s">
        <v>1067</v>
      </c>
      <c r="C7354" s="488" t="s">
        <v>23153</v>
      </c>
      <c r="D7354" s="489" t="s">
        <v>23154</v>
      </c>
      <c r="E7354" s="487" t="s">
        <v>23155</v>
      </c>
      <c r="F7354" s="490">
        <v>17300</v>
      </c>
      <c r="G7354" s="489">
        <v>370.22</v>
      </c>
      <c r="H7354" s="489">
        <v>46.728969999999997</v>
      </c>
      <c r="I7354" s="487" t="s">
        <v>1499</v>
      </c>
      <c r="J7354" s="487" t="s">
        <v>1069</v>
      </c>
    </row>
    <row r="7355" spans="1:10" ht="15" x14ac:dyDescent="0.2">
      <c r="A7355" s="486" t="s">
        <v>1068</v>
      </c>
      <c r="B7355" s="487" t="s">
        <v>1067</v>
      </c>
      <c r="C7355" s="488" t="s">
        <v>23156</v>
      </c>
      <c r="D7355" s="489" t="s">
        <v>23157</v>
      </c>
      <c r="E7355" s="487" t="s">
        <v>23158</v>
      </c>
      <c r="F7355" s="490">
        <v>477381</v>
      </c>
      <c r="G7355" s="489">
        <v>3243.11</v>
      </c>
      <c r="H7355" s="489">
        <v>147.19852</v>
      </c>
      <c r="I7355" s="487" t="s">
        <v>1499</v>
      </c>
      <c r="J7355" s="487" t="s">
        <v>1069</v>
      </c>
    </row>
    <row r="7356" spans="1:10" ht="15" x14ac:dyDescent="0.2">
      <c r="A7356" s="486" t="s">
        <v>1068</v>
      </c>
      <c r="B7356" s="487" t="s">
        <v>1067</v>
      </c>
      <c r="C7356" s="488" t="s">
        <v>23159</v>
      </c>
      <c r="D7356" s="489" t="s">
        <v>23160</v>
      </c>
      <c r="E7356" s="487" t="s">
        <v>23161</v>
      </c>
      <c r="F7356" s="490">
        <v>800</v>
      </c>
      <c r="G7356" s="489">
        <v>56.47</v>
      </c>
      <c r="H7356" s="489">
        <v>14.16681</v>
      </c>
      <c r="I7356" s="487" t="s">
        <v>1499</v>
      </c>
      <c r="J7356" s="487" t="s">
        <v>1069</v>
      </c>
    </row>
    <row r="7357" spans="1:10" ht="15" x14ac:dyDescent="0.2">
      <c r="A7357" s="486" t="s">
        <v>1068</v>
      </c>
      <c r="B7357" s="487" t="s">
        <v>1067</v>
      </c>
      <c r="C7357" s="488" t="s">
        <v>23162</v>
      </c>
      <c r="D7357" s="489" t="s">
        <v>23163</v>
      </c>
      <c r="E7357" s="487" t="s">
        <v>23164</v>
      </c>
      <c r="F7357" s="490">
        <v>265206</v>
      </c>
      <c r="G7357" s="489">
        <v>2127.1</v>
      </c>
      <c r="H7357" s="489">
        <v>124.67961</v>
      </c>
      <c r="I7357" s="487" t="s">
        <v>1499</v>
      </c>
      <c r="J7357" s="487" t="s">
        <v>1069</v>
      </c>
    </row>
    <row r="7358" spans="1:10" ht="15" x14ac:dyDescent="0.2">
      <c r="A7358" s="486" t="s">
        <v>1068</v>
      </c>
      <c r="B7358" s="487" t="s">
        <v>1067</v>
      </c>
      <c r="C7358" s="488" t="s">
        <v>23165</v>
      </c>
      <c r="D7358" s="489" t="s">
        <v>23166</v>
      </c>
      <c r="E7358" s="487" t="s">
        <v>23167</v>
      </c>
      <c r="F7358" s="490">
        <v>8475</v>
      </c>
      <c r="G7358" s="489">
        <v>311.63</v>
      </c>
      <c r="H7358" s="489">
        <v>27.195709999999998</v>
      </c>
      <c r="I7358" s="487" t="s">
        <v>1499</v>
      </c>
      <c r="J7358" s="487" t="s">
        <v>1069</v>
      </c>
    </row>
    <row r="7359" spans="1:10" ht="15" x14ac:dyDescent="0.2">
      <c r="A7359" s="486" t="s">
        <v>1068</v>
      </c>
      <c r="B7359" s="487" t="s">
        <v>1067</v>
      </c>
      <c r="C7359" s="488" t="s">
        <v>23168</v>
      </c>
      <c r="D7359" s="489" t="s">
        <v>23169</v>
      </c>
      <c r="E7359" s="487" t="s">
        <v>23170</v>
      </c>
      <c r="F7359" s="490">
        <v>958605</v>
      </c>
      <c r="G7359" s="489">
        <v>8267.82</v>
      </c>
      <c r="H7359" s="489">
        <v>115.94410999999999</v>
      </c>
      <c r="I7359" s="487" t="s">
        <v>1499</v>
      </c>
      <c r="J7359" s="487" t="s">
        <v>1069</v>
      </c>
    </row>
    <row r="7360" spans="1:10" ht="15" x14ac:dyDescent="0.2">
      <c r="A7360" s="486" t="s">
        <v>1068</v>
      </c>
      <c r="B7360" s="487" t="s">
        <v>1067</v>
      </c>
      <c r="C7360" s="488" t="s">
        <v>23171</v>
      </c>
      <c r="D7360" s="489" t="s">
        <v>23172</v>
      </c>
      <c r="E7360" s="487" t="s">
        <v>23173</v>
      </c>
      <c r="F7360" s="490">
        <v>12100</v>
      </c>
      <c r="G7360" s="489">
        <v>429.23</v>
      </c>
      <c r="H7360" s="489">
        <v>28.190010000000001</v>
      </c>
      <c r="I7360" s="487" t="s">
        <v>1499</v>
      </c>
      <c r="J7360" s="487" t="s">
        <v>1069</v>
      </c>
    </row>
    <row r="7361" spans="1:10" ht="15" x14ac:dyDescent="0.2">
      <c r="A7361" s="486" t="s">
        <v>1068</v>
      </c>
      <c r="B7361" s="487" t="s">
        <v>1067</v>
      </c>
      <c r="C7361" s="488" t="s">
        <v>23174</v>
      </c>
      <c r="D7361" s="489" t="s">
        <v>23175</v>
      </c>
      <c r="E7361" s="487" t="s">
        <v>23176</v>
      </c>
      <c r="F7361" s="490">
        <v>5336</v>
      </c>
      <c r="G7361" s="489">
        <v>195.85</v>
      </c>
      <c r="H7361" s="489">
        <v>27.245339999999999</v>
      </c>
      <c r="I7361" s="487" t="s">
        <v>1499</v>
      </c>
      <c r="J7361" s="487" t="s">
        <v>1069</v>
      </c>
    </row>
    <row r="7362" spans="1:10" ht="15" x14ac:dyDescent="0.2">
      <c r="A7362" s="486" t="s">
        <v>1068</v>
      </c>
      <c r="B7362" s="487" t="s">
        <v>1067</v>
      </c>
      <c r="C7362" s="488" t="s">
        <v>23177</v>
      </c>
      <c r="D7362" s="489" t="s">
        <v>23178</v>
      </c>
      <c r="E7362" s="487" t="s">
        <v>23179</v>
      </c>
      <c r="F7362" s="490">
        <v>1600</v>
      </c>
      <c r="G7362" s="489">
        <v>49.2</v>
      </c>
      <c r="H7362" s="489">
        <v>32.520330000000001</v>
      </c>
      <c r="I7362" s="487" t="s">
        <v>1499</v>
      </c>
      <c r="J7362" s="487" t="s">
        <v>1069</v>
      </c>
    </row>
    <row r="7363" spans="1:10" ht="15" x14ac:dyDescent="0.2">
      <c r="A7363" s="486" t="s">
        <v>1068</v>
      </c>
      <c r="B7363" s="487" t="s">
        <v>1067</v>
      </c>
      <c r="C7363" s="488" t="s">
        <v>23180</v>
      </c>
      <c r="D7363" s="489" t="s">
        <v>23181</v>
      </c>
      <c r="E7363" s="487" t="s">
        <v>23182</v>
      </c>
      <c r="F7363" s="490">
        <v>20000</v>
      </c>
      <c r="G7363" s="489">
        <v>776.97</v>
      </c>
      <c r="H7363" s="489">
        <v>25.741019999999999</v>
      </c>
      <c r="I7363" s="487" t="s">
        <v>1499</v>
      </c>
      <c r="J7363" s="487" t="s">
        <v>1069</v>
      </c>
    </row>
    <row r="7364" spans="1:10" ht="15" x14ac:dyDescent="0.2">
      <c r="A7364" s="486" t="s">
        <v>1068</v>
      </c>
      <c r="B7364" s="487" t="s">
        <v>1067</v>
      </c>
      <c r="C7364" s="488" t="s">
        <v>23183</v>
      </c>
      <c r="D7364" s="489" t="s">
        <v>23184</v>
      </c>
      <c r="E7364" s="487" t="s">
        <v>23185</v>
      </c>
      <c r="F7364" s="490">
        <v>13000</v>
      </c>
      <c r="G7364" s="489">
        <v>712.97</v>
      </c>
      <c r="H7364" s="489">
        <v>18.23359</v>
      </c>
      <c r="I7364" s="487" t="s">
        <v>1499</v>
      </c>
      <c r="J7364" s="487" t="s">
        <v>1069</v>
      </c>
    </row>
    <row r="7365" spans="1:10" ht="15" x14ac:dyDescent="0.2">
      <c r="A7365" s="486" t="s">
        <v>1068</v>
      </c>
      <c r="B7365" s="487" t="s">
        <v>1067</v>
      </c>
      <c r="C7365" s="488" t="s">
        <v>23186</v>
      </c>
      <c r="D7365" s="489" t="s">
        <v>23187</v>
      </c>
      <c r="E7365" s="487" t="s">
        <v>23188</v>
      </c>
      <c r="F7365" s="490">
        <v>40000</v>
      </c>
      <c r="G7365" s="489">
        <v>457.7</v>
      </c>
      <c r="H7365" s="489">
        <v>87.39349</v>
      </c>
      <c r="I7365" s="487" t="s">
        <v>1499</v>
      </c>
      <c r="J7365" s="487" t="s">
        <v>1069</v>
      </c>
    </row>
    <row r="7366" spans="1:10" ht="15" x14ac:dyDescent="0.2">
      <c r="A7366" s="486" t="s">
        <v>1068</v>
      </c>
      <c r="B7366" s="487" t="s">
        <v>1067</v>
      </c>
      <c r="C7366" s="488" t="s">
        <v>23189</v>
      </c>
      <c r="D7366" s="489" t="s">
        <v>23190</v>
      </c>
      <c r="E7366" s="487" t="s">
        <v>23191</v>
      </c>
      <c r="F7366" s="490">
        <v>5000</v>
      </c>
      <c r="G7366" s="489">
        <v>264.17</v>
      </c>
      <c r="H7366" s="489">
        <v>18.927209999999999</v>
      </c>
      <c r="I7366" s="487" t="s">
        <v>1499</v>
      </c>
      <c r="J7366" s="487" t="s">
        <v>1069</v>
      </c>
    </row>
    <row r="7367" spans="1:10" ht="15" x14ac:dyDescent="0.2">
      <c r="A7367" s="486" t="s">
        <v>1068</v>
      </c>
      <c r="B7367" s="487" t="s">
        <v>1067</v>
      </c>
      <c r="C7367" s="488" t="s">
        <v>23192</v>
      </c>
      <c r="D7367" s="489" t="s">
        <v>23193</v>
      </c>
      <c r="E7367" s="487" t="s">
        <v>23194</v>
      </c>
      <c r="F7367" s="490">
        <v>401775</v>
      </c>
      <c r="G7367" s="489">
        <v>3667.98</v>
      </c>
      <c r="H7367" s="489">
        <v>109.53577</v>
      </c>
      <c r="I7367" s="487" t="s">
        <v>1499</v>
      </c>
      <c r="J7367" s="487" t="s">
        <v>1069</v>
      </c>
    </row>
    <row r="7368" spans="1:10" ht="15" x14ac:dyDescent="0.2">
      <c r="A7368" s="486" t="s">
        <v>1068</v>
      </c>
      <c r="B7368" s="487" t="s">
        <v>1067</v>
      </c>
      <c r="C7368" s="488" t="s">
        <v>23195</v>
      </c>
      <c r="D7368" s="489" t="s">
        <v>23196</v>
      </c>
      <c r="E7368" s="487" t="s">
        <v>23197</v>
      </c>
      <c r="F7368" s="490">
        <v>0</v>
      </c>
      <c r="G7368" s="489">
        <v>36.97</v>
      </c>
      <c r="H7368" s="489">
        <v>0</v>
      </c>
      <c r="I7368" s="487" t="s">
        <v>1593</v>
      </c>
      <c r="J7368" s="487" t="s">
        <v>1069</v>
      </c>
    </row>
    <row r="7369" spans="1:10" ht="15" x14ac:dyDescent="0.2">
      <c r="A7369" s="486" t="s">
        <v>1068</v>
      </c>
      <c r="B7369" s="487" t="s">
        <v>1067</v>
      </c>
      <c r="C7369" s="488" t="s">
        <v>23198</v>
      </c>
      <c r="D7369" s="489" t="s">
        <v>23199</v>
      </c>
      <c r="E7369" s="487" t="s">
        <v>23200</v>
      </c>
      <c r="F7369" s="490">
        <v>4115</v>
      </c>
      <c r="G7369" s="489">
        <v>83.75</v>
      </c>
      <c r="H7369" s="489">
        <v>49.134329999999999</v>
      </c>
      <c r="I7369" s="487" t="s">
        <v>1499</v>
      </c>
      <c r="J7369" s="487" t="s">
        <v>1069</v>
      </c>
    </row>
    <row r="7370" spans="1:10" ht="15" x14ac:dyDescent="0.2">
      <c r="A7370" s="486" t="s">
        <v>1068</v>
      </c>
      <c r="B7370" s="487" t="s">
        <v>1067</v>
      </c>
      <c r="C7370" s="488" t="s">
        <v>23201</v>
      </c>
      <c r="D7370" s="489" t="s">
        <v>23202</v>
      </c>
      <c r="E7370" s="487" t="s">
        <v>23203</v>
      </c>
      <c r="F7370" s="490">
        <v>1610</v>
      </c>
      <c r="G7370" s="489">
        <v>62.96</v>
      </c>
      <c r="H7370" s="489">
        <v>25.57179</v>
      </c>
      <c r="I7370" s="487" t="s">
        <v>1499</v>
      </c>
      <c r="J7370" s="487" t="s">
        <v>1069</v>
      </c>
    </row>
    <row r="7371" spans="1:10" ht="15" x14ac:dyDescent="0.2">
      <c r="A7371" s="486" t="s">
        <v>1068</v>
      </c>
      <c r="B7371" s="487" t="s">
        <v>1067</v>
      </c>
      <c r="C7371" s="488" t="s">
        <v>23204</v>
      </c>
      <c r="D7371" s="489" t="s">
        <v>23205</v>
      </c>
      <c r="E7371" s="487" t="s">
        <v>23206</v>
      </c>
      <c r="F7371" s="490">
        <v>1490046</v>
      </c>
      <c r="G7371" s="489">
        <v>11001.52</v>
      </c>
      <c r="H7371" s="489">
        <v>135.44001</v>
      </c>
      <c r="I7371" s="487" t="s">
        <v>1499</v>
      </c>
      <c r="J7371" s="487" t="s">
        <v>1069</v>
      </c>
    </row>
    <row r="7372" spans="1:10" ht="15" x14ac:dyDescent="0.2">
      <c r="A7372" s="486" t="s">
        <v>1068</v>
      </c>
      <c r="B7372" s="487" t="s">
        <v>1067</v>
      </c>
      <c r="C7372" s="488" t="s">
        <v>23207</v>
      </c>
      <c r="D7372" s="489" t="s">
        <v>23208</v>
      </c>
      <c r="E7372" s="487" t="s">
        <v>23209</v>
      </c>
      <c r="F7372" s="490">
        <v>1300</v>
      </c>
      <c r="G7372" s="489">
        <v>88.99</v>
      </c>
      <c r="H7372" s="489">
        <v>14.60838</v>
      </c>
      <c r="I7372" s="487" t="s">
        <v>1499</v>
      </c>
      <c r="J7372" s="487" t="s">
        <v>1069</v>
      </c>
    </row>
    <row r="7373" spans="1:10" ht="15" x14ac:dyDescent="0.2">
      <c r="A7373" s="486" t="s">
        <v>1068</v>
      </c>
      <c r="B7373" s="487" t="s">
        <v>1067</v>
      </c>
      <c r="C7373" s="488" t="s">
        <v>23210</v>
      </c>
      <c r="D7373" s="489" t="s">
        <v>23211</v>
      </c>
      <c r="E7373" s="487" t="s">
        <v>23212</v>
      </c>
      <c r="F7373" s="490">
        <v>2500</v>
      </c>
      <c r="G7373" s="489">
        <v>55.98</v>
      </c>
      <c r="H7373" s="489">
        <v>44.658810000000003</v>
      </c>
      <c r="I7373" s="487" t="s">
        <v>1499</v>
      </c>
      <c r="J7373" s="487" t="s">
        <v>1069</v>
      </c>
    </row>
    <row r="7374" spans="1:10" ht="15" x14ac:dyDescent="0.2">
      <c r="A7374" s="486" t="s">
        <v>1068</v>
      </c>
      <c r="B7374" s="487" t="s">
        <v>1067</v>
      </c>
      <c r="C7374" s="488" t="s">
        <v>23213</v>
      </c>
      <c r="D7374" s="489" t="s">
        <v>23214</v>
      </c>
      <c r="E7374" s="487" t="s">
        <v>23215</v>
      </c>
      <c r="F7374" s="490">
        <v>105016</v>
      </c>
      <c r="G7374" s="489">
        <v>1337.67</v>
      </c>
      <c r="H7374" s="489">
        <v>78.506659999999997</v>
      </c>
      <c r="I7374" s="487" t="s">
        <v>1499</v>
      </c>
      <c r="J7374" s="487" t="s">
        <v>1069</v>
      </c>
    </row>
    <row r="7375" spans="1:10" ht="15" x14ac:dyDescent="0.2">
      <c r="A7375" s="486" t="s">
        <v>1068</v>
      </c>
      <c r="B7375" s="487" t="s">
        <v>1067</v>
      </c>
      <c r="C7375" s="488" t="s">
        <v>23216</v>
      </c>
      <c r="D7375" s="489" t="s">
        <v>23217</v>
      </c>
      <c r="E7375" s="487" t="s">
        <v>23218</v>
      </c>
      <c r="F7375" s="490">
        <v>52050</v>
      </c>
      <c r="G7375" s="489">
        <v>481.2</v>
      </c>
      <c r="H7375" s="489">
        <v>108.16708</v>
      </c>
      <c r="I7375" s="487" t="s">
        <v>1499</v>
      </c>
      <c r="J7375" s="487" t="s">
        <v>1069</v>
      </c>
    </row>
    <row r="7376" spans="1:10" ht="15" x14ac:dyDescent="0.2">
      <c r="A7376" s="486" t="s">
        <v>1068</v>
      </c>
      <c r="B7376" s="487" t="s">
        <v>1067</v>
      </c>
      <c r="C7376" s="488" t="s">
        <v>23219</v>
      </c>
      <c r="D7376" s="489" t="s">
        <v>23220</v>
      </c>
      <c r="E7376" s="487" t="s">
        <v>23221</v>
      </c>
      <c r="F7376" s="490">
        <v>10500</v>
      </c>
      <c r="G7376" s="489">
        <v>201.04</v>
      </c>
      <c r="H7376" s="489">
        <v>52.228409999999997</v>
      </c>
      <c r="I7376" s="487" t="s">
        <v>1499</v>
      </c>
      <c r="J7376" s="487" t="s">
        <v>1069</v>
      </c>
    </row>
    <row r="7377" spans="1:10" ht="15" x14ac:dyDescent="0.2">
      <c r="A7377" s="486" t="s">
        <v>1068</v>
      </c>
      <c r="B7377" s="487" t="s">
        <v>1067</v>
      </c>
      <c r="C7377" s="488" t="s">
        <v>23222</v>
      </c>
      <c r="D7377" s="489" t="s">
        <v>23223</v>
      </c>
      <c r="E7377" s="487" t="s">
        <v>23224</v>
      </c>
      <c r="F7377" s="490">
        <v>3045</v>
      </c>
      <c r="G7377" s="489">
        <v>83.22</v>
      </c>
      <c r="H7377" s="489">
        <v>36.589759999999998</v>
      </c>
      <c r="I7377" s="487" t="s">
        <v>1499</v>
      </c>
      <c r="J7377" s="487" t="s">
        <v>1069</v>
      </c>
    </row>
    <row r="7378" spans="1:10" ht="15" x14ac:dyDescent="0.2">
      <c r="A7378" s="486" t="s">
        <v>1068</v>
      </c>
      <c r="B7378" s="487" t="s">
        <v>1067</v>
      </c>
      <c r="C7378" s="488" t="s">
        <v>23225</v>
      </c>
      <c r="D7378" s="489" t="s">
        <v>23226</v>
      </c>
      <c r="E7378" s="487" t="s">
        <v>23227</v>
      </c>
      <c r="F7378" s="490">
        <v>2500</v>
      </c>
      <c r="G7378" s="489">
        <v>150.6</v>
      </c>
      <c r="H7378" s="489">
        <v>16.600269999999998</v>
      </c>
      <c r="I7378" s="487" t="s">
        <v>1499</v>
      </c>
      <c r="J7378" s="487" t="s">
        <v>1069</v>
      </c>
    </row>
    <row r="7379" spans="1:10" ht="15" x14ac:dyDescent="0.2">
      <c r="A7379" s="486" t="s">
        <v>1068</v>
      </c>
      <c r="B7379" s="487" t="s">
        <v>1067</v>
      </c>
      <c r="C7379" s="488" t="s">
        <v>23228</v>
      </c>
      <c r="D7379" s="489" t="s">
        <v>23229</v>
      </c>
      <c r="E7379" s="487" t="s">
        <v>23230</v>
      </c>
      <c r="F7379" s="490">
        <v>8960</v>
      </c>
      <c r="G7379" s="489">
        <v>334.99</v>
      </c>
      <c r="H7379" s="489">
        <v>26.747070000000001</v>
      </c>
      <c r="I7379" s="487" t="s">
        <v>1499</v>
      </c>
      <c r="J7379" s="487" t="s">
        <v>1069</v>
      </c>
    </row>
    <row r="7380" spans="1:10" ht="15" x14ac:dyDescent="0.2">
      <c r="A7380" s="486" t="s">
        <v>1068</v>
      </c>
      <c r="B7380" s="487" t="s">
        <v>1067</v>
      </c>
      <c r="C7380" s="488" t="s">
        <v>23231</v>
      </c>
      <c r="D7380" s="489" t="s">
        <v>23232</v>
      </c>
      <c r="E7380" s="487" t="s">
        <v>23233</v>
      </c>
      <c r="F7380" s="490">
        <v>462435</v>
      </c>
      <c r="G7380" s="489">
        <v>2640.22</v>
      </c>
      <c r="H7380" s="489">
        <v>175.15018000000001</v>
      </c>
      <c r="I7380" s="487" t="s">
        <v>1499</v>
      </c>
      <c r="J7380" s="487" t="s">
        <v>1069</v>
      </c>
    </row>
    <row r="7381" spans="1:10" ht="15" x14ac:dyDescent="0.2">
      <c r="A7381" s="486" t="s">
        <v>1068</v>
      </c>
      <c r="B7381" s="487" t="s">
        <v>1067</v>
      </c>
      <c r="C7381" s="488" t="s">
        <v>23234</v>
      </c>
      <c r="D7381" s="489" t="s">
        <v>23235</v>
      </c>
      <c r="E7381" s="487" t="s">
        <v>23236</v>
      </c>
      <c r="F7381" s="490">
        <v>4500</v>
      </c>
      <c r="G7381" s="489">
        <v>101.49</v>
      </c>
      <c r="H7381" s="489">
        <v>44.33934</v>
      </c>
      <c r="I7381" s="487" t="s">
        <v>1499</v>
      </c>
      <c r="J7381" s="487" t="s">
        <v>1069</v>
      </c>
    </row>
    <row r="7382" spans="1:10" ht="15" x14ac:dyDescent="0.2">
      <c r="A7382" s="486" t="s">
        <v>1068</v>
      </c>
      <c r="B7382" s="487" t="s">
        <v>1067</v>
      </c>
      <c r="C7382" s="488" t="s">
        <v>23237</v>
      </c>
      <c r="D7382" s="489" t="s">
        <v>23238</v>
      </c>
      <c r="E7382" s="487" t="s">
        <v>23239</v>
      </c>
      <c r="F7382" s="490">
        <v>182214</v>
      </c>
      <c r="G7382" s="489">
        <v>2016.27</v>
      </c>
      <c r="H7382" s="489">
        <v>90.371830000000003</v>
      </c>
      <c r="I7382" s="487" t="s">
        <v>1499</v>
      </c>
      <c r="J7382" s="487" t="s">
        <v>1069</v>
      </c>
    </row>
    <row r="7383" spans="1:10" ht="15" x14ac:dyDescent="0.2">
      <c r="A7383" s="486" t="s">
        <v>1068</v>
      </c>
      <c r="B7383" s="487" t="s">
        <v>1067</v>
      </c>
      <c r="C7383" s="488" t="s">
        <v>23240</v>
      </c>
      <c r="D7383" s="489" t="s">
        <v>23241</v>
      </c>
      <c r="E7383" s="487" t="s">
        <v>23242</v>
      </c>
      <c r="F7383" s="490">
        <v>5720</v>
      </c>
      <c r="G7383" s="489">
        <v>148.94</v>
      </c>
      <c r="H7383" s="489">
        <v>38.404730000000001</v>
      </c>
      <c r="I7383" s="487" t="s">
        <v>1499</v>
      </c>
      <c r="J7383" s="487" t="s">
        <v>1069</v>
      </c>
    </row>
    <row r="7384" spans="1:10" ht="15" x14ac:dyDescent="0.2">
      <c r="A7384" s="486" t="s">
        <v>1068</v>
      </c>
      <c r="B7384" s="487" t="s">
        <v>1067</v>
      </c>
      <c r="C7384" s="488" t="s">
        <v>23243</v>
      </c>
      <c r="D7384" s="489" t="s">
        <v>23244</v>
      </c>
      <c r="E7384" s="487" t="s">
        <v>23245</v>
      </c>
      <c r="F7384" s="490">
        <v>10500</v>
      </c>
      <c r="G7384" s="489">
        <v>229.79</v>
      </c>
      <c r="H7384" s="489">
        <v>45.693890000000003</v>
      </c>
      <c r="I7384" s="487" t="s">
        <v>1499</v>
      </c>
      <c r="J7384" s="487" t="s">
        <v>1069</v>
      </c>
    </row>
    <row r="7385" spans="1:10" ht="15" x14ac:dyDescent="0.2">
      <c r="A7385" s="486" t="s">
        <v>1068</v>
      </c>
      <c r="B7385" s="487" t="s">
        <v>1067</v>
      </c>
      <c r="C7385" s="488" t="s">
        <v>23246</v>
      </c>
      <c r="D7385" s="489" t="s">
        <v>23247</v>
      </c>
      <c r="E7385" s="487" t="s">
        <v>23248</v>
      </c>
      <c r="F7385" s="490">
        <v>1179000</v>
      </c>
      <c r="G7385" s="489">
        <v>9425.3700000000008</v>
      </c>
      <c r="H7385" s="489">
        <v>125.08793</v>
      </c>
      <c r="I7385" s="487" t="s">
        <v>1499</v>
      </c>
      <c r="J7385" s="487" t="s">
        <v>1069</v>
      </c>
    </row>
    <row r="7386" spans="1:10" ht="15" x14ac:dyDescent="0.2">
      <c r="A7386" s="486" t="s">
        <v>1068</v>
      </c>
      <c r="B7386" s="487" t="s">
        <v>1067</v>
      </c>
      <c r="C7386" s="488" t="s">
        <v>23249</v>
      </c>
      <c r="D7386" s="489" t="s">
        <v>23250</v>
      </c>
      <c r="E7386" s="487" t="s">
        <v>23251</v>
      </c>
      <c r="F7386" s="490">
        <v>15000</v>
      </c>
      <c r="G7386" s="489">
        <v>196.09</v>
      </c>
      <c r="H7386" s="489">
        <v>76.495490000000004</v>
      </c>
      <c r="I7386" s="487" t="s">
        <v>1499</v>
      </c>
      <c r="J7386" s="487" t="s">
        <v>1069</v>
      </c>
    </row>
    <row r="7387" spans="1:10" ht="15" x14ac:dyDescent="0.2">
      <c r="A7387" s="486" t="s">
        <v>1068</v>
      </c>
      <c r="B7387" s="487" t="s">
        <v>1067</v>
      </c>
      <c r="C7387" s="488" t="s">
        <v>23252</v>
      </c>
      <c r="D7387" s="489" t="s">
        <v>23253</v>
      </c>
      <c r="E7387" s="487" t="s">
        <v>23254</v>
      </c>
      <c r="F7387" s="490">
        <v>5917</v>
      </c>
      <c r="G7387" s="489">
        <v>121.35</v>
      </c>
      <c r="H7387" s="489">
        <v>48.759790000000002</v>
      </c>
      <c r="I7387" s="487" t="s">
        <v>1499</v>
      </c>
      <c r="J7387" s="487" t="s">
        <v>1069</v>
      </c>
    </row>
    <row r="7388" spans="1:10" ht="15" x14ac:dyDescent="0.2">
      <c r="A7388" s="486" t="s">
        <v>1068</v>
      </c>
      <c r="B7388" s="487" t="s">
        <v>1067</v>
      </c>
      <c r="C7388" s="488" t="s">
        <v>23255</v>
      </c>
      <c r="D7388" s="489" t="s">
        <v>23256</v>
      </c>
      <c r="E7388" s="487" t="s">
        <v>23257</v>
      </c>
      <c r="F7388" s="490">
        <v>600</v>
      </c>
      <c r="G7388" s="489">
        <v>123.51</v>
      </c>
      <c r="H7388" s="489">
        <v>4.8579100000000004</v>
      </c>
      <c r="I7388" s="487" t="s">
        <v>1499</v>
      </c>
      <c r="J7388" s="487" t="s">
        <v>1069</v>
      </c>
    </row>
    <row r="7389" spans="1:10" ht="15" x14ac:dyDescent="0.2">
      <c r="A7389" s="486" t="s">
        <v>1068</v>
      </c>
      <c r="B7389" s="487" t="s">
        <v>1067</v>
      </c>
      <c r="C7389" s="488" t="s">
        <v>23258</v>
      </c>
      <c r="D7389" s="489" t="s">
        <v>23259</v>
      </c>
      <c r="E7389" s="487" t="s">
        <v>3461</v>
      </c>
      <c r="F7389" s="490">
        <v>2000</v>
      </c>
      <c r="G7389" s="489">
        <v>95.64</v>
      </c>
      <c r="H7389" s="489">
        <v>20.911750000000001</v>
      </c>
      <c r="I7389" s="487" t="s">
        <v>1499</v>
      </c>
      <c r="J7389" s="487" t="s">
        <v>1069</v>
      </c>
    </row>
    <row r="7390" spans="1:10" ht="15" x14ac:dyDescent="0.2">
      <c r="A7390" s="486" t="s">
        <v>1068</v>
      </c>
      <c r="B7390" s="487" t="s">
        <v>1067</v>
      </c>
      <c r="C7390" s="488" t="s">
        <v>23260</v>
      </c>
      <c r="D7390" s="489" t="s">
        <v>23261</v>
      </c>
      <c r="E7390" s="487" t="s">
        <v>23262</v>
      </c>
      <c r="F7390" s="490">
        <v>800</v>
      </c>
      <c r="G7390" s="489">
        <v>90.7</v>
      </c>
      <c r="H7390" s="489">
        <v>8.82029</v>
      </c>
      <c r="I7390" s="487" t="s">
        <v>1499</v>
      </c>
      <c r="J7390" s="487" t="s">
        <v>1069</v>
      </c>
    </row>
    <row r="7391" spans="1:10" ht="15" x14ac:dyDescent="0.2">
      <c r="A7391" s="486" t="s">
        <v>1068</v>
      </c>
      <c r="B7391" s="487" t="s">
        <v>1067</v>
      </c>
      <c r="C7391" s="488" t="s">
        <v>23263</v>
      </c>
      <c r="D7391" s="489" t="s">
        <v>23264</v>
      </c>
      <c r="E7391" s="487" t="s">
        <v>23265</v>
      </c>
      <c r="F7391" s="490">
        <v>0</v>
      </c>
      <c r="G7391" s="489">
        <v>33.1</v>
      </c>
      <c r="H7391" s="489">
        <v>0</v>
      </c>
      <c r="I7391" s="487" t="s">
        <v>1593</v>
      </c>
      <c r="J7391" s="487" t="s">
        <v>1069</v>
      </c>
    </row>
    <row r="7392" spans="1:10" ht="15" x14ac:dyDescent="0.2">
      <c r="A7392" s="486" t="s">
        <v>1068</v>
      </c>
      <c r="B7392" s="487" t="s">
        <v>1067</v>
      </c>
      <c r="C7392" s="488" t="s">
        <v>23266</v>
      </c>
      <c r="D7392" s="489" t="s">
        <v>23267</v>
      </c>
      <c r="E7392" s="487" t="s">
        <v>23268</v>
      </c>
      <c r="F7392" s="490">
        <v>300549</v>
      </c>
      <c r="G7392" s="489">
        <v>2110.73</v>
      </c>
      <c r="H7392" s="489">
        <v>142.39102</v>
      </c>
      <c r="I7392" s="487" t="s">
        <v>1499</v>
      </c>
      <c r="J7392" s="487" t="s">
        <v>1069</v>
      </c>
    </row>
    <row r="7393" spans="1:10" ht="15" x14ac:dyDescent="0.2">
      <c r="A7393" s="486" t="s">
        <v>1068</v>
      </c>
      <c r="B7393" s="487" t="s">
        <v>1067</v>
      </c>
      <c r="C7393" s="488" t="s">
        <v>23269</v>
      </c>
      <c r="D7393" s="489" t="s">
        <v>23270</v>
      </c>
      <c r="E7393" s="487" t="s">
        <v>23271</v>
      </c>
      <c r="F7393" s="490">
        <v>60000</v>
      </c>
      <c r="G7393" s="489">
        <v>836.56</v>
      </c>
      <c r="H7393" s="489">
        <v>71.722290000000001</v>
      </c>
      <c r="I7393" s="487" t="s">
        <v>1499</v>
      </c>
      <c r="J7393" s="487" t="s">
        <v>1069</v>
      </c>
    </row>
    <row r="7394" spans="1:10" ht="15" x14ac:dyDescent="0.2">
      <c r="A7394" s="486" t="s">
        <v>1068</v>
      </c>
      <c r="B7394" s="487" t="s">
        <v>1067</v>
      </c>
      <c r="C7394" s="488" t="s">
        <v>23272</v>
      </c>
      <c r="D7394" s="489" t="s">
        <v>23273</v>
      </c>
      <c r="E7394" s="487" t="s">
        <v>23274</v>
      </c>
      <c r="F7394" s="490">
        <v>700</v>
      </c>
      <c r="G7394" s="489">
        <v>99.95</v>
      </c>
      <c r="H7394" s="489">
        <v>7.0034999999999998</v>
      </c>
      <c r="I7394" s="487" t="s">
        <v>1499</v>
      </c>
      <c r="J7394" s="487" t="s">
        <v>1069</v>
      </c>
    </row>
    <row r="7395" spans="1:10" ht="15" x14ac:dyDescent="0.2">
      <c r="A7395" s="486" t="s">
        <v>1068</v>
      </c>
      <c r="B7395" s="487" t="s">
        <v>1067</v>
      </c>
      <c r="C7395" s="488" t="s">
        <v>23275</v>
      </c>
      <c r="D7395" s="489" t="s">
        <v>23276</v>
      </c>
      <c r="E7395" s="487" t="s">
        <v>23277</v>
      </c>
      <c r="F7395" s="490">
        <v>7270</v>
      </c>
      <c r="G7395" s="489">
        <v>207.13</v>
      </c>
      <c r="H7395" s="489">
        <v>35.098730000000003</v>
      </c>
      <c r="I7395" s="487" t="s">
        <v>1499</v>
      </c>
      <c r="J7395" s="487" t="s">
        <v>1069</v>
      </c>
    </row>
    <row r="7396" spans="1:10" ht="15" x14ac:dyDescent="0.2">
      <c r="A7396" s="486" t="s">
        <v>1068</v>
      </c>
      <c r="B7396" s="487" t="s">
        <v>1067</v>
      </c>
      <c r="C7396" s="488" t="s">
        <v>23278</v>
      </c>
      <c r="D7396" s="489" t="s">
        <v>23279</v>
      </c>
      <c r="E7396" s="487" t="s">
        <v>23280</v>
      </c>
      <c r="F7396" s="490">
        <v>3800</v>
      </c>
      <c r="G7396" s="489">
        <v>179.79</v>
      </c>
      <c r="H7396" s="489">
        <v>21.135770000000001</v>
      </c>
      <c r="I7396" s="487" t="s">
        <v>1499</v>
      </c>
      <c r="J7396" s="487" t="s">
        <v>1069</v>
      </c>
    </row>
    <row r="7397" spans="1:10" ht="15" x14ac:dyDescent="0.2">
      <c r="A7397" s="486" t="s">
        <v>1068</v>
      </c>
      <c r="B7397" s="487" t="s">
        <v>1067</v>
      </c>
      <c r="C7397" s="488" t="s">
        <v>23281</v>
      </c>
      <c r="D7397" s="489" t="s">
        <v>23282</v>
      </c>
      <c r="E7397" s="487" t="s">
        <v>23283</v>
      </c>
      <c r="F7397" s="490">
        <v>65000</v>
      </c>
      <c r="G7397" s="489">
        <v>1022.97</v>
      </c>
      <c r="H7397" s="489">
        <v>63.540480000000002</v>
      </c>
      <c r="I7397" s="487" t="s">
        <v>1499</v>
      </c>
      <c r="J7397" s="487" t="s">
        <v>1069</v>
      </c>
    </row>
    <row r="7398" spans="1:10" ht="15" x14ac:dyDescent="0.2">
      <c r="A7398" s="486" t="s">
        <v>1068</v>
      </c>
      <c r="B7398" s="487" t="s">
        <v>1067</v>
      </c>
      <c r="C7398" s="488" t="s">
        <v>23284</v>
      </c>
      <c r="D7398" s="489" t="s">
        <v>23285</v>
      </c>
      <c r="E7398" s="487" t="s">
        <v>23286</v>
      </c>
      <c r="F7398" s="490">
        <v>2000</v>
      </c>
      <c r="G7398" s="489">
        <v>98.1</v>
      </c>
      <c r="H7398" s="489">
        <v>20.387360000000001</v>
      </c>
      <c r="I7398" s="487" t="s">
        <v>1499</v>
      </c>
      <c r="J7398" s="487" t="s">
        <v>1069</v>
      </c>
    </row>
    <row r="7399" spans="1:10" ht="15" x14ac:dyDescent="0.2">
      <c r="A7399" s="486" t="s">
        <v>1068</v>
      </c>
      <c r="B7399" s="487" t="s">
        <v>1067</v>
      </c>
      <c r="C7399" s="488" t="s">
        <v>23287</v>
      </c>
      <c r="D7399" s="489" t="s">
        <v>23288</v>
      </c>
      <c r="E7399" s="487" t="s">
        <v>5642</v>
      </c>
      <c r="F7399" s="490">
        <v>16250</v>
      </c>
      <c r="G7399" s="489">
        <v>545.05999999999995</v>
      </c>
      <c r="H7399" s="489">
        <v>29.813230000000001</v>
      </c>
      <c r="I7399" s="487" t="s">
        <v>1499</v>
      </c>
      <c r="J7399" s="487" t="s">
        <v>1069</v>
      </c>
    </row>
    <row r="7400" spans="1:10" ht="15" x14ac:dyDescent="0.2">
      <c r="A7400" s="486" t="s">
        <v>1068</v>
      </c>
      <c r="B7400" s="487" t="s">
        <v>1067</v>
      </c>
      <c r="C7400" s="488" t="s">
        <v>23289</v>
      </c>
      <c r="D7400" s="489" t="s">
        <v>23290</v>
      </c>
      <c r="E7400" s="487" t="s">
        <v>23291</v>
      </c>
      <c r="F7400" s="490">
        <v>0</v>
      </c>
      <c r="G7400" s="489">
        <v>47.68</v>
      </c>
      <c r="H7400" s="489">
        <v>0</v>
      </c>
      <c r="I7400" s="487" t="s">
        <v>1593</v>
      </c>
      <c r="J7400" s="487" t="s">
        <v>1069</v>
      </c>
    </row>
    <row r="7401" spans="1:10" ht="15" x14ac:dyDescent="0.2">
      <c r="A7401" s="486" t="s">
        <v>1068</v>
      </c>
      <c r="B7401" s="487" t="s">
        <v>1067</v>
      </c>
      <c r="C7401" s="488" t="s">
        <v>23292</v>
      </c>
      <c r="D7401" s="489" t="s">
        <v>23293</v>
      </c>
      <c r="E7401" s="487" t="s">
        <v>23294</v>
      </c>
      <c r="F7401" s="490">
        <v>4450</v>
      </c>
      <c r="G7401" s="489">
        <v>101.53</v>
      </c>
      <c r="H7401" s="489">
        <v>43.829410000000003</v>
      </c>
      <c r="I7401" s="487" t="s">
        <v>1499</v>
      </c>
      <c r="J7401" s="487" t="s">
        <v>1069</v>
      </c>
    </row>
    <row r="7402" spans="1:10" ht="15" x14ac:dyDescent="0.2">
      <c r="A7402" s="486" t="s">
        <v>1068</v>
      </c>
      <c r="B7402" s="487" t="s">
        <v>1067</v>
      </c>
      <c r="C7402" s="488" t="s">
        <v>23295</v>
      </c>
      <c r="D7402" s="489" t="s">
        <v>23296</v>
      </c>
      <c r="E7402" s="487" t="s">
        <v>23297</v>
      </c>
      <c r="F7402" s="490">
        <v>2900</v>
      </c>
      <c r="G7402" s="489">
        <v>63.81</v>
      </c>
      <c r="H7402" s="489">
        <v>45.447420000000001</v>
      </c>
      <c r="I7402" s="487" t="s">
        <v>1499</v>
      </c>
      <c r="J7402" s="487" t="s">
        <v>1069</v>
      </c>
    </row>
    <row r="7403" spans="1:10" ht="15" x14ac:dyDescent="0.2">
      <c r="A7403" s="486" t="s">
        <v>1068</v>
      </c>
      <c r="B7403" s="487" t="s">
        <v>1067</v>
      </c>
      <c r="C7403" s="488" t="s">
        <v>23298</v>
      </c>
      <c r="D7403" s="489" t="s">
        <v>23299</v>
      </c>
      <c r="E7403" s="487" t="s">
        <v>23300</v>
      </c>
      <c r="F7403" s="490">
        <v>35160</v>
      </c>
      <c r="G7403" s="489">
        <v>460.86</v>
      </c>
      <c r="H7403" s="489">
        <v>76.292150000000007</v>
      </c>
      <c r="I7403" s="487" t="s">
        <v>1499</v>
      </c>
      <c r="J7403" s="487" t="s">
        <v>1069</v>
      </c>
    </row>
    <row r="7404" spans="1:10" ht="15" x14ac:dyDescent="0.2">
      <c r="A7404" s="486" t="s">
        <v>1068</v>
      </c>
      <c r="B7404" s="487" t="s">
        <v>1067</v>
      </c>
      <c r="C7404" s="488" t="s">
        <v>23301</v>
      </c>
      <c r="D7404" s="489" t="s">
        <v>23302</v>
      </c>
      <c r="E7404" s="487" t="s">
        <v>23303</v>
      </c>
      <c r="F7404" s="490">
        <v>3700</v>
      </c>
      <c r="G7404" s="489">
        <v>195.57</v>
      </c>
      <c r="H7404" s="489">
        <v>18.919060000000002</v>
      </c>
      <c r="I7404" s="487" t="s">
        <v>1499</v>
      </c>
      <c r="J7404" s="487" t="s">
        <v>1069</v>
      </c>
    </row>
    <row r="7405" spans="1:10" ht="15" x14ac:dyDescent="0.2">
      <c r="A7405" s="486" t="s">
        <v>1068</v>
      </c>
      <c r="B7405" s="487" t="s">
        <v>1067</v>
      </c>
      <c r="C7405" s="488" t="s">
        <v>23304</v>
      </c>
      <c r="D7405" s="489" t="s">
        <v>23305</v>
      </c>
      <c r="E7405" s="487" t="s">
        <v>23306</v>
      </c>
      <c r="F7405" s="490">
        <v>2100</v>
      </c>
      <c r="G7405" s="489">
        <v>136.04</v>
      </c>
      <c r="H7405" s="489">
        <v>15.436640000000001</v>
      </c>
      <c r="I7405" s="487" t="s">
        <v>1499</v>
      </c>
      <c r="J7405" s="487" t="s">
        <v>1069</v>
      </c>
    </row>
    <row r="7406" spans="1:10" ht="15" x14ac:dyDescent="0.2">
      <c r="A7406" s="486" t="s">
        <v>1068</v>
      </c>
      <c r="B7406" s="487" t="s">
        <v>1067</v>
      </c>
      <c r="C7406" s="488" t="s">
        <v>23307</v>
      </c>
      <c r="D7406" s="489" t="s">
        <v>23308</v>
      </c>
      <c r="E7406" s="487" t="s">
        <v>23309</v>
      </c>
      <c r="F7406" s="490">
        <v>9517</v>
      </c>
      <c r="G7406" s="489">
        <v>135.74</v>
      </c>
      <c r="H7406" s="489">
        <v>70.111980000000003</v>
      </c>
      <c r="I7406" s="487" t="s">
        <v>1499</v>
      </c>
      <c r="J7406" s="487" t="s">
        <v>1069</v>
      </c>
    </row>
    <row r="7407" spans="1:10" ht="15" x14ac:dyDescent="0.2">
      <c r="A7407" s="486" t="s">
        <v>1068</v>
      </c>
      <c r="B7407" s="487" t="s">
        <v>1067</v>
      </c>
      <c r="C7407" s="488" t="s">
        <v>23310</v>
      </c>
      <c r="D7407" s="489" t="s">
        <v>23311</v>
      </c>
      <c r="E7407" s="487" t="s">
        <v>23312</v>
      </c>
      <c r="F7407" s="490">
        <v>180000</v>
      </c>
      <c r="G7407" s="489">
        <v>1155.0999999999999</v>
      </c>
      <c r="H7407" s="489">
        <v>155.83065999999999</v>
      </c>
      <c r="I7407" s="487" t="s">
        <v>1499</v>
      </c>
      <c r="J7407" s="487" t="s">
        <v>1069</v>
      </c>
    </row>
    <row r="7408" spans="1:10" ht="15" x14ac:dyDescent="0.2">
      <c r="A7408" s="486" t="s">
        <v>1068</v>
      </c>
      <c r="B7408" s="487" t="s">
        <v>1067</v>
      </c>
      <c r="C7408" s="488" t="s">
        <v>23313</v>
      </c>
      <c r="D7408" s="489" t="s">
        <v>23314</v>
      </c>
      <c r="E7408" s="487" t="s">
        <v>23315</v>
      </c>
      <c r="F7408" s="490">
        <v>1250</v>
      </c>
      <c r="G7408" s="489">
        <v>147.69999999999999</v>
      </c>
      <c r="H7408" s="489">
        <v>8.4631000000000007</v>
      </c>
      <c r="I7408" s="487" t="s">
        <v>1499</v>
      </c>
      <c r="J7408" s="487" t="s">
        <v>1069</v>
      </c>
    </row>
    <row r="7409" spans="1:10" ht="15" x14ac:dyDescent="0.2">
      <c r="A7409" s="486" t="s">
        <v>1068</v>
      </c>
      <c r="B7409" s="487" t="s">
        <v>1067</v>
      </c>
      <c r="C7409" s="488" t="s">
        <v>23316</v>
      </c>
      <c r="D7409" s="489" t="s">
        <v>23317</v>
      </c>
      <c r="E7409" s="487" t="s">
        <v>23318</v>
      </c>
      <c r="F7409" s="490">
        <v>3700</v>
      </c>
      <c r="G7409" s="489">
        <v>114.15</v>
      </c>
      <c r="H7409" s="489">
        <v>32.413490000000003</v>
      </c>
      <c r="I7409" s="487" t="s">
        <v>1499</v>
      </c>
      <c r="J7409" s="487" t="s">
        <v>1069</v>
      </c>
    </row>
    <row r="7410" spans="1:10" ht="15" x14ac:dyDescent="0.2">
      <c r="A7410" s="486" t="s">
        <v>1068</v>
      </c>
      <c r="B7410" s="487" t="s">
        <v>1067</v>
      </c>
      <c r="C7410" s="488" t="s">
        <v>23319</v>
      </c>
      <c r="D7410" s="489" t="s">
        <v>23320</v>
      </c>
      <c r="E7410" s="487" t="s">
        <v>23321</v>
      </c>
      <c r="F7410" s="490">
        <v>0</v>
      </c>
      <c r="G7410" s="489">
        <v>49.87</v>
      </c>
      <c r="H7410" s="489">
        <v>0</v>
      </c>
      <c r="I7410" s="487" t="s">
        <v>1593</v>
      </c>
      <c r="J7410" s="487" t="s">
        <v>1069</v>
      </c>
    </row>
    <row r="7411" spans="1:10" ht="15" x14ac:dyDescent="0.2">
      <c r="A7411" s="486" t="s">
        <v>1068</v>
      </c>
      <c r="B7411" s="487" t="s">
        <v>1067</v>
      </c>
      <c r="C7411" s="488" t="s">
        <v>23322</v>
      </c>
      <c r="D7411" s="489" t="s">
        <v>23323</v>
      </c>
      <c r="E7411" s="487" t="s">
        <v>23324</v>
      </c>
      <c r="F7411" s="490">
        <v>8000</v>
      </c>
      <c r="G7411" s="489">
        <v>122.03</v>
      </c>
      <c r="H7411" s="489">
        <v>65.557649999999995</v>
      </c>
      <c r="I7411" s="487" t="s">
        <v>1499</v>
      </c>
      <c r="J7411" s="487" t="s">
        <v>1069</v>
      </c>
    </row>
    <row r="7412" spans="1:10" ht="15" x14ac:dyDescent="0.2">
      <c r="A7412" s="486" t="s">
        <v>1068</v>
      </c>
      <c r="B7412" s="487" t="s">
        <v>1067</v>
      </c>
      <c r="C7412" s="488" t="s">
        <v>23325</v>
      </c>
      <c r="D7412" s="489" t="s">
        <v>23326</v>
      </c>
      <c r="E7412" s="487" t="s">
        <v>8596</v>
      </c>
      <c r="F7412" s="490">
        <v>46000</v>
      </c>
      <c r="G7412" s="489">
        <v>837.82</v>
      </c>
      <c r="H7412" s="489">
        <v>54.904389999999999</v>
      </c>
      <c r="I7412" s="487" t="s">
        <v>1499</v>
      </c>
      <c r="J7412" s="487" t="s">
        <v>1069</v>
      </c>
    </row>
    <row r="7413" spans="1:10" ht="15" x14ac:dyDescent="0.2">
      <c r="A7413" s="486" t="s">
        <v>1068</v>
      </c>
      <c r="B7413" s="487" t="s">
        <v>1067</v>
      </c>
      <c r="C7413" s="488" t="s">
        <v>23327</v>
      </c>
      <c r="D7413" s="489" t="s">
        <v>23328</v>
      </c>
      <c r="E7413" s="487" t="s">
        <v>23329</v>
      </c>
      <c r="F7413" s="490">
        <v>3000</v>
      </c>
      <c r="G7413" s="489">
        <v>75.290000000000006</v>
      </c>
      <c r="H7413" s="489">
        <v>39.845930000000003</v>
      </c>
      <c r="I7413" s="487" t="s">
        <v>1499</v>
      </c>
      <c r="J7413" s="487" t="s">
        <v>1069</v>
      </c>
    </row>
    <row r="7414" spans="1:10" ht="15" x14ac:dyDescent="0.2">
      <c r="A7414" s="486" t="s">
        <v>1068</v>
      </c>
      <c r="B7414" s="487" t="s">
        <v>1067</v>
      </c>
      <c r="C7414" s="488" t="s">
        <v>23330</v>
      </c>
      <c r="D7414" s="489" t="s">
        <v>23331</v>
      </c>
      <c r="E7414" s="487" t="s">
        <v>23332</v>
      </c>
      <c r="F7414" s="490">
        <v>2000</v>
      </c>
      <c r="G7414" s="489">
        <v>231.38</v>
      </c>
      <c r="H7414" s="489">
        <v>8.6437899999999992</v>
      </c>
      <c r="I7414" s="487" t="s">
        <v>1499</v>
      </c>
      <c r="J7414" s="487" t="s">
        <v>1069</v>
      </c>
    </row>
    <row r="7415" spans="1:10" ht="15" x14ac:dyDescent="0.2">
      <c r="A7415" s="486" t="s">
        <v>1068</v>
      </c>
      <c r="B7415" s="487" t="s">
        <v>1067</v>
      </c>
      <c r="C7415" s="488" t="s">
        <v>23333</v>
      </c>
      <c r="D7415" s="489" t="s">
        <v>23334</v>
      </c>
      <c r="E7415" s="487" t="s">
        <v>23335</v>
      </c>
      <c r="F7415" s="490">
        <v>43920</v>
      </c>
      <c r="G7415" s="489">
        <v>673.61</v>
      </c>
      <c r="H7415" s="489">
        <v>65.20093</v>
      </c>
      <c r="I7415" s="487" t="s">
        <v>1499</v>
      </c>
      <c r="J7415" s="487" t="s">
        <v>1069</v>
      </c>
    </row>
    <row r="7416" spans="1:10" ht="15" x14ac:dyDescent="0.2">
      <c r="A7416" s="486" t="s">
        <v>1068</v>
      </c>
      <c r="B7416" s="487" t="s">
        <v>1067</v>
      </c>
      <c r="C7416" s="488" t="s">
        <v>23336</v>
      </c>
      <c r="D7416" s="489" t="s">
        <v>23337</v>
      </c>
      <c r="E7416" s="487" t="s">
        <v>23338</v>
      </c>
      <c r="F7416" s="490">
        <v>7500</v>
      </c>
      <c r="G7416" s="489">
        <v>198.97</v>
      </c>
      <c r="H7416" s="489">
        <v>37.694119999999998</v>
      </c>
      <c r="I7416" s="487" t="s">
        <v>1499</v>
      </c>
      <c r="J7416" s="487" t="s">
        <v>1069</v>
      </c>
    </row>
    <row r="7417" spans="1:10" ht="15" x14ac:dyDescent="0.2">
      <c r="A7417" s="486" t="s">
        <v>1068</v>
      </c>
      <c r="B7417" s="487" t="s">
        <v>1067</v>
      </c>
      <c r="C7417" s="488" t="s">
        <v>23339</v>
      </c>
      <c r="D7417" s="489" t="s">
        <v>23340</v>
      </c>
      <c r="E7417" s="487" t="s">
        <v>23341</v>
      </c>
      <c r="F7417" s="490">
        <v>9500</v>
      </c>
      <c r="G7417" s="489">
        <v>114.27</v>
      </c>
      <c r="H7417" s="489">
        <v>83.136430000000004</v>
      </c>
      <c r="I7417" s="487" t="s">
        <v>1499</v>
      </c>
      <c r="J7417" s="487" t="s">
        <v>1069</v>
      </c>
    </row>
    <row r="7418" spans="1:10" ht="15" x14ac:dyDescent="0.2">
      <c r="A7418" s="486" t="s">
        <v>1068</v>
      </c>
      <c r="B7418" s="487" t="s">
        <v>1067</v>
      </c>
      <c r="C7418" s="488" t="s">
        <v>23342</v>
      </c>
      <c r="D7418" s="489" t="s">
        <v>23343</v>
      </c>
      <c r="E7418" s="487" t="s">
        <v>23344</v>
      </c>
      <c r="F7418" s="490">
        <v>17448</v>
      </c>
      <c r="G7418" s="489">
        <v>267.77</v>
      </c>
      <c r="H7418" s="489">
        <v>65.160399999999996</v>
      </c>
      <c r="I7418" s="487" t="s">
        <v>1499</v>
      </c>
      <c r="J7418" s="487" t="s">
        <v>1069</v>
      </c>
    </row>
    <row r="7419" spans="1:10" ht="15" x14ac:dyDescent="0.2">
      <c r="A7419" s="486" t="s">
        <v>1068</v>
      </c>
      <c r="B7419" s="487" t="s">
        <v>1067</v>
      </c>
      <c r="C7419" s="488" t="s">
        <v>23345</v>
      </c>
      <c r="D7419" s="489" t="s">
        <v>23346</v>
      </c>
      <c r="E7419" s="487" t="s">
        <v>23347</v>
      </c>
      <c r="F7419" s="490">
        <v>1200</v>
      </c>
      <c r="G7419" s="489">
        <v>84.84</v>
      </c>
      <c r="H7419" s="489">
        <v>14.144270000000001</v>
      </c>
      <c r="I7419" s="487" t="s">
        <v>1499</v>
      </c>
      <c r="J7419" s="487" t="s">
        <v>1069</v>
      </c>
    </row>
    <row r="7420" spans="1:10" ht="15" x14ac:dyDescent="0.2">
      <c r="A7420" s="486" t="s">
        <v>1068</v>
      </c>
      <c r="B7420" s="487" t="s">
        <v>1067</v>
      </c>
      <c r="C7420" s="488" t="s">
        <v>23348</v>
      </c>
      <c r="D7420" s="489" t="s">
        <v>23349</v>
      </c>
      <c r="E7420" s="487" t="s">
        <v>23350</v>
      </c>
      <c r="F7420" s="490">
        <v>13000</v>
      </c>
      <c r="G7420" s="489">
        <v>721.34</v>
      </c>
      <c r="H7420" s="489">
        <v>18.022010000000002</v>
      </c>
      <c r="I7420" s="487" t="s">
        <v>1499</v>
      </c>
      <c r="J7420" s="487" t="s">
        <v>1069</v>
      </c>
    </row>
    <row r="7421" spans="1:10" ht="15" x14ac:dyDescent="0.2">
      <c r="A7421" s="486" t="s">
        <v>1068</v>
      </c>
      <c r="B7421" s="487" t="s">
        <v>1067</v>
      </c>
      <c r="C7421" s="488" t="s">
        <v>23351</v>
      </c>
      <c r="D7421" s="489" t="s">
        <v>23352</v>
      </c>
      <c r="E7421" s="487" t="s">
        <v>23353</v>
      </c>
      <c r="F7421" s="490">
        <v>591100</v>
      </c>
      <c r="G7421" s="489">
        <v>4553.62</v>
      </c>
      <c r="H7421" s="489">
        <v>129.80880999999999</v>
      </c>
      <c r="I7421" s="487" t="s">
        <v>1499</v>
      </c>
      <c r="J7421" s="487" t="s">
        <v>1069</v>
      </c>
    </row>
    <row r="7422" spans="1:10" ht="15" x14ac:dyDescent="0.2">
      <c r="A7422" s="486" t="s">
        <v>1068</v>
      </c>
      <c r="B7422" s="487" t="s">
        <v>1067</v>
      </c>
      <c r="C7422" s="488" t="s">
        <v>23354</v>
      </c>
      <c r="D7422" s="489" t="s">
        <v>23355</v>
      </c>
      <c r="E7422" s="487" t="s">
        <v>23356</v>
      </c>
      <c r="F7422" s="490">
        <v>9300</v>
      </c>
      <c r="G7422" s="489">
        <v>340.96</v>
      </c>
      <c r="H7422" s="489">
        <v>27.275929999999999</v>
      </c>
      <c r="I7422" s="487" t="s">
        <v>1499</v>
      </c>
      <c r="J7422" s="487" t="s">
        <v>1069</v>
      </c>
    </row>
    <row r="7423" spans="1:10" ht="15" x14ac:dyDescent="0.2">
      <c r="A7423" s="486" t="s">
        <v>1068</v>
      </c>
      <c r="B7423" s="487" t="s">
        <v>1067</v>
      </c>
      <c r="C7423" s="488" t="s">
        <v>23357</v>
      </c>
      <c r="D7423" s="489" t="s">
        <v>23358</v>
      </c>
      <c r="E7423" s="487" t="s">
        <v>23359</v>
      </c>
      <c r="F7423" s="490">
        <v>700</v>
      </c>
      <c r="G7423" s="489">
        <v>154.37</v>
      </c>
      <c r="H7423" s="489">
        <v>4.5345599999999999</v>
      </c>
      <c r="I7423" s="487" t="s">
        <v>1499</v>
      </c>
      <c r="J7423" s="487" t="s">
        <v>1069</v>
      </c>
    </row>
    <row r="7424" spans="1:10" ht="15" x14ac:dyDescent="0.2">
      <c r="A7424" s="486" t="s">
        <v>1068</v>
      </c>
      <c r="B7424" s="487" t="s">
        <v>1067</v>
      </c>
      <c r="C7424" s="488" t="s">
        <v>23360</v>
      </c>
      <c r="D7424" s="489" t="s">
        <v>23361</v>
      </c>
      <c r="E7424" s="487" t="s">
        <v>23362</v>
      </c>
      <c r="F7424" s="490">
        <v>12625</v>
      </c>
      <c r="G7424" s="489">
        <v>193.23</v>
      </c>
      <c r="H7424" s="489">
        <v>65.336650000000006</v>
      </c>
      <c r="I7424" s="487" t="s">
        <v>1499</v>
      </c>
      <c r="J7424" s="487" t="s">
        <v>1069</v>
      </c>
    </row>
    <row r="7425" spans="1:10" ht="15" x14ac:dyDescent="0.2">
      <c r="A7425" s="486" t="s">
        <v>1068</v>
      </c>
      <c r="B7425" s="487" t="s">
        <v>1067</v>
      </c>
      <c r="C7425" s="488" t="s">
        <v>23363</v>
      </c>
      <c r="D7425" s="489" t="s">
        <v>23364</v>
      </c>
      <c r="E7425" s="487" t="s">
        <v>6337</v>
      </c>
      <c r="F7425" s="490">
        <v>12600</v>
      </c>
      <c r="G7425" s="489">
        <v>183.55</v>
      </c>
      <c r="H7425" s="489">
        <v>68.646150000000006</v>
      </c>
      <c r="I7425" s="487" t="s">
        <v>1499</v>
      </c>
      <c r="J7425" s="487" t="s">
        <v>1069</v>
      </c>
    </row>
    <row r="7426" spans="1:10" ht="15" x14ac:dyDescent="0.2">
      <c r="A7426" s="486" t="s">
        <v>1068</v>
      </c>
      <c r="B7426" s="487" t="s">
        <v>1067</v>
      </c>
      <c r="C7426" s="488" t="s">
        <v>23365</v>
      </c>
      <c r="D7426" s="489" t="s">
        <v>23366</v>
      </c>
      <c r="E7426" s="487" t="s">
        <v>23367</v>
      </c>
      <c r="F7426" s="490">
        <v>15600</v>
      </c>
      <c r="G7426" s="489">
        <v>368.61</v>
      </c>
      <c r="H7426" s="489">
        <v>42.321150000000003</v>
      </c>
      <c r="I7426" s="487" t="s">
        <v>1499</v>
      </c>
      <c r="J7426" s="487" t="s">
        <v>1069</v>
      </c>
    </row>
    <row r="7427" spans="1:10" ht="15" x14ac:dyDescent="0.2">
      <c r="A7427" s="486" t="s">
        <v>1068</v>
      </c>
      <c r="B7427" s="487" t="s">
        <v>1067</v>
      </c>
      <c r="C7427" s="488" t="s">
        <v>23368</v>
      </c>
      <c r="D7427" s="489" t="s">
        <v>23369</v>
      </c>
      <c r="E7427" s="487" t="s">
        <v>23370</v>
      </c>
      <c r="F7427" s="490">
        <v>1250</v>
      </c>
      <c r="G7427" s="489">
        <v>89.96</v>
      </c>
      <c r="H7427" s="489">
        <v>13.895060000000001</v>
      </c>
      <c r="I7427" s="487" t="s">
        <v>1499</v>
      </c>
      <c r="J7427" s="487" t="s">
        <v>1069</v>
      </c>
    </row>
    <row r="7428" spans="1:10" ht="15" x14ac:dyDescent="0.2">
      <c r="A7428" s="486" t="s">
        <v>1068</v>
      </c>
      <c r="B7428" s="487" t="s">
        <v>1067</v>
      </c>
      <c r="C7428" s="488" t="s">
        <v>23371</v>
      </c>
      <c r="D7428" s="489" t="s">
        <v>23372</v>
      </c>
      <c r="E7428" s="487" t="s">
        <v>23373</v>
      </c>
      <c r="F7428" s="490">
        <v>12500</v>
      </c>
      <c r="G7428" s="489">
        <v>79.25</v>
      </c>
      <c r="H7428" s="489">
        <v>157.72871000000001</v>
      </c>
      <c r="I7428" s="487" t="s">
        <v>1499</v>
      </c>
      <c r="J7428" s="487" t="s">
        <v>1069</v>
      </c>
    </row>
    <row r="7429" spans="1:10" ht="15" x14ac:dyDescent="0.2">
      <c r="A7429" s="486" t="s">
        <v>1068</v>
      </c>
      <c r="B7429" s="487" t="s">
        <v>1067</v>
      </c>
      <c r="C7429" s="488" t="s">
        <v>23374</v>
      </c>
      <c r="D7429" s="489" t="s">
        <v>23375</v>
      </c>
      <c r="E7429" s="487" t="s">
        <v>14275</v>
      </c>
      <c r="F7429" s="490">
        <v>0</v>
      </c>
      <c r="G7429" s="489">
        <v>68.39</v>
      </c>
      <c r="H7429" s="489">
        <v>0</v>
      </c>
      <c r="I7429" s="487" t="s">
        <v>1593</v>
      </c>
      <c r="J7429" s="487" t="s">
        <v>1069</v>
      </c>
    </row>
    <row r="7430" spans="1:10" ht="15" x14ac:dyDescent="0.2">
      <c r="A7430" s="486" t="s">
        <v>1068</v>
      </c>
      <c r="B7430" s="487" t="s">
        <v>1067</v>
      </c>
      <c r="C7430" s="488" t="s">
        <v>23376</v>
      </c>
      <c r="D7430" s="489" t="s">
        <v>23377</v>
      </c>
      <c r="E7430" s="487" t="s">
        <v>23378</v>
      </c>
      <c r="F7430" s="490">
        <v>2650</v>
      </c>
      <c r="G7430" s="489">
        <v>67.430000000000007</v>
      </c>
      <c r="H7430" s="489">
        <v>39.30001</v>
      </c>
      <c r="I7430" s="487" t="s">
        <v>1499</v>
      </c>
      <c r="J7430" s="487" t="s">
        <v>1069</v>
      </c>
    </row>
    <row r="7431" spans="1:10" ht="15" x14ac:dyDescent="0.2">
      <c r="A7431" s="486" t="s">
        <v>1068</v>
      </c>
      <c r="B7431" s="487" t="s">
        <v>1067</v>
      </c>
      <c r="C7431" s="488" t="s">
        <v>23379</v>
      </c>
      <c r="D7431" s="489" t="s">
        <v>23380</v>
      </c>
      <c r="E7431" s="487" t="s">
        <v>23381</v>
      </c>
      <c r="F7431" s="490">
        <v>9000</v>
      </c>
      <c r="G7431" s="489">
        <v>161.55000000000001</v>
      </c>
      <c r="H7431" s="489">
        <v>55.71031</v>
      </c>
      <c r="I7431" s="487" t="s">
        <v>1499</v>
      </c>
      <c r="J7431" s="487" t="s">
        <v>1069</v>
      </c>
    </row>
    <row r="7432" spans="1:10" ht="15" x14ac:dyDescent="0.2">
      <c r="A7432" s="486" t="s">
        <v>1068</v>
      </c>
      <c r="B7432" s="487" t="s">
        <v>1067</v>
      </c>
      <c r="C7432" s="488" t="s">
        <v>23382</v>
      </c>
      <c r="D7432" s="489" t="s">
        <v>23383</v>
      </c>
      <c r="E7432" s="487" t="s">
        <v>23384</v>
      </c>
      <c r="F7432" s="490">
        <v>5211</v>
      </c>
      <c r="G7432" s="489">
        <v>149.01</v>
      </c>
      <c r="H7432" s="489">
        <v>34.97081</v>
      </c>
      <c r="I7432" s="487" t="s">
        <v>1499</v>
      </c>
      <c r="J7432" s="487" t="s">
        <v>1069</v>
      </c>
    </row>
    <row r="7433" spans="1:10" ht="15" x14ac:dyDescent="0.2">
      <c r="A7433" s="486" t="s">
        <v>1068</v>
      </c>
      <c r="B7433" s="487" t="s">
        <v>1067</v>
      </c>
      <c r="C7433" s="488" t="s">
        <v>23385</v>
      </c>
      <c r="D7433" s="489" t="s">
        <v>23386</v>
      </c>
      <c r="E7433" s="487" t="s">
        <v>23387</v>
      </c>
      <c r="F7433" s="490">
        <v>1400</v>
      </c>
      <c r="G7433" s="489">
        <v>172.38</v>
      </c>
      <c r="H7433" s="489">
        <v>8.1215899999999994</v>
      </c>
      <c r="I7433" s="487" t="s">
        <v>1499</v>
      </c>
      <c r="J7433" s="487" t="s">
        <v>1069</v>
      </c>
    </row>
    <row r="7434" spans="1:10" ht="15" x14ac:dyDescent="0.2">
      <c r="A7434" s="486" t="s">
        <v>1068</v>
      </c>
      <c r="B7434" s="487" t="s">
        <v>1067</v>
      </c>
      <c r="C7434" s="488" t="s">
        <v>23388</v>
      </c>
      <c r="D7434" s="489" t="s">
        <v>23389</v>
      </c>
      <c r="E7434" s="487" t="s">
        <v>23390</v>
      </c>
      <c r="F7434" s="490">
        <v>17000</v>
      </c>
      <c r="G7434" s="489">
        <v>525.22</v>
      </c>
      <c r="H7434" s="489">
        <v>32.36739</v>
      </c>
      <c r="I7434" s="487" t="s">
        <v>1499</v>
      </c>
      <c r="J7434" s="487" t="s">
        <v>1069</v>
      </c>
    </row>
    <row r="7435" spans="1:10" ht="15" x14ac:dyDescent="0.2">
      <c r="A7435" s="486" t="s">
        <v>1068</v>
      </c>
      <c r="B7435" s="487" t="s">
        <v>1067</v>
      </c>
      <c r="C7435" s="488" t="s">
        <v>23391</v>
      </c>
      <c r="D7435" s="489" t="s">
        <v>23392</v>
      </c>
      <c r="E7435" s="487" t="s">
        <v>23393</v>
      </c>
      <c r="F7435" s="490">
        <v>13000</v>
      </c>
      <c r="G7435" s="489">
        <v>684.78</v>
      </c>
      <c r="H7435" s="489">
        <v>18.984200000000001</v>
      </c>
      <c r="I7435" s="487" t="s">
        <v>1499</v>
      </c>
      <c r="J7435" s="487" t="s">
        <v>1069</v>
      </c>
    </row>
    <row r="7436" spans="1:10" ht="15" x14ac:dyDescent="0.2">
      <c r="A7436" s="486" t="s">
        <v>1068</v>
      </c>
      <c r="B7436" s="487" t="s">
        <v>1067</v>
      </c>
      <c r="C7436" s="488" t="s">
        <v>23394</v>
      </c>
      <c r="D7436" s="489" t="s">
        <v>23395</v>
      </c>
      <c r="E7436" s="487" t="s">
        <v>23396</v>
      </c>
      <c r="F7436" s="490">
        <v>8000</v>
      </c>
      <c r="G7436" s="489">
        <v>244.18</v>
      </c>
      <c r="H7436" s="489">
        <v>32.762720000000002</v>
      </c>
      <c r="I7436" s="487" t="s">
        <v>1499</v>
      </c>
      <c r="J7436" s="487" t="s">
        <v>1069</v>
      </c>
    </row>
    <row r="7437" spans="1:10" ht="15" x14ac:dyDescent="0.2">
      <c r="A7437" s="486" t="s">
        <v>1068</v>
      </c>
      <c r="B7437" s="487" t="s">
        <v>1067</v>
      </c>
      <c r="C7437" s="488" t="s">
        <v>23397</v>
      </c>
      <c r="D7437" s="489" t="s">
        <v>23398</v>
      </c>
      <c r="E7437" s="487" t="s">
        <v>23399</v>
      </c>
      <c r="F7437" s="490">
        <v>30460</v>
      </c>
      <c r="G7437" s="489">
        <v>402.57</v>
      </c>
      <c r="H7437" s="489">
        <v>75.66386</v>
      </c>
      <c r="I7437" s="487" t="s">
        <v>1499</v>
      </c>
      <c r="J7437" s="487" t="s">
        <v>1069</v>
      </c>
    </row>
    <row r="7438" spans="1:10" ht="15" x14ac:dyDescent="0.2">
      <c r="A7438" s="486" t="s">
        <v>1068</v>
      </c>
      <c r="B7438" s="487" t="s">
        <v>1067</v>
      </c>
      <c r="C7438" s="488" t="s">
        <v>23400</v>
      </c>
      <c r="D7438" s="489" t="s">
        <v>23401</v>
      </c>
      <c r="E7438" s="487" t="s">
        <v>23402</v>
      </c>
      <c r="F7438" s="490">
        <v>29478</v>
      </c>
      <c r="G7438" s="489">
        <v>672.92</v>
      </c>
      <c r="H7438" s="489">
        <v>43.806100000000001</v>
      </c>
      <c r="I7438" s="487" t="s">
        <v>1499</v>
      </c>
      <c r="J7438" s="487" t="s">
        <v>1069</v>
      </c>
    </row>
    <row r="7439" spans="1:10" ht="15" x14ac:dyDescent="0.2">
      <c r="A7439" s="486" t="s">
        <v>1068</v>
      </c>
      <c r="B7439" s="487" t="s">
        <v>1067</v>
      </c>
      <c r="C7439" s="488" t="s">
        <v>23403</v>
      </c>
      <c r="D7439" s="489" t="s">
        <v>23404</v>
      </c>
      <c r="E7439" s="487" t="s">
        <v>6118</v>
      </c>
      <c r="F7439" s="490">
        <v>6270</v>
      </c>
      <c r="G7439" s="489">
        <v>261.17</v>
      </c>
      <c r="H7439" s="489">
        <v>24.007349999999999</v>
      </c>
      <c r="I7439" s="487" t="s">
        <v>1499</v>
      </c>
      <c r="J7439" s="487" t="s">
        <v>1069</v>
      </c>
    </row>
    <row r="7440" spans="1:10" ht="15" x14ac:dyDescent="0.2">
      <c r="A7440" s="486" t="s">
        <v>1068</v>
      </c>
      <c r="B7440" s="487" t="s">
        <v>1067</v>
      </c>
      <c r="C7440" s="488" t="s">
        <v>23405</v>
      </c>
      <c r="D7440" s="489" t="s">
        <v>23406</v>
      </c>
      <c r="E7440" s="487" t="s">
        <v>23407</v>
      </c>
      <c r="F7440" s="490">
        <v>32000</v>
      </c>
      <c r="G7440" s="489">
        <v>394.93</v>
      </c>
      <c r="H7440" s="489">
        <v>81.027019999999993</v>
      </c>
      <c r="I7440" s="487" t="s">
        <v>1499</v>
      </c>
      <c r="J7440" s="487" t="s">
        <v>1069</v>
      </c>
    </row>
    <row r="7441" spans="1:10" ht="15" x14ac:dyDescent="0.2">
      <c r="A7441" s="486" t="s">
        <v>1068</v>
      </c>
      <c r="B7441" s="487" t="s">
        <v>1067</v>
      </c>
      <c r="C7441" s="488" t="s">
        <v>23408</v>
      </c>
      <c r="D7441" s="489" t="s">
        <v>23409</v>
      </c>
      <c r="E7441" s="487" t="s">
        <v>23410</v>
      </c>
      <c r="F7441" s="490">
        <v>12000</v>
      </c>
      <c r="G7441" s="489">
        <v>279.2</v>
      </c>
      <c r="H7441" s="489">
        <v>42.979939999999999</v>
      </c>
      <c r="I7441" s="487" t="s">
        <v>1499</v>
      </c>
      <c r="J7441" s="487" t="s">
        <v>1069</v>
      </c>
    </row>
    <row r="7442" spans="1:10" ht="15" x14ac:dyDescent="0.2">
      <c r="A7442" s="486" t="s">
        <v>1068</v>
      </c>
      <c r="B7442" s="487" t="s">
        <v>1067</v>
      </c>
      <c r="C7442" s="488" t="s">
        <v>23411</v>
      </c>
      <c r="D7442" s="489" t="s">
        <v>23412</v>
      </c>
      <c r="E7442" s="487" t="s">
        <v>23413</v>
      </c>
      <c r="F7442" s="490">
        <v>2345</v>
      </c>
      <c r="G7442" s="489">
        <v>135.31</v>
      </c>
      <c r="H7442" s="489">
        <v>17.330570000000002</v>
      </c>
      <c r="I7442" s="487" t="s">
        <v>1499</v>
      </c>
      <c r="J7442" s="487" t="s">
        <v>1069</v>
      </c>
    </row>
    <row r="7443" spans="1:10" ht="15" x14ac:dyDescent="0.2">
      <c r="A7443" s="486" t="s">
        <v>1068</v>
      </c>
      <c r="B7443" s="487" t="s">
        <v>1067</v>
      </c>
      <c r="C7443" s="488" t="s">
        <v>23414</v>
      </c>
      <c r="D7443" s="489" t="s">
        <v>23415</v>
      </c>
      <c r="E7443" s="487" t="s">
        <v>23416</v>
      </c>
      <c r="F7443" s="490">
        <v>5500</v>
      </c>
      <c r="G7443" s="489">
        <v>96.08</v>
      </c>
      <c r="H7443" s="489">
        <v>57.243960000000001</v>
      </c>
      <c r="I7443" s="487" t="s">
        <v>1499</v>
      </c>
      <c r="J7443" s="487" t="s">
        <v>1069</v>
      </c>
    </row>
    <row r="7444" spans="1:10" ht="15" x14ac:dyDescent="0.2">
      <c r="A7444" s="486" t="s">
        <v>1068</v>
      </c>
      <c r="B7444" s="487" t="s">
        <v>1067</v>
      </c>
      <c r="C7444" s="488" t="s">
        <v>23417</v>
      </c>
      <c r="D7444" s="489" t="s">
        <v>23418</v>
      </c>
      <c r="E7444" s="487" t="s">
        <v>23419</v>
      </c>
      <c r="F7444" s="490">
        <v>4250</v>
      </c>
      <c r="G7444" s="489">
        <v>94.69</v>
      </c>
      <c r="H7444" s="489">
        <v>44.883299999999998</v>
      </c>
      <c r="I7444" s="487" t="s">
        <v>1499</v>
      </c>
      <c r="J7444" s="487" t="s">
        <v>1069</v>
      </c>
    </row>
    <row r="7445" spans="1:10" ht="15" x14ac:dyDescent="0.2">
      <c r="A7445" s="486" t="s">
        <v>1068</v>
      </c>
      <c r="B7445" s="487" t="s">
        <v>1067</v>
      </c>
      <c r="C7445" s="488" t="s">
        <v>23420</v>
      </c>
      <c r="D7445" s="489" t="s">
        <v>23421</v>
      </c>
      <c r="E7445" s="487" t="s">
        <v>23422</v>
      </c>
      <c r="F7445" s="490">
        <v>9672</v>
      </c>
      <c r="G7445" s="489">
        <v>272.68</v>
      </c>
      <c r="H7445" s="489">
        <v>35.470149999999997</v>
      </c>
      <c r="I7445" s="487" t="s">
        <v>1499</v>
      </c>
      <c r="J7445" s="487" t="s">
        <v>1069</v>
      </c>
    </row>
    <row r="7446" spans="1:10" ht="15" x14ac:dyDescent="0.2">
      <c r="A7446" s="486" t="s">
        <v>1068</v>
      </c>
      <c r="B7446" s="487" t="s">
        <v>1067</v>
      </c>
      <c r="C7446" s="488" t="s">
        <v>23423</v>
      </c>
      <c r="D7446" s="489" t="s">
        <v>23424</v>
      </c>
      <c r="E7446" s="487" t="s">
        <v>23425</v>
      </c>
      <c r="F7446" s="490">
        <v>775110</v>
      </c>
      <c r="G7446" s="489">
        <v>6191.96</v>
      </c>
      <c r="H7446" s="489">
        <v>125.18007</v>
      </c>
      <c r="I7446" s="487" t="s">
        <v>1499</v>
      </c>
      <c r="J7446" s="487" t="s">
        <v>1069</v>
      </c>
    </row>
    <row r="7447" spans="1:10" ht="15" x14ac:dyDescent="0.2">
      <c r="A7447" s="486" t="s">
        <v>1068</v>
      </c>
      <c r="B7447" s="487" t="s">
        <v>1067</v>
      </c>
      <c r="C7447" s="488" t="s">
        <v>23426</v>
      </c>
      <c r="D7447" s="489" t="s">
        <v>23427</v>
      </c>
      <c r="E7447" s="487" t="s">
        <v>23428</v>
      </c>
      <c r="F7447" s="490">
        <v>2000</v>
      </c>
      <c r="G7447" s="489">
        <v>125.11</v>
      </c>
      <c r="H7447" s="489">
        <v>15.98593</v>
      </c>
      <c r="I7447" s="487" t="s">
        <v>1499</v>
      </c>
      <c r="J7447" s="487" t="s">
        <v>1069</v>
      </c>
    </row>
    <row r="7448" spans="1:10" ht="15" x14ac:dyDescent="0.2">
      <c r="A7448" s="486" t="s">
        <v>1068</v>
      </c>
      <c r="B7448" s="487" t="s">
        <v>1067</v>
      </c>
      <c r="C7448" s="488" t="s">
        <v>23429</v>
      </c>
      <c r="D7448" s="489" t="s">
        <v>23430</v>
      </c>
      <c r="E7448" s="487" t="s">
        <v>23431</v>
      </c>
      <c r="F7448" s="490">
        <v>7600</v>
      </c>
      <c r="G7448" s="489">
        <v>141.71</v>
      </c>
      <c r="H7448" s="489">
        <v>53.630650000000003</v>
      </c>
      <c r="I7448" s="487" t="s">
        <v>1499</v>
      </c>
      <c r="J7448" s="487" t="s">
        <v>1069</v>
      </c>
    </row>
    <row r="7449" spans="1:10" ht="15" x14ac:dyDescent="0.2">
      <c r="A7449" s="486" t="s">
        <v>1068</v>
      </c>
      <c r="B7449" s="487" t="s">
        <v>1067</v>
      </c>
      <c r="C7449" s="488" t="s">
        <v>23432</v>
      </c>
      <c r="D7449" s="489" t="s">
        <v>23433</v>
      </c>
      <c r="E7449" s="487" t="s">
        <v>23434</v>
      </c>
      <c r="F7449" s="490">
        <v>305586</v>
      </c>
      <c r="G7449" s="489">
        <v>1539.38</v>
      </c>
      <c r="H7449" s="489">
        <v>198.51239000000001</v>
      </c>
      <c r="I7449" s="487" t="s">
        <v>1499</v>
      </c>
      <c r="J7449" s="487" t="s">
        <v>1069</v>
      </c>
    </row>
    <row r="7450" spans="1:10" ht="15" x14ac:dyDescent="0.2">
      <c r="A7450" s="486" t="s">
        <v>1068</v>
      </c>
      <c r="B7450" s="487" t="s">
        <v>1067</v>
      </c>
      <c r="C7450" s="488" t="s">
        <v>23435</v>
      </c>
      <c r="D7450" s="489" t="s">
        <v>23436</v>
      </c>
      <c r="E7450" s="487" t="s">
        <v>23437</v>
      </c>
      <c r="F7450" s="490">
        <v>12500</v>
      </c>
      <c r="G7450" s="489">
        <v>212.2</v>
      </c>
      <c r="H7450" s="489">
        <v>58.906689999999998</v>
      </c>
      <c r="I7450" s="487" t="s">
        <v>1499</v>
      </c>
      <c r="J7450" s="487" t="s">
        <v>1069</v>
      </c>
    </row>
    <row r="7451" spans="1:10" ht="15" x14ac:dyDescent="0.2">
      <c r="A7451" s="486" t="s">
        <v>1068</v>
      </c>
      <c r="B7451" s="487" t="s">
        <v>1067</v>
      </c>
      <c r="C7451" s="488" t="s">
        <v>23438</v>
      </c>
      <c r="D7451" s="489" t="s">
        <v>23439</v>
      </c>
      <c r="E7451" s="487" t="s">
        <v>23440</v>
      </c>
      <c r="F7451" s="490">
        <v>6000</v>
      </c>
      <c r="G7451" s="489">
        <v>161.57</v>
      </c>
      <c r="H7451" s="489">
        <v>37.13561</v>
      </c>
      <c r="I7451" s="487" t="s">
        <v>1499</v>
      </c>
      <c r="J7451" s="487" t="s">
        <v>1069</v>
      </c>
    </row>
    <row r="7452" spans="1:10" ht="15" x14ac:dyDescent="0.2">
      <c r="A7452" s="486" t="s">
        <v>1068</v>
      </c>
      <c r="B7452" s="487" t="s">
        <v>1067</v>
      </c>
      <c r="C7452" s="488" t="s">
        <v>23441</v>
      </c>
      <c r="D7452" s="489" t="s">
        <v>23442</v>
      </c>
      <c r="E7452" s="487" t="s">
        <v>23443</v>
      </c>
      <c r="F7452" s="490">
        <v>27000</v>
      </c>
      <c r="G7452" s="489">
        <v>548.89</v>
      </c>
      <c r="H7452" s="489">
        <v>49.190179999999998</v>
      </c>
      <c r="I7452" s="487" t="s">
        <v>1499</v>
      </c>
      <c r="J7452" s="487" t="s">
        <v>1069</v>
      </c>
    </row>
    <row r="7453" spans="1:10" ht="15" x14ac:dyDescent="0.2">
      <c r="A7453" s="486" t="s">
        <v>1068</v>
      </c>
      <c r="B7453" s="487" t="s">
        <v>1067</v>
      </c>
      <c r="C7453" s="488" t="s">
        <v>23444</v>
      </c>
      <c r="D7453" s="489" t="s">
        <v>23445</v>
      </c>
      <c r="E7453" s="487" t="s">
        <v>23446</v>
      </c>
      <c r="F7453" s="490">
        <v>6800</v>
      </c>
      <c r="G7453" s="489">
        <v>246.23</v>
      </c>
      <c r="H7453" s="489">
        <v>27.61646</v>
      </c>
      <c r="I7453" s="487" t="s">
        <v>1499</v>
      </c>
      <c r="J7453" s="487" t="s">
        <v>1069</v>
      </c>
    </row>
    <row r="7454" spans="1:10" ht="15" x14ac:dyDescent="0.2">
      <c r="A7454" s="486" t="s">
        <v>1068</v>
      </c>
      <c r="B7454" s="487" t="s">
        <v>1067</v>
      </c>
      <c r="C7454" s="488" t="s">
        <v>23447</v>
      </c>
      <c r="D7454" s="489" t="s">
        <v>23448</v>
      </c>
      <c r="E7454" s="487" t="s">
        <v>23449</v>
      </c>
      <c r="F7454" s="490">
        <v>22000</v>
      </c>
      <c r="G7454" s="489">
        <v>1077.75</v>
      </c>
      <c r="H7454" s="489">
        <v>20.4129</v>
      </c>
      <c r="I7454" s="487" t="s">
        <v>1499</v>
      </c>
      <c r="J7454" s="487" t="s">
        <v>1069</v>
      </c>
    </row>
    <row r="7455" spans="1:10" ht="15" x14ac:dyDescent="0.2">
      <c r="A7455" s="486" t="s">
        <v>1068</v>
      </c>
      <c r="B7455" s="487" t="s">
        <v>1067</v>
      </c>
      <c r="C7455" s="488" t="s">
        <v>23450</v>
      </c>
      <c r="D7455" s="489" t="s">
        <v>23451</v>
      </c>
      <c r="E7455" s="487" t="s">
        <v>23452</v>
      </c>
      <c r="F7455" s="490">
        <v>2349</v>
      </c>
      <c r="G7455" s="489">
        <v>69.44</v>
      </c>
      <c r="H7455" s="489">
        <v>33.827759999999998</v>
      </c>
      <c r="I7455" s="487" t="s">
        <v>1499</v>
      </c>
      <c r="J7455" s="487" t="s">
        <v>1069</v>
      </c>
    </row>
    <row r="7456" spans="1:10" ht="15" x14ac:dyDescent="0.2">
      <c r="A7456" s="486" t="s">
        <v>1068</v>
      </c>
      <c r="B7456" s="487" t="s">
        <v>1067</v>
      </c>
      <c r="C7456" s="488" t="s">
        <v>23453</v>
      </c>
      <c r="D7456" s="489" t="s">
        <v>23454</v>
      </c>
      <c r="E7456" s="487" t="s">
        <v>23455</v>
      </c>
      <c r="F7456" s="490">
        <v>30900</v>
      </c>
      <c r="G7456" s="489">
        <v>639.34</v>
      </c>
      <c r="H7456" s="489">
        <v>48.331090000000003</v>
      </c>
      <c r="I7456" s="487" t="s">
        <v>1499</v>
      </c>
      <c r="J7456" s="487" t="s">
        <v>1069</v>
      </c>
    </row>
    <row r="7457" spans="1:10" ht="15" x14ac:dyDescent="0.2">
      <c r="A7457" s="486" t="s">
        <v>1068</v>
      </c>
      <c r="B7457" s="487" t="s">
        <v>1067</v>
      </c>
      <c r="C7457" s="488" t="s">
        <v>23456</v>
      </c>
      <c r="D7457" s="489" t="s">
        <v>23457</v>
      </c>
      <c r="E7457" s="487" t="s">
        <v>21769</v>
      </c>
      <c r="F7457" s="490">
        <v>6582</v>
      </c>
      <c r="G7457" s="489">
        <v>248.65</v>
      </c>
      <c r="H7457" s="489">
        <v>26.470939999999999</v>
      </c>
      <c r="I7457" s="487" t="s">
        <v>1499</v>
      </c>
      <c r="J7457" s="487" t="s">
        <v>1069</v>
      </c>
    </row>
    <row r="7458" spans="1:10" ht="15" x14ac:dyDescent="0.2">
      <c r="A7458" s="486" t="s">
        <v>1068</v>
      </c>
      <c r="B7458" s="487" t="s">
        <v>1067</v>
      </c>
      <c r="C7458" s="488" t="s">
        <v>23458</v>
      </c>
      <c r="D7458" s="489" t="s">
        <v>23459</v>
      </c>
      <c r="E7458" s="487" t="s">
        <v>23460</v>
      </c>
      <c r="F7458" s="490">
        <v>16000</v>
      </c>
      <c r="G7458" s="489">
        <v>405.31</v>
      </c>
      <c r="H7458" s="489">
        <v>39.475960000000001</v>
      </c>
      <c r="I7458" s="487" t="s">
        <v>1499</v>
      </c>
      <c r="J7458" s="487" t="s">
        <v>1069</v>
      </c>
    </row>
    <row r="7459" spans="1:10" ht="15" x14ac:dyDescent="0.2">
      <c r="A7459" s="486" t="s">
        <v>1068</v>
      </c>
      <c r="B7459" s="487" t="s">
        <v>1067</v>
      </c>
      <c r="C7459" s="488" t="s">
        <v>23461</v>
      </c>
      <c r="D7459" s="489" t="s">
        <v>23462</v>
      </c>
      <c r="E7459" s="487" t="s">
        <v>9437</v>
      </c>
      <c r="F7459" s="490">
        <v>7000</v>
      </c>
      <c r="G7459" s="489">
        <v>207.8</v>
      </c>
      <c r="H7459" s="489">
        <v>33.686239999999998</v>
      </c>
      <c r="I7459" s="487" t="s">
        <v>1499</v>
      </c>
      <c r="J7459" s="487" t="s">
        <v>1069</v>
      </c>
    </row>
    <row r="7460" spans="1:10" ht="15" x14ac:dyDescent="0.2">
      <c r="A7460" s="486" t="s">
        <v>1068</v>
      </c>
      <c r="B7460" s="487" t="s">
        <v>1067</v>
      </c>
      <c r="C7460" s="488" t="s">
        <v>23463</v>
      </c>
      <c r="D7460" s="489" t="s">
        <v>23464</v>
      </c>
      <c r="E7460" s="487" t="s">
        <v>23465</v>
      </c>
      <c r="F7460" s="490">
        <v>128289</v>
      </c>
      <c r="G7460" s="489">
        <v>998.07</v>
      </c>
      <c r="H7460" s="489">
        <v>128.53708</v>
      </c>
      <c r="I7460" s="487" t="s">
        <v>1499</v>
      </c>
      <c r="J7460" s="487" t="s">
        <v>1069</v>
      </c>
    </row>
    <row r="7461" spans="1:10" ht="15" x14ac:dyDescent="0.2">
      <c r="A7461" s="486" t="s">
        <v>1068</v>
      </c>
      <c r="B7461" s="487" t="s">
        <v>1067</v>
      </c>
      <c r="C7461" s="488" t="s">
        <v>23466</v>
      </c>
      <c r="D7461" s="489" t="s">
        <v>23467</v>
      </c>
      <c r="E7461" s="487" t="s">
        <v>23468</v>
      </c>
      <c r="F7461" s="490">
        <v>3330</v>
      </c>
      <c r="G7461" s="489">
        <v>90.46</v>
      </c>
      <c r="H7461" s="489">
        <v>36.81185</v>
      </c>
      <c r="I7461" s="487" t="s">
        <v>1499</v>
      </c>
      <c r="J7461" s="487" t="s">
        <v>1069</v>
      </c>
    </row>
    <row r="7462" spans="1:10" ht="15" x14ac:dyDescent="0.2">
      <c r="A7462" s="486" t="s">
        <v>1068</v>
      </c>
      <c r="B7462" s="487" t="s">
        <v>1067</v>
      </c>
      <c r="C7462" s="488" t="s">
        <v>23469</v>
      </c>
      <c r="D7462" s="489" t="s">
        <v>23470</v>
      </c>
      <c r="E7462" s="487" t="s">
        <v>23471</v>
      </c>
      <c r="F7462" s="490">
        <v>462468</v>
      </c>
      <c r="G7462" s="489">
        <v>6260.57</v>
      </c>
      <c r="H7462" s="489">
        <v>73.869950000000003</v>
      </c>
      <c r="I7462" s="487" t="s">
        <v>1499</v>
      </c>
      <c r="J7462" s="487" t="s">
        <v>1069</v>
      </c>
    </row>
    <row r="7463" spans="1:10" ht="15" x14ac:dyDescent="0.2">
      <c r="A7463" s="486" t="s">
        <v>1068</v>
      </c>
      <c r="B7463" s="487" t="s">
        <v>1067</v>
      </c>
      <c r="C7463" s="488" t="s">
        <v>23472</v>
      </c>
      <c r="D7463" s="489" t="s">
        <v>23473</v>
      </c>
      <c r="E7463" s="487" t="s">
        <v>23474</v>
      </c>
      <c r="F7463" s="490">
        <v>433551</v>
      </c>
      <c r="G7463" s="489">
        <v>3536.87</v>
      </c>
      <c r="H7463" s="489">
        <v>122.58042</v>
      </c>
      <c r="I7463" s="487" t="s">
        <v>1499</v>
      </c>
      <c r="J7463" s="487" t="s">
        <v>1069</v>
      </c>
    </row>
    <row r="7464" spans="1:10" ht="15" x14ac:dyDescent="0.2">
      <c r="A7464" s="486" t="s">
        <v>1068</v>
      </c>
      <c r="B7464" s="487" t="s">
        <v>1067</v>
      </c>
      <c r="C7464" s="488" t="s">
        <v>23475</v>
      </c>
      <c r="D7464" s="489" t="s">
        <v>23476</v>
      </c>
      <c r="E7464" s="487" t="s">
        <v>23477</v>
      </c>
      <c r="F7464" s="490">
        <v>9722</v>
      </c>
      <c r="G7464" s="489">
        <v>218.46</v>
      </c>
      <c r="H7464" s="489">
        <v>44.502429999999997</v>
      </c>
      <c r="I7464" s="487" t="s">
        <v>1499</v>
      </c>
      <c r="J7464" s="487" t="s">
        <v>1069</v>
      </c>
    </row>
    <row r="7465" spans="1:10" ht="15" x14ac:dyDescent="0.2">
      <c r="A7465" s="486" t="s">
        <v>1068</v>
      </c>
      <c r="B7465" s="487" t="s">
        <v>1067</v>
      </c>
      <c r="C7465" s="488" t="s">
        <v>23478</v>
      </c>
      <c r="D7465" s="489" t="s">
        <v>23479</v>
      </c>
      <c r="E7465" s="487" t="s">
        <v>23480</v>
      </c>
      <c r="F7465" s="490">
        <v>7500</v>
      </c>
      <c r="G7465" s="489">
        <v>118.97</v>
      </c>
      <c r="H7465" s="489">
        <v>63.0411</v>
      </c>
      <c r="I7465" s="487" t="s">
        <v>1499</v>
      </c>
      <c r="J7465" s="487" t="s">
        <v>1069</v>
      </c>
    </row>
    <row r="7466" spans="1:10" ht="15" x14ac:dyDescent="0.2">
      <c r="A7466" s="486" t="s">
        <v>1068</v>
      </c>
      <c r="B7466" s="487" t="s">
        <v>1067</v>
      </c>
      <c r="C7466" s="488" t="s">
        <v>23481</v>
      </c>
      <c r="D7466" s="489" t="s">
        <v>23482</v>
      </c>
      <c r="E7466" s="487" t="s">
        <v>23483</v>
      </c>
      <c r="F7466" s="490">
        <v>110618</v>
      </c>
      <c r="G7466" s="489">
        <v>1053.04</v>
      </c>
      <c r="H7466" s="489">
        <v>105.04634</v>
      </c>
      <c r="I7466" s="487" t="s">
        <v>1499</v>
      </c>
      <c r="J7466" s="487" t="s">
        <v>1069</v>
      </c>
    </row>
    <row r="7467" spans="1:10" ht="15" x14ac:dyDescent="0.2">
      <c r="A7467" s="486" t="s">
        <v>1068</v>
      </c>
      <c r="B7467" s="487" t="s">
        <v>1067</v>
      </c>
      <c r="C7467" s="488" t="s">
        <v>23484</v>
      </c>
      <c r="D7467" s="489" t="s">
        <v>23485</v>
      </c>
      <c r="E7467" s="487" t="s">
        <v>23486</v>
      </c>
      <c r="F7467" s="490">
        <v>7000</v>
      </c>
      <c r="G7467" s="489">
        <v>212.36</v>
      </c>
      <c r="H7467" s="489">
        <v>32.962890000000002</v>
      </c>
      <c r="I7467" s="487" t="s">
        <v>1499</v>
      </c>
      <c r="J7467" s="487" t="s">
        <v>1069</v>
      </c>
    </row>
    <row r="7468" spans="1:10" ht="15" x14ac:dyDescent="0.2">
      <c r="A7468" s="486" t="s">
        <v>1068</v>
      </c>
      <c r="B7468" s="487" t="s">
        <v>1067</v>
      </c>
      <c r="C7468" s="488" t="s">
        <v>23487</v>
      </c>
      <c r="D7468" s="489" t="s">
        <v>23488</v>
      </c>
      <c r="E7468" s="487" t="s">
        <v>23489</v>
      </c>
      <c r="F7468" s="490">
        <v>651350</v>
      </c>
      <c r="G7468" s="489">
        <v>4920.67</v>
      </c>
      <c r="H7468" s="489">
        <v>132.37019000000001</v>
      </c>
      <c r="I7468" s="487" t="s">
        <v>1499</v>
      </c>
      <c r="J7468" s="487" t="s">
        <v>1069</v>
      </c>
    </row>
    <row r="7469" spans="1:10" ht="15" x14ac:dyDescent="0.2">
      <c r="A7469" s="486" t="s">
        <v>1068</v>
      </c>
      <c r="B7469" s="487" t="s">
        <v>1067</v>
      </c>
      <c r="C7469" s="488" t="s">
        <v>23490</v>
      </c>
      <c r="D7469" s="489" t="s">
        <v>23491</v>
      </c>
      <c r="E7469" s="487" t="s">
        <v>23492</v>
      </c>
      <c r="F7469" s="490">
        <v>37152</v>
      </c>
      <c r="G7469" s="489">
        <v>546.44000000000005</v>
      </c>
      <c r="H7469" s="489">
        <v>67.989170000000001</v>
      </c>
      <c r="I7469" s="487" t="s">
        <v>1499</v>
      </c>
      <c r="J7469" s="487" t="s">
        <v>1069</v>
      </c>
    </row>
    <row r="7470" spans="1:10" ht="15" x14ac:dyDescent="0.2">
      <c r="A7470" s="486" t="s">
        <v>1068</v>
      </c>
      <c r="B7470" s="487" t="s">
        <v>1067</v>
      </c>
      <c r="C7470" s="488" t="s">
        <v>23493</v>
      </c>
      <c r="D7470" s="489" t="s">
        <v>23494</v>
      </c>
      <c r="E7470" s="487" t="s">
        <v>23495</v>
      </c>
      <c r="F7470" s="490">
        <v>928</v>
      </c>
      <c r="G7470" s="489">
        <v>46.15</v>
      </c>
      <c r="H7470" s="489">
        <v>20.108339999999998</v>
      </c>
      <c r="I7470" s="487" t="s">
        <v>1499</v>
      </c>
      <c r="J7470" s="487" t="s">
        <v>1069</v>
      </c>
    </row>
    <row r="7471" spans="1:10" ht="15" x14ac:dyDescent="0.2">
      <c r="A7471" s="486" t="s">
        <v>1068</v>
      </c>
      <c r="B7471" s="487" t="s">
        <v>1067</v>
      </c>
      <c r="C7471" s="488" t="s">
        <v>23496</v>
      </c>
      <c r="D7471" s="489" t="s">
        <v>23497</v>
      </c>
      <c r="E7471" s="487" t="s">
        <v>23498</v>
      </c>
      <c r="F7471" s="490">
        <v>8500</v>
      </c>
      <c r="G7471" s="489">
        <v>277.14999999999998</v>
      </c>
      <c r="H7471" s="489">
        <v>30.669309999999999</v>
      </c>
      <c r="I7471" s="487" t="s">
        <v>1499</v>
      </c>
      <c r="J7471" s="487" t="s">
        <v>1069</v>
      </c>
    </row>
    <row r="7472" spans="1:10" ht="15" x14ac:dyDescent="0.2">
      <c r="A7472" s="486" t="s">
        <v>1068</v>
      </c>
      <c r="B7472" s="487" t="s">
        <v>1067</v>
      </c>
      <c r="C7472" s="488" t="s">
        <v>23499</v>
      </c>
      <c r="D7472" s="489" t="s">
        <v>23500</v>
      </c>
      <c r="E7472" s="487" t="s">
        <v>23501</v>
      </c>
      <c r="F7472" s="490">
        <v>4750</v>
      </c>
      <c r="G7472" s="489">
        <v>65.87</v>
      </c>
      <c r="H7472" s="489">
        <v>72.111739999999998</v>
      </c>
      <c r="I7472" s="487" t="s">
        <v>1499</v>
      </c>
      <c r="J7472" s="487" t="s">
        <v>1069</v>
      </c>
    </row>
    <row r="7473" spans="1:10" ht="15" x14ac:dyDescent="0.2">
      <c r="A7473" s="486" t="s">
        <v>1068</v>
      </c>
      <c r="B7473" s="487" t="s">
        <v>1067</v>
      </c>
      <c r="C7473" s="488" t="s">
        <v>23502</v>
      </c>
      <c r="D7473" s="489" t="s">
        <v>23503</v>
      </c>
      <c r="E7473" s="487" t="s">
        <v>23504</v>
      </c>
      <c r="F7473" s="490">
        <v>0</v>
      </c>
      <c r="G7473" s="489">
        <v>357.69</v>
      </c>
      <c r="H7473" s="489">
        <v>0</v>
      </c>
      <c r="I7473" s="487" t="s">
        <v>1593</v>
      </c>
      <c r="J7473" s="487" t="s">
        <v>1069</v>
      </c>
    </row>
    <row r="7474" spans="1:10" ht="15" x14ac:dyDescent="0.2">
      <c r="A7474" s="486" t="s">
        <v>1068</v>
      </c>
      <c r="B7474" s="487" t="s">
        <v>1067</v>
      </c>
      <c r="C7474" s="488" t="s">
        <v>23505</v>
      </c>
      <c r="D7474" s="489" t="s">
        <v>23506</v>
      </c>
      <c r="E7474" s="487" t="s">
        <v>23507</v>
      </c>
      <c r="F7474" s="490">
        <v>1864</v>
      </c>
      <c r="G7474" s="489">
        <v>48.57</v>
      </c>
      <c r="H7474" s="489">
        <v>38.377600000000001</v>
      </c>
      <c r="I7474" s="487" t="s">
        <v>1499</v>
      </c>
      <c r="J7474" s="487" t="s">
        <v>1069</v>
      </c>
    </row>
    <row r="7475" spans="1:10" ht="15" x14ac:dyDescent="0.2">
      <c r="A7475" s="486" t="s">
        <v>1068</v>
      </c>
      <c r="B7475" s="487" t="s">
        <v>1067</v>
      </c>
      <c r="C7475" s="488" t="s">
        <v>23508</v>
      </c>
      <c r="D7475" s="489" t="s">
        <v>23509</v>
      </c>
      <c r="E7475" s="487" t="s">
        <v>23510</v>
      </c>
      <c r="F7475" s="490">
        <v>6500</v>
      </c>
      <c r="G7475" s="489">
        <v>425.12</v>
      </c>
      <c r="H7475" s="489">
        <v>15.2898</v>
      </c>
      <c r="I7475" s="487" t="s">
        <v>1499</v>
      </c>
      <c r="J7475" s="487" t="s">
        <v>1069</v>
      </c>
    </row>
    <row r="7476" spans="1:10" ht="15" x14ac:dyDescent="0.2">
      <c r="A7476" s="486" t="s">
        <v>1068</v>
      </c>
      <c r="B7476" s="487" t="s">
        <v>1067</v>
      </c>
      <c r="C7476" s="488" t="s">
        <v>23511</v>
      </c>
      <c r="D7476" s="489" t="s">
        <v>23512</v>
      </c>
      <c r="E7476" s="487" t="s">
        <v>23513</v>
      </c>
      <c r="F7476" s="490">
        <v>37000</v>
      </c>
      <c r="G7476" s="489">
        <v>1091.5899999999999</v>
      </c>
      <c r="H7476" s="489">
        <v>33.895510000000002</v>
      </c>
      <c r="I7476" s="487" t="s">
        <v>1499</v>
      </c>
      <c r="J7476" s="487" t="s">
        <v>1069</v>
      </c>
    </row>
    <row r="7477" spans="1:10" ht="15" x14ac:dyDescent="0.2">
      <c r="A7477" s="486" t="s">
        <v>1068</v>
      </c>
      <c r="B7477" s="487" t="s">
        <v>1067</v>
      </c>
      <c r="C7477" s="488" t="s">
        <v>23514</v>
      </c>
      <c r="D7477" s="489" t="s">
        <v>23515</v>
      </c>
      <c r="E7477" s="487" t="s">
        <v>23516</v>
      </c>
      <c r="F7477" s="490">
        <v>5000</v>
      </c>
      <c r="G7477" s="489">
        <v>149.87</v>
      </c>
      <c r="H7477" s="489">
        <v>33.362250000000003</v>
      </c>
      <c r="I7477" s="487" t="s">
        <v>1499</v>
      </c>
      <c r="J7477" s="487" t="s">
        <v>1069</v>
      </c>
    </row>
    <row r="7478" spans="1:10" ht="15" x14ac:dyDescent="0.2">
      <c r="A7478" s="486" t="s">
        <v>1068</v>
      </c>
      <c r="B7478" s="487" t="s">
        <v>1067</v>
      </c>
      <c r="C7478" s="488" t="s">
        <v>23517</v>
      </c>
      <c r="D7478" s="489" t="s">
        <v>23518</v>
      </c>
      <c r="E7478" s="487" t="s">
        <v>23519</v>
      </c>
      <c r="F7478" s="490">
        <v>7000</v>
      </c>
      <c r="G7478" s="489">
        <v>174.82</v>
      </c>
      <c r="H7478" s="489">
        <v>40.04119</v>
      </c>
      <c r="I7478" s="487" t="s">
        <v>1499</v>
      </c>
      <c r="J7478" s="487" t="s">
        <v>1069</v>
      </c>
    </row>
    <row r="7479" spans="1:10" ht="15" x14ac:dyDescent="0.2">
      <c r="A7479" s="486" t="s">
        <v>1068</v>
      </c>
      <c r="B7479" s="487" t="s">
        <v>1067</v>
      </c>
      <c r="C7479" s="488" t="s">
        <v>23520</v>
      </c>
      <c r="D7479" s="489" t="s">
        <v>23521</v>
      </c>
      <c r="E7479" s="487" t="s">
        <v>23522</v>
      </c>
      <c r="F7479" s="490">
        <v>10750</v>
      </c>
      <c r="G7479" s="489">
        <v>325.10000000000002</v>
      </c>
      <c r="H7479" s="489">
        <v>33.066749999999999</v>
      </c>
      <c r="I7479" s="487" t="s">
        <v>1499</v>
      </c>
      <c r="J7479" s="487" t="s">
        <v>1069</v>
      </c>
    </row>
    <row r="7480" spans="1:10" ht="15" x14ac:dyDescent="0.2">
      <c r="A7480" s="486" t="s">
        <v>1068</v>
      </c>
      <c r="B7480" s="487" t="s">
        <v>1067</v>
      </c>
      <c r="C7480" s="488" t="s">
        <v>23523</v>
      </c>
      <c r="D7480" s="489" t="s">
        <v>23524</v>
      </c>
      <c r="E7480" s="487" t="s">
        <v>23525</v>
      </c>
      <c r="F7480" s="490">
        <v>16418</v>
      </c>
      <c r="G7480" s="489">
        <v>257.08</v>
      </c>
      <c r="H7480" s="489">
        <v>63.863390000000003</v>
      </c>
      <c r="I7480" s="487" t="s">
        <v>1499</v>
      </c>
      <c r="J7480" s="487" t="s">
        <v>1069</v>
      </c>
    </row>
    <row r="7481" spans="1:10" ht="15" x14ac:dyDescent="0.2">
      <c r="A7481" s="486" t="s">
        <v>1068</v>
      </c>
      <c r="B7481" s="487" t="s">
        <v>1067</v>
      </c>
      <c r="C7481" s="488" t="s">
        <v>23526</v>
      </c>
      <c r="D7481" s="489" t="s">
        <v>23527</v>
      </c>
      <c r="E7481" s="487" t="s">
        <v>23528</v>
      </c>
      <c r="F7481" s="490">
        <v>6556</v>
      </c>
      <c r="G7481" s="489">
        <v>112.19</v>
      </c>
      <c r="H7481" s="489">
        <v>58.436579999999999</v>
      </c>
      <c r="I7481" s="487" t="s">
        <v>1499</v>
      </c>
      <c r="J7481" s="487" t="s">
        <v>1069</v>
      </c>
    </row>
    <row r="7482" spans="1:10" ht="15" x14ac:dyDescent="0.2">
      <c r="A7482" s="486" t="s">
        <v>1068</v>
      </c>
      <c r="B7482" s="487" t="s">
        <v>1067</v>
      </c>
      <c r="C7482" s="488" t="s">
        <v>23529</v>
      </c>
      <c r="D7482" s="489" t="s">
        <v>23530</v>
      </c>
      <c r="E7482" s="487" t="s">
        <v>23531</v>
      </c>
      <c r="F7482" s="490">
        <v>5900</v>
      </c>
      <c r="G7482" s="489">
        <v>163.4</v>
      </c>
      <c r="H7482" s="489">
        <v>36.107709999999997</v>
      </c>
      <c r="I7482" s="487" t="s">
        <v>1499</v>
      </c>
      <c r="J7482" s="487" t="s">
        <v>1069</v>
      </c>
    </row>
    <row r="7483" spans="1:10" ht="15" x14ac:dyDescent="0.2">
      <c r="A7483" s="486" t="s">
        <v>1068</v>
      </c>
      <c r="B7483" s="487" t="s">
        <v>1067</v>
      </c>
      <c r="C7483" s="488" t="s">
        <v>23532</v>
      </c>
      <c r="D7483" s="489" t="s">
        <v>23533</v>
      </c>
      <c r="E7483" s="487" t="s">
        <v>23534</v>
      </c>
      <c r="F7483" s="490">
        <v>11693</v>
      </c>
      <c r="G7483" s="489">
        <v>173.38</v>
      </c>
      <c r="H7483" s="489">
        <v>67.441460000000006</v>
      </c>
      <c r="I7483" s="487" t="s">
        <v>1499</v>
      </c>
      <c r="J7483" s="487" t="s">
        <v>1069</v>
      </c>
    </row>
    <row r="7484" spans="1:10" ht="15" x14ac:dyDescent="0.2">
      <c r="A7484" s="486" t="s">
        <v>1068</v>
      </c>
      <c r="B7484" s="487" t="s">
        <v>1067</v>
      </c>
      <c r="C7484" s="488" t="s">
        <v>23535</v>
      </c>
      <c r="D7484" s="489" t="s">
        <v>23536</v>
      </c>
      <c r="E7484" s="487" t="s">
        <v>23537</v>
      </c>
      <c r="F7484" s="490">
        <v>9618</v>
      </c>
      <c r="G7484" s="489">
        <v>211.23</v>
      </c>
      <c r="H7484" s="489">
        <v>45.533299999999997</v>
      </c>
      <c r="I7484" s="487" t="s">
        <v>1499</v>
      </c>
      <c r="J7484" s="487" t="s">
        <v>1069</v>
      </c>
    </row>
    <row r="7485" spans="1:10" ht="15" x14ac:dyDescent="0.2">
      <c r="A7485" s="486" t="s">
        <v>1068</v>
      </c>
      <c r="B7485" s="487" t="s">
        <v>1067</v>
      </c>
      <c r="C7485" s="488" t="s">
        <v>23538</v>
      </c>
      <c r="D7485" s="489" t="s">
        <v>23539</v>
      </c>
      <c r="E7485" s="487" t="s">
        <v>23540</v>
      </c>
      <c r="F7485" s="490">
        <v>3500</v>
      </c>
      <c r="G7485" s="489">
        <v>160.09</v>
      </c>
      <c r="H7485" s="489">
        <v>21.8627</v>
      </c>
      <c r="I7485" s="487" t="s">
        <v>1499</v>
      </c>
      <c r="J7485" s="487" t="s">
        <v>1069</v>
      </c>
    </row>
    <row r="7486" spans="1:10" ht="15" x14ac:dyDescent="0.2">
      <c r="A7486" s="486" t="s">
        <v>1068</v>
      </c>
      <c r="B7486" s="487" t="s">
        <v>1067</v>
      </c>
      <c r="C7486" s="488" t="s">
        <v>23541</v>
      </c>
      <c r="D7486" s="489" t="s">
        <v>23542</v>
      </c>
      <c r="E7486" s="487" t="s">
        <v>15664</v>
      </c>
      <c r="F7486" s="490">
        <v>10000</v>
      </c>
      <c r="G7486" s="489">
        <v>273.83999999999997</v>
      </c>
      <c r="H7486" s="489">
        <v>36.517670000000003</v>
      </c>
      <c r="I7486" s="487" t="s">
        <v>1499</v>
      </c>
      <c r="J7486" s="487" t="s">
        <v>1069</v>
      </c>
    </row>
    <row r="7487" spans="1:10" ht="15" x14ac:dyDescent="0.2">
      <c r="A7487" s="486" t="s">
        <v>1068</v>
      </c>
      <c r="B7487" s="487" t="s">
        <v>1067</v>
      </c>
      <c r="C7487" s="488" t="s">
        <v>23543</v>
      </c>
      <c r="D7487" s="489" t="s">
        <v>23544</v>
      </c>
      <c r="E7487" s="487" t="s">
        <v>23545</v>
      </c>
      <c r="F7487" s="490">
        <v>14520</v>
      </c>
      <c r="G7487" s="489">
        <v>306.42</v>
      </c>
      <c r="H7487" s="489">
        <v>47.385939999999998</v>
      </c>
      <c r="I7487" s="487" t="s">
        <v>1499</v>
      </c>
      <c r="J7487" s="487" t="s">
        <v>1069</v>
      </c>
    </row>
    <row r="7488" spans="1:10" ht="15" x14ac:dyDescent="0.2">
      <c r="A7488" s="486" t="s">
        <v>1068</v>
      </c>
      <c r="B7488" s="487" t="s">
        <v>1067</v>
      </c>
      <c r="C7488" s="488" t="s">
        <v>23546</v>
      </c>
      <c r="D7488" s="489" t="s">
        <v>23547</v>
      </c>
      <c r="E7488" s="487" t="s">
        <v>23081</v>
      </c>
      <c r="F7488" s="490">
        <v>69700</v>
      </c>
      <c r="G7488" s="489">
        <v>1027.48</v>
      </c>
      <c r="H7488" s="489">
        <v>67.83587</v>
      </c>
      <c r="I7488" s="487" t="s">
        <v>1499</v>
      </c>
      <c r="J7488" s="487" t="s">
        <v>1069</v>
      </c>
    </row>
    <row r="7489" spans="1:10" ht="15" x14ac:dyDescent="0.2">
      <c r="A7489" s="486" t="s">
        <v>1068</v>
      </c>
      <c r="B7489" s="487" t="s">
        <v>1067</v>
      </c>
      <c r="C7489" s="488" t="s">
        <v>23548</v>
      </c>
      <c r="D7489" s="489" t="s">
        <v>23549</v>
      </c>
      <c r="E7489" s="487" t="s">
        <v>23550</v>
      </c>
      <c r="F7489" s="490">
        <v>1029</v>
      </c>
      <c r="G7489" s="489">
        <v>130.78</v>
      </c>
      <c r="H7489" s="489">
        <v>7.8681799999999997</v>
      </c>
      <c r="I7489" s="487" t="s">
        <v>1499</v>
      </c>
      <c r="J7489" s="487" t="s">
        <v>1069</v>
      </c>
    </row>
    <row r="7490" spans="1:10" ht="15" x14ac:dyDescent="0.2">
      <c r="A7490" s="486" t="s">
        <v>1068</v>
      </c>
      <c r="B7490" s="487" t="s">
        <v>1067</v>
      </c>
      <c r="C7490" s="488" t="s">
        <v>23551</v>
      </c>
      <c r="D7490" s="489" t="s">
        <v>23552</v>
      </c>
      <c r="E7490" s="487" t="s">
        <v>23553</v>
      </c>
      <c r="F7490" s="490">
        <v>298258</v>
      </c>
      <c r="G7490" s="489">
        <v>3440.32</v>
      </c>
      <c r="H7490" s="489">
        <v>86.694839999999999</v>
      </c>
      <c r="I7490" s="487" t="s">
        <v>1499</v>
      </c>
      <c r="J7490" s="487" t="s">
        <v>1069</v>
      </c>
    </row>
    <row r="7491" spans="1:10" ht="15" x14ac:dyDescent="0.2">
      <c r="A7491" s="486" t="s">
        <v>1068</v>
      </c>
      <c r="B7491" s="487" t="s">
        <v>1067</v>
      </c>
      <c r="C7491" s="488" t="s">
        <v>23554</v>
      </c>
      <c r="D7491" s="489" t="s">
        <v>23555</v>
      </c>
      <c r="E7491" s="487" t="s">
        <v>23556</v>
      </c>
      <c r="F7491" s="490">
        <v>8000</v>
      </c>
      <c r="G7491" s="489">
        <v>299.83</v>
      </c>
      <c r="H7491" s="489">
        <v>26.681789999999999</v>
      </c>
      <c r="I7491" s="487" t="s">
        <v>1499</v>
      </c>
      <c r="J7491" s="487" t="s">
        <v>1069</v>
      </c>
    </row>
    <row r="7492" spans="1:10" ht="15" x14ac:dyDescent="0.2">
      <c r="A7492" s="486" t="s">
        <v>1068</v>
      </c>
      <c r="B7492" s="487" t="s">
        <v>1067</v>
      </c>
      <c r="C7492" s="488" t="s">
        <v>23557</v>
      </c>
      <c r="D7492" s="489" t="s">
        <v>23558</v>
      </c>
      <c r="E7492" s="487" t="s">
        <v>23559</v>
      </c>
      <c r="F7492" s="490">
        <v>10070</v>
      </c>
      <c r="G7492" s="489">
        <v>330.96</v>
      </c>
      <c r="H7492" s="489">
        <v>30.426639999999999</v>
      </c>
      <c r="I7492" s="487" t="s">
        <v>1499</v>
      </c>
      <c r="J7492" s="487" t="s">
        <v>1069</v>
      </c>
    </row>
    <row r="7493" spans="1:10" ht="15" x14ac:dyDescent="0.2">
      <c r="A7493" s="486" t="s">
        <v>1068</v>
      </c>
      <c r="B7493" s="487" t="s">
        <v>1067</v>
      </c>
      <c r="C7493" s="488" t="s">
        <v>23560</v>
      </c>
      <c r="D7493" s="489" t="s">
        <v>23561</v>
      </c>
      <c r="E7493" s="487" t="s">
        <v>11113</v>
      </c>
      <c r="F7493" s="490">
        <v>7000</v>
      </c>
      <c r="G7493" s="489">
        <v>237.97</v>
      </c>
      <c r="H7493" s="489">
        <v>29.415469999999999</v>
      </c>
      <c r="I7493" s="487" t="s">
        <v>1499</v>
      </c>
      <c r="J7493" s="487" t="s">
        <v>1069</v>
      </c>
    </row>
    <row r="7494" spans="1:10" ht="15" x14ac:dyDescent="0.2">
      <c r="A7494" s="486" t="s">
        <v>1068</v>
      </c>
      <c r="B7494" s="487" t="s">
        <v>1067</v>
      </c>
      <c r="C7494" s="488" t="s">
        <v>23562</v>
      </c>
      <c r="D7494" s="489" t="s">
        <v>23563</v>
      </c>
      <c r="E7494" s="487" t="s">
        <v>23564</v>
      </c>
      <c r="F7494" s="490">
        <v>6750</v>
      </c>
      <c r="G7494" s="489">
        <v>77.81</v>
      </c>
      <c r="H7494" s="489">
        <v>86.749780000000001</v>
      </c>
      <c r="I7494" s="487" t="s">
        <v>1499</v>
      </c>
      <c r="J7494" s="487" t="s">
        <v>1069</v>
      </c>
    </row>
    <row r="7495" spans="1:10" ht="15" x14ac:dyDescent="0.2">
      <c r="A7495" s="486" t="s">
        <v>1068</v>
      </c>
      <c r="B7495" s="487" t="s">
        <v>1067</v>
      </c>
      <c r="C7495" s="488" t="s">
        <v>23565</v>
      </c>
      <c r="D7495" s="489" t="s">
        <v>23566</v>
      </c>
      <c r="E7495" s="487" t="s">
        <v>23567</v>
      </c>
      <c r="F7495" s="490">
        <v>89250</v>
      </c>
      <c r="G7495" s="489">
        <v>888.63</v>
      </c>
      <c r="H7495" s="489">
        <v>100.4355</v>
      </c>
      <c r="I7495" s="487" t="s">
        <v>1499</v>
      </c>
      <c r="J7495" s="487" t="s">
        <v>1069</v>
      </c>
    </row>
    <row r="7496" spans="1:10" ht="15" x14ac:dyDescent="0.2">
      <c r="A7496" s="486" t="s">
        <v>1068</v>
      </c>
      <c r="B7496" s="487" t="s">
        <v>1067</v>
      </c>
      <c r="C7496" s="488" t="s">
        <v>23568</v>
      </c>
      <c r="D7496" s="489" t="s">
        <v>23569</v>
      </c>
      <c r="E7496" s="487" t="s">
        <v>23570</v>
      </c>
      <c r="F7496" s="490">
        <v>2750</v>
      </c>
      <c r="G7496" s="489">
        <v>76.709999999999994</v>
      </c>
      <c r="H7496" s="489">
        <v>35.849299999999999</v>
      </c>
      <c r="I7496" s="487" t="s">
        <v>1499</v>
      </c>
      <c r="J7496" s="487" t="s">
        <v>1069</v>
      </c>
    </row>
    <row r="7497" spans="1:10" ht="15" x14ac:dyDescent="0.2">
      <c r="A7497" s="486" t="s">
        <v>1068</v>
      </c>
      <c r="B7497" s="487" t="s">
        <v>1067</v>
      </c>
      <c r="C7497" s="488" t="s">
        <v>23571</v>
      </c>
      <c r="D7497" s="489" t="s">
        <v>23572</v>
      </c>
      <c r="E7497" s="487" t="s">
        <v>23573</v>
      </c>
      <c r="F7497" s="490">
        <v>41600</v>
      </c>
      <c r="G7497" s="489">
        <v>831.08</v>
      </c>
      <c r="H7497" s="489">
        <v>50.055349999999997</v>
      </c>
      <c r="I7497" s="487" t="s">
        <v>1499</v>
      </c>
      <c r="J7497" s="487" t="s">
        <v>1069</v>
      </c>
    </row>
    <row r="7498" spans="1:10" ht="15" x14ac:dyDescent="0.2">
      <c r="A7498" s="486" t="s">
        <v>1068</v>
      </c>
      <c r="B7498" s="487" t="s">
        <v>1067</v>
      </c>
      <c r="C7498" s="488" t="s">
        <v>23574</v>
      </c>
      <c r="D7498" s="489" t="s">
        <v>23575</v>
      </c>
      <c r="E7498" s="487" t="s">
        <v>23576</v>
      </c>
      <c r="F7498" s="490">
        <v>57000</v>
      </c>
      <c r="G7498" s="489">
        <v>888</v>
      </c>
      <c r="H7498" s="489">
        <v>64.189189999999996</v>
      </c>
      <c r="I7498" s="487" t="s">
        <v>1499</v>
      </c>
      <c r="J7498" s="487" t="s">
        <v>1069</v>
      </c>
    </row>
    <row r="7499" spans="1:10" ht="15" x14ac:dyDescent="0.2">
      <c r="A7499" s="486" t="s">
        <v>1068</v>
      </c>
      <c r="B7499" s="487" t="s">
        <v>1067</v>
      </c>
      <c r="C7499" s="488" t="s">
        <v>23577</v>
      </c>
      <c r="D7499" s="489" t="s">
        <v>23578</v>
      </c>
      <c r="E7499" s="487" t="s">
        <v>23579</v>
      </c>
      <c r="F7499" s="490">
        <v>0</v>
      </c>
      <c r="G7499" s="489">
        <v>75.010000000000005</v>
      </c>
      <c r="H7499" s="489">
        <v>0</v>
      </c>
      <c r="I7499" s="487" t="s">
        <v>1593</v>
      </c>
      <c r="J7499" s="487" t="s">
        <v>1069</v>
      </c>
    </row>
    <row r="7500" spans="1:10" ht="15" x14ac:dyDescent="0.2">
      <c r="A7500" s="486" t="s">
        <v>1068</v>
      </c>
      <c r="B7500" s="487" t="s">
        <v>1067</v>
      </c>
      <c r="C7500" s="488" t="s">
        <v>23580</v>
      </c>
      <c r="D7500" s="489" t="s">
        <v>23581</v>
      </c>
      <c r="E7500" s="487" t="s">
        <v>23582</v>
      </c>
      <c r="F7500" s="490">
        <v>5445</v>
      </c>
      <c r="G7500" s="489">
        <v>355.9</v>
      </c>
      <c r="H7500" s="489">
        <v>15.299239999999999</v>
      </c>
      <c r="I7500" s="487" t="s">
        <v>1499</v>
      </c>
      <c r="J7500" s="487" t="s">
        <v>1069</v>
      </c>
    </row>
    <row r="7501" spans="1:10" ht="15" x14ac:dyDescent="0.2">
      <c r="A7501" s="486" t="s">
        <v>1068</v>
      </c>
      <c r="B7501" s="487" t="s">
        <v>1067</v>
      </c>
      <c r="C7501" s="488" t="s">
        <v>23583</v>
      </c>
      <c r="D7501" s="489" t="s">
        <v>23584</v>
      </c>
      <c r="E7501" s="487" t="s">
        <v>23585</v>
      </c>
      <c r="F7501" s="490">
        <v>1486</v>
      </c>
      <c r="G7501" s="489">
        <v>29.36</v>
      </c>
      <c r="H7501" s="489">
        <v>50.613079999999997</v>
      </c>
      <c r="I7501" s="487" t="s">
        <v>1499</v>
      </c>
      <c r="J7501" s="487" t="s">
        <v>1069</v>
      </c>
    </row>
    <row r="7502" spans="1:10" ht="15" x14ac:dyDescent="0.2">
      <c r="A7502" s="486" t="s">
        <v>1068</v>
      </c>
      <c r="B7502" s="487" t="s">
        <v>1067</v>
      </c>
      <c r="C7502" s="488" t="s">
        <v>23586</v>
      </c>
      <c r="D7502" s="489" t="s">
        <v>23587</v>
      </c>
      <c r="E7502" s="487" t="s">
        <v>23588</v>
      </c>
      <c r="F7502" s="490">
        <v>645</v>
      </c>
      <c r="G7502" s="489">
        <v>69.739999999999995</v>
      </c>
      <c r="H7502" s="489">
        <v>9.24864</v>
      </c>
      <c r="I7502" s="487" t="s">
        <v>1499</v>
      </c>
      <c r="J7502" s="487" t="s">
        <v>1069</v>
      </c>
    </row>
    <row r="7503" spans="1:10" ht="15" x14ac:dyDescent="0.2">
      <c r="A7503" s="486" t="s">
        <v>1068</v>
      </c>
      <c r="B7503" s="487" t="s">
        <v>1067</v>
      </c>
      <c r="C7503" s="488" t="s">
        <v>23589</v>
      </c>
      <c r="D7503" s="489" t="s">
        <v>23590</v>
      </c>
      <c r="E7503" s="487" t="s">
        <v>23591</v>
      </c>
      <c r="F7503" s="490">
        <v>5820</v>
      </c>
      <c r="G7503" s="489">
        <v>106.36</v>
      </c>
      <c r="H7503" s="489">
        <v>54.719819999999999</v>
      </c>
      <c r="I7503" s="487" t="s">
        <v>1499</v>
      </c>
      <c r="J7503" s="487" t="s">
        <v>1069</v>
      </c>
    </row>
    <row r="7504" spans="1:10" ht="15" x14ac:dyDescent="0.2">
      <c r="A7504" s="486" t="s">
        <v>1068</v>
      </c>
      <c r="B7504" s="487" t="s">
        <v>1067</v>
      </c>
      <c r="C7504" s="488" t="s">
        <v>23592</v>
      </c>
      <c r="D7504" s="489" t="s">
        <v>23593</v>
      </c>
      <c r="E7504" s="487" t="s">
        <v>23594</v>
      </c>
      <c r="F7504" s="490">
        <v>1180</v>
      </c>
      <c r="G7504" s="489">
        <v>11.98</v>
      </c>
      <c r="H7504" s="489">
        <v>98.497500000000002</v>
      </c>
      <c r="I7504" s="487" t="s">
        <v>1499</v>
      </c>
      <c r="J7504" s="487" t="s">
        <v>1069</v>
      </c>
    </row>
    <row r="7505" spans="1:10" ht="15" x14ac:dyDescent="0.2">
      <c r="A7505" s="486" t="s">
        <v>345</v>
      </c>
      <c r="B7505" s="487" t="s">
        <v>344</v>
      </c>
      <c r="C7505" s="488" t="s">
        <v>23595</v>
      </c>
      <c r="D7505" s="489" t="s">
        <v>23596</v>
      </c>
      <c r="E7505" s="487" t="s">
        <v>23597</v>
      </c>
      <c r="F7505" s="490">
        <v>62500</v>
      </c>
      <c r="G7505" s="489">
        <v>570</v>
      </c>
      <c r="H7505" s="489">
        <v>109.64912</v>
      </c>
      <c r="I7505" s="487" t="s">
        <v>1499</v>
      </c>
      <c r="J7505" s="487" t="s">
        <v>346</v>
      </c>
    </row>
    <row r="7506" spans="1:10" ht="15" x14ac:dyDescent="0.2">
      <c r="A7506" s="486" t="s">
        <v>345</v>
      </c>
      <c r="B7506" s="487" t="s">
        <v>344</v>
      </c>
      <c r="C7506" s="488" t="s">
        <v>23598</v>
      </c>
      <c r="D7506" s="489" t="s">
        <v>23599</v>
      </c>
      <c r="E7506" s="487" t="s">
        <v>23600</v>
      </c>
      <c r="F7506" s="490">
        <v>341487</v>
      </c>
      <c r="G7506" s="489">
        <v>3709.4</v>
      </c>
      <c r="H7506" s="489">
        <v>92.059899999999999</v>
      </c>
      <c r="I7506" s="487" t="s">
        <v>1499</v>
      </c>
      <c r="J7506" s="487" t="s">
        <v>346</v>
      </c>
    </row>
    <row r="7507" spans="1:10" ht="15" x14ac:dyDescent="0.2">
      <c r="A7507" s="486" t="s">
        <v>419</v>
      </c>
      <c r="B7507" s="487" t="s">
        <v>418</v>
      </c>
      <c r="C7507" s="488" t="s">
        <v>23601</v>
      </c>
      <c r="D7507" s="489" t="s">
        <v>23602</v>
      </c>
      <c r="E7507" s="487" t="s">
        <v>5898</v>
      </c>
      <c r="F7507" s="490">
        <v>1975</v>
      </c>
      <c r="G7507" s="489">
        <v>86.67</v>
      </c>
      <c r="H7507" s="489">
        <v>22.787590000000002</v>
      </c>
      <c r="I7507" s="487" t="s">
        <v>1499</v>
      </c>
      <c r="J7507" s="487" t="s">
        <v>420</v>
      </c>
    </row>
    <row r="7508" spans="1:10" ht="15" x14ac:dyDescent="0.2">
      <c r="A7508" s="486" t="s">
        <v>419</v>
      </c>
      <c r="B7508" s="487" t="s">
        <v>418</v>
      </c>
      <c r="C7508" s="488" t="s">
        <v>23603</v>
      </c>
      <c r="D7508" s="489" t="s">
        <v>23604</v>
      </c>
      <c r="E7508" s="487" t="s">
        <v>23605</v>
      </c>
      <c r="F7508" s="490">
        <v>5928</v>
      </c>
      <c r="G7508" s="489">
        <v>225.45</v>
      </c>
      <c r="H7508" s="489">
        <v>26.294080000000001</v>
      </c>
      <c r="I7508" s="487" t="s">
        <v>1499</v>
      </c>
      <c r="J7508" s="487" t="s">
        <v>420</v>
      </c>
    </row>
    <row r="7509" spans="1:10" ht="15" x14ac:dyDescent="0.2">
      <c r="A7509" s="486" t="s">
        <v>419</v>
      </c>
      <c r="B7509" s="487" t="s">
        <v>418</v>
      </c>
      <c r="C7509" s="488" t="s">
        <v>23606</v>
      </c>
      <c r="D7509" s="489" t="s">
        <v>23607</v>
      </c>
      <c r="E7509" s="487" t="s">
        <v>23608</v>
      </c>
      <c r="F7509" s="490">
        <v>9100</v>
      </c>
      <c r="G7509" s="489">
        <v>124.02</v>
      </c>
      <c r="H7509" s="489">
        <v>73.375259999999997</v>
      </c>
      <c r="I7509" s="487" t="s">
        <v>1499</v>
      </c>
      <c r="J7509" s="487" t="s">
        <v>420</v>
      </c>
    </row>
    <row r="7510" spans="1:10" ht="15" x14ac:dyDescent="0.2">
      <c r="A7510" s="486" t="s">
        <v>419</v>
      </c>
      <c r="B7510" s="487" t="s">
        <v>418</v>
      </c>
      <c r="C7510" s="488" t="s">
        <v>23609</v>
      </c>
      <c r="D7510" s="489" t="s">
        <v>23610</v>
      </c>
      <c r="E7510" s="487" t="s">
        <v>17877</v>
      </c>
      <c r="F7510" s="490">
        <v>49970</v>
      </c>
      <c r="G7510" s="489">
        <v>541.44000000000005</v>
      </c>
      <c r="H7510" s="489">
        <v>92.290930000000003</v>
      </c>
      <c r="I7510" s="487" t="s">
        <v>1499</v>
      </c>
      <c r="J7510" s="487" t="s">
        <v>420</v>
      </c>
    </row>
    <row r="7511" spans="1:10" ht="15" x14ac:dyDescent="0.2">
      <c r="A7511" s="486" t="s">
        <v>419</v>
      </c>
      <c r="B7511" s="487" t="s">
        <v>418</v>
      </c>
      <c r="C7511" s="488" t="s">
        <v>23611</v>
      </c>
      <c r="D7511" s="489" t="s">
        <v>23612</v>
      </c>
      <c r="E7511" s="487" t="s">
        <v>23206</v>
      </c>
      <c r="F7511" s="490">
        <v>46390</v>
      </c>
      <c r="G7511" s="489">
        <v>525.33000000000004</v>
      </c>
      <c r="H7511" s="489">
        <v>88.306399999999996</v>
      </c>
      <c r="I7511" s="487" t="s">
        <v>1499</v>
      </c>
      <c r="J7511" s="487" t="s">
        <v>420</v>
      </c>
    </row>
    <row r="7512" spans="1:10" ht="15" x14ac:dyDescent="0.2">
      <c r="A7512" s="486" t="s">
        <v>419</v>
      </c>
      <c r="B7512" s="487" t="s">
        <v>418</v>
      </c>
      <c r="C7512" s="488" t="s">
        <v>23613</v>
      </c>
      <c r="D7512" s="489" t="s">
        <v>23614</v>
      </c>
      <c r="E7512" s="487" t="s">
        <v>23615</v>
      </c>
      <c r="F7512" s="490">
        <v>0</v>
      </c>
      <c r="G7512" s="489">
        <v>49.14</v>
      </c>
      <c r="H7512" s="489">
        <v>0</v>
      </c>
      <c r="I7512" s="487" t="s">
        <v>1593</v>
      </c>
      <c r="J7512" s="487" t="s">
        <v>420</v>
      </c>
    </row>
    <row r="7513" spans="1:10" ht="15" x14ac:dyDescent="0.2">
      <c r="A7513" s="486" t="s">
        <v>419</v>
      </c>
      <c r="B7513" s="487" t="s">
        <v>418</v>
      </c>
      <c r="C7513" s="488" t="s">
        <v>23616</v>
      </c>
      <c r="D7513" s="489" t="s">
        <v>23617</v>
      </c>
      <c r="E7513" s="487" t="s">
        <v>23618</v>
      </c>
      <c r="F7513" s="490">
        <v>2250</v>
      </c>
      <c r="G7513" s="489">
        <v>95.67</v>
      </c>
      <c r="H7513" s="489">
        <v>23.518339999999998</v>
      </c>
      <c r="I7513" s="487" t="s">
        <v>1499</v>
      </c>
      <c r="J7513" s="487" t="s">
        <v>420</v>
      </c>
    </row>
    <row r="7514" spans="1:10" ht="15" x14ac:dyDescent="0.2">
      <c r="A7514" s="486" t="s">
        <v>419</v>
      </c>
      <c r="B7514" s="487" t="s">
        <v>418</v>
      </c>
      <c r="C7514" s="488" t="s">
        <v>23619</v>
      </c>
      <c r="D7514" s="489" t="s">
        <v>23620</v>
      </c>
      <c r="E7514" s="487" t="s">
        <v>23621</v>
      </c>
      <c r="F7514" s="490">
        <v>0</v>
      </c>
      <c r="G7514" s="489">
        <v>31.41</v>
      </c>
      <c r="H7514" s="489">
        <v>0</v>
      </c>
      <c r="I7514" s="487" t="s">
        <v>1593</v>
      </c>
      <c r="J7514" s="487" t="s">
        <v>420</v>
      </c>
    </row>
    <row r="7515" spans="1:10" ht="15" x14ac:dyDescent="0.2">
      <c r="A7515" s="486" t="s">
        <v>419</v>
      </c>
      <c r="B7515" s="487" t="s">
        <v>418</v>
      </c>
      <c r="C7515" s="488" t="s">
        <v>23622</v>
      </c>
      <c r="D7515" s="489" t="s">
        <v>23623</v>
      </c>
      <c r="E7515" s="487" t="s">
        <v>23624</v>
      </c>
      <c r="F7515" s="490">
        <v>196541</v>
      </c>
      <c r="G7515" s="489">
        <v>1889.82</v>
      </c>
      <c r="H7515" s="489">
        <v>103.99985</v>
      </c>
      <c r="I7515" s="487" t="s">
        <v>1499</v>
      </c>
      <c r="J7515" s="487" t="s">
        <v>420</v>
      </c>
    </row>
    <row r="7516" spans="1:10" ht="15" x14ac:dyDescent="0.2">
      <c r="A7516" s="486" t="s">
        <v>419</v>
      </c>
      <c r="B7516" s="487" t="s">
        <v>418</v>
      </c>
      <c r="C7516" s="488" t="s">
        <v>23625</v>
      </c>
      <c r="D7516" s="489" t="s">
        <v>23626</v>
      </c>
      <c r="E7516" s="487" t="s">
        <v>23627</v>
      </c>
      <c r="F7516" s="490">
        <v>14850</v>
      </c>
      <c r="G7516" s="489">
        <v>389.34</v>
      </c>
      <c r="H7516" s="489">
        <v>38.141469999999998</v>
      </c>
      <c r="I7516" s="487" t="s">
        <v>1499</v>
      </c>
      <c r="J7516" s="487" t="s">
        <v>420</v>
      </c>
    </row>
    <row r="7517" spans="1:10" ht="15" x14ac:dyDescent="0.2">
      <c r="A7517" s="486" t="s">
        <v>419</v>
      </c>
      <c r="B7517" s="487" t="s">
        <v>418</v>
      </c>
      <c r="C7517" s="488" t="s">
        <v>23628</v>
      </c>
      <c r="D7517" s="489" t="s">
        <v>23629</v>
      </c>
      <c r="E7517" s="487" t="s">
        <v>23630</v>
      </c>
      <c r="F7517" s="490">
        <v>16402</v>
      </c>
      <c r="G7517" s="489">
        <v>140.4</v>
      </c>
      <c r="H7517" s="489">
        <v>116.82335999999999</v>
      </c>
      <c r="I7517" s="487" t="s">
        <v>1499</v>
      </c>
      <c r="J7517" s="487" t="s">
        <v>420</v>
      </c>
    </row>
    <row r="7518" spans="1:10" ht="15" x14ac:dyDescent="0.2">
      <c r="A7518" s="486" t="s">
        <v>419</v>
      </c>
      <c r="B7518" s="487" t="s">
        <v>418</v>
      </c>
      <c r="C7518" s="488" t="s">
        <v>23631</v>
      </c>
      <c r="D7518" s="489" t="s">
        <v>23632</v>
      </c>
      <c r="E7518" s="487" t="s">
        <v>23633</v>
      </c>
      <c r="F7518" s="490">
        <v>0</v>
      </c>
      <c r="G7518" s="489">
        <v>37.619999999999997</v>
      </c>
      <c r="H7518" s="489">
        <v>0</v>
      </c>
      <c r="I7518" s="487" t="s">
        <v>1593</v>
      </c>
      <c r="J7518" s="487" t="s">
        <v>420</v>
      </c>
    </row>
    <row r="7519" spans="1:10" ht="15" x14ac:dyDescent="0.2">
      <c r="A7519" s="486" t="s">
        <v>419</v>
      </c>
      <c r="B7519" s="487" t="s">
        <v>418</v>
      </c>
      <c r="C7519" s="488" t="s">
        <v>23634</v>
      </c>
      <c r="D7519" s="489" t="s">
        <v>23635</v>
      </c>
      <c r="E7519" s="487" t="s">
        <v>23636</v>
      </c>
      <c r="F7519" s="490">
        <v>18900</v>
      </c>
      <c r="G7519" s="489">
        <v>226.08</v>
      </c>
      <c r="H7519" s="489">
        <v>83.598730000000003</v>
      </c>
      <c r="I7519" s="487" t="s">
        <v>1499</v>
      </c>
      <c r="J7519" s="487" t="s">
        <v>420</v>
      </c>
    </row>
    <row r="7520" spans="1:10" ht="15" x14ac:dyDescent="0.2">
      <c r="A7520" s="486" t="s">
        <v>419</v>
      </c>
      <c r="B7520" s="487" t="s">
        <v>418</v>
      </c>
      <c r="C7520" s="488" t="s">
        <v>23637</v>
      </c>
      <c r="D7520" s="489" t="s">
        <v>23638</v>
      </c>
      <c r="E7520" s="487" t="s">
        <v>23639</v>
      </c>
      <c r="F7520" s="490">
        <v>3830</v>
      </c>
      <c r="G7520" s="489">
        <v>117.63</v>
      </c>
      <c r="H7520" s="489">
        <v>32.559719999999999</v>
      </c>
      <c r="I7520" s="487" t="s">
        <v>1499</v>
      </c>
      <c r="J7520" s="487" t="s">
        <v>420</v>
      </c>
    </row>
    <row r="7521" spans="1:10" ht="15" x14ac:dyDescent="0.2">
      <c r="A7521" s="486" t="s">
        <v>419</v>
      </c>
      <c r="B7521" s="487" t="s">
        <v>418</v>
      </c>
      <c r="C7521" s="488" t="s">
        <v>23640</v>
      </c>
      <c r="D7521" s="489" t="s">
        <v>23641</v>
      </c>
      <c r="E7521" s="487" t="s">
        <v>23642</v>
      </c>
      <c r="F7521" s="490">
        <v>37897</v>
      </c>
      <c r="G7521" s="489">
        <v>565.91999999999996</v>
      </c>
      <c r="H7521" s="489">
        <v>66.965299999999999</v>
      </c>
      <c r="I7521" s="487" t="s">
        <v>1499</v>
      </c>
      <c r="J7521" s="487" t="s">
        <v>420</v>
      </c>
    </row>
    <row r="7522" spans="1:10" ht="15" x14ac:dyDescent="0.2">
      <c r="A7522" s="486" t="s">
        <v>419</v>
      </c>
      <c r="B7522" s="487" t="s">
        <v>418</v>
      </c>
      <c r="C7522" s="488" t="s">
        <v>23643</v>
      </c>
      <c r="D7522" s="489" t="s">
        <v>23644</v>
      </c>
      <c r="E7522" s="487" t="s">
        <v>23645</v>
      </c>
      <c r="F7522" s="490">
        <v>19651</v>
      </c>
      <c r="G7522" s="489">
        <v>249.21</v>
      </c>
      <c r="H7522" s="489">
        <v>78.853179999999995</v>
      </c>
      <c r="I7522" s="487" t="s">
        <v>1499</v>
      </c>
      <c r="J7522" s="487" t="s">
        <v>420</v>
      </c>
    </row>
    <row r="7523" spans="1:10" ht="15" x14ac:dyDescent="0.2">
      <c r="A7523" s="486" t="s">
        <v>419</v>
      </c>
      <c r="B7523" s="487" t="s">
        <v>418</v>
      </c>
      <c r="C7523" s="488" t="s">
        <v>23646</v>
      </c>
      <c r="D7523" s="489" t="s">
        <v>23647</v>
      </c>
      <c r="E7523" s="487" t="s">
        <v>2137</v>
      </c>
      <c r="F7523" s="490">
        <v>22304</v>
      </c>
      <c r="G7523" s="489">
        <v>408.96</v>
      </c>
      <c r="H7523" s="489">
        <v>54.538339999999998</v>
      </c>
      <c r="I7523" s="487" t="s">
        <v>1499</v>
      </c>
      <c r="J7523" s="487" t="s">
        <v>420</v>
      </c>
    </row>
    <row r="7524" spans="1:10" ht="15" x14ac:dyDescent="0.2">
      <c r="A7524" s="486" t="s">
        <v>419</v>
      </c>
      <c r="B7524" s="487" t="s">
        <v>418</v>
      </c>
      <c r="C7524" s="488" t="s">
        <v>23648</v>
      </c>
      <c r="D7524" s="489" t="s">
        <v>23649</v>
      </c>
      <c r="E7524" s="487" t="s">
        <v>23650</v>
      </c>
      <c r="F7524" s="490">
        <v>14835</v>
      </c>
      <c r="G7524" s="489">
        <v>248.31</v>
      </c>
      <c r="H7524" s="489">
        <v>59.743870000000001</v>
      </c>
      <c r="I7524" s="487" t="s">
        <v>1499</v>
      </c>
      <c r="J7524" s="487" t="s">
        <v>420</v>
      </c>
    </row>
    <row r="7525" spans="1:10" ht="15" x14ac:dyDescent="0.2">
      <c r="A7525" s="486" t="s">
        <v>419</v>
      </c>
      <c r="B7525" s="487" t="s">
        <v>418</v>
      </c>
      <c r="C7525" s="488" t="s">
        <v>23651</v>
      </c>
      <c r="D7525" s="489" t="s">
        <v>23652</v>
      </c>
      <c r="E7525" s="487" t="s">
        <v>23653</v>
      </c>
      <c r="F7525" s="490">
        <v>25978</v>
      </c>
      <c r="G7525" s="489">
        <v>343.8</v>
      </c>
      <c r="H7525" s="489">
        <v>75.561369999999997</v>
      </c>
      <c r="I7525" s="487" t="s">
        <v>1499</v>
      </c>
      <c r="J7525" s="487" t="s">
        <v>420</v>
      </c>
    </row>
    <row r="7526" spans="1:10" ht="15" x14ac:dyDescent="0.2">
      <c r="A7526" s="486" t="s">
        <v>419</v>
      </c>
      <c r="B7526" s="487" t="s">
        <v>418</v>
      </c>
      <c r="C7526" s="488" t="s">
        <v>23654</v>
      </c>
      <c r="D7526" s="489" t="s">
        <v>23655</v>
      </c>
      <c r="E7526" s="487" t="s">
        <v>23656</v>
      </c>
      <c r="F7526" s="490">
        <v>326609</v>
      </c>
      <c r="G7526" s="489">
        <v>2655.45</v>
      </c>
      <c r="H7526" s="489">
        <v>122.99572999999999</v>
      </c>
      <c r="I7526" s="487" t="s">
        <v>1499</v>
      </c>
      <c r="J7526" s="487" t="s">
        <v>420</v>
      </c>
    </row>
    <row r="7527" spans="1:10" ht="15" x14ac:dyDescent="0.2">
      <c r="A7527" s="486" t="s">
        <v>419</v>
      </c>
      <c r="B7527" s="487" t="s">
        <v>418</v>
      </c>
      <c r="C7527" s="488" t="s">
        <v>23657</v>
      </c>
      <c r="D7527" s="489" t="s">
        <v>23658</v>
      </c>
      <c r="E7527" s="487" t="s">
        <v>4218</v>
      </c>
      <c r="F7527" s="490">
        <v>0</v>
      </c>
      <c r="G7527" s="489">
        <v>22.05</v>
      </c>
      <c r="H7527" s="489">
        <v>0</v>
      </c>
      <c r="I7527" s="487" t="s">
        <v>1593</v>
      </c>
      <c r="J7527" s="487" t="s">
        <v>420</v>
      </c>
    </row>
    <row r="7528" spans="1:10" ht="15" x14ac:dyDescent="0.2">
      <c r="A7528" s="486" t="s">
        <v>419</v>
      </c>
      <c r="B7528" s="487" t="s">
        <v>418</v>
      </c>
      <c r="C7528" s="488" t="s">
        <v>23659</v>
      </c>
      <c r="D7528" s="489" t="s">
        <v>23660</v>
      </c>
      <c r="E7528" s="487" t="s">
        <v>5669</v>
      </c>
      <c r="F7528" s="490">
        <v>11000</v>
      </c>
      <c r="G7528" s="489">
        <v>157.68</v>
      </c>
      <c r="H7528" s="489">
        <v>69.761539999999997</v>
      </c>
      <c r="I7528" s="487" t="s">
        <v>1499</v>
      </c>
      <c r="J7528" s="487" t="s">
        <v>420</v>
      </c>
    </row>
    <row r="7529" spans="1:10" ht="15" x14ac:dyDescent="0.2">
      <c r="A7529" s="486" t="s">
        <v>419</v>
      </c>
      <c r="B7529" s="487" t="s">
        <v>418</v>
      </c>
      <c r="C7529" s="488" t="s">
        <v>23661</v>
      </c>
      <c r="D7529" s="489" t="s">
        <v>23662</v>
      </c>
      <c r="E7529" s="487" t="s">
        <v>23663</v>
      </c>
      <c r="F7529" s="490">
        <v>10838</v>
      </c>
      <c r="G7529" s="489">
        <v>165.78</v>
      </c>
      <c r="H7529" s="489">
        <v>65.375799999999998</v>
      </c>
      <c r="I7529" s="487" t="s">
        <v>1499</v>
      </c>
      <c r="J7529" s="487" t="s">
        <v>420</v>
      </c>
    </row>
    <row r="7530" spans="1:10" ht="15" x14ac:dyDescent="0.2">
      <c r="A7530" s="486" t="s">
        <v>419</v>
      </c>
      <c r="B7530" s="487" t="s">
        <v>418</v>
      </c>
      <c r="C7530" s="488" t="s">
        <v>23664</v>
      </c>
      <c r="D7530" s="489" t="s">
        <v>23665</v>
      </c>
      <c r="E7530" s="487" t="s">
        <v>23666</v>
      </c>
      <c r="F7530" s="490">
        <v>75463</v>
      </c>
      <c r="G7530" s="489">
        <v>697.14</v>
      </c>
      <c r="H7530" s="489">
        <v>108.24655</v>
      </c>
      <c r="I7530" s="487" t="s">
        <v>1499</v>
      </c>
      <c r="J7530" s="487" t="s">
        <v>420</v>
      </c>
    </row>
    <row r="7531" spans="1:10" ht="15" x14ac:dyDescent="0.2">
      <c r="A7531" s="486" t="s">
        <v>419</v>
      </c>
      <c r="B7531" s="487" t="s">
        <v>418</v>
      </c>
      <c r="C7531" s="488" t="s">
        <v>23667</v>
      </c>
      <c r="D7531" s="489" t="s">
        <v>23668</v>
      </c>
      <c r="E7531" s="487" t="s">
        <v>23669</v>
      </c>
      <c r="F7531" s="490">
        <v>21562</v>
      </c>
      <c r="G7531" s="489">
        <v>148.77000000000001</v>
      </c>
      <c r="H7531" s="489">
        <v>144.93512999999999</v>
      </c>
      <c r="I7531" s="487" t="s">
        <v>1499</v>
      </c>
      <c r="J7531" s="487" t="s">
        <v>420</v>
      </c>
    </row>
    <row r="7532" spans="1:10" ht="15" x14ac:dyDescent="0.2">
      <c r="A7532" s="486" t="s">
        <v>419</v>
      </c>
      <c r="B7532" s="487" t="s">
        <v>418</v>
      </c>
      <c r="C7532" s="488" t="s">
        <v>23670</v>
      </c>
      <c r="D7532" s="489" t="s">
        <v>23671</v>
      </c>
      <c r="E7532" s="487" t="s">
        <v>23672</v>
      </c>
      <c r="F7532" s="490">
        <v>18506</v>
      </c>
      <c r="G7532" s="489">
        <v>198.72</v>
      </c>
      <c r="H7532" s="489">
        <v>93.126009999999994</v>
      </c>
      <c r="I7532" s="487" t="s">
        <v>1499</v>
      </c>
      <c r="J7532" s="487" t="s">
        <v>420</v>
      </c>
    </row>
    <row r="7533" spans="1:10" ht="15" x14ac:dyDescent="0.2">
      <c r="A7533" s="486" t="s">
        <v>419</v>
      </c>
      <c r="B7533" s="487" t="s">
        <v>418</v>
      </c>
      <c r="C7533" s="488" t="s">
        <v>23673</v>
      </c>
      <c r="D7533" s="489" t="s">
        <v>23674</v>
      </c>
      <c r="E7533" s="487" t="s">
        <v>23675</v>
      </c>
      <c r="F7533" s="490">
        <v>23371</v>
      </c>
      <c r="G7533" s="489">
        <v>286.56</v>
      </c>
      <c r="H7533" s="489">
        <v>81.557090000000002</v>
      </c>
      <c r="I7533" s="487" t="s">
        <v>1499</v>
      </c>
      <c r="J7533" s="487" t="s">
        <v>420</v>
      </c>
    </row>
    <row r="7534" spans="1:10" ht="15" x14ac:dyDescent="0.2">
      <c r="A7534" s="486" t="s">
        <v>419</v>
      </c>
      <c r="B7534" s="487" t="s">
        <v>418</v>
      </c>
      <c r="C7534" s="488" t="s">
        <v>23676</v>
      </c>
      <c r="D7534" s="489" t="s">
        <v>23677</v>
      </c>
      <c r="E7534" s="487" t="s">
        <v>23678</v>
      </c>
      <c r="F7534" s="490">
        <v>17975</v>
      </c>
      <c r="G7534" s="489">
        <v>264.33</v>
      </c>
      <c r="H7534" s="489">
        <v>68.002120000000005</v>
      </c>
      <c r="I7534" s="487" t="s">
        <v>1499</v>
      </c>
      <c r="J7534" s="487" t="s">
        <v>420</v>
      </c>
    </row>
    <row r="7535" spans="1:10" ht="15" x14ac:dyDescent="0.2">
      <c r="A7535" s="486" t="s">
        <v>419</v>
      </c>
      <c r="B7535" s="487" t="s">
        <v>418</v>
      </c>
      <c r="C7535" s="488" t="s">
        <v>23679</v>
      </c>
      <c r="D7535" s="489" t="s">
        <v>23680</v>
      </c>
      <c r="E7535" s="487" t="s">
        <v>23681</v>
      </c>
      <c r="F7535" s="490">
        <v>127257</v>
      </c>
      <c r="G7535" s="489">
        <v>717.03</v>
      </c>
      <c r="H7535" s="489">
        <v>177.47792999999999</v>
      </c>
      <c r="I7535" s="487" t="s">
        <v>1499</v>
      </c>
      <c r="J7535" s="487" t="s">
        <v>420</v>
      </c>
    </row>
    <row r="7536" spans="1:10" ht="15" x14ac:dyDescent="0.2">
      <c r="A7536" s="486" t="s">
        <v>419</v>
      </c>
      <c r="B7536" s="487" t="s">
        <v>418</v>
      </c>
      <c r="C7536" s="488" t="s">
        <v>23682</v>
      </c>
      <c r="D7536" s="489" t="s">
        <v>23683</v>
      </c>
      <c r="E7536" s="487" t="s">
        <v>23684</v>
      </c>
      <c r="F7536" s="490">
        <v>16353</v>
      </c>
      <c r="G7536" s="489">
        <v>143.91</v>
      </c>
      <c r="H7536" s="489">
        <v>113.63352</v>
      </c>
      <c r="I7536" s="487" t="s">
        <v>1499</v>
      </c>
      <c r="J7536" s="487" t="s">
        <v>420</v>
      </c>
    </row>
    <row r="7537" spans="1:10" ht="15" x14ac:dyDescent="0.2">
      <c r="A7537" s="486" t="s">
        <v>419</v>
      </c>
      <c r="B7537" s="487" t="s">
        <v>418</v>
      </c>
      <c r="C7537" s="488" t="s">
        <v>23685</v>
      </c>
      <c r="D7537" s="489" t="s">
        <v>23686</v>
      </c>
      <c r="E7537" s="487" t="s">
        <v>23687</v>
      </c>
      <c r="F7537" s="490">
        <v>6529</v>
      </c>
      <c r="G7537" s="489">
        <v>215.28</v>
      </c>
      <c r="H7537" s="489">
        <v>30.327950000000001</v>
      </c>
      <c r="I7537" s="487" t="s">
        <v>1499</v>
      </c>
      <c r="J7537" s="487" t="s">
        <v>420</v>
      </c>
    </row>
    <row r="7538" spans="1:10" ht="15" x14ac:dyDescent="0.2">
      <c r="A7538" s="486" t="s">
        <v>419</v>
      </c>
      <c r="B7538" s="487" t="s">
        <v>418</v>
      </c>
      <c r="C7538" s="488" t="s">
        <v>23688</v>
      </c>
      <c r="D7538" s="489" t="s">
        <v>23689</v>
      </c>
      <c r="E7538" s="487" t="s">
        <v>23690</v>
      </c>
      <c r="F7538" s="490">
        <v>29370</v>
      </c>
      <c r="G7538" s="489">
        <v>364.32</v>
      </c>
      <c r="H7538" s="489">
        <v>80.615939999999995</v>
      </c>
      <c r="I7538" s="487" t="s">
        <v>1499</v>
      </c>
      <c r="J7538" s="487" t="s">
        <v>420</v>
      </c>
    </row>
    <row r="7539" spans="1:10" ht="15" x14ac:dyDescent="0.2">
      <c r="A7539" s="486" t="s">
        <v>419</v>
      </c>
      <c r="B7539" s="487" t="s">
        <v>418</v>
      </c>
      <c r="C7539" s="488" t="s">
        <v>23691</v>
      </c>
      <c r="D7539" s="489" t="s">
        <v>23692</v>
      </c>
      <c r="E7539" s="487" t="s">
        <v>23693</v>
      </c>
      <c r="F7539" s="490">
        <v>22000</v>
      </c>
      <c r="G7539" s="489">
        <v>283.32</v>
      </c>
      <c r="H7539" s="489">
        <v>77.650710000000004</v>
      </c>
      <c r="I7539" s="487" t="s">
        <v>1499</v>
      </c>
      <c r="J7539" s="487" t="s">
        <v>420</v>
      </c>
    </row>
    <row r="7540" spans="1:10" ht="15" x14ac:dyDescent="0.2">
      <c r="A7540" s="486" t="s">
        <v>419</v>
      </c>
      <c r="B7540" s="487" t="s">
        <v>418</v>
      </c>
      <c r="C7540" s="488" t="s">
        <v>23694</v>
      </c>
      <c r="D7540" s="489" t="s">
        <v>23695</v>
      </c>
      <c r="E7540" s="487" t="s">
        <v>3737</v>
      </c>
      <c r="F7540" s="490">
        <v>52775</v>
      </c>
      <c r="G7540" s="489">
        <v>307.8</v>
      </c>
      <c r="H7540" s="489">
        <v>171.45874000000001</v>
      </c>
      <c r="I7540" s="487" t="s">
        <v>1499</v>
      </c>
      <c r="J7540" s="487" t="s">
        <v>420</v>
      </c>
    </row>
    <row r="7541" spans="1:10" ht="15" x14ac:dyDescent="0.2">
      <c r="A7541" s="486" t="s">
        <v>419</v>
      </c>
      <c r="B7541" s="487" t="s">
        <v>418</v>
      </c>
      <c r="C7541" s="488" t="s">
        <v>23696</v>
      </c>
      <c r="D7541" s="489" t="s">
        <v>23697</v>
      </c>
      <c r="E7541" s="487" t="s">
        <v>23698</v>
      </c>
      <c r="F7541" s="490">
        <v>28839</v>
      </c>
      <c r="G7541" s="489">
        <v>561.15</v>
      </c>
      <c r="H7541" s="489">
        <v>51.392679999999999</v>
      </c>
      <c r="I7541" s="487" t="s">
        <v>1499</v>
      </c>
      <c r="J7541" s="487" t="s">
        <v>420</v>
      </c>
    </row>
    <row r="7542" spans="1:10" ht="15" x14ac:dyDescent="0.2">
      <c r="A7542" s="486" t="s">
        <v>419</v>
      </c>
      <c r="B7542" s="487" t="s">
        <v>418</v>
      </c>
      <c r="C7542" s="488" t="s">
        <v>23699</v>
      </c>
      <c r="D7542" s="489" t="s">
        <v>23700</v>
      </c>
      <c r="E7542" s="487" t="s">
        <v>23701</v>
      </c>
      <c r="F7542" s="490">
        <v>15147</v>
      </c>
      <c r="G7542" s="489">
        <v>414.99</v>
      </c>
      <c r="H7542" s="489">
        <v>36.499670000000002</v>
      </c>
      <c r="I7542" s="487" t="s">
        <v>1499</v>
      </c>
      <c r="J7542" s="487" t="s">
        <v>420</v>
      </c>
    </row>
    <row r="7543" spans="1:10" ht="15" x14ac:dyDescent="0.2">
      <c r="A7543" s="486" t="s">
        <v>419</v>
      </c>
      <c r="B7543" s="487" t="s">
        <v>418</v>
      </c>
      <c r="C7543" s="488" t="s">
        <v>23702</v>
      </c>
      <c r="D7543" s="489" t="s">
        <v>23703</v>
      </c>
      <c r="E7543" s="487" t="s">
        <v>23704</v>
      </c>
      <c r="F7543" s="490">
        <v>0</v>
      </c>
      <c r="G7543" s="489">
        <v>18.72</v>
      </c>
      <c r="H7543" s="489">
        <v>0</v>
      </c>
      <c r="I7543" s="487" t="s">
        <v>1593</v>
      </c>
      <c r="J7543" s="487" t="s">
        <v>420</v>
      </c>
    </row>
    <row r="7544" spans="1:10" ht="15" x14ac:dyDescent="0.2">
      <c r="A7544" s="486" t="s">
        <v>419</v>
      </c>
      <c r="B7544" s="487" t="s">
        <v>418</v>
      </c>
      <c r="C7544" s="488" t="s">
        <v>23705</v>
      </c>
      <c r="D7544" s="489" t="s">
        <v>23706</v>
      </c>
      <c r="E7544" s="487" t="s">
        <v>23707</v>
      </c>
      <c r="F7544" s="490">
        <v>8637</v>
      </c>
      <c r="G7544" s="489">
        <v>128.25</v>
      </c>
      <c r="H7544" s="489">
        <v>67.345029999999994</v>
      </c>
      <c r="I7544" s="487" t="s">
        <v>1499</v>
      </c>
      <c r="J7544" s="487" t="s">
        <v>420</v>
      </c>
    </row>
    <row r="7545" spans="1:10" ht="15" x14ac:dyDescent="0.2">
      <c r="A7545" s="486" t="s">
        <v>419</v>
      </c>
      <c r="B7545" s="487" t="s">
        <v>418</v>
      </c>
      <c r="C7545" s="488" t="s">
        <v>23708</v>
      </c>
      <c r="D7545" s="489" t="s">
        <v>23709</v>
      </c>
      <c r="E7545" s="487" t="s">
        <v>23710</v>
      </c>
      <c r="F7545" s="490">
        <v>30781</v>
      </c>
      <c r="G7545" s="489">
        <v>684.9</v>
      </c>
      <c r="H7545" s="489">
        <v>44.942329999999998</v>
      </c>
      <c r="I7545" s="487" t="s">
        <v>1499</v>
      </c>
      <c r="J7545" s="487" t="s">
        <v>420</v>
      </c>
    </row>
    <row r="7546" spans="1:10" ht="15" x14ac:dyDescent="0.2">
      <c r="A7546" s="486" t="s">
        <v>419</v>
      </c>
      <c r="B7546" s="487" t="s">
        <v>418</v>
      </c>
      <c r="C7546" s="488" t="s">
        <v>23711</v>
      </c>
      <c r="D7546" s="489" t="s">
        <v>23712</v>
      </c>
      <c r="E7546" s="487" t="s">
        <v>23713</v>
      </c>
      <c r="F7546" s="490">
        <v>20549</v>
      </c>
      <c r="G7546" s="489">
        <v>205.02</v>
      </c>
      <c r="H7546" s="489">
        <v>100.22924999999999</v>
      </c>
      <c r="I7546" s="487" t="s">
        <v>1499</v>
      </c>
      <c r="J7546" s="487" t="s">
        <v>420</v>
      </c>
    </row>
    <row r="7547" spans="1:10" ht="15" x14ac:dyDescent="0.2">
      <c r="A7547" s="486" t="s">
        <v>419</v>
      </c>
      <c r="B7547" s="487" t="s">
        <v>418</v>
      </c>
      <c r="C7547" s="488" t="s">
        <v>23714</v>
      </c>
      <c r="D7547" s="489" t="s">
        <v>23715</v>
      </c>
      <c r="E7547" s="487" t="s">
        <v>23716</v>
      </c>
      <c r="F7547" s="490">
        <v>21218</v>
      </c>
      <c r="G7547" s="489">
        <v>207.81</v>
      </c>
      <c r="H7547" s="489">
        <v>102.10288</v>
      </c>
      <c r="I7547" s="487" t="s">
        <v>1499</v>
      </c>
      <c r="J7547" s="487" t="s">
        <v>420</v>
      </c>
    </row>
    <row r="7548" spans="1:10" ht="15" x14ac:dyDescent="0.2">
      <c r="A7548" s="486" t="s">
        <v>419</v>
      </c>
      <c r="B7548" s="487" t="s">
        <v>418</v>
      </c>
      <c r="C7548" s="488" t="s">
        <v>23717</v>
      </c>
      <c r="D7548" s="489" t="s">
        <v>23718</v>
      </c>
      <c r="E7548" s="487" t="s">
        <v>23719</v>
      </c>
      <c r="F7548" s="490">
        <v>16317</v>
      </c>
      <c r="G7548" s="489">
        <v>308.79000000000002</v>
      </c>
      <c r="H7548" s="489">
        <v>52.841740000000001</v>
      </c>
      <c r="I7548" s="487" t="s">
        <v>1499</v>
      </c>
      <c r="J7548" s="487" t="s">
        <v>420</v>
      </c>
    </row>
    <row r="7549" spans="1:10" ht="15" x14ac:dyDescent="0.2">
      <c r="A7549" s="486" t="s">
        <v>419</v>
      </c>
      <c r="B7549" s="487" t="s">
        <v>418</v>
      </c>
      <c r="C7549" s="488" t="s">
        <v>23720</v>
      </c>
      <c r="D7549" s="489" t="s">
        <v>23721</v>
      </c>
      <c r="E7549" s="487" t="s">
        <v>1263</v>
      </c>
      <c r="F7549" s="490">
        <v>19562</v>
      </c>
      <c r="G7549" s="489">
        <v>311.39999999999998</v>
      </c>
      <c r="H7549" s="489">
        <v>62.819519999999997</v>
      </c>
      <c r="I7549" s="487" t="s">
        <v>1499</v>
      </c>
      <c r="J7549" s="487" t="s">
        <v>420</v>
      </c>
    </row>
    <row r="7550" spans="1:10" ht="15" x14ac:dyDescent="0.2">
      <c r="A7550" s="486" t="s">
        <v>419</v>
      </c>
      <c r="B7550" s="487" t="s">
        <v>418</v>
      </c>
      <c r="C7550" s="488" t="s">
        <v>23722</v>
      </c>
      <c r="D7550" s="489" t="s">
        <v>23723</v>
      </c>
      <c r="E7550" s="487" t="s">
        <v>23724</v>
      </c>
      <c r="F7550" s="490">
        <v>17443</v>
      </c>
      <c r="G7550" s="489">
        <v>95.76</v>
      </c>
      <c r="H7550" s="489">
        <v>182.1533</v>
      </c>
      <c r="I7550" s="487" t="s">
        <v>1499</v>
      </c>
      <c r="J7550" s="487" t="s">
        <v>420</v>
      </c>
    </row>
    <row r="7551" spans="1:10" ht="15" x14ac:dyDescent="0.2">
      <c r="A7551" s="486" t="s">
        <v>419</v>
      </c>
      <c r="B7551" s="487" t="s">
        <v>418</v>
      </c>
      <c r="C7551" s="488" t="s">
        <v>23725</v>
      </c>
      <c r="D7551" s="489" t="s">
        <v>23726</v>
      </c>
      <c r="E7551" s="487" t="s">
        <v>23727</v>
      </c>
      <c r="F7551" s="490">
        <v>11016</v>
      </c>
      <c r="G7551" s="489">
        <v>128.69999999999999</v>
      </c>
      <c r="H7551" s="489">
        <v>85.594409999999996</v>
      </c>
      <c r="I7551" s="487" t="s">
        <v>1499</v>
      </c>
      <c r="J7551" s="487" t="s">
        <v>420</v>
      </c>
    </row>
    <row r="7552" spans="1:10" ht="15" x14ac:dyDescent="0.2">
      <c r="A7552" s="486" t="s">
        <v>419</v>
      </c>
      <c r="B7552" s="487" t="s">
        <v>418</v>
      </c>
      <c r="C7552" s="488" t="s">
        <v>23728</v>
      </c>
      <c r="D7552" s="489" t="s">
        <v>23729</v>
      </c>
      <c r="E7552" s="487" t="s">
        <v>23730</v>
      </c>
      <c r="F7552" s="490">
        <v>160582</v>
      </c>
      <c r="G7552" s="489">
        <v>855.54</v>
      </c>
      <c r="H7552" s="489">
        <v>187.69666000000001</v>
      </c>
      <c r="I7552" s="487" t="s">
        <v>1499</v>
      </c>
      <c r="J7552" s="487" t="s">
        <v>420</v>
      </c>
    </row>
    <row r="7553" spans="1:10" ht="15" x14ac:dyDescent="0.2">
      <c r="A7553" s="486" t="s">
        <v>419</v>
      </c>
      <c r="B7553" s="487" t="s">
        <v>418</v>
      </c>
      <c r="C7553" s="488" t="s">
        <v>23731</v>
      </c>
      <c r="D7553" s="489" t="s">
        <v>23732</v>
      </c>
      <c r="E7553" s="487" t="s">
        <v>23733</v>
      </c>
      <c r="F7553" s="490">
        <v>39846</v>
      </c>
      <c r="G7553" s="489">
        <v>384.75</v>
      </c>
      <c r="H7553" s="489">
        <v>103.56335</v>
      </c>
      <c r="I7553" s="487" t="s">
        <v>1499</v>
      </c>
      <c r="J7553" s="487" t="s">
        <v>420</v>
      </c>
    </row>
    <row r="7554" spans="1:10" ht="15" x14ac:dyDescent="0.2">
      <c r="A7554" s="486" t="s">
        <v>419</v>
      </c>
      <c r="B7554" s="487" t="s">
        <v>418</v>
      </c>
      <c r="C7554" s="488" t="s">
        <v>23734</v>
      </c>
      <c r="D7554" s="489" t="s">
        <v>23735</v>
      </c>
      <c r="E7554" s="487" t="s">
        <v>23736</v>
      </c>
      <c r="F7554" s="490">
        <v>0</v>
      </c>
      <c r="G7554" s="489">
        <v>14.94</v>
      </c>
      <c r="H7554" s="489">
        <v>0</v>
      </c>
      <c r="I7554" s="487" t="s">
        <v>1593</v>
      </c>
      <c r="J7554" s="487" t="s">
        <v>420</v>
      </c>
    </row>
    <row r="7555" spans="1:10" ht="15" x14ac:dyDescent="0.2">
      <c r="A7555" s="486" t="s">
        <v>419</v>
      </c>
      <c r="B7555" s="487" t="s">
        <v>418</v>
      </c>
      <c r="C7555" s="488" t="s">
        <v>23737</v>
      </c>
      <c r="D7555" s="489" t="s">
        <v>23738</v>
      </c>
      <c r="E7555" s="487" t="s">
        <v>23739</v>
      </c>
      <c r="F7555" s="490">
        <v>0</v>
      </c>
      <c r="G7555" s="489">
        <v>5.76</v>
      </c>
      <c r="H7555" s="489">
        <v>0</v>
      </c>
      <c r="I7555" s="487" t="s">
        <v>1593</v>
      </c>
      <c r="J7555" s="487" t="s">
        <v>420</v>
      </c>
    </row>
    <row r="7556" spans="1:10" ht="15" x14ac:dyDescent="0.2">
      <c r="A7556" s="486" t="s">
        <v>419</v>
      </c>
      <c r="B7556" s="487" t="s">
        <v>418</v>
      </c>
      <c r="C7556" s="488" t="s">
        <v>23740</v>
      </c>
      <c r="D7556" s="489" t="s">
        <v>23741</v>
      </c>
      <c r="E7556" s="487" t="s">
        <v>23742</v>
      </c>
      <c r="F7556" s="490">
        <v>17895</v>
      </c>
      <c r="G7556" s="489">
        <v>125.55</v>
      </c>
      <c r="H7556" s="489">
        <v>142.53286</v>
      </c>
      <c r="I7556" s="487" t="s">
        <v>1499</v>
      </c>
      <c r="J7556" s="487" t="s">
        <v>420</v>
      </c>
    </row>
    <row r="7557" spans="1:10" ht="15" x14ac:dyDescent="0.2">
      <c r="A7557" s="486" t="s">
        <v>419</v>
      </c>
      <c r="B7557" s="487" t="s">
        <v>418</v>
      </c>
      <c r="C7557" s="488" t="s">
        <v>23743</v>
      </c>
      <c r="D7557" s="489" t="s">
        <v>23744</v>
      </c>
      <c r="E7557" s="487" t="s">
        <v>23745</v>
      </c>
      <c r="F7557" s="490">
        <v>347</v>
      </c>
      <c r="G7557" s="489">
        <v>47.79</v>
      </c>
      <c r="H7557" s="489">
        <v>7.2609300000000001</v>
      </c>
      <c r="I7557" s="487" t="s">
        <v>1499</v>
      </c>
      <c r="J7557" s="487" t="s">
        <v>420</v>
      </c>
    </row>
    <row r="7558" spans="1:10" ht="15" x14ac:dyDescent="0.2">
      <c r="A7558" s="486" t="s">
        <v>419</v>
      </c>
      <c r="B7558" s="487" t="s">
        <v>418</v>
      </c>
      <c r="C7558" s="488" t="s">
        <v>23746</v>
      </c>
      <c r="D7558" s="489" t="s">
        <v>23747</v>
      </c>
      <c r="E7558" s="487" t="s">
        <v>23748</v>
      </c>
      <c r="F7558" s="490">
        <v>8400</v>
      </c>
      <c r="G7558" s="489">
        <v>100.62</v>
      </c>
      <c r="H7558" s="489">
        <v>83.482410000000002</v>
      </c>
      <c r="I7558" s="487" t="s">
        <v>1499</v>
      </c>
      <c r="J7558" s="487" t="s">
        <v>420</v>
      </c>
    </row>
    <row r="7559" spans="1:10" ht="15" x14ac:dyDescent="0.2">
      <c r="A7559" s="486" t="s">
        <v>419</v>
      </c>
      <c r="B7559" s="487" t="s">
        <v>418</v>
      </c>
      <c r="C7559" s="488" t="s">
        <v>23749</v>
      </c>
      <c r="D7559" s="489" t="s">
        <v>23750</v>
      </c>
      <c r="E7559" s="487" t="s">
        <v>23751</v>
      </c>
      <c r="F7559" s="490">
        <v>14954</v>
      </c>
      <c r="G7559" s="489">
        <v>7668.72</v>
      </c>
      <c r="H7559" s="489">
        <v>1.95</v>
      </c>
      <c r="I7559" s="487" t="s">
        <v>1654</v>
      </c>
      <c r="J7559" s="487" t="s">
        <v>420</v>
      </c>
    </row>
    <row r="7560" spans="1:10" ht="15" x14ac:dyDescent="0.2">
      <c r="A7560" s="486" t="s">
        <v>419</v>
      </c>
      <c r="B7560" s="487" t="s">
        <v>418</v>
      </c>
      <c r="C7560" s="488" t="s">
        <v>23752</v>
      </c>
      <c r="D7560" s="489" t="s">
        <v>23753</v>
      </c>
      <c r="E7560" s="487" t="s">
        <v>23754</v>
      </c>
      <c r="F7560" s="490">
        <v>64779</v>
      </c>
      <c r="G7560" s="489">
        <v>12920.67</v>
      </c>
      <c r="H7560" s="489">
        <v>5.0135899999999998</v>
      </c>
      <c r="I7560" s="487" t="s">
        <v>1654</v>
      </c>
      <c r="J7560" s="487" t="s">
        <v>420</v>
      </c>
    </row>
    <row r="7561" spans="1:10" ht="15" x14ac:dyDescent="0.2">
      <c r="A7561" s="486" t="s">
        <v>419</v>
      </c>
      <c r="B7561" s="487" t="s">
        <v>418</v>
      </c>
      <c r="C7561" s="488" t="s">
        <v>23755</v>
      </c>
      <c r="D7561" s="489" t="s">
        <v>23756</v>
      </c>
      <c r="E7561" s="487" t="s">
        <v>23757</v>
      </c>
      <c r="F7561" s="490">
        <v>15538</v>
      </c>
      <c r="G7561" s="489">
        <v>293.31</v>
      </c>
      <c r="H7561" s="489">
        <v>52.974670000000003</v>
      </c>
      <c r="I7561" s="487" t="s">
        <v>1499</v>
      </c>
      <c r="J7561" s="487" t="s">
        <v>420</v>
      </c>
    </row>
    <row r="7562" spans="1:10" ht="15" x14ac:dyDescent="0.2">
      <c r="A7562" s="486" t="s">
        <v>562</v>
      </c>
      <c r="B7562" s="487" t="s">
        <v>561</v>
      </c>
      <c r="C7562" s="488" t="s">
        <v>23758</v>
      </c>
      <c r="D7562" s="489" t="s">
        <v>23759</v>
      </c>
      <c r="E7562" s="487" t="s">
        <v>23760</v>
      </c>
      <c r="F7562" s="490">
        <v>92299</v>
      </c>
      <c r="G7562" s="489">
        <v>607.4</v>
      </c>
      <c r="H7562" s="489">
        <v>151.95751999999999</v>
      </c>
      <c r="I7562" s="487" t="s">
        <v>1499</v>
      </c>
      <c r="J7562" s="487" t="s">
        <v>563</v>
      </c>
    </row>
    <row r="7563" spans="1:10" ht="15" x14ac:dyDescent="0.2">
      <c r="A7563" s="486" t="s">
        <v>562</v>
      </c>
      <c r="B7563" s="487" t="s">
        <v>561</v>
      </c>
      <c r="C7563" s="488" t="s">
        <v>23761</v>
      </c>
      <c r="D7563" s="489" t="s">
        <v>23762</v>
      </c>
      <c r="E7563" s="487" t="s">
        <v>23763</v>
      </c>
      <c r="F7563" s="490">
        <v>93984</v>
      </c>
      <c r="G7563" s="489">
        <v>773.41</v>
      </c>
      <c r="H7563" s="489">
        <v>121.51899</v>
      </c>
      <c r="I7563" s="487" t="s">
        <v>1499</v>
      </c>
      <c r="J7563" s="487" t="s">
        <v>563</v>
      </c>
    </row>
    <row r="7564" spans="1:10" ht="15" x14ac:dyDescent="0.2">
      <c r="A7564" s="486" t="s">
        <v>562</v>
      </c>
      <c r="B7564" s="487" t="s">
        <v>561</v>
      </c>
      <c r="C7564" s="488" t="s">
        <v>23764</v>
      </c>
      <c r="D7564" s="489" t="s">
        <v>23765</v>
      </c>
      <c r="E7564" s="487" t="s">
        <v>23766</v>
      </c>
      <c r="F7564" s="490">
        <v>14385</v>
      </c>
      <c r="G7564" s="489">
        <v>246.43</v>
      </c>
      <c r="H7564" s="489">
        <v>58.373570000000001</v>
      </c>
      <c r="I7564" s="487" t="s">
        <v>1499</v>
      </c>
      <c r="J7564" s="487" t="s">
        <v>563</v>
      </c>
    </row>
    <row r="7565" spans="1:10" ht="15" x14ac:dyDescent="0.2">
      <c r="A7565" s="486" t="s">
        <v>562</v>
      </c>
      <c r="B7565" s="487" t="s">
        <v>561</v>
      </c>
      <c r="C7565" s="488" t="s">
        <v>23767</v>
      </c>
      <c r="D7565" s="489" t="s">
        <v>23768</v>
      </c>
      <c r="E7565" s="487" t="s">
        <v>23769</v>
      </c>
      <c r="F7565" s="490">
        <v>212000</v>
      </c>
      <c r="G7565" s="489">
        <v>3088.63</v>
      </c>
      <c r="H7565" s="489">
        <v>68.638850000000005</v>
      </c>
      <c r="I7565" s="487" t="s">
        <v>1499</v>
      </c>
      <c r="J7565" s="487" t="s">
        <v>563</v>
      </c>
    </row>
    <row r="7566" spans="1:10" ht="15" x14ac:dyDescent="0.2">
      <c r="A7566" s="486" t="s">
        <v>562</v>
      </c>
      <c r="B7566" s="487" t="s">
        <v>561</v>
      </c>
      <c r="C7566" s="488" t="s">
        <v>23770</v>
      </c>
      <c r="D7566" s="489" t="s">
        <v>23771</v>
      </c>
      <c r="E7566" s="487" t="s">
        <v>23772</v>
      </c>
      <c r="F7566" s="490">
        <v>228978</v>
      </c>
      <c r="G7566" s="489">
        <v>3756.84</v>
      </c>
      <c r="H7566" s="489">
        <v>60.949629999999999</v>
      </c>
      <c r="I7566" s="487" t="s">
        <v>1499</v>
      </c>
      <c r="J7566" s="487" t="s">
        <v>563</v>
      </c>
    </row>
    <row r="7567" spans="1:10" ht="15" x14ac:dyDescent="0.2">
      <c r="A7567" s="486" t="s">
        <v>562</v>
      </c>
      <c r="B7567" s="487" t="s">
        <v>561</v>
      </c>
      <c r="C7567" s="488" t="s">
        <v>23773</v>
      </c>
      <c r="D7567" s="489" t="s">
        <v>23774</v>
      </c>
      <c r="E7567" s="487" t="s">
        <v>20142</v>
      </c>
      <c r="F7567" s="490">
        <v>146995</v>
      </c>
      <c r="G7567" s="489">
        <v>1898.97</v>
      </c>
      <c r="H7567" s="489">
        <v>77.407749999999993</v>
      </c>
      <c r="I7567" s="487" t="s">
        <v>1499</v>
      </c>
      <c r="J7567" s="487" t="s">
        <v>563</v>
      </c>
    </row>
    <row r="7568" spans="1:10" ht="15" x14ac:dyDescent="0.2">
      <c r="A7568" s="486" t="s">
        <v>562</v>
      </c>
      <c r="B7568" s="487" t="s">
        <v>561</v>
      </c>
      <c r="C7568" s="488" t="s">
        <v>23775</v>
      </c>
      <c r="D7568" s="489" t="s">
        <v>23776</v>
      </c>
      <c r="E7568" s="487" t="s">
        <v>23777</v>
      </c>
      <c r="F7568" s="490">
        <v>123191</v>
      </c>
      <c r="G7568" s="489">
        <v>2258.62</v>
      </c>
      <c r="H7568" s="489">
        <v>54.5426</v>
      </c>
      <c r="I7568" s="487" t="s">
        <v>1499</v>
      </c>
      <c r="J7568" s="487" t="s">
        <v>563</v>
      </c>
    </row>
    <row r="7569" spans="1:10" ht="15" x14ac:dyDescent="0.2">
      <c r="A7569" s="486" t="s">
        <v>562</v>
      </c>
      <c r="B7569" s="487" t="s">
        <v>561</v>
      </c>
      <c r="C7569" s="488" t="s">
        <v>23778</v>
      </c>
      <c r="D7569" s="489" t="s">
        <v>23779</v>
      </c>
      <c r="E7569" s="487" t="s">
        <v>3752</v>
      </c>
      <c r="F7569" s="490">
        <v>232438</v>
      </c>
      <c r="G7569" s="489">
        <v>4274.82</v>
      </c>
      <c r="H7569" s="489">
        <v>54.373750000000001</v>
      </c>
      <c r="I7569" s="487" t="s">
        <v>1499</v>
      </c>
      <c r="J7569" s="487" t="s">
        <v>563</v>
      </c>
    </row>
    <row r="7570" spans="1:10" ht="15" x14ac:dyDescent="0.2">
      <c r="A7570" s="486" t="s">
        <v>562</v>
      </c>
      <c r="B7570" s="487" t="s">
        <v>561</v>
      </c>
      <c r="C7570" s="488" t="s">
        <v>23780</v>
      </c>
      <c r="D7570" s="489" t="s">
        <v>23781</v>
      </c>
      <c r="E7570" s="487" t="s">
        <v>23782</v>
      </c>
      <c r="F7570" s="490">
        <v>0</v>
      </c>
      <c r="G7570" s="489">
        <v>175.3</v>
      </c>
      <c r="H7570" s="489">
        <v>0</v>
      </c>
      <c r="I7570" s="487" t="s">
        <v>1593</v>
      </c>
      <c r="J7570" s="487" t="s">
        <v>563</v>
      </c>
    </row>
    <row r="7571" spans="1:10" ht="15" x14ac:dyDescent="0.2">
      <c r="A7571" s="486" t="s">
        <v>562</v>
      </c>
      <c r="B7571" s="487" t="s">
        <v>561</v>
      </c>
      <c r="C7571" s="488" t="s">
        <v>23783</v>
      </c>
      <c r="D7571" s="489" t="s">
        <v>23784</v>
      </c>
      <c r="E7571" s="487" t="s">
        <v>23785</v>
      </c>
      <c r="F7571" s="490">
        <v>89500</v>
      </c>
      <c r="G7571" s="489">
        <v>842.43</v>
      </c>
      <c r="H7571" s="489">
        <v>106.24028</v>
      </c>
      <c r="I7571" s="487" t="s">
        <v>1499</v>
      </c>
      <c r="J7571" s="487" t="s">
        <v>563</v>
      </c>
    </row>
    <row r="7572" spans="1:10" ht="15" x14ac:dyDescent="0.2">
      <c r="A7572" s="486" t="s">
        <v>808</v>
      </c>
      <c r="B7572" s="487" t="s">
        <v>807</v>
      </c>
      <c r="C7572" s="488" t="s">
        <v>23786</v>
      </c>
      <c r="D7572" s="489" t="s">
        <v>23787</v>
      </c>
      <c r="E7572" s="487" t="s">
        <v>23788</v>
      </c>
      <c r="F7572" s="490">
        <v>20000</v>
      </c>
      <c r="G7572" s="489">
        <v>732.75</v>
      </c>
      <c r="H7572" s="489">
        <v>27.294440000000002</v>
      </c>
      <c r="I7572" s="487" t="s">
        <v>1499</v>
      </c>
      <c r="J7572" s="487" t="s">
        <v>809</v>
      </c>
    </row>
    <row r="7573" spans="1:10" ht="15" x14ac:dyDescent="0.2">
      <c r="A7573" s="486" t="s">
        <v>808</v>
      </c>
      <c r="B7573" s="487" t="s">
        <v>807</v>
      </c>
      <c r="C7573" s="488" t="s">
        <v>23789</v>
      </c>
      <c r="D7573" s="489" t="s">
        <v>23790</v>
      </c>
      <c r="E7573" s="487" t="s">
        <v>23791</v>
      </c>
      <c r="F7573" s="490">
        <v>247799</v>
      </c>
      <c r="G7573" s="489">
        <v>1564.06</v>
      </c>
      <c r="H7573" s="489">
        <v>158.43317999999999</v>
      </c>
      <c r="I7573" s="487" t="s">
        <v>1499</v>
      </c>
      <c r="J7573" s="487" t="s">
        <v>809</v>
      </c>
    </row>
    <row r="7574" spans="1:10" ht="15" x14ac:dyDescent="0.2">
      <c r="A7574" s="486" t="s">
        <v>808</v>
      </c>
      <c r="B7574" s="487" t="s">
        <v>807</v>
      </c>
      <c r="C7574" s="488" t="s">
        <v>23792</v>
      </c>
      <c r="D7574" s="489" t="s">
        <v>23793</v>
      </c>
      <c r="E7574" s="487" t="s">
        <v>2630</v>
      </c>
      <c r="F7574" s="490">
        <v>294634</v>
      </c>
      <c r="G7574" s="489">
        <v>2555.11</v>
      </c>
      <c r="H7574" s="489">
        <v>115.31167000000001</v>
      </c>
      <c r="I7574" s="487" t="s">
        <v>1499</v>
      </c>
      <c r="J7574" s="487" t="s">
        <v>809</v>
      </c>
    </row>
    <row r="7575" spans="1:10" ht="15" x14ac:dyDescent="0.2">
      <c r="A7575" s="486" t="s">
        <v>808</v>
      </c>
      <c r="B7575" s="487" t="s">
        <v>807</v>
      </c>
      <c r="C7575" s="488" t="s">
        <v>23794</v>
      </c>
      <c r="D7575" s="489" t="s">
        <v>23795</v>
      </c>
      <c r="E7575" s="487" t="s">
        <v>23796</v>
      </c>
      <c r="F7575" s="490">
        <v>30700</v>
      </c>
      <c r="G7575" s="489">
        <v>897.78</v>
      </c>
      <c r="H7575" s="489">
        <v>34.195459999999997</v>
      </c>
      <c r="I7575" s="487" t="s">
        <v>1499</v>
      </c>
      <c r="J7575" s="487" t="s">
        <v>809</v>
      </c>
    </row>
    <row r="7576" spans="1:10" ht="15" x14ac:dyDescent="0.2">
      <c r="A7576" s="486" t="s">
        <v>808</v>
      </c>
      <c r="B7576" s="487" t="s">
        <v>807</v>
      </c>
      <c r="C7576" s="488" t="s">
        <v>23797</v>
      </c>
      <c r="D7576" s="489" t="s">
        <v>23798</v>
      </c>
      <c r="E7576" s="487" t="s">
        <v>23799</v>
      </c>
      <c r="F7576" s="490">
        <v>25151</v>
      </c>
      <c r="G7576" s="489">
        <v>505.61</v>
      </c>
      <c r="H7576" s="489">
        <v>49.743870000000001</v>
      </c>
      <c r="I7576" s="487" t="s">
        <v>1499</v>
      </c>
      <c r="J7576" s="487" t="s">
        <v>809</v>
      </c>
    </row>
    <row r="7577" spans="1:10" ht="15" x14ac:dyDescent="0.2">
      <c r="A7577" s="486" t="s">
        <v>808</v>
      </c>
      <c r="B7577" s="487" t="s">
        <v>807</v>
      </c>
      <c r="C7577" s="488" t="s">
        <v>23800</v>
      </c>
      <c r="D7577" s="489" t="s">
        <v>23801</v>
      </c>
      <c r="E7577" s="487" t="s">
        <v>23802</v>
      </c>
      <c r="F7577" s="490">
        <v>29532</v>
      </c>
      <c r="G7577" s="489">
        <v>403.53</v>
      </c>
      <c r="H7577" s="489">
        <v>73.184150000000002</v>
      </c>
      <c r="I7577" s="487" t="s">
        <v>1499</v>
      </c>
      <c r="J7577" s="487" t="s">
        <v>809</v>
      </c>
    </row>
    <row r="7578" spans="1:10" ht="15" x14ac:dyDescent="0.2">
      <c r="A7578" s="486" t="s">
        <v>808</v>
      </c>
      <c r="B7578" s="487" t="s">
        <v>807</v>
      </c>
      <c r="C7578" s="488" t="s">
        <v>23803</v>
      </c>
      <c r="D7578" s="489" t="s">
        <v>23804</v>
      </c>
      <c r="E7578" s="487" t="s">
        <v>23805</v>
      </c>
      <c r="F7578" s="490">
        <v>22449</v>
      </c>
      <c r="G7578" s="489">
        <v>368.36</v>
      </c>
      <c r="H7578" s="489">
        <v>60.943100000000001</v>
      </c>
      <c r="I7578" s="487" t="s">
        <v>1499</v>
      </c>
      <c r="J7578" s="487" t="s">
        <v>809</v>
      </c>
    </row>
    <row r="7579" spans="1:10" ht="15" x14ac:dyDescent="0.2">
      <c r="A7579" s="486" t="s">
        <v>808</v>
      </c>
      <c r="B7579" s="487" t="s">
        <v>807</v>
      </c>
      <c r="C7579" s="488" t="s">
        <v>23806</v>
      </c>
      <c r="D7579" s="489" t="s">
        <v>23807</v>
      </c>
      <c r="E7579" s="487" t="s">
        <v>23808</v>
      </c>
      <c r="F7579" s="490">
        <v>23288</v>
      </c>
      <c r="G7579" s="489">
        <v>271.19</v>
      </c>
      <c r="H7579" s="489">
        <v>85.873369999999994</v>
      </c>
      <c r="I7579" s="487" t="s">
        <v>1499</v>
      </c>
      <c r="J7579" s="487" t="s">
        <v>809</v>
      </c>
    </row>
    <row r="7580" spans="1:10" ht="15" x14ac:dyDescent="0.2">
      <c r="A7580" s="486" t="s">
        <v>808</v>
      </c>
      <c r="B7580" s="487" t="s">
        <v>807</v>
      </c>
      <c r="C7580" s="488" t="s">
        <v>23809</v>
      </c>
      <c r="D7580" s="489" t="s">
        <v>23810</v>
      </c>
      <c r="E7580" s="487" t="s">
        <v>23811</v>
      </c>
      <c r="F7580" s="490">
        <v>170055</v>
      </c>
      <c r="G7580" s="489">
        <v>2805.64</v>
      </c>
      <c r="H7580" s="489">
        <v>60.611840000000001</v>
      </c>
      <c r="I7580" s="487" t="s">
        <v>1499</v>
      </c>
      <c r="J7580" s="487" t="s">
        <v>809</v>
      </c>
    </row>
    <row r="7581" spans="1:10" ht="15" x14ac:dyDescent="0.2">
      <c r="A7581" s="486" t="s">
        <v>808</v>
      </c>
      <c r="B7581" s="487" t="s">
        <v>807</v>
      </c>
      <c r="C7581" s="488" t="s">
        <v>23812</v>
      </c>
      <c r="D7581" s="489" t="s">
        <v>23813</v>
      </c>
      <c r="E7581" s="487" t="s">
        <v>1227</v>
      </c>
      <c r="F7581" s="490">
        <v>28720</v>
      </c>
      <c r="G7581" s="489">
        <v>945.66</v>
      </c>
      <c r="H7581" s="489">
        <v>30.37032</v>
      </c>
      <c r="I7581" s="487" t="s">
        <v>1499</v>
      </c>
      <c r="J7581" s="487" t="s">
        <v>809</v>
      </c>
    </row>
    <row r="7582" spans="1:10" ht="15" x14ac:dyDescent="0.2">
      <c r="A7582" s="486" t="s">
        <v>808</v>
      </c>
      <c r="B7582" s="487" t="s">
        <v>807</v>
      </c>
      <c r="C7582" s="488" t="s">
        <v>23814</v>
      </c>
      <c r="D7582" s="489" t="s">
        <v>23815</v>
      </c>
      <c r="E7582" s="487" t="s">
        <v>23816</v>
      </c>
      <c r="F7582" s="490">
        <v>86585</v>
      </c>
      <c r="G7582" s="489">
        <v>935.89</v>
      </c>
      <c r="H7582" s="489">
        <v>92.516210000000001</v>
      </c>
      <c r="I7582" s="487" t="s">
        <v>1499</v>
      </c>
      <c r="J7582" s="487" t="s">
        <v>809</v>
      </c>
    </row>
    <row r="7583" spans="1:10" ht="15" x14ac:dyDescent="0.2">
      <c r="A7583" s="486" t="s">
        <v>808</v>
      </c>
      <c r="B7583" s="487" t="s">
        <v>807</v>
      </c>
      <c r="C7583" s="488" t="s">
        <v>23817</v>
      </c>
      <c r="D7583" s="489" t="s">
        <v>23818</v>
      </c>
      <c r="E7583" s="487" t="s">
        <v>23819</v>
      </c>
      <c r="F7583" s="490">
        <v>2500</v>
      </c>
      <c r="G7583" s="489">
        <v>463.75</v>
      </c>
      <c r="H7583" s="489">
        <v>5.3908399999999999</v>
      </c>
      <c r="I7583" s="487" t="s">
        <v>1499</v>
      </c>
      <c r="J7583" s="487" t="s">
        <v>809</v>
      </c>
    </row>
    <row r="7584" spans="1:10" ht="15" x14ac:dyDescent="0.2">
      <c r="A7584" s="486" t="s">
        <v>974</v>
      </c>
      <c r="B7584" s="487" t="s">
        <v>973</v>
      </c>
      <c r="C7584" s="488" t="s">
        <v>23820</v>
      </c>
      <c r="D7584" s="489" t="s">
        <v>23821</v>
      </c>
      <c r="E7584" s="487" t="s">
        <v>23822</v>
      </c>
      <c r="F7584" s="490">
        <v>125593</v>
      </c>
      <c r="G7584" s="489">
        <v>3199</v>
      </c>
      <c r="H7584" s="489">
        <v>39.260080000000002</v>
      </c>
      <c r="I7584" s="487" t="s">
        <v>1499</v>
      </c>
      <c r="J7584" s="487" t="s">
        <v>975</v>
      </c>
    </row>
    <row r="7585" spans="1:10" ht="15" x14ac:dyDescent="0.2">
      <c r="A7585" s="486" t="s">
        <v>974</v>
      </c>
      <c r="B7585" s="487" t="s">
        <v>973</v>
      </c>
      <c r="C7585" s="488" t="s">
        <v>23823</v>
      </c>
      <c r="D7585" s="489" t="s">
        <v>23824</v>
      </c>
      <c r="E7585" s="487" t="s">
        <v>23825</v>
      </c>
      <c r="F7585" s="490">
        <v>0</v>
      </c>
      <c r="G7585" s="489">
        <v>16108</v>
      </c>
      <c r="H7585" s="489">
        <v>0</v>
      </c>
      <c r="I7585" s="487" t="s">
        <v>1654</v>
      </c>
      <c r="J7585" s="487" t="s">
        <v>975</v>
      </c>
    </row>
    <row r="7586" spans="1:10" ht="15" x14ac:dyDescent="0.2">
      <c r="A7586" s="486" t="s">
        <v>1007</v>
      </c>
      <c r="B7586" s="487" t="s">
        <v>1006</v>
      </c>
      <c r="C7586" s="488" t="s">
        <v>23826</v>
      </c>
      <c r="D7586" s="489" t="s">
        <v>23827</v>
      </c>
      <c r="E7586" s="487" t="s">
        <v>23828</v>
      </c>
      <c r="F7586" s="490">
        <v>0</v>
      </c>
      <c r="G7586" s="489">
        <v>26.82</v>
      </c>
      <c r="H7586" s="489">
        <v>0</v>
      </c>
      <c r="I7586" s="487" t="s">
        <v>1593</v>
      </c>
      <c r="J7586" s="487" t="s">
        <v>1008</v>
      </c>
    </row>
    <row r="7587" spans="1:10" ht="15" x14ac:dyDescent="0.2">
      <c r="A7587" s="486" t="s">
        <v>1007</v>
      </c>
      <c r="B7587" s="487" t="s">
        <v>1006</v>
      </c>
      <c r="C7587" s="488" t="s">
        <v>23829</v>
      </c>
      <c r="D7587" s="489" t="s">
        <v>23830</v>
      </c>
      <c r="E7587" s="487" t="s">
        <v>23831</v>
      </c>
      <c r="F7587" s="490">
        <v>5330</v>
      </c>
      <c r="G7587" s="489">
        <v>253.53</v>
      </c>
      <c r="H7587" s="489">
        <v>21.023150000000001</v>
      </c>
      <c r="I7587" s="487" t="s">
        <v>2465</v>
      </c>
      <c r="J7587" s="487" t="s">
        <v>1008</v>
      </c>
    </row>
    <row r="7588" spans="1:10" ht="15" x14ac:dyDescent="0.2">
      <c r="A7588" s="486" t="s">
        <v>1007</v>
      </c>
      <c r="B7588" s="487" t="s">
        <v>1006</v>
      </c>
      <c r="C7588" s="488" t="s">
        <v>23832</v>
      </c>
      <c r="D7588" s="489" t="s">
        <v>23833</v>
      </c>
      <c r="E7588" s="487" t="s">
        <v>23834</v>
      </c>
      <c r="F7588" s="490">
        <v>383718</v>
      </c>
      <c r="G7588" s="489">
        <v>3080.34</v>
      </c>
      <c r="H7588" s="489">
        <v>124.57001</v>
      </c>
      <c r="I7588" s="487" t="s">
        <v>1499</v>
      </c>
      <c r="J7588" s="487" t="s">
        <v>1008</v>
      </c>
    </row>
    <row r="7589" spans="1:10" ht="15" x14ac:dyDescent="0.2">
      <c r="A7589" s="486" t="s">
        <v>1007</v>
      </c>
      <c r="B7589" s="487" t="s">
        <v>1006</v>
      </c>
      <c r="C7589" s="488" t="s">
        <v>23835</v>
      </c>
      <c r="D7589" s="489" t="s">
        <v>23836</v>
      </c>
      <c r="E7589" s="487" t="s">
        <v>23837</v>
      </c>
      <c r="F7589" s="490">
        <v>5242</v>
      </c>
      <c r="G7589" s="489">
        <v>110.25</v>
      </c>
      <c r="H7589" s="489">
        <v>47.546489999999999</v>
      </c>
      <c r="I7589" s="487" t="s">
        <v>1499</v>
      </c>
      <c r="J7589" s="487" t="s">
        <v>1008</v>
      </c>
    </row>
    <row r="7590" spans="1:10" ht="15" x14ac:dyDescent="0.2">
      <c r="A7590" s="486" t="s">
        <v>1007</v>
      </c>
      <c r="B7590" s="487" t="s">
        <v>1006</v>
      </c>
      <c r="C7590" s="488" t="s">
        <v>23838</v>
      </c>
      <c r="D7590" s="489" t="s">
        <v>23839</v>
      </c>
      <c r="E7590" s="487" t="s">
        <v>23840</v>
      </c>
      <c r="F7590" s="490">
        <v>1792</v>
      </c>
      <c r="G7590" s="489">
        <v>118.08</v>
      </c>
      <c r="H7590" s="489">
        <v>15.17615</v>
      </c>
      <c r="I7590" s="487" t="s">
        <v>1499</v>
      </c>
      <c r="J7590" s="487" t="s">
        <v>1008</v>
      </c>
    </row>
    <row r="7591" spans="1:10" ht="15" x14ac:dyDescent="0.2">
      <c r="A7591" s="486" t="s">
        <v>1007</v>
      </c>
      <c r="B7591" s="487" t="s">
        <v>1006</v>
      </c>
      <c r="C7591" s="488" t="s">
        <v>23841</v>
      </c>
      <c r="D7591" s="489" t="s">
        <v>23842</v>
      </c>
      <c r="E7591" s="487" t="s">
        <v>18766</v>
      </c>
      <c r="F7591" s="490">
        <v>8450</v>
      </c>
      <c r="G7591" s="489">
        <v>83.07</v>
      </c>
      <c r="H7591" s="489">
        <v>101.72144</v>
      </c>
      <c r="I7591" s="487" t="s">
        <v>1499</v>
      </c>
      <c r="J7591" s="487" t="s">
        <v>1008</v>
      </c>
    </row>
    <row r="7592" spans="1:10" ht="15" x14ac:dyDescent="0.2">
      <c r="A7592" s="486" t="s">
        <v>1007</v>
      </c>
      <c r="B7592" s="487" t="s">
        <v>1006</v>
      </c>
      <c r="C7592" s="488" t="s">
        <v>23843</v>
      </c>
      <c r="D7592" s="489" t="s">
        <v>23844</v>
      </c>
      <c r="E7592" s="487" t="s">
        <v>23845</v>
      </c>
      <c r="F7592" s="490">
        <v>96071</v>
      </c>
      <c r="G7592" s="489">
        <v>1143.81</v>
      </c>
      <c r="H7592" s="489">
        <v>83.992099999999994</v>
      </c>
      <c r="I7592" s="487" t="s">
        <v>1499</v>
      </c>
      <c r="J7592" s="487" t="s">
        <v>1008</v>
      </c>
    </row>
    <row r="7593" spans="1:10" ht="15" x14ac:dyDescent="0.2">
      <c r="A7593" s="486" t="s">
        <v>1007</v>
      </c>
      <c r="B7593" s="487" t="s">
        <v>1006</v>
      </c>
      <c r="C7593" s="488" t="s">
        <v>23846</v>
      </c>
      <c r="D7593" s="489" t="s">
        <v>23847</v>
      </c>
      <c r="E7593" s="487" t="s">
        <v>23848</v>
      </c>
      <c r="F7593" s="490">
        <v>20401</v>
      </c>
      <c r="G7593" s="489">
        <v>403.74</v>
      </c>
      <c r="H7593" s="489">
        <v>50.53004</v>
      </c>
      <c r="I7593" s="487" t="s">
        <v>1499</v>
      </c>
      <c r="J7593" s="487" t="s">
        <v>1008</v>
      </c>
    </row>
    <row r="7594" spans="1:10" ht="15" x14ac:dyDescent="0.2">
      <c r="A7594" s="486" t="s">
        <v>1007</v>
      </c>
      <c r="B7594" s="487" t="s">
        <v>1006</v>
      </c>
      <c r="C7594" s="488" t="s">
        <v>23849</v>
      </c>
      <c r="D7594" s="489" t="s">
        <v>23850</v>
      </c>
      <c r="E7594" s="487" t="s">
        <v>23851</v>
      </c>
      <c r="F7594" s="490">
        <v>98051</v>
      </c>
      <c r="G7594" s="489">
        <v>1180.8900000000001</v>
      </c>
      <c r="H7594" s="489">
        <v>83.031440000000003</v>
      </c>
      <c r="I7594" s="487" t="s">
        <v>1499</v>
      </c>
      <c r="J7594" s="487" t="s">
        <v>1008</v>
      </c>
    </row>
    <row r="7595" spans="1:10" ht="15" x14ac:dyDescent="0.2">
      <c r="A7595" s="486" t="s">
        <v>1007</v>
      </c>
      <c r="B7595" s="487" t="s">
        <v>1006</v>
      </c>
      <c r="C7595" s="488" t="s">
        <v>23852</v>
      </c>
      <c r="D7595" s="489" t="s">
        <v>23853</v>
      </c>
      <c r="E7595" s="487" t="s">
        <v>23854</v>
      </c>
      <c r="F7595" s="490">
        <v>11000</v>
      </c>
      <c r="G7595" s="489">
        <v>177.03</v>
      </c>
      <c r="H7595" s="489">
        <v>62.136360000000003</v>
      </c>
      <c r="I7595" s="487" t="s">
        <v>1499</v>
      </c>
      <c r="J7595" s="487" t="s">
        <v>1008</v>
      </c>
    </row>
    <row r="7596" spans="1:10" ht="15" x14ac:dyDescent="0.2">
      <c r="A7596" s="486" t="s">
        <v>1007</v>
      </c>
      <c r="B7596" s="487" t="s">
        <v>1006</v>
      </c>
      <c r="C7596" s="488" t="s">
        <v>23855</v>
      </c>
      <c r="D7596" s="489" t="s">
        <v>23856</v>
      </c>
      <c r="E7596" s="487" t="s">
        <v>23857</v>
      </c>
      <c r="F7596" s="490">
        <v>8032</v>
      </c>
      <c r="G7596" s="489">
        <v>102.96</v>
      </c>
      <c r="H7596" s="489">
        <v>78.01088</v>
      </c>
      <c r="I7596" s="487" t="s">
        <v>1499</v>
      </c>
      <c r="J7596" s="487" t="s">
        <v>1008</v>
      </c>
    </row>
    <row r="7597" spans="1:10" ht="15" x14ac:dyDescent="0.2">
      <c r="A7597" s="486" t="s">
        <v>1007</v>
      </c>
      <c r="B7597" s="487" t="s">
        <v>1006</v>
      </c>
      <c r="C7597" s="488" t="s">
        <v>23858</v>
      </c>
      <c r="D7597" s="489" t="s">
        <v>23859</v>
      </c>
      <c r="E7597" s="487" t="s">
        <v>23860</v>
      </c>
      <c r="F7597" s="490">
        <v>7050</v>
      </c>
      <c r="G7597" s="489">
        <v>208.26</v>
      </c>
      <c r="H7597" s="489">
        <v>33.85192</v>
      </c>
      <c r="I7597" s="487" t="s">
        <v>1499</v>
      </c>
      <c r="J7597" s="487" t="s">
        <v>1008</v>
      </c>
    </row>
    <row r="7598" spans="1:10" ht="15" x14ac:dyDescent="0.2">
      <c r="A7598" s="486" t="s">
        <v>1007</v>
      </c>
      <c r="B7598" s="487" t="s">
        <v>1006</v>
      </c>
      <c r="C7598" s="488" t="s">
        <v>23861</v>
      </c>
      <c r="D7598" s="489" t="s">
        <v>23862</v>
      </c>
      <c r="E7598" s="487" t="s">
        <v>18184</v>
      </c>
      <c r="F7598" s="490">
        <v>8600</v>
      </c>
      <c r="G7598" s="489">
        <v>141.30000000000001</v>
      </c>
      <c r="H7598" s="489">
        <v>60.863410000000002</v>
      </c>
      <c r="I7598" s="487" t="s">
        <v>1499</v>
      </c>
      <c r="J7598" s="487" t="s">
        <v>1008</v>
      </c>
    </row>
    <row r="7599" spans="1:10" ht="15" x14ac:dyDescent="0.2">
      <c r="A7599" s="486" t="s">
        <v>1007</v>
      </c>
      <c r="B7599" s="487" t="s">
        <v>1006</v>
      </c>
      <c r="C7599" s="488" t="s">
        <v>23863</v>
      </c>
      <c r="D7599" s="489" t="s">
        <v>23864</v>
      </c>
      <c r="E7599" s="487" t="s">
        <v>23865</v>
      </c>
      <c r="F7599" s="490">
        <v>174793</v>
      </c>
      <c r="G7599" s="489">
        <v>1692.9</v>
      </c>
      <c r="H7599" s="489">
        <v>103.25064</v>
      </c>
      <c r="I7599" s="487" t="s">
        <v>1499</v>
      </c>
      <c r="J7599" s="487" t="s">
        <v>1008</v>
      </c>
    </row>
    <row r="7600" spans="1:10" ht="15" x14ac:dyDescent="0.2">
      <c r="A7600" s="486" t="s">
        <v>1007</v>
      </c>
      <c r="B7600" s="487" t="s">
        <v>1006</v>
      </c>
      <c r="C7600" s="488" t="s">
        <v>23866</v>
      </c>
      <c r="D7600" s="489" t="s">
        <v>23867</v>
      </c>
      <c r="E7600" s="487" t="s">
        <v>23868</v>
      </c>
      <c r="F7600" s="490">
        <v>18306</v>
      </c>
      <c r="G7600" s="489">
        <v>569.70000000000005</v>
      </c>
      <c r="H7600" s="489">
        <v>32.1327</v>
      </c>
      <c r="I7600" s="487" t="s">
        <v>1499</v>
      </c>
      <c r="J7600" s="487" t="s">
        <v>1008</v>
      </c>
    </row>
    <row r="7601" spans="1:10" ht="15" x14ac:dyDescent="0.2">
      <c r="A7601" s="486" t="s">
        <v>1007</v>
      </c>
      <c r="B7601" s="487" t="s">
        <v>1006</v>
      </c>
      <c r="C7601" s="488" t="s">
        <v>23869</v>
      </c>
      <c r="D7601" s="489" t="s">
        <v>23870</v>
      </c>
      <c r="E7601" s="487" t="s">
        <v>23871</v>
      </c>
      <c r="F7601" s="490">
        <v>51437</v>
      </c>
      <c r="G7601" s="489">
        <v>1272.78</v>
      </c>
      <c r="H7601" s="489">
        <v>40.413110000000003</v>
      </c>
      <c r="I7601" s="487" t="s">
        <v>1499</v>
      </c>
      <c r="J7601" s="487" t="s">
        <v>1008</v>
      </c>
    </row>
    <row r="7602" spans="1:10" ht="15" x14ac:dyDescent="0.2">
      <c r="A7602" s="486" t="s">
        <v>1007</v>
      </c>
      <c r="B7602" s="487" t="s">
        <v>1006</v>
      </c>
      <c r="C7602" s="488" t="s">
        <v>23872</v>
      </c>
      <c r="D7602" s="489" t="s">
        <v>23873</v>
      </c>
      <c r="E7602" s="487" t="s">
        <v>23874</v>
      </c>
      <c r="F7602" s="490">
        <v>0</v>
      </c>
      <c r="G7602" s="489">
        <v>44.73</v>
      </c>
      <c r="H7602" s="489">
        <v>0</v>
      </c>
      <c r="I7602" s="487" t="s">
        <v>1593</v>
      </c>
      <c r="J7602" s="487" t="s">
        <v>1008</v>
      </c>
    </row>
    <row r="7603" spans="1:10" ht="15" x14ac:dyDescent="0.2">
      <c r="A7603" s="486" t="s">
        <v>1007</v>
      </c>
      <c r="B7603" s="487" t="s">
        <v>1006</v>
      </c>
      <c r="C7603" s="488" t="s">
        <v>23875</v>
      </c>
      <c r="D7603" s="489" t="s">
        <v>23876</v>
      </c>
      <c r="E7603" s="487" t="s">
        <v>23877</v>
      </c>
      <c r="F7603" s="490">
        <v>1050</v>
      </c>
      <c r="G7603" s="489">
        <v>110.34</v>
      </c>
      <c r="H7603" s="489">
        <v>9.5160400000000003</v>
      </c>
      <c r="I7603" s="487" t="s">
        <v>1499</v>
      </c>
      <c r="J7603" s="487" t="s">
        <v>1008</v>
      </c>
    </row>
    <row r="7604" spans="1:10" ht="15" x14ac:dyDescent="0.2">
      <c r="A7604" s="486" t="s">
        <v>1007</v>
      </c>
      <c r="B7604" s="487" t="s">
        <v>1006</v>
      </c>
      <c r="C7604" s="488" t="s">
        <v>23878</v>
      </c>
      <c r="D7604" s="489" t="s">
        <v>23879</v>
      </c>
      <c r="E7604" s="487" t="s">
        <v>23880</v>
      </c>
      <c r="F7604" s="490">
        <v>8500</v>
      </c>
      <c r="G7604" s="489">
        <v>208.8</v>
      </c>
      <c r="H7604" s="489">
        <v>40.70881</v>
      </c>
      <c r="I7604" s="487" t="s">
        <v>1499</v>
      </c>
      <c r="J7604" s="487" t="s">
        <v>1008</v>
      </c>
    </row>
    <row r="7605" spans="1:10" ht="15" x14ac:dyDescent="0.2">
      <c r="A7605" s="486" t="s">
        <v>1007</v>
      </c>
      <c r="B7605" s="487" t="s">
        <v>1006</v>
      </c>
      <c r="C7605" s="488" t="s">
        <v>23881</v>
      </c>
      <c r="D7605" s="489" t="s">
        <v>23882</v>
      </c>
      <c r="E7605" s="487" t="s">
        <v>23883</v>
      </c>
      <c r="F7605" s="490">
        <v>3750</v>
      </c>
      <c r="G7605" s="489">
        <v>109.17</v>
      </c>
      <c r="H7605" s="489">
        <v>34.350099999999998</v>
      </c>
      <c r="I7605" s="487" t="s">
        <v>2465</v>
      </c>
      <c r="J7605" s="487" t="s">
        <v>1008</v>
      </c>
    </row>
    <row r="7606" spans="1:10" ht="15" x14ac:dyDescent="0.2">
      <c r="A7606" s="486" t="s">
        <v>1007</v>
      </c>
      <c r="B7606" s="487" t="s">
        <v>1006</v>
      </c>
      <c r="C7606" s="488" t="s">
        <v>23884</v>
      </c>
      <c r="D7606" s="489" t="s">
        <v>23885</v>
      </c>
      <c r="E7606" s="487" t="s">
        <v>23886</v>
      </c>
      <c r="F7606" s="490">
        <v>13500</v>
      </c>
      <c r="G7606" s="489">
        <v>191.43</v>
      </c>
      <c r="H7606" s="489">
        <v>70.521860000000004</v>
      </c>
      <c r="I7606" s="487" t="s">
        <v>1499</v>
      </c>
      <c r="J7606" s="487" t="s">
        <v>1008</v>
      </c>
    </row>
    <row r="7607" spans="1:10" ht="15" x14ac:dyDescent="0.2">
      <c r="A7607" s="486" t="s">
        <v>1007</v>
      </c>
      <c r="B7607" s="487" t="s">
        <v>1006</v>
      </c>
      <c r="C7607" s="488" t="s">
        <v>23887</v>
      </c>
      <c r="D7607" s="489" t="s">
        <v>23888</v>
      </c>
      <c r="E7607" s="487" t="s">
        <v>23889</v>
      </c>
      <c r="F7607" s="490">
        <v>221600</v>
      </c>
      <c r="G7607" s="489">
        <v>2047.68</v>
      </c>
      <c r="H7607" s="489">
        <v>108.22002999999999</v>
      </c>
      <c r="I7607" s="487" t="s">
        <v>1499</v>
      </c>
      <c r="J7607" s="487" t="s">
        <v>1008</v>
      </c>
    </row>
    <row r="7608" spans="1:10" ht="15" x14ac:dyDescent="0.2">
      <c r="A7608" s="486" t="s">
        <v>1007</v>
      </c>
      <c r="B7608" s="487" t="s">
        <v>1006</v>
      </c>
      <c r="C7608" s="488" t="s">
        <v>23890</v>
      </c>
      <c r="D7608" s="489" t="s">
        <v>23891</v>
      </c>
      <c r="E7608" s="487" t="s">
        <v>23892</v>
      </c>
      <c r="F7608" s="490">
        <v>5500</v>
      </c>
      <c r="G7608" s="489">
        <v>131.66999999999999</v>
      </c>
      <c r="H7608" s="489">
        <v>41.771090000000001</v>
      </c>
      <c r="I7608" s="487" t="s">
        <v>1499</v>
      </c>
      <c r="J7608" s="487" t="s">
        <v>1008</v>
      </c>
    </row>
    <row r="7609" spans="1:10" ht="15" x14ac:dyDescent="0.2">
      <c r="A7609" s="486" t="s">
        <v>1007</v>
      </c>
      <c r="B7609" s="487" t="s">
        <v>1006</v>
      </c>
      <c r="C7609" s="488" t="s">
        <v>23893</v>
      </c>
      <c r="D7609" s="489" t="s">
        <v>23894</v>
      </c>
      <c r="E7609" s="487" t="s">
        <v>23895</v>
      </c>
      <c r="F7609" s="490">
        <v>30975</v>
      </c>
      <c r="G7609" s="489">
        <v>285.02999999999997</v>
      </c>
      <c r="H7609" s="489">
        <v>108.67277</v>
      </c>
      <c r="I7609" s="487" t="s">
        <v>1499</v>
      </c>
      <c r="J7609" s="487" t="s">
        <v>1008</v>
      </c>
    </row>
    <row r="7610" spans="1:10" ht="15" x14ac:dyDescent="0.2">
      <c r="A7610" s="486" t="s">
        <v>1007</v>
      </c>
      <c r="B7610" s="487" t="s">
        <v>1006</v>
      </c>
      <c r="C7610" s="488" t="s">
        <v>23896</v>
      </c>
      <c r="D7610" s="489" t="s">
        <v>23897</v>
      </c>
      <c r="E7610" s="487" t="s">
        <v>23898</v>
      </c>
      <c r="F7610" s="490">
        <v>18630</v>
      </c>
      <c r="G7610" s="489">
        <v>275.94</v>
      </c>
      <c r="H7610" s="489">
        <v>67.514679999999998</v>
      </c>
      <c r="I7610" s="487" t="s">
        <v>1499</v>
      </c>
      <c r="J7610" s="487" t="s">
        <v>1008</v>
      </c>
    </row>
    <row r="7611" spans="1:10" ht="15" x14ac:dyDescent="0.2">
      <c r="A7611" s="486" t="s">
        <v>1007</v>
      </c>
      <c r="B7611" s="487" t="s">
        <v>1006</v>
      </c>
      <c r="C7611" s="488" t="s">
        <v>23899</v>
      </c>
      <c r="D7611" s="489" t="s">
        <v>23900</v>
      </c>
      <c r="E7611" s="487" t="s">
        <v>4519</v>
      </c>
      <c r="F7611" s="490">
        <v>64254</v>
      </c>
      <c r="G7611" s="489">
        <v>823.41</v>
      </c>
      <c r="H7611" s="489">
        <v>78.034030000000001</v>
      </c>
      <c r="I7611" s="487" t="s">
        <v>1499</v>
      </c>
      <c r="J7611" s="487" t="s">
        <v>1008</v>
      </c>
    </row>
    <row r="7612" spans="1:10" ht="15" x14ac:dyDescent="0.2">
      <c r="A7612" s="486" t="s">
        <v>1007</v>
      </c>
      <c r="B7612" s="487" t="s">
        <v>1006</v>
      </c>
      <c r="C7612" s="488" t="s">
        <v>23901</v>
      </c>
      <c r="D7612" s="489" t="s">
        <v>23902</v>
      </c>
      <c r="E7612" s="487" t="s">
        <v>23903</v>
      </c>
      <c r="F7612" s="490">
        <v>91129</v>
      </c>
      <c r="G7612" s="489">
        <v>1335.24</v>
      </c>
      <c r="H7612" s="489">
        <v>68.24915</v>
      </c>
      <c r="I7612" s="487" t="s">
        <v>1499</v>
      </c>
      <c r="J7612" s="487" t="s">
        <v>1008</v>
      </c>
    </row>
    <row r="7613" spans="1:10" ht="15" x14ac:dyDescent="0.2">
      <c r="A7613" s="486" t="s">
        <v>1007</v>
      </c>
      <c r="B7613" s="487" t="s">
        <v>1006</v>
      </c>
      <c r="C7613" s="488" t="s">
        <v>23904</v>
      </c>
      <c r="D7613" s="489" t="s">
        <v>23905</v>
      </c>
      <c r="E7613" s="487" t="s">
        <v>23906</v>
      </c>
      <c r="F7613" s="490">
        <v>107410</v>
      </c>
      <c r="G7613" s="489">
        <v>1421.28</v>
      </c>
      <c r="H7613" s="489">
        <v>75.572720000000004</v>
      </c>
      <c r="I7613" s="487" t="s">
        <v>1499</v>
      </c>
      <c r="J7613" s="487" t="s">
        <v>1008</v>
      </c>
    </row>
    <row r="7614" spans="1:10" ht="15" x14ac:dyDescent="0.2">
      <c r="A7614" s="486" t="s">
        <v>1007</v>
      </c>
      <c r="B7614" s="487" t="s">
        <v>1006</v>
      </c>
      <c r="C7614" s="488" t="s">
        <v>23907</v>
      </c>
      <c r="D7614" s="489" t="s">
        <v>23908</v>
      </c>
      <c r="E7614" s="487" t="s">
        <v>23909</v>
      </c>
      <c r="F7614" s="490">
        <v>9765</v>
      </c>
      <c r="G7614" s="489">
        <v>428.76</v>
      </c>
      <c r="H7614" s="489">
        <v>22.774979999999999</v>
      </c>
      <c r="I7614" s="487" t="s">
        <v>1499</v>
      </c>
      <c r="J7614" s="487" t="s">
        <v>1008</v>
      </c>
    </row>
    <row r="7615" spans="1:10" ht="15" x14ac:dyDescent="0.2">
      <c r="A7615" s="486" t="s">
        <v>1007</v>
      </c>
      <c r="B7615" s="487" t="s">
        <v>1006</v>
      </c>
      <c r="C7615" s="488" t="s">
        <v>23910</v>
      </c>
      <c r="D7615" s="489" t="s">
        <v>23911</v>
      </c>
      <c r="E7615" s="487" t="s">
        <v>3598</v>
      </c>
      <c r="F7615" s="490">
        <v>1225</v>
      </c>
      <c r="G7615" s="489">
        <v>57.15</v>
      </c>
      <c r="H7615" s="489">
        <v>21.434819999999998</v>
      </c>
      <c r="I7615" s="487" t="s">
        <v>1499</v>
      </c>
      <c r="J7615" s="487" t="s">
        <v>1008</v>
      </c>
    </row>
    <row r="7616" spans="1:10" ht="15" x14ac:dyDescent="0.2">
      <c r="A7616" s="486" t="s">
        <v>1007</v>
      </c>
      <c r="B7616" s="487" t="s">
        <v>1006</v>
      </c>
      <c r="C7616" s="488" t="s">
        <v>23912</v>
      </c>
      <c r="D7616" s="489" t="s">
        <v>23913</v>
      </c>
      <c r="E7616" s="487" t="s">
        <v>23914</v>
      </c>
      <c r="F7616" s="490">
        <v>0</v>
      </c>
      <c r="G7616" s="489">
        <v>53.91</v>
      </c>
      <c r="H7616" s="489">
        <v>0</v>
      </c>
      <c r="I7616" s="487" t="s">
        <v>1593</v>
      </c>
      <c r="J7616" s="487" t="s">
        <v>1008</v>
      </c>
    </row>
    <row r="7617" spans="1:10" ht="15" x14ac:dyDescent="0.2">
      <c r="A7617" s="486" t="s">
        <v>1007</v>
      </c>
      <c r="B7617" s="487" t="s">
        <v>1006</v>
      </c>
      <c r="C7617" s="488" t="s">
        <v>23915</v>
      </c>
      <c r="D7617" s="489" t="s">
        <v>23916</v>
      </c>
      <c r="E7617" s="487" t="s">
        <v>23917</v>
      </c>
      <c r="F7617" s="490">
        <v>0</v>
      </c>
      <c r="G7617" s="489">
        <v>29.43</v>
      </c>
      <c r="H7617" s="489">
        <v>0</v>
      </c>
      <c r="I7617" s="487" t="s">
        <v>1593</v>
      </c>
      <c r="J7617" s="487" t="s">
        <v>1008</v>
      </c>
    </row>
    <row r="7618" spans="1:10" ht="15" x14ac:dyDescent="0.2">
      <c r="A7618" s="486" t="s">
        <v>1007</v>
      </c>
      <c r="B7618" s="487" t="s">
        <v>1006</v>
      </c>
      <c r="C7618" s="488" t="s">
        <v>23918</v>
      </c>
      <c r="D7618" s="489" t="s">
        <v>23919</v>
      </c>
      <c r="E7618" s="487" t="s">
        <v>16535</v>
      </c>
      <c r="F7618" s="490">
        <v>24675</v>
      </c>
      <c r="G7618" s="489">
        <v>315.08999999999997</v>
      </c>
      <c r="H7618" s="489">
        <v>78.310959999999994</v>
      </c>
      <c r="I7618" s="487" t="s">
        <v>1499</v>
      </c>
      <c r="J7618" s="487" t="s">
        <v>1008</v>
      </c>
    </row>
    <row r="7619" spans="1:10" ht="15" x14ac:dyDescent="0.2">
      <c r="A7619" s="486" t="s">
        <v>1007</v>
      </c>
      <c r="B7619" s="487" t="s">
        <v>1006</v>
      </c>
      <c r="C7619" s="488" t="s">
        <v>23920</v>
      </c>
      <c r="D7619" s="489" t="s">
        <v>23921</v>
      </c>
      <c r="E7619" s="487" t="s">
        <v>23922</v>
      </c>
      <c r="F7619" s="490">
        <v>8000</v>
      </c>
      <c r="G7619" s="489">
        <v>205.11</v>
      </c>
      <c r="H7619" s="489">
        <v>39.003459999999997</v>
      </c>
      <c r="I7619" s="487" t="s">
        <v>1499</v>
      </c>
      <c r="J7619" s="487" t="s">
        <v>1008</v>
      </c>
    </row>
    <row r="7620" spans="1:10" ht="15" x14ac:dyDescent="0.2">
      <c r="A7620" s="486" t="s">
        <v>1007</v>
      </c>
      <c r="B7620" s="487" t="s">
        <v>1006</v>
      </c>
      <c r="C7620" s="488" t="s">
        <v>23923</v>
      </c>
      <c r="D7620" s="489" t="s">
        <v>23924</v>
      </c>
      <c r="E7620" s="487" t="s">
        <v>23925</v>
      </c>
      <c r="F7620" s="490">
        <v>0</v>
      </c>
      <c r="G7620" s="489">
        <v>39.96</v>
      </c>
      <c r="H7620" s="489">
        <v>0</v>
      </c>
      <c r="I7620" s="487" t="s">
        <v>1593</v>
      </c>
      <c r="J7620" s="487" t="s">
        <v>1008</v>
      </c>
    </row>
    <row r="7621" spans="1:10" ht="15" x14ac:dyDescent="0.2">
      <c r="A7621" s="486" t="s">
        <v>1007</v>
      </c>
      <c r="B7621" s="487" t="s">
        <v>1006</v>
      </c>
      <c r="C7621" s="488" t="s">
        <v>23926</v>
      </c>
      <c r="D7621" s="489" t="s">
        <v>23927</v>
      </c>
      <c r="E7621" s="487" t="s">
        <v>23928</v>
      </c>
      <c r="F7621" s="490">
        <v>6491</v>
      </c>
      <c r="G7621" s="489">
        <v>125.28</v>
      </c>
      <c r="H7621" s="489">
        <v>51.81194</v>
      </c>
      <c r="I7621" s="487" t="s">
        <v>1499</v>
      </c>
      <c r="J7621" s="487" t="s">
        <v>1008</v>
      </c>
    </row>
    <row r="7622" spans="1:10" ht="15" x14ac:dyDescent="0.2">
      <c r="A7622" s="486" t="s">
        <v>1007</v>
      </c>
      <c r="B7622" s="487" t="s">
        <v>1006</v>
      </c>
      <c r="C7622" s="488" t="s">
        <v>23929</v>
      </c>
      <c r="D7622" s="489" t="s">
        <v>23930</v>
      </c>
      <c r="E7622" s="487" t="s">
        <v>23931</v>
      </c>
      <c r="F7622" s="490">
        <v>1300</v>
      </c>
      <c r="G7622" s="489">
        <v>31.77</v>
      </c>
      <c r="H7622" s="489">
        <v>40.919110000000003</v>
      </c>
      <c r="I7622" s="487" t="s">
        <v>1499</v>
      </c>
      <c r="J7622" s="487" t="s">
        <v>1008</v>
      </c>
    </row>
    <row r="7623" spans="1:10" ht="15" x14ac:dyDescent="0.2">
      <c r="A7623" s="486" t="s">
        <v>1007</v>
      </c>
      <c r="B7623" s="487" t="s">
        <v>1006</v>
      </c>
      <c r="C7623" s="488" t="s">
        <v>23932</v>
      </c>
      <c r="D7623" s="489" t="s">
        <v>23933</v>
      </c>
      <c r="E7623" s="487" t="s">
        <v>23934</v>
      </c>
      <c r="F7623" s="490">
        <v>5000</v>
      </c>
      <c r="G7623" s="489">
        <v>107.01</v>
      </c>
      <c r="H7623" s="489">
        <v>46.724609999999998</v>
      </c>
      <c r="I7623" s="487" t="s">
        <v>1499</v>
      </c>
      <c r="J7623" s="487" t="s">
        <v>1008</v>
      </c>
    </row>
    <row r="7624" spans="1:10" ht="15" x14ac:dyDescent="0.2">
      <c r="A7624" s="486" t="s">
        <v>1007</v>
      </c>
      <c r="B7624" s="487" t="s">
        <v>1006</v>
      </c>
      <c r="C7624" s="488" t="s">
        <v>23935</v>
      </c>
      <c r="D7624" s="489" t="s">
        <v>23936</v>
      </c>
      <c r="E7624" s="487" t="s">
        <v>3922</v>
      </c>
      <c r="F7624" s="490">
        <v>0</v>
      </c>
      <c r="G7624" s="489">
        <v>43.38</v>
      </c>
      <c r="H7624" s="489">
        <v>0</v>
      </c>
      <c r="I7624" s="487" t="s">
        <v>1593</v>
      </c>
      <c r="J7624" s="487" t="s">
        <v>1008</v>
      </c>
    </row>
    <row r="7625" spans="1:10" ht="15" x14ac:dyDescent="0.2">
      <c r="A7625" s="486" t="s">
        <v>1007</v>
      </c>
      <c r="B7625" s="487" t="s">
        <v>1006</v>
      </c>
      <c r="C7625" s="488" t="s">
        <v>23937</v>
      </c>
      <c r="D7625" s="489" t="s">
        <v>23938</v>
      </c>
      <c r="E7625" s="487" t="s">
        <v>23939</v>
      </c>
      <c r="F7625" s="490">
        <v>16800</v>
      </c>
      <c r="G7625" s="489">
        <v>175.86</v>
      </c>
      <c r="H7625" s="489">
        <v>95.530540000000002</v>
      </c>
      <c r="I7625" s="487" t="s">
        <v>1499</v>
      </c>
      <c r="J7625" s="487" t="s">
        <v>1008</v>
      </c>
    </row>
    <row r="7626" spans="1:10" ht="15" x14ac:dyDescent="0.2">
      <c r="A7626" s="486" t="s">
        <v>1007</v>
      </c>
      <c r="B7626" s="487" t="s">
        <v>1006</v>
      </c>
      <c r="C7626" s="488" t="s">
        <v>23940</v>
      </c>
      <c r="D7626" s="489" t="s">
        <v>23941</v>
      </c>
      <c r="E7626" s="487" t="s">
        <v>23942</v>
      </c>
      <c r="F7626" s="490">
        <v>0</v>
      </c>
      <c r="G7626" s="489">
        <v>0</v>
      </c>
      <c r="H7626" s="489">
        <v>0</v>
      </c>
      <c r="I7626" s="487" t="s">
        <v>2465</v>
      </c>
      <c r="J7626" s="487" t="s">
        <v>1008</v>
      </c>
    </row>
    <row r="7627" spans="1:10" ht="15" x14ac:dyDescent="0.2">
      <c r="A7627" s="486" t="s">
        <v>1007</v>
      </c>
      <c r="B7627" s="487" t="s">
        <v>1006</v>
      </c>
      <c r="C7627" s="488" t="s">
        <v>23943</v>
      </c>
      <c r="D7627" s="489" t="s">
        <v>23944</v>
      </c>
      <c r="E7627" s="487" t="s">
        <v>23945</v>
      </c>
      <c r="F7627" s="490">
        <v>0</v>
      </c>
      <c r="G7627" s="489">
        <v>0</v>
      </c>
      <c r="H7627" s="489">
        <v>0</v>
      </c>
      <c r="I7627" s="487" t="s">
        <v>2465</v>
      </c>
      <c r="J7627" s="487" t="s">
        <v>1008</v>
      </c>
    </row>
    <row r="7628" spans="1:10" ht="15" x14ac:dyDescent="0.2">
      <c r="A7628" s="486" t="s">
        <v>1007</v>
      </c>
      <c r="B7628" s="487" t="s">
        <v>1006</v>
      </c>
      <c r="C7628" s="488" t="s">
        <v>23946</v>
      </c>
      <c r="D7628" s="489" t="s">
        <v>23947</v>
      </c>
      <c r="E7628" s="487" t="s">
        <v>23948</v>
      </c>
      <c r="F7628" s="490">
        <v>0</v>
      </c>
      <c r="G7628" s="489">
        <v>14.22</v>
      </c>
      <c r="H7628" s="489">
        <v>0</v>
      </c>
      <c r="I7628" s="487" t="s">
        <v>1593</v>
      </c>
      <c r="J7628" s="487" t="s">
        <v>1008</v>
      </c>
    </row>
    <row r="7629" spans="1:10" ht="15" x14ac:dyDescent="0.2">
      <c r="A7629" s="486" t="s">
        <v>1007</v>
      </c>
      <c r="B7629" s="487" t="s">
        <v>1006</v>
      </c>
      <c r="C7629" s="488" t="s">
        <v>23949</v>
      </c>
      <c r="D7629" s="489" t="s">
        <v>23950</v>
      </c>
      <c r="E7629" s="487" t="s">
        <v>23951</v>
      </c>
      <c r="F7629" s="490">
        <v>9500</v>
      </c>
      <c r="G7629" s="489">
        <v>170.73</v>
      </c>
      <c r="H7629" s="489">
        <v>55.643410000000003</v>
      </c>
      <c r="I7629" s="487" t="s">
        <v>1499</v>
      </c>
      <c r="J7629" s="487" t="s">
        <v>1008</v>
      </c>
    </row>
    <row r="7630" spans="1:10" ht="15" x14ac:dyDescent="0.2">
      <c r="A7630" s="486" t="s">
        <v>1007</v>
      </c>
      <c r="B7630" s="487" t="s">
        <v>1006</v>
      </c>
      <c r="C7630" s="488" t="s">
        <v>23952</v>
      </c>
      <c r="D7630" s="489" t="s">
        <v>23953</v>
      </c>
      <c r="E7630" s="487" t="s">
        <v>17346</v>
      </c>
      <c r="F7630" s="490">
        <v>8000</v>
      </c>
      <c r="G7630" s="489">
        <v>133.02000000000001</v>
      </c>
      <c r="H7630" s="489">
        <v>60.141330000000004</v>
      </c>
      <c r="I7630" s="487" t="s">
        <v>1499</v>
      </c>
      <c r="J7630" s="487" t="s">
        <v>1008</v>
      </c>
    </row>
    <row r="7631" spans="1:10" ht="15" x14ac:dyDescent="0.2">
      <c r="A7631" s="486" t="s">
        <v>1007</v>
      </c>
      <c r="B7631" s="487" t="s">
        <v>1006</v>
      </c>
      <c r="C7631" s="488" t="s">
        <v>23954</v>
      </c>
      <c r="D7631" s="489" t="s">
        <v>23955</v>
      </c>
      <c r="E7631" s="487" t="s">
        <v>23956</v>
      </c>
      <c r="F7631" s="490">
        <v>3168</v>
      </c>
      <c r="G7631" s="489">
        <v>138.41999999999999</v>
      </c>
      <c r="H7631" s="489">
        <v>22.886869999999998</v>
      </c>
      <c r="I7631" s="487" t="s">
        <v>2465</v>
      </c>
      <c r="J7631" s="487" t="s">
        <v>1008</v>
      </c>
    </row>
    <row r="7632" spans="1:10" ht="15" x14ac:dyDescent="0.2">
      <c r="A7632" s="486" t="s">
        <v>1007</v>
      </c>
      <c r="B7632" s="487" t="s">
        <v>1006</v>
      </c>
      <c r="C7632" s="488" t="s">
        <v>23957</v>
      </c>
      <c r="D7632" s="489" t="s">
        <v>23958</v>
      </c>
      <c r="E7632" s="487" t="s">
        <v>2188</v>
      </c>
      <c r="F7632" s="490">
        <v>0</v>
      </c>
      <c r="G7632" s="489">
        <v>0</v>
      </c>
      <c r="H7632" s="489">
        <v>0</v>
      </c>
      <c r="I7632" s="487" t="s">
        <v>2465</v>
      </c>
      <c r="J7632" s="487" t="s">
        <v>1008</v>
      </c>
    </row>
    <row r="7633" spans="1:10" ht="15" x14ac:dyDescent="0.2">
      <c r="A7633" s="486" t="s">
        <v>1007</v>
      </c>
      <c r="B7633" s="487" t="s">
        <v>1006</v>
      </c>
      <c r="C7633" s="488" t="s">
        <v>23959</v>
      </c>
      <c r="D7633" s="489" t="s">
        <v>23960</v>
      </c>
      <c r="E7633" s="487" t="s">
        <v>23961</v>
      </c>
      <c r="F7633" s="490">
        <v>4830</v>
      </c>
      <c r="G7633" s="489">
        <v>117.54</v>
      </c>
      <c r="H7633" s="489">
        <v>41.092390000000002</v>
      </c>
      <c r="I7633" s="487" t="s">
        <v>1499</v>
      </c>
      <c r="J7633" s="487" t="s">
        <v>1008</v>
      </c>
    </row>
    <row r="7634" spans="1:10" ht="15" x14ac:dyDescent="0.2">
      <c r="A7634" s="486" t="s">
        <v>1007</v>
      </c>
      <c r="B7634" s="487" t="s">
        <v>1006</v>
      </c>
      <c r="C7634" s="488" t="s">
        <v>23962</v>
      </c>
      <c r="D7634" s="489" t="s">
        <v>23963</v>
      </c>
      <c r="E7634" s="487" t="s">
        <v>23964</v>
      </c>
      <c r="F7634" s="490">
        <v>0</v>
      </c>
      <c r="G7634" s="489">
        <v>7.65</v>
      </c>
      <c r="H7634" s="489">
        <v>0</v>
      </c>
      <c r="I7634" s="487" t="s">
        <v>1593</v>
      </c>
      <c r="J7634" s="487" t="s">
        <v>1008</v>
      </c>
    </row>
    <row r="7635" spans="1:10" ht="15" x14ac:dyDescent="0.2">
      <c r="A7635" s="486" t="s">
        <v>1007</v>
      </c>
      <c r="B7635" s="487" t="s">
        <v>1006</v>
      </c>
      <c r="C7635" s="488" t="s">
        <v>23965</v>
      </c>
      <c r="D7635" s="489" t="s">
        <v>23966</v>
      </c>
      <c r="E7635" s="487" t="s">
        <v>23967</v>
      </c>
      <c r="F7635" s="490">
        <v>86000</v>
      </c>
      <c r="G7635" s="489">
        <v>1011.87</v>
      </c>
      <c r="H7635" s="489">
        <v>84.991150000000005</v>
      </c>
      <c r="I7635" s="487" t="s">
        <v>1499</v>
      </c>
      <c r="J7635" s="487" t="s">
        <v>1008</v>
      </c>
    </row>
    <row r="7636" spans="1:10" ht="15" x14ac:dyDescent="0.2">
      <c r="A7636" s="486" t="s">
        <v>1007</v>
      </c>
      <c r="B7636" s="487" t="s">
        <v>1006</v>
      </c>
      <c r="C7636" s="488" t="s">
        <v>23968</v>
      </c>
      <c r="D7636" s="489" t="s">
        <v>23969</v>
      </c>
      <c r="E7636" s="487" t="s">
        <v>23970</v>
      </c>
      <c r="F7636" s="490">
        <v>0</v>
      </c>
      <c r="G7636" s="489">
        <v>45.45</v>
      </c>
      <c r="H7636" s="489">
        <v>0</v>
      </c>
      <c r="I7636" s="487" t="s">
        <v>1593</v>
      </c>
      <c r="J7636" s="487" t="s">
        <v>1008</v>
      </c>
    </row>
    <row r="7637" spans="1:10" ht="15" x14ac:dyDescent="0.2">
      <c r="A7637" s="486" t="s">
        <v>1007</v>
      </c>
      <c r="B7637" s="487" t="s">
        <v>1006</v>
      </c>
      <c r="C7637" s="488" t="s">
        <v>23971</v>
      </c>
      <c r="D7637" s="489" t="s">
        <v>23972</v>
      </c>
      <c r="E7637" s="487" t="s">
        <v>23973</v>
      </c>
      <c r="F7637" s="490">
        <v>0</v>
      </c>
      <c r="G7637" s="489">
        <v>0</v>
      </c>
      <c r="H7637" s="489">
        <v>0</v>
      </c>
      <c r="I7637" s="487" t="s">
        <v>1593</v>
      </c>
      <c r="J7637" s="487" t="s">
        <v>1008</v>
      </c>
    </row>
    <row r="7638" spans="1:10" ht="15" x14ac:dyDescent="0.2">
      <c r="A7638" s="486" t="s">
        <v>1007</v>
      </c>
      <c r="B7638" s="487" t="s">
        <v>1006</v>
      </c>
      <c r="C7638" s="488" t="s">
        <v>23974</v>
      </c>
      <c r="D7638" s="489" t="s">
        <v>23975</v>
      </c>
      <c r="E7638" s="487" t="s">
        <v>23976</v>
      </c>
      <c r="F7638" s="490">
        <v>1299163</v>
      </c>
      <c r="G7638" s="489">
        <v>9294.84</v>
      </c>
      <c r="H7638" s="489">
        <v>139.77250000000001</v>
      </c>
      <c r="I7638" s="487" t="s">
        <v>1499</v>
      </c>
      <c r="J7638" s="487" t="s">
        <v>1008</v>
      </c>
    </row>
    <row r="7639" spans="1:10" ht="15" x14ac:dyDescent="0.2">
      <c r="A7639" s="486" t="s">
        <v>1007</v>
      </c>
      <c r="B7639" s="487" t="s">
        <v>1006</v>
      </c>
      <c r="C7639" s="488" t="s">
        <v>23977</v>
      </c>
      <c r="D7639" s="489" t="s">
        <v>23978</v>
      </c>
      <c r="E7639" s="487" t="s">
        <v>23979</v>
      </c>
      <c r="F7639" s="490">
        <v>2008</v>
      </c>
      <c r="G7639" s="489">
        <v>74.430000000000007</v>
      </c>
      <c r="H7639" s="489">
        <v>26.978370000000002</v>
      </c>
      <c r="I7639" s="487" t="s">
        <v>1499</v>
      </c>
      <c r="J7639" s="487" t="s">
        <v>1008</v>
      </c>
    </row>
    <row r="7640" spans="1:10" ht="15" x14ac:dyDescent="0.2">
      <c r="A7640" s="486" t="s">
        <v>1007</v>
      </c>
      <c r="B7640" s="487" t="s">
        <v>1006</v>
      </c>
      <c r="C7640" s="488" t="s">
        <v>23980</v>
      </c>
      <c r="D7640" s="489" t="s">
        <v>23981</v>
      </c>
      <c r="E7640" s="487" t="s">
        <v>23982</v>
      </c>
      <c r="F7640" s="490">
        <v>18883</v>
      </c>
      <c r="G7640" s="489">
        <v>418.32</v>
      </c>
      <c r="H7640" s="489">
        <v>45.140079999999998</v>
      </c>
      <c r="I7640" s="487" t="s">
        <v>1499</v>
      </c>
      <c r="J7640" s="487" t="s">
        <v>1008</v>
      </c>
    </row>
    <row r="7641" spans="1:10" ht="15" x14ac:dyDescent="0.2">
      <c r="A7641" s="486" t="s">
        <v>1007</v>
      </c>
      <c r="B7641" s="487" t="s">
        <v>1006</v>
      </c>
      <c r="C7641" s="488" t="s">
        <v>23983</v>
      </c>
      <c r="D7641" s="489" t="s">
        <v>23984</v>
      </c>
      <c r="E7641" s="487" t="s">
        <v>23985</v>
      </c>
      <c r="F7641" s="490">
        <v>9914</v>
      </c>
      <c r="G7641" s="489">
        <v>230.31</v>
      </c>
      <c r="H7641" s="489">
        <v>43.046329999999998</v>
      </c>
      <c r="I7641" s="487" t="s">
        <v>1499</v>
      </c>
      <c r="J7641" s="487" t="s">
        <v>1008</v>
      </c>
    </row>
    <row r="7642" spans="1:10" ht="15" x14ac:dyDescent="0.2">
      <c r="A7642" s="486" t="s">
        <v>1007</v>
      </c>
      <c r="B7642" s="487" t="s">
        <v>1006</v>
      </c>
      <c r="C7642" s="488" t="s">
        <v>23986</v>
      </c>
      <c r="D7642" s="489" t="s">
        <v>23987</v>
      </c>
      <c r="E7642" s="487" t="s">
        <v>23988</v>
      </c>
      <c r="F7642" s="490">
        <v>539185</v>
      </c>
      <c r="G7642" s="489">
        <v>3057.84</v>
      </c>
      <c r="H7642" s="489">
        <v>176.32872</v>
      </c>
      <c r="I7642" s="487" t="s">
        <v>1499</v>
      </c>
      <c r="J7642" s="487" t="s">
        <v>1008</v>
      </c>
    </row>
    <row r="7643" spans="1:10" ht="15" x14ac:dyDescent="0.2">
      <c r="A7643" s="486" t="s">
        <v>1007</v>
      </c>
      <c r="B7643" s="487" t="s">
        <v>1006</v>
      </c>
      <c r="C7643" s="488" t="s">
        <v>23989</v>
      </c>
      <c r="D7643" s="489" t="s">
        <v>23990</v>
      </c>
      <c r="E7643" s="487" t="s">
        <v>23991</v>
      </c>
      <c r="F7643" s="490">
        <v>0</v>
      </c>
      <c r="G7643" s="489">
        <v>0</v>
      </c>
      <c r="H7643" s="489">
        <v>0</v>
      </c>
      <c r="I7643" s="487" t="s">
        <v>2465</v>
      </c>
      <c r="J7643" s="487" t="s">
        <v>1008</v>
      </c>
    </row>
    <row r="7644" spans="1:10" ht="15" x14ac:dyDescent="0.2">
      <c r="A7644" s="486" t="s">
        <v>1007</v>
      </c>
      <c r="B7644" s="487" t="s">
        <v>1006</v>
      </c>
      <c r="C7644" s="488" t="s">
        <v>23992</v>
      </c>
      <c r="D7644" s="489" t="s">
        <v>23993</v>
      </c>
      <c r="E7644" s="487" t="s">
        <v>23994</v>
      </c>
      <c r="F7644" s="490">
        <v>0</v>
      </c>
      <c r="G7644" s="489">
        <v>40.590000000000003</v>
      </c>
      <c r="H7644" s="489">
        <v>0</v>
      </c>
      <c r="I7644" s="487" t="s">
        <v>1593</v>
      </c>
      <c r="J7644" s="487" t="s">
        <v>1008</v>
      </c>
    </row>
    <row r="7645" spans="1:10" ht="15" x14ac:dyDescent="0.2">
      <c r="A7645" s="486" t="s">
        <v>1007</v>
      </c>
      <c r="B7645" s="487" t="s">
        <v>1006</v>
      </c>
      <c r="C7645" s="488" t="s">
        <v>23995</v>
      </c>
      <c r="D7645" s="489" t="s">
        <v>23996</v>
      </c>
      <c r="E7645" s="487" t="s">
        <v>21783</v>
      </c>
      <c r="F7645" s="490">
        <v>21000</v>
      </c>
      <c r="G7645" s="489">
        <v>270.36</v>
      </c>
      <c r="H7645" s="489">
        <v>77.674210000000002</v>
      </c>
      <c r="I7645" s="487" t="s">
        <v>1499</v>
      </c>
      <c r="J7645" s="487" t="s">
        <v>1008</v>
      </c>
    </row>
    <row r="7646" spans="1:10" ht="15" x14ac:dyDescent="0.2">
      <c r="A7646" s="486" t="s">
        <v>1007</v>
      </c>
      <c r="B7646" s="487" t="s">
        <v>1006</v>
      </c>
      <c r="C7646" s="488" t="s">
        <v>23997</v>
      </c>
      <c r="D7646" s="489" t="s">
        <v>23998</v>
      </c>
      <c r="E7646" s="487" t="s">
        <v>23999</v>
      </c>
      <c r="F7646" s="490">
        <v>1800</v>
      </c>
      <c r="G7646" s="489">
        <v>75.599999999999994</v>
      </c>
      <c r="H7646" s="489">
        <v>23.809519999999999</v>
      </c>
      <c r="I7646" s="487" t="s">
        <v>1499</v>
      </c>
      <c r="J7646" s="487" t="s">
        <v>1008</v>
      </c>
    </row>
    <row r="7647" spans="1:10" ht="15" x14ac:dyDescent="0.2">
      <c r="A7647" s="486" t="s">
        <v>1007</v>
      </c>
      <c r="B7647" s="487" t="s">
        <v>1006</v>
      </c>
      <c r="C7647" s="488" t="s">
        <v>24000</v>
      </c>
      <c r="D7647" s="489" t="s">
        <v>24001</v>
      </c>
      <c r="E7647" s="487" t="s">
        <v>24002</v>
      </c>
      <c r="F7647" s="490">
        <v>70000</v>
      </c>
      <c r="G7647" s="489">
        <v>1954.35</v>
      </c>
      <c r="H7647" s="489">
        <v>35.817540000000001</v>
      </c>
      <c r="I7647" s="487" t="s">
        <v>1499</v>
      </c>
      <c r="J7647" s="487" t="s">
        <v>1008</v>
      </c>
    </row>
    <row r="7648" spans="1:10" ht="15" x14ac:dyDescent="0.2">
      <c r="A7648" s="486" t="s">
        <v>1007</v>
      </c>
      <c r="B7648" s="487" t="s">
        <v>1006</v>
      </c>
      <c r="C7648" s="488" t="s">
        <v>24003</v>
      </c>
      <c r="D7648" s="489" t="s">
        <v>24004</v>
      </c>
      <c r="E7648" s="487" t="s">
        <v>16999</v>
      </c>
      <c r="F7648" s="490">
        <v>10297</v>
      </c>
      <c r="G7648" s="489">
        <v>165.15</v>
      </c>
      <c r="H7648" s="489">
        <v>62.349379999999996</v>
      </c>
      <c r="I7648" s="487" t="s">
        <v>1499</v>
      </c>
      <c r="J7648" s="487" t="s">
        <v>1008</v>
      </c>
    </row>
    <row r="7649" spans="1:10" ht="15" x14ac:dyDescent="0.2">
      <c r="A7649" s="486" t="s">
        <v>1007</v>
      </c>
      <c r="B7649" s="487" t="s">
        <v>1006</v>
      </c>
      <c r="C7649" s="488" t="s">
        <v>24005</v>
      </c>
      <c r="D7649" s="489" t="s">
        <v>24006</v>
      </c>
      <c r="E7649" s="487" t="s">
        <v>16397</v>
      </c>
      <c r="F7649" s="490">
        <v>4000</v>
      </c>
      <c r="G7649" s="489">
        <v>236.25</v>
      </c>
      <c r="H7649" s="489">
        <v>16.93122</v>
      </c>
      <c r="I7649" s="487" t="s">
        <v>1499</v>
      </c>
      <c r="J7649" s="487" t="s">
        <v>1008</v>
      </c>
    </row>
    <row r="7650" spans="1:10" ht="15" x14ac:dyDescent="0.2">
      <c r="A7650" s="486" t="s">
        <v>1007</v>
      </c>
      <c r="B7650" s="487" t="s">
        <v>1006</v>
      </c>
      <c r="C7650" s="488" t="s">
        <v>24007</v>
      </c>
      <c r="D7650" s="489" t="s">
        <v>24008</v>
      </c>
      <c r="E7650" s="487" t="s">
        <v>24009</v>
      </c>
      <c r="F7650" s="490">
        <v>3050</v>
      </c>
      <c r="G7650" s="489">
        <v>128.97</v>
      </c>
      <c r="H7650" s="489">
        <v>23.648910000000001</v>
      </c>
      <c r="I7650" s="487" t="s">
        <v>1499</v>
      </c>
      <c r="J7650" s="487" t="s">
        <v>1008</v>
      </c>
    </row>
    <row r="7651" spans="1:10" ht="15" x14ac:dyDescent="0.2">
      <c r="A7651" s="486" t="s">
        <v>1007</v>
      </c>
      <c r="B7651" s="487" t="s">
        <v>1006</v>
      </c>
      <c r="C7651" s="488" t="s">
        <v>24010</v>
      </c>
      <c r="D7651" s="489" t="s">
        <v>24011</v>
      </c>
      <c r="E7651" s="487" t="s">
        <v>24012</v>
      </c>
      <c r="F7651" s="490">
        <v>13922</v>
      </c>
      <c r="G7651" s="489">
        <v>194.94</v>
      </c>
      <c r="H7651" s="489">
        <v>71.416849999999997</v>
      </c>
      <c r="I7651" s="487" t="s">
        <v>1499</v>
      </c>
      <c r="J7651" s="487" t="s">
        <v>1008</v>
      </c>
    </row>
    <row r="7652" spans="1:10" ht="15" x14ac:dyDescent="0.2">
      <c r="A7652" s="486" t="s">
        <v>1007</v>
      </c>
      <c r="B7652" s="487" t="s">
        <v>1006</v>
      </c>
      <c r="C7652" s="488" t="s">
        <v>24013</v>
      </c>
      <c r="D7652" s="489" t="s">
        <v>24014</v>
      </c>
      <c r="E7652" s="487" t="s">
        <v>24015</v>
      </c>
      <c r="F7652" s="490">
        <v>5430</v>
      </c>
      <c r="G7652" s="489">
        <v>98.1</v>
      </c>
      <c r="H7652" s="489">
        <v>55.351680000000002</v>
      </c>
      <c r="I7652" s="487" t="s">
        <v>1499</v>
      </c>
      <c r="J7652" s="487" t="s">
        <v>1008</v>
      </c>
    </row>
    <row r="7653" spans="1:10" ht="15" x14ac:dyDescent="0.2">
      <c r="A7653" s="486" t="s">
        <v>1007</v>
      </c>
      <c r="B7653" s="487" t="s">
        <v>1006</v>
      </c>
      <c r="C7653" s="488" t="s">
        <v>24016</v>
      </c>
      <c r="D7653" s="489" t="s">
        <v>24017</v>
      </c>
      <c r="E7653" s="487" t="s">
        <v>24018</v>
      </c>
      <c r="F7653" s="490">
        <v>294754</v>
      </c>
      <c r="G7653" s="489">
        <v>3053.16</v>
      </c>
      <c r="H7653" s="489">
        <v>96.540629999999993</v>
      </c>
      <c r="I7653" s="487" t="s">
        <v>1499</v>
      </c>
      <c r="J7653" s="487" t="s">
        <v>1008</v>
      </c>
    </row>
    <row r="7654" spans="1:10" ht="15" x14ac:dyDescent="0.2">
      <c r="A7654" s="486" t="s">
        <v>1007</v>
      </c>
      <c r="B7654" s="487" t="s">
        <v>1006</v>
      </c>
      <c r="C7654" s="488" t="s">
        <v>24019</v>
      </c>
      <c r="D7654" s="489" t="s">
        <v>24020</v>
      </c>
      <c r="E7654" s="487" t="s">
        <v>24021</v>
      </c>
      <c r="F7654" s="490">
        <v>0</v>
      </c>
      <c r="G7654" s="489">
        <v>41.31</v>
      </c>
      <c r="H7654" s="489">
        <v>0</v>
      </c>
      <c r="I7654" s="487" t="s">
        <v>1593</v>
      </c>
      <c r="J7654" s="487" t="s">
        <v>1008</v>
      </c>
    </row>
    <row r="7655" spans="1:10" ht="15" x14ac:dyDescent="0.2">
      <c r="A7655" s="486" t="s">
        <v>1007</v>
      </c>
      <c r="B7655" s="487" t="s">
        <v>1006</v>
      </c>
      <c r="C7655" s="488" t="s">
        <v>24022</v>
      </c>
      <c r="D7655" s="489" t="s">
        <v>24023</v>
      </c>
      <c r="E7655" s="487" t="s">
        <v>11236</v>
      </c>
      <c r="F7655" s="490">
        <v>0</v>
      </c>
      <c r="G7655" s="489">
        <v>29.61</v>
      </c>
      <c r="H7655" s="489">
        <v>0</v>
      </c>
      <c r="I7655" s="487" t="s">
        <v>1593</v>
      </c>
      <c r="J7655" s="487" t="s">
        <v>1008</v>
      </c>
    </row>
    <row r="7656" spans="1:10" ht="15" x14ac:dyDescent="0.2">
      <c r="A7656" s="486" t="s">
        <v>1007</v>
      </c>
      <c r="B7656" s="487" t="s">
        <v>1006</v>
      </c>
      <c r="C7656" s="488" t="s">
        <v>24024</v>
      </c>
      <c r="D7656" s="489" t="s">
        <v>24025</v>
      </c>
      <c r="E7656" s="487" t="s">
        <v>24026</v>
      </c>
      <c r="F7656" s="490">
        <v>0</v>
      </c>
      <c r="G7656" s="489">
        <v>0</v>
      </c>
      <c r="H7656" s="489">
        <v>0</v>
      </c>
      <c r="I7656" s="487" t="s">
        <v>2465</v>
      </c>
      <c r="J7656" s="487" t="s">
        <v>1008</v>
      </c>
    </row>
    <row r="7657" spans="1:10" ht="15" x14ac:dyDescent="0.2">
      <c r="A7657" s="486" t="s">
        <v>1007</v>
      </c>
      <c r="B7657" s="487" t="s">
        <v>1006</v>
      </c>
      <c r="C7657" s="488" t="s">
        <v>24027</v>
      </c>
      <c r="D7657" s="489" t="s">
        <v>24028</v>
      </c>
      <c r="E7657" s="487" t="s">
        <v>24029</v>
      </c>
      <c r="F7657" s="490">
        <v>28980</v>
      </c>
      <c r="G7657" s="489">
        <v>555.92999999999995</v>
      </c>
      <c r="H7657" s="489">
        <v>52.128869999999999</v>
      </c>
      <c r="I7657" s="487" t="s">
        <v>1499</v>
      </c>
      <c r="J7657" s="487" t="s">
        <v>1008</v>
      </c>
    </row>
    <row r="7658" spans="1:10" ht="15" x14ac:dyDescent="0.2">
      <c r="A7658" s="486" t="s">
        <v>1007</v>
      </c>
      <c r="B7658" s="487" t="s">
        <v>1006</v>
      </c>
      <c r="C7658" s="488" t="s">
        <v>24030</v>
      </c>
      <c r="D7658" s="489" t="s">
        <v>24031</v>
      </c>
      <c r="E7658" s="487" t="s">
        <v>24032</v>
      </c>
      <c r="F7658" s="490">
        <v>0</v>
      </c>
      <c r="G7658" s="489">
        <v>96.93</v>
      </c>
      <c r="H7658" s="489">
        <v>0</v>
      </c>
      <c r="I7658" s="487" t="s">
        <v>1593</v>
      </c>
      <c r="J7658" s="487" t="s">
        <v>1008</v>
      </c>
    </row>
    <row r="7659" spans="1:10" ht="15" x14ac:dyDescent="0.2">
      <c r="A7659" s="486" t="s">
        <v>1007</v>
      </c>
      <c r="B7659" s="487" t="s">
        <v>1006</v>
      </c>
      <c r="C7659" s="488" t="s">
        <v>24033</v>
      </c>
      <c r="D7659" s="489" t="s">
        <v>24034</v>
      </c>
      <c r="E7659" s="487" t="s">
        <v>3325</v>
      </c>
      <c r="F7659" s="490">
        <v>3200</v>
      </c>
      <c r="G7659" s="489">
        <v>102.78</v>
      </c>
      <c r="H7659" s="489">
        <v>31.134460000000001</v>
      </c>
      <c r="I7659" s="487" t="s">
        <v>1499</v>
      </c>
      <c r="J7659" s="487" t="s">
        <v>1008</v>
      </c>
    </row>
    <row r="7660" spans="1:10" ht="15" x14ac:dyDescent="0.2">
      <c r="A7660" s="486" t="s">
        <v>1007</v>
      </c>
      <c r="B7660" s="487" t="s">
        <v>1006</v>
      </c>
      <c r="C7660" s="488" t="s">
        <v>24035</v>
      </c>
      <c r="D7660" s="489" t="s">
        <v>24036</v>
      </c>
      <c r="E7660" s="487" t="s">
        <v>6729</v>
      </c>
      <c r="F7660" s="490">
        <v>0</v>
      </c>
      <c r="G7660" s="489">
        <v>0</v>
      </c>
      <c r="H7660" s="489">
        <v>0</v>
      </c>
      <c r="I7660" s="487" t="s">
        <v>2465</v>
      </c>
      <c r="J7660" s="487" t="s">
        <v>1008</v>
      </c>
    </row>
    <row r="7661" spans="1:10" ht="15" x14ac:dyDescent="0.2">
      <c r="A7661" s="486" t="s">
        <v>1007</v>
      </c>
      <c r="B7661" s="487" t="s">
        <v>1006</v>
      </c>
      <c r="C7661" s="488" t="s">
        <v>24037</v>
      </c>
      <c r="D7661" s="489" t="s">
        <v>24038</v>
      </c>
      <c r="E7661" s="487" t="s">
        <v>24039</v>
      </c>
      <c r="F7661" s="490">
        <v>17555</v>
      </c>
      <c r="G7661" s="489">
        <v>252.81</v>
      </c>
      <c r="H7661" s="489">
        <v>69.439499999999995</v>
      </c>
      <c r="I7661" s="487" t="s">
        <v>1499</v>
      </c>
      <c r="J7661" s="487" t="s">
        <v>1008</v>
      </c>
    </row>
    <row r="7662" spans="1:10" ht="15" x14ac:dyDescent="0.2">
      <c r="A7662" s="486" t="s">
        <v>1007</v>
      </c>
      <c r="B7662" s="487" t="s">
        <v>1006</v>
      </c>
      <c r="C7662" s="488" t="s">
        <v>24040</v>
      </c>
      <c r="D7662" s="489" t="s">
        <v>24041</v>
      </c>
      <c r="E7662" s="487" t="s">
        <v>3334</v>
      </c>
      <c r="F7662" s="490">
        <v>8900</v>
      </c>
      <c r="G7662" s="489">
        <v>199.89</v>
      </c>
      <c r="H7662" s="489">
        <v>44.52449</v>
      </c>
      <c r="I7662" s="487" t="s">
        <v>1499</v>
      </c>
      <c r="J7662" s="487" t="s">
        <v>1008</v>
      </c>
    </row>
    <row r="7663" spans="1:10" ht="15" x14ac:dyDescent="0.2">
      <c r="A7663" s="486" t="s">
        <v>1007</v>
      </c>
      <c r="B7663" s="487" t="s">
        <v>1006</v>
      </c>
      <c r="C7663" s="488" t="s">
        <v>24042</v>
      </c>
      <c r="D7663" s="489" t="s">
        <v>24043</v>
      </c>
      <c r="E7663" s="487" t="s">
        <v>18717</v>
      </c>
      <c r="F7663" s="490">
        <v>50847</v>
      </c>
      <c r="G7663" s="489">
        <v>446.13</v>
      </c>
      <c r="H7663" s="489">
        <v>113.97351</v>
      </c>
      <c r="I7663" s="487" t="s">
        <v>1499</v>
      </c>
      <c r="J7663" s="487" t="s">
        <v>1008</v>
      </c>
    </row>
    <row r="7664" spans="1:10" ht="15" x14ac:dyDescent="0.2">
      <c r="A7664" s="486" t="s">
        <v>1007</v>
      </c>
      <c r="B7664" s="487" t="s">
        <v>1006</v>
      </c>
      <c r="C7664" s="488" t="s">
        <v>24044</v>
      </c>
      <c r="D7664" s="489" t="s">
        <v>24045</v>
      </c>
      <c r="E7664" s="487" t="s">
        <v>1641</v>
      </c>
      <c r="F7664" s="490">
        <v>8200</v>
      </c>
      <c r="G7664" s="489">
        <v>194.22</v>
      </c>
      <c r="H7664" s="489">
        <v>42.22016</v>
      </c>
      <c r="I7664" s="487" t="s">
        <v>1499</v>
      </c>
      <c r="J7664" s="487" t="s">
        <v>1008</v>
      </c>
    </row>
    <row r="7665" spans="1:10" ht="15" x14ac:dyDescent="0.2">
      <c r="A7665" s="486" t="s">
        <v>1007</v>
      </c>
      <c r="B7665" s="487" t="s">
        <v>1006</v>
      </c>
      <c r="C7665" s="488" t="s">
        <v>24046</v>
      </c>
      <c r="D7665" s="489" t="s">
        <v>24047</v>
      </c>
      <c r="E7665" s="487" t="s">
        <v>13954</v>
      </c>
      <c r="F7665" s="490">
        <v>4917</v>
      </c>
      <c r="G7665" s="489">
        <v>145.88999999999999</v>
      </c>
      <c r="H7665" s="489">
        <v>33.703479999999999</v>
      </c>
      <c r="I7665" s="487" t="s">
        <v>1499</v>
      </c>
      <c r="J7665" s="487" t="s">
        <v>1008</v>
      </c>
    </row>
    <row r="7666" spans="1:10" ht="15" x14ac:dyDescent="0.2">
      <c r="A7666" s="486" t="s">
        <v>1007</v>
      </c>
      <c r="B7666" s="487" t="s">
        <v>1006</v>
      </c>
      <c r="C7666" s="488" t="s">
        <v>24048</v>
      </c>
      <c r="D7666" s="489" t="s">
        <v>24049</v>
      </c>
      <c r="E7666" s="487" t="s">
        <v>24050</v>
      </c>
      <c r="F7666" s="490">
        <v>1000</v>
      </c>
      <c r="G7666" s="489">
        <v>53.01</v>
      </c>
      <c r="H7666" s="489">
        <v>18.864370000000001</v>
      </c>
      <c r="I7666" s="487" t="s">
        <v>1499</v>
      </c>
      <c r="J7666" s="487" t="s">
        <v>1008</v>
      </c>
    </row>
    <row r="7667" spans="1:10" ht="15" x14ac:dyDescent="0.2">
      <c r="A7667" s="486" t="s">
        <v>1007</v>
      </c>
      <c r="B7667" s="487" t="s">
        <v>1006</v>
      </c>
      <c r="C7667" s="488" t="s">
        <v>24051</v>
      </c>
      <c r="D7667" s="489" t="s">
        <v>24052</v>
      </c>
      <c r="E7667" s="487" t="s">
        <v>24053</v>
      </c>
      <c r="F7667" s="490">
        <v>0</v>
      </c>
      <c r="G7667" s="489">
        <v>50.4</v>
      </c>
      <c r="H7667" s="489">
        <v>0</v>
      </c>
      <c r="I7667" s="487" t="s">
        <v>1593</v>
      </c>
      <c r="J7667" s="487" t="s">
        <v>1008</v>
      </c>
    </row>
    <row r="7668" spans="1:10" ht="15" x14ac:dyDescent="0.2">
      <c r="A7668" s="486" t="s">
        <v>1007</v>
      </c>
      <c r="B7668" s="487" t="s">
        <v>1006</v>
      </c>
      <c r="C7668" s="488" t="s">
        <v>24054</v>
      </c>
      <c r="D7668" s="489" t="s">
        <v>24055</v>
      </c>
      <c r="E7668" s="487" t="s">
        <v>24056</v>
      </c>
      <c r="F7668" s="490">
        <v>14000</v>
      </c>
      <c r="G7668" s="489">
        <v>329.4</v>
      </c>
      <c r="H7668" s="489">
        <v>42.501519999999999</v>
      </c>
      <c r="I7668" s="487" t="s">
        <v>2465</v>
      </c>
      <c r="J7668" s="487" t="s">
        <v>1008</v>
      </c>
    </row>
    <row r="7669" spans="1:10" ht="15" x14ac:dyDescent="0.2">
      <c r="A7669" s="486" t="s">
        <v>1007</v>
      </c>
      <c r="B7669" s="487" t="s">
        <v>1006</v>
      </c>
      <c r="C7669" s="488" t="s">
        <v>24057</v>
      </c>
      <c r="D7669" s="489" t="s">
        <v>24058</v>
      </c>
      <c r="E7669" s="487" t="s">
        <v>24059</v>
      </c>
      <c r="F7669" s="490">
        <v>10890</v>
      </c>
      <c r="G7669" s="489">
        <v>127.35</v>
      </c>
      <c r="H7669" s="489">
        <v>85.512370000000004</v>
      </c>
      <c r="I7669" s="487" t="s">
        <v>1499</v>
      </c>
      <c r="J7669" s="487" t="s">
        <v>1008</v>
      </c>
    </row>
    <row r="7670" spans="1:10" ht="15" x14ac:dyDescent="0.2">
      <c r="A7670" s="486" t="s">
        <v>1146</v>
      </c>
      <c r="B7670" s="487" t="s">
        <v>1145</v>
      </c>
      <c r="C7670" s="488" t="s">
        <v>24060</v>
      </c>
      <c r="D7670" s="489" t="s">
        <v>24061</v>
      </c>
      <c r="E7670" s="487" t="s">
        <v>24062</v>
      </c>
      <c r="F7670" s="490">
        <v>18294</v>
      </c>
      <c r="G7670" s="489">
        <v>452.7</v>
      </c>
      <c r="H7670" s="489">
        <v>40.410870000000003</v>
      </c>
      <c r="I7670" s="487" t="s">
        <v>1499</v>
      </c>
      <c r="J7670" s="487" t="s">
        <v>1147</v>
      </c>
    </row>
    <row r="7671" spans="1:10" ht="15" x14ac:dyDescent="0.2">
      <c r="A7671" s="486" t="s">
        <v>1146</v>
      </c>
      <c r="B7671" s="487" t="s">
        <v>1145</v>
      </c>
      <c r="C7671" s="488" t="s">
        <v>24063</v>
      </c>
      <c r="D7671" s="489" t="s">
        <v>24064</v>
      </c>
      <c r="E7671" s="487" t="s">
        <v>24065</v>
      </c>
      <c r="F7671" s="490">
        <v>5446</v>
      </c>
      <c r="G7671" s="489">
        <v>210.1</v>
      </c>
      <c r="H7671" s="489">
        <v>25.92099</v>
      </c>
      <c r="I7671" s="487" t="s">
        <v>1499</v>
      </c>
      <c r="J7671" s="487" t="s">
        <v>1147</v>
      </c>
    </row>
    <row r="7672" spans="1:10" ht="15" x14ac:dyDescent="0.2">
      <c r="A7672" s="486" t="s">
        <v>1146</v>
      </c>
      <c r="B7672" s="487" t="s">
        <v>1145</v>
      </c>
      <c r="C7672" s="488" t="s">
        <v>24066</v>
      </c>
      <c r="D7672" s="489" t="s">
        <v>24067</v>
      </c>
      <c r="E7672" s="487" t="s">
        <v>24068</v>
      </c>
      <c r="F7672" s="490">
        <v>437032</v>
      </c>
      <c r="G7672" s="489">
        <v>4218.8</v>
      </c>
      <c r="H7672" s="489">
        <v>103.59153999999999</v>
      </c>
      <c r="I7672" s="487" t="s">
        <v>1499</v>
      </c>
      <c r="J7672" s="487" t="s">
        <v>1147</v>
      </c>
    </row>
    <row r="7673" spans="1:10" ht="15" x14ac:dyDescent="0.2">
      <c r="A7673" s="486" t="s">
        <v>1146</v>
      </c>
      <c r="B7673" s="487" t="s">
        <v>1145</v>
      </c>
      <c r="C7673" s="488" t="s">
        <v>24069</v>
      </c>
      <c r="D7673" s="489" t="s">
        <v>24070</v>
      </c>
      <c r="E7673" s="487" t="s">
        <v>24071</v>
      </c>
      <c r="F7673" s="490">
        <v>6100</v>
      </c>
      <c r="G7673" s="489">
        <v>169.5</v>
      </c>
      <c r="H7673" s="489">
        <v>35.988199999999999</v>
      </c>
      <c r="I7673" s="487" t="s">
        <v>1499</v>
      </c>
      <c r="J7673" s="487" t="s">
        <v>1147</v>
      </c>
    </row>
    <row r="7674" spans="1:10" ht="15" x14ac:dyDescent="0.2">
      <c r="A7674" s="486" t="s">
        <v>1146</v>
      </c>
      <c r="B7674" s="487" t="s">
        <v>1145</v>
      </c>
      <c r="C7674" s="488" t="s">
        <v>24072</v>
      </c>
      <c r="D7674" s="489" t="s">
        <v>24073</v>
      </c>
      <c r="E7674" s="487" t="s">
        <v>24074</v>
      </c>
      <c r="F7674" s="490">
        <v>26783</v>
      </c>
      <c r="G7674" s="489">
        <v>298.2</v>
      </c>
      <c r="H7674" s="489">
        <v>89.815560000000005</v>
      </c>
      <c r="I7674" s="487" t="s">
        <v>1499</v>
      </c>
      <c r="J7674" s="487" t="s">
        <v>1147</v>
      </c>
    </row>
    <row r="7675" spans="1:10" ht="15" x14ac:dyDescent="0.2">
      <c r="A7675" s="486" t="s">
        <v>1146</v>
      </c>
      <c r="B7675" s="487" t="s">
        <v>1145</v>
      </c>
      <c r="C7675" s="488" t="s">
        <v>24075</v>
      </c>
      <c r="D7675" s="489" t="s">
        <v>24076</v>
      </c>
      <c r="E7675" s="487" t="s">
        <v>24077</v>
      </c>
      <c r="F7675" s="490">
        <v>0</v>
      </c>
      <c r="G7675" s="489">
        <v>95.2</v>
      </c>
      <c r="H7675" s="489">
        <v>0</v>
      </c>
      <c r="I7675" s="487" t="s">
        <v>1593</v>
      </c>
      <c r="J7675" s="487" t="s">
        <v>1147</v>
      </c>
    </row>
    <row r="7676" spans="1:10" ht="15" x14ac:dyDescent="0.2">
      <c r="A7676" s="486" t="s">
        <v>1146</v>
      </c>
      <c r="B7676" s="487" t="s">
        <v>1145</v>
      </c>
      <c r="C7676" s="488" t="s">
        <v>24078</v>
      </c>
      <c r="D7676" s="489" t="s">
        <v>24079</v>
      </c>
      <c r="E7676" s="487" t="s">
        <v>22762</v>
      </c>
      <c r="F7676" s="490">
        <v>0</v>
      </c>
      <c r="G7676" s="489">
        <v>31.9</v>
      </c>
      <c r="H7676" s="489">
        <v>0</v>
      </c>
      <c r="I7676" s="487" t="s">
        <v>1593</v>
      </c>
      <c r="J7676" s="487" t="s">
        <v>1147</v>
      </c>
    </row>
    <row r="7677" spans="1:10" ht="15" x14ac:dyDescent="0.2">
      <c r="A7677" s="486" t="s">
        <v>1146</v>
      </c>
      <c r="B7677" s="487" t="s">
        <v>1145</v>
      </c>
      <c r="C7677" s="488" t="s">
        <v>24080</v>
      </c>
      <c r="D7677" s="489" t="s">
        <v>24081</v>
      </c>
      <c r="E7677" s="487" t="s">
        <v>24082</v>
      </c>
      <c r="F7677" s="490">
        <v>12152</v>
      </c>
      <c r="G7677" s="489">
        <v>136.1</v>
      </c>
      <c r="H7677" s="489">
        <v>89.287289999999999</v>
      </c>
      <c r="I7677" s="487" t="s">
        <v>1499</v>
      </c>
      <c r="J7677" s="487" t="s">
        <v>1147</v>
      </c>
    </row>
    <row r="7678" spans="1:10" ht="15" x14ac:dyDescent="0.2">
      <c r="A7678" s="486" t="s">
        <v>1146</v>
      </c>
      <c r="B7678" s="487" t="s">
        <v>1145</v>
      </c>
      <c r="C7678" s="488" t="s">
        <v>24083</v>
      </c>
      <c r="D7678" s="489" t="s">
        <v>24084</v>
      </c>
      <c r="E7678" s="487" t="s">
        <v>24085</v>
      </c>
      <c r="F7678" s="490">
        <v>20750</v>
      </c>
      <c r="G7678" s="489">
        <v>312.60000000000002</v>
      </c>
      <c r="H7678" s="489">
        <v>66.37876</v>
      </c>
      <c r="I7678" s="487" t="s">
        <v>1499</v>
      </c>
      <c r="J7678" s="487" t="s">
        <v>1147</v>
      </c>
    </row>
    <row r="7679" spans="1:10" ht="15" x14ac:dyDescent="0.2">
      <c r="A7679" s="486" t="s">
        <v>1146</v>
      </c>
      <c r="B7679" s="487" t="s">
        <v>1145</v>
      </c>
      <c r="C7679" s="488" t="s">
        <v>24086</v>
      </c>
      <c r="D7679" s="489" t="s">
        <v>24087</v>
      </c>
      <c r="E7679" s="487" t="s">
        <v>24088</v>
      </c>
      <c r="F7679" s="490">
        <v>276040</v>
      </c>
      <c r="G7679" s="489">
        <v>2433.8000000000002</v>
      </c>
      <c r="H7679" s="489">
        <v>113.41934000000001</v>
      </c>
      <c r="I7679" s="487" t="s">
        <v>1499</v>
      </c>
      <c r="J7679" s="487" t="s">
        <v>1147</v>
      </c>
    </row>
    <row r="7680" spans="1:10" ht="15" x14ac:dyDescent="0.2">
      <c r="A7680" s="486" t="s">
        <v>1146</v>
      </c>
      <c r="B7680" s="487" t="s">
        <v>1145</v>
      </c>
      <c r="C7680" s="488" t="s">
        <v>24089</v>
      </c>
      <c r="D7680" s="489" t="s">
        <v>24090</v>
      </c>
      <c r="E7680" s="487" t="s">
        <v>24091</v>
      </c>
      <c r="F7680" s="490">
        <v>116968</v>
      </c>
      <c r="G7680" s="489">
        <v>732.1</v>
      </c>
      <c r="H7680" s="489">
        <v>159.77052</v>
      </c>
      <c r="I7680" s="487" t="s">
        <v>1499</v>
      </c>
      <c r="J7680" s="487" t="s">
        <v>1147</v>
      </c>
    </row>
    <row r="7681" spans="1:10" ht="15" x14ac:dyDescent="0.2">
      <c r="A7681" s="486" t="s">
        <v>1146</v>
      </c>
      <c r="B7681" s="487" t="s">
        <v>1145</v>
      </c>
      <c r="C7681" s="488" t="s">
        <v>24092</v>
      </c>
      <c r="D7681" s="489" t="s">
        <v>24093</v>
      </c>
      <c r="E7681" s="487" t="s">
        <v>24094</v>
      </c>
      <c r="F7681" s="490">
        <v>15500</v>
      </c>
      <c r="G7681" s="489">
        <v>267.89999999999998</v>
      </c>
      <c r="H7681" s="489">
        <v>57.857410000000002</v>
      </c>
      <c r="I7681" s="487" t="s">
        <v>1499</v>
      </c>
      <c r="J7681" s="487" t="s">
        <v>1147</v>
      </c>
    </row>
    <row r="7682" spans="1:10" ht="15" x14ac:dyDescent="0.2">
      <c r="A7682" s="486" t="s">
        <v>1146</v>
      </c>
      <c r="B7682" s="487" t="s">
        <v>1145</v>
      </c>
      <c r="C7682" s="488" t="s">
        <v>24095</v>
      </c>
      <c r="D7682" s="489" t="s">
        <v>24096</v>
      </c>
      <c r="E7682" s="487" t="s">
        <v>24097</v>
      </c>
      <c r="F7682" s="490">
        <v>46693</v>
      </c>
      <c r="G7682" s="489">
        <v>854.9</v>
      </c>
      <c r="H7682" s="489">
        <v>54.618079999999999</v>
      </c>
      <c r="I7682" s="487" t="s">
        <v>1499</v>
      </c>
      <c r="J7682" s="487" t="s">
        <v>1147</v>
      </c>
    </row>
    <row r="7683" spans="1:10" ht="15" x14ac:dyDescent="0.2">
      <c r="A7683" s="486" t="s">
        <v>1146</v>
      </c>
      <c r="B7683" s="487" t="s">
        <v>1145</v>
      </c>
      <c r="C7683" s="488" t="s">
        <v>24098</v>
      </c>
      <c r="D7683" s="489" t="s">
        <v>24099</v>
      </c>
      <c r="E7683" s="487" t="s">
        <v>24100</v>
      </c>
      <c r="F7683" s="490">
        <v>324950</v>
      </c>
      <c r="G7683" s="489">
        <v>3495.6</v>
      </c>
      <c r="H7683" s="489">
        <v>92.959720000000004</v>
      </c>
      <c r="I7683" s="487" t="s">
        <v>1499</v>
      </c>
      <c r="J7683" s="487" t="s">
        <v>1147</v>
      </c>
    </row>
    <row r="7684" spans="1:10" ht="15" x14ac:dyDescent="0.2">
      <c r="A7684" s="486" t="s">
        <v>1146</v>
      </c>
      <c r="B7684" s="487" t="s">
        <v>1145</v>
      </c>
      <c r="C7684" s="488" t="s">
        <v>24101</v>
      </c>
      <c r="D7684" s="489" t="s">
        <v>24102</v>
      </c>
      <c r="E7684" s="487" t="s">
        <v>24103</v>
      </c>
      <c r="F7684" s="490">
        <v>0</v>
      </c>
      <c r="G7684" s="489">
        <v>52</v>
      </c>
      <c r="H7684" s="489">
        <v>0</v>
      </c>
      <c r="I7684" s="487" t="s">
        <v>1593</v>
      </c>
      <c r="J7684" s="487" t="s">
        <v>1147</v>
      </c>
    </row>
    <row r="7685" spans="1:10" ht="15" x14ac:dyDescent="0.2">
      <c r="A7685" s="486" t="s">
        <v>1146</v>
      </c>
      <c r="B7685" s="487" t="s">
        <v>1145</v>
      </c>
      <c r="C7685" s="488" t="s">
        <v>24104</v>
      </c>
      <c r="D7685" s="489" t="s">
        <v>24105</v>
      </c>
      <c r="E7685" s="487" t="s">
        <v>24106</v>
      </c>
      <c r="F7685" s="490">
        <v>0</v>
      </c>
      <c r="G7685" s="489">
        <v>28.3</v>
      </c>
      <c r="H7685" s="489">
        <v>0</v>
      </c>
      <c r="I7685" s="487" t="s">
        <v>1593</v>
      </c>
      <c r="J7685" s="487" t="s">
        <v>1147</v>
      </c>
    </row>
    <row r="7686" spans="1:10" ht="15" x14ac:dyDescent="0.2">
      <c r="A7686" s="486" t="s">
        <v>1146</v>
      </c>
      <c r="B7686" s="487" t="s">
        <v>1145</v>
      </c>
      <c r="C7686" s="488" t="s">
        <v>24107</v>
      </c>
      <c r="D7686" s="489" t="s">
        <v>24108</v>
      </c>
      <c r="E7686" s="487" t="s">
        <v>24109</v>
      </c>
      <c r="F7686" s="490">
        <v>19750</v>
      </c>
      <c r="G7686" s="489">
        <v>220.4</v>
      </c>
      <c r="H7686" s="489">
        <v>89.609800000000007</v>
      </c>
      <c r="I7686" s="487" t="s">
        <v>1499</v>
      </c>
      <c r="J7686" s="487" t="s">
        <v>1147</v>
      </c>
    </row>
    <row r="7687" spans="1:10" ht="15" x14ac:dyDescent="0.2">
      <c r="A7687" s="486" t="s">
        <v>1146</v>
      </c>
      <c r="B7687" s="487" t="s">
        <v>1145</v>
      </c>
      <c r="C7687" s="488" t="s">
        <v>24110</v>
      </c>
      <c r="D7687" s="489" t="s">
        <v>24111</v>
      </c>
      <c r="E7687" s="487" t="s">
        <v>24112</v>
      </c>
      <c r="F7687" s="490">
        <v>41126</v>
      </c>
      <c r="G7687" s="489">
        <v>622.4</v>
      </c>
      <c r="H7687" s="489">
        <v>66.076480000000004</v>
      </c>
      <c r="I7687" s="487" t="s">
        <v>1499</v>
      </c>
      <c r="J7687" s="487" t="s">
        <v>1147</v>
      </c>
    </row>
    <row r="7688" spans="1:10" ht="15" x14ac:dyDescent="0.2">
      <c r="A7688" s="486" t="s">
        <v>1146</v>
      </c>
      <c r="B7688" s="487" t="s">
        <v>1145</v>
      </c>
      <c r="C7688" s="488" t="s">
        <v>24113</v>
      </c>
      <c r="D7688" s="489" t="s">
        <v>24114</v>
      </c>
      <c r="E7688" s="487" t="s">
        <v>24115</v>
      </c>
      <c r="F7688" s="490">
        <v>15635</v>
      </c>
      <c r="G7688" s="489">
        <v>186</v>
      </c>
      <c r="H7688" s="489">
        <v>84.059139999999999</v>
      </c>
      <c r="I7688" s="487" t="s">
        <v>1499</v>
      </c>
      <c r="J7688" s="487" t="s">
        <v>1147</v>
      </c>
    </row>
    <row r="7689" spans="1:10" ht="15" x14ac:dyDescent="0.2">
      <c r="A7689" s="486" t="s">
        <v>1146</v>
      </c>
      <c r="B7689" s="487" t="s">
        <v>1145</v>
      </c>
      <c r="C7689" s="488" t="s">
        <v>24116</v>
      </c>
      <c r="D7689" s="489" t="s">
        <v>24117</v>
      </c>
      <c r="E7689" s="487" t="s">
        <v>24118</v>
      </c>
      <c r="F7689" s="490">
        <v>15600</v>
      </c>
      <c r="G7689" s="489">
        <v>73.7</v>
      </c>
      <c r="H7689" s="489">
        <v>211.66892999999999</v>
      </c>
      <c r="I7689" s="487" t="s">
        <v>1499</v>
      </c>
      <c r="J7689" s="487" t="s">
        <v>1147</v>
      </c>
    </row>
    <row r="7690" spans="1:10" ht="15" x14ac:dyDescent="0.2">
      <c r="A7690" s="486" t="s">
        <v>1146</v>
      </c>
      <c r="B7690" s="487" t="s">
        <v>1145</v>
      </c>
      <c r="C7690" s="488" t="s">
        <v>24119</v>
      </c>
      <c r="D7690" s="489" t="s">
        <v>24120</v>
      </c>
      <c r="E7690" s="487" t="s">
        <v>19737</v>
      </c>
      <c r="F7690" s="490">
        <v>12000</v>
      </c>
      <c r="G7690" s="489">
        <v>262.2</v>
      </c>
      <c r="H7690" s="489">
        <v>45.766590000000001</v>
      </c>
      <c r="I7690" s="487" t="s">
        <v>1499</v>
      </c>
      <c r="J7690" s="487" t="s">
        <v>1147</v>
      </c>
    </row>
    <row r="7691" spans="1:10" ht="15" x14ac:dyDescent="0.2">
      <c r="A7691" s="486" t="s">
        <v>1146</v>
      </c>
      <c r="B7691" s="487" t="s">
        <v>1145</v>
      </c>
      <c r="C7691" s="488" t="s">
        <v>24121</v>
      </c>
      <c r="D7691" s="489" t="s">
        <v>24122</v>
      </c>
      <c r="E7691" s="487" t="s">
        <v>24123</v>
      </c>
      <c r="F7691" s="490">
        <v>43610</v>
      </c>
      <c r="G7691" s="489">
        <v>1107.9000000000001</v>
      </c>
      <c r="H7691" s="489">
        <v>39.362760000000002</v>
      </c>
      <c r="I7691" s="487" t="s">
        <v>1499</v>
      </c>
      <c r="J7691" s="487" t="s">
        <v>1147</v>
      </c>
    </row>
    <row r="7692" spans="1:10" ht="15" x14ac:dyDescent="0.2">
      <c r="A7692" s="486" t="s">
        <v>1146</v>
      </c>
      <c r="B7692" s="487" t="s">
        <v>1145</v>
      </c>
      <c r="C7692" s="488" t="s">
        <v>24124</v>
      </c>
      <c r="D7692" s="489" t="s">
        <v>24125</v>
      </c>
      <c r="E7692" s="487" t="s">
        <v>24126</v>
      </c>
      <c r="F7692" s="490">
        <v>227590</v>
      </c>
      <c r="G7692" s="489">
        <v>3148.2</v>
      </c>
      <c r="H7692" s="489">
        <v>72.292100000000005</v>
      </c>
      <c r="I7692" s="487" t="s">
        <v>1499</v>
      </c>
      <c r="J7692" s="487" t="s">
        <v>1147</v>
      </c>
    </row>
    <row r="7693" spans="1:10" ht="15" x14ac:dyDescent="0.2">
      <c r="A7693" s="486" t="s">
        <v>1146</v>
      </c>
      <c r="B7693" s="487" t="s">
        <v>1145</v>
      </c>
      <c r="C7693" s="488" t="s">
        <v>24127</v>
      </c>
      <c r="D7693" s="489" t="s">
        <v>24128</v>
      </c>
      <c r="E7693" s="487" t="s">
        <v>24129</v>
      </c>
      <c r="F7693" s="490">
        <v>8300</v>
      </c>
      <c r="G7693" s="489">
        <v>139.9</v>
      </c>
      <c r="H7693" s="489">
        <v>59.328090000000003</v>
      </c>
      <c r="I7693" s="487" t="s">
        <v>1499</v>
      </c>
      <c r="J7693" s="487" t="s">
        <v>1147</v>
      </c>
    </row>
    <row r="7694" spans="1:10" ht="15" x14ac:dyDescent="0.2">
      <c r="A7694" s="486" t="s">
        <v>1146</v>
      </c>
      <c r="B7694" s="487" t="s">
        <v>1145</v>
      </c>
      <c r="C7694" s="488" t="s">
        <v>24130</v>
      </c>
      <c r="D7694" s="489" t="s">
        <v>24131</v>
      </c>
      <c r="E7694" s="487" t="s">
        <v>24132</v>
      </c>
      <c r="F7694" s="490">
        <v>7073</v>
      </c>
      <c r="G7694" s="489">
        <v>436.2</v>
      </c>
      <c r="H7694" s="489">
        <v>16.215039999999998</v>
      </c>
      <c r="I7694" s="487" t="s">
        <v>1499</v>
      </c>
      <c r="J7694" s="487" t="s">
        <v>1147</v>
      </c>
    </row>
    <row r="7695" spans="1:10" ht="15" x14ac:dyDescent="0.2">
      <c r="A7695" s="486" t="s">
        <v>1146</v>
      </c>
      <c r="B7695" s="487" t="s">
        <v>1145</v>
      </c>
      <c r="C7695" s="488" t="s">
        <v>24133</v>
      </c>
      <c r="D7695" s="489" t="s">
        <v>24134</v>
      </c>
      <c r="E7695" s="487" t="s">
        <v>24135</v>
      </c>
      <c r="F7695" s="490">
        <v>0</v>
      </c>
      <c r="G7695" s="489">
        <v>33.799999999999997</v>
      </c>
      <c r="H7695" s="489">
        <v>0</v>
      </c>
      <c r="I7695" s="487" t="s">
        <v>1593</v>
      </c>
      <c r="J7695" s="487" t="s">
        <v>1147</v>
      </c>
    </row>
    <row r="7696" spans="1:10" ht="15" x14ac:dyDescent="0.2">
      <c r="A7696" s="486" t="s">
        <v>1146</v>
      </c>
      <c r="B7696" s="487" t="s">
        <v>1145</v>
      </c>
      <c r="C7696" s="488" t="s">
        <v>24136</v>
      </c>
      <c r="D7696" s="489" t="s">
        <v>24137</v>
      </c>
      <c r="E7696" s="487" t="s">
        <v>24138</v>
      </c>
      <c r="F7696" s="490">
        <v>48902</v>
      </c>
      <c r="G7696" s="489">
        <v>371.2</v>
      </c>
      <c r="H7696" s="489">
        <v>131.74029999999999</v>
      </c>
      <c r="I7696" s="487" t="s">
        <v>1499</v>
      </c>
      <c r="J7696" s="487" t="s">
        <v>1147</v>
      </c>
    </row>
    <row r="7697" spans="1:10" ht="15" x14ac:dyDescent="0.2">
      <c r="A7697" s="486" t="s">
        <v>1146</v>
      </c>
      <c r="B7697" s="487" t="s">
        <v>1145</v>
      </c>
      <c r="C7697" s="488" t="s">
        <v>24139</v>
      </c>
      <c r="D7697" s="489" t="s">
        <v>24140</v>
      </c>
      <c r="E7697" s="487" t="s">
        <v>24141</v>
      </c>
      <c r="F7697" s="490">
        <v>15965</v>
      </c>
      <c r="G7697" s="489">
        <v>196.5</v>
      </c>
      <c r="H7697" s="489">
        <v>81.24682</v>
      </c>
      <c r="I7697" s="487" t="s">
        <v>1499</v>
      </c>
      <c r="J7697" s="487" t="s">
        <v>1147</v>
      </c>
    </row>
    <row r="7698" spans="1:10" ht="15" x14ac:dyDescent="0.2">
      <c r="A7698" s="486" t="s">
        <v>1146</v>
      </c>
      <c r="B7698" s="487" t="s">
        <v>1145</v>
      </c>
      <c r="C7698" s="488" t="s">
        <v>24142</v>
      </c>
      <c r="D7698" s="489" t="s">
        <v>24143</v>
      </c>
      <c r="E7698" s="487" t="s">
        <v>24144</v>
      </c>
      <c r="F7698" s="490">
        <v>10000</v>
      </c>
      <c r="G7698" s="489">
        <v>155.9</v>
      </c>
      <c r="H7698" s="489">
        <v>64.143680000000003</v>
      </c>
      <c r="I7698" s="487" t="s">
        <v>1499</v>
      </c>
      <c r="J7698" s="487" t="s">
        <v>1147</v>
      </c>
    </row>
    <row r="7699" spans="1:10" ht="15" x14ac:dyDescent="0.2">
      <c r="A7699" s="486" t="s">
        <v>1146</v>
      </c>
      <c r="B7699" s="487" t="s">
        <v>1145</v>
      </c>
      <c r="C7699" s="488" t="s">
        <v>24145</v>
      </c>
      <c r="D7699" s="489" t="s">
        <v>24146</v>
      </c>
      <c r="E7699" s="487" t="s">
        <v>24147</v>
      </c>
      <c r="F7699" s="490">
        <v>12800</v>
      </c>
      <c r="G7699" s="489">
        <v>229.2</v>
      </c>
      <c r="H7699" s="489">
        <v>55.846420000000002</v>
      </c>
      <c r="I7699" s="487" t="s">
        <v>1499</v>
      </c>
      <c r="J7699" s="487" t="s">
        <v>1147</v>
      </c>
    </row>
    <row r="7700" spans="1:10" ht="15" x14ac:dyDescent="0.2">
      <c r="A7700" s="486" t="s">
        <v>1146</v>
      </c>
      <c r="B7700" s="487" t="s">
        <v>1145</v>
      </c>
      <c r="C7700" s="488" t="s">
        <v>24148</v>
      </c>
      <c r="D7700" s="489" t="s">
        <v>24149</v>
      </c>
      <c r="E7700" s="487" t="s">
        <v>24150</v>
      </c>
      <c r="F7700" s="490">
        <v>0</v>
      </c>
      <c r="G7700" s="489">
        <v>51.3</v>
      </c>
      <c r="H7700" s="489">
        <v>0</v>
      </c>
      <c r="I7700" s="487" t="s">
        <v>1593</v>
      </c>
      <c r="J7700" s="487" t="s">
        <v>1147</v>
      </c>
    </row>
    <row r="7701" spans="1:10" ht="15" x14ac:dyDescent="0.2">
      <c r="A7701" s="486" t="s">
        <v>1146</v>
      </c>
      <c r="B7701" s="487" t="s">
        <v>1145</v>
      </c>
      <c r="C7701" s="488" t="s">
        <v>24151</v>
      </c>
      <c r="D7701" s="489" t="s">
        <v>24152</v>
      </c>
      <c r="E7701" s="487" t="s">
        <v>24153</v>
      </c>
      <c r="F7701" s="490">
        <v>6080</v>
      </c>
      <c r="G7701" s="489">
        <v>124.6</v>
      </c>
      <c r="H7701" s="489">
        <v>48.796149999999997</v>
      </c>
      <c r="I7701" s="487" t="s">
        <v>1499</v>
      </c>
      <c r="J7701" s="487" t="s">
        <v>1147</v>
      </c>
    </row>
    <row r="7702" spans="1:10" ht="15" x14ac:dyDescent="0.2">
      <c r="A7702" s="486" t="s">
        <v>1146</v>
      </c>
      <c r="B7702" s="487" t="s">
        <v>1145</v>
      </c>
      <c r="C7702" s="488" t="s">
        <v>24154</v>
      </c>
      <c r="D7702" s="489" t="s">
        <v>24155</v>
      </c>
      <c r="E7702" s="487" t="s">
        <v>24156</v>
      </c>
      <c r="F7702" s="490">
        <v>351800</v>
      </c>
      <c r="G7702" s="489">
        <v>3144.4</v>
      </c>
      <c r="H7702" s="489">
        <v>111.88144</v>
      </c>
      <c r="I7702" s="487" t="s">
        <v>1499</v>
      </c>
      <c r="J7702" s="487" t="s">
        <v>1147</v>
      </c>
    </row>
    <row r="7703" spans="1:10" ht="15" x14ac:dyDescent="0.2">
      <c r="A7703" s="486" t="s">
        <v>1146</v>
      </c>
      <c r="B7703" s="487" t="s">
        <v>1145</v>
      </c>
      <c r="C7703" s="488" t="s">
        <v>24157</v>
      </c>
      <c r="D7703" s="489" t="s">
        <v>24158</v>
      </c>
      <c r="E7703" s="487" t="s">
        <v>24159</v>
      </c>
      <c r="F7703" s="490">
        <v>0</v>
      </c>
      <c r="G7703" s="489">
        <v>60.3</v>
      </c>
      <c r="H7703" s="489">
        <v>0</v>
      </c>
      <c r="I7703" s="487" t="s">
        <v>1593</v>
      </c>
      <c r="J7703" s="487" t="s">
        <v>1147</v>
      </c>
    </row>
    <row r="7704" spans="1:10" ht="15" x14ac:dyDescent="0.2">
      <c r="A7704" s="486" t="s">
        <v>1146</v>
      </c>
      <c r="B7704" s="487" t="s">
        <v>1145</v>
      </c>
      <c r="C7704" s="488" t="s">
        <v>24160</v>
      </c>
      <c r="D7704" s="489" t="s">
        <v>24161</v>
      </c>
      <c r="E7704" s="487" t="s">
        <v>24162</v>
      </c>
      <c r="F7704" s="490">
        <v>9300</v>
      </c>
      <c r="G7704" s="489">
        <v>213.7</v>
      </c>
      <c r="H7704" s="489">
        <v>43.518949999999997</v>
      </c>
      <c r="I7704" s="487" t="s">
        <v>1499</v>
      </c>
      <c r="J7704" s="487" t="s">
        <v>1147</v>
      </c>
    </row>
    <row r="7705" spans="1:10" ht="15" x14ac:dyDescent="0.2">
      <c r="A7705" s="486" t="s">
        <v>1146</v>
      </c>
      <c r="B7705" s="487" t="s">
        <v>1145</v>
      </c>
      <c r="C7705" s="488" t="s">
        <v>24163</v>
      </c>
      <c r="D7705" s="489" t="s">
        <v>24164</v>
      </c>
      <c r="E7705" s="487" t="s">
        <v>24165</v>
      </c>
      <c r="F7705" s="490">
        <v>420156</v>
      </c>
      <c r="G7705" s="489">
        <v>3311.3</v>
      </c>
      <c r="H7705" s="489">
        <v>126.88551</v>
      </c>
      <c r="I7705" s="487" t="s">
        <v>1499</v>
      </c>
      <c r="J7705" s="487" t="s">
        <v>1147</v>
      </c>
    </row>
    <row r="7706" spans="1:10" ht="15" x14ac:dyDescent="0.2">
      <c r="A7706" s="486" t="s">
        <v>1146</v>
      </c>
      <c r="B7706" s="487" t="s">
        <v>1145</v>
      </c>
      <c r="C7706" s="488" t="s">
        <v>24166</v>
      </c>
      <c r="D7706" s="489" t="s">
        <v>24167</v>
      </c>
      <c r="E7706" s="487" t="s">
        <v>24168</v>
      </c>
      <c r="F7706" s="490">
        <v>0</v>
      </c>
      <c r="G7706" s="489">
        <v>15</v>
      </c>
      <c r="H7706" s="489">
        <v>0</v>
      </c>
      <c r="I7706" s="487" t="s">
        <v>1593</v>
      </c>
      <c r="J7706" s="487" t="s">
        <v>1147</v>
      </c>
    </row>
    <row r="7707" spans="1:10" ht="15" x14ac:dyDescent="0.2">
      <c r="A7707" s="486" t="s">
        <v>1146</v>
      </c>
      <c r="B7707" s="487" t="s">
        <v>1145</v>
      </c>
      <c r="C7707" s="488" t="s">
        <v>24169</v>
      </c>
      <c r="D7707" s="489" t="s">
        <v>24170</v>
      </c>
      <c r="E7707" s="487" t="s">
        <v>24171</v>
      </c>
      <c r="F7707" s="490">
        <v>0</v>
      </c>
      <c r="G7707" s="489">
        <v>86</v>
      </c>
      <c r="H7707" s="489">
        <v>0</v>
      </c>
      <c r="I7707" s="487" t="s">
        <v>1593</v>
      </c>
      <c r="J7707" s="487" t="s">
        <v>1147</v>
      </c>
    </row>
    <row r="7708" spans="1:10" ht="15" x14ac:dyDescent="0.2">
      <c r="A7708" s="486" t="s">
        <v>1146</v>
      </c>
      <c r="B7708" s="487" t="s">
        <v>1145</v>
      </c>
      <c r="C7708" s="488" t="s">
        <v>24172</v>
      </c>
      <c r="D7708" s="489" t="s">
        <v>24173</v>
      </c>
      <c r="E7708" s="487" t="s">
        <v>24174</v>
      </c>
      <c r="F7708" s="490">
        <v>0</v>
      </c>
      <c r="G7708" s="489">
        <v>92.8</v>
      </c>
      <c r="H7708" s="489">
        <v>0</v>
      </c>
      <c r="I7708" s="487" t="s">
        <v>1593</v>
      </c>
      <c r="J7708" s="487" t="s">
        <v>1147</v>
      </c>
    </row>
    <row r="7709" spans="1:10" ht="15" x14ac:dyDescent="0.2">
      <c r="A7709" s="486" t="s">
        <v>1146</v>
      </c>
      <c r="B7709" s="487" t="s">
        <v>1145</v>
      </c>
      <c r="C7709" s="488" t="s">
        <v>24175</v>
      </c>
      <c r="D7709" s="489" t="s">
        <v>24176</v>
      </c>
      <c r="E7709" s="487" t="s">
        <v>24177</v>
      </c>
      <c r="F7709" s="490">
        <v>0</v>
      </c>
      <c r="G7709" s="489">
        <v>62.3</v>
      </c>
      <c r="H7709" s="489">
        <v>0</v>
      </c>
      <c r="I7709" s="487" t="s">
        <v>1593</v>
      </c>
      <c r="J7709" s="487" t="s">
        <v>1147</v>
      </c>
    </row>
    <row r="7710" spans="1:10" ht="15" x14ac:dyDescent="0.2">
      <c r="A7710" s="486" t="s">
        <v>1146</v>
      </c>
      <c r="B7710" s="487" t="s">
        <v>1145</v>
      </c>
      <c r="C7710" s="488" t="s">
        <v>24178</v>
      </c>
      <c r="D7710" s="489" t="s">
        <v>24179</v>
      </c>
      <c r="E7710" s="487" t="s">
        <v>24180</v>
      </c>
      <c r="F7710" s="490">
        <v>2000</v>
      </c>
      <c r="G7710" s="489">
        <v>61.4</v>
      </c>
      <c r="H7710" s="489">
        <v>32.57329</v>
      </c>
      <c r="I7710" s="487" t="s">
        <v>1499</v>
      </c>
      <c r="J7710" s="487" t="s">
        <v>1147</v>
      </c>
    </row>
    <row r="7711" spans="1:10" ht="15" x14ac:dyDescent="0.2">
      <c r="A7711" s="486" t="s">
        <v>1146</v>
      </c>
      <c r="B7711" s="487" t="s">
        <v>1145</v>
      </c>
      <c r="C7711" s="488" t="s">
        <v>24181</v>
      </c>
      <c r="D7711" s="489" t="s">
        <v>24182</v>
      </c>
      <c r="E7711" s="487" t="s">
        <v>24183</v>
      </c>
      <c r="F7711" s="490">
        <v>5250</v>
      </c>
      <c r="G7711" s="489">
        <v>71.5</v>
      </c>
      <c r="H7711" s="489">
        <v>73.426569999999998</v>
      </c>
      <c r="I7711" s="487" t="s">
        <v>1499</v>
      </c>
      <c r="J7711" s="487" t="s">
        <v>1147</v>
      </c>
    </row>
    <row r="7712" spans="1:10" ht="15" x14ac:dyDescent="0.2">
      <c r="A7712" s="486" t="s">
        <v>1146</v>
      </c>
      <c r="B7712" s="487" t="s">
        <v>1145</v>
      </c>
      <c r="C7712" s="488" t="s">
        <v>24184</v>
      </c>
      <c r="D7712" s="489" t="s">
        <v>24185</v>
      </c>
      <c r="E7712" s="487" t="s">
        <v>24186</v>
      </c>
      <c r="F7712" s="490">
        <v>10500</v>
      </c>
      <c r="G7712" s="489">
        <v>228.6</v>
      </c>
      <c r="H7712" s="489">
        <v>45.931759999999997</v>
      </c>
      <c r="I7712" s="487" t="s">
        <v>1499</v>
      </c>
      <c r="J7712" s="487" t="s">
        <v>1147</v>
      </c>
    </row>
    <row r="7713" spans="1:10" ht="15" x14ac:dyDescent="0.2">
      <c r="A7713" s="486" t="s">
        <v>1146</v>
      </c>
      <c r="B7713" s="487" t="s">
        <v>1145</v>
      </c>
      <c r="C7713" s="488" t="s">
        <v>24187</v>
      </c>
      <c r="D7713" s="489" t="s">
        <v>24188</v>
      </c>
      <c r="E7713" s="487" t="s">
        <v>24189</v>
      </c>
      <c r="F7713" s="490">
        <v>55696</v>
      </c>
      <c r="G7713" s="489">
        <v>573.5</v>
      </c>
      <c r="H7713" s="489">
        <v>97.115949999999998</v>
      </c>
      <c r="I7713" s="487" t="s">
        <v>1499</v>
      </c>
      <c r="J7713" s="487" t="s">
        <v>1147</v>
      </c>
    </row>
    <row r="7714" spans="1:10" ht="15" x14ac:dyDescent="0.2">
      <c r="A7714" s="486" t="s">
        <v>1146</v>
      </c>
      <c r="B7714" s="487" t="s">
        <v>1145</v>
      </c>
      <c r="C7714" s="488" t="s">
        <v>24190</v>
      </c>
      <c r="D7714" s="489" t="s">
        <v>24191</v>
      </c>
      <c r="E7714" s="487" t="s">
        <v>24192</v>
      </c>
      <c r="F7714" s="490">
        <v>7500</v>
      </c>
      <c r="G7714" s="489">
        <v>93.8</v>
      </c>
      <c r="H7714" s="489">
        <v>79.957359999999994</v>
      </c>
      <c r="I7714" s="487" t="s">
        <v>1499</v>
      </c>
      <c r="J7714" s="487" t="s">
        <v>1147</v>
      </c>
    </row>
    <row r="7715" spans="1:10" ht="15" x14ac:dyDescent="0.2">
      <c r="A7715" s="486" t="s">
        <v>1146</v>
      </c>
      <c r="B7715" s="487" t="s">
        <v>1145</v>
      </c>
      <c r="C7715" s="488" t="s">
        <v>24193</v>
      </c>
      <c r="D7715" s="489" t="s">
        <v>24194</v>
      </c>
      <c r="E7715" s="487" t="s">
        <v>24195</v>
      </c>
      <c r="F7715" s="490">
        <v>0</v>
      </c>
      <c r="G7715" s="489">
        <v>53.8</v>
      </c>
      <c r="H7715" s="489">
        <v>0</v>
      </c>
      <c r="I7715" s="487" t="s">
        <v>1593</v>
      </c>
      <c r="J7715" s="487" t="s">
        <v>1147</v>
      </c>
    </row>
    <row r="7716" spans="1:10" ht="15" x14ac:dyDescent="0.2">
      <c r="A7716" s="486" t="s">
        <v>1146</v>
      </c>
      <c r="B7716" s="487" t="s">
        <v>1145</v>
      </c>
      <c r="C7716" s="488" t="s">
        <v>24196</v>
      </c>
      <c r="D7716" s="489" t="s">
        <v>24197</v>
      </c>
      <c r="E7716" s="487" t="s">
        <v>24198</v>
      </c>
      <c r="F7716" s="490">
        <v>3905</v>
      </c>
      <c r="G7716" s="489">
        <v>78.400000000000006</v>
      </c>
      <c r="H7716" s="489">
        <v>49.808669999999999</v>
      </c>
      <c r="I7716" s="487" t="s">
        <v>1499</v>
      </c>
      <c r="J7716" s="487" t="s">
        <v>1147</v>
      </c>
    </row>
    <row r="7717" spans="1:10" ht="15" x14ac:dyDescent="0.2">
      <c r="A7717" s="486" t="s">
        <v>1146</v>
      </c>
      <c r="B7717" s="487" t="s">
        <v>1145</v>
      </c>
      <c r="C7717" s="488" t="s">
        <v>24199</v>
      </c>
      <c r="D7717" s="489" t="s">
        <v>24200</v>
      </c>
      <c r="E7717" s="487" t="s">
        <v>22181</v>
      </c>
      <c r="F7717" s="490">
        <v>80186</v>
      </c>
      <c r="G7717" s="489">
        <v>818.5</v>
      </c>
      <c r="H7717" s="489">
        <v>97.967010000000002</v>
      </c>
      <c r="I7717" s="487" t="s">
        <v>1499</v>
      </c>
      <c r="J7717" s="487" t="s">
        <v>1147</v>
      </c>
    </row>
    <row r="7718" spans="1:10" ht="15" x14ac:dyDescent="0.2">
      <c r="A7718" s="486" t="s">
        <v>1146</v>
      </c>
      <c r="B7718" s="487" t="s">
        <v>1145</v>
      </c>
      <c r="C7718" s="488" t="s">
        <v>24201</v>
      </c>
      <c r="D7718" s="489" t="s">
        <v>24202</v>
      </c>
      <c r="E7718" s="487" t="s">
        <v>24203</v>
      </c>
      <c r="F7718" s="490">
        <v>15000</v>
      </c>
      <c r="G7718" s="489">
        <v>172.2</v>
      </c>
      <c r="H7718" s="489">
        <v>87.108009999999993</v>
      </c>
      <c r="I7718" s="487" t="s">
        <v>1499</v>
      </c>
      <c r="J7718" s="487" t="s">
        <v>1147</v>
      </c>
    </row>
    <row r="7719" spans="1:10" ht="15" x14ac:dyDescent="0.2">
      <c r="A7719" s="486" t="s">
        <v>1146</v>
      </c>
      <c r="B7719" s="487" t="s">
        <v>1145</v>
      </c>
      <c r="C7719" s="488" t="s">
        <v>24204</v>
      </c>
      <c r="D7719" s="489" t="s">
        <v>24205</v>
      </c>
      <c r="E7719" s="487" t="s">
        <v>24206</v>
      </c>
      <c r="F7719" s="490">
        <v>2500</v>
      </c>
      <c r="G7719" s="489">
        <v>69.2</v>
      </c>
      <c r="H7719" s="489">
        <v>36.12717</v>
      </c>
      <c r="I7719" s="487" t="s">
        <v>1499</v>
      </c>
      <c r="J7719" s="487" t="s">
        <v>1147</v>
      </c>
    </row>
    <row r="7720" spans="1:10" ht="15" x14ac:dyDescent="0.2">
      <c r="A7720" s="486" t="s">
        <v>1146</v>
      </c>
      <c r="B7720" s="487" t="s">
        <v>1145</v>
      </c>
      <c r="C7720" s="488" t="s">
        <v>24207</v>
      </c>
      <c r="D7720" s="489" t="s">
        <v>24208</v>
      </c>
      <c r="E7720" s="487" t="s">
        <v>24209</v>
      </c>
      <c r="F7720" s="490">
        <v>25755</v>
      </c>
      <c r="G7720" s="489">
        <v>385.7</v>
      </c>
      <c r="H7720" s="489">
        <v>66.774699999999996</v>
      </c>
      <c r="I7720" s="487" t="s">
        <v>1499</v>
      </c>
      <c r="J7720" s="487" t="s">
        <v>1147</v>
      </c>
    </row>
    <row r="7721" spans="1:10" ht="15" x14ac:dyDescent="0.2">
      <c r="A7721" s="486" t="s">
        <v>1146</v>
      </c>
      <c r="B7721" s="487" t="s">
        <v>1145</v>
      </c>
      <c r="C7721" s="488" t="s">
        <v>24210</v>
      </c>
      <c r="D7721" s="489" t="s">
        <v>24211</v>
      </c>
      <c r="E7721" s="487" t="s">
        <v>24212</v>
      </c>
      <c r="F7721" s="490">
        <v>9500</v>
      </c>
      <c r="G7721" s="489">
        <v>175.5</v>
      </c>
      <c r="H7721" s="489">
        <v>54.131050000000002</v>
      </c>
      <c r="I7721" s="487" t="s">
        <v>1499</v>
      </c>
      <c r="J7721" s="487" t="s">
        <v>1147</v>
      </c>
    </row>
    <row r="7722" spans="1:10" ht="15" x14ac:dyDescent="0.2">
      <c r="A7722" s="486" t="s">
        <v>1146</v>
      </c>
      <c r="B7722" s="487" t="s">
        <v>1145</v>
      </c>
      <c r="C7722" s="488" t="s">
        <v>24213</v>
      </c>
      <c r="D7722" s="489" t="s">
        <v>24214</v>
      </c>
      <c r="E7722" s="487" t="s">
        <v>24215</v>
      </c>
      <c r="F7722" s="490">
        <v>14671</v>
      </c>
      <c r="G7722" s="489">
        <v>302</v>
      </c>
      <c r="H7722" s="489">
        <v>48.579470000000001</v>
      </c>
      <c r="I7722" s="487" t="s">
        <v>1499</v>
      </c>
      <c r="J7722" s="487" t="s">
        <v>1147</v>
      </c>
    </row>
    <row r="7723" spans="1:10" ht="15" x14ac:dyDescent="0.2">
      <c r="A7723" s="486" t="s">
        <v>1146</v>
      </c>
      <c r="B7723" s="487" t="s">
        <v>1145</v>
      </c>
      <c r="C7723" s="488" t="s">
        <v>24216</v>
      </c>
      <c r="D7723" s="489" t="s">
        <v>24217</v>
      </c>
      <c r="E7723" s="487" t="s">
        <v>24218</v>
      </c>
      <c r="F7723" s="490">
        <v>18000</v>
      </c>
      <c r="G7723" s="489">
        <v>227.8</v>
      </c>
      <c r="H7723" s="489">
        <v>79.016679999999994</v>
      </c>
      <c r="I7723" s="487" t="s">
        <v>1499</v>
      </c>
      <c r="J7723" s="487" t="s">
        <v>1147</v>
      </c>
    </row>
    <row r="7724" spans="1:10" ht="15" x14ac:dyDescent="0.2">
      <c r="A7724" s="486" t="s">
        <v>1146</v>
      </c>
      <c r="B7724" s="487" t="s">
        <v>1145</v>
      </c>
      <c r="C7724" s="488" t="s">
        <v>24219</v>
      </c>
      <c r="D7724" s="489" t="s">
        <v>24220</v>
      </c>
      <c r="E7724" s="487" t="s">
        <v>3479</v>
      </c>
      <c r="F7724" s="490">
        <v>31500</v>
      </c>
      <c r="G7724" s="489">
        <v>526.79999999999995</v>
      </c>
      <c r="H7724" s="489">
        <v>59.794989999999999</v>
      </c>
      <c r="I7724" s="487" t="s">
        <v>1499</v>
      </c>
      <c r="J7724" s="487" t="s">
        <v>1147</v>
      </c>
    </row>
    <row r="7725" spans="1:10" ht="15" x14ac:dyDescent="0.2">
      <c r="A7725" s="486" t="s">
        <v>1146</v>
      </c>
      <c r="B7725" s="487" t="s">
        <v>1145</v>
      </c>
      <c r="C7725" s="488" t="s">
        <v>24221</v>
      </c>
      <c r="D7725" s="489" t="s">
        <v>24222</v>
      </c>
      <c r="E7725" s="487" t="s">
        <v>24223</v>
      </c>
      <c r="F7725" s="490">
        <v>14606</v>
      </c>
      <c r="G7725" s="489">
        <v>116.6</v>
      </c>
      <c r="H7725" s="489">
        <v>125.26587000000001</v>
      </c>
      <c r="I7725" s="487" t="s">
        <v>1499</v>
      </c>
      <c r="J7725" s="487" t="s">
        <v>1147</v>
      </c>
    </row>
    <row r="7726" spans="1:10" ht="15" x14ac:dyDescent="0.2">
      <c r="A7726" s="486" t="s">
        <v>1146</v>
      </c>
      <c r="B7726" s="487" t="s">
        <v>1145</v>
      </c>
      <c r="C7726" s="488" t="s">
        <v>24224</v>
      </c>
      <c r="D7726" s="489" t="s">
        <v>24225</v>
      </c>
      <c r="E7726" s="487" t="s">
        <v>24226</v>
      </c>
      <c r="F7726" s="490">
        <v>31100</v>
      </c>
      <c r="G7726" s="489">
        <v>394.5</v>
      </c>
      <c r="H7726" s="489">
        <v>78.833969999999994</v>
      </c>
      <c r="I7726" s="487" t="s">
        <v>1499</v>
      </c>
      <c r="J7726" s="487" t="s">
        <v>1147</v>
      </c>
    </row>
    <row r="7727" spans="1:10" ht="15" x14ac:dyDescent="0.2">
      <c r="A7727" s="486" t="s">
        <v>626</v>
      </c>
      <c r="B7727" s="487" t="s">
        <v>625</v>
      </c>
      <c r="C7727" s="488" t="s">
        <v>24227</v>
      </c>
      <c r="D7727" s="489" t="s">
        <v>24228</v>
      </c>
      <c r="E7727" s="487" t="s">
        <v>24229</v>
      </c>
      <c r="F7727" s="490">
        <v>86350</v>
      </c>
      <c r="G7727" s="489">
        <v>1371</v>
      </c>
      <c r="H7727" s="489">
        <v>62.983220000000003</v>
      </c>
      <c r="I7727" s="487" t="s">
        <v>1499</v>
      </c>
      <c r="J7727" s="487" t="s">
        <v>627</v>
      </c>
    </row>
    <row r="7728" spans="1:10" ht="15" x14ac:dyDescent="0.2">
      <c r="A7728" s="486" t="s">
        <v>626</v>
      </c>
      <c r="B7728" s="487" t="s">
        <v>625</v>
      </c>
      <c r="C7728" s="488" t="s">
        <v>24230</v>
      </c>
      <c r="D7728" s="489" t="s">
        <v>24231</v>
      </c>
      <c r="E7728" s="487" t="s">
        <v>24232</v>
      </c>
      <c r="F7728" s="490">
        <v>36500</v>
      </c>
      <c r="G7728" s="489">
        <v>863.3</v>
      </c>
      <c r="H7728" s="489">
        <v>42.279620000000001</v>
      </c>
      <c r="I7728" s="487" t="s">
        <v>1499</v>
      </c>
      <c r="J7728" s="487" t="s">
        <v>627</v>
      </c>
    </row>
    <row r="7729" spans="1:10" ht="15" x14ac:dyDescent="0.2">
      <c r="A7729" s="486" t="s">
        <v>626</v>
      </c>
      <c r="B7729" s="487" t="s">
        <v>625</v>
      </c>
      <c r="C7729" s="488" t="s">
        <v>24233</v>
      </c>
      <c r="D7729" s="489" t="s">
        <v>24234</v>
      </c>
      <c r="E7729" s="487" t="s">
        <v>24235</v>
      </c>
      <c r="F7729" s="490">
        <v>13271</v>
      </c>
      <c r="G7729" s="489">
        <v>266.60000000000002</v>
      </c>
      <c r="H7729" s="489">
        <v>49.778689999999997</v>
      </c>
      <c r="I7729" s="487" t="s">
        <v>1499</v>
      </c>
      <c r="J7729" s="487" t="s">
        <v>627</v>
      </c>
    </row>
    <row r="7730" spans="1:10" ht="15" x14ac:dyDescent="0.2">
      <c r="A7730" s="486" t="s">
        <v>626</v>
      </c>
      <c r="B7730" s="487" t="s">
        <v>625</v>
      </c>
      <c r="C7730" s="488" t="s">
        <v>24236</v>
      </c>
      <c r="D7730" s="489" t="s">
        <v>24237</v>
      </c>
      <c r="E7730" s="487" t="s">
        <v>24238</v>
      </c>
      <c r="F7730" s="490">
        <v>17000</v>
      </c>
      <c r="G7730" s="489">
        <v>318.10000000000002</v>
      </c>
      <c r="H7730" s="489">
        <v>53.442309999999999</v>
      </c>
      <c r="I7730" s="487" t="s">
        <v>1499</v>
      </c>
      <c r="J7730" s="487" t="s">
        <v>627</v>
      </c>
    </row>
    <row r="7731" spans="1:10" ht="15" x14ac:dyDescent="0.2">
      <c r="A7731" s="486" t="s">
        <v>626</v>
      </c>
      <c r="B7731" s="487" t="s">
        <v>625</v>
      </c>
      <c r="C7731" s="488" t="s">
        <v>24239</v>
      </c>
      <c r="D7731" s="489" t="s">
        <v>24240</v>
      </c>
      <c r="E7731" s="487" t="s">
        <v>24241</v>
      </c>
      <c r="F7731" s="490">
        <v>2299215</v>
      </c>
      <c r="G7731" s="489">
        <v>17394.3</v>
      </c>
      <c r="H7731" s="489">
        <v>132.18208999999999</v>
      </c>
      <c r="I7731" s="487" t="s">
        <v>1499</v>
      </c>
      <c r="J7731" s="487" t="s">
        <v>627</v>
      </c>
    </row>
    <row r="7732" spans="1:10" ht="15" x14ac:dyDescent="0.2">
      <c r="A7732" s="486" t="s">
        <v>626</v>
      </c>
      <c r="B7732" s="487" t="s">
        <v>625</v>
      </c>
      <c r="C7732" s="488" t="s">
        <v>24242</v>
      </c>
      <c r="D7732" s="489" t="s">
        <v>24243</v>
      </c>
      <c r="E7732" s="487" t="s">
        <v>24244</v>
      </c>
      <c r="F7732" s="490">
        <v>10800</v>
      </c>
      <c r="G7732" s="489">
        <v>273</v>
      </c>
      <c r="H7732" s="489">
        <v>39.56044</v>
      </c>
      <c r="I7732" s="487" t="s">
        <v>1499</v>
      </c>
      <c r="J7732" s="487" t="s">
        <v>627</v>
      </c>
    </row>
    <row r="7733" spans="1:10" ht="15" x14ac:dyDescent="0.2">
      <c r="A7733" s="486" t="s">
        <v>626</v>
      </c>
      <c r="B7733" s="487" t="s">
        <v>625</v>
      </c>
      <c r="C7733" s="488" t="s">
        <v>24245</v>
      </c>
      <c r="D7733" s="489" t="s">
        <v>24246</v>
      </c>
      <c r="E7733" s="487" t="s">
        <v>24247</v>
      </c>
      <c r="F7733" s="490">
        <v>32025.68</v>
      </c>
      <c r="G7733" s="489">
        <v>369.8</v>
      </c>
      <c r="H7733" s="489">
        <v>86.602699999999999</v>
      </c>
      <c r="I7733" s="487" t="s">
        <v>1499</v>
      </c>
      <c r="J7733" s="487" t="s">
        <v>627</v>
      </c>
    </row>
    <row r="7734" spans="1:10" ht="15" x14ac:dyDescent="0.2">
      <c r="A7734" s="486" t="s">
        <v>626</v>
      </c>
      <c r="B7734" s="487" t="s">
        <v>625</v>
      </c>
      <c r="C7734" s="488" t="s">
        <v>24248</v>
      </c>
      <c r="D7734" s="489" t="s">
        <v>24249</v>
      </c>
      <c r="E7734" s="487" t="s">
        <v>24250</v>
      </c>
      <c r="F7734" s="490">
        <v>1872967.62</v>
      </c>
      <c r="G7734" s="489">
        <v>13439.4</v>
      </c>
      <c r="H7734" s="489">
        <v>139.36393000000001</v>
      </c>
      <c r="I7734" s="487" t="s">
        <v>1499</v>
      </c>
      <c r="J7734" s="487" t="s">
        <v>627</v>
      </c>
    </row>
    <row r="7735" spans="1:10" ht="15" x14ac:dyDescent="0.2">
      <c r="A7735" s="486" t="s">
        <v>626</v>
      </c>
      <c r="B7735" s="487" t="s">
        <v>625</v>
      </c>
      <c r="C7735" s="488" t="s">
        <v>24251</v>
      </c>
      <c r="D7735" s="489" t="s">
        <v>24252</v>
      </c>
      <c r="E7735" s="487" t="s">
        <v>24253</v>
      </c>
      <c r="F7735" s="490">
        <v>16422</v>
      </c>
      <c r="G7735" s="489">
        <v>150.9</v>
      </c>
      <c r="H7735" s="489">
        <v>108.82704</v>
      </c>
      <c r="I7735" s="487" t="s">
        <v>1499</v>
      </c>
      <c r="J7735" s="487" t="s">
        <v>627</v>
      </c>
    </row>
    <row r="7736" spans="1:10" ht="15" x14ac:dyDescent="0.2">
      <c r="A7736" s="486" t="s">
        <v>626</v>
      </c>
      <c r="B7736" s="487" t="s">
        <v>625</v>
      </c>
      <c r="C7736" s="488" t="s">
        <v>24254</v>
      </c>
      <c r="D7736" s="489" t="s">
        <v>24255</v>
      </c>
      <c r="E7736" s="487" t="s">
        <v>24256</v>
      </c>
      <c r="F7736" s="490">
        <v>25000</v>
      </c>
      <c r="G7736" s="489">
        <v>455.1</v>
      </c>
      <c r="H7736" s="489">
        <v>54.932980000000001</v>
      </c>
      <c r="I7736" s="487" t="s">
        <v>1499</v>
      </c>
      <c r="J7736" s="487" t="s">
        <v>627</v>
      </c>
    </row>
    <row r="7737" spans="1:10" ht="15" x14ac:dyDescent="0.2">
      <c r="A7737" s="486" t="s">
        <v>626</v>
      </c>
      <c r="B7737" s="487" t="s">
        <v>625</v>
      </c>
      <c r="C7737" s="488" t="s">
        <v>24257</v>
      </c>
      <c r="D7737" s="489" t="s">
        <v>24258</v>
      </c>
      <c r="E7737" s="487" t="s">
        <v>24259</v>
      </c>
      <c r="F7737" s="490">
        <v>109250</v>
      </c>
      <c r="G7737" s="489">
        <v>1590.2</v>
      </c>
      <c r="H7737" s="489">
        <v>68.70205</v>
      </c>
      <c r="I7737" s="487" t="s">
        <v>1499</v>
      </c>
      <c r="J7737" s="487" t="s">
        <v>627</v>
      </c>
    </row>
    <row r="7738" spans="1:10" ht="15" x14ac:dyDescent="0.2">
      <c r="A7738" s="486" t="s">
        <v>626</v>
      </c>
      <c r="B7738" s="487" t="s">
        <v>625</v>
      </c>
      <c r="C7738" s="488" t="s">
        <v>24260</v>
      </c>
      <c r="D7738" s="489" t="s">
        <v>24261</v>
      </c>
      <c r="E7738" s="487" t="s">
        <v>24262</v>
      </c>
      <c r="F7738" s="490">
        <v>39160</v>
      </c>
      <c r="G7738" s="489">
        <v>1031.0999999999999</v>
      </c>
      <c r="H7738" s="489">
        <v>37.978859999999997</v>
      </c>
      <c r="I7738" s="487" t="s">
        <v>1499</v>
      </c>
      <c r="J7738" s="487" t="s">
        <v>627</v>
      </c>
    </row>
    <row r="7739" spans="1:10" ht="15" x14ac:dyDescent="0.2">
      <c r="A7739" s="486" t="s">
        <v>626</v>
      </c>
      <c r="B7739" s="487" t="s">
        <v>625</v>
      </c>
      <c r="C7739" s="488" t="s">
        <v>24263</v>
      </c>
      <c r="D7739" s="489" t="s">
        <v>24264</v>
      </c>
      <c r="E7739" s="487" t="s">
        <v>8374</v>
      </c>
      <c r="F7739" s="490">
        <v>16486</v>
      </c>
      <c r="G7739" s="489">
        <v>353.7</v>
      </c>
      <c r="H7739" s="489">
        <v>46.610120000000002</v>
      </c>
      <c r="I7739" s="487" t="s">
        <v>1499</v>
      </c>
      <c r="J7739" s="487" t="s">
        <v>627</v>
      </c>
    </row>
    <row r="7740" spans="1:10" ht="15" x14ac:dyDescent="0.2">
      <c r="A7740" s="486" t="s">
        <v>626</v>
      </c>
      <c r="B7740" s="487" t="s">
        <v>625</v>
      </c>
      <c r="C7740" s="488" t="s">
        <v>24265</v>
      </c>
      <c r="D7740" s="489" t="s">
        <v>24266</v>
      </c>
      <c r="E7740" s="487" t="s">
        <v>2627</v>
      </c>
      <c r="F7740" s="490">
        <v>6840</v>
      </c>
      <c r="G7740" s="489">
        <v>124.6</v>
      </c>
      <c r="H7740" s="489">
        <v>54.895670000000003</v>
      </c>
      <c r="I7740" s="487" t="s">
        <v>1499</v>
      </c>
      <c r="J7740" s="487" t="s">
        <v>627</v>
      </c>
    </row>
    <row r="7741" spans="1:10" ht="15" x14ac:dyDescent="0.2">
      <c r="A7741" s="486" t="s">
        <v>626</v>
      </c>
      <c r="B7741" s="487" t="s">
        <v>625</v>
      </c>
      <c r="C7741" s="488" t="s">
        <v>24267</v>
      </c>
      <c r="D7741" s="489" t="s">
        <v>24268</v>
      </c>
      <c r="E7741" s="487" t="s">
        <v>24269</v>
      </c>
      <c r="F7741" s="490">
        <v>13343.5</v>
      </c>
      <c r="G7741" s="489">
        <v>109.8</v>
      </c>
      <c r="H7741" s="489">
        <v>121.52549999999999</v>
      </c>
      <c r="I7741" s="487" t="s">
        <v>1499</v>
      </c>
      <c r="J7741" s="487" t="s">
        <v>627</v>
      </c>
    </row>
    <row r="7742" spans="1:10" ht="15" x14ac:dyDescent="0.2">
      <c r="A7742" s="486" t="s">
        <v>626</v>
      </c>
      <c r="B7742" s="487" t="s">
        <v>625</v>
      </c>
      <c r="C7742" s="488" t="s">
        <v>24270</v>
      </c>
      <c r="D7742" s="489" t="s">
        <v>24271</v>
      </c>
      <c r="E7742" s="487" t="s">
        <v>24272</v>
      </c>
      <c r="F7742" s="490">
        <v>10000</v>
      </c>
      <c r="G7742" s="489">
        <v>592.5</v>
      </c>
      <c r="H7742" s="489">
        <v>16.87764</v>
      </c>
      <c r="I7742" s="487" t="s">
        <v>1499</v>
      </c>
      <c r="J7742" s="487" t="s">
        <v>627</v>
      </c>
    </row>
    <row r="7743" spans="1:10" ht="15" x14ac:dyDescent="0.2">
      <c r="A7743" s="486" t="s">
        <v>626</v>
      </c>
      <c r="B7743" s="487" t="s">
        <v>625</v>
      </c>
      <c r="C7743" s="488" t="s">
        <v>24273</v>
      </c>
      <c r="D7743" s="489" t="s">
        <v>24274</v>
      </c>
      <c r="E7743" s="487" t="s">
        <v>24275</v>
      </c>
      <c r="F7743" s="490">
        <v>11000</v>
      </c>
      <c r="G7743" s="489">
        <v>200.6</v>
      </c>
      <c r="H7743" s="489">
        <v>54.83549</v>
      </c>
      <c r="I7743" s="487" t="s">
        <v>1499</v>
      </c>
      <c r="J7743" s="487" t="s">
        <v>627</v>
      </c>
    </row>
    <row r="7744" spans="1:10" ht="15" x14ac:dyDescent="0.2">
      <c r="A7744" s="486" t="s">
        <v>626</v>
      </c>
      <c r="B7744" s="487" t="s">
        <v>625</v>
      </c>
      <c r="C7744" s="488" t="s">
        <v>24276</v>
      </c>
      <c r="D7744" s="489" t="s">
        <v>24277</v>
      </c>
      <c r="E7744" s="487" t="s">
        <v>3848</v>
      </c>
      <c r="F7744" s="490">
        <v>63320</v>
      </c>
      <c r="G7744" s="489">
        <v>464.3</v>
      </c>
      <c r="H7744" s="489">
        <v>136.37734</v>
      </c>
      <c r="I7744" s="487" t="s">
        <v>1499</v>
      </c>
      <c r="J7744" s="487" t="s">
        <v>627</v>
      </c>
    </row>
    <row r="7745" spans="1:10" ht="15" x14ac:dyDescent="0.2">
      <c r="A7745" s="486" t="s">
        <v>626</v>
      </c>
      <c r="B7745" s="487" t="s">
        <v>625</v>
      </c>
      <c r="C7745" s="488" t="s">
        <v>24278</v>
      </c>
      <c r="D7745" s="489" t="s">
        <v>24279</v>
      </c>
      <c r="E7745" s="487" t="s">
        <v>24280</v>
      </c>
      <c r="F7745" s="490">
        <v>10702</v>
      </c>
      <c r="G7745" s="489">
        <v>146.9</v>
      </c>
      <c r="H7745" s="489">
        <v>72.852279999999993</v>
      </c>
      <c r="I7745" s="487" t="s">
        <v>1499</v>
      </c>
      <c r="J7745" s="487" t="s">
        <v>627</v>
      </c>
    </row>
    <row r="7746" spans="1:10" ht="15" x14ac:dyDescent="0.2">
      <c r="A7746" s="486" t="s">
        <v>626</v>
      </c>
      <c r="B7746" s="487" t="s">
        <v>625</v>
      </c>
      <c r="C7746" s="488" t="s">
        <v>24281</v>
      </c>
      <c r="D7746" s="489" t="s">
        <v>24282</v>
      </c>
      <c r="E7746" s="487" t="s">
        <v>24283</v>
      </c>
      <c r="F7746" s="490">
        <v>0</v>
      </c>
      <c r="G7746" s="489">
        <v>73.2</v>
      </c>
      <c r="H7746" s="489">
        <v>0</v>
      </c>
      <c r="I7746" s="487" t="s">
        <v>1593</v>
      </c>
      <c r="J7746" s="487" t="s">
        <v>627</v>
      </c>
    </row>
    <row r="7747" spans="1:10" ht="15" x14ac:dyDescent="0.2">
      <c r="A7747" s="486" t="s">
        <v>626</v>
      </c>
      <c r="B7747" s="487" t="s">
        <v>625</v>
      </c>
      <c r="C7747" s="488" t="s">
        <v>24284</v>
      </c>
      <c r="D7747" s="489" t="s">
        <v>24285</v>
      </c>
      <c r="E7747" s="487" t="s">
        <v>24286</v>
      </c>
      <c r="F7747" s="490">
        <v>15015</v>
      </c>
      <c r="G7747" s="489">
        <v>307.5</v>
      </c>
      <c r="H7747" s="489">
        <v>48.829270000000001</v>
      </c>
      <c r="I7747" s="487" t="s">
        <v>1499</v>
      </c>
      <c r="J7747" s="487" t="s">
        <v>627</v>
      </c>
    </row>
    <row r="7748" spans="1:10" ht="15" x14ac:dyDescent="0.2">
      <c r="A7748" s="486" t="s">
        <v>626</v>
      </c>
      <c r="B7748" s="487" t="s">
        <v>625</v>
      </c>
      <c r="C7748" s="488" t="s">
        <v>24287</v>
      </c>
      <c r="D7748" s="489" t="s">
        <v>24288</v>
      </c>
      <c r="E7748" s="487" t="s">
        <v>24289</v>
      </c>
      <c r="F7748" s="490">
        <v>76783</v>
      </c>
      <c r="G7748" s="489">
        <v>1075.8</v>
      </c>
      <c r="H7748" s="489">
        <v>71.372929999999997</v>
      </c>
      <c r="I7748" s="487" t="s">
        <v>1499</v>
      </c>
      <c r="J7748" s="487" t="s">
        <v>627</v>
      </c>
    </row>
    <row r="7749" spans="1:10" ht="15" x14ac:dyDescent="0.2">
      <c r="A7749" s="486" t="s">
        <v>626</v>
      </c>
      <c r="B7749" s="487" t="s">
        <v>625</v>
      </c>
      <c r="C7749" s="488" t="s">
        <v>24290</v>
      </c>
      <c r="D7749" s="489" t="s">
        <v>24291</v>
      </c>
      <c r="E7749" s="487" t="s">
        <v>16863</v>
      </c>
      <c r="F7749" s="490">
        <v>5000</v>
      </c>
      <c r="G7749" s="489">
        <v>88.3</v>
      </c>
      <c r="H7749" s="489">
        <v>56.625140000000002</v>
      </c>
      <c r="I7749" s="487" t="s">
        <v>1499</v>
      </c>
      <c r="J7749" s="487" t="s">
        <v>627</v>
      </c>
    </row>
    <row r="7750" spans="1:10" ht="15" x14ac:dyDescent="0.2">
      <c r="A7750" s="486" t="s">
        <v>626</v>
      </c>
      <c r="B7750" s="487" t="s">
        <v>625</v>
      </c>
      <c r="C7750" s="488" t="s">
        <v>24292</v>
      </c>
      <c r="D7750" s="489" t="s">
        <v>24293</v>
      </c>
      <c r="E7750" s="487" t="s">
        <v>24294</v>
      </c>
      <c r="F7750" s="490">
        <v>22000</v>
      </c>
      <c r="G7750" s="489">
        <v>243.7</v>
      </c>
      <c r="H7750" s="489">
        <v>90.274929999999998</v>
      </c>
      <c r="I7750" s="487" t="s">
        <v>1499</v>
      </c>
      <c r="J7750" s="487" t="s">
        <v>627</v>
      </c>
    </row>
    <row r="7751" spans="1:10" ht="15" x14ac:dyDescent="0.2">
      <c r="A7751" s="486" t="s">
        <v>626</v>
      </c>
      <c r="B7751" s="487" t="s">
        <v>625</v>
      </c>
      <c r="C7751" s="488" t="s">
        <v>24295</v>
      </c>
      <c r="D7751" s="489" t="s">
        <v>24296</v>
      </c>
      <c r="E7751" s="487" t="s">
        <v>24297</v>
      </c>
      <c r="F7751" s="490">
        <v>6350</v>
      </c>
      <c r="G7751" s="489">
        <v>137.30000000000001</v>
      </c>
      <c r="H7751" s="489">
        <v>46.249090000000002</v>
      </c>
      <c r="I7751" s="487" t="s">
        <v>1499</v>
      </c>
      <c r="J7751" s="487" t="s">
        <v>627</v>
      </c>
    </row>
    <row r="7752" spans="1:10" ht="15" x14ac:dyDescent="0.2">
      <c r="A7752" s="486" t="s">
        <v>626</v>
      </c>
      <c r="B7752" s="487" t="s">
        <v>625</v>
      </c>
      <c r="C7752" s="488" t="s">
        <v>24298</v>
      </c>
      <c r="D7752" s="489" t="s">
        <v>24299</v>
      </c>
      <c r="E7752" s="487" t="s">
        <v>24300</v>
      </c>
      <c r="F7752" s="490">
        <v>11000</v>
      </c>
      <c r="G7752" s="489">
        <v>129.19999999999999</v>
      </c>
      <c r="H7752" s="489">
        <v>85.139319999999998</v>
      </c>
      <c r="I7752" s="487" t="s">
        <v>1499</v>
      </c>
      <c r="J7752" s="487" t="s">
        <v>627</v>
      </c>
    </row>
    <row r="7753" spans="1:10" ht="15" x14ac:dyDescent="0.2">
      <c r="A7753" s="486" t="s">
        <v>626</v>
      </c>
      <c r="B7753" s="487" t="s">
        <v>625</v>
      </c>
      <c r="C7753" s="488" t="s">
        <v>24301</v>
      </c>
      <c r="D7753" s="489" t="s">
        <v>24302</v>
      </c>
      <c r="E7753" s="487" t="s">
        <v>24303</v>
      </c>
      <c r="F7753" s="490">
        <v>15300</v>
      </c>
      <c r="G7753" s="489">
        <v>220.3</v>
      </c>
      <c r="H7753" s="489">
        <v>69.450749999999999</v>
      </c>
      <c r="I7753" s="487" t="s">
        <v>1499</v>
      </c>
      <c r="J7753" s="487" t="s">
        <v>627</v>
      </c>
    </row>
    <row r="7754" spans="1:10" ht="15" x14ac:dyDescent="0.2">
      <c r="A7754" s="486" t="s">
        <v>626</v>
      </c>
      <c r="B7754" s="487" t="s">
        <v>625</v>
      </c>
      <c r="C7754" s="488" t="s">
        <v>24304</v>
      </c>
      <c r="D7754" s="489" t="s">
        <v>24305</v>
      </c>
      <c r="E7754" s="487" t="s">
        <v>24306</v>
      </c>
      <c r="F7754" s="490">
        <v>16492</v>
      </c>
      <c r="G7754" s="489">
        <v>267</v>
      </c>
      <c r="H7754" s="489">
        <v>61.767789999999998</v>
      </c>
      <c r="I7754" s="487" t="s">
        <v>1499</v>
      </c>
      <c r="J7754" s="487" t="s">
        <v>627</v>
      </c>
    </row>
    <row r="7755" spans="1:10" ht="15" x14ac:dyDescent="0.2">
      <c r="A7755" s="486" t="s">
        <v>626</v>
      </c>
      <c r="B7755" s="487" t="s">
        <v>625</v>
      </c>
      <c r="C7755" s="488" t="s">
        <v>24307</v>
      </c>
      <c r="D7755" s="489" t="s">
        <v>24308</v>
      </c>
      <c r="E7755" s="487" t="s">
        <v>24309</v>
      </c>
      <c r="F7755" s="490">
        <v>8100</v>
      </c>
      <c r="G7755" s="489">
        <v>299.8</v>
      </c>
      <c r="H7755" s="489">
        <v>27.01801</v>
      </c>
      <c r="I7755" s="487" t="s">
        <v>1499</v>
      </c>
      <c r="J7755" s="487" t="s">
        <v>627</v>
      </c>
    </row>
    <row r="7756" spans="1:10" ht="15" x14ac:dyDescent="0.2">
      <c r="A7756" s="486" t="s">
        <v>626</v>
      </c>
      <c r="B7756" s="487" t="s">
        <v>625</v>
      </c>
      <c r="C7756" s="488" t="s">
        <v>24310</v>
      </c>
      <c r="D7756" s="489" t="s">
        <v>24311</v>
      </c>
      <c r="E7756" s="487" t="s">
        <v>24312</v>
      </c>
      <c r="F7756" s="490">
        <v>0</v>
      </c>
      <c r="G7756" s="489">
        <v>21</v>
      </c>
      <c r="H7756" s="489">
        <v>0</v>
      </c>
      <c r="I7756" s="487" t="s">
        <v>1593</v>
      </c>
      <c r="J7756" s="487" t="s">
        <v>627</v>
      </c>
    </row>
    <row r="7757" spans="1:10" ht="15" x14ac:dyDescent="0.2">
      <c r="A7757" s="486" t="s">
        <v>626</v>
      </c>
      <c r="B7757" s="487" t="s">
        <v>625</v>
      </c>
      <c r="C7757" s="488" t="s">
        <v>24313</v>
      </c>
      <c r="D7757" s="489" t="s">
        <v>24314</v>
      </c>
      <c r="E7757" s="487" t="s">
        <v>24315</v>
      </c>
      <c r="F7757" s="490">
        <v>81174</v>
      </c>
      <c r="G7757" s="489">
        <v>552.6</v>
      </c>
      <c r="H7757" s="489">
        <v>146.89467999999999</v>
      </c>
      <c r="I7757" s="487" t="s">
        <v>1499</v>
      </c>
      <c r="J7757" s="487" t="s">
        <v>627</v>
      </c>
    </row>
    <row r="7758" spans="1:10" ht="15" x14ac:dyDescent="0.2">
      <c r="A7758" s="486" t="s">
        <v>626</v>
      </c>
      <c r="B7758" s="487" t="s">
        <v>625</v>
      </c>
      <c r="C7758" s="488" t="s">
        <v>24316</v>
      </c>
      <c r="D7758" s="489" t="s">
        <v>24317</v>
      </c>
      <c r="E7758" s="487" t="s">
        <v>24318</v>
      </c>
      <c r="F7758" s="490">
        <v>1500</v>
      </c>
      <c r="G7758" s="489">
        <v>81.900000000000006</v>
      </c>
      <c r="H7758" s="489">
        <v>18.315020000000001</v>
      </c>
      <c r="I7758" s="487" t="s">
        <v>1499</v>
      </c>
      <c r="J7758" s="487" t="s">
        <v>627</v>
      </c>
    </row>
    <row r="7759" spans="1:10" ht="15" x14ac:dyDescent="0.2">
      <c r="A7759" s="486" t="s">
        <v>626</v>
      </c>
      <c r="B7759" s="487" t="s">
        <v>625</v>
      </c>
      <c r="C7759" s="488" t="s">
        <v>24319</v>
      </c>
      <c r="D7759" s="489" t="s">
        <v>24320</v>
      </c>
      <c r="E7759" s="487" t="s">
        <v>24321</v>
      </c>
      <c r="F7759" s="490">
        <v>15000</v>
      </c>
      <c r="G7759" s="489">
        <v>120</v>
      </c>
      <c r="H7759" s="489">
        <v>125</v>
      </c>
      <c r="I7759" s="487" t="s">
        <v>1499</v>
      </c>
      <c r="J7759" s="487" t="s">
        <v>627</v>
      </c>
    </row>
    <row r="7760" spans="1:10" ht="15" x14ac:dyDescent="0.2">
      <c r="A7760" s="486" t="s">
        <v>626</v>
      </c>
      <c r="B7760" s="487" t="s">
        <v>625</v>
      </c>
      <c r="C7760" s="488" t="s">
        <v>24322</v>
      </c>
      <c r="D7760" s="489" t="s">
        <v>24323</v>
      </c>
      <c r="E7760" s="487" t="s">
        <v>24324</v>
      </c>
      <c r="F7760" s="490">
        <v>0</v>
      </c>
      <c r="G7760" s="489">
        <v>39.86</v>
      </c>
      <c r="H7760" s="489">
        <v>0</v>
      </c>
      <c r="I7760" s="487" t="s">
        <v>1593</v>
      </c>
      <c r="J7760" s="487" t="s">
        <v>627</v>
      </c>
    </row>
    <row r="7761" spans="1:10" ht="15" x14ac:dyDescent="0.2">
      <c r="A7761" s="486" t="s">
        <v>626</v>
      </c>
      <c r="B7761" s="487" t="s">
        <v>625</v>
      </c>
      <c r="C7761" s="488" t="s">
        <v>24325</v>
      </c>
      <c r="D7761" s="489" t="s">
        <v>24326</v>
      </c>
      <c r="E7761" s="487" t="s">
        <v>24327</v>
      </c>
      <c r="F7761" s="490">
        <v>10250</v>
      </c>
      <c r="G7761" s="489">
        <v>118.3</v>
      </c>
      <c r="H7761" s="489">
        <v>86.644130000000004</v>
      </c>
      <c r="I7761" s="487" t="s">
        <v>1499</v>
      </c>
      <c r="J7761" s="487" t="s">
        <v>627</v>
      </c>
    </row>
    <row r="7762" spans="1:10" ht="15" x14ac:dyDescent="0.2">
      <c r="A7762" s="486" t="s">
        <v>626</v>
      </c>
      <c r="B7762" s="487" t="s">
        <v>625</v>
      </c>
      <c r="C7762" s="488" t="s">
        <v>24328</v>
      </c>
      <c r="D7762" s="489" t="s">
        <v>24329</v>
      </c>
      <c r="E7762" s="487" t="s">
        <v>24330</v>
      </c>
      <c r="F7762" s="490">
        <v>44102</v>
      </c>
      <c r="G7762" s="489">
        <v>1221.9000000000001</v>
      </c>
      <c r="H7762" s="489">
        <v>36.092970000000001</v>
      </c>
      <c r="I7762" s="487" t="s">
        <v>1499</v>
      </c>
      <c r="J7762" s="487" t="s">
        <v>627</v>
      </c>
    </row>
    <row r="7763" spans="1:10" ht="15" x14ac:dyDescent="0.2">
      <c r="A7763" s="486" t="s">
        <v>626</v>
      </c>
      <c r="B7763" s="487" t="s">
        <v>625</v>
      </c>
      <c r="C7763" s="488" t="s">
        <v>24331</v>
      </c>
      <c r="D7763" s="489" t="s">
        <v>24332</v>
      </c>
      <c r="E7763" s="487" t="s">
        <v>24333</v>
      </c>
      <c r="F7763" s="490">
        <v>8400</v>
      </c>
      <c r="G7763" s="489">
        <v>161.30000000000001</v>
      </c>
      <c r="H7763" s="489">
        <v>52.076880000000003</v>
      </c>
      <c r="I7763" s="487" t="s">
        <v>1499</v>
      </c>
      <c r="J7763" s="487" t="s">
        <v>627</v>
      </c>
    </row>
    <row r="7764" spans="1:10" ht="15" x14ac:dyDescent="0.2">
      <c r="A7764" s="486" t="s">
        <v>626</v>
      </c>
      <c r="B7764" s="487" t="s">
        <v>625</v>
      </c>
      <c r="C7764" s="488" t="s">
        <v>24334</v>
      </c>
      <c r="D7764" s="489" t="s">
        <v>24335</v>
      </c>
      <c r="E7764" s="487" t="s">
        <v>24336</v>
      </c>
      <c r="F7764" s="490">
        <v>18108</v>
      </c>
      <c r="G7764" s="489">
        <v>169.8</v>
      </c>
      <c r="H7764" s="489">
        <v>106.64310999999999</v>
      </c>
      <c r="I7764" s="487" t="s">
        <v>1499</v>
      </c>
      <c r="J7764" s="487" t="s">
        <v>627</v>
      </c>
    </row>
    <row r="7765" spans="1:10" ht="15" x14ac:dyDescent="0.2">
      <c r="A7765" s="486" t="s">
        <v>626</v>
      </c>
      <c r="B7765" s="487" t="s">
        <v>625</v>
      </c>
      <c r="C7765" s="488" t="s">
        <v>24337</v>
      </c>
      <c r="D7765" s="489" t="s">
        <v>24338</v>
      </c>
      <c r="E7765" s="487" t="s">
        <v>24339</v>
      </c>
      <c r="F7765" s="490">
        <v>9550</v>
      </c>
      <c r="G7765" s="489">
        <v>253.2</v>
      </c>
      <c r="H7765" s="489">
        <v>37.717219999999998</v>
      </c>
      <c r="I7765" s="487" t="s">
        <v>1499</v>
      </c>
      <c r="J7765" s="487" t="s">
        <v>627</v>
      </c>
    </row>
    <row r="7766" spans="1:10" ht="15" x14ac:dyDescent="0.2">
      <c r="A7766" s="486" t="s">
        <v>626</v>
      </c>
      <c r="B7766" s="487" t="s">
        <v>625</v>
      </c>
      <c r="C7766" s="488" t="s">
        <v>24340</v>
      </c>
      <c r="D7766" s="489" t="s">
        <v>24341</v>
      </c>
      <c r="E7766" s="487" t="s">
        <v>22496</v>
      </c>
      <c r="F7766" s="490">
        <v>23611.24</v>
      </c>
      <c r="G7766" s="489">
        <v>321.89999999999998</v>
      </c>
      <c r="H7766" s="489">
        <v>73.349609999999998</v>
      </c>
      <c r="I7766" s="487" t="s">
        <v>1499</v>
      </c>
      <c r="J7766" s="487" t="s">
        <v>627</v>
      </c>
    </row>
    <row r="7767" spans="1:10" ht="15" x14ac:dyDescent="0.2">
      <c r="A7767" s="486" t="s">
        <v>626</v>
      </c>
      <c r="B7767" s="487" t="s">
        <v>625</v>
      </c>
      <c r="C7767" s="488" t="s">
        <v>24342</v>
      </c>
      <c r="D7767" s="489" t="s">
        <v>24343</v>
      </c>
      <c r="E7767" s="487" t="s">
        <v>24344</v>
      </c>
      <c r="F7767" s="490">
        <v>890285</v>
      </c>
      <c r="G7767" s="489">
        <v>5101.8</v>
      </c>
      <c r="H7767" s="489">
        <v>174.50409999999999</v>
      </c>
      <c r="I7767" s="487" t="s">
        <v>1499</v>
      </c>
      <c r="J7767" s="487" t="s">
        <v>627</v>
      </c>
    </row>
    <row r="7768" spans="1:10" ht="15" x14ac:dyDescent="0.2">
      <c r="A7768" s="486" t="s">
        <v>626</v>
      </c>
      <c r="B7768" s="487" t="s">
        <v>625</v>
      </c>
      <c r="C7768" s="488" t="s">
        <v>24345</v>
      </c>
      <c r="D7768" s="489" t="s">
        <v>24346</v>
      </c>
      <c r="E7768" s="487" t="s">
        <v>24347</v>
      </c>
      <c r="F7768" s="490">
        <v>39687.5</v>
      </c>
      <c r="G7768" s="489">
        <v>459.4</v>
      </c>
      <c r="H7768" s="489">
        <v>86.389859999999999</v>
      </c>
      <c r="I7768" s="487" t="s">
        <v>1499</v>
      </c>
      <c r="J7768" s="487" t="s">
        <v>627</v>
      </c>
    </row>
    <row r="7769" spans="1:10" ht="15" x14ac:dyDescent="0.2">
      <c r="A7769" s="486" t="s">
        <v>626</v>
      </c>
      <c r="B7769" s="487" t="s">
        <v>625</v>
      </c>
      <c r="C7769" s="488" t="s">
        <v>24348</v>
      </c>
      <c r="D7769" s="489" t="s">
        <v>24349</v>
      </c>
      <c r="E7769" s="487" t="s">
        <v>24350</v>
      </c>
      <c r="F7769" s="490">
        <v>51592</v>
      </c>
      <c r="G7769" s="489">
        <v>620.1</v>
      </c>
      <c r="H7769" s="489">
        <v>83.199479999999994</v>
      </c>
      <c r="I7769" s="487" t="s">
        <v>1499</v>
      </c>
      <c r="J7769" s="487" t="s">
        <v>627</v>
      </c>
    </row>
    <row r="7770" spans="1:10" ht="15" x14ac:dyDescent="0.2">
      <c r="A7770" s="486" t="s">
        <v>626</v>
      </c>
      <c r="B7770" s="487" t="s">
        <v>625</v>
      </c>
      <c r="C7770" s="488" t="s">
        <v>24351</v>
      </c>
      <c r="D7770" s="489" t="s">
        <v>24352</v>
      </c>
      <c r="E7770" s="487" t="s">
        <v>24353</v>
      </c>
      <c r="F7770" s="490">
        <v>10120</v>
      </c>
      <c r="G7770" s="489">
        <v>221.6</v>
      </c>
      <c r="H7770" s="489">
        <v>45.667870000000001</v>
      </c>
      <c r="I7770" s="487" t="s">
        <v>1499</v>
      </c>
      <c r="J7770" s="487" t="s">
        <v>627</v>
      </c>
    </row>
    <row r="7771" spans="1:10" ht="15" x14ac:dyDescent="0.2">
      <c r="A7771" s="486" t="s">
        <v>626</v>
      </c>
      <c r="B7771" s="487" t="s">
        <v>625</v>
      </c>
      <c r="C7771" s="488" t="s">
        <v>24354</v>
      </c>
      <c r="D7771" s="489" t="s">
        <v>24355</v>
      </c>
      <c r="E7771" s="487" t="s">
        <v>982</v>
      </c>
      <c r="F7771" s="490">
        <v>21500</v>
      </c>
      <c r="G7771" s="489">
        <v>147.30000000000001</v>
      </c>
      <c r="H7771" s="489">
        <v>145.96062000000001</v>
      </c>
      <c r="I7771" s="487" t="s">
        <v>1499</v>
      </c>
      <c r="J7771" s="487" t="s">
        <v>627</v>
      </c>
    </row>
    <row r="7772" spans="1:10" ht="15" x14ac:dyDescent="0.2">
      <c r="A7772" s="486" t="s">
        <v>626</v>
      </c>
      <c r="B7772" s="487" t="s">
        <v>625</v>
      </c>
      <c r="C7772" s="488" t="s">
        <v>24356</v>
      </c>
      <c r="D7772" s="489" t="s">
        <v>24357</v>
      </c>
      <c r="E7772" s="487" t="s">
        <v>24358</v>
      </c>
      <c r="F7772" s="490">
        <v>0</v>
      </c>
      <c r="G7772" s="489">
        <v>67.47</v>
      </c>
      <c r="H7772" s="489">
        <v>0</v>
      </c>
      <c r="I7772" s="487" t="s">
        <v>1593</v>
      </c>
      <c r="J7772" s="487" t="s">
        <v>627</v>
      </c>
    </row>
    <row r="7773" spans="1:10" ht="15" x14ac:dyDescent="0.2">
      <c r="A7773" s="486" t="s">
        <v>626</v>
      </c>
      <c r="B7773" s="487" t="s">
        <v>625</v>
      </c>
      <c r="C7773" s="488" t="s">
        <v>24359</v>
      </c>
      <c r="D7773" s="489" t="s">
        <v>24360</v>
      </c>
      <c r="E7773" s="487" t="s">
        <v>24361</v>
      </c>
      <c r="F7773" s="490">
        <v>10000</v>
      </c>
      <c r="G7773" s="489">
        <v>153.1</v>
      </c>
      <c r="H7773" s="489">
        <v>65.316789999999997</v>
      </c>
      <c r="I7773" s="487" t="s">
        <v>1499</v>
      </c>
      <c r="J7773" s="487" t="s">
        <v>627</v>
      </c>
    </row>
    <row r="7774" spans="1:10" ht="15" x14ac:dyDescent="0.2">
      <c r="A7774" s="486" t="s">
        <v>626</v>
      </c>
      <c r="B7774" s="487" t="s">
        <v>625</v>
      </c>
      <c r="C7774" s="488" t="s">
        <v>24362</v>
      </c>
      <c r="D7774" s="489" t="s">
        <v>24363</v>
      </c>
      <c r="E7774" s="487" t="s">
        <v>24364</v>
      </c>
      <c r="F7774" s="490">
        <v>15600</v>
      </c>
      <c r="G7774" s="489">
        <v>282.3</v>
      </c>
      <c r="H7774" s="489">
        <v>55.260359999999999</v>
      </c>
      <c r="I7774" s="487" t="s">
        <v>1499</v>
      </c>
      <c r="J7774" s="487" t="s">
        <v>627</v>
      </c>
    </row>
    <row r="7775" spans="1:10" ht="15" x14ac:dyDescent="0.2">
      <c r="A7775" s="486" t="s">
        <v>626</v>
      </c>
      <c r="B7775" s="487" t="s">
        <v>625</v>
      </c>
      <c r="C7775" s="488" t="s">
        <v>24365</v>
      </c>
      <c r="D7775" s="489" t="s">
        <v>24366</v>
      </c>
      <c r="E7775" s="487" t="s">
        <v>3711</v>
      </c>
      <c r="F7775" s="490">
        <v>500</v>
      </c>
      <c r="G7775" s="489">
        <v>88.6</v>
      </c>
      <c r="H7775" s="489">
        <v>5.6433400000000002</v>
      </c>
      <c r="I7775" s="487" t="s">
        <v>1499</v>
      </c>
      <c r="J7775" s="487" t="s">
        <v>627</v>
      </c>
    </row>
    <row r="7776" spans="1:10" ht="15" x14ac:dyDescent="0.2">
      <c r="A7776" s="486" t="s">
        <v>626</v>
      </c>
      <c r="B7776" s="487" t="s">
        <v>625</v>
      </c>
      <c r="C7776" s="488" t="s">
        <v>24367</v>
      </c>
      <c r="D7776" s="489" t="s">
        <v>24368</v>
      </c>
      <c r="E7776" s="487" t="s">
        <v>24369</v>
      </c>
      <c r="F7776" s="490">
        <v>3000</v>
      </c>
      <c r="G7776" s="489">
        <v>119.1</v>
      </c>
      <c r="H7776" s="489">
        <v>25.18892</v>
      </c>
      <c r="I7776" s="487" t="s">
        <v>1499</v>
      </c>
      <c r="J7776" s="487" t="s">
        <v>627</v>
      </c>
    </row>
    <row r="7777" spans="1:10" ht="15" x14ac:dyDescent="0.2">
      <c r="A7777" s="486" t="s">
        <v>626</v>
      </c>
      <c r="B7777" s="487" t="s">
        <v>625</v>
      </c>
      <c r="C7777" s="488" t="s">
        <v>24370</v>
      </c>
      <c r="D7777" s="489" t="s">
        <v>24371</v>
      </c>
      <c r="E7777" s="487" t="s">
        <v>4591</v>
      </c>
      <c r="F7777" s="490">
        <v>17346</v>
      </c>
      <c r="G7777" s="489">
        <v>240.2</v>
      </c>
      <c r="H7777" s="489">
        <v>72.214820000000003</v>
      </c>
      <c r="I7777" s="487" t="s">
        <v>1499</v>
      </c>
      <c r="J7777" s="487" t="s">
        <v>627</v>
      </c>
    </row>
    <row r="7778" spans="1:10" ht="15" x14ac:dyDescent="0.2">
      <c r="A7778" s="486" t="s">
        <v>626</v>
      </c>
      <c r="B7778" s="487" t="s">
        <v>625</v>
      </c>
      <c r="C7778" s="488" t="s">
        <v>24372</v>
      </c>
      <c r="D7778" s="489" t="s">
        <v>24373</v>
      </c>
      <c r="E7778" s="487" t="s">
        <v>24374</v>
      </c>
      <c r="F7778" s="490">
        <v>0</v>
      </c>
      <c r="G7778" s="489">
        <v>44.17</v>
      </c>
      <c r="H7778" s="489">
        <v>0</v>
      </c>
      <c r="I7778" s="487" t="s">
        <v>1593</v>
      </c>
      <c r="J7778" s="487" t="s">
        <v>627</v>
      </c>
    </row>
    <row r="7779" spans="1:10" ht="15" x14ac:dyDescent="0.2">
      <c r="A7779" s="486" t="s">
        <v>626</v>
      </c>
      <c r="B7779" s="487" t="s">
        <v>625</v>
      </c>
      <c r="C7779" s="488" t="s">
        <v>24375</v>
      </c>
      <c r="D7779" s="489" t="s">
        <v>24376</v>
      </c>
      <c r="E7779" s="487" t="s">
        <v>24377</v>
      </c>
      <c r="F7779" s="490">
        <v>2892</v>
      </c>
      <c r="G7779" s="489">
        <v>83.4</v>
      </c>
      <c r="H7779" s="489">
        <v>34.676259999999999</v>
      </c>
      <c r="I7779" s="487" t="s">
        <v>1499</v>
      </c>
      <c r="J7779" s="487" t="s">
        <v>627</v>
      </c>
    </row>
    <row r="7780" spans="1:10" ht="15" x14ac:dyDescent="0.2">
      <c r="A7780" s="486" t="s">
        <v>626</v>
      </c>
      <c r="B7780" s="487" t="s">
        <v>625</v>
      </c>
      <c r="C7780" s="488" t="s">
        <v>24378</v>
      </c>
      <c r="D7780" s="489" t="s">
        <v>24379</v>
      </c>
      <c r="E7780" s="487" t="s">
        <v>24380</v>
      </c>
      <c r="F7780" s="490">
        <v>450</v>
      </c>
      <c r="G7780" s="489">
        <v>98.9</v>
      </c>
      <c r="H7780" s="489">
        <v>4.5500499999999997</v>
      </c>
      <c r="I7780" s="487" t="s">
        <v>1499</v>
      </c>
      <c r="J7780" s="487" t="s">
        <v>627</v>
      </c>
    </row>
    <row r="7781" spans="1:10" ht="15" x14ac:dyDescent="0.2">
      <c r="A7781" s="486" t="s">
        <v>626</v>
      </c>
      <c r="B7781" s="487" t="s">
        <v>625</v>
      </c>
      <c r="C7781" s="488" t="s">
        <v>24381</v>
      </c>
      <c r="D7781" s="489" t="s">
        <v>24382</v>
      </c>
      <c r="E7781" s="487" t="s">
        <v>24383</v>
      </c>
      <c r="F7781" s="490">
        <v>5561</v>
      </c>
      <c r="G7781" s="489">
        <v>159.80000000000001</v>
      </c>
      <c r="H7781" s="489">
        <v>34.799750000000003</v>
      </c>
      <c r="I7781" s="487" t="s">
        <v>1499</v>
      </c>
      <c r="J7781" s="487" t="s">
        <v>627</v>
      </c>
    </row>
    <row r="7782" spans="1:10" ht="15" x14ac:dyDescent="0.2">
      <c r="A7782" s="486" t="s">
        <v>626</v>
      </c>
      <c r="B7782" s="487" t="s">
        <v>625</v>
      </c>
      <c r="C7782" s="488" t="s">
        <v>24384</v>
      </c>
      <c r="D7782" s="489" t="s">
        <v>24385</v>
      </c>
      <c r="E7782" s="487" t="s">
        <v>11020</v>
      </c>
      <c r="F7782" s="490">
        <v>0</v>
      </c>
      <c r="G7782" s="489">
        <v>63.2</v>
      </c>
      <c r="H7782" s="489">
        <v>0</v>
      </c>
      <c r="I7782" s="487" t="s">
        <v>1593</v>
      </c>
      <c r="J7782" s="487" t="s">
        <v>627</v>
      </c>
    </row>
    <row r="7783" spans="1:10" ht="15" x14ac:dyDescent="0.2">
      <c r="A7783" s="486" t="s">
        <v>626</v>
      </c>
      <c r="B7783" s="487" t="s">
        <v>625</v>
      </c>
      <c r="C7783" s="488" t="s">
        <v>24386</v>
      </c>
      <c r="D7783" s="489" t="s">
        <v>24387</v>
      </c>
      <c r="E7783" s="487" t="s">
        <v>24388</v>
      </c>
      <c r="F7783" s="490">
        <v>12176.18</v>
      </c>
      <c r="G7783" s="489">
        <v>182.5</v>
      </c>
      <c r="H7783" s="489">
        <v>66.718789999999998</v>
      </c>
      <c r="I7783" s="487" t="s">
        <v>1499</v>
      </c>
      <c r="J7783" s="487" t="s">
        <v>627</v>
      </c>
    </row>
    <row r="7784" spans="1:10" ht="15" x14ac:dyDescent="0.2">
      <c r="A7784" s="486" t="s">
        <v>626</v>
      </c>
      <c r="B7784" s="487" t="s">
        <v>625</v>
      </c>
      <c r="C7784" s="488" t="s">
        <v>24389</v>
      </c>
      <c r="D7784" s="489" t="s">
        <v>24390</v>
      </c>
      <c r="E7784" s="487" t="s">
        <v>24391</v>
      </c>
      <c r="F7784" s="490">
        <v>0</v>
      </c>
      <c r="G7784" s="489">
        <v>5.6</v>
      </c>
      <c r="H7784" s="489">
        <v>0</v>
      </c>
      <c r="I7784" s="487" t="s">
        <v>1593</v>
      </c>
      <c r="J7784" s="487" t="s">
        <v>627</v>
      </c>
    </row>
    <row r="7785" spans="1:10" ht="15" x14ac:dyDescent="0.2">
      <c r="A7785" s="486" t="s">
        <v>626</v>
      </c>
      <c r="B7785" s="487" t="s">
        <v>625</v>
      </c>
      <c r="C7785" s="488" t="s">
        <v>24392</v>
      </c>
      <c r="D7785" s="489" t="s">
        <v>24393</v>
      </c>
      <c r="E7785" s="487" t="s">
        <v>24394</v>
      </c>
      <c r="F7785" s="490">
        <v>6300</v>
      </c>
      <c r="G7785" s="489">
        <v>234.9</v>
      </c>
      <c r="H7785" s="489">
        <v>26.81992</v>
      </c>
      <c r="I7785" s="487" t="s">
        <v>1499</v>
      </c>
      <c r="J7785" s="487" t="s">
        <v>627</v>
      </c>
    </row>
    <row r="7786" spans="1:10" ht="15" x14ac:dyDescent="0.2">
      <c r="A7786" s="486" t="s">
        <v>626</v>
      </c>
      <c r="B7786" s="487" t="s">
        <v>625</v>
      </c>
      <c r="C7786" s="488" t="s">
        <v>24395</v>
      </c>
      <c r="D7786" s="489" t="s">
        <v>24396</v>
      </c>
      <c r="E7786" s="487" t="s">
        <v>24397</v>
      </c>
      <c r="F7786" s="490">
        <v>8809.4599999999991</v>
      </c>
      <c r="G7786" s="489">
        <v>156.69999999999999</v>
      </c>
      <c r="H7786" s="489">
        <v>56.218629999999997</v>
      </c>
      <c r="I7786" s="487" t="s">
        <v>1499</v>
      </c>
      <c r="J7786" s="487" t="s">
        <v>627</v>
      </c>
    </row>
    <row r="7787" spans="1:10" ht="15" x14ac:dyDescent="0.2">
      <c r="A7787" s="486" t="s">
        <v>626</v>
      </c>
      <c r="B7787" s="487" t="s">
        <v>625</v>
      </c>
      <c r="C7787" s="488" t="s">
        <v>24398</v>
      </c>
      <c r="D7787" s="489" t="s">
        <v>24399</v>
      </c>
      <c r="E7787" s="487" t="s">
        <v>24400</v>
      </c>
      <c r="F7787" s="490">
        <v>8463</v>
      </c>
      <c r="G7787" s="489">
        <v>212.4</v>
      </c>
      <c r="H7787" s="489">
        <v>39.844630000000002</v>
      </c>
      <c r="I7787" s="487" t="s">
        <v>1499</v>
      </c>
      <c r="J7787" s="487" t="s">
        <v>627</v>
      </c>
    </row>
    <row r="7788" spans="1:10" ht="15" x14ac:dyDescent="0.2">
      <c r="A7788" s="486" t="s">
        <v>626</v>
      </c>
      <c r="B7788" s="487" t="s">
        <v>625</v>
      </c>
      <c r="C7788" s="488" t="s">
        <v>24401</v>
      </c>
      <c r="D7788" s="489" t="s">
        <v>24402</v>
      </c>
      <c r="E7788" s="487" t="s">
        <v>24403</v>
      </c>
      <c r="F7788" s="490">
        <v>10395</v>
      </c>
      <c r="G7788" s="489">
        <v>198.5</v>
      </c>
      <c r="H7788" s="489">
        <v>52.367759999999997</v>
      </c>
      <c r="I7788" s="487" t="s">
        <v>1499</v>
      </c>
      <c r="J7788" s="487" t="s">
        <v>627</v>
      </c>
    </row>
    <row r="7789" spans="1:10" ht="15" x14ac:dyDescent="0.2">
      <c r="A7789" s="486" t="s">
        <v>626</v>
      </c>
      <c r="B7789" s="487" t="s">
        <v>625</v>
      </c>
      <c r="C7789" s="488" t="s">
        <v>24404</v>
      </c>
      <c r="D7789" s="489" t="s">
        <v>24405</v>
      </c>
      <c r="E7789" s="487" t="s">
        <v>24406</v>
      </c>
      <c r="F7789" s="490">
        <v>9450</v>
      </c>
      <c r="G7789" s="489">
        <v>254</v>
      </c>
      <c r="H7789" s="489">
        <v>37.204720000000002</v>
      </c>
      <c r="I7789" s="487" t="s">
        <v>1499</v>
      </c>
      <c r="J7789" s="487" t="s">
        <v>627</v>
      </c>
    </row>
    <row r="7790" spans="1:10" ht="15" x14ac:dyDescent="0.2">
      <c r="A7790" s="486" t="s">
        <v>626</v>
      </c>
      <c r="B7790" s="487" t="s">
        <v>625</v>
      </c>
      <c r="C7790" s="488" t="s">
        <v>24407</v>
      </c>
      <c r="D7790" s="489" t="s">
        <v>24408</v>
      </c>
      <c r="E7790" s="487" t="s">
        <v>19304</v>
      </c>
      <c r="F7790" s="490">
        <v>18108</v>
      </c>
      <c r="G7790" s="489">
        <v>144</v>
      </c>
      <c r="H7790" s="489">
        <v>125.75</v>
      </c>
      <c r="I7790" s="487" t="s">
        <v>1499</v>
      </c>
      <c r="J7790" s="487" t="s">
        <v>627</v>
      </c>
    </row>
    <row r="7791" spans="1:10" ht="15" x14ac:dyDescent="0.2">
      <c r="A7791" s="486" t="s">
        <v>626</v>
      </c>
      <c r="B7791" s="487" t="s">
        <v>625</v>
      </c>
      <c r="C7791" s="488" t="s">
        <v>24409</v>
      </c>
      <c r="D7791" s="489" t="s">
        <v>24410</v>
      </c>
      <c r="E7791" s="487" t="s">
        <v>24411</v>
      </c>
      <c r="F7791" s="490">
        <v>8154</v>
      </c>
      <c r="G7791" s="489">
        <v>210</v>
      </c>
      <c r="H7791" s="489">
        <v>38.828569999999999</v>
      </c>
      <c r="I7791" s="487" t="s">
        <v>1499</v>
      </c>
      <c r="J7791" s="487" t="s">
        <v>627</v>
      </c>
    </row>
    <row r="7792" spans="1:10" ht="15" x14ac:dyDescent="0.2">
      <c r="A7792" s="486" t="s">
        <v>626</v>
      </c>
      <c r="B7792" s="487" t="s">
        <v>625</v>
      </c>
      <c r="C7792" s="488" t="s">
        <v>24412</v>
      </c>
      <c r="D7792" s="489" t="s">
        <v>24413</v>
      </c>
      <c r="E7792" s="487" t="s">
        <v>24414</v>
      </c>
      <c r="F7792" s="490">
        <v>10086</v>
      </c>
      <c r="G7792" s="489">
        <v>151.6</v>
      </c>
      <c r="H7792" s="489">
        <v>66.530339999999995</v>
      </c>
      <c r="I7792" s="487" t="s">
        <v>1499</v>
      </c>
      <c r="J7792" s="487" t="s">
        <v>627</v>
      </c>
    </row>
    <row r="7793" spans="1:10" ht="15" x14ac:dyDescent="0.2">
      <c r="A7793" s="486" t="s">
        <v>626</v>
      </c>
      <c r="B7793" s="487" t="s">
        <v>625</v>
      </c>
      <c r="C7793" s="488" t="s">
        <v>24415</v>
      </c>
      <c r="D7793" s="489" t="s">
        <v>24416</v>
      </c>
      <c r="E7793" s="487" t="s">
        <v>24417</v>
      </c>
      <c r="F7793" s="490">
        <v>38662</v>
      </c>
      <c r="G7793" s="489">
        <v>440.7</v>
      </c>
      <c r="H7793" s="489">
        <v>87.728610000000003</v>
      </c>
      <c r="I7793" s="487" t="s">
        <v>1499</v>
      </c>
      <c r="J7793" s="487" t="s">
        <v>627</v>
      </c>
    </row>
    <row r="7794" spans="1:10" ht="15" x14ac:dyDescent="0.2">
      <c r="A7794" s="486" t="s">
        <v>626</v>
      </c>
      <c r="B7794" s="487" t="s">
        <v>625</v>
      </c>
      <c r="C7794" s="488" t="s">
        <v>24418</v>
      </c>
      <c r="D7794" s="489" t="s">
        <v>24419</v>
      </c>
      <c r="E7794" s="487" t="s">
        <v>24420</v>
      </c>
      <c r="F7794" s="490">
        <v>5728.85</v>
      </c>
      <c r="G7794" s="489">
        <v>109.3</v>
      </c>
      <c r="H7794" s="489">
        <v>52.414000000000001</v>
      </c>
      <c r="I7794" s="487" t="s">
        <v>1499</v>
      </c>
      <c r="J7794" s="487" t="s">
        <v>627</v>
      </c>
    </row>
    <row r="7795" spans="1:10" ht="15" x14ac:dyDescent="0.2">
      <c r="A7795" s="486" t="s">
        <v>626</v>
      </c>
      <c r="B7795" s="487" t="s">
        <v>625</v>
      </c>
      <c r="C7795" s="488" t="s">
        <v>24421</v>
      </c>
      <c r="D7795" s="489" t="s">
        <v>24422</v>
      </c>
      <c r="E7795" s="487" t="s">
        <v>24423</v>
      </c>
      <c r="F7795" s="490">
        <v>12743</v>
      </c>
      <c r="G7795" s="489">
        <v>219.2</v>
      </c>
      <c r="H7795" s="489">
        <v>58.134120000000003</v>
      </c>
      <c r="I7795" s="487" t="s">
        <v>1499</v>
      </c>
      <c r="J7795" s="487" t="s">
        <v>627</v>
      </c>
    </row>
    <row r="7796" spans="1:10" ht="15" x14ac:dyDescent="0.2">
      <c r="A7796" s="486" t="s">
        <v>626</v>
      </c>
      <c r="B7796" s="487" t="s">
        <v>625</v>
      </c>
      <c r="C7796" s="488" t="s">
        <v>24424</v>
      </c>
      <c r="D7796" s="489" t="s">
        <v>24425</v>
      </c>
      <c r="E7796" s="487" t="s">
        <v>24426</v>
      </c>
      <c r="F7796" s="490">
        <v>9896</v>
      </c>
      <c r="G7796" s="489">
        <v>112</v>
      </c>
      <c r="H7796" s="489">
        <v>88.357140000000001</v>
      </c>
      <c r="I7796" s="487" t="s">
        <v>1499</v>
      </c>
      <c r="J7796" s="487" t="s">
        <v>627</v>
      </c>
    </row>
    <row r="7797" spans="1:10" ht="15" x14ac:dyDescent="0.2">
      <c r="A7797" s="486" t="s">
        <v>626</v>
      </c>
      <c r="B7797" s="487" t="s">
        <v>625</v>
      </c>
      <c r="C7797" s="488" t="s">
        <v>24427</v>
      </c>
      <c r="D7797" s="489" t="s">
        <v>24428</v>
      </c>
      <c r="E7797" s="487" t="s">
        <v>24429</v>
      </c>
      <c r="F7797" s="490">
        <v>11367</v>
      </c>
      <c r="G7797" s="489">
        <v>262.10000000000002</v>
      </c>
      <c r="H7797" s="489">
        <v>43.368940000000002</v>
      </c>
      <c r="I7797" s="487" t="s">
        <v>1499</v>
      </c>
      <c r="J7797" s="487" t="s">
        <v>627</v>
      </c>
    </row>
    <row r="7798" spans="1:10" ht="15" x14ac:dyDescent="0.2">
      <c r="A7798" s="486" t="s">
        <v>626</v>
      </c>
      <c r="B7798" s="487" t="s">
        <v>625</v>
      </c>
      <c r="C7798" s="488" t="s">
        <v>24430</v>
      </c>
      <c r="D7798" s="489" t="s">
        <v>24431</v>
      </c>
      <c r="E7798" s="487" t="s">
        <v>23070</v>
      </c>
      <c r="F7798" s="490">
        <v>12492</v>
      </c>
      <c r="G7798" s="489">
        <v>175.8</v>
      </c>
      <c r="H7798" s="489">
        <v>71.058019999999999</v>
      </c>
      <c r="I7798" s="487" t="s">
        <v>1499</v>
      </c>
      <c r="J7798" s="487" t="s">
        <v>627</v>
      </c>
    </row>
    <row r="7799" spans="1:10" ht="15" x14ac:dyDescent="0.2">
      <c r="A7799" s="486" t="s">
        <v>626</v>
      </c>
      <c r="B7799" s="487" t="s">
        <v>625</v>
      </c>
      <c r="C7799" s="488" t="s">
        <v>24432</v>
      </c>
      <c r="D7799" s="489" t="s">
        <v>24433</v>
      </c>
      <c r="E7799" s="487" t="s">
        <v>24434</v>
      </c>
      <c r="F7799" s="490">
        <v>13234</v>
      </c>
      <c r="G7799" s="489">
        <v>246.7</v>
      </c>
      <c r="H7799" s="489">
        <v>53.644100000000002</v>
      </c>
      <c r="I7799" s="487" t="s">
        <v>1499</v>
      </c>
      <c r="J7799" s="487" t="s">
        <v>627</v>
      </c>
    </row>
    <row r="7800" spans="1:10" ht="15" x14ac:dyDescent="0.2">
      <c r="A7800" s="486" t="s">
        <v>626</v>
      </c>
      <c r="B7800" s="487" t="s">
        <v>625</v>
      </c>
      <c r="C7800" s="488" t="s">
        <v>24435</v>
      </c>
      <c r="D7800" s="489" t="s">
        <v>24436</v>
      </c>
      <c r="E7800" s="487" t="s">
        <v>24437</v>
      </c>
      <c r="F7800" s="490">
        <v>8000</v>
      </c>
      <c r="G7800" s="489">
        <v>195.3</v>
      </c>
      <c r="H7800" s="489">
        <v>40.962620000000001</v>
      </c>
      <c r="I7800" s="487" t="s">
        <v>1499</v>
      </c>
      <c r="J7800" s="487" t="s">
        <v>627</v>
      </c>
    </row>
    <row r="7801" spans="1:10" ht="15" x14ac:dyDescent="0.2">
      <c r="A7801" s="486" t="s">
        <v>626</v>
      </c>
      <c r="B7801" s="487" t="s">
        <v>625</v>
      </c>
      <c r="C7801" s="488" t="s">
        <v>24438</v>
      </c>
      <c r="D7801" s="489" t="s">
        <v>24439</v>
      </c>
      <c r="E7801" s="487" t="s">
        <v>24440</v>
      </c>
      <c r="F7801" s="490">
        <v>28702.57</v>
      </c>
      <c r="G7801" s="489">
        <v>278</v>
      </c>
      <c r="H7801" s="489">
        <v>103.24665</v>
      </c>
      <c r="I7801" s="487" t="s">
        <v>1499</v>
      </c>
      <c r="J7801" s="487" t="s">
        <v>627</v>
      </c>
    </row>
    <row r="7802" spans="1:10" ht="15" x14ac:dyDescent="0.2">
      <c r="A7802" s="486" t="s">
        <v>626</v>
      </c>
      <c r="B7802" s="487" t="s">
        <v>625</v>
      </c>
      <c r="C7802" s="488" t="s">
        <v>24441</v>
      </c>
      <c r="D7802" s="489" t="s">
        <v>24442</v>
      </c>
      <c r="E7802" s="487" t="s">
        <v>13700</v>
      </c>
      <c r="F7802" s="490">
        <v>3357.9</v>
      </c>
      <c r="G7802" s="489">
        <v>119</v>
      </c>
      <c r="H7802" s="489">
        <v>28.217649999999999</v>
      </c>
      <c r="I7802" s="487" t="s">
        <v>1499</v>
      </c>
      <c r="J7802" s="487" t="s">
        <v>627</v>
      </c>
    </row>
    <row r="7803" spans="1:10" ht="15" x14ac:dyDescent="0.2">
      <c r="A7803" s="486" t="s">
        <v>626</v>
      </c>
      <c r="B7803" s="487" t="s">
        <v>625</v>
      </c>
      <c r="C7803" s="488" t="s">
        <v>24443</v>
      </c>
      <c r="D7803" s="489" t="s">
        <v>24444</v>
      </c>
      <c r="E7803" s="487" t="s">
        <v>24445</v>
      </c>
      <c r="F7803" s="490">
        <v>10000</v>
      </c>
      <c r="G7803" s="489">
        <v>285.60000000000002</v>
      </c>
      <c r="H7803" s="489">
        <v>35.014009999999999</v>
      </c>
      <c r="I7803" s="487" t="s">
        <v>1499</v>
      </c>
      <c r="J7803" s="487" t="s">
        <v>627</v>
      </c>
    </row>
    <row r="7804" spans="1:10" ht="15" x14ac:dyDescent="0.2">
      <c r="A7804" s="486" t="s">
        <v>626</v>
      </c>
      <c r="B7804" s="487" t="s">
        <v>625</v>
      </c>
      <c r="C7804" s="488" t="s">
        <v>24446</v>
      </c>
      <c r="D7804" s="489" t="s">
        <v>24447</v>
      </c>
      <c r="E7804" s="487" t="s">
        <v>24448</v>
      </c>
      <c r="F7804" s="490">
        <v>148235.82999999999</v>
      </c>
      <c r="G7804" s="489">
        <v>1210.4000000000001</v>
      </c>
      <c r="H7804" s="489">
        <v>122.46845999999999</v>
      </c>
      <c r="I7804" s="487" t="s">
        <v>1499</v>
      </c>
      <c r="J7804" s="487" t="s">
        <v>627</v>
      </c>
    </row>
    <row r="7805" spans="1:10" ht="15" x14ac:dyDescent="0.2">
      <c r="A7805" s="486" t="s">
        <v>626</v>
      </c>
      <c r="B7805" s="487" t="s">
        <v>625</v>
      </c>
      <c r="C7805" s="488" t="s">
        <v>24449</v>
      </c>
      <c r="D7805" s="489" t="s">
        <v>24450</v>
      </c>
      <c r="E7805" s="487" t="s">
        <v>24451</v>
      </c>
      <c r="F7805" s="490">
        <v>85000</v>
      </c>
      <c r="G7805" s="489">
        <v>1079.8</v>
      </c>
      <c r="H7805" s="489">
        <v>78.718279999999993</v>
      </c>
      <c r="I7805" s="487" t="s">
        <v>1499</v>
      </c>
      <c r="J7805" s="487" t="s">
        <v>627</v>
      </c>
    </row>
    <row r="7806" spans="1:10" ht="15" x14ac:dyDescent="0.2">
      <c r="A7806" s="486" t="s">
        <v>1086</v>
      </c>
      <c r="B7806" s="487" t="s">
        <v>1085</v>
      </c>
      <c r="C7806" s="488" t="s">
        <v>24452</v>
      </c>
      <c r="D7806" s="489" t="s">
        <v>24453</v>
      </c>
      <c r="E7806" s="487" t="s">
        <v>24454</v>
      </c>
      <c r="F7806" s="490">
        <v>54389</v>
      </c>
      <c r="G7806" s="489">
        <v>2833.9</v>
      </c>
      <c r="H7806" s="489">
        <v>19.19228</v>
      </c>
      <c r="I7806" s="487" t="s">
        <v>1499</v>
      </c>
      <c r="J7806" s="487" t="s">
        <v>1087</v>
      </c>
    </row>
    <row r="7807" spans="1:10" ht="15" x14ac:dyDescent="0.2">
      <c r="A7807" s="486" t="s">
        <v>1086</v>
      </c>
      <c r="B7807" s="487" t="s">
        <v>1085</v>
      </c>
      <c r="C7807" s="488" t="s">
        <v>24455</v>
      </c>
      <c r="D7807" s="489" t="s">
        <v>24456</v>
      </c>
      <c r="E7807" s="487" t="s">
        <v>24457</v>
      </c>
      <c r="F7807" s="490">
        <v>85609</v>
      </c>
      <c r="G7807" s="489">
        <v>2029.9</v>
      </c>
      <c r="H7807" s="489">
        <v>42.173999999999999</v>
      </c>
      <c r="I7807" s="487" t="s">
        <v>1499</v>
      </c>
      <c r="J7807" s="487" t="s">
        <v>1087</v>
      </c>
    </row>
    <row r="7808" spans="1:10" ht="15" x14ac:dyDescent="0.2">
      <c r="A7808" s="486" t="s">
        <v>1086</v>
      </c>
      <c r="B7808" s="487" t="s">
        <v>1085</v>
      </c>
      <c r="C7808" s="488" t="s">
        <v>24458</v>
      </c>
      <c r="D7808" s="489" t="s">
        <v>24459</v>
      </c>
      <c r="E7808" s="487" t="s">
        <v>24460</v>
      </c>
      <c r="F7808" s="490">
        <v>65650</v>
      </c>
      <c r="G7808" s="489">
        <v>1311.6</v>
      </c>
      <c r="H7808" s="489">
        <v>50.053370000000001</v>
      </c>
      <c r="I7808" s="487" t="s">
        <v>1499</v>
      </c>
      <c r="J7808" s="487" t="s">
        <v>1087</v>
      </c>
    </row>
    <row r="7809" spans="1:10" ht="15" x14ac:dyDescent="0.2">
      <c r="A7809" s="486" t="s">
        <v>1086</v>
      </c>
      <c r="B7809" s="487" t="s">
        <v>1085</v>
      </c>
      <c r="C7809" s="488" t="s">
        <v>24461</v>
      </c>
      <c r="D7809" s="489" t="s">
        <v>24462</v>
      </c>
      <c r="E7809" s="487" t="s">
        <v>24463</v>
      </c>
      <c r="F7809" s="490">
        <v>67200</v>
      </c>
      <c r="G7809" s="489">
        <v>1579.8</v>
      </c>
      <c r="H7809" s="489">
        <v>42.537030000000001</v>
      </c>
      <c r="I7809" s="487" t="s">
        <v>1499</v>
      </c>
      <c r="J7809" s="487" t="s">
        <v>1087</v>
      </c>
    </row>
    <row r="7810" spans="1:10" ht="15" x14ac:dyDescent="0.2">
      <c r="A7810" s="486" t="s">
        <v>1204</v>
      </c>
      <c r="B7810" s="487" t="s">
        <v>1203</v>
      </c>
      <c r="C7810" s="488" t="s">
        <v>24464</v>
      </c>
      <c r="D7810" s="489" t="s">
        <v>24465</v>
      </c>
      <c r="E7810" s="487" t="s">
        <v>24466</v>
      </c>
      <c r="F7810" s="490">
        <v>0</v>
      </c>
      <c r="G7810" s="489">
        <v>15.7</v>
      </c>
      <c r="H7810" s="489">
        <v>0</v>
      </c>
      <c r="I7810" s="487" t="s">
        <v>1593</v>
      </c>
      <c r="J7810" s="487" t="s">
        <v>1205</v>
      </c>
    </row>
    <row r="7811" spans="1:10" ht="15" x14ac:dyDescent="0.2">
      <c r="A7811" s="486" t="s">
        <v>1204</v>
      </c>
      <c r="B7811" s="487" t="s">
        <v>1203</v>
      </c>
      <c r="C7811" s="488" t="s">
        <v>24467</v>
      </c>
      <c r="D7811" s="489" t="s">
        <v>24468</v>
      </c>
      <c r="E7811" s="487" t="s">
        <v>24469</v>
      </c>
      <c r="F7811" s="490">
        <v>29400</v>
      </c>
      <c r="G7811" s="489">
        <v>431.6</v>
      </c>
      <c r="H7811" s="489">
        <v>68.118629999999996</v>
      </c>
      <c r="I7811" s="487" t="s">
        <v>1499</v>
      </c>
      <c r="J7811" s="487" t="s">
        <v>1205</v>
      </c>
    </row>
    <row r="7812" spans="1:10" ht="15" x14ac:dyDescent="0.2">
      <c r="A7812" s="486" t="s">
        <v>1204</v>
      </c>
      <c r="B7812" s="487" t="s">
        <v>1203</v>
      </c>
      <c r="C7812" s="488" t="s">
        <v>24470</v>
      </c>
      <c r="D7812" s="489" t="s">
        <v>24471</v>
      </c>
      <c r="E7812" s="487" t="s">
        <v>24472</v>
      </c>
      <c r="F7812" s="490">
        <v>47033</v>
      </c>
      <c r="G7812" s="489">
        <v>288.39999999999998</v>
      </c>
      <c r="H7812" s="489">
        <v>163.08251999999999</v>
      </c>
      <c r="I7812" s="487" t="s">
        <v>1499</v>
      </c>
      <c r="J7812" s="487" t="s">
        <v>1205</v>
      </c>
    </row>
    <row r="7813" spans="1:10" ht="15" x14ac:dyDescent="0.2">
      <c r="A7813" s="486" t="s">
        <v>1204</v>
      </c>
      <c r="B7813" s="487" t="s">
        <v>1203</v>
      </c>
      <c r="C7813" s="488" t="s">
        <v>24473</v>
      </c>
      <c r="D7813" s="489" t="s">
        <v>24474</v>
      </c>
      <c r="E7813" s="487" t="s">
        <v>24475</v>
      </c>
      <c r="F7813" s="490">
        <v>348556</v>
      </c>
      <c r="G7813" s="489">
        <v>2277.6999999999998</v>
      </c>
      <c r="H7813" s="489">
        <v>153.02981</v>
      </c>
      <c r="I7813" s="487" t="s">
        <v>1499</v>
      </c>
      <c r="J7813" s="487" t="s">
        <v>1205</v>
      </c>
    </row>
    <row r="7814" spans="1:10" ht="15" x14ac:dyDescent="0.2">
      <c r="A7814" s="486" t="s">
        <v>1204</v>
      </c>
      <c r="B7814" s="487" t="s">
        <v>1203</v>
      </c>
      <c r="C7814" s="488" t="s">
        <v>24476</v>
      </c>
      <c r="D7814" s="489" t="s">
        <v>24477</v>
      </c>
      <c r="E7814" s="487" t="s">
        <v>24478</v>
      </c>
      <c r="F7814" s="490">
        <v>152500</v>
      </c>
      <c r="G7814" s="489">
        <v>694</v>
      </c>
      <c r="H7814" s="489">
        <v>219.74063000000001</v>
      </c>
      <c r="I7814" s="487" t="s">
        <v>1499</v>
      </c>
      <c r="J7814" s="487" t="s">
        <v>1205</v>
      </c>
    </row>
    <row r="7815" spans="1:10" ht="15" x14ac:dyDescent="0.2">
      <c r="A7815" s="486" t="s">
        <v>1204</v>
      </c>
      <c r="B7815" s="487" t="s">
        <v>1203</v>
      </c>
      <c r="C7815" s="488" t="s">
        <v>24479</v>
      </c>
      <c r="D7815" s="489" t="s">
        <v>24480</v>
      </c>
      <c r="E7815" s="487" t="s">
        <v>24481</v>
      </c>
      <c r="F7815" s="490">
        <v>9560</v>
      </c>
      <c r="G7815" s="489">
        <v>178.9</v>
      </c>
      <c r="H7815" s="489">
        <v>53.437669999999997</v>
      </c>
      <c r="I7815" s="487" t="s">
        <v>1499</v>
      </c>
      <c r="J7815" s="487" t="s">
        <v>1205</v>
      </c>
    </row>
    <row r="7816" spans="1:10" ht="15" x14ac:dyDescent="0.2">
      <c r="A7816" s="486" t="s">
        <v>1204</v>
      </c>
      <c r="B7816" s="487" t="s">
        <v>1203</v>
      </c>
      <c r="C7816" s="488" t="s">
        <v>24482</v>
      </c>
      <c r="D7816" s="489" t="s">
        <v>24483</v>
      </c>
      <c r="E7816" s="487" t="s">
        <v>24484</v>
      </c>
      <c r="F7816" s="490">
        <v>21500</v>
      </c>
      <c r="G7816" s="489">
        <v>337.3</v>
      </c>
      <c r="H7816" s="489">
        <v>63.741480000000003</v>
      </c>
      <c r="I7816" s="487" t="s">
        <v>1499</v>
      </c>
      <c r="J7816" s="487" t="s">
        <v>1205</v>
      </c>
    </row>
    <row r="7817" spans="1:10" ht="15" x14ac:dyDescent="0.2">
      <c r="A7817" s="486" t="s">
        <v>1204</v>
      </c>
      <c r="B7817" s="487" t="s">
        <v>1203</v>
      </c>
      <c r="C7817" s="488" t="s">
        <v>24485</v>
      </c>
      <c r="D7817" s="489" t="s">
        <v>24486</v>
      </c>
      <c r="E7817" s="487" t="s">
        <v>24487</v>
      </c>
      <c r="F7817" s="490">
        <v>13000</v>
      </c>
      <c r="G7817" s="489">
        <v>344.2</v>
      </c>
      <c r="H7817" s="489">
        <v>37.768740000000001</v>
      </c>
      <c r="I7817" s="487" t="s">
        <v>1499</v>
      </c>
      <c r="J7817" s="487" t="s">
        <v>1205</v>
      </c>
    </row>
    <row r="7818" spans="1:10" ht="15" x14ac:dyDescent="0.2">
      <c r="A7818" s="486" t="s">
        <v>1204</v>
      </c>
      <c r="B7818" s="487" t="s">
        <v>1203</v>
      </c>
      <c r="C7818" s="488" t="s">
        <v>24488</v>
      </c>
      <c r="D7818" s="489" t="s">
        <v>24489</v>
      </c>
      <c r="E7818" s="487" t="s">
        <v>24490</v>
      </c>
      <c r="F7818" s="490">
        <v>2000</v>
      </c>
      <c r="G7818" s="489">
        <v>108.6</v>
      </c>
      <c r="H7818" s="489">
        <v>18.41621</v>
      </c>
      <c r="I7818" s="487" t="s">
        <v>1499</v>
      </c>
      <c r="J7818" s="487" t="s">
        <v>1205</v>
      </c>
    </row>
    <row r="7819" spans="1:10" ht="15" x14ac:dyDescent="0.2">
      <c r="A7819" s="486" t="s">
        <v>1204</v>
      </c>
      <c r="B7819" s="487" t="s">
        <v>1203</v>
      </c>
      <c r="C7819" s="488" t="s">
        <v>24491</v>
      </c>
      <c r="D7819" s="489" t="s">
        <v>24492</v>
      </c>
      <c r="E7819" s="487" t="s">
        <v>24493</v>
      </c>
      <c r="F7819" s="490">
        <v>45000</v>
      </c>
      <c r="G7819" s="489">
        <v>704.6</v>
      </c>
      <c r="H7819" s="489">
        <v>63.866019999999999</v>
      </c>
      <c r="I7819" s="487" t="s">
        <v>1499</v>
      </c>
      <c r="J7819" s="487" t="s">
        <v>1205</v>
      </c>
    </row>
    <row r="7820" spans="1:10" ht="15" x14ac:dyDescent="0.2">
      <c r="A7820" s="486" t="s">
        <v>1204</v>
      </c>
      <c r="B7820" s="487" t="s">
        <v>1203</v>
      </c>
      <c r="C7820" s="488" t="s">
        <v>24494</v>
      </c>
      <c r="D7820" s="489" t="s">
        <v>24495</v>
      </c>
      <c r="E7820" s="487" t="s">
        <v>24496</v>
      </c>
      <c r="F7820" s="490">
        <v>1000</v>
      </c>
      <c r="G7820" s="489">
        <v>104.6</v>
      </c>
      <c r="H7820" s="489">
        <v>9.5602300000000007</v>
      </c>
      <c r="I7820" s="487" t="s">
        <v>1499</v>
      </c>
      <c r="J7820" s="487" t="s">
        <v>1205</v>
      </c>
    </row>
    <row r="7821" spans="1:10" ht="15" x14ac:dyDescent="0.2">
      <c r="A7821" s="486" t="s">
        <v>1204</v>
      </c>
      <c r="B7821" s="487" t="s">
        <v>1203</v>
      </c>
      <c r="C7821" s="488" t="s">
        <v>24497</v>
      </c>
      <c r="D7821" s="489" t="s">
        <v>24498</v>
      </c>
      <c r="E7821" s="487" t="s">
        <v>24499</v>
      </c>
      <c r="F7821" s="490">
        <v>146789</v>
      </c>
      <c r="G7821" s="489">
        <v>1222.0999999999999</v>
      </c>
      <c r="H7821" s="489">
        <v>120.1121</v>
      </c>
      <c r="I7821" s="487" t="s">
        <v>1499</v>
      </c>
      <c r="J7821" s="487" t="s">
        <v>1205</v>
      </c>
    </row>
    <row r="7822" spans="1:10" ht="15" x14ac:dyDescent="0.2">
      <c r="A7822" s="486" t="s">
        <v>1204</v>
      </c>
      <c r="B7822" s="487" t="s">
        <v>1203</v>
      </c>
      <c r="C7822" s="488" t="s">
        <v>24500</v>
      </c>
      <c r="D7822" s="489" t="s">
        <v>24501</v>
      </c>
      <c r="E7822" s="487" t="s">
        <v>24502</v>
      </c>
      <c r="F7822" s="490">
        <v>25750</v>
      </c>
      <c r="G7822" s="489">
        <v>259.7</v>
      </c>
      <c r="H7822" s="489">
        <v>99.152869999999993</v>
      </c>
      <c r="I7822" s="487" t="s">
        <v>1499</v>
      </c>
      <c r="J7822" s="487" t="s">
        <v>1205</v>
      </c>
    </row>
    <row r="7823" spans="1:10" ht="15" x14ac:dyDescent="0.2">
      <c r="A7823" s="486" t="s">
        <v>1204</v>
      </c>
      <c r="B7823" s="487" t="s">
        <v>1203</v>
      </c>
      <c r="C7823" s="488" t="s">
        <v>24503</v>
      </c>
      <c r="D7823" s="489" t="s">
        <v>24504</v>
      </c>
      <c r="E7823" s="487" t="s">
        <v>24505</v>
      </c>
      <c r="F7823" s="490">
        <v>415228</v>
      </c>
      <c r="G7823" s="489">
        <v>3072.7</v>
      </c>
      <c r="H7823" s="489">
        <v>135.13457</v>
      </c>
      <c r="I7823" s="487" t="s">
        <v>1499</v>
      </c>
      <c r="J7823" s="487" t="s">
        <v>1205</v>
      </c>
    </row>
    <row r="7824" spans="1:10" ht="15" x14ac:dyDescent="0.2">
      <c r="A7824" s="486" t="s">
        <v>1204</v>
      </c>
      <c r="B7824" s="487" t="s">
        <v>1203</v>
      </c>
      <c r="C7824" s="488" t="s">
        <v>24506</v>
      </c>
      <c r="D7824" s="489" t="s">
        <v>24507</v>
      </c>
      <c r="E7824" s="487" t="s">
        <v>24508</v>
      </c>
      <c r="F7824" s="490">
        <v>211973</v>
      </c>
      <c r="G7824" s="489">
        <v>1799.6</v>
      </c>
      <c r="H7824" s="489">
        <v>117.78895</v>
      </c>
      <c r="I7824" s="487" t="s">
        <v>1499</v>
      </c>
      <c r="J7824" s="487" t="s">
        <v>1205</v>
      </c>
    </row>
    <row r="7825" spans="1:10" ht="15" x14ac:dyDescent="0.2">
      <c r="A7825" s="486" t="s">
        <v>1204</v>
      </c>
      <c r="B7825" s="487" t="s">
        <v>1203</v>
      </c>
      <c r="C7825" s="488" t="s">
        <v>24509</v>
      </c>
      <c r="D7825" s="489" t="s">
        <v>24510</v>
      </c>
      <c r="E7825" s="487" t="s">
        <v>24511</v>
      </c>
      <c r="F7825" s="490">
        <v>17000</v>
      </c>
      <c r="G7825" s="489">
        <v>290.89999999999998</v>
      </c>
      <c r="H7825" s="489">
        <v>58.439329999999998</v>
      </c>
      <c r="I7825" s="487" t="s">
        <v>1499</v>
      </c>
      <c r="J7825" s="487" t="s">
        <v>1205</v>
      </c>
    </row>
    <row r="7826" spans="1:10" ht="15" x14ac:dyDescent="0.2">
      <c r="A7826" s="486" t="s">
        <v>1204</v>
      </c>
      <c r="B7826" s="487" t="s">
        <v>1203</v>
      </c>
      <c r="C7826" s="488" t="s">
        <v>24512</v>
      </c>
      <c r="D7826" s="489" t="s">
        <v>24513</v>
      </c>
      <c r="E7826" s="487" t="s">
        <v>24514</v>
      </c>
      <c r="F7826" s="490">
        <v>0</v>
      </c>
      <c r="G7826" s="489">
        <v>68</v>
      </c>
      <c r="H7826" s="489">
        <v>0</v>
      </c>
      <c r="I7826" s="487" t="s">
        <v>1593</v>
      </c>
      <c r="J7826" s="487" t="s">
        <v>1205</v>
      </c>
    </row>
    <row r="7827" spans="1:10" ht="15" x14ac:dyDescent="0.2">
      <c r="A7827" s="486" t="s">
        <v>1204</v>
      </c>
      <c r="B7827" s="487" t="s">
        <v>1203</v>
      </c>
      <c r="C7827" s="488" t="s">
        <v>24515</v>
      </c>
      <c r="D7827" s="489" t="s">
        <v>24516</v>
      </c>
      <c r="E7827" s="487" t="s">
        <v>24517</v>
      </c>
      <c r="F7827" s="490">
        <v>56944</v>
      </c>
      <c r="G7827" s="489">
        <v>914.6</v>
      </c>
      <c r="H7827" s="489">
        <v>62.261099999999999</v>
      </c>
      <c r="I7827" s="487" t="s">
        <v>1499</v>
      </c>
      <c r="J7827" s="487" t="s">
        <v>1205</v>
      </c>
    </row>
    <row r="7828" spans="1:10" ht="15" x14ac:dyDescent="0.2">
      <c r="A7828" s="486" t="s">
        <v>1204</v>
      </c>
      <c r="B7828" s="487" t="s">
        <v>1203</v>
      </c>
      <c r="C7828" s="488" t="s">
        <v>24518</v>
      </c>
      <c r="D7828" s="489" t="s">
        <v>24519</v>
      </c>
      <c r="E7828" s="487" t="s">
        <v>24520</v>
      </c>
      <c r="F7828" s="490">
        <v>9636</v>
      </c>
      <c r="G7828" s="489">
        <v>198.2</v>
      </c>
      <c r="H7828" s="489">
        <v>48.617559999999997</v>
      </c>
      <c r="I7828" s="487" t="s">
        <v>1499</v>
      </c>
      <c r="J7828" s="487" t="s">
        <v>1205</v>
      </c>
    </row>
    <row r="7829" spans="1:10" ht="15" x14ac:dyDescent="0.2">
      <c r="A7829" s="486" t="s">
        <v>1204</v>
      </c>
      <c r="B7829" s="487" t="s">
        <v>1203</v>
      </c>
      <c r="C7829" s="488" t="s">
        <v>24521</v>
      </c>
      <c r="D7829" s="489" t="s">
        <v>24522</v>
      </c>
      <c r="E7829" s="487" t="s">
        <v>24523</v>
      </c>
      <c r="F7829" s="490">
        <v>25000</v>
      </c>
      <c r="G7829" s="489">
        <v>189.9</v>
      </c>
      <c r="H7829" s="489">
        <v>131.64823999999999</v>
      </c>
      <c r="I7829" s="487" t="s">
        <v>1499</v>
      </c>
      <c r="J7829" s="487" t="s">
        <v>1205</v>
      </c>
    </row>
    <row r="7830" spans="1:10" ht="15" x14ac:dyDescent="0.2">
      <c r="A7830" s="486" t="s">
        <v>1204</v>
      </c>
      <c r="B7830" s="487" t="s">
        <v>1203</v>
      </c>
      <c r="C7830" s="488" t="s">
        <v>24524</v>
      </c>
      <c r="D7830" s="489" t="s">
        <v>24525</v>
      </c>
      <c r="E7830" s="487" t="s">
        <v>24526</v>
      </c>
      <c r="F7830" s="490">
        <v>1200</v>
      </c>
      <c r="G7830" s="489">
        <v>62.1</v>
      </c>
      <c r="H7830" s="489">
        <v>19.32367</v>
      </c>
      <c r="I7830" s="487" t="s">
        <v>1499</v>
      </c>
      <c r="J7830" s="487" t="s">
        <v>1205</v>
      </c>
    </row>
    <row r="7831" spans="1:10" ht="15" x14ac:dyDescent="0.2">
      <c r="A7831" s="486" t="s">
        <v>1204</v>
      </c>
      <c r="B7831" s="487" t="s">
        <v>1203</v>
      </c>
      <c r="C7831" s="488" t="s">
        <v>24527</v>
      </c>
      <c r="D7831" s="489" t="s">
        <v>24528</v>
      </c>
      <c r="E7831" s="487" t="s">
        <v>24529</v>
      </c>
      <c r="F7831" s="490">
        <v>1602772</v>
      </c>
      <c r="G7831" s="489">
        <v>11277.4</v>
      </c>
      <c r="H7831" s="489">
        <v>142.12248</v>
      </c>
      <c r="I7831" s="487" t="s">
        <v>1499</v>
      </c>
      <c r="J7831" s="487" t="s">
        <v>1205</v>
      </c>
    </row>
    <row r="7832" spans="1:10" ht="15" x14ac:dyDescent="0.2">
      <c r="A7832" s="486" t="s">
        <v>1204</v>
      </c>
      <c r="B7832" s="487" t="s">
        <v>1203</v>
      </c>
      <c r="C7832" s="488" t="s">
        <v>24530</v>
      </c>
      <c r="D7832" s="489" t="s">
        <v>24531</v>
      </c>
      <c r="E7832" s="487" t="s">
        <v>8509</v>
      </c>
      <c r="F7832" s="490">
        <v>63360</v>
      </c>
      <c r="G7832" s="489">
        <v>558</v>
      </c>
      <c r="H7832" s="489">
        <v>113.54839</v>
      </c>
      <c r="I7832" s="487" t="s">
        <v>1499</v>
      </c>
      <c r="J7832" s="487" t="s">
        <v>1205</v>
      </c>
    </row>
    <row r="7833" spans="1:10" ht="15" x14ac:dyDescent="0.2">
      <c r="A7833" s="486" t="s">
        <v>1204</v>
      </c>
      <c r="B7833" s="487" t="s">
        <v>1203</v>
      </c>
      <c r="C7833" s="488" t="s">
        <v>24532</v>
      </c>
      <c r="D7833" s="489" t="s">
        <v>24533</v>
      </c>
      <c r="E7833" s="487" t="s">
        <v>24534</v>
      </c>
      <c r="F7833" s="490">
        <v>3694</v>
      </c>
      <c r="G7833" s="489">
        <v>134.4</v>
      </c>
      <c r="H7833" s="489">
        <v>27.485119999999998</v>
      </c>
      <c r="I7833" s="487" t="s">
        <v>1499</v>
      </c>
      <c r="J7833" s="487" t="s">
        <v>1205</v>
      </c>
    </row>
    <row r="7834" spans="1:10" ht="15" x14ac:dyDescent="0.2">
      <c r="A7834" s="486" t="s">
        <v>1204</v>
      </c>
      <c r="B7834" s="487" t="s">
        <v>1203</v>
      </c>
      <c r="C7834" s="488" t="s">
        <v>24535</v>
      </c>
      <c r="D7834" s="489" t="s">
        <v>24536</v>
      </c>
      <c r="E7834" s="487" t="s">
        <v>24537</v>
      </c>
      <c r="F7834" s="490">
        <v>35357</v>
      </c>
      <c r="G7834" s="489">
        <v>567.9</v>
      </c>
      <c r="H7834" s="489">
        <v>62.2592</v>
      </c>
      <c r="I7834" s="487" t="s">
        <v>1499</v>
      </c>
      <c r="J7834" s="487" t="s">
        <v>1205</v>
      </c>
    </row>
    <row r="7835" spans="1:10" ht="15" x14ac:dyDescent="0.2">
      <c r="A7835" s="486" t="s">
        <v>1204</v>
      </c>
      <c r="B7835" s="487" t="s">
        <v>1203</v>
      </c>
      <c r="C7835" s="488" t="s">
        <v>24538</v>
      </c>
      <c r="D7835" s="489" t="s">
        <v>24539</v>
      </c>
      <c r="E7835" s="487" t="s">
        <v>24540</v>
      </c>
      <c r="F7835" s="490">
        <v>1100</v>
      </c>
      <c r="G7835" s="489">
        <v>52.7</v>
      </c>
      <c r="H7835" s="489">
        <v>20.872869999999999</v>
      </c>
      <c r="I7835" s="487" t="s">
        <v>1499</v>
      </c>
      <c r="J7835" s="487" t="s">
        <v>1205</v>
      </c>
    </row>
    <row r="7836" spans="1:10" ht="15" x14ac:dyDescent="0.2">
      <c r="A7836" s="486" t="s">
        <v>1204</v>
      </c>
      <c r="B7836" s="487" t="s">
        <v>1203</v>
      </c>
      <c r="C7836" s="488" t="s">
        <v>24541</v>
      </c>
      <c r="D7836" s="489" t="s">
        <v>24542</v>
      </c>
      <c r="E7836" s="487" t="s">
        <v>24543</v>
      </c>
      <c r="F7836" s="490">
        <v>40000</v>
      </c>
      <c r="G7836" s="489">
        <v>368.8</v>
      </c>
      <c r="H7836" s="489">
        <v>108.45987</v>
      </c>
      <c r="I7836" s="487" t="s">
        <v>1499</v>
      </c>
      <c r="J7836" s="487" t="s">
        <v>1205</v>
      </c>
    </row>
    <row r="7837" spans="1:10" ht="15" x14ac:dyDescent="0.2">
      <c r="A7837" s="486" t="s">
        <v>1204</v>
      </c>
      <c r="B7837" s="487" t="s">
        <v>1203</v>
      </c>
      <c r="C7837" s="488" t="s">
        <v>24544</v>
      </c>
      <c r="D7837" s="489" t="s">
        <v>24545</v>
      </c>
      <c r="E7837" s="487" t="s">
        <v>24546</v>
      </c>
      <c r="F7837" s="490">
        <v>17824</v>
      </c>
      <c r="G7837" s="489">
        <v>192.2</v>
      </c>
      <c r="H7837" s="489">
        <v>92.736729999999994</v>
      </c>
      <c r="I7837" s="487" t="s">
        <v>1499</v>
      </c>
      <c r="J7837" s="487" t="s">
        <v>1205</v>
      </c>
    </row>
    <row r="7838" spans="1:10" ht="15" x14ac:dyDescent="0.2">
      <c r="A7838" s="486" t="s">
        <v>1204</v>
      </c>
      <c r="B7838" s="487" t="s">
        <v>1203</v>
      </c>
      <c r="C7838" s="488" t="s">
        <v>24547</v>
      </c>
      <c r="D7838" s="489" t="s">
        <v>24548</v>
      </c>
      <c r="E7838" s="487" t="s">
        <v>24549</v>
      </c>
      <c r="F7838" s="490">
        <v>20350</v>
      </c>
      <c r="G7838" s="489">
        <v>397.1</v>
      </c>
      <c r="H7838" s="489">
        <v>51.246540000000003</v>
      </c>
      <c r="I7838" s="487" t="s">
        <v>1499</v>
      </c>
      <c r="J7838" s="487" t="s">
        <v>1205</v>
      </c>
    </row>
    <row r="7839" spans="1:10" ht="15" x14ac:dyDescent="0.2">
      <c r="A7839" s="486" t="s">
        <v>1204</v>
      </c>
      <c r="B7839" s="487" t="s">
        <v>1203</v>
      </c>
      <c r="C7839" s="488" t="s">
        <v>24550</v>
      </c>
      <c r="D7839" s="489" t="s">
        <v>24551</v>
      </c>
      <c r="E7839" s="487" t="s">
        <v>24552</v>
      </c>
      <c r="F7839" s="490">
        <v>29686</v>
      </c>
      <c r="G7839" s="489">
        <v>739.7</v>
      </c>
      <c r="H7839" s="489">
        <v>40.132489999999997</v>
      </c>
      <c r="I7839" s="487" t="s">
        <v>1499</v>
      </c>
      <c r="J7839" s="487" t="s">
        <v>1205</v>
      </c>
    </row>
    <row r="7840" spans="1:10" ht="15" x14ac:dyDescent="0.2">
      <c r="A7840" s="486" t="s">
        <v>1204</v>
      </c>
      <c r="B7840" s="487" t="s">
        <v>1203</v>
      </c>
      <c r="C7840" s="488" t="s">
        <v>24553</v>
      </c>
      <c r="D7840" s="489" t="s">
        <v>24554</v>
      </c>
      <c r="E7840" s="487" t="s">
        <v>24555</v>
      </c>
      <c r="F7840" s="490">
        <v>199586</v>
      </c>
      <c r="G7840" s="489">
        <v>1780.3</v>
      </c>
      <c r="H7840" s="489">
        <v>112.10807</v>
      </c>
      <c r="I7840" s="487" t="s">
        <v>1499</v>
      </c>
      <c r="J7840" s="487" t="s">
        <v>1205</v>
      </c>
    </row>
    <row r="7841" spans="1:10" ht="15" x14ac:dyDescent="0.2">
      <c r="A7841" s="486" t="s">
        <v>1204</v>
      </c>
      <c r="B7841" s="487" t="s">
        <v>1203</v>
      </c>
      <c r="C7841" s="488" t="s">
        <v>24556</v>
      </c>
      <c r="D7841" s="489" t="s">
        <v>24557</v>
      </c>
      <c r="E7841" s="487" t="s">
        <v>24558</v>
      </c>
      <c r="F7841" s="490">
        <v>12000</v>
      </c>
      <c r="G7841" s="489">
        <v>605.4</v>
      </c>
      <c r="H7841" s="489">
        <v>19.82161</v>
      </c>
      <c r="I7841" s="487" t="s">
        <v>1499</v>
      </c>
      <c r="J7841" s="487" t="s">
        <v>1205</v>
      </c>
    </row>
    <row r="7842" spans="1:10" ht="15" x14ac:dyDescent="0.2">
      <c r="A7842" s="486" t="s">
        <v>1204</v>
      </c>
      <c r="B7842" s="487" t="s">
        <v>1203</v>
      </c>
      <c r="C7842" s="488" t="s">
        <v>24559</v>
      </c>
      <c r="D7842" s="489" t="s">
        <v>24560</v>
      </c>
      <c r="E7842" s="487" t="s">
        <v>24561</v>
      </c>
      <c r="F7842" s="490">
        <v>16400</v>
      </c>
      <c r="G7842" s="489">
        <v>277.10000000000002</v>
      </c>
      <c r="H7842" s="489">
        <v>59.18441</v>
      </c>
      <c r="I7842" s="487" t="s">
        <v>1499</v>
      </c>
      <c r="J7842" s="487" t="s">
        <v>1205</v>
      </c>
    </row>
    <row r="7843" spans="1:10" ht="15" x14ac:dyDescent="0.2">
      <c r="A7843" s="486" t="s">
        <v>1204</v>
      </c>
      <c r="B7843" s="487" t="s">
        <v>1203</v>
      </c>
      <c r="C7843" s="488" t="s">
        <v>24562</v>
      </c>
      <c r="D7843" s="489" t="s">
        <v>24563</v>
      </c>
      <c r="E7843" s="487" t="s">
        <v>24564</v>
      </c>
      <c r="F7843" s="490">
        <v>23000</v>
      </c>
      <c r="G7843" s="489">
        <v>334.8</v>
      </c>
      <c r="H7843" s="489">
        <v>68.697730000000007</v>
      </c>
      <c r="I7843" s="487" t="s">
        <v>1499</v>
      </c>
      <c r="J7843" s="487" t="s">
        <v>1205</v>
      </c>
    </row>
    <row r="7844" spans="1:10" ht="15" x14ac:dyDescent="0.2">
      <c r="A7844" s="486" t="s">
        <v>1204</v>
      </c>
      <c r="B7844" s="487" t="s">
        <v>1203</v>
      </c>
      <c r="C7844" s="488" t="s">
        <v>24565</v>
      </c>
      <c r="D7844" s="489" t="s">
        <v>24566</v>
      </c>
      <c r="E7844" s="487" t="s">
        <v>24567</v>
      </c>
      <c r="F7844" s="490">
        <v>11000</v>
      </c>
      <c r="G7844" s="489">
        <v>237</v>
      </c>
      <c r="H7844" s="489">
        <v>46.413499999999999</v>
      </c>
      <c r="I7844" s="487" t="s">
        <v>1499</v>
      </c>
      <c r="J7844" s="487" t="s">
        <v>1205</v>
      </c>
    </row>
    <row r="7845" spans="1:10" ht="15" x14ac:dyDescent="0.2">
      <c r="A7845" s="486" t="s">
        <v>1204</v>
      </c>
      <c r="B7845" s="487" t="s">
        <v>1203</v>
      </c>
      <c r="C7845" s="488" t="s">
        <v>24568</v>
      </c>
      <c r="D7845" s="489" t="s">
        <v>24569</v>
      </c>
      <c r="E7845" s="487" t="s">
        <v>24570</v>
      </c>
      <c r="F7845" s="490">
        <v>1019237</v>
      </c>
      <c r="G7845" s="489">
        <v>6228.7</v>
      </c>
      <c r="H7845" s="489">
        <v>163.63559000000001</v>
      </c>
      <c r="I7845" s="487" t="s">
        <v>1499</v>
      </c>
      <c r="J7845" s="487" t="s">
        <v>1205</v>
      </c>
    </row>
    <row r="7846" spans="1:10" ht="15" x14ac:dyDescent="0.2">
      <c r="A7846" s="486" t="s">
        <v>1204</v>
      </c>
      <c r="B7846" s="487" t="s">
        <v>1203</v>
      </c>
      <c r="C7846" s="488" t="s">
        <v>24571</v>
      </c>
      <c r="D7846" s="489" t="s">
        <v>24572</v>
      </c>
      <c r="E7846" s="487" t="s">
        <v>24573</v>
      </c>
      <c r="F7846" s="490">
        <v>14437</v>
      </c>
      <c r="G7846" s="489">
        <v>191.1</v>
      </c>
      <c r="H7846" s="489">
        <v>75.54683</v>
      </c>
      <c r="I7846" s="487" t="s">
        <v>1499</v>
      </c>
      <c r="J7846" s="487" t="s">
        <v>1205</v>
      </c>
    </row>
    <row r="7847" spans="1:10" ht="15" x14ac:dyDescent="0.2">
      <c r="A7847" s="486" t="s">
        <v>1204</v>
      </c>
      <c r="B7847" s="487" t="s">
        <v>1203</v>
      </c>
      <c r="C7847" s="488" t="s">
        <v>24574</v>
      </c>
      <c r="D7847" s="489" t="s">
        <v>24575</v>
      </c>
      <c r="E7847" s="487" t="s">
        <v>24576</v>
      </c>
      <c r="F7847" s="490">
        <v>20415</v>
      </c>
      <c r="G7847" s="489">
        <v>205</v>
      </c>
      <c r="H7847" s="489">
        <v>99.585369999999998</v>
      </c>
      <c r="I7847" s="487" t="s">
        <v>1499</v>
      </c>
      <c r="J7847" s="487" t="s">
        <v>1205</v>
      </c>
    </row>
    <row r="7848" spans="1:10" ht="15" x14ac:dyDescent="0.2">
      <c r="A7848" s="486" t="s">
        <v>1204</v>
      </c>
      <c r="B7848" s="487" t="s">
        <v>1203</v>
      </c>
      <c r="C7848" s="488" t="s">
        <v>24577</v>
      </c>
      <c r="D7848" s="489" t="s">
        <v>24578</v>
      </c>
      <c r="E7848" s="487" t="s">
        <v>24579</v>
      </c>
      <c r="F7848" s="490">
        <v>60000</v>
      </c>
      <c r="G7848" s="489">
        <v>627.70000000000005</v>
      </c>
      <c r="H7848" s="489">
        <v>95.587059999999994</v>
      </c>
      <c r="I7848" s="487" t="s">
        <v>1499</v>
      </c>
      <c r="J7848" s="487" t="s">
        <v>1205</v>
      </c>
    </row>
    <row r="7849" spans="1:10" ht="15" x14ac:dyDescent="0.2">
      <c r="A7849" s="486" t="s">
        <v>1204</v>
      </c>
      <c r="B7849" s="487" t="s">
        <v>1203</v>
      </c>
      <c r="C7849" s="488" t="s">
        <v>24580</v>
      </c>
      <c r="D7849" s="489" t="s">
        <v>24581</v>
      </c>
      <c r="E7849" s="487" t="s">
        <v>24582</v>
      </c>
      <c r="F7849" s="490">
        <v>9905</v>
      </c>
      <c r="G7849" s="489">
        <v>168.9</v>
      </c>
      <c r="H7849" s="489">
        <v>58.644170000000003</v>
      </c>
      <c r="I7849" s="487" t="s">
        <v>1499</v>
      </c>
      <c r="J7849" s="487" t="s">
        <v>1205</v>
      </c>
    </row>
    <row r="7850" spans="1:10" ht="15" x14ac:dyDescent="0.2">
      <c r="A7850" s="486" t="s">
        <v>1204</v>
      </c>
      <c r="B7850" s="487" t="s">
        <v>1203</v>
      </c>
      <c r="C7850" s="488" t="s">
        <v>24583</v>
      </c>
      <c r="D7850" s="489" t="s">
        <v>24584</v>
      </c>
      <c r="E7850" s="487" t="s">
        <v>24585</v>
      </c>
      <c r="F7850" s="490">
        <v>60000</v>
      </c>
      <c r="G7850" s="489">
        <v>710.2</v>
      </c>
      <c r="H7850" s="489">
        <v>84.483239999999995</v>
      </c>
      <c r="I7850" s="487" t="s">
        <v>1499</v>
      </c>
      <c r="J7850" s="487" t="s">
        <v>1205</v>
      </c>
    </row>
    <row r="7851" spans="1:10" ht="15" x14ac:dyDescent="0.2">
      <c r="A7851" s="486" t="s">
        <v>1204</v>
      </c>
      <c r="B7851" s="487" t="s">
        <v>1203</v>
      </c>
      <c r="C7851" s="488" t="s">
        <v>24586</v>
      </c>
      <c r="D7851" s="489" t="s">
        <v>24587</v>
      </c>
      <c r="E7851" s="487" t="s">
        <v>24588</v>
      </c>
      <c r="F7851" s="490">
        <v>23000</v>
      </c>
      <c r="G7851" s="489">
        <v>330.5</v>
      </c>
      <c r="H7851" s="489">
        <v>69.591530000000006</v>
      </c>
      <c r="I7851" s="487" t="s">
        <v>1499</v>
      </c>
      <c r="J7851" s="487" t="s">
        <v>1205</v>
      </c>
    </row>
    <row r="7852" spans="1:10" ht="15" x14ac:dyDescent="0.2">
      <c r="A7852" s="486" t="s">
        <v>1204</v>
      </c>
      <c r="B7852" s="487" t="s">
        <v>1203</v>
      </c>
      <c r="C7852" s="488" t="s">
        <v>24589</v>
      </c>
      <c r="D7852" s="489" t="s">
        <v>24590</v>
      </c>
      <c r="E7852" s="487" t="s">
        <v>24591</v>
      </c>
      <c r="F7852" s="490">
        <v>14500</v>
      </c>
      <c r="G7852" s="489">
        <v>213.7</v>
      </c>
      <c r="H7852" s="489">
        <v>67.852130000000002</v>
      </c>
      <c r="I7852" s="487" t="s">
        <v>1499</v>
      </c>
      <c r="J7852" s="487" t="s">
        <v>1205</v>
      </c>
    </row>
    <row r="7853" spans="1:10" ht="15" x14ac:dyDescent="0.2">
      <c r="A7853" s="486" t="s">
        <v>1204</v>
      </c>
      <c r="B7853" s="487" t="s">
        <v>1203</v>
      </c>
      <c r="C7853" s="488" t="s">
        <v>24592</v>
      </c>
      <c r="D7853" s="489" t="s">
        <v>24593</v>
      </c>
      <c r="E7853" s="487" t="s">
        <v>24594</v>
      </c>
      <c r="F7853" s="490">
        <v>0</v>
      </c>
      <c r="G7853" s="489">
        <v>34.200000000000003</v>
      </c>
      <c r="H7853" s="489">
        <v>0</v>
      </c>
      <c r="I7853" s="487" t="s">
        <v>1593</v>
      </c>
      <c r="J7853" s="487" t="s">
        <v>1205</v>
      </c>
    </row>
    <row r="7854" spans="1:10" ht="15" x14ac:dyDescent="0.2">
      <c r="A7854" s="486" t="s">
        <v>1204</v>
      </c>
      <c r="B7854" s="487" t="s">
        <v>1203</v>
      </c>
      <c r="C7854" s="488" t="s">
        <v>24595</v>
      </c>
      <c r="D7854" s="489" t="s">
        <v>24596</v>
      </c>
      <c r="E7854" s="487" t="s">
        <v>24597</v>
      </c>
      <c r="F7854" s="490">
        <v>25894</v>
      </c>
      <c r="G7854" s="489">
        <v>387</v>
      </c>
      <c r="H7854" s="489">
        <v>66.909559999999999</v>
      </c>
      <c r="I7854" s="487" t="s">
        <v>1499</v>
      </c>
      <c r="J7854" s="487" t="s">
        <v>1205</v>
      </c>
    </row>
    <row r="7855" spans="1:10" ht="15" x14ac:dyDescent="0.2">
      <c r="A7855" s="486" t="s">
        <v>1204</v>
      </c>
      <c r="B7855" s="487" t="s">
        <v>1203</v>
      </c>
      <c r="C7855" s="488" t="s">
        <v>24598</v>
      </c>
      <c r="D7855" s="489" t="s">
        <v>24599</v>
      </c>
      <c r="E7855" s="487" t="s">
        <v>24600</v>
      </c>
      <c r="F7855" s="490">
        <v>10000</v>
      </c>
      <c r="G7855" s="489">
        <v>140.30000000000001</v>
      </c>
      <c r="H7855" s="489">
        <v>71.275840000000002</v>
      </c>
      <c r="I7855" s="487" t="s">
        <v>1499</v>
      </c>
      <c r="J7855" s="487" t="s">
        <v>1205</v>
      </c>
    </row>
    <row r="7856" spans="1:10" ht="15" x14ac:dyDescent="0.2">
      <c r="A7856" s="486" t="s">
        <v>1204</v>
      </c>
      <c r="B7856" s="487" t="s">
        <v>1203</v>
      </c>
      <c r="C7856" s="488" t="s">
        <v>24601</v>
      </c>
      <c r="D7856" s="489" t="s">
        <v>24602</v>
      </c>
      <c r="E7856" s="487" t="s">
        <v>24603</v>
      </c>
      <c r="F7856" s="490">
        <v>11423</v>
      </c>
      <c r="G7856" s="489">
        <v>140.9</v>
      </c>
      <c r="H7856" s="489">
        <v>81.071680000000001</v>
      </c>
      <c r="I7856" s="487" t="s">
        <v>1499</v>
      </c>
      <c r="J7856" s="487" t="s">
        <v>1205</v>
      </c>
    </row>
    <row r="7857" spans="1:10" ht="15" x14ac:dyDescent="0.2">
      <c r="A7857" s="486" t="s">
        <v>1204</v>
      </c>
      <c r="B7857" s="487" t="s">
        <v>1203</v>
      </c>
      <c r="C7857" s="488" t="s">
        <v>24604</v>
      </c>
      <c r="D7857" s="489" t="s">
        <v>24605</v>
      </c>
      <c r="E7857" s="487" t="s">
        <v>24606</v>
      </c>
      <c r="F7857" s="490">
        <v>34124</v>
      </c>
      <c r="G7857" s="489">
        <v>256.10000000000002</v>
      </c>
      <c r="H7857" s="489">
        <v>133.24483000000001</v>
      </c>
      <c r="I7857" s="487" t="s">
        <v>1499</v>
      </c>
      <c r="J7857" s="487" t="s">
        <v>1205</v>
      </c>
    </row>
    <row r="7858" spans="1:10" ht="15" x14ac:dyDescent="0.2">
      <c r="A7858" s="486" t="s">
        <v>1204</v>
      </c>
      <c r="B7858" s="487" t="s">
        <v>1203</v>
      </c>
      <c r="C7858" s="488" t="s">
        <v>24607</v>
      </c>
      <c r="D7858" s="489" t="s">
        <v>24608</v>
      </c>
      <c r="E7858" s="487" t="s">
        <v>24609</v>
      </c>
      <c r="F7858" s="490">
        <v>31000</v>
      </c>
      <c r="G7858" s="489">
        <v>383.5</v>
      </c>
      <c r="H7858" s="489">
        <v>80.834419999999994</v>
      </c>
      <c r="I7858" s="487" t="s">
        <v>1499</v>
      </c>
      <c r="J7858" s="487" t="s">
        <v>1205</v>
      </c>
    </row>
    <row r="7859" spans="1:10" ht="15" x14ac:dyDescent="0.2">
      <c r="A7859" s="486" t="s">
        <v>1204</v>
      </c>
      <c r="B7859" s="487" t="s">
        <v>1203</v>
      </c>
      <c r="C7859" s="488" t="s">
        <v>24610</v>
      </c>
      <c r="D7859" s="489" t="s">
        <v>24611</v>
      </c>
      <c r="E7859" s="487" t="s">
        <v>15517</v>
      </c>
      <c r="F7859" s="490">
        <v>3500</v>
      </c>
      <c r="G7859" s="489">
        <v>59.3</v>
      </c>
      <c r="H7859" s="489">
        <v>59.021920000000001</v>
      </c>
      <c r="I7859" s="487" t="s">
        <v>1499</v>
      </c>
      <c r="J7859" s="487" t="s">
        <v>1205</v>
      </c>
    </row>
    <row r="7860" spans="1:10" ht="15" x14ac:dyDescent="0.2">
      <c r="A7860" s="486" t="s">
        <v>1204</v>
      </c>
      <c r="B7860" s="487" t="s">
        <v>1203</v>
      </c>
      <c r="C7860" s="488" t="s">
        <v>24612</v>
      </c>
      <c r="D7860" s="489" t="s">
        <v>24613</v>
      </c>
      <c r="E7860" s="487" t="s">
        <v>24614</v>
      </c>
      <c r="F7860" s="490">
        <v>16000</v>
      </c>
      <c r="G7860" s="489">
        <v>203.3</v>
      </c>
      <c r="H7860" s="489">
        <v>78.701430000000002</v>
      </c>
      <c r="I7860" s="487" t="s">
        <v>1499</v>
      </c>
      <c r="J7860" s="487" t="s">
        <v>1205</v>
      </c>
    </row>
    <row r="7861" spans="1:10" ht="15" x14ac:dyDescent="0.2">
      <c r="A7861" s="486" t="s">
        <v>1204</v>
      </c>
      <c r="B7861" s="487" t="s">
        <v>1203</v>
      </c>
      <c r="C7861" s="488" t="s">
        <v>24615</v>
      </c>
      <c r="D7861" s="489" t="s">
        <v>24616</v>
      </c>
      <c r="E7861" s="487" t="s">
        <v>24617</v>
      </c>
      <c r="F7861" s="490">
        <v>8350</v>
      </c>
      <c r="G7861" s="489">
        <v>247.5</v>
      </c>
      <c r="H7861" s="489">
        <v>33.737369999999999</v>
      </c>
      <c r="I7861" s="487" t="s">
        <v>1499</v>
      </c>
      <c r="J7861" s="487" t="s">
        <v>1205</v>
      </c>
    </row>
    <row r="7862" spans="1:10" ht="15" x14ac:dyDescent="0.2">
      <c r="A7862" s="486" t="s">
        <v>1204</v>
      </c>
      <c r="B7862" s="487" t="s">
        <v>1203</v>
      </c>
      <c r="C7862" s="488" t="s">
        <v>24618</v>
      </c>
      <c r="D7862" s="489" t="s">
        <v>24619</v>
      </c>
      <c r="E7862" s="487" t="s">
        <v>24620</v>
      </c>
      <c r="F7862" s="490">
        <v>7320</v>
      </c>
      <c r="G7862" s="489">
        <v>115</v>
      </c>
      <c r="H7862" s="489">
        <v>63.652169999999998</v>
      </c>
      <c r="I7862" s="487" t="s">
        <v>1499</v>
      </c>
      <c r="J7862" s="487" t="s">
        <v>1205</v>
      </c>
    </row>
    <row r="7863" spans="1:10" ht="15" x14ac:dyDescent="0.2">
      <c r="A7863" s="486" t="s">
        <v>1204</v>
      </c>
      <c r="B7863" s="487" t="s">
        <v>1203</v>
      </c>
      <c r="C7863" s="488" t="s">
        <v>24621</v>
      </c>
      <c r="D7863" s="489" t="s">
        <v>24622</v>
      </c>
      <c r="E7863" s="487" t="s">
        <v>24623</v>
      </c>
      <c r="F7863" s="490">
        <v>7500</v>
      </c>
      <c r="G7863" s="489">
        <v>192.2</v>
      </c>
      <c r="H7863" s="489">
        <v>39.021850000000001</v>
      </c>
      <c r="I7863" s="487" t="s">
        <v>1499</v>
      </c>
      <c r="J7863" s="487" t="s">
        <v>1205</v>
      </c>
    </row>
    <row r="7864" spans="1:10" ht="15" x14ac:dyDescent="0.2">
      <c r="A7864" s="486" t="s">
        <v>1204</v>
      </c>
      <c r="B7864" s="487" t="s">
        <v>1203</v>
      </c>
      <c r="C7864" s="488" t="s">
        <v>24624</v>
      </c>
      <c r="D7864" s="489" t="s">
        <v>24625</v>
      </c>
      <c r="E7864" s="487" t="s">
        <v>24626</v>
      </c>
      <c r="F7864" s="490">
        <v>3000</v>
      </c>
      <c r="G7864" s="489">
        <v>148.69999999999999</v>
      </c>
      <c r="H7864" s="489">
        <v>20.174849999999999</v>
      </c>
      <c r="I7864" s="487" t="s">
        <v>1499</v>
      </c>
      <c r="J7864" s="487" t="s">
        <v>1205</v>
      </c>
    </row>
    <row r="7865" spans="1:10" ht="15" x14ac:dyDescent="0.2">
      <c r="A7865" s="486" t="s">
        <v>1204</v>
      </c>
      <c r="B7865" s="487" t="s">
        <v>1203</v>
      </c>
      <c r="C7865" s="488" t="s">
        <v>24627</v>
      </c>
      <c r="D7865" s="489" t="s">
        <v>24628</v>
      </c>
      <c r="E7865" s="487" t="s">
        <v>24629</v>
      </c>
      <c r="F7865" s="490">
        <v>8793</v>
      </c>
      <c r="G7865" s="489">
        <v>261.7</v>
      </c>
      <c r="H7865" s="489">
        <v>33.599539999999998</v>
      </c>
      <c r="I7865" s="487" t="s">
        <v>1499</v>
      </c>
      <c r="J7865" s="487" t="s">
        <v>1205</v>
      </c>
    </row>
    <row r="7866" spans="1:10" ht="15" x14ac:dyDescent="0.2">
      <c r="A7866" s="486" t="s">
        <v>1204</v>
      </c>
      <c r="B7866" s="487" t="s">
        <v>1203</v>
      </c>
      <c r="C7866" s="488" t="s">
        <v>24630</v>
      </c>
      <c r="D7866" s="489" t="s">
        <v>24631</v>
      </c>
      <c r="E7866" s="487" t="s">
        <v>24632</v>
      </c>
      <c r="F7866" s="490">
        <v>50000</v>
      </c>
      <c r="G7866" s="489">
        <v>973.2</v>
      </c>
      <c r="H7866" s="489">
        <v>51.376899999999999</v>
      </c>
      <c r="I7866" s="487" t="s">
        <v>1499</v>
      </c>
      <c r="J7866" s="487" t="s">
        <v>1205</v>
      </c>
    </row>
    <row r="7867" spans="1:10" ht="15" x14ac:dyDescent="0.2">
      <c r="A7867" s="486" t="s">
        <v>1204</v>
      </c>
      <c r="B7867" s="487" t="s">
        <v>1203</v>
      </c>
      <c r="C7867" s="488" t="s">
        <v>24633</v>
      </c>
      <c r="D7867" s="489" t="s">
        <v>24634</v>
      </c>
      <c r="E7867" s="487" t="s">
        <v>24635</v>
      </c>
      <c r="F7867" s="490">
        <v>66495</v>
      </c>
      <c r="G7867" s="489">
        <v>507</v>
      </c>
      <c r="H7867" s="489">
        <v>131.15385000000001</v>
      </c>
      <c r="I7867" s="487" t="s">
        <v>1499</v>
      </c>
      <c r="J7867" s="487" t="s">
        <v>1205</v>
      </c>
    </row>
    <row r="7868" spans="1:10" ht="15" x14ac:dyDescent="0.2">
      <c r="A7868" s="486" t="s">
        <v>1204</v>
      </c>
      <c r="B7868" s="487" t="s">
        <v>1203</v>
      </c>
      <c r="C7868" s="488" t="s">
        <v>24636</v>
      </c>
      <c r="D7868" s="489" t="s">
        <v>24637</v>
      </c>
      <c r="E7868" s="487" t="s">
        <v>24638</v>
      </c>
      <c r="F7868" s="490">
        <v>35875</v>
      </c>
      <c r="G7868" s="489">
        <v>1031.4000000000001</v>
      </c>
      <c r="H7868" s="489">
        <v>34.782820000000001</v>
      </c>
      <c r="I7868" s="487" t="s">
        <v>1499</v>
      </c>
      <c r="J7868" s="487" t="s">
        <v>1205</v>
      </c>
    </row>
    <row r="7869" spans="1:10" ht="15" x14ac:dyDescent="0.2">
      <c r="A7869" s="486" t="s">
        <v>1204</v>
      </c>
      <c r="B7869" s="487" t="s">
        <v>1203</v>
      </c>
      <c r="C7869" s="488" t="s">
        <v>24639</v>
      </c>
      <c r="D7869" s="489" t="s">
        <v>24640</v>
      </c>
      <c r="E7869" s="487" t="s">
        <v>24641</v>
      </c>
      <c r="F7869" s="490">
        <v>1540</v>
      </c>
      <c r="G7869" s="489">
        <v>62.1</v>
      </c>
      <c r="H7869" s="489">
        <v>24.79871</v>
      </c>
      <c r="I7869" s="487" t="s">
        <v>1499</v>
      </c>
      <c r="J7869" s="487" t="s">
        <v>1205</v>
      </c>
    </row>
    <row r="7870" spans="1:10" ht="15" x14ac:dyDescent="0.2">
      <c r="A7870" s="486" t="s">
        <v>1204</v>
      </c>
      <c r="B7870" s="487" t="s">
        <v>1203</v>
      </c>
      <c r="C7870" s="488" t="s">
        <v>24642</v>
      </c>
      <c r="D7870" s="489" t="s">
        <v>24643</v>
      </c>
      <c r="E7870" s="487" t="s">
        <v>24644</v>
      </c>
      <c r="F7870" s="490">
        <v>342470</v>
      </c>
      <c r="G7870" s="489">
        <v>1815.7</v>
      </c>
      <c r="H7870" s="489">
        <v>188.61596</v>
      </c>
      <c r="I7870" s="487" t="s">
        <v>1499</v>
      </c>
      <c r="J7870" s="487" t="s">
        <v>1205</v>
      </c>
    </row>
    <row r="7871" spans="1:10" ht="15" x14ac:dyDescent="0.2">
      <c r="A7871" s="486" t="s">
        <v>1204</v>
      </c>
      <c r="B7871" s="487" t="s">
        <v>1203</v>
      </c>
      <c r="C7871" s="488" t="s">
        <v>24645</v>
      </c>
      <c r="D7871" s="489" t="s">
        <v>24646</v>
      </c>
      <c r="E7871" s="487" t="s">
        <v>24647</v>
      </c>
      <c r="F7871" s="490">
        <v>13000</v>
      </c>
      <c r="G7871" s="489">
        <v>132.69999999999999</v>
      </c>
      <c r="H7871" s="489">
        <v>97.965339999999998</v>
      </c>
      <c r="I7871" s="487" t="s">
        <v>1499</v>
      </c>
      <c r="J7871" s="487" t="s">
        <v>1205</v>
      </c>
    </row>
    <row r="7872" spans="1:10" ht="15" x14ac:dyDescent="0.2">
      <c r="A7872" s="486" t="s">
        <v>1204</v>
      </c>
      <c r="B7872" s="487" t="s">
        <v>1203</v>
      </c>
      <c r="C7872" s="488" t="s">
        <v>24648</v>
      </c>
      <c r="D7872" s="489" t="s">
        <v>24649</v>
      </c>
      <c r="E7872" s="487" t="s">
        <v>1620</v>
      </c>
      <c r="F7872" s="490">
        <v>26445</v>
      </c>
      <c r="G7872" s="489">
        <v>239.7</v>
      </c>
      <c r="H7872" s="489">
        <v>110.32541000000001</v>
      </c>
      <c r="I7872" s="487" t="s">
        <v>1499</v>
      </c>
      <c r="J7872" s="487" t="s">
        <v>1205</v>
      </c>
    </row>
    <row r="7873" spans="1:10" ht="15" x14ac:dyDescent="0.2">
      <c r="A7873" s="486" t="s">
        <v>1204</v>
      </c>
      <c r="B7873" s="487" t="s">
        <v>1203</v>
      </c>
      <c r="C7873" s="488" t="s">
        <v>24650</v>
      </c>
      <c r="D7873" s="489" t="s">
        <v>24651</v>
      </c>
      <c r="E7873" s="487" t="s">
        <v>24652</v>
      </c>
      <c r="F7873" s="490">
        <v>32995</v>
      </c>
      <c r="G7873" s="489">
        <v>419.1</v>
      </c>
      <c r="H7873" s="489">
        <v>78.728229999999996</v>
      </c>
      <c r="I7873" s="487" t="s">
        <v>1499</v>
      </c>
      <c r="J7873" s="487" t="s">
        <v>1205</v>
      </c>
    </row>
    <row r="7874" spans="1:10" ht="15" x14ac:dyDescent="0.2">
      <c r="A7874" s="486" t="s">
        <v>1204</v>
      </c>
      <c r="B7874" s="487" t="s">
        <v>1203</v>
      </c>
      <c r="C7874" s="488" t="s">
        <v>24653</v>
      </c>
      <c r="D7874" s="489" t="s">
        <v>24654</v>
      </c>
      <c r="E7874" s="487" t="s">
        <v>24655</v>
      </c>
      <c r="F7874" s="490">
        <v>29000</v>
      </c>
      <c r="G7874" s="489">
        <v>226.2</v>
      </c>
      <c r="H7874" s="489">
        <v>128.20513</v>
      </c>
      <c r="I7874" s="487" t="s">
        <v>1499</v>
      </c>
      <c r="J7874" s="487" t="s">
        <v>1205</v>
      </c>
    </row>
    <row r="7875" spans="1:10" ht="15" x14ac:dyDescent="0.2">
      <c r="A7875" s="486" t="s">
        <v>1204</v>
      </c>
      <c r="B7875" s="487" t="s">
        <v>1203</v>
      </c>
      <c r="C7875" s="488" t="s">
        <v>24656</v>
      </c>
      <c r="D7875" s="489" t="s">
        <v>24657</v>
      </c>
      <c r="E7875" s="487" t="s">
        <v>24658</v>
      </c>
      <c r="F7875" s="490">
        <v>19400</v>
      </c>
      <c r="G7875" s="489">
        <v>346</v>
      </c>
      <c r="H7875" s="489">
        <v>56.069360000000003</v>
      </c>
      <c r="I7875" s="487" t="s">
        <v>1499</v>
      </c>
      <c r="J7875" s="487" t="s">
        <v>1205</v>
      </c>
    </row>
    <row r="7876" spans="1:10" ht="15" x14ac:dyDescent="0.2">
      <c r="A7876" s="486" t="s">
        <v>1204</v>
      </c>
      <c r="B7876" s="487" t="s">
        <v>1203</v>
      </c>
      <c r="C7876" s="488" t="s">
        <v>24659</v>
      </c>
      <c r="D7876" s="489" t="s">
        <v>24660</v>
      </c>
      <c r="E7876" s="487" t="s">
        <v>24661</v>
      </c>
      <c r="F7876" s="490">
        <v>0</v>
      </c>
      <c r="G7876" s="489">
        <v>34.6</v>
      </c>
      <c r="H7876" s="489">
        <v>0</v>
      </c>
      <c r="I7876" s="487" t="s">
        <v>1593</v>
      </c>
      <c r="J7876" s="487" t="s">
        <v>1205</v>
      </c>
    </row>
    <row r="7877" spans="1:10" ht="15" x14ac:dyDescent="0.2">
      <c r="A7877" s="486" t="s">
        <v>1204</v>
      </c>
      <c r="B7877" s="487" t="s">
        <v>1203</v>
      </c>
      <c r="C7877" s="488" t="s">
        <v>24662</v>
      </c>
      <c r="D7877" s="489" t="s">
        <v>24663</v>
      </c>
      <c r="E7877" s="487" t="s">
        <v>24664</v>
      </c>
      <c r="F7877" s="490">
        <v>6651</v>
      </c>
      <c r="G7877" s="489">
        <v>145.4</v>
      </c>
      <c r="H7877" s="489">
        <v>45.742780000000003</v>
      </c>
      <c r="I7877" s="487" t="s">
        <v>1499</v>
      </c>
      <c r="J7877" s="487" t="s">
        <v>1205</v>
      </c>
    </row>
    <row r="7878" spans="1:10" ht="15" x14ac:dyDescent="0.2">
      <c r="A7878" s="486" t="s">
        <v>1204</v>
      </c>
      <c r="B7878" s="487" t="s">
        <v>1203</v>
      </c>
      <c r="C7878" s="488" t="s">
        <v>24665</v>
      </c>
      <c r="D7878" s="489" t="s">
        <v>24666</v>
      </c>
      <c r="E7878" s="487" t="s">
        <v>24667</v>
      </c>
      <c r="F7878" s="490">
        <v>20000</v>
      </c>
      <c r="G7878" s="489">
        <v>165.9</v>
      </c>
      <c r="H7878" s="489">
        <v>120.55455000000001</v>
      </c>
      <c r="I7878" s="487" t="s">
        <v>1499</v>
      </c>
      <c r="J7878" s="487" t="s">
        <v>1205</v>
      </c>
    </row>
    <row r="7879" spans="1:10" ht="15" x14ac:dyDescent="0.2">
      <c r="A7879" s="486" t="s">
        <v>1204</v>
      </c>
      <c r="B7879" s="487" t="s">
        <v>1203</v>
      </c>
      <c r="C7879" s="488" t="s">
        <v>24668</v>
      </c>
      <c r="D7879" s="489" t="s">
        <v>24669</v>
      </c>
      <c r="E7879" s="487" t="s">
        <v>24670</v>
      </c>
      <c r="F7879" s="490">
        <v>32841</v>
      </c>
      <c r="G7879" s="489">
        <v>348.2</v>
      </c>
      <c r="H7879" s="489">
        <v>94.316479999999999</v>
      </c>
      <c r="I7879" s="487" t="s">
        <v>1499</v>
      </c>
      <c r="J7879" s="487" t="s">
        <v>1205</v>
      </c>
    </row>
    <row r="7880" spans="1:10" ht="15" x14ac:dyDescent="0.2">
      <c r="A7880" s="486" t="s">
        <v>1204</v>
      </c>
      <c r="B7880" s="487" t="s">
        <v>1203</v>
      </c>
      <c r="C7880" s="488" t="s">
        <v>24671</v>
      </c>
      <c r="D7880" s="489" t="s">
        <v>24672</v>
      </c>
      <c r="E7880" s="487" t="s">
        <v>24673</v>
      </c>
      <c r="F7880" s="490">
        <v>1102425</v>
      </c>
      <c r="G7880" s="489">
        <v>5154.8</v>
      </c>
      <c r="H7880" s="489">
        <v>213.86377999999999</v>
      </c>
      <c r="I7880" s="487" t="s">
        <v>1499</v>
      </c>
      <c r="J7880" s="487" t="s">
        <v>1205</v>
      </c>
    </row>
    <row r="7881" spans="1:10" ht="15" x14ac:dyDescent="0.2">
      <c r="A7881" s="486" t="s">
        <v>1204</v>
      </c>
      <c r="B7881" s="487" t="s">
        <v>1203</v>
      </c>
      <c r="C7881" s="488" t="s">
        <v>24674</v>
      </c>
      <c r="D7881" s="489" t="s">
        <v>24675</v>
      </c>
      <c r="E7881" s="487" t="s">
        <v>24676</v>
      </c>
      <c r="F7881" s="490">
        <v>14500</v>
      </c>
      <c r="G7881" s="489">
        <v>276.60000000000002</v>
      </c>
      <c r="H7881" s="489">
        <v>52.422269999999997</v>
      </c>
      <c r="I7881" s="487" t="s">
        <v>1499</v>
      </c>
      <c r="J7881" s="487" t="s">
        <v>1205</v>
      </c>
    </row>
    <row r="7882" spans="1:10" ht="15" x14ac:dyDescent="0.2">
      <c r="A7882" s="486" t="s">
        <v>1204</v>
      </c>
      <c r="B7882" s="487" t="s">
        <v>1203</v>
      </c>
      <c r="C7882" s="488" t="s">
        <v>24677</v>
      </c>
      <c r="D7882" s="489" t="s">
        <v>24678</v>
      </c>
      <c r="E7882" s="487" t="s">
        <v>24679</v>
      </c>
      <c r="F7882" s="490">
        <v>5712</v>
      </c>
      <c r="G7882" s="489">
        <v>80.599999999999994</v>
      </c>
      <c r="H7882" s="489">
        <v>70.868489999999994</v>
      </c>
      <c r="I7882" s="487" t="s">
        <v>1499</v>
      </c>
      <c r="J7882" s="487" t="s">
        <v>1205</v>
      </c>
    </row>
    <row r="7883" spans="1:10" ht="15" x14ac:dyDescent="0.2">
      <c r="A7883" s="486" t="s">
        <v>1204</v>
      </c>
      <c r="B7883" s="487" t="s">
        <v>1203</v>
      </c>
      <c r="C7883" s="488" t="s">
        <v>24680</v>
      </c>
      <c r="D7883" s="489" t="s">
        <v>24681</v>
      </c>
      <c r="E7883" s="487" t="s">
        <v>24682</v>
      </c>
      <c r="F7883" s="490">
        <v>20000</v>
      </c>
      <c r="G7883" s="489">
        <v>204.5</v>
      </c>
      <c r="H7883" s="489">
        <v>97.799509999999998</v>
      </c>
      <c r="I7883" s="487" t="s">
        <v>1499</v>
      </c>
      <c r="J7883" s="487" t="s">
        <v>1205</v>
      </c>
    </row>
    <row r="7884" spans="1:10" ht="15" x14ac:dyDescent="0.2">
      <c r="A7884" s="486" t="s">
        <v>1204</v>
      </c>
      <c r="B7884" s="487" t="s">
        <v>1203</v>
      </c>
      <c r="C7884" s="488" t="s">
        <v>24683</v>
      </c>
      <c r="D7884" s="489" t="s">
        <v>24684</v>
      </c>
      <c r="E7884" s="487" t="s">
        <v>24685</v>
      </c>
      <c r="F7884" s="490">
        <v>680885</v>
      </c>
      <c r="G7884" s="489">
        <v>3316.9</v>
      </c>
      <c r="H7884" s="489">
        <v>205.27752000000001</v>
      </c>
      <c r="I7884" s="487" t="s">
        <v>1499</v>
      </c>
      <c r="J7884" s="487" t="s">
        <v>1205</v>
      </c>
    </row>
    <row r="7885" spans="1:10" ht="15" x14ac:dyDescent="0.2">
      <c r="A7885" s="486" t="s">
        <v>1204</v>
      </c>
      <c r="B7885" s="487" t="s">
        <v>1203</v>
      </c>
      <c r="C7885" s="488" t="s">
        <v>24686</v>
      </c>
      <c r="D7885" s="489" t="s">
        <v>24687</v>
      </c>
      <c r="E7885" s="487" t="s">
        <v>24688</v>
      </c>
      <c r="F7885" s="490">
        <v>67825</v>
      </c>
      <c r="G7885" s="489">
        <v>528</v>
      </c>
      <c r="H7885" s="489">
        <v>128.45643999999999</v>
      </c>
      <c r="I7885" s="487" t="s">
        <v>1499</v>
      </c>
      <c r="J7885" s="487" t="s">
        <v>1205</v>
      </c>
    </row>
    <row r="7886" spans="1:10" ht="15" x14ac:dyDescent="0.2">
      <c r="A7886" s="486" t="s">
        <v>1204</v>
      </c>
      <c r="B7886" s="487" t="s">
        <v>1203</v>
      </c>
      <c r="C7886" s="488" t="s">
        <v>24689</v>
      </c>
      <c r="D7886" s="489" t="s">
        <v>24690</v>
      </c>
      <c r="E7886" s="487" t="s">
        <v>24691</v>
      </c>
      <c r="F7886" s="490">
        <v>7650</v>
      </c>
      <c r="G7886" s="489">
        <v>92.3</v>
      </c>
      <c r="H7886" s="489">
        <v>82.881910000000005</v>
      </c>
      <c r="I7886" s="487" t="s">
        <v>1499</v>
      </c>
      <c r="J7886" s="487" t="s">
        <v>1205</v>
      </c>
    </row>
    <row r="7887" spans="1:10" ht="15" x14ac:dyDescent="0.2">
      <c r="A7887" s="486" t="s">
        <v>1204</v>
      </c>
      <c r="B7887" s="487" t="s">
        <v>1203</v>
      </c>
      <c r="C7887" s="488" t="s">
        <v>24692</v>
      </c>
      <c r="D7887" s="489" t="s">
        <v>24693</v>
      </c>
      <c r="E7887" s="487" t="s">
        <v>24694</v>
      </c>
      <c r="F7887" s="490">
        <v>1100</v>
      </c>
      <c r="G7887" s="489">
        <v>51.8</v>
      </c>
      <c r="H7887" s="489">
        <v>21.235520000000001</v>
      </c>
      <c r="I7887" s="487" t="s">
        <v>1499</v>
      </c>
      <c r="J7887" s="487" t="s">
        <v>1205</v>
      </c>
    </row>
    <row r="7888" spans="1:10" ht="15" x14ac:dyDescent="0.2">
      <c r="A7888" s="486" t="s">
        <v>1204</v>
      </c>
      <c r="B7888" s="487" t="s">
        <v>1203</v>
      </c>
      <c r="C7888" s="488" t="s">
        <v>24695</v>
      </c>
      <c r="D7888" s="489" t="s">
        <v>24696</v>
      </c>
      <c r="E7888" s="487" t="s">
        <v>19578</v>
      </c>
      <c r="F7888" s="490">
        <v>199618</v>
      </c>
      <c r="G7888" s="489">
        <v>1368</v>
      </c>
      <c r="H7888" s="489">
        <v>145.91959</v>
      </c>
      <c r="I7888" s="487" t="s">
        <v>1499</v>
      </c>
      <c r="J7888" s="487" t="s">
        <v>1205</v>
      </c>
    </row>
    <row r="7889" spans="1:10" ht="15" x14ac:dyDescent="0.2">
      <c r="A7889" s="486" t="s">
        <v>1204</v>
      </c>
      <c r="B7889" s="487" t="s">
        <v>1203</v>
      </c>
      <c r="C7889" s="488" t="s">
        <v>24697</v>
      </c>
      <c r="D7889" s="489" t="s">
        <v>24698</v>
      </c>
      <c r="E7889" s="487" t="s">
        <v>24699</v>
      </c>
      <c r="F7889" s="490">
        <v>9600</v>
      </c>
      <c r="G7889" s="489">
        <v>134.6</v>
      </c>
      <c r="H7889" s="489">
        <v>71.32244</v>
      </c>
      <c r="I7889" s="487" t="s">
        <v>1499</v>
      </c>
      <c r="J7889" s="487" t="s">
        <v>1205</v>
      </c>
    </row>
    <row r="7890" spans="1:10" ht="15" x14ac:dyDescent="0.2">
      <c r="A7890" s="486" t="s">
        <v>1204</v>
      </c>
      <c r="B7890" s="487" t="s">
        <v>1203</v>
      </c>
      <c r="C7890" s="488" t="s">
        <v>24700</v>
      </c>
      <c r="D7890" s="489" t="s">
        <v>24701</v>
      </c>
      <c r="E7890" s="487" t="s">
        <v>24702</v>
      </c>
      <c r="F7890" s="490">
        <v>0</v>
      </c>
      <c r="G7890" s="489">
        <v>14.4</v>
      </c>
      <c r="H7890" s="489">
        <v>0</v>
      </c>
      <c r="I7890" s="487" t="s">
        <v>1593</v>
      </c>
      <c r="J7890" s="487" t="s">
        <v>1205</v>
      </c>
    </row>
    <row r="7891" spans="1:10" ht="15" x14ac:dyDescent="0.2">
      <c r="A7891" s="486" t="s">
        <v>1204</v>
      </c>
      <c r="B7891" s="487" t="s">
        <v>1203</v>
      </c>
      <c r="C7891" s="488" t="s">
        <v>24703</v>
      </c>
      <c r="D7891" s="489" t="s">
        <v>24704</v>
      </c>
      <c r="E7891" s="487" t="s">
        <v>24705</v>
      </c>
      <c r="F7891" s="490">
        <v>169011</v>
      </c>
      <c r="G7891" s="489">
        <v>1792.8</v>
      </c>
      <c r="H7891" s="489">
        <v>94.272090000000006</v>
      </c>
      <c r="I7891" s="487" t="s">
        <v>1499</v>
      </c>
      <c r="J7891" s="487" t="s">
        <v>1205</v>
      </c>
    </row>
    <row r="7892" spans="1:10" ht="15" x14ac:dyDescent="0.2">
      <c r="A7892" s="486" t="s">
        <v>1204</v>
      </c>
      <c r="B7892" s="487" t="s">
        <v>1203</v>
      </c>
      <c r="C7892" s="488" t="s">
        <v>24706</v>
      </c>
      <c r="D7892" s="489" t="s">
        <v>24707</v>
      </c>
      <c r="E7892" s="487" t="s">
        <v>24708</v>
      </c>
      <c r="F7892" s="490">
        <v>29291</v>
      </c>
      <c r="G7892" s="489">
        <v>409.2</v>
      </c>
      <c r="H7892" s="489">
        <v>71.581130000000002</v>
      </c>
      <c r="I7892" s="487" t="s">
        <v>1499</v>
      </c>
      <c r="J7892" s="487" t="s">
        <v>1205</v>
      </c>
    </row>
    <row r="7893" spans="1:10" ht="15" x14ac:dyDescent="0.2">
      <c r="A7893" s="486" t="s">
        <v>1204</v>
      </c>
      <c r="B7893" s="487" t="s">
        <v>1203</v>
      </c>
      <c r="C7893" s="488" t="s">
        <v>24709</v>
      </c>
      <c r="D7893" s="489" t="s">
        <v>24710</v>
      </c>
      <c r="E7893" s="487" t="s">
        <v>24711</v>
      </c>
      <c r="F7893" s="490">
        <v>132892</v>
      </c>
      <c r="G7893" s="489">
        <v>1109.9000000000001</v>
      </c>
      <c r="H7893" s="489">
        <v>119.73331</v>
      </c>
      <c r="I7893" s="487" t="s">
        <v>1499</v>
      </c>
      <c r="J7893" s="487" t="s">
        <v>1205</v>
      </c>
    </row>
    <row r="7894" spans="1:10" ht="15" x14ac:dyDescent="0.2">
      <c r="A7894" s="486" t="s">
        <v>1204</v>
      </c>
      <c r="B7894" s="487" t="s">
        <v>1203</v>
      </c>
      <c r="C7894" s="488" t="s">
        <v>24712</v>
      </c>
      <c r="D7894" s="489" t="s">
        <v>24713</v>
      </c>
      <c r="E7894" s="487" t="s">
        <v>24714</v>
      </c>
      <c r="F7894" s="490">
        <v>800</v>
      </c>
      <c r="G7894" s="489">
        <v>38.200000000000003</v>
      </c>
      <c r="H7894" s="489">
        <v>20.942409999999999</v>
      </c>
      <c r="I7894" s="487" t="s">
        <v>1499</v>
      </c>
      <c r="J7894" s="487" t="s">
        <v>1205</v>
      </c>
    </row>
    <row r="7895" spans="1:10" ht="15" x14ac:dyDescent="0.2">
      <c r="A7895" s="486" t="s">
        <v>1204</v>
      </c>
      <c r="B7895" s="487" t="s">
        <v>1203</v>
      </c>
      <c r="C7895" s="488" t="s">
        <v>24715</v>
      </c>
      <c r="D7895" s="489" t="s">
        <v>24716</v>
      </c>
      <c r="E7895" s="487" t="s">
        <v>24717</v>
      </c>
      <c r="F7895" s="490">
        <v>17200</v>
      </c>
      <c r="G7895" s="489">
        <v>288.39999999999998</v>
      </c>
      <c r="H7895" s="489">
        <v>59.639389999999999</v>
      </c>
      <c r="I7895" s="487" t="s">
        <v>1499</v>
      </c>
      <c r="J7895" s="487" t="s">
        <v>1205</v>
      </c>
    </row>
    <row r="7896" spans="1:10" ht="15" x14ac:dyDescent="0.2">
      <c r="A7896" s="486" t="s">
        <v>1328</v>
      </c>
      <c r="B7896" s="487" t="s">
        <v>1327</v>
      </c>
      <c r="C7896" s="488" t="s">
        <v>24718</v>
      </c>
      <c r="D7896" s="489" t="s">
        <v>24719</v>
      </c>
      <c r="E7896" s="487" t="s">
        <v>24720</v>
      </c>
      <c r="F7896" s="490">
        <v>2064136</v>
      </c>
      <c r="G7896" s="489">
        <v>12842.3</v>
      </c>
      <c r="H7896" s="489">
        <v>160.72945999999999</v>
      </c>
      <c r="I7896" s="487" t="s">
        <v>1499</v>
      </c>
      <c r="J7896" s="487" t="s">
        <v>1329</v>
      </c>
    </row>
    <row r="7897" spans="1:10" ht="15" x14ac:dyDescent="0.2">
      <c r="A7897" s="486" t="s">
        <v>1328</v>
      </c>
      <c r="B7897" s="487" t="s">
        <v>1327</v>
      </c>
      <c r="C7897" s="488" t="s">
        <v>24721</v>
      </c>
      <c r="D7897" s="489" t="s">
        <v>24722</v>
      </c>
      <c r="E7897" s="487" t="s">
        <v>24723</v>
      </c>
      <c r="F7897" s="490">
        <v>24000</v>
      </c>
      <c r="G7897" s="489">
        <v>165.5</v>
      </c>
      <c r="H7897" s="489">
        <v>145.01510999999999</v>
      </c>
      <c r="I7897" s="487" t="s">
        <v>1499</v>
      </c>
      <c r="J7897" s="487" t="s">
        <v>1329</v>
      </c>
    </row>
    <row r="7898" spans="1:10" ht="15" x14ac:dyDescent="0.2">
      <c r="A7898" s="486" t="s">
        <v>1328</v>
      </c>
      <c r="B7898" s="487" t="s">
        <v>1327</v>
      </c>
      <c r="C7898" s="488" t="s">
        <v>24724</v>
      </c>
      <c r="D7898" s="489" t="s">
        <v>24725</v>
      </c>
      <c r="E7898" s="487" t="s">
        <v>24726</v>
      </c>
      <c r="F7898" s="490">
        <v>33500</v>
      </c>
      <c r="G7898" s="489">
        <v>460.8</v>
      </c>
      <c r="H7898" s="489">
        <v>72.699650000000005</v>
      </c>
      <c r="I7898" s="487" t="s">
        <v>1499</v>
      </c>
      <c r="J7898" s="487" t="s">
        <v>1329</v>
      </c>
    </row>
    <row r="7899" spans="1:10" ht="15" x14ac:dyDescent="0.2">
      <c r="A7899" s="486" t="s">
        <v>1328</v>
      </c>
      <c r="B7899" s="487" t="s">
        <v>1327</v>
      </c>
      <c r="C7899" s="488" t="s">
        <v>24727</v>
      </c>
      <c r="D7899" s="489" t="s">
        <v>24728</v>
      </c>
      <c r="E7899" s="487" t="s">
        <v>24729</v>
      </c>
      <c r="F7899" s="490">
        <v>18619</v>
      </c>
      <c r="G7899" s="489">
        <v>235.7</v>
      </c>
      <c r="H7899" s="489">
        <v>78.994479999999996</v>
      </c>
      <c r="I7899" s="487" t="s">
        <v>1499</v>
      </c>
      <c r="J7899" s="487" t="s">
        <v>1329</v>
      </c>
    </row>
    <row r="7900" spans="1:10" ht="15" x14ac:dyDescent="0.2">
      <c r="A7900" s="486" t="s">
        <v>1328</v>
      </c>
      <c r="B7900" s="487" t="s">
        <v>1327</v>
      </c>
      <c r="C7900" s="488" t="s">
        <v>24730</v>
      </c>
      <c r="D7900" s="489" t="s">
        <v>24731</v>
      </c>
      <c r="E7900" s="487" t="s">
        <v>24732</v>
      </c>
      <c r="F7900" s="490">
        <v>18864</v>
      </c>
      <c r="G7900" s="489">
        <v>283.60000000000002</v>
      </c>
      <c r="H7900" s="489">
        <v>66.516220000000004</v>
      </c>
      <c r="I7900" s="487" t="s">
        <v>1499</v>
      </c>
      <c r="J7900" s="487" t="s">
        <v>1329</v>
      </c>
    </row>
    <row r="7901" spans="1:10" ht="15" x14ac:dyDescent="0.2">
      <c r="A7901" s="486" t="s">
        <v>1328</v>
      </c>
      <c r="B7901" s="487" t="s">
        <v>1327</v>
      </c>
      <c r="C7901" s="488" t="s">
        <v>24733</v>
      </c>
      <c r="D7901" s="489" t="s">
        <v>24734</v>
      </c>
      <c r="E7901" s="487" t="s">
        <v>24735</v>
      </c>
      <c r="F7901" s="490">
        <v>625</v>
      </c>
      <c r="G7901" s="489">
        <v>51.8</v>
      </c>
      <c r="H7901" s="489">
        <v>12.06564</v>
      </c>
      <c r="I7901" s="487" t="s">
        <v>1499</v>
      </c>
      <c r="J7901" s="487" t="s">
        <v>1329</v>
      </c>
    </row>
    <row r="7902" spans="1:10" ht="15" x14ac:dyDescent="0.2">
      <c r="A7902" s="486" t="s">
        <v>1328</v>
      </c>
      <c r="B7902" s="487" t="s">
        <v>1327</v>
      </c>
      <c r="C7902" s="488" t="s">
        <v>24736</v>
      </c>
      <c r="D7902" s="489" t="s">
        <v>24737</v>
      </c>
      <c r="E7902" s="487" t="s">
        <v>24738</v>
      </c>
      <c r="F7902" s="490">
        <v>200</v>
      </c>
      <c r="G7902" s="489">
        <v>84.1</v>
      </c>
      <c r="H7902" s="489">
        <v>2.37812</v>
      </c>
      <c r="I7902" s="487" t="s">
        <v>1499</v>
      </c>
      <c r="J7902" s="487" t="s">
        <v>1329</v>
      </c>
    </row>
    <row r="7903" spans="1:10" ht="15" x14ac:dyDescent="0.2">
      <c r="A7903" s="486" t="s">
        <v>1328</v>
      </c>
      <c r="B7903" s="487" t="s">
        <v>1327</v>
      </c>
      <c r="C7903" s="488" t="s">
        <v>24739</v>
      </c>
      <c r="D7903" s="489" t="s">
        <v>24740</v>
      </c>
      <c r="E7903" s="487" t="s">
        <v>24741</v>
      </c>
      <c r="F7903" s="490">
        <v>118000</v>
      </c>
      <c r="G7903" s="489">
        <v>760.4</v>
      </c>
      <c r="H7903" s="489">
        <v>155.18147999999999</v>
      </c>
      <c r="I7903" s="487" t="s">
        <v>1499</v>
      </c>
      <c r="J7903" s="487" t="s">
        <v>1329</v>
      </c>
    </row>
    <row r="7904" spans="1:10" ht="15" x14ac:dyDescent="0.2">
      <c r="A7904" s="486" t="s">
        <v>1328</v>
      </c>
      <c r="B7904" s="487" t="s">
        <v>1327</v>
      </c>
      <c r="C7904" s="488" t="s">
        <v>24742</v>
      </c>
      <c r="D7904" s="489" t="s">
        <v>24743</v>
      </c>
      <c r="E7904" s="487" t="s">
        <v>8374</v>
      </c>
      <c r="F7904" s="490">
        <v>4245</v>
      </c>
      <c r="G7904" s="489">
        <v>151.30000000000001</v>
      </c>
      <c r="H7904" s="489">
        <v>28.056840000000001</v>
      </c>
      <c r="I7904" s="487" t="s">
        <v>1499</v>
      </c>
      <c r="J7904" s="487" t="s">
        <v>1329</v>
      </c>
    </row>
    <row r="7905" spans="1:10" ht="15" x14ac:dyDescent="0.2">
      <c r="A7905" s="486" t="s">
        <v>1328</v>
      </c>
      <c r="B7905" s="487" t="s">
        <v>1327</v>
      </c>
      <c r="C7905" s="488" t="s">
        <v>24744</v>
      </c>
      <c r="D7905" s="489" t="s">
        <v>24745</v>
      </c>
      <c r="E7905" s="487" t="s">
        <v>2815</v>
      </c>
      <c r="F7905" s="490">
        <v>7500</v>
      </c>
      <c r="G7905" s="489">
        <v>334.8</v>
      </c>
      <c r="H7905" s="489">
        <v>22.401430000000001</v>
      </c>
      <c r="I7905" s="487" t="s">
        <v>1499</v>
      </c>
      <c r="J7905" s="487" t="s">
        <v>1329</v>
      </c>
    </row>
    <row r="7906" spans="1:10" ht="15" x14ac:dyDescent="0.2">
      <c r="A7906" s="486" t="s">
        <v>1328</v>
      </c>
      <c r="B7906" s="487" t="s">
        <v>1327</v>
      </c>
      <c r="C7906" s="488" t="s">
        <v>24746</v>
      </c>
      <c r="D7906" s="489" t="s">
        <v>24747</v>
      </c>
      <c r="E7906" s="487" t="s">
        <v>24748</v>
      </c>
      <c r="F7906" s="490">
        <v>2700</v>
      </c>
      <c r="G7906" s="489">
        <v>87.2</v>
      </c>
      <c r="H7906" s="489">
        <v>30.9633</v>
      </c>
      <c r="I7906" s="487" t="s">
        <v>1499</v>
      </c>
      <c r="J7906" s="487" t="s">
        <v>1329</v>
      </c>
    </row>
    <row r="7907" spans="1:10" ht="15" x14ac:dyDescent="0.2">
      <c r="A7907" s="486" t="s">
        <v>1328</v>
      </c>
      <c r="B7907" s="487" t="s">
        <v>1327</v>
      </c>
      <c r="C7907" s="488" t="s">
        <v>24749</v>
      </c>
      <c r="D7907" s="489" t="s">
        <v>24750</v>
      </c>
      <c r="E7907" s="487" t="s">
        <v>24751</v>
      </c>
      <c r="F7907" s="490">
        <v>10500</v>
      </c>
      <c r="G7907" s="489">
        <v>154.5</v>
      </c>
      <c r="H7907" s="489">
        <v>67.961169999999996</v>
      </c>
      <c r="I7907" s="487" t="s">
        <v>1499</v>
      </c>
      <c r="J7907" s="487" t="s">
        <v>1329</v>
      </c>
    </row>
    <row r="7908" spans="1:10" ht="15" x14ac:dyDescent="0.2">
      <c r="A7908" s="486" t="s">
        <v>1328</v>
      </c>
      <c r="B7908" s="487" t="s">
        <v>1327</v>
      </c>
      <c r="C7908" s="488" t="s">
        <v>24752</v>
      </c>
      <c r="D7908" s="489" t="s">
        <v>24753</v>
      </c>
      <c r="E7908" s="487" t="s">
        <v>24754</v>
      </c>
      <c r="F7908" s="490">
        <v>16522</v>
      </c>
      <c r="G7908" s="489">
        <v>244.9</v>
      </c>
      <c r="H7908" s="489">
        <v>67.464269999999999</v>
      </c>
      <c r="I7908" s="487" t="s">
        <v>1499</v>
      </c>
      <c r="J7908" s="487" t="s">
        <v>1329</v>
      </c>
    </row>
    <row r="7909" spans="1:10" ht="15" x14ac:dyDescent="0.2">
      <c r="A7909" s="486" t="s">
        <v>1328</v>
      </c>
      <c r="B7909" s="487" t="s">
        <v>1327</v>
      </c>
      <c r="C7909" s="488" t="s">
        <v>24755</v>
      </c>
      <c r="D7909" s="489" t="s">
        <v>24756</v>
      </c>
      <c r="E7909" s="487" t="s">
        <v>2857</v>
      </c>
      <c r="F7909" s="490">
        <v>27904</v>
      </c>
      <c r="G7909" s="489">
        <v>703</v>
      </c>
      <c r="H7909" s="489">
        <v>39.692749999999997</v>
      </c>
      <c r="I7909" s="487" t="s">
        <v>1499</v>
      </c>
      <c r="J7909" s="487" t="s">
        <v>1329</v>
      </c>
    </row>
    <row r="7910" spans="1:10" ht="15" x14ac:dyDescent="0.2">
      <c r="A7910" s="486" t="s">
        <v>1328</v>
      </c>
      <c r="B7910" s="487" t="s">
        <v>1327</v>
      </c>
      <c r="C7910" s="488" t="s">
        <v>24757</v>
      </c>
      <c r="D7910" s="489" t="s">
        <v>24758</v>
      </c>
      <c r="E7910" s="487" t="s">
        <v>2866</v>
      </c>
      <c r="F7910" s="490">
        <v>1250</v>
      </c>
      <c r="G7910" s="489">
        <v>69.2</v>
      </c>
      <c r="H7910" s="489">
        <v>18.063580000000002</v>
      </c>
      <c r="I7910" s="487" t="s">
        <v>1499</v>
      </c>
      <c r="J7910" s="487" t="s">
        <v>1329</v>
      </c>
    </row>
    <row r="7911" spans="1:10" ht="15" x14ac:dyDescent="0.2">
      <c r="A7911" s="486" t="s">
        <v>1328</v>
      </c>
      <c r="B7911" s="487" t="s">
        <v>1327</v>
      </c>
      <c r="C7911" s="488" t="s">
        <v>24759</v>
      </c>
      <c r="D7911" s="489" t="s">
        <v>24760</v>
      </c>
      <c r="E7911" s="487" t="s">
        <v>24761</v>
      </c>
      <c r="F7911" s="490">
        <v>0</v>
      </c>
      <c r="G7911" s="489">
        <v>39.200000000000003</v>
      </c>
      <c r="H7911" s="489">
        <v>0</v>
      </c>
      <c r="I7911" s="487" t="s">
        <v>1593</v>
      </c>
      <c r="J7911" s="487" t="s">
        <v>1329</v>
      </c>
    </row>
    <row r="7912" spans="1:10" ht="15" x14ac:dyDescent="0.2">
      <c r="A7912" s="486" t="s">
        <v>1328</v>
      </c>
      <c r="B7912" s="487" t="s">
        <v>1327</v>
      </c>
      <c r="C7912" s="488" t="s">
        <v>24762</v>
      </c>
      <c r="D7912" s="489" t="s">
        <v>24763</v>
      </c>
      <c r="E7912" s="487" t="s">
        <v>24764</v>
      </c>
      <c r="F7912" s="490">
        <v>100000</v>
      </c>
      <c r="G7912" s="489">
        <v>3064.3</v>
      </c>
      <c r="H7912" s="489">
        <v>32.633879999999998</v>
      </c>
      <c r="I7912" s="487" t="s">
        <v>1499</v>
      </c>
      <c r="J7912" s="487" t="s">
        <v>1329</v>
      </c>
    </row>
    <row r="7913" spans="1:10" ht="15" x14ac:dyDescent="0.2">
      <c r="A7913" s="486" t="s">
        <v>1328</v>
      </c>
      <c r="B7913" s="487" t="s">
        <v>1327</v>
      </c>
      <c r="C7913" s="488" t="s">
        <v>24765</v>
      </c>
      <c r="D7913" s="489" t="s">
        <v>24766</v>
      </c>
      <c r="E7913" s="487" t="s">
        <v>24767</v>
      </c>
      <c r="F7913" s="490">
        <v>1000</v>
      </c>
      <c r="G7913" s="489">
        <v>91.5</v>
      </c>
      <c r="H7913" s="489">
        <v>10.92896</v>
      </c>
      <c r="I7913" s="487" t="s">
        <v>1499</v>
      </c>
      <c r="J7913" s="487" t="s">
        <v>1329</v>
      </c>
    </row>
    <row r="7914" spans="1:10" ht="15" x14ac:dyDescent="0.2">
      <c r="A7914" s="486" t="s">
        <v>1328</v>
      </c>
      <c r="B7914" s="487" t="s">
        <v>1327</v>
      </c>
      <c r="C7914" s="488" t="s">
        <v>24768</v>
      </c>
      <c r="D7914" s="489" t="s">
        <v>24769</v>
      </c>
      <c r="E7914" s="487" t="s">
        <v>16863</v>
      </c>
      <c r="F7914" s="490">
        <v>138171</v>
      </c>
      <c r="G7914" s="489">
        <v>1217.7</v>
      </c>
      <c r="H7914" s="489">
        <v>113.46883</v>
      </c>
      <c r="I7914" s="487" t="s">
        <v>1499</v>
      </c>
      <c r="J7914" s="487" t="s">
        <v>1329</v>
      </c>
    </row>
    <row r="7915" spans="1:10" ht="15" x14ac:dyDescent="0.2">
      <c r="A7915" s="486" t="s">
        <v>1328</v>
      </c>
      <c r="B7915" s="487" t="s">
        <v>1327</v>
      </c>
      <c r="C7915" s="488" t="s">
        <v>24770</v>
      </c>
      <c r="D7915" s="489" t="s">
        <v>24771</v>
      </c>
      <c r="E7915" s="487" t="s">
        <v>24772</v>
      </c>
      <c r="F7915" s="490">
        <v>56635</v>
      </c>
      <c r="G7915" s="489">
        <v>499.9</v>
      </c>
      <c r="H7915" s="489">
        <v>113.29266</v>
      </c>
      <c r="I7915" s="487" t="s">
        <v>1499</v>
      </c>
      <c r="J7915" s="487" t="s">
        <v>1329</v>
      </c>
    </row>
    <row r="7916" spans="1:10" ht="15" x14ac:dyDescent="0.2">
      <c r="A7916" s="486" t="s">
        <v>1328</v>
      </c>
      <c r="B7916" s="487" t="s">
        <v>1327</v>
      </c>
      <c r="C7916" s="488" t="s">
        <v>24773</v>
      </c>
      <c r="D7916" s="489" t="s">
        <v>24774</v>
      </c>
      <c r="E7916" s="487" t="s">
        <v>24775</v>
      </c>
      <c r="F7916" s="490">
        <v>77344</v>
      </c>
      <c r="G7916" s="489">
        <v>639.20000000000005</v>
      </c>
      <c r="H7916" s="489">
        <v>121.00125</v>
      </c>
      <c r="I7916" s="487" t="s">
        <v>1499</v>
      </c>
      <c r="J7916" s="487" t="s">
        <v>1329</v>
      </c>
    </row>
    <row r="7917" spans="1:10" ht="15" x14ac:dyDescent="0.2">
      <c r="A7917" s="486" t="s">
        <v>1328</v>
      </c>
      <c r="B7917" s="487" t="s">
        <v>1327</v>
      </c>
      <c r="C7917" s="488" t="s">
        <v>24776</v>
      </c>
      <c r="D7917" s="489" t="s">
        <v>24777</v>
      </c>
      <c r="E7917" s="487" t="s">
        <v>24778</v>
      </c>
      <c r="F7917" s="490">
        <v>54000</v>
      </c>
      <c r="G7917" s="489">
        <v>643.70000000000005</v>
      </c>
      <c r="H7917" s="489">
        <v>83.890010000000004</v>
      </c>
      <c r="I7917" s="487" t="s">
        <v>1499</v>
      </c>
      <c r="J7917" s="487" t="s">
        <v>1329</v>
      </c>
    </row>
    <row r="7918" spans="1:10" ht="15" x14ac:dyDescent="0.2">
      <c r="A7918" s="486" t="s">
        <v>1328</v>
      </c>
      <c r="B7918" s="487" t="s">
        <v>1327</v>
      </c>
      <c r="C7918" s="488" t="s">
        <v>24779</v>
      </c>
      <c r="D7918" s="489" t="s">
        <v>24780</v>
      </c>
      <c r="E7918" s="487" t="s">
        <v>24781</v>
      </c>
      <c r="F7918" s="490">
        <v>0</v>
      </c>
      <c r="G7918" s="489">
        <v>34.1</v>
      </c>
      <c r="H7918" s="489">
        <v>0</v>
      </c>
      <c r="I7918" s="487" t="s">
        <v>1593</v>
      </c>
      <c r="J7918" s="487" t="s">
        <v>1329</v>
      </c>
    </row>
    <row r="7919" spans="1:10" ht="15" x14ac:dyDescent="0.2">
      <c r="A7919" s="486" t="s">
        <v>1328</v>
      </c>
      <c r="B7919" s="487" t="s">
        <v>1327</v>
      </c>
      <c r="C7919" s="488" t="s">
        <v>24782</v>
      </c>
      <c r="D7919" s="489" t="s">
        <v>24783</v>
      </c>
      <c r="E7919" s="487" t="s">
        <v>24784</v>
      </c>
      <c r="F7919" s="490">
        <v>2500</v>
      </c>
      <c r="G7919" s="489">
        <v>123.8</v>
      </c>
      <c r="H7919" s="489">
        <v>20.193860000000001</v>
      </c>
      <c r="I7919" s="487" t="s">
        <v>1499</v>
      </c>
      <c r="J7919" s="487" t="s">
        <v>1329</v>
      </c>
    </row>
    <row r="7920" spans="1:10" ht="15" x14ac:dyDescent="0.2">
      <c r="A7920" s="486" t="s">
        <v>1328</v>
      </c>
      <c r="B7920" s="487" t="s">
        <v>1327</v>
      </c>
      <c r="C7920" s="488" t="s">
        <v>24785</v>
      </c>
      <c r="D7920" s="489" t="s">
        <v>24786</v>
      </c>
      <c r="E7920" s="487" t="s">
        <v>24787</v>
      </c>
      <c r="F7920" s="490">
        <v>2950</v>
      </c>
      <c r="G7920" s="489">
        <v>152.19999999999999</v>
      </c>
      <c r="H7920" s="489">
        <v>19.382390000000001</v>
      </c>
      <c r="I7920" s="487" t="s">
        <v>1499</v>
      </c>
      <c r="J7920" s="487" t="s">
        <v>1329</v>
      </c>
    </row>
    <row r="7921" spans="1:10" ht="15" x14ac:dyDescent="0.2">
      <c r="A7921" s="486" t="s">
        <v>1328</v>
      </c>
      <c r="B7921" s="487" t="s">
        <v>1327</v>
      </c>
      <c r="C7921" s="488" t="s">
        <v>24788</v>
      </c>
      <c r="D7921" s="489" t="s">
        <v>24789</v>
      </c>
      <c r="E7921" s="487" t="s">
        <v>24790</v>
      </c>
      <c r="F7921" s="490">
        <v>10000</v>
      </c>
      <c r="G7921" s="489">
        <v>249.8</v>
      </c>
      <c r="H7921" s="489">
        <v>40.032029999999999</v>
      </c>
      <c r="I7921" s="487" t="s">
        <v>1499</v>
      </c>
      <c r="J7921" s="487" t="s">
        <v>1329</v>
      </c>
    </row>
    <row r="7922" spans="1:10" ht="15" x14ac:dyDescent="0.2">
      <c r="A7922" s="486" t="s">
        <v>1328</v>
      </c>
      <c r="B7922" s="487" t="s">
        <v>1327</v>
      </c>
      <c r="C7922" s="488" t="s">
        <v>24791</v>
      </c>
      <c r="D7922" s="489" t="s">
        <v>24792</v>
      </c>
      <c r="E7922" s="487" t="s">
        <v>24793</v>
      </c>
      <c r="F7922" s="490">
        <v>8596</v>
      </c>
      <c r="G7922" s="489">
        <v>87.4</v>
      </c>
      <c r="H7922" s="489">
        <v>98.352400000000003</v>
      </c>
      <c r="I7922" s="487" t="s">
        <v>1499</v>
      </c>
      <c r="J7922" s="487" t="s">
        <v>1329</v>
      </c>
    </row>
    <row r="7923" spans="1:10" ht="15" x14ac:dyDescent="0.2">
      <c r="A7923" s="486" t="s">
        <v>1328</v>
      </c>
      <c r="B7923" s="487" t="s">
        <v>1327</v>
      </c>
      <c r="C7923" s="488" t="s">
        <v>24794</v>
      </c>
      <c r="D7923" s="489" t="s">
        <v>24795</v>
      </c>
      <c r="E7923" s="487" t="s">
        <v>24796</v>
      </c>
      <c r="F7923" s="490">
        <v>0</v>
      </c>
      <c r="G7923" s="489">
        <v>70</v>
      </c>
      <c r="H7923" s="489">
        <v>0</v>
      </c>
      <c r="I7923" s="487" t="s">
        <v>1593</v>
      </c>
      <c r="J7923" s="487" t="s">
        <v>1329</v>
      </c>
    </row>
    <row r="7924" spans="1:10" ht="15" x14ac:dyDescent="0.2">
      <c r="A7924" s="486" t="s">
        <v>1328</v>
      </c>
      <c r="B7924" s="487" t="s">
        <v>1327</v>
      </c>
      <c r="C7924" s="488" t="s">
        <v>24797</v>
      </c>
      <c r="D7924" s="489" t="s">
        <v>24798</v>
      </c>
      <c r="E7924" s="487" t="s">
        <v>24799</v>
      </c>
      <c r="F7924" s="490">
        <v>16350</v>
      </c>
      <c r="G7924" s="489">
        <v>191.9</v>
      </c>
      <c r="H7924" s="489">
        <v>85.200630000000004</v>
      </c>
      <c r="I7924" s="487" t="s">
        <v>1499</v>
      </c>
      <c r="J7924" s="487" t="s">
        <v>1329</v>
      </c>
    </row>
    <row r="7925" spans="1:10" ht="15" x14ac:dyDescent="0.2">
      <c r="A7925" s="486" t="s">
        <v>1328</v>
      </c>
      <c r="B7925" s="487" t="s">
        <v>1327</v>
      </c>
      <c r="C7925" s="488" t="s">
        <v>24800</v>
      </c>
      <c r="D7925" s="489" t="s">
        <v>24801</v>
      </c>
      <c r="E7925" s="487" t="s">
        <v>24802</v>
      </c>
      <c r="F7925" s="490">
        <v>579233</v>
      </c>
      <c r="G7925" s="489">
        <v>3484.7</v>
      </c>
      <c r="H7925" s="489">
        <v>166.22176999999999</v>
      </c>
      <c r="I7925" s="487" t="s">
        <v>1499</v>
      </c>
      <c r="J7925" s="487" t="s">
        <v>1329</v>
      </c>
    </row>
    <row r="7926" spans="1:10" ht="15" x14ac:dyDescent="0.2">
      <c r="A7926" s="486" t="s">
        <v>1328</v>
      </c>
      <c r="B7926" s="487" t="s">
        <v>1327</v>
      </c>
      <c r="C7926" s="488" t="s">
        <v>24803</v>
      </c>
      <c r="D7926" s="489" t="s">
        <v>24804</v>
      </c>
      <c r="E7926" s="487" t="s">
        <v>24805</v>
      </c>
      <c r="F7926" s="490">
        <v>519423</v>
      </c>
      <c r="G7926" s="489">
        <v>3494.6</v>
      </c>
      <c r="H7926" s="489">
        <v>148.63589999999999</v>
      </c>
      <c r="I7926" s="487" t="s">
        <v>1499</v>
      </c>
      <c r="J7926" s="487" t="s">
        <v>1329</v>
      </c>
    </row>
    <row r="7927" spans="1:10" ht="15" x14ac:dyDescent="0.2">
      <c r="A7927" s="486" t="s">
        <v>1328</v>
      </c>
      <c r="B7927" s="487" t="s">
        <v>1327</v>
      </c>
      <c r="C7927" s="488" t="s">
        <v>24806</v>
      </c>
      <c r="D7927" s="489" t="s">
        <v>24807</v>
      </c>
      <c r="E7927" s="487" t="s">
        <v>24808</v>
      </c>
      <c r="F7927" s="490">
        <v>129368</v>
      </c>
      <c r="G7927" s="489">
        <v>1378</v>
      </c>
      <c r="H7927" s="489">
        <v>93.880989999999997</v>
      </c>
      <c r="I7927" s="487" t="s">
        <v>1499</v>
      </c>
      <c r="J7927" s="487" t="s">
        <v>1329</v>
      </c>
    </row>
    <row r="7928" spans="1:10" ht="15" x14ac:dyDescent="0.2">
      <c r="A7928" s="486" t="s">
        <v>1328</v>
      </c>
      <c r="B7928" s="487" t="s">
        <v>1327</v>
      </c>
      <c r="C7928" s="488" t="s">
        <v>24809</v>
      </c>
      <c r="D7928" s="489" t="s">
        <v>24810</v>
      </c>
      <c r="E7928" s="487" t="s">
        <v>24811</v>
      </c>
      <c r="F7928" s="490">
        <v>375</v>
      </c>
      <c r="G7928" s="489">
        <v>50.4</v>
      </c>
      <c r="H7928" s="489">
        <v>7.44048</v>
      </c>
      <c r="I7928" s="487" t="s">
        <v>1499</v>
      </c>
      <c r="J7928" s="487" t="s">
        <v>1329</v>
      </c>
    </row>
    <row r="7929" spans="1:10" ht="15" x14ac:dyDescent="0.2">
      <c r="A7929" s="486" t="s">
        <v>1328</v>
      </c>
      <c r="B7929" s="487" t="s">
        <v>1327</v>
      </c>
      <c r="C7929" s="488" t="s">
        <v>24812</v>
      </c>
      <c r="D7929" s="489" t="s">
        <v>24813</v>
      </c>
      <c r="E7929" s="487" t="s">
        <v>24814</v>
      </c>
      <c r="F7929" s="490">
        <v>5350</v>
      </c>
      <c r="G7929" s="489">
        <v>157.4</v>
      </c>
      <c r="H7929" s="489">
        <v>33.989829999999998</v>
      </c>
      <c r="I7929" s="487" t="s">
        <v>1499</v>
      </c>
      <c r="J7929" s="487" t="s">
        <v>1329</v>
      </c>
    </row>
    <row r="7930" spans="1:10" ht="15" x14ac:dyDescent="0.2">
      <c r="A7930" s="486" t="s">
        <v>1328</v>
      </c>
      <c r="B7930" s="487" t="s">
        <v>1327</v>
      </c>
      <c r="C7930" s="488" t="s">
        <v>24815</v>
      </c>
      <c r="D7930" s="489" t="s">
        <v>24816</v>
      </c>
      <c r="E7930" s="487" t="s">
        <v>14951</v>
      </c>
      <c r="F7930" s="490">
        <v>151238</v>
      </c>
      <c r="G7930" s="489">
        <v>1740.3</v>
      </c>
      <c r="H7930" s="489">
        <v>86.903409999999994</v>
      </c>
      <c r="I7930" s="487" t="s">
        <v>1499</v>
      </c>
      <c r="J7930" s="487" t="s">
        <v>1329</v>
      </c>
    </row>
    <row r="7931" spans="1:10" ht="15" x14ac:dyDescent="0.2">
      <c r="A7931" s="486" t="s">
        <v>1328</v>
      </c>
      <c r="B7931" s="487" t="s">
        <v>1327</v>
      </c>
      <c r="C7931" s="488" t="s">
        <v>24817</v>
      </c>
      <c r="D7931" s="489" t="s">
        <v>24818</v>
      </c>
      <c r="E7931" s="487" t="s">
        <v>24819</v>
      </c>
      <c r="F7931" s="490">
        <v>127000</v>
      </c>
      <c r="G7931" s="489">
        <v>1815.9</v>
      </c>
      <c r="H7931" s="489">
        <v>69.93777</v>
      </c>
      <c r="I7931" s="487" t="s">
        <v>1499</v>
      </c>
      <c r="J7931" s="487" t="s">
        <v>1329</v>
      </c>
    </row>
    <row r="7932" spans="1:10" ht="15" x14ac:dyDescent="0.2">
      <c r="A7932" s="486" t="s">
        <v>1328</v>
      </c>
      <c r="B7932" s="487" t="s">
        <v>1327</v>
      </c>
      <c r="C7932" s="488" t="s">
        <v>24820</v>
      </c>
      <c r="D7932" s="489" t="s">
        <v>24821</v>
      </c>
      <c r="E7932" s="487" t="s">
        <v>24822</v>
      </c>
      <c r="F7932" s="490">
        <v>10259</v>
      </c>
      <c r="G7932" s="489">
        <v>124.4</v>
      </c>
      <c r="H7932" s="489">
        <v>82.467849999999999</v>
      </c>
      <c r="I7932" s="487" t="s">
        <v>1499</v>
      </c>
      <c r="J7932" s="487" t="s">
        <v>1329</v>
      </c>
    </row>
    <row r="7933" spans="1:10" ht="15" x14ac:dyDescent="0.2">
      <c r="A7933" s="486" t="s">
        <v>1328</v>
      </c>
      <c r="B7933" s="487" t="s">
        <v>1327</v>
      </c>
      <c r="C7933" s="488" t="s">
        <v>24823</v>
      </c>
      <c r="D7933" s="489" t="s">
        <v>24824</v>
      </c>
      <c r="E7933" s="487" t="s">
        <v>24825</v>
      </c>
      <c r="F7933" s="490">
        <v>1960</v>
      </c>
      <c r="G7933" s="489">
        <v>91.6</v>
      </c>
      <c r="H7933" s="489">
        <v>21.397379999999998</v>
      </c>
      <c r="I7933" s="487" t="s">
        <v>1499</v>
      </c>
      <c r="J7933" s="487" t="s">
        <v>1329</v>
      </c>
    </row>
    <row r="7934" spans="1:10" ht="15" x14ac:dyDescent="0.2">
      <c r="A7934" s="486" t="s">
        <v>1328</v>
      </c>
      <c r="B7934" s="487" t="s">
        <v>1327</v>
      </c>
      <c r="C7934" s="488" t="s">
        <v>24826</v>
      </c>
      <c r="D7934" s="489" t="s">
        <v>24827</v>
      </c>
      <c r="E7934" s="487" t="s">
        <v>24828</v>
      </c>
      <c r="F7934" s="490">
        <v>22337</v>
      </c>
      <c r="G7934" s="489">
        <v>366.2</v>
      </c>
      <c r="H7934" s="489">
        <v>60.996720000000003</v>
      </c>
      <c r="I7934" s="487" t="s">
        <v>1499</v>
      </c>
      <c r="J7934" s="487" t="s">
        <v>1329</v>
      </c>
    </row>
    <row r="7935" spans="1:10" ht="15" x14ac:dyDescent="0.2">
      <c r="A7935" s="486" t="s">
        <v>1328</v>
      </c>
      <c r="B7935" s="487" t="s">
        <v>1327</v>
      </c>
      <c r="C7935" s="488" t="s">
        <v>24829</v>
      </c>
      <c r="D7935" s="489" t="s">
        <v>24830</v>
      </c>
      <c r="E7935" s="487" t="s">
        <v>24831</v>
      </c>
      <c r="F7935" s="490">
        <v>1300</v>
      </c>
      <c r="G7935" s="489">
        <v>81.099999999999994</v>
      </c>
      <c r="H7935" s="489">
        <v>16.029589999999999</v>
      </c>
      <c r="I7935" s="487" t="s">
        <v>1499</v>
      </c>
      <c r="J7935" s="487" t="s">
        <v>1329</v>
      </c>
    </row>
    <row r="7936" spans="1:10" ht="15" x14ac:dyDescent="0.2">
      <c r="A7936" s="486" t="s">
        <v>1328</v>
      </c>
      <c r="B7936" s="487" t="s">
        <v>1327</v>
      </c>
      <c r="C7936" s="488" t="s">
        <v>24832</v>
      </c>
      <c r="D7936" s="489" t="s">
        <v>24833</v>
      </c>
      <c r="E7936" s="487" t="s">
        <v>24834</v>
      </c>
      <c r="F7936" s="490">
        <v>2096</v>
      </c>
      <c r="G7936" s="489">
        <v>127.4</v>
      </c>
      <c r="H7936" s="489">
        <v>16.452120000000001</v>
      </c>
      <c r="I7936" s="487" t="s">
        <v>1499</v>
      </c>
      <c r="J7936" s="487" t="s">
        <v>1329</v>
      </c>
    </row>
    <row r="7937" spans="1:10" ht="15" x14ac:dyDescent="0.2">
      <c r="A7937" s="486" t="s">
        <v>1328</v>
      </c>
      <c r="B7937" s="487" t="s">
        <v>1327</v>
      </c>
      <c r="C7937" s="488" t="s">
        <v>24835</v>
      </c>
      <c r="D7937" s="489" t="s">
        <v>24836</v>
      </c>
      <c r="E7937" s="487" t="s">
        <v>24837</v>
      </c>
      <c r="F7937" s="490">
        <v>8000</v>
      </c>
      <c r="G7937" s="489">
        <v>246.2</v>
      </c>
      <c r="H7937" s="489">
        <v>32.49391</v>
      </c>
      <c r="I7937" s="487" t="s">
        <v>1499</v>
      </c>
      <c r="J7937" s="487" t="s">
        <v>1329</v>
      </c>
    </row>
    <row r="7938" spans="1:10" ht="15" x14ac:dyDescent="0.2">
      <c r="A7938" s="486" t="s">
        <v>1328</v>
      </c>
      <c r="B7938" s="487" t="s">
        <v>1327</v>
      </c>
      <c r="C7938" s="488" t="s">
        <v>24838</v>
      </c>
      <c r="D7938" s="489" t="s">
        <v>24839</v>
      </c>
      <c r="E7938" s="487" t="s">
        <v>24840</v>
      </c>
      <c r="F7938" s="490">
        <v>22050</v>
      </c>
      <c r="G7938" s="489">
        <v>293</v>
      </c>
      <c r="H7938" s="489">
        <v>75.255970000000005</v>
      </c>
      <c r="I7938" s="487" t="s">
        <v>1499</v>
      </c>
      <c r="J7938" s="487" t="s">
        <v>1329</v>
      </c>
    </row>
    <row r="7939" spans="1:10" ht="15" x14ac:dyDescent="0.2">
      <c r="A7939" s="486" t="s">
        <v>1328</v>
      </c>
      <c r="B7939" s="487" t="s">
        <v>1327</v>
      </c>
      <c r="C7939" s="488" t="s">
        <v>24841</v>
      </c>
      <c r="D7939" s="489" t="s">
        <v>24842</v>
      </c>
      <c r="E7939" s="487" t="s">
        <v>24843</v>
      </c>
      <c r="F7939" s="490">
        <v>0</v>
      </c>
      <c r="G7939" s="489">
        <v>28.5</v>
      </c>
      <c r="H7939" s="489">
        <v>0</v>
      </c>
      <c r="I7939" s="487" t="s">
        <v>1593</v>
      </c>
      <c r="J7939" s="487" t="s">
        <v>1329</v>
      </c>
    </row>
    <row r="7940" spans="1:10" ht="15" x14ac:dyDescent="0.2">
      <c r="A7940" s="486" t="s">
        <v>1328</v>
      </c>
      <c r="B7940" s="487" t="s">
        <v>1327</v>
      </c>
      <c r="C7940" s="488" t="s">
        <v>24844</v>
      </c>
      <c r="D7940" s="489" t="s">
        <v>24845</v>
      </c>
      <c r="E7940" s="487" t="s">
        <v>24846</v>
      </c>
      <c r="F7940" s="490">
        <v>81500</v>
      </c>
      <c r="G7940" s="489">
        <v>987.6</v>
      </c>
      <c r="H7940" s="489">
        <v>82.523290000000003</v>
      </c>
      <c r="I7940" s="487" t="s">
        <v>1499</v>
      </c>
      <c r="J7940" s="487" t="s">
        <v>1329</v>
      </c>
    </row>
    <row r="7941" spans="1:10" ht="15" x14ac:dyDescent="0.2">
      <c r="A7941" s="486" t="s">
        <v>1328</v>
      </c>
      <c r="B7941" s="487" t="s">
        <v>1327</v>
      </c>
      <c r="C7941" s="488" t="s">
        <v>24847</v>
      </c>
      <c r="D7941" s="489" t="s">
        <v>24848</v>
      </c>
      <c r="E7941" s="487" t="s">
        <v>3711</v>
      </c>
      <c r="F7941" s="490">
        <v>38411</v>
      </c>
      <c r="G7941" s="489">
        <v>817.3</v>
      </c>
      <c r="H7941" s="489">
        <v>46.997430000000001</v>
      </c>
      <c r="I7941" s="487" t="s">
        <v>1499</v>
      </c>
      <c r="J7941" s="487" t="s">
        <v>1329</v>
      </c>
    </row>
    <row r="7942" spans="1:10" ht="15" x14ac:dyDescent="0.2">
      <c r="A7942" s="486" t="s">
        <v>1328</v>
      </c>
      <c r="B7942" s="487" t="s">
        <v>1327</v>
      </c>
      <c r="C7942" s="488" t="s">
        <v>24849</v>
      </c>
      <c r="D7942" s="489" t="s">
        <v>24850</v>
      </c>
      <c r="E7942" s="487" t="s">
        <v>24851</v>
      </c>
      <c r="F7942" s="490">
        <v>129797</v>
      </c>
      <c r="G7942" s="489">
        <v>2145</v>
      </c>
      <c r="H7942" s="489">
        <v>60.511420000000001</v>
      </c>
      <c r="I7942" s="487" t="s">
        <v>1499</v>
      </c>
      <c r="J7942" s="487" t="s">
        <v>1329</v>
      </c>
    </row>
    <row r="7943" spans="1:10" ht="15" x14ac:dyDescent="0.2">
      <c r="A7943" s="486" t="s">
        <v>1328</v>
      </c>
      <c r="B7943" s="487" t="s">
        <v>1327</v>
      </c>
      <c r="C7943" s="488" t="s">
        <v>24852</v>
      </c>
      <c r="D7943" s="489" t="s">
        <v>24853</v>
      </c>
      <c r="E7943" s="487" t="s">
        <v>24854</v>
      </c>
      <c r="F7943" s="490">
        <v>1000</v>
      </c>
      <c r="G7943" s="489">
        <v>41.8</v>
      </c>
      <c r="H7943" s="489">
        <v>23.923439999999999</v>
      </c>
      <c r="I7943" s="487" t="s">
        <v>1499</v>
      </c>
      <c r="J7943" s="487" t="s">
        <v>1329</v>
      </c>
    </row>
    <row r="7944" spans="1:10" ht="15" x14ac:dyDescent="0.2">
      <c r="A7944" s="486" t="s">
        <v>1328</v>
      </c>
      <c r="B7944" s="487" t="s">
        <v>1327</v>
      </c>
      <c r="C7944" s="488" t="s">
        <v>24855</v>
      </c>
      <c r="D7944" s="489" t="s">
        <v>24856</v>
      </c>
      <c r="E7944" s="487" t="s">
        <v>24857</v>
      </c>
      <c r="F7944" s="490">
        <v>82060</v>
      </c>
      <c r="G7944" s="489">
        <v>1242.2</v>
      </c>
      <c r="H7944" s="489">
        <v>66.060220000000001</v>
      </c>
      <c r="I7944" s="487" t="s">
        <v>1499</v>
      </c>
      <c r="J7944" s="487" t="s">
        <v>1329</v>
      </c>
    </row>
    <row r="7945" spans="1:10" ht="15" x14ac:dyDescent="0.2">
      <c r="A7945" s="486" t="s">
        <v>1328</v>
      </c>
      <c r="B7945" s="487" t="s">
        <v>1327</v>
      </c>
      <c r="C7945" s="488" t="s">
        <v>24858</v>
      </c>
      <c r="D7945" s="489" t="s">
        <v>24859</v>
      </c>
      <c r="E7945" s="487" t="s">
        <v>24860</v>
      </c>
      <c r="F7945" s="490">
        <v>1000</v>
      </c>
      <c r="G7945" s="489">
        <v>89.1</v>
      </c>
      <c r="H7945" s="489">
        <v>11.22334</v>
      </c>
      <c r="I7945" s="487" t="s">
        <v>1499</v>
      </c>
      <c r="J7945" s="487" t="s">
        <v>1329</v>
      </c>
    </row>
    <row r="7946" spans="1:10" ht="15" x14ac:dyDescent="0.2">
      <c r="A7946" s="486" t="s">
        <v>1328</v>
      </c>
      <c r="B7946" s="487" t="s">
        <v>1327</v>
      </c>
      <c r="C7946" s="488" t="s">
        <v>24861</v>
      </c>
      <c r="D7946" s="489" t="s">
        <v>24862</v>
      </c>
      <c r="E7946" s="487" t="s">
        <v>24863</v>
      </c>
      <c r="F7946" s="490">
        <v>201484</v>
      </c>
      <c r="G7946" s="489">
        <v>1560.2</v>
      </c>
      <c r="H7946" s="489">
        <v>129.13985</v>
      </c>
      <c r="I7946" s="487" t="s">
        <v>1499</v>
      </c>
      <c r="J7946" s="487" t="s">
        <v>1329</v>
      </c>
    </row>
    <row r="7947" spans="1:10" ht="15" x14ac:dyDescent="0.2">
      <c r="A7947" s="486" t="s">
        <v>1328</v>
      </c>
      <c r="B7947" s="487" t="s">
        <v>1327</v>
      </c>
      <c r="C7947" s="488" t="s">
        <v>24864</v>
      </c>
      <c r="D7947" s="489" t="s">
        <v>24865</v>
      </c>
      <c r="E7947" s="487" t="s">
        <v>24866</v>
      </c>
      <c r="F7947" s="490">
        <v>24121</v>
      </c>
      <c r="G7947" s="489">
        <v>209.6</v>
      </c>
      <c r="H7947" s="489">
        <v>115.08111</v>
      </c>
      <c r="I7947" s="487" t="s">
        <v>1499</v>
      </c>
      <c r="J7947" s="487" t="s">
        <v>1329</v>
      </c>
    </row>
    <row r="7948" spans="1:10" ht="15" x14ac:dyDescent="0.2">
      <c r="A7948" s="486" t="s">
        <v>1328</v>
      </c>
      <c r="B7948" s="487" t="s">
        <v>1327</v>
      </c>
      <c r="C7948" s="488" t="s">
        <v>24867</v>
      </c>
      <c r="D7948" s="489" t="s">
        <v>24868</v>
      </c>
      <c r="E7948" s="487" t="s">
        <v>12324</v>
      </c>
      <c r="F7948" s="490">
        <v>5600</v>
      </c>
      <c r="G7948" s="489">
        <v>153.6</v>
      </c>
      <c r="H7948" s="489">
        <v>36.458329999999997</v>
      </c>
      <c r="I7948" s="487" t="s">
        <v>1499</v>
      </c>
      <c r="J7948" s="487" t="s">
        <v>1329</v>
      </c>
    </row>
    <row r="7949" spans="1:10" ht="15" x14ac:dyDescent="0.2">
      <c r="A7949" s="486" t="s">
        <v>1328</v>
      </c>
      <c r="B7949" s="487" t="s">
        <v>1327</v>
      </c>
      <c r="C7949" s="488" t="s">
        <v>24869</v>
      </c>
      <c r="D7949" s="489" t="s">
        <v>24870</v>
      </c>
      <c r="E7949" s="487" t="s">
        <v>24871</v>
      </c>
      <c r="F7949" s="490">
        <v>53160</v>
      </c>
      <c r="G7949" s="489">
        <v>860.8</v>
      </c>
      <c r="H7949" s="489">
        <v>61.756509999999999</v>
      </c>
      <c r="I7949" s="487" t="s">
        <v>1499</v>
      </c>
      <c r="J7949" s="487" t="s">
        <v>1329</v>
      </c>
    </row>
    <row r="7950" spans="1:10" ht="15" x14ac:dyDescent="0.2">
      <c r="A7950" s="486" t="s">
        <v>1328</v>
      </c>
      <c r="B7950" s="487" t="s">
        <v>1327</v>
      </c>
      <c r="C7950" s="488" t="s">
        <v>24872</v>
      </c>
      <c r="D7950" s="489" t="s">
        <v>24873</v>
      </c>
      <c r="E7950" s="487" t="s">
        <v>24874</v>
      </c>
      <c r="F7950" s="490">
        <v>32000</v>
      </c>
      <c r="G7950" s="489">
        <v>1110</v>
      </c>
      <c r="H7950" s="489">
        <v>28.82883</v>
      </c>
      <c r="I7950" s="487" t="s">
        <v>1499</v>
      </c>
      <c r="J7950" s="487" t="s">
        <v>1329</v>
      </c>
    </row>
    <row r="7951" spans="1:10" ht="15" x14ac:dyDescent="0.2">
      <c r="A7951" s="486" t="s">
        <v>1328</v>
      </c>
      <c r="B7951" s="487" t="s">
        <v>1327</v>
      </c>
      <c r="C7951" s="488" t="s">
        <v>24875</v>
      </c>
      <c r="D7951" s="489" t="s">
        <v>24876</v>
      </c>
      <c r="E7951" s="487" t="s">
        <v>11689</v>
      </c>
      <c r="F7951" s="490">
        <v>35500</v>
      </c>
      <c r="G7951" s="489">
        <v>886.9</v>
      </c>
      <c r="H7951" s="489">
        <v>40.027059999999999</v>
      </c>
      <c r="I7951" s="487" t="s">
        <v>1499</v>
      </c>
      <c r="J7951" s="487" t="s">
        <v>1329</v>
      </c>
    </row>
    <row r="7952" spans="1:10" ht="15" x14ac:dyDescent="0.2">
      <c r="A7952" s="486" t="s">
        <v>1328</v>
      </c>
      <c r="B7952" s="487" t="s">
        <v>1327</v>
      </c>
      <c r="C7952" s="488" t="s">
        <v>24877</v>
      </c>
      <c r="D7952" s="489" t="s">
        <v>24878</v>
      </c>
      <c r="E7952" s="487" t="s">
        <v>24879</v>
      </c>
      <c r="F7952" s="490">
        <v>36000</v>
      </c>
      <c r="G7952" s="489">
        <v>451.2</v>
      </c>
      <c r="H7952" s="489">
        <v>79.787229999999994</v>
      </c>
      <c r="I7952" s="487" t="s">
        <v>1499</v>
      </c>
      <c r="J7952" s="487" t="s">
        <v>1329</v>
      </c>
    </row>
    <row r="7953" spans="1:10" ht="15" x14ac:dyDescent="0.2">
      <c r="A7953" s="486" t="s">
        <v>1328</v>
      </c>
      <c r="B7953" s="487" t="s">
        <v>1327</v>
      </c>
      <c r="C7953" s="488" t="s">
        <v>24880</v>
      </c>
      <c r="D7953" s="489" t="s">
        <v>24881</v>
      </c>
      <c r="E7953" s="487" t="s">
        <v>24882</v>
      </c>
      <c r="F7953" s="490">
        <v>102000</v>
      </c>
      <c r="G7953" s="489">
        <v>1340.6</v>
      </c>
      <c r="H7953" s="489">
        <v>76.085329999999999</v>
      </c>
      <c r="I7953" s="487" t="s">
        <v>1499</v>
      </c>
      <c r="J7953" s="487" t="s">
        <v>1329</v>
      </c>
    </row>
    <row r="7954" spans="1:10" ht="15" x14ac:dyDescent="0.2">
      <c r="A7954" s="486" t="s">
        <v>1328</v>
      </c>
      <c r="B7954" s="487" t="s">
        <v>1327</v>
      </c>
      <c r="C7954" s="488" t="s">
        <v>24883</v>
      </c>
      <c r="D7954" s="489" t="s">
        <v>24884</v>
      </c>
      <c r="E7954" s="487" t="s">
        <v>18349</v>
      </c>
      <c r="F7954" s="490">
        <v>32000</v>
      </c>
      <c r="G7954" s="489">
        <v>375.4</v>
      </c>
      <c r="H7954" s="489">
        <v>85.242410000000007</v>
      </c>
      <c r="I7954" s="487" t="s">
        <v>1499</v>
      </c>
      <c r="J7954" s="487" t="s">
        <v>1329</v>
      </c>
    </row>
    <row r="7955" spans="1:10" ht="15" x14ac:dyDescent="0.2">
      <c r="A7955" s="486" t="s">
        <v>1328</v>
      </c>
      <c r="B7955" s="487" t="s">
        <v>1327</v>
      </c>
      <c r="C7955" s="488" t="s">
        <v>24885</v>
      </c>
      <c r="D7955" s="489" t="s">
        <v>24886</v>
      </c>
      <c r="E7955" s="487" t="s">
        <v>3334</v>
      </c>
      <c r="F7955" s="490">
        <v>27418</v>
      </c>
      <c r="G7955" s="489">
        <v>229.9</v>
      </c>
      <c r="H7955" s="489">
        <v>119.26054999999999</v>
      </c>
      <c r="I7955" s="487" t="s">
        <v>1499</v>
      </c>
      <c r="J7955" s="487" t="s">
        <v>1329</v>
      </c>
    </row>
    <row r="7956" spans="1:10" ht="15" x14ac:dyDescent="0.2">
      <c r="A7956" s="486" t="s">
        <v>1328</v>
      </c>
      <c r="B7956" s="487" t="s">
        <v>1327</v>
      </c>
      <c r="C7956" s="488" t="s">
        <v>24887</v>
      </c>
      <c r="D7956" s="489" t="s">
        <v>24888</v>
      </c>
      <c r="E7956" s="487" t="s">
        <v>24889</v>
      </c>
      <c r="F7956" s="490">
        <v>446574</v>
      </c>
      <c r="G7956" s="489">
        <v>5619.4</v>
      </c>
      <c r="H7956" s="489">
        <v>79.470050000000001</v>
      </c>
      <c r="I7956" s="487" t="s">
        <v>1499</v>
      </c>
      <c r="J7956" s="487" t="s">
        <v>1329</v>
      </c>
    </row>
    <row r="7957" spans="1:10" ht="15" x14ac:dyDescent="0.2">
      <c r="A7957" s="486" t="s">
        <v>1328</v>
      </c>
      <c r="B7957" s="487" t="s">
        <v>1327</v>
      </c>
      <c r="C7957" s="488" t="s">
        <v>24890</v>
      </c>
      <c r="D7957" s="489" t="s">
        <v>24891</v>
      </c>
      <c r="E7957" s="487" t="s">
        <v>24892</v>
      </c>
      <c r="F7957" s="490">
        <v>49000</v>
      </c>
      <c r="G7957" s="489">
        <v>1032.2</v>
      </c>
      <c r="H7957" s="489">
        <v>47.471420000000002</v>
      </c>
      <c r="I7957" s="487" t="s">
        <v>1499</v>
      </c>
      <c r="J7957" s="487" t="s">
        <v>1329</v>
      </c>
    </row>
    <row r="7958" spans="1:10" ht="15" x14ac:dyDescent="0.2">
      <c r="A7958" s="486" t="s">
        <v>1328</v>
      </c>
      <c r="B7958" s="487" t="s">
        <v>1327</v>
      </c>
      <c r="C7958" s="488" t="s">
        <v>24893</v>
      </c>
      <c r="D7958" s="489" t="s">
        <v>24894</v>
      </c>
      <c r="E7958" s="487" t="s">
        <v>24895</v>
      </c>
      <c r="F7958" s="490">
        <v>3000</v>
      </c>
      <c r="G7958" s="489">
        <v>112.3</v>
      </c>
      <c r="H7958" s="489">
        <v>26.71416</v>
      </c>
      <c r="I7958" s="487" t="s">
        <v>1499</v>
      </c>
      <c r="J7958" s="487" t="s">
        <v>1329</v>
      </c>
    </row>
    <row r="7959" spans="1:10" ht="15" x14ac:dyDescent="0.2">
      <c r="A7959" s="486" t="s">
        <v>1328</v>
      </c>
      <c r="B7959" s="487" t="s">
        <v>1327</v>
      </c>
      <c r="C7959" s="488" t="s">
        <v>24896</v>
      </c>
      <c r="D7959" s="489" t="s">
        <v>24897</v>
      </c>
      <c r="E7959" s="487" t="s">
        <v>24898</v>
      </c>
      <c r="F7959" s="490">
        <v>14500</v>
      </c>
      <c r="G7959" s="489">
        <v>327.10000000000002</v>
      </c>
      <c r="H7959" s="489">
        <v>44.328949999999999</v>
      </c>
      <c r="I7959" s="487" t="s">
        <v>1499</v>
      </c>
      <c r="J7959" s="487" t="s">
        <v>1329</v>
      </c>
    </row>
    <row r="7960" spans="1:10" ht="15" x14ac:dyDescent="0.2">
      <c r="A7960" s="486" t="s">
        <v>1328</v>
      </c>
      <c r="B7960" s="487" t="s">
        <v>1327</v>
      </c>
      <c r="C7960" s="488" t="s">
        <v>24899</v>
      </c>
      <c r="D7960" s="489" t="s">
        <v>24900</v>
      </c>
      <c r="E7960" s="487" t="s">
        <v>24901</v>
      </c>
      <c r="F7960" s="490">
        <v>10820</v>
      </c>
      <c r="G7960" s="489">
        <v>168.6</v>
      </c>
      <c r="H7960" s="489">
        <v>64.175560000000004</v>
      </c>
      <c r="I7960" s="487" t="s">
        <v>1499</v>
      </c>
      <c r="J7960" s="487" t="s">
        <v>1329</v>
      </c>
    </row>
    <row r="7961" spans="1:10" ht="15" x14ac:dyDescent="0.2">
      <c r="A7961" s="486" t="s">
        <v>1328</v>
      </c>
      <c r="B7961" s="487" t="s">
        <v>1327</v>
      </c>
      <c r="C7961" s="488" t="s">
        <v>24902</v>
      </c>
      <c r="D7961" s="489" t="s">
        <v>24903</v>
      </c>
      <c r="E7961" s="487" t="s">
        <v>24904</v>
      </c>
      <c r="F7961" s="490">
        <v>2850</v>
      </c>
      <c r="G7961" s="489">
        <v>78.900000000000006</v>
      </c>
      <c r="H7961" s="489">
        <v>36.121670000000002</v>
      </c>
      <c r="I7961" s="487" t="s">
        <v>1499</v>
      </c>
      <c r="J7961" s="487" t="s">
        <v>1329</v>
      </c>
    </row>
    <row r="7962" spans="1:10" ht="15" x14ac:dyDescent="0.2">
      <c r="A7962" s="486" t="s">
        <v>1328</v>
      </c>
      <c r="B7962" s="487" t="s">
        <v>1327</v>
      </c>
      <c r="C7962" s="488" t="s">
        <v>24905</v>
      </c>
      <c r="D7962" s="489" t="s">
        <v>24906</v>
      </c>
      <c r="E7962" s="487" t="s">
        <v>2059</v>
      </c>
      <c r="F7962" s="490">
        <v>82355</v>
      </c>
      <c r="G7962" s="489">
        <v>1191.8</v>
      </c>
      <c r="H7962" s="489">
        <v>69.10136</v>
      </c>
      <c r="I7962" s="487" t="s">
        <v>1499</v>
      </c>
      <c r="J7962" s="487" t="s">
        <v>1329</v>
      </c>
    </row>
    <row r="7963" spans="1:10" ht="15" x14ac:dyDescent="0.2">
      <c r="A7963" s="486" t="s">
        <v>1328</v>
      </c>
      <c r="B7963" s="487" t="s">
        <v>1327</v>
      </c>
      <c r="C7963" s="488" t="s">
        <v>24907</v>
      </c>
      <c r="D7963" s="489" t="s">
        <v>24908</v>
      </c>
      <c r="E7963" s="487" t="s">
        <v>24909</v>
      </c>
      <c r="F7963" s="490">
        <v>3380</v>
      </c>
      <c r="G7963" s="489">
        <v>82.2</v>
      </c>
      <c r="H7963" s="489">
        <v>41.119219999999999</v>
      </c>
      <c r="I7963" s="487" t="s">
        <v>1499</v>
      </c>
      <c r="J7963" s="487" t="s">
        <v>1329</v>
      </c>
    </row>
    <row r="7964" spans="1:10" ht="15" x14ac:dyDescent="0.2">
      <c r="A7964" s="486" t="s">
        <v>1328</v>
      </c>
      <c r="B7964" s="487" t="s">
        <v>1327</v>
      </c>
      <c r="C7964" s="488" t="s">
        <v>24910</v>
      </c>
      <c r="D7964" s="489" t="s">
        <v>24911</v>
      </c>
      <c r="E7964" s="487" t="s">
        <v>24912</v>
      </c>
      <c r="F7964" s="490">
        <v>50188</v>
      </c>
      <c r="G7964" s="489">
        <v>824.3</v>
      </c>
      <c r="H7964" s="489">
        <v>60.885599999999997</v>
      </c>
      <c r="I7964" s="487" t="s">
        <v>1499</v>
      </c>
      <c r="J7964" s="487" t="s">
        <v>1329</v>
      </c>
    </row>
    <row r="7965" spans="1:10" ht="15" x14ac:dyDescent="0.2">
      <c r="A7965" s="486" t="s">
        <v>1375</v>
      </c>
      <c r="B7965" s="487" t="s">
        <v>1374</v>
      </c>
      <c r="C7965" s="488" t="s">
        <v>24913</v>
      </c>
      <c r="D7965" s="489" t="s">
        <v>24914</v>
      </c>
      <c r="E7965" s="487" t="s">
        <v>24915</v>
      </c>
      <c r="F7965" s="490">
        <v>17000</v>
      </c>
      <c r="G7965" s="489">
        <v>239.95</v>
      </c>
      <c r="H7965" s="489">
        <v>70.848089999999999</v>
      </c>
      <c r="I7965" s="487" t="s">
        <v>1499</v>
      </c>
      <c r="J7965" s="487" t="s">
        <v>1376</v>
      </c>
    </row>
    <row r="7966" spans="1:10" ht="15" x14ac:dyDescent="0.2">
      <c r="A7966" s="486" t="s">
        <v>1375</v>
      </c>
      <c r="B7966" s="487" t="s">
        <v>1374</v>
      </c>
      <c r="C7966" s="488" t="s">
        <v>24916</v>
      </c>
      <c r="D7966" s="489" t="s">
        <v>24917</v>
      </c>
      <c r="E7966" s="487" t="s">
        <v>24918</v>
      </c>
      <c r="F7966" s="490">
        <v>21000</v>
      </c>
      <c r="G7966" s="489">
        <v>265.07</v>
      </c>
      <c r="H7966" s="489">
        <v>79.224360000000004</v>
      </c>
      <c r="I7966" s="487" t="s">
        <v>1499</v>
      </c>
      <c r="J7966" s="487" t="s">
        <v>1376</v>
      </c>
    </row>
    <row r="7967" spans="1:10" ht="15" x14ac:dyDescent="0.2">
      <c r="A7967" s="486" t="s">
        <v>1375</v>
      </c>
      <c r="B7967" s="487" t="s">
        <v>1374</v>
      </c>
      <c r="C7967" s="488" t="s">
        <v>24919</v>
      </c>
      <c r="D7967" s="489" t="s">
        <v>24920</v>
      </c>
      <c r="E7967" s="487" t="s">
        <v>24921</v>
      </c>
      <c r="F7967" s="490">
        <v>3914</v>
      </c>
      <c r="G7967" s="489">
        <v>162.65</v>
      </c>
      <c r="H7967" s="489">
        <v>24.063939999999999</v>
      </c>
      <c r="I7967" s="487" t="s">
        <v>1499</v>
      </c>
      <c r="J7967" s="487" t="s">
        <v>1376</v>
      </c>
    </row>
    <row r="7968" spans="1:10" ht="15" x14ac:dyDescent="0.2">
      <c r="A7968" s="486" t="s">
        <v>1375</v>
      </c>
      <c r="B7968" s="487" t="s">
        <v>1374</v>
      </c>
      <c r="C7968" s="488" t="s">
        <v>24922</v>
      </c>
      <c r="D7968" s="489" t="s">
        <v>24923</v>
      </c>
      <c r="E7968" s="487" t="s">
        <v>24924</v>
      </c>
      <c r="F7968" s="490">
        <v>31659</v>
      </c>
      <c r="G7968" s="489">
        <v>636.52</v>
      </c>
      <c r="H7968" s="489">
        <v>49.737639999999999</v>
      </c>
      <c r="I7968" s="487" t="s">
        <v>1499</v>
      </c>
      <c r="J7968" s="487" t="s">
        <v>1376</v>
      </c>
    </row>
    <row r="7969" spans="1:10" ht="15" x14ac:dyDescent="0.2">
      <c r="A7969" s="486" t="s">
        <v>1375</v>
      </c>
      <c r="B7969" s="487" t="s">
        <v>1374</v>
      </c>
      <c r="C7969" s="488" t="s">
        <v>24925</v>
      </c>
      <c r="D7969" s="489" t="s">
        <v>24926</v>
      </c>
      <c r="E7969" s="487" t="s">
        <v>5901</v>
      </c>
      <c r="F7969" s="490">
        <v>169891</v>
      </c>
      <c r="G7969" s="489">
        <v>1355.41</v>
      </c>
      <c r="H7969" s="489">
        <v>125.34289</v>
      </c>
      <c r="I7969" s="487" t="s">
        <v>1499</v>
      </c>
      <c r="J7969" s="487" t="s">
        <v>1376</v>
      </c>
    </row>
    <row r="7970" spans="1:10" ht="15" x14ac:dyDescent="0.2">
      <c r="A7970" s="486" t="s">
        <v>1375</v>
      </c>
      <c r="B7970" s="487" t="s">
        <v>1374</v>
      </c>
      <c r="C7970" s="488" t="s">
        <v>24927</v>
      </c>
      <c r="D7970" s="489" t="s">
        <v>24928</v>
      </c>
      <c r="E7970" s="487" t="s">
        <v>24929</v>
      </c>
      <c r="F7970" s="490">
        <v>13966</v>
      </c>
      <c r="G7970" s="489">
        <v>131.29</v>
      </c>
      <c r="H7970" s="489">
        <v>106.37520000000001</v>
      </c>
      <c r="I7970" s="487" t="s">
        <v>1499</v>
      </c>
      <c r="J7970" s="487" t="s">
        <v>1376</v>
      </c>
    </row>
    <row r="7971" spans="1:10" ht="15" x14ac:dyDescent="0.2">
      <c r="A7971" s="486" t="s">
        <v>1375</v>
      </c>
      <c r="B7971" s="487" t="s">
        <v>1374</v>
      </c>
      <c r="C7971" s="488" t="s">
        <v>24930</v>
      </c>
      <c r="D7971" s="489" t="s">
        <v>24931</v>
      </c>
      <c r="E7971" s="487" t="s">
        <v>24932</v>
      </c>
      <c r="F7971" s="490">
        <v>50000</v>
      </c>
      <c r="G7971" s="489">
        <v>413.13</v>
      </c>
      <c r="H7971" s="489">
        <v>121.02728</v>
      </c>
      <c r="I7971" s="487" t="s">
        <v>1499</v>
      </c>
      <c r="J7971" s="487" t="s">
        <v>1376</v>
      </c>
    </row>
    <row r="7972" spans="1:10" ht="15" x14ac:dyDescent="0.2">
      <c r="A7972" s="486" t="s">
        <v>1375</v>
      </c>
      <c r="B7972" s="487" t="s">
        <v>1374</v>
      </c>
      <c r="C7972" s="488" t="s">
        <v>24933</v>
      </c>
      <c r="D7972" s="489" t="s">
        <v>24934</v>
      </c>
      <c r="E7972" s="487" t="s">
        <v>24935</v>
      </c>
      <c r="F7972" s="490">
        <v>0</v>
      </c>
      <c r="G7972" s="489">
        <v>26.92</v>
      </c>
      <c r="H7972" s="489">
        <v>0</v>
      </c>
      <c r="I7972" s="487" t="s">
        <v>1593</v>
      </c>
      <c r="J7972" s="487" t="s">
        <v>1376</v>
      </c>
    </row>
    <row r="7973" spans="1:10" ht="15" x14ac:dyDescent="0.2">
      <c r="A7973" s="486" t="s">
        <v>1375</v>
      </c>
      <c r="B7973" s="487" t="s">
        <v>1374</v>
      </c>
      <c r="C7973" s="488" t="s">
        <v>24936</v>
      </c>
      <c r="D7973" s="489" t="s">
        <v>24937</v>
      </c>
      <c r="E7973" s="487" t="s">
        <v>24938</v>
      </c>
      <c r="F7973" s="490">
        <v>78436</v>
      </c>
      <c r="G7973" s="489">
        <v>828.34</v>
      </c>
      <c r="H7973" s="489">
        <v>94.69059</v>
      </c>
      <c r="I7973" s="487" t="s">
        <v>1499</v>
      </c>
      <c r="J7973" s="487" t="s">
        <v>1376</v>
      </c>
    </row>
    <row r="7974" spans="1:10" ht="15" x14ac:dyDescent="0.2">
      <c r="A7974" s="486" t="s">
        <v>1375</v>
      </c>
      <c r="B7974" s="487" t="s">
        <v>1374</v>
      </c>
      <c r="C7974" s="488" t="s">
        <v>24939</v>
      </c>
      <c r="D7974" s="489" t="s">
        <v>24940</v>
      </c>
      <c r="E7974" s="487" t="s">
        <v>10865</v>
      </c>
      <c r="F7974" s="490">
        <v>1650</v>
      </c>
      <c r="G7974" s="489">
        <v>74.8</v>
      </c>
      <c r="H7974" s="489">
        <v>22.058820000000001</v>
      </c>
      <c r="I7974" s="487" t="s">
        <v>1499</v>
      </c>
      <c r="J7974" s="487" t="s">
        <v>1376</v>
      </c>
    </row>
    <row r="7975" spans="1:10" ht="15" x14ac:dyDescent="0.2">
      <c r="A7975" s="486" t="s">
        <v>1375</v>
      </c>
      <c r="B7975" s="487" t="s">
        <v>1374</v>
      </c>
      <c r="C7975" s="488" t="s">
        <v>24941</v>
      </c>
      <c r="D7975" s="489" t="s">
        <v>24942</v>
      </c>
      <c r="E7975" s="487" t="s">
        <v>24943</v>
      </c>
      <c r="F7975" s="490">
        <v>0</v>
      </c>
      <c r="G7975" s="489">
        <v>42.35</v>
      </c>
      <c r="H7975" s="489">
        <v>0</v>
      </c>
      <c r="I7975" s="487" t="s">
        <v>1593</v>
      </c>
      <c r="J7975" s="487" t="s">
        <v>1376</v>
      </c>
    </row>
    <row r="7976" spans="1:10" ht="15" x14ac:dyDescent="0.2">
      <c r="A7976" s="486" t="s">
        <v>1375</v>
      </c>
      <c r="B7976" s="487" t="s">
        <v>1374</v>
      </c>
      <c r="C7976" s="488" t="s">
        <v>24944</v>
      </c>
      <c r="D7976" s="489" t="s">
        <v>24945</v>
      </c>
      <c r="E7976" s="487" t="s">
        <v>24946</v>
      </c>
      <c r="F7976" s="490">
        <v>114936</v>
      </c>
      <c r="G7976" s="489">
        <v>931.48</v>
      </c>
      <c r="H7976" s="489">
        <v>123.39073</v>
      </c>
      <c r="I7976" s="487" t="s">
        <v>1499</v>
      </c>
      <c r="J7976" s="487" t="s">
        <v>1376</v>
      </c>
    </row>
    <row r="7977" spans="1:10" ht="15" x14ac:dyDescent="0.2">
      <c r="A7977" s="486" t="s">
        <v>1375</v>
      </c>
      <c r="B7977" s="487" t="s">
        <v>1374</v>
      </c>
      <c r="C7977" s="488" t="s">
        <v>24947</v>
      </c>
      <c r="D7977" s="489" t="s">
        <v>24948</v>
      </c>
      <c r="E7977" s="487" t="s">
        <v>24949</v>
      </c>
      <c r="F7977" s="490">
        <v>668344</v>
      </c>
      <c r="G7977" s="489">
        <v>5724.6</v>
      </c>
      <c r="H7977" s="489">
        <v>116.74947</v>
      </c>
      <c r="I7977" s="487" t="s">
        <v>1499</v>
      </c>
      <c r="J7977" s="487" t="s">
        <v>1376</v>
      </c>
    </row>
    <row r="7978" spans="1:10" ht="15" x14ac:dyDescent="0.2">
      <c r="A7978" s="486" t="s">
        <v>1375</v>
      </c>
      <c r="B7978" s="487" t="s">
        <v>1374</v>
      </c>
      <c r="C7978" s="488" t="s">
        <v>24950</v>
      </c>
      <c r="D7978" s="489" t="s">
        <v>24951</v>
      </c>
      <c r="E7978" s="487" t="s">
        <v>24952</v>
      </c>
      <c r="F7978" s="490">
        <v>42570</v>
      </c>
      <c r="G7978" s="489">
        <v>343.4</v>
      </c>
      <c r="H7978" s="489">
        <v>123.96622000000001</v>
      </c>
      <c r="I7978" s="487" t="s">
        <v>1499</v>
      </c>
      <c r="J7978" s="487" t="s">
        <v>1376</v>
      </c>
    </row>
    <row r="7979" spans="1:10" ht="15" x14ac:dyDescent="0.2">
      <c r="A7979" s="486" t="s">
        <v>1375</v>
      </c>
      <c r="B7979" s="487" t="s">
        <v>1374</v>
      </c>
      <c r="C7979" s="488" t="s">
        <v>24953</v>
      </c>
      <c r="D7979" s="489" t="s">
        <v>24954</v>
      </c>
      <c r="E7979" s="487" t="s">
        <v>24955</v>
      </c>
      <c r="F7979" s="490">
        <v>40616</v>
      </c>
      <c r="G7979" s="489">
        <v>404.92</v>
      </c>
      <c r="H7979" s="489">
        <v>100.30623</v>
      </c>
      <c r="I7979" s="487" t="s">
        <v>1499</v>
      </c>
      <c r="J7979" s="487" t="s">
        <v>1376</v>
      </c>
    </row>
    <row r="7980" spans="1:10" ht="15" x14ac:dyDescent="0.2">
      <c r="A7980" s="486" t="s">
        <v>1375</v>
      </c>
      <c r="B7980" s="487" t="s">
        <v>1374</v>
      </c>
      <c r="C7980" s="488" t="s">
        <v>24956</v>
      </c>
      <c r="D7980" s="489" t="s">
        <v>24957</v>
      </c>
      <c r="E7980" s="487" t="s">
        <v>24958</v>
      </c>
      <c r="F7980" s="490">
        <v>149125</v>
      </c>
      <c r="G7980" s="489">
        <v>1390.51</v>
      </c>
      <c r="H7980" s="489">
        <v>107.24482</v>
      </c>
      <c r="I7980" s="487" t="s">
        <v>1499</v>
      </c>
      <c r="J7980" s="487" t="s">
        <v>1376</v>
      </c>
    </row>
    <row r="7981" spans="1:10" ht="15" x14ac:dyDescent="0.2">
      <c r="A7981" s="486" t="s">
        <v>1375</v>
      </c>
      <c r="B7981" s="487" t="s">
        <v>1374</v>
      </c>
      <c r="C7981" s="488" t="s">
        <v>24959</v>
      </c>
      <c r="D7981" s="489" t="s">
        <v>24960</v>
      </c>
      <c r="E7981" s="487" t="s">
        <v>24961</v>
      </c>
      <c r="F7981" s="490">
        <v>950</v>
      </c>
      <c r="G7981" s="489">
        <v>76.319999999999993</v>
      </c>
      <c r="H7981" s="489">
        <v>12.44759</v>
      </c>
      <c r="I7981" s="487" t="s">
        <v>1499</v>
      </c>
      <c r="J7981" s="487" t="s">
        <v>1376</v>
      </c>
    </row>
    <row r="7982" spans="1:10" ht="15" x14ac:dyDescent="0.2">
      <c r="A7982" s="486" t="s">
        <v>1375</v>
      </c>
      <c r="B7982" s="487" t="s">
        <v>1374</v>
      </c>
      <c r="C7982" s="488" t="s">
        <v>24962</v>
      </c>
      <c r="D7982" s="489" t="s">
        <v>24963</v>
      </c>
      <c r="E7982" s="487" t="s">
        <v>24964</v>
      </c>
      <c r="F7982" s="490">
        <v>600</v>
      </c>
      <c r="G7982" s="489">
        <v>59.9</v>
      </c>
      <c r="H7982" s="489">
        <v>10.016690000000001</v>
      </c>
      <c r="I7982" s="487" t="s">
        <v>1499</v>
      </c>
      <c r="J7982" s="487" t="s">
        <v>1376</v>
      </c>
    </row>
    <row r="7983" spans="1:10" ht="15" x14ac:dyDescent="0.2">
      <c r="A7983" s="486" t="s">
        <v>1375</v>
      </c>
      <c r="B7983" s="487" t="s">
        <v>1374</v>
      </c>
      <c r="C7983" s="488" t="s">
        <v>24965</v>
      </c>
      <c r="D7983" s="489" t="s">
        <v>24966</v>
      </c>
      <c r="E7983" s="487" t="s">
        <v>24967</v>
      </c>
      <c r="F7983" s="490">
        <v>494204</v>
      </c>
      <c r="G7983" s="489">
        <v>2898.39</v>
      </c>
      <c r="H7983" s="489">
        <v>170.50982999999999</v>
      </c>
      <c r="I7983" s="487" t="s">
        <v>1499</v>
      </c>
      <c r="J7983" s="487" t="s">
        <v>1376</v>
      </c>
    </row>
    <row r="7984" spans="1:10" ht="15" x14ac:dyDescent="0.2">
      <c r="A7984" s="486" t="s">
        <v>1375</v>
      </c>
      <c r="B7984" s="487" t="s">
        <v>1374</v>
      </c>
      <c r="C7984" s="488" t="s">
        <v>24968</v>
      </c>
      <c r="D7984" s="489" t="s">
        <v>24969</v>
      </c>
      <c r="E7984" s="487" t="s">
        <v>11748</v>
      </c>
      <c r="F7984" s="490">
        <v>26276</v>
      </c>
      <c r="G7984" s="489">
        <v>370.75</v>
      </c>
      <c r="H7984" s="489">
        <v>70.872559999999993</v>
      </c>
      <c r="I7984" s="487" t="s">
        <v>1499</v>
      </c>
      <c r="J7984" s="487" t="s">
        <v>1376</v>
      </c>
    </row>
    <row r="7985" spans="1:10" ht="15" x14ac:dyDescent="0.2">
      <c r="A7985" s="486" t="s">
        <v>1375</v>
      </c>
      <c r="B7985" s="487" t="s">
        <v>1374</v>
      </c>
      <c r="C7985" s="488" t="s">
        <v>24970</v>
      </c>
      <c r="D7985" s="489" t="s">
        <v>24971</v>
      </c>
      <c r="E7985" s="487" t="s">
        <v>2372</v>
      </c>
      <c r="F7985" s="490">
        <v>16125</v>
      </c>
      <c r="G7985" s="489">
        <v>347.94</v>
      </c>
      <c r="H7985" s="489">
        <v>46.344200000000001</v>
      </c>
      <c r="I7985" s="487" t="s">
        <v>1499</v>
      </c>
      <c r="J7985" s="487" t="s">
        <v>1376</v>
      </c>
    </row>
    <row r="7986" spans="1:10" ht="15" x14ac:dyDescent="0.2">
      <c r="A7986" s="486" t="s">
        <v>1375</v>
      </c>
      <c r="B7986" s="487" t="s">
        <v>1374</v>
      </c>
      <c r="C7986" s="488" t="s">
        <v>24972</v>
      </c>
      <c r="D7986" s="489" t="s">
        <v>24973</v>
      </c>
      <c r="E7986" s="487" t="s">
        <v>24974</v>
      </c>
      <c r="F7986" s="490">
        <v>0</v>
      </c>
      <c r="G7986" s="489">
        <v>27.56</v>
      </c>
      <c r="H7986" s="489">
        <v>0</v>
      </c>
      <c r="I7986" s="487" t="s">
        <v>1593</v>
      </c>
      <c r="J7986" s="487" t="s">
        <v>1376</v>
      </c>
    </row>
    <row r="7987" spans="1:10" ht="15" x14ac:dyDescent="0.2">
      <c r="A7987" s="486" t="s">
        <v>1375</v>
      </c>
      <c r="B7987" s="487" t="s">
        <v>1374</v>
      </c>
      <c r="C7987" s="488" t="s">
        <v>24975</v>
      </c>
      <c r="D7987" s="489" t="s">
        <v>24976</v>
      </c>
      <c r="E7987" s="487" t="s">
        <v>24977</v>
      </c>
      <c r="F7987" s="490">
        <v>0</v>
      </c>
      <c r="G7987" s="489">
        <v>25.8</v>
      </c>
      <c r="H7987" s="489">
        <v>0</v>
      </c>
      <c r="I7987" s="487" t="s">
        <v>1593</v>
      </c>
      <c r="J7987" s="487" t="s">
        <v>1376</v>
      </c>
    </row>
    <row r="7988" spans="1:10" ht="15" x14ac:dyDescent="0.2">
      <c r="A7988" s="486" t="s">
        <v>1375</v>
      </c>
      <c r="B7988" s="487" t="s">
        <v>1374</v>
      </c>
      <c r="C7988" s="488" t="s">
        <v>24978</v>
      </c>
      <c r="D7988" s="489" t="s">
        <v>24979</v>
      </c>
      <c r="E7988" s="487" t="s">
        <v>666</v>
      </c>
      <c r="F7988" s="490">
        <v>3500</v>
      </c>
      <c r="G7988" s="489">
        <v>79.95</v>
      </c>
      <c r="H7988" s="489">
        <v>43.777360000000002</v>
      </c>
      <c r="I7988" s="487" t="s">
        <v>1499</v>
      </c>
      <c r="J7988" s="487" t="s">
        <v>1376</v>
      </c>
    </row>
    <row r="7989" spans="1:10" ht="15" x14ac:dyDescent="0.2">
      <c r="A7989" s="486" t="s">
        <v>1375</v>
      </c>
      <c r="B7989" s="487" t="s">
        <v>1374</v>
      </c>
      <c r="C7989" s="488" t="s">
        <v>24980</v>
      </c>
      <c r="D7989" s="489" t="s">
        <v>24981</v>
      </c>
      <c r="E7989" s="487" t="s">
        <v>24982</v>
      </c>
      <c r="F7989" s="490">
        <v>45000</v>
      </c>
      <c r="G7989" s="489">
        <v>657.42</v>
      </c>
      <c r="H7989" s="489">
        <v>68.449389999999994</v>
      </c>
      <c r="I7989" s="487" t="s">
        <v>1499</v>
      </c>
      <c r="J7989" s="487" t="s">
        <v>1376</v>
      </c>
    </row>
    <row r="7990" spans="1:10" ht="15" x14ac:dyDescent="0.2">
      <c r="A7990" s="486" t="s">
        <v>1375</v>
      </c>
      <c r="B7990" s="487" t="s">
        <v>1374</v>
      </c>
      <c r="C7990" s="488" t="s">
        <v>24983</v>
      </c>
      <c r="D7990" s="489" t="s">
        <v>24984</v>
      </c>
      <c r="E7990" s="487" t="s">
        <v>24985</v>
      </c>
      <c r="F7990" s="490">
        <v>44546</v>
      </c>
      <c r="G7990" s="489">
        <v>616.79</v>
      </c>
      <c r="H7990" s="489">
        <v>72.222309999999993</v>
      </c>
      <c r="I7990" s="487" t="s">
        <v>1499</v>
      </c>
      <c r="J7990" s="487" t="s">
        <v>1376</v>
      </c>
    </row>
    <row r="7991" spans="1:10" ht="15" x14ac:dyDescent="0.2">
      <c r="A7991" s="486" t="s">
        <v>1375</v>
      </c>
      <c r="B7991" s="487" t="s">
        <v>1374</v>
      </c>
      <c r="C7991" s="488" t="s">
        <v>24986</v>
      </c>
      <c r="D7991" s="489" t="s">
        <v>24987</v>
      </c>
      <c r="E7991" s="487" t="s">
        <v>24988</v>
      </c>
      <c r="F7991" s="490">
        <v>322177</v>
      </c>
      <c r="G7991" s="489">
        <v>2217.9299999999998</v>
      </c>
      <c r="H7991" s="489">
        <v>145.26022</v>
      </c>
      <c r="I7991" s="487" t="s">
        <v>1499</v>
      </c>
      <c r="J7991" s="487" t="s">
        <v>1376</v>
      </c>
    </row>
    <row r="7992" spans="1:10" ht="15" x14ac:dyDescent="0.2">
      <c r="A7992" s="486" t="s">
        <v>1375</v>
      </c>
      <c r="B7992" s="487" t="s">
        <v>1374</v>
      </c>
      <c r="C7992" s="488" t="s">
        <v>24989</v>
      </c>
      <c r="D7992" s="489" t="s">
        <v>24990</v>
      </c>
      <c r="E7992" s="487" t="s">
        <v>24991</v>
      </c>
      <c r="F7992" s="490">
        <v>0</v>
      </c>
      <c r="G7992" s="489">
        <v>48.86</v>
      </c>
      <c r="H7992" s="489">
        <v>0</v>
      </c>
      <c r="I7992" s="487" t="s">
        <v>1593</v>
      </c>
      <c r="J7992" s="487" t="s">
        <v>1376</v>
      </c>
    </row>
    <row r="7993" spans="1:10" ht="15" x14ac:dyDescent="0.2">
      <c r="A7993" s="486" t="s">
        <v>1375</v>
      </c>
      <c r="B7993" s="487" t="s">
        <v>1374</v>
      </c>
      <c r="C7993" s="488" t="s">
        <v>24992</v>
      </c>
      <c r="D7993" s="489" t="s">
        <v>24993</v>
      </c>
      <c r="E7993" s="487" t="s">
        <v>24994</v>
      </c>
      <c r="F7993" s="490">
        <v>6000</v>
      </c>
      <c r="G7993" s="489">
        <v>111.26</v>
      </c>
      <c r="H7993" s="489">
        <v>53.92774</v>
      </c>
      <c r="I7993" s="487" t="s">
        <v>1499</v>
      </c>
      <c r="J7993" s="487" t="s">
        <v>1376</v>
      </c>
    </row>
    <row r="7994" spans="1:10" ht="15" x14ac:dyDescent="0.2">
      <c r="A7994" s="486" t="s">
        <v>1375</v>
      </c>
      <c r="B7994" s="487" t="s">
        <v>1374</v>
      </c>
      <c r="C7994" s="488" t="s">
        <v>24995</v>
      </c>
      <c r="D7994" s="489" t="s">
        <v>24996</v>
      </c>
      <c r="E7994" s="487" t="s">
        <v>24997</v>
      </c>
      <c r="F7994" s="490">
        <v>24000</v>
      </c>
      <c r="G7994" s="489">
        <v>232.95</v>
      </c>
      <c r="H7994" s="489">
        <v>103.0264</v>
      </c>
      <c r="I7994" s="487" t="s">
        <v>1499</v>
      </c>
      <c r="J7994" s="487" t="s">
        <v>1376</v>
      </c>
    </row>
    <row r="7995" spans="1:10" ht="15" x14ac:dyDescent="0.2">
      <c r="A7995" s="486" t="s">
        <v>1375</v>
      </c>
      <c r="B7995" s="487" t="s">
        <v>1374</v>
      </c>
      <c r="C7995" s="488" t="s">
        <v>24998</v>
      </c>
      <c r="D7995" s="489" t="s">
        <v>24999</v>
      </c>
      <c r="E7995" s="487" t="s">
        <v>25000</v>
      </c>
      <c r="F7995" s="490">
        <v>26677</v>
      </c>
      <c r="G7995" s="489">
        <v>313.39999999999998</v>
      </c>
      <c r="H7995" s="489">
        <v>85.121250000000003</v>
      </c>
      <c r="I7995" s="487" t="s">
        <v>1499</v>
      </c>
      <c r="J7995" s="487" t="s">
        <v>1376</v>
      </c>
    </row>
    <row r="7996" spans="1:10" ht="15" x14ac:dyDescent="0.2">
      <c r="A7996" s="486" t="s">
        <v>1375</v>
      </c>
      <c r="B7996" s="487" t="s">
        <v>1374</v>
      </c>
      <c r="C7996" s="488" t="s">
        <v>25001</v>
      </c>
      <c r="D7996" s="489" t="s">
        <v>25002</v>
      </c>
      <c r="E7996" s="487" t="s">
        <v>25003</v>
      </c>
      <c r="F7996" s="490">
        <v>72001</v>
      </c>
      <c r="G7996" s="489">
        <v>702.54</v>
      </c>
      <c r="H7996" s="489">
        <v>102.48669</v>
      </c>
      <c r="I7996" s="487" t="s">
        <v>1499</v>
      </c>
      <c r="J7996" s="487" t="s">
        <v>1376</v>
      </c>
    </row>
    <row r="7997" spans="1:10" ht="15" x14ac:dyDescent="0.2">
      <c r="A7997" s="486" t="s">
        <v>1375</v>
      </c>
      <c r="B7997" s="487" t="s">
        <v>1374</v>
      </c>
      <c r="C7997" s="488" t="s">
        <v>25004</v>
      </c>
      <c r="D7997" s="489" t="s">
        <v>25005</v>
      </c>
      <c r="E7997" s="487" t="s">
        <v>25006</v>
      </c>
      <c r="F7997" s="490">
        <v>7867</v>
      </c>
      <c r="G7997" s="489">
        <v>252.3</v>
      </c>
      <c r="H7997" s="489">
        <v>31.18113</v>
      </c>
      <c r="I7997" s="487" t="s">
        <v>1499</v>
      </c>
      <c r="J7997" s="487" t="s">
        <v>1376</v>
      </c>
    </row>
    <row r="7998" spans="1:10" ht="15" x14ac:dyDescent="0.2">
      <c r="A7998" s="486" t="s">
        <v>1375</v>
      </c>
      <c r="B7998" s="487" t="s">
        <v>1374</v>
      </c>
      <c r="C7998" s="488" t="s">
        <v>25007</v>
      </c>
      <c r="D7998" s="489" t="s">
        <v>25008</v>
      </c>
      <c r="E7998" s="487" t="s">
        <v>25009</v>
      </c>
      <c r="F7998" s="490">
        <v>0</v>
      </c>
      <c r="G7998" s="489">
        <v>47.36</v>
      </c>
      <c r="H7998" s="489">
        <v>0</v>
      </c>
      <c r="I7998" s="487" t="s">
        <v>1593</v>
      </c>
      <c r="J7998" s="487" t="s">
        <v>1376</v>
      </c>
    </row>
    <row r="7999" spans="1:10" ht="15" x14ac:dyDescent="0.2">
      <c r="A7999" s="486" t="s">
        <v>1375</v>
      </c>
      <c r="B7999" s="487" t="s">
        <v>1374</v>
      </c>
      <c r="C7999" s="488" t="s">
        <v>25010</v>
      </c>
      <c r="D7999" s="489" t="s">
        <v>25011</v>
      </c>
      <c r="E7999" s="487" t="s">
        <v>25012</v>
      </c>
      <c r="F7999" s="490">
        <v>0</v>
      </c>
      <c r="G7999" s="489">
        <v>31.05</v>
      </c>
      <c r="H7999" s="489">
        <v>0</v>
      </c>
      <c r="I7999" s="487" t="s">
        <v>1593</v>
      </c>
      <c r="J7999" s="487" t="s">
        <v>1376</v>
      </c>
    </row>
    <row r="8000" spans="1:10" ht="15" x14ac:dyDescent="0.2">
      <c r="A8000" s="486" t="s">
        <v>1375</v>
      </c>
      <c r="B8000" s="487" t="s">
        <v>1374</v>
      </c>
      <c r="C8000" s="488" t="s">
        <v>25013</v>
      </c>
      <c r="D8000" s="489" t="s">
        <v>25014</v>
      </c>
      <c r="E8000" s="487" t="s">
        <v>25015</v>
      </c>
      <c r="F8000" s="490">
        <v>400</v>
      </c>
      <c r="G8000" s="489">
        <v>99.33</v>
      </c>
      <c r="H8000" s="489">
        <v>4.02698</v>
      </c>
      <c r="I8000" s="487" t="s">
        <v>1499</v>
      </c>
      <c r="J8000" s="487" t="s">
        <v>1376</v>
      </c>
    </row>
    <row r="8001" spans="1:10" ht="15" x14ac:dyDescent="0.2">
      <c r="A8001" s="486" t="s">
        <v>1375</v>
      </c>
      <c r="B8001" s="487" t="s">
        <v>1374</v>
      </c>
      <c r="C8001" s="488" t="s">
        <v>25016</v>
      </c>
      <c r="D8001" s="489" t="s">
        <v>25017</v>
      </c>
      <c r="E8001" s="487" t="s">
        <v>25018</v>
      </c>
      <c r="F8001" s="490">
        <v>45000</v>
      </c>
      <c r="G8001" s="489">
        <v>523.30999999999995</v>
      </c>
      <c r="H8001" s="489">
        <v>85.991100000000003</v>
      </c>
      <c r="I8001" s="487" t="s">
        <v>1499</v>
      </c>
      <c r="J8001" s="487" t="s">
        <v>1376</v>
      </c>
    </row>
    <row r="8002" spans="1:10" ht="15" x14ac:dyDescent="0.2">
      <c r="A8002" s="486" t="s">
        <v>1375</v>
      </c>
      <c r="B8002" s="487" t="s">
        <v>1374</v>
      </c>
      <c r="C8002" s="488" t="s">
        <v>25019</v>
      </c>
      <c r="D8002" s="489" t="s">
        <v>25020</v>
      </c>
      <c r="E8002" s="487" t="s">
        <v>25021</v>
      </c>
      <c r="F8002" s="490">
        <v>113500</v>
      </c>
      <c r="G8002" s="489">
        <v>1444.14</v>
      </c>
      <c r="H8002" s="489">
        <v>78.593490000000003</v>
      </c>
      <c r="I8002" s="487" t="s">
        <v>1499</v>
      </c>
      <c r="J8002" s="487" t="s">
        <v>1376</v>
      </c>
    </row>
    <row r="8003" spans="1:10" ht="15" x14ac:dyDescent="0.2">
      <c r="A8003" s="486" t="s">
        <v>1375</v>
      </c>
      <c r="B8003" s="487" t="s">
        <v>1374</v>
      </c>
      <c r="C8003" s="488" t="s">
        <v>25022</v>
      </c>
      <c r="D8003" s="489" t="s">
        <v>25023</v>
      </c>
      <c r="E8003" s="487" t="s">
        <v>25024</v>
      </c>
      <c r="F8003" s="490">
        <v>0</v>
      </c>
      <c r="G8003" s="489">
        <v>52.55</v>
      </c>
      <c r="H8003" s="489">
        <v>0</v>
      </c>
      <c r="I8003" s="487" t="s">
        <v>1593</v>
      </c>
      <c r="J8003" s="487" t="s">
        <v>1376</v>
      </c>
    </row>
    <row r="8004" spans="1:10" ht="15" x14ac:dyDescent="0.2">
      <c r="A8004" s="486" t="s">
        <v>1375</v>
      </c>
      <c r="B8004" s="487" t="s">
        <v>1374</v>
      </c>
      <c r="C8004" s="488" t="s">
        <v>25025</v>
      </c>
      <c r="D8004" s="489" t="s">
        <v>25026</v>
      </c>
      <c r="E8004" s="487" t="s">
        <v>25027</v>
      </c>
      <c r="F8004" s="490">
        <v>1200</v>
      </c>
      <c r="G8004" s="489">
        <v>84</v>
      </c>
      <c r="H8004" s="489">
        <v>14.28571</v>
      </c>
      <c r="I8004" s="487" t="s">
        <v>1499</v>
      </c>
      <c r="J8004" s="487" t="s">
        <v>1376</v>
      </c>
    </row>
    <row r="8005" spans="1:10" ht="15" x14ac:dyDescent="0.2">
      <c r="A8005" s="486" t="s">
        <v>1375</v>
      </c>
      <c r="B8005" s="487" t="s">
        <v>1374</v>
      </c>
      <c r="C8005" s="488" t="s">
        <v>25028</v>
      </c>
      <c r="D8005" s="489" t="s">
        <v>25029</v>
      </c>
      <c r="E8005" s="487" t="s">
        <v>8622</v>
      </c>
      <c r="F8005" s="490">
        <v>0</v>
      </c>
      <c r="G8005" s="489">
        <v>29.27</v>
      </c>
      <c r="H8005" s="489">
        <v>0</v>
      </c>
      <c r="I8005" s="487" t="s">
        <v>1593</v>
      </c>
      <c r="J8005" s="487" t="s">
        <v>1376</v>
      </c>
    </row>
    <row r="8006" spans="1:10" ht="15" x14ac:dyDescent="0.2">
      <c r="A8006" s="486" t="s">
        <v>1375</v>
      </c>
      <c r="B8006" s="487" t="s">
        <v>1374</v>
      </c>
      <c r="C8006" s="488" t="s">
        <v>25030</v>
      </c>
      <c r="D8006" s="489" t="s">
        <v>25031</v>
      </c>
      <c r="E8006" s="487" t="s">
        <v>25032</v>
      </c>
      <c r="F8006" s="490">
        <v>0</v>
      </c>
      <c r="G8006" s="489">
        <v>78.86</v>
      </c>
      <c r="H8006" s="489">
        <v>0</v>
      </c>
      <c r="I8006" s="487" t="s">
        <v>1593</v>
      </c>
      <c r="J8006" s="487" t="s">
        <v>1376</v>
      </c>
    </row>
    <row r="8007" spans="1:10" ht="15" x14ac:dyDescent="0.2">
      <c r="A8007" s="486" t="s">
        <v>1375</v>
      </c>
      <c r="B8007" s="487" t="s">
        <v>1374</v>
      </c>
      <c r="C8007" s="488" t="s">
        <v>25033</v>
      </c>
      <c r="D8007" s="489" t="s">
        <v>25034</v>
      </c>
      <c r="E8007" s="487" t="s">
        <v>25035</v>
      </c>
      <c r="F8007" s="490">
        <v>0</v>
      </c>
      <c r="G8007" s="489">
        <v>47</v>
      </c>
      <c r="H8007" s="489">
        <v>0</v>
      </c>
      <c r="I8007" s="487" t="s">
        <v>1593</v>
      </c>
      <c r="J8007" s="487" t="s">
        <v>1376</v>
      </c>
    </row>
    <row r="8008" spans="1:10" ht="15" x14ac:dyDescent="0.2">
      <c r="A8008" s="486" t="s">
        <v>1375</v>
      </c>
      <c r="B8008" s="487" t="s">
        <v>1374</v>
      </c>
      <c r="C8008" s="488" t="s">
        <v>25036</v>
      </c>
      <c r="D8008" s="489" t="s">
        <v>25037</v>
      </c>
      <c r="E8008" s="487" t="s">
        <v>25038</v>
      </c>
      <c r="F8008" s="490">
        <v>0</v>
      </c>
      <c r="G8008" s="489">
        <v>67.67</v>
      </c>
      <c r="H8008" s="489">
        <v>0</v>
      </c>
      <c r="I8008" s="487" t="s">
        <v>1593</v>
      </c>
      <c r="J8008" s="487" t="s">
        <v>1376</v>
      </c>
    </row>
    <row r="8009" spans="1:10" ht="15" x14ac:dyDescent="0.2">
      <c r="A8009" s="486" t="s">
        <v>1375</v>
      </c>
      <c r="B8009" s="487" t="s">
        <v>1374</v>
      </c>
      <c r="C8009" s="488" t="s">
        <v>25039</v>
      </c>
      <c r="D8009" s="489" t="s">
        <v>25040</v>
      </c>
      <c r="E8009" s="487" t="s">
        <v>25041</v>
      </c>
      <c r="F8009" s="490">
        <v>0</v>
      </c>
      <c r="G8009" s="489">
        <v>59.54</v>
      </c>
      <c r="H8009" s="489">
        <v>0</v>
      </c>
      <c r="I8009" s="487" t="s">
        <v>1593</v>
      </c>
      <c r="J8009" s="487" t="s">
        <v>1376</v>
      </c>
    </row>
    <row r="8010" spans="1:10" ht="15" x14ac:dyDescent="0.2">
      <c r="A8010" s="486" t="s">
        <v>1375</v>
      </c>
      <c r="B8010" s="487" t="s">
        <v>1374</v>
      </c>
      <c r="C8010" s="488" t="s">
        <v>25042</v>
      </c>
      <c r="D8010" s="489" t="s">
        <v>25043</v>
      </c>
      <c r="E8010" s="487" t="s">
        <v>25044</v>
      </c>
      <c r="F8010" s="490">
        <v>30158</v>
      </c>
      <c r="G8010" s="489">
        <v>415.57</v>
      </c>
      <c r="H8010" s="489">
        <v>72.5702</v>
      </c>
      <c r="I8010" s="487" t="s">
        <v>1499</v>
      </c>
      <c r="J8010" s="487" t="s">
        <v>1376</v>
      </c>
    </row>
    <row r="8011" spans="1:10" ht="15" x14ac:dyDescent="0.2">
      <c r="A8011" s="486" t="s">
        <v>1375</v>
      </c>
      <c r="B8011" s="487" t="s">
        <v>1374</v>
      </c>
      <c r="C8011" s="488" t="s">
        <v>25045</v>
      </c>
      <c r="D8011" s="489" t="s">
        <v>25046</v>
      </c>
      <c r="E8011" s="487" t="s">
        <v>2188</v>
      </c>
      <c r="F8011" s="490">
        <v>12000</v>
      </c>
      <c r="G8011" s="489">
        <v>165.85</v>
      </c>
      <c r="H8011" s="489">
        <v>72.35454</v>
      </c>
      <c r="I8011" s="487" t="s">
        <v>1499</v>
      </c>
      <c r="J8011" s="487" t="s">
        <v>1376</v>
      </c>
    </row>
    <row r="8012" spans="1:10" ht="15" x14ac:dyDescent="0.2">
      <c r="A8012" s="486" t="s">
        <v>1375</v>
      </c>
      <c r="B8012" s="487" t="s">
        <v>1374</v>
      </c>
      <c r="C8012" s="488" t="s">
        <v>25047</v>
      </c>
      <c r="D8012" s="489" t="s">
        <v>25048</v>
      </c>
      <c r="E8012" s="487" t="s">
        <v>25049</v>
      </c>
      <c r="F8012" s="490">
        <v>70521</v>
      </c>
      <c r="G8012" s="489">
        <v>377.59</v>
      </c>
      <c r="H8012" s="489">
        <v>186.76607000000001</v>
      </c>
      <c r="I8012" s="487" t="s">
        <v>1499</v>
      </c>
      <c r="J8012" s="487" t="s">
        <v>1376</v>
      </c>
    </row>
    <row r="8013" spans="1:10" ht="15" x14ac:dyDescent="0.2">
      <c r="A8013" s="486" t="s">
        <v>1375</v>
      </c>
      <c r="B8013" s="487" t="s">
        <v>1374</v>
      </c>
      <c r="C8013" s="488" t="s">
        <v>25050</v>
      </c>
      <c r="D8013" s="489" t="s">
        <v>25051</v>
      </c>
      <c r="E8013" s="487" t="s">
        <v>25052</v>
      </c>
      <c r="F8013" s="490">
        <v>0</v>
      </c>
      <c r="G8013" s="489">
        <v>45.8</v>
      </c>
      <c r="H8013" s="489">
        <v>0</v>
      </c>
      <c r="I8013" s="487" t="s">
        <v>1593</v>
      </c>
      <c r="J8013" s="487" t="s">
        <v>1376</v>
      </c>
    </row>
    <row r="8014" spans="1:10" ht="15" x14ac:dyDescent="0.2">
      <c r="A8014" s="486" t="s">
        <v>1375</v>
      </c>
      <c r="B8014" s="487" t="s">
        <v>1374</v>
      </c>
      <c r="C8014" s="488" t="s">
        <v>25053</v>
      </c>
      <c r="D8014" s="489" t="s">
        <v>25054</v>
      </c>
      <c r="E8014" s="487" t="s">
        <v>25055</v>
      </c>
      <c r="F8014" s="490">
        <v>1300</v>
      </c>
      <c r="G8014" s="489">
        <v>109.22</v>
      </c>
      <c r="H8014" s="489">
        <v>11.90258</v>
      </c>
      <c r="I8014" s="487" t="s">
        <v>1499</v>
      </c>
      <c r="J8014" s="487" t="s">
        <v>1376</v>
      </c>
    </row>
    <row r="8015" spans="1:10" ht="15" x14ac:dyDescent="0.2">
      <c r="A8015" s="486" t="s">
        <v>1375</v>
      </c>
      <c r="B8015" s="487" t="s">
        <v>1374</v>
      </c>
      <c r="C8015" s="488" t="s">
        <v>25056</v>
      </c>
      <c r="D8015" s="489" t="s">
        <v>25057</v>
      </c>
      <c r="E8015" s="487" t="s">
        <v>25058</v>
      </c>
      <c r="F8015" s="490">
        <v>0</v>
      </c>
      <c r="G8015" s="489">
        <v>100.55</v>
      </c>
      <c r="H8015" s="489">
        <v>0</v>
      </c>
      <c r="I8015" s="487" t="s">
        <v>1593</v>
      </c>
      <c r="J8015" s="487" t="s">
        <v>1376</v>
      </c>
    </row>
    <row r="8016" spans="1:10" ht="15" x14ac:dyDescent="0.2">
      <c r="A8016" s="486" t="s">
        <v>1375</v>
      </c>
      <c r="B8016" s="487" t="s">
        <v>1374</v>
      </c>
      <c r="C8016" s="488" t="s">
        <v>25059</v>
      </c>
      <c r="D8016" s="489" t="s">
        <v>25060</v>
      </c>
      <c r="E8016" s="487" t="s">
        <v>25061</v>
      </c>
      <c r="F8016" s="490">
        <v>52000</v>
      </c>
      <c r="G8016" s="489">
        <v>819.92</v>
      </c>
      <c r="H8016" s="489">
        <v>63.420819999999999</v>
      </c>
      <c r="I8016" s="487" t="s">
        <v>1499</v>
      </c>
      <c r="J8016" s="487" t="s">
        <v>1376</v>
      </c>
    </row>
    <row r="8017" spans="1:10" ht="15" x14ac:dyDescent="0.2">
      <c r="A8017" s="486" t="s">
        <v>1375</v>
      </c>
      <c r="B8017" s="487" t="s">
        <v>1374</v>
      </c>
      <c r="C8017" s="488" t="s">
        <v>25062</v>
      </c>
      <c r="D8017" s="489" t="s">
        <v>25063</v>
      </c>
      <c r="E8017" s="487" t="s">
        <v>25064</v>
      </c>
      <c r="F8017" s="490">
        <v>61001</v>
      </c>
      <c r="G8017" s="489">
        <v>753.46</v>
      </c>
      <c r="H8017" s="489">
        <v>80.961169999999996</v>
      </c>
      <c r="I8017" s="487" t="s">
        <v>1499</v>
      </c>
      <c r="J8017" s="487" t="s">
        <v>1376</v>
      </c>
    </row>
    <row r="8018" spans="1:10" ht="15" x14ac:dyDescent="0.2">
      <c r="A8018" s="486" t="s">
        <v>1375</v>
      </c>
      <c r="B8018" s="487" t="s">
        <v>1374</v>
      </c>
      <c r="C8018" s="488" t="s">
        <v>25065</v>
      </c>
      <c r="D8018" s="489" t="s">
        <v>25066</v>
      </c>
      <c r="E8018" s="487" t="s">
        <v>25067</v>
      </c>
      <c r="F8018" s="490">
        <v>71106</v>
      </c>
      <c r="G8018" s="489">
        <v>1011.1</v>
      </c>
      <c r="H8018" s="489">
        <v>70.325389999999999</v>
      </c>
      <c r="I8018" s="487" t="s">
        <v>1499</v>
      </c>
      <c r="J8018" s="487" t="s">
        <v>1376</v>
      </c>
    </row>
    <row r="8019" spans="1:10" ht="15" x14ac:dyDescent="0.2">
      <c r="A8019" s="486" t="s">
        <v>1375</v>
      </c>
      <c r="B8019" s="487" t="s">
        <v>1374</v>
      </c>
      <c r="C8019" s="488" t="s">
        <v>25068</v>
      </c>
      <c r="D8019" s="489" t="s">
        <v>25069</v>
      </c>
      <c r="E8019" s="487" t="s">
        <v>25070</v>
      </c>
      <c r="F8019" s="490">
        <v>11195</v>
      </c>
      <c r="G8019" s="489">
        <v>197.55</v>
      </c>
      <c r="H8019" s="489">
        <v>56.669199999999996</v>
      </c>
      <c r="I8019" s="487" t="s">
        <v>1499</v>
      </c>
      <c r="J8019" s="487" t="s">
        <v>1376</v>
      </c>
    </row>
    <row r="8020" spans="1:10" ht="15" x14ac:dyDescent="0.2">
      <c r="A8020" s="486" t="s">
        <v>1375</v>
      </c>
      <c r="B8020" s="487" t="s">
        <v>1374</v>
      </c>
      <c r="C8020" s="488" t="s">
        <v>25071</v>
      </c>
      <c r="D8020" s="489" t="s">
        <v>25072</v>
      </c>
      <c r="E8020" s="487" t="s">
        <v>25073</v>
      </c>
      <c r="F8020" s="490">
        <v>32279</v>
      </c>
      <c r="G8020" s="489">
        <v>223.2</v>
      </c>
      <c r="H8020" s="489">
        <v>144.61918</v>
      </c>
      <c r="I8020" s="487" t="s">
        <v>1499</v>
      </c>
      <c r="J8020" s="487" t="s">
        <v>1376</v>
      </c>
    </row>
    <row r="8021" spans="1:10" ht="15" x14ac:dyDescent="0.2">
      <c r="A8021" s="486" t="s">
        <v>1375</v>
      </c>
      <c r="B8021" s="487" t="s">
        <v>1374</v>
      </c>
      <c r="C8021" s="488" t="s">
        <v>25074</v>
      </c>
      <c r="D8021" s="489" t="s">
        <v>25075</v>
      </c>
      <c r="E8021" s="487" t="s">
        <v>25076</v>
      </c>
      <c r="F8021" s="490">
        <v>28950</v>
      </c>
      <c r="G8021" s="489">
        <v>187.92</v>
      </c>
      <c r="H8021" s="489">
        <v>154.05492000000001</v>
      </c>
      <c r="I8021" s="487" t="s">
        <v>1499</v>
      </c>
      <c r="J8021" s="487" t="s">
        <v>1376</v>
      </c>
    </row>
    <row r="8022" spans="1:10" ht="15" x14ac:dyDescent="0.2">
      <c r="A8022" s="486" t="s">
        <v>1375</v>
      </c>
      <c r="B8022" s="487" t="s">
        <v>1374</v>
      </c>
      <c r="C8022" s="488" t="s">
        <v>25077</v>
      </c>
      <c r="D8022" s="489" t="s">
        <v>25078</v>
      </c>
      <c r="E8022" s="487" t="s">
        <v>25079</v>
      </c>
      <c r="F8022" s="490">
        <v>13448</v>
      </c>
      <c r="G8022" s="489">
        <v>244.49</v>
      </c>
      <c r="H8022" s="489">
        <v>55.004289999999997</v>
      </c>
      <c r="I8022" s="487" t="s">
        <v>1499</v>
      </c>
      <c r="J8022" s="487" t="s">
        <v>1376</v>
      </c>
    </row>
    <row r="8023" spans="1:10" ht="15" x14ac:dyDescent="0.2">
      <c r="A8023" s="486" t="s">
        <v>1375</v>
      </c>
      <c r="B8023" s="487" t="s">
        <v>1374</v>
      </c>
      <c r="C8023" s="488" t="s">
        <v>25080</v>
      </c>
      <c r="D8023" s="489" t="s">
        <v>25081</v>
      </c>
      <c r="E8023" s="487" t="s">
        <v>25082</v>
      </c>
      <c r="F8023" s="490">
        <v>0</v>
      </c>
      <c r="G8023" s="489">
        <v>25.87</v>
      </c>
      <c r="H8023" s="489">
        <v>0</v>
      </c>
      <c r="I8023" s="487" t="s">
        <v>1593</v>
      </c>
      <c r="J8023" s="487" t="s">
        <v>1376</v>
      </c>
    </row>
    <row r="8024" spans="1:10" ht="15" x14ac:dyDescent="0.2">
      <c r="A8024" s="486" t="s">
        <v>1375</v>
      </c>
      <c r="B8024" s="487" t="s">
        <v>1374</v>
      </c>
      <c r="C8024" s="488" t="s">
        <v>25083</v>
      </c>
      <c r="D8024" s="489" t="s">
        <v>25084</v>
      </c>
      <c r="E8024" s="487" t="s">
        <v>1154</v>
      </c>
      <c r="F8024" s="490">
        <v>8000</v>
      </c>
      <c r="G8024" s="489">
        <v>131.66999999999999</v>
      </c>
      <c r="H8024" s="489">
        <v>60.757959999999997</v>
      </c>
      <c r="I8024" s="487" t="s">
        <v>1499</v>
      </c>
      <c r="J8024" s="487" t="s">
        <v>1376</v>
      </c>
    </row>
    <row r="8025" spans="1:10" ht="15" x14ac:dyDescent="0.2">
      <c r="A8025" s="486" t="s">
        <v>1375</v>
      </c>
      <c r="B8025" s="487" t="s">
        <v>1374</v>
      </c>
      <c r="C8025" s="488" t="s">
        <v>25085</v>
      </c>
      <c r="D8025" s="489" t="s">
        <v>25086</v>
      </c>
      <c r="E8025" s="487" t="s">
        <v>25087</v>
      </c>
      <c r="F8025" s="490">
        <v>10419</v>
      </c>
      <c r="G8025" s="489">
        <v>149.75</v>
      </c>
      <c r="H8025" s="489">
        <v>69.575959999999995</v>
      </c>
      <c r="I8025" s="487" t="s">
        <v>1499</v>
      </c>
      <c r="J8025" s="487" t="s">
        <v>1376</v>
      </c>
    </row>
    <row r="8026" spans="1:10" ht="15" x14ac:dyDescent="0.2">
      <c r="A8026" s="486" t="s">
        <v>1375</v>
      </c>
      <c r="B8026" s="487" t="s">
        <v>1374</v>
      </c>
      <c r="C8026" s="488" t="s">
        <v>25088</v>
      </c>
      <c r="D8026" s="489" t="s">
        <v>25089</v>
      </c>
      <c r="E8026" s="487" t="s">
        <v>25090</v>
      </c>
      <c r="F8026" s="490">
        <v>6948</v>
      </c>
      <c r="G8026" s="489">
        <v>289.89999999999998</v>
      </c>
      <c r="H8026" s="489">
        <v>23.966889999999999</v>
      </c>
      <c r="I8026" s="487" t="s">
        <v>1499</v>
      </c>
      <c r="J8026" s="487" t="s">
        <v>1376</v>
      </c>
    </row>
    <row r="8027" spans="1:10" ht="15" x14ac:dyDescent="0.2">
      <c r="A8027" s="486" t="s">
        <v>1375</v>
      </c>
      <c r="B8027" s="487" t="s">
        <v>1374</v>
      </c>
      <c r="C8027" s="488" t="s">
        <v>25091</v>
      </c>
      <c r="D8027" s="489" t="s">
        <v>25092</v>
      </c>
      <c r="E8027" s="487" t="s">
        <v>25093</v>
      </c>
      <c r="F8027" s="490">
        <v>39805</v>
      </c>
      <c r="G8027" s="489">
        <v>718.63</v>
      </c>
      <c r="H8027" s="489">
        <v>55.390120000000003</v>
      </c>
      <c r="I8027" s="487" t="s">
        <v>1499</v>
      </c>
      <c r="J8027" s="487" t="s">
        <v>1376</v>
      </c>
    </row>
    <row r="8028" spans="1:10" ht="15" x14ac:dyDescent="0.2">
      <c r="A8028" s="486" t="s">
        <v>1375</v>
      </c>
      <c r="B8028" s="487" t="s">
        <v>1374</v>
      </c>
      <c r="C8028" s="488" t="s">
        <v>25094</v>
      </c>
      <c r="D8028" s="489" t="s">
        <v>25095</v>
      </c>
      <c r="E8028" s="487" t="s">
        <v>25096</v>
      </c>
      <c r="F8028" s="490">
        <v>11346</v>
      </c>
      <c r="G8028" s="489">
        <v>165.42</v>
      </c>
      <c r="H8028" s="489">
        <v>68.58905</v>
      </c>
      <c r="I8028" s="487" t="s">
        <v>1499</v>
      </c>
      <c r="J8028" s="487" t="s">
        <v>1376</v>
      </c>
    </row>
    <row r="8029" spans="1:10" ht="15" x14ac:dyDescent="0.2">
      <c r="A8029" s="486" t="s">
        <v>1375</v>
      </c>
      <c r="B8029" s="487" t="s">
        <v>1374</v>
      </c>
      <c r="C8029" s="488" t="s">
        <v>25097</v>
      </c>
      <c r="D8029" s="489" t="s">
        <v>25098</v>
      </c>
      <c r="E8029" s="487" t="s">
        <v>25099</v>
      </c>
      <c r="F8029" s="490">
        <v>11642</v>
      </c>
      <c r="G8029" s="489">
        <v>166.93</v>
      </c>
      <c r="H8029" s="489">
        <v>69.741810000000001</v>
      </c>
      <c r="I8029" s="487" t="s">
        <v>1499</v>
      </c>
      <c r="J8029" s="487" t="s">
        <v>1376</v>
      </c>
    </row>
    <row r="8030" spans="1:10" ht="15" x14ac:dyDescent="0.2">
      <c r="A8030" s="486" t="s">
        <v>1375</v>
      </c>
      <c r="B8030" s="487" t="s">
        <v>1374</v>
      </c>
      <c r="C8030" s="488" t="s">
        <v>25100</v>
      </c>
      <c r="D8030" s="489" t="s">
        <v>25101</v>
      </c>
      <c r="E8030" s="487" t="s">
        <v>25102</v>
      </c>
      <c r="F8030" s="490">
        <v>33000</v>
      </c>
      <c r="G8030" s="489">
        <v>698.48</v>
      </c>
      <c r="H8030" s="489">
        <v>47.245449999999998</v>
      </c>
      <c r="I8030" s="487" t="s">
        <v>1499</v>
      </c>
      <c r="J8030" s="487" t="s">
        <v>1376</v>
      </c>
    </row>
    <row r="8031" spans="1:10" ht="15" x14ac:dyDescent="0.2">
      <c r="A8031" s="486" t="s">
        <v>1375</v>
      </c>
      <c r="B8031" s="487" t="s">
        <v>1374</v>
      </c>
      <c r="C8031" s="488" t="s">
        <v>25103</v>
      </c>
      <c r="D8031" s="489" t="s">
        <v>25104</v>
      </c>
      <c r="E8031" s="487" t="s">
        <v>25105</v>
      </c>
      <c r="F8031" s="490">
        <v>40000</v>
      </c>
      <c r="G8031" s="489">
        <v>531.27</v>
      </c>
      <c r="H8031" s="489">
        <v>75.29128</v>
      </c>
      <c r="I8031" s="487" t="s">
        <v>1499</v>
      </c>
      <c r="J8031" s="487" t="s">
        <v>1376</v>
      </c>
    </row>
    <row r="8032" spans="1:10" ht="15" x14ac:dyDescent="0.2">
      <c r="A8032" s="486" t="s">
        <v>1375</v>
      </c>
      <c r="B8032" s="487" t="s">
        <v>1374</v>
      </c>
      <c r="C8032" s="488" t="s">
        <v>25106</v>
      </c>
      <c r="D8032" s="489" t="s">
        <v>25107</v>
      </c>
      <c r="E8032" s="487" t="s">
        <v>25108</v>
      </c>
      <c r="F8032" s="490">
        <v>21560</v>
      </c>
      <c r="G8032" s="489">
        <v>609.57000000000005</v>
      </c>
      <c r="H8032" s="489">
        <v>35.369190000000003</v>
      </c>
      <c r="I8032" s="487" t="s">
        <v>1499</v>
      </c>
      <c r="J8032" s="487" t="s">
        <v>1376</v>
      </c>
    </row>
    <row r="8033" spans="1:10" ht="15" x14ac:dyDescent="0.2">
      <c r="A8033" s="486" t="s">
        <v>1375</v>
      </c>
      <c r="B8033" s="487" t="s">
        <v>1374</v>
      </c>
      <c r="C8033" s="488" t="s">
        <v>25109</v>
      </c>
      <c r="D8033" s="489" t="s">
        <v>25110</v>
      </c>
      <c r="E8033" s="487" t="s">
        <v>25111</v>
      </c>
      <c r="F8033" s="490">
        <v>42963</v>
      </c>
      <c r="G8033" s="489">
        <v>729.85</v>
      </c>
      <c r="H8033" s="489">
        <v>58.865519999999997</v>
      </c>
      <c r="I8033" s="487" t="s">
        <v>1499</v>
      </c>
      <c r="J8033" s="487" t="s">
        <v>1376</v>
      </c>
    </row>
    <row r="8034" spans="1:10" ht="15" x14ac:dyDescent="0.2">
      <c r="A8034" s="486" t="s">
        <v>1375</v>
      </c>
      <c r="B8034" s="487" t="s">
        <v>1374</v>
      </c>
      <c r="C8034" s="488" t="s">
        <v>25112</v>
      </c>
      <c r="D8034" s="489" t="s">
        <v>25113</v>
      </c>
      <c r="E8034" s="487" t="s">
        <v>25114</v>
      </c>
      <c r="F8034" s="490">
        <v>9525</v>
      </c>
      <c r="G8034" s="489">
        <v>93.41</v>
      </c>
      <c r="H8034" s="489">
        <v>101.96981</v>
      </c>
      <c r="I8034" s="487" t="s">
        <v>1499</v>
      </c>
      <c r="J8034" s="487" t="s">
        <v>1376</v>
      </c>
    </row>
    <row r="8035" spans="1:10" ht="15" x14ac:dyDescent="0.2">
      <c r="A8035" s="486" t="s">
        <v>1375</v>
      </c>
      <c r="B8035" s="487" t="s">
        <v>1374</v>
      </c>
      <c r="C8035" s="488" t="s">
        <v>25115</v>
      </c>
      <c r="D8035" s="489" t="s">
        <v>25116</v>
      </c>
      <c r="E8035" s="487" t="s">
        <v>25117</v>
      </c>
      <c r="F8035" s="490">
        <v>3000</v>
      </c>
      <c r="G8035" s="489">
        <v>107.53</v>
      </c>
      <c r="H8035" s="489">
        <v>27.899190000000001</v>
      </c>
      <c r="I8035" s="487" t="s">
        <v>1499</v>
      </c>
      <c r="J8035" s="487" t="s">
        <v>1376</v>
      </c>
    </row>
    <row r="8036" spans="1:10" ht="15" x14ac:dyDescent="0.2">
      <c r="A8036" s="486" t="s">
        <v>1375</v>
      </c>
      <c r="B8036" s="487" t="s">
        <v>1374</v>
      </c>
      <c r="C8036" s="488" t="s">
        <v>25118</v>
      </c>
      <c r="D8036" s="489" t="s">
        <v>25119</v>
      </c>
      <c r="E8036" s="487" t="s">
        <v>25120</v>
      </c>
      <c r="F8036" s="490">
        <v>32039</v>
      </c>
      <c r="G8036" s="489">
        <v>516.22</v>
      </c>
      <c r="H8036" s="489">
        <v>62.064619999999998</v>
      </c>
      <c r="I8036" s="487" t="s">
        <v>1499</v>
      </c>
      <c r="J8036" s="487" t="s">
        <v>1376</v>
      </c>
    </row>
    <row r="8037" spans="1:10" ht="15" x14ac:dyDescent="0.2">
      <c r="A8037" s="486" t="s">
        <v>1375</v>
      </c>
      <c r="B8037" s="487" t="s">
        <v>1374</v>
      </c>
      <c r="C8037" s="488" t="s">
        <v>25121</v>
      </c>
      <c r="D8037" s="489" t="s">
        <v>25122</v>
      </c>
      <c r="E8037" s="487" t="s">
        <v>11242</v>
      </c>
      <c r="F8037" s="490">
        <v>4000</v>
      </c>
      <c r="G8037" s="489">
        <v>82.55</v>
      </c>
      <c r="H8037" s="489">
        <v>48.455480000000001</v>
      </c>
      <c r="I8037" s="487" t="s">
        <v>1499</v>
      </c>
      <c r="J8037" s="487" t="s">
        <v>1376</v>
      </c>
    </row>
    <row r="8038" spans="1:10" ht="15" x14ac:dyDescent="0.2">
      <c r="A8038" s="486" t="s">
        <v>1375</v>
      </c>
      <c r="B8038" s="487" t="s">
        <v>1374</v>
      </c>
      <c r="C8038" s="488" t="s">
        <v>25123</v>
      </c>
      <c r="D8038" s="489" t="s">
        <v>25124</v>
      </c>
      <c r="E8038" s="487" t="s">
        <v>25125</v>
      </c>
      <c r="F8038" s="490">
        <v>1000</v>
      </c>
      <c r="G8038" s="489">
        <v>88.65</v>
      </c>
      <c r="H8038" s="489">
        <v>11.28032</v>
      </c>
      <c r="I8038" s="487" t="s">
        <v>1499</v>
      </c>
      <c r="J8038" s="487" t="s">
        <v>1376</v>
      </c>
    </row>
    <row r="8039" spans="1:10" ht="15" x14ac:dyDescent="0.2">
      <c r="A8039" s="486" t="s">
        <v>1375</v>
      </c>
      <c r="B8039" s="487" t="s">
        <v>1374</v>
      </c>
      <c r="C8039" s="488" t="s">
        <v>25126</v>
      </c>
      <c r="D8039" s="489" t="s">
        <v>25127</v>
      </c>
      <c r="E8039" s="487" t="s">
        <v>15001</v>
      </c>
      <c r="F8039" s="490">
        <v>0</v>
      </c>
      <c r="G8039" s="489">
        <v>58.1</v>
      </c>
      <c r="H8039" s="489">
        <v>0</v>
      </c>
      <c r="I8039" s="487" t="s">
        <v>1593</v>
      </c>
      <c r="J8039" s="487" t="s">
        <v>1376</v>
      </c>
    </row>
    <row r="8040" spans="1:10" ht="15" x14ac:dyDescent="0.2">
      <c r="A8040" s="486" t="s">
        <v>1375</v>
      </c>
      <c r="B8040" s="487" t="s">
        <v>1374</v>
      </c>
      <c r="C8040" s="488" t="s">
        <v>25128</v>
      </c>
      <c r="D8040" s="489" t="s">
        <v>25129</v>
      </c>
      <c r="E8040" s="487" t="s">
        <v>25130</v>
      </c>
      <c r="F8040" s="490">
        <v>2297745</v>
      </c>
      <c r="G8040" s="489">
        <v>11298.35</v>
      </c>
      <c r="H8040" s="489">
        <v>203.36995999999999</v>
      </c>
      <c r="I8040" s="487" t="s">
        <v>1499</v>
      </c>
      <c r="J8040" s="487" t="s">
        <v>1376</v>
      </c>
    </row>
    <row r="8041" spans="1:10" ht="15" x14ac:dyDescent="0.2">
      <c r="A8041" s="486" t="s">
        <v>1375</v>
      </c>
      <c r="B8041" s="487" t="s">
        <v>1374</v>
      </c>
      <c r="C8041" s="488" t="s">
        <v>25131</v>
      </c>
      <c r="D8041" s="489" t="s">
        <v>25132</v>
      </c>
      <c r="E8041" s="487" t="s">
        <v>25133</v>
      </c>
      <c r="F8041" s="490">
        <v>149000</v>
      </c>
      <c r="G8041" s="489">
        <v>1824.21</v>
      </c>
      <c r="H8041" s="489">
        <v>81.679190000000006</v>
      </c>
      <c r="I8041" s="487" t="s">
        <v>1499</v>
      </c>
      <c r="J8041" s="487" t="s">
        <v>1376</v>
      </c>
    </row>
    <row r="8042" spans="1:10" ht="15" x14ac:dyDescent="0.2">
      <c r="A8042" s="486" t="s">
        <v>1375</v>
      </c>
      <c r="B8042" s="487" t="s">
        <v>1374</v>
      </c>
      <c r="C8042" s="488" t="s">
        <v>25134</v>
      </c>
      <c r="D8042" s="489" t="s">
        <v>25135</v>
      </c>
      <c r="E8042" s="487" t="s">
        <v>2059</v>
      </c>
      <c r="F8042" s="490">
        <v>16810</v>
      </c>
      <c r="G8042" s="489">
        <v>306.79000000000002</v>
      </c>
      <c r="H8042" s="489">
        <v>54.79318</v>
      </c>
      <c r="I8042" s="487" t="s">
        <v>1499</v>
      </c>
      <c r="J8042" s="487" t="s">
        <v>1376</v>
      </c>
    </row>
    <row r="8043" spans="1:10" ht="15" x14ac:dyDescent="0.2">
      <c r="A8043" s="486" t="s">
        <v>1375</v>
      </c>
      <c r="B8043" s="487" t="s">
        <v>1374</v>
      </c>
      <c r="C8043" s="488" t="s">
        <v>25136</v>
      </c>
      <c r="D8043" s="489" t="s">
        <v>25137</v>
      </c>
      <c r="E8043" s="487" t="s">
        <v>25138</v>
      </c>
      <c r="F8043" s="490">
        <v>0</v>
      </c>
      <c r="G8043" s="489">
        <v>52.02</v>
      </c>
      <c r="H8043" s="489">
        <v>0</v>
      </c>
      <c r="I8043" s="487" t="s">
        <v>1593</v>
      </c>
      <c r="J8043" s="487" t="s">
        <v>1376</v>
      </c>
    </row>
    <row r="8044" spans="1:10" ht="15" x14ac:dyDescent="0.2">
      <c r="A8044" s="486" t="s">
        <v>1375</v>
      </c>
      <c r="B8044" s="487" t="s">
        <v>1374</v>
      </c>
      <c r="C8044" s="488" t="s">
        <v>25139</v>
      </c>
      <c r="D8044" s="489" t="s">
        <v>25140</v>
      </c>
      <c r="E8044" s="487" t="s">
        <v>25141</v>
      </c>
      <c r="F8044" s="490">
        <v>38267</v>
      </c>
      <c r="G8044" s="489">
        <v>382.87</v>
      </c>
      <c r="H8044" s="489">
        <v>99.947760000000002</v>
      </c>
      <c r="I8044" s="487" t="s">
        <v>1499</v>
      </c>
      <c r="J8044" s="487" t="s">
        <v>1376</v>
      </c>
    </row>
    <row r="8045" spans="1:10" ht="15" x14ac:dyDescent="0.2">
      <c r="A8045" s="486" t="s">
        <v>1375</v>
      </c>
      <c r="B8045" s="487" t="s">
        <v>1374</v>
      </c>
      <c r="C8045" s="488" t="s">
        <v>25142</v>
      </c>
      <c r="D8045" s="489" t="s">
        <v>25143</v>
      </c>
      <c r="E8045" s="487" t="s">
        <v>25144</v>
      </c>
      <c r="F8045" s="490">
        <v>26250</v>
      </c>
      <c r="G8045" s="489">
        <v>486.59</v>
      </c>
      <c r="H8045" s="489">
        <v>53.946849999999998</v>
      </c>
      <c r="I8045" s="487" t="s">
        <v>1499</v>
      </c>
      <c r="J8045" s="487" t="s">
        <v>1376</v>
      </c>
    </row>
    <row r="8046" spans="1:10" ht="15" x14ac:dyDescent="0.2">
      <c r="A8046" s="486" t="s">
        <v>1287</v>
      </c>
      <c r="B8046" s="487" t="s">
        <v>1286</v>
      </c>
      <c r="C8046" s="488" t="s">
        <v>25145</v>
      </c>
      <c r="D8046" s="489" t="s">
        <v>25146</v>
      </c>
      <c r="E8046" s="487" t="s">
        <v>25147</v>
      </c>
      <c r="F8046" s="490">
        <v>7000</v>
      </c>
      <c r="G8046" s="489">
        <v>291.60000000000002</v>
      </c>
      <c r="H8046" s="489">
        <v>24.005490000000002</v>
      </c>
      <c r="I8046" s="487" t="s">
        <v>1499</v>
      </c>
      <c r="J8046" s="487" t="s">
        <v>1288</v>
      </c>
    </row>
    <row r="8047" spans="1:10" ht="15" x14ac:dyDescent="0.2">
      <c r="A8047" s="486" t="s">
        <v>1287</v>
      </c>
      <c r="B8047" s="487" t="s">
        <v>1286</v>
      </c>
      <c r="C8047" s="488" t="s">
        <v>25148</v>
      </c>
      <c r="D8047" s="489" t="s">
        <v>25149</v>
      </c>
      <c r="E8047" s="487" t="s">
        <v>25150</v>
      </c>
      <c r="F8047" s="490">
        <v>12600</v>
      </c>
      <c r="G8047" s="489">
        <v>326.10000000000002</v>
      </c>
      <c r="H8047" s="489">
        <v>38.638449999999999</v>
      </c>
      <c r="I8047" s="487" t="s">
        <v>1499</v>
      </c>
      <c r="J8047" s="487" t="s">
        <v>1288</v>
      </c>
    </row>
    <row r="8048" spans="1:10" ht="15" x14ac:dyDescent="0.2">
      <c r="A8048" s="486" t="s">
        <v>1287</v>
      </c>
      <c r="B8048" s="487" t="s">
        <v>1286</v>
      </c>
      <c r="C8048" s="488" t="s">
        <v>25151</v>
      </c>
      <c r="D8048" s="489" t="s">
        <v>25152</v>
      </c>
      <c r="E8048" s="487" t="s">
        <v>25153</v>
      </c>
      <c r="F8048" s="490">
        <v>32320</v>
      </c>
      <c r="G8048" s="489">
        <v>525.79999999999995</v>
      </c>
      <c r="H8048" s="489">
        <v>61.468240000000002</v>
      </c>
      <c r="I8048" s="487" t="s">
        <v>1499</v>
      </c>
      <c r="J8048" s="487" t="s">
        <v>1288</v>
      </c>
    </row>
    <row r="8049" spans="1:10" ht="15" x14ac:dyDescent="0.2">
      <c r="A8049" s="486" t="s">
        <v>1287</v>
      </c>
      <c r="B8049" s="487" t="s">
        <v>1286</v>
      </c>
      <c r="C8049" s="488" t="s">
        <v>25154</v>
      </c>
      <c r="D8049" s="489" t="s">
        <v>25155</v>
      </c>
      <c r="E8049" s="487" t="s">
        <v>25156</v>
      </c>
      <c r="F8049" s="490">
        <v>82600</v>
      </c>
      <c r="G8049" s="489">
        <v>2843.4</v>
      </c>
      <c r="H8049" s="489">
        <v>29.04973</v>
      </c>
      <c r="I8049" s="487" t="s">
        <v>1499</v>
      </c>
      <c r="J8049" s="487" t="s">
        <v>1288</v>
      </c>
    </row>
    <row r="8050" spans="1:10" ht="15" x14ac:dyDescent="0.2">
      <c r="A8050" s="486" t="s">
        <v>1287</v>
      </c>
      <c r="B8050" s="487" t="s">
        <v>1286</v>
      </c>
      <c r="C8050" s="488" t="s">
        <v>25157</v>
      </c>
      <c r="D8050" s="489" t="s">
        <v>25158</v>
      </c>
      <c r="E8050" s="487" t="s">
        <v>25159</v>
      </c>
      <c r="F8050" s="490">
        <v>28980</v>
      </c>
      <c r="G8050" s="489">
        <v>567.70000000000005</v>
      </c>
      <c r="H8050" s="489">
        <v>51.048090000000002</v>
      </c>
      <c r="I8050" s="487" t="s">
        <v>1499</v>
      </c>
      <c r="J8050" s="487" t="s">
        <v>1288</v>
      </c>
    </row>
    <row r="8051" spans="1:10" ht="15" x14ac:dyDescent="0.2">
      <c r="A8051" s="486" t="s">
        <v>1287</v>
      </c>
      <c r="B8051" s="487" t="s">
        <v>1286</v>
      </c>
      <c r="C8051" s="488" t="s">
        <v>25160</v>
      </c>
      <c r="D8051" s="489" t="s">
        <v>25161</v>
      </c>
      <c r="E8051" s="487" t="s">
        <v>25162</v>
      </c>
      <c r="F8051" s="490">
        <v>49900</v>
      </c>
      <c r="G8051" s="489">
        <v>675.8</v>
      </c>
      <c r="H8051" s="489">
        <v>73.838409999999996</v>
      </c>
      <c r="I8051" s="487" t="s">
        <v>1499</v>
      </c>
      <c r="J8051" s="487" t="s">
        <v>1288</v>
      </c>
    </row>
    <row r="8052" spans="1:10" ht="15" x14ac:dyDescent="0.2">
      <c r="A8052" s="486" t="s">
        <v>1287</v>
      </c>
      <c r="B8052" s="487" t="s">
        <v>1286</v>
      </c>
      <c r="C8052" s="488" t="s">
        <v>25163</v>
      </c>
      <c r="D8052" s="489" t="s">
        <v>25164</v>
      </c>
      <c r="E8052" s="487" t="s">
        <v>25165</v>
      </c>
      <c r="F8052" s="490">
        <v>0</v>
      </c>
      <c r="G8052" s="489">
        <v>39.1</v>
      </c>
      <c r="H8052" s="489">
        <v>0</v>
      </c>
      <c r="I8052" s="487" t="s">
        <v>1593</v>
      </c>
      <c r="J8052" s="487" t="s">
        <v>1288</v>
      </c>
    </row>
    <row r="8053" spans="1:10" ht="15" x14ac:dyDescent="0.2">
      <c r="A8053" s="486" t="s">
        <v>1287</v>
      </c>
      <c r="B8053" s="487" t="s">
        <v>1286</v>
      </c>
      <c r="C8053" s="488" t="s">
        <v>25166</v>
      </c>
      <c r="D8053" s="489" t="s">
        <v>25167</v>
      </c>
      <c r="E8053" s="487" t="s">
        <v>25168</v>
      </c>
      <c r="F8053" s="490">
        <v>935100</v>
      </c>
      <c r="G8053" s="489">
        <v>2949.8</v>
      </c>
      <c r="H8053" s="489">
        <v>317.00454000000002</v>
      </c>
      <c r="I8053" s="487" t="s">
        <v>1499</v>
      </c>
      <c r="J8053" s="487" t="s">
        <v>1288</v>
      </c>
    </row>
    <row r="8054" spans="1:10" ht="15" x14ac:dyDescent="0.2">
      <c r="A8054" s="486" t="s">
        <v>1287</v>
      </c>
      <c r="B8054" s="487" t="s">
        <v>1286</v>
      </c>
      <c r="C8054" s="488" t="s">
        <v>25169</v>
      </c>
      <c r="D8054" s="489" t="s">
        <v>25170</v>
      </c>
      <c r="E8054" s="487" t="s">
        <v>25171</v>
      </c>
      <c r="F8054" s="490">
        <v>580820</v>
      </c>
      <c r="G8054" s="489">
        <v>4670.8999999999996</v>
      </c>
      <c r="H8054" s="489">
        <v>124.34863</v>
      </c>
      <c r="I8054" s="487" t="s">
        <v>1499</v>
      </c>
      <c r="J8054" s="487" t="s">
        <v>1288</v>
      </c>
    </row>
    <row r="8055" spans="1:10" ht="15" x14ac:dyDescent="0.2">
      <c r="A8055" s="486" t="s">
        <v>1287</v>
      </c>
      <c r="B8055" s="487" t="s">
        <v>1286</v>
      </c>
      <c r="C8055" s="488" t="s">
        <v>25172</v>
      </c>
      <c r="D8055" s="489" t="s">
        <v>25173</v>
      </c>
      <c r="E8055" s="487" t="s">
        <v>25174</v>
      </c>
      <c r="F8055" s="490">
        <v>285504</v>
      </c>
      <c r="G8055" s="489">
        <v>1541.6</v>
      </c>
      <c r="H8055" s="489">
        <v>185.19979000000001</v>
      </c>
      <c r="I8055" s="487" t="s">
        <v>1499</v>
      </c>
      <c r="J8055" s="487" t="s">
        <v>1288</v>
      </c>
    </row>
    <row r="8056" spans="1:10" ht="15" x14ac:dyDescent="0.2">
      <c r="A8056" s="486" t="s">
        <v>1287</v>
      </c>
      <c r="B8056" s="487" t="s">
        <v>1286</v>
      </c>
      <c r="C8056" s="488" t="s">
        <v>25175</v>
      </c>
      <c r="D8056" s="489" t="s">
        <v>25176</v>
      </c>
      <c r="E8056" s="487" t="s">
        <v>25177</v>
      </c>
      <c r="F8056" s="490">
        <v>235700</v>
      </c>
      <c r="G8056" s="489">
        <v>1494.6</v>
      </c>
      <c r="H8056" s="489">
        <v>157.70106000000001</v>
      </c>
      <c r="I8056" s="487" t="s">
        <v>1499</v>
      </c>
      <c r="J8056" s="487" t="s">
        <v>1288</v>
      </c>
    </row>
    <row r="8057" spans="1:10" ht="15" x14ac:dyDescent="0.2">
      <c r="A8057" s="486" t="s">
        <v>1287</v>
      </c>
      <c r="B8057" s="487" t="s">
        <v>1286</v>
      </c>
      <c r="C8057" s="488" t="s">
        <v>25178</v>
      </c>
      <c r="D8057" s="489" t="s">
        <v>25179</v>
      </c>
      <c r="E8057" s="487" t="s">
        <v>25180</v>
      </c>
      <c r="F8057" s="490">
        <v>2790</v>
      </c>
      <c r="G8057" s="489">
        <v>83.7</v>
      </c>
      <c r="H8057" s="489">
        <v>33.333329999999997</v>
      </c>
      <c r="I8057" s="487" t="s">
        <v>1499</v>
      </c>
      <c r="J8057" s="487" t="s">
        <v>1288</v>
      </c>
    </row>
    <row r="8058" spans="1:10" ht="15" x14ac:dyDescent="0.2">
      <c r="A8058" s="486" t="s">
        <v>1287</v>
      </c>
      <c r="B8058" s="487" t="s">
        <v>1286</v>
      </c>
      <c r="C8058" s="488" t="s">
        <v>25181</v>
      </c>
      <c r="D8058" s="489" t="s">
        <v>25182</v>
      </c>
      <c r="E8058" s="487" t="s">
        <v>25183</v>
      </c>
      <c r="F8058" s="490">
        <v>449586</v>
      </c>
      <c r="G8058" s="489">
        <v>4141.5</v>
      </c>
      <c r="H8058" s="489">
        <v>108.55632</v>
      </c>
      <c r="I8058" s="487" t="s">
        <v>1499</v>
      </c>
      <c r="J8058" s="487" t="s">
        <v>1288</v>
      </c>
    </row>
    <row r="8059" spans="1:10" ht="15" x14ac:dyDescent="0.2">
      <c r="A8059" s="486" t="s">
        <v>1287</v>
      </c>
      <c r="B8059" s="487" t="s">
        <v>1286</v>
      </c>
      <c r="C8059" s="488" t="s">
        <v>25184</v>
      </c>
      <c r="D8059" s="489" t="s">
        <v>25185</v>
      </c>
      <c r="E8059" s="487" t="s">
        <v>25186</v>
      </c>
      <c r="F8059" s="490">
        <v>19663</v>
      </c>
      <c r="G8059" s="489">
        <v>246.7</v>
      </c>
      <c r="H8059" s="489">
        <v>79.704089999999994</v>
      </c>
      <c r="I8059" s="487" t="s">
        <v>1499</v>
      </c>
      <c r="J8059" s="487" t="s">
        <v>1288</v>
      </c>
    </row>
    <row r="8060" spans="1:10" ht="15" x14ac:dyDescent="0.2">
      <c r="A8060" s="486" t="s">
        <v>1287</v>
      </c>
      <c r="B8060" s="487" t="s">
        <v>1286</v>
      </c>
      <c r="C8060" s="488" t="s">
        <v>25187</v>
      </c>
      <c r="D8060" s="489" t="s">
        <v>25188</v>
      </c>
      <c r="E8060" s="487" t="s">
        <v>25189</v>
      </c>
      <c r="F8060" s="490">
        <v>738691</v>
      </c>
      <c r="G8060" s="489">
        <v>4498.5</v>
      </c>
      <c r="H8060" s="489">
        <v>164.20829000000001</v>
      </c>
      <c r="I8060" s="487" t="s">
        <v>1499</v>
      </c>
      <c r="J8060" s="487" t="s">
        <v>1288</v>
      </c>
    </row>
    <row r="8061" spans="1:10" ht="15" x14ac:dyDescent="0.2">
      <c r="A8061" s="486" t="s">
        <v>1287</v>
      </c>
      <c r="B8061" s="487" t="s">
        <v>1286</v>
      </c>
      <c r="C8061" s="488" t="s">
        <v>25190</v>
      </c>
      <c r="D8061" s="489" t="s">
        <v>25191</v>
      </c>
      <c r="E8061" s="487" t="s">
        <v>10737</v>
      </c>
      <c r="F8061" s="490">
        <v>658500</v>
      </c>
      <c r="G8061" s="489">
        <v>4446</v>
      </c>
      <c r="H8061" s="489">
        <v>148.11066</v>
      </c>
      <c r="I8061" s="487" t="s">
        <v>1499</v>
      </c>
      <c r="J8061" s="487" t="s">
        <v>1288</v>
      </c>
    </row>
    <row r="8062" spans="1:10" ht="15" x14ac:dyDescent="0.2">
      <c r="A8062" s="486" t="s">
        <v>1287</v>
      </c>
      <c r="B8062" s="487" t="s">
        <v>1286</v>
      </c>
      <c r="C8062" s="488" t="s">
        <v>25192</v>
      </c>
      <c r="D8062" s="489" t="s">
        <v>25193</v>
      </c>
      <c r="E8062" s="487" t="s">
        <v>25194</v>
      </c>
      <c r="F8062" s="490">
        <v>709830</v>
      </c>
      <c r="G8062" s="489">
        <v>2528.4</v>
      </c>
      <c r="H8062" s="489">
        <v>280.74275999999998</v>
      </c>
      <c r="I8062" s="487" t="s">
        <v>1499</v>
      </c>
      <c r="J8062" s="487" t="s">
        <v>1288</v>
      </c>
    </row>
    <row r="8063" spans="1:10" ht="15" x14ac:dyDescent="0.2">
      <c r="A8063" s="486" t="s">
        <v>1287</v>
      </c>
      <c r="B8063" s="487" t="s">
        <v>1286</v>
      </c>
      <c r="C8063" s="488" t="s">
        <v>25195</v>
      </c>
      <c r="D8063" s="489" t="s">
        <v>25196</v>
      </c>
      <c r="E8063" s="487" t="s">
        <v>25197</v>
      </c>
      <c r="F8063" s="490">
        <v>1500</v>
      </c>
      <c r="G8063" s="489">
        <v>124.7</v>
      </c>
      <c r="H8063" s="489">
        <v>12.02887</v>
      </c>
      <c r="I8063" s="487" t="s">
        <v>1499</v>
      </c>
      <c r="J8063" s="487" t="s">
        <v>1288</v>
      </c>
    </row>
    <row r="8064" spans="1:10" ht="15" x14ac:dyDescent="0.2">
      <c r="A8064" s="486" t="s">
        <v>1287</v>
      </c>
      <c r="B8064" s="487" t="s">
        <v>1286</v>
      </c>
      <c r="C8064" s="488" t="s">
        <v>25198</v>
      </c>
      <c r="D8064" s="489" t="s">
        <v>25199</v>
      </c>
      <c r="E8064" s="487" t="s">
        <v>25200</v>
      </c>
      <c r="F8064" s="490">
        <v>28580</v>
      </c>
      <c r="G8064" s="489">
        <v>389.3</v>
      </c>
      <c r="H8064" s="489">
        <v>73.413820000000001</v>
      </c>
      <c r="I8064" s="487" t="s">
        <v>1499</v>
      </c>
      <c r="J8064" s="487" t="s">
        <v>1288</v>
      </c>
    </row>
    <row r="8065" spans="1:10" ht="15" x14ac:dyDescent="0.2">
      <c r="A8065" s="486" t="s">
        <v>1287</v>
      </c>
      <c r="B8065" s="487" t="s">
        <v>1286</v>
      </c>
      <c r="C8065" s="488" t="s">
        <v>25201</v>
      </c>
      <c r="D8065" s="489" t="s">
        <v>25202</v>
      </c>
      <c r="E8065" s="487" t="s">
        <v>25203</v>
      </c>
      <c r="F8065" s="490">
        <v>272690</v>
      </c>
      <c r="G8065" s="489">
        <v>4897.3</v>
      </c>
      <c r="H8065" s="489">
        <v>55.681699999999999</v>
      </c>
      <c r="I8065" s="487" t="s">
        <v>1499</v>
      </c>
      <c r="J8065" s="487" t="s">
        <v>1288</v>
      </c>
    </row>
    <row r="8066" spans="1:10" ht="15" x14ac:dyDescent="0.2">
      <c r="A8066" s="486" t="s">
        <v>1287</v>
      </c>
      <c r="B8066" s="487" t="s">
        <v>1286</v>
      </c>
      <c r="C8066" s="488" t="s">
        <v>25204</v>
      </c>
      <c r="D8066" s="489" t="s">
        <v>25205</v>
      </c>
      <c r="E8066" s="487" t="s">
        <v>25206</v>
      </c>
      <c r="F8066" s="490">
        <v>373843</v>
      </c>
      <c r="G8066" s="489">
        <v>2409.6</v>
      </c>
      <c r="H8066" s="489">
        <v>155.14733000000001</v>
      </c>
      <c r="I8066" s="487" t="s">
        <v>1499</v>
      </c>
      <c r="J8066" s="487" t="s">
        <v>1288</v>
      </c>
    </row>
    <row r="8067" spans="1:10" ht="15" x14ac:dyDescent="0.2">
      <c r="A8067" s="486" t="s">
        <v>1287</v>
      </c>
      <c r="B8067" s="487" t="s">
        <v>1286</v>
      </c>
      <c r="C8067" s="488" t="s">
        <v>25207</v>
      </c>
      <c r="D8067" s="489" t="s">
        <v>25208</v>
      </c>
      <c r="E8067" s="487" t="s">
        <v>25209</v>
      </c>
      <c r="F8067" s="490">
        <v>102502</v>
      </c>
      <c r="G8067" s="489">
        <v>1603.8</v>
      </c>
      <c r="H8067" s="489">
        <v>63.911960000000001</v>
      </c>
      <c r="I8067" s="487" t="s">
        <v>1499</v>
      </c>
      <c r="J8067" s="487" t="s">
        <v>1288</v>
      </c>
    </row>
    <row r="8068" spans="1:10" ht="15" x14ac:dyDescent="0.2">
      <c r="A8068" s="486" t="s">
        <v>1287</v>
      </c>
      <c r="B8068" s="487" t="s">
        <v>1286</v>
      </c>
      <c r="C8068" s="488" t="s">
        <v>25210</v>
      </c>
      <c r="D8068" s="489" t="s">
        <v>25211</v>
      </c>
      <c r="E8068" s="487" t="s">
        <v>25212</v>
      </c>
      <c r="F8068" s="490">
        <v>6894</v>
      </c>
      <c r="G8068" s="489">
        <v>451.2</v>
      </c>
      <c r="H8068" s="489">
        <v>15.279260000000001</v>
      </c>
      <c r="I8068" s="487" t="s">
        <v>1499</v>
      </c>
      <c r="J8068" s="487" t="s">
        <v>1288</v>
      </c>
    </row>
    <row r="8069" spans="1:10" ht="15" x14ac:dyDescent="0.2">
      <c r="A8069" s="486" t="s">
        <v>1287</v>
      </c>
      <c r="B8069" s="487" t="s">
        <v>1286</v>
      </c>
      <c r="C8069" s="488" t="s">
        <v>25213</v>
      </c>
      <c r="D8069" s="489" t="s">
        <v>25214</v>
      </c>
      <c r="E8069" s="487" t="s">
        <v>25215</v>
      </c>
      <c r="F8069" s="490">
        <v>34370</v>
      </c>
      <c r="G8069" s="489">
        <v>569.70000000000005</v>
      </c>
      <c r="H8069" s="489">
        <v>60.33</v>
      </c>
      <c r="I8069" s="487" t="s">
        <v>1499</v>
      </c>
      <c r="J8069" s="487" t="s">
        <v>1288</v>
      </c>
    </row>
    <row r="8070" spans="1:10" ht="15" x14ac:dyDescent="0.2">
      <c r="A8070" s="486" t="s">
        <v>1287</v>
      </c>
      <c r="B8070" s="487" t="s">
        <v>1286</v>
      </c>
      <c r="C8070" s="488" t="s">
        <v>25216</v>
      </c>
      <c r="D8070" s="489" t="s">
        <v>25217</v>
      </c>
      <c r="E8070" s="487" t="s">
        <v>13005</v>
      </c>
      <c r="F8070" s="490">
        <v>801747</v>
      </c>
      <c r="G8070" s="489">
        <v>7365.9</v>
      </c>
      <c r="H8070" s="489">
        <v>108.84576</v>
      </c>
      <c r="I8070" s="487" t="s">
        <v>1499</v>
      </c>
      <c r="J8070" s="487" t="s">
        <v>1288</v>
      </c>
    </row>
    <row r="8071" spans="1:10" ht="15" x14ac:dyDescent="0.2">
      <c r="A8071" s="486" t="s">
        <v>1287</v>
      </c>
      <c r="B8071" s="487" t="s">
        <v>1286</v>
      </c>
      <c r="C8071" s="488" t="s">
        <v>25218</v>
      </c>
      <c r="D8071" s="489" t="s">
        <v>25219</v>
      </c>
      <c r="E8071" s="487" t="s">
        <v>25220</v>
      </c>
      <c r="F8071" s="490">
        <v>112000</v>
      </c>
      <c r="G8071" s="489">
        <v>2041</v>
      </c>
      <c r="H8071" s="489">
        <v>54.875059999999998</v>
      </c>
      <c r="I8071" s="487" t="s">
        <v>1499</v>
      </c>
      <c r="J8071" s="487" t="s">
        <v>1288</v>
      </c>
    </row>
    <row r="8072" spans="1:10" ht="15" x14ac:dyDescent="0.2">
      <c r="A8072" s="486" t="s">
        <v>1287</v>
      </c>
      <c r="B8072" s="487" t="s">
        <v>1286</v>
      </c>
      <c r="C8072" s="488" t="s">
        <v>25221</v>
      </c>
      <c r="D8072" s="489" t="s">
        <v>25222</v>
      </c>
      <c r="E8072" s="487" t="s">
        <v>25223</v>
      </c>
      <c r="F8072" s="490">
        <v>149095</v>
      </c>
      <c r="G8072" s="489">
        <v>1627.5</v>
      </c>
      <c r="H8072" s="489">
        <v>91.609830000000002</v>
      </c>
      <c r="I8072" s="487" t="s">
        <v>1499</v>
      </c>
      <c r="J8072" s="487" t="s">
        <v>1288</v>
      </c>
    </row>
    <row r="8073" spans="1:10" ht="15" x14ac:dyDescent="0.2">
      <c r="A8073" s="486" t="s">
        <v>1287</v>
      </c>
      <c r="B8073" s="487" t="s">
        <v>1286</v>
      </c>
      <c r="C8073" s="488" t="s">
        <v>25224</v>
      </c>
      <c r="D8073" s="489" t="s">
        <v>25225</v>
      </c>
      <c r="E8073" s="487" t="s">
        <v>25226</v>
      </c>
      <c r="F8073" s="490">
        <v>288155</v>
      </c>
      <c r="G8073" s="489">
        <v>4237.7</v>
      </c>
      <c r="H8073" s="489">
        <v>67.997969999999995</v>
      </c>
      <c r="I8073" s="487" t="s">
        <v>1499</v>
      </c>
      <c r="J8073" s="487" t="s">
        <v>1288</v>
      </c>
    </row>
    <row r="8074" spans="1:10" ht="15" x14ac:dyDescent="0.2">
      <c r="A8074" s="486" t="s">
        <v>1287</v>
      </c>
      <c r="B8074" s="487" t="s">
        <v>1286</v>
      </c>
      <c r="C8074" s="488" t="s">
        <v>25227</v>
      </c>
      <c r="D8074" s="489" t="s">
        <v>25228</v>
      </c>
      <c r="E8074" s="487" t="s">
        <v>25229</v>
      </c>
      <c r="F8074" s="490">
        <v>70000</v>
      </c>
      <c r="G8074" s="489">
        <v>575.79999999999995</v>
      </c>
      <c r="H8074" s="489">
        <v>121.56999</v>
      </c>
      <c r="I8074" s="487" t="s">
        <v>1499</v>
      </c>
      <c r="J8074" s="487" t="s">
        <v>1288</v>
      </c>
    </row>
    <row r="8075" spans="1:10" ht="15" x14ac:dyDescent="0.2">
      <c r="A8075" s="486" t="s">
        <v>1169</v>
      </c>
      <c r="B8075" s="487" t="s">
        <v>430</v>
      </c>
      <c r="C8075" s="488" t="s">
        <v>25230</v>
      </c>
      <c r="D8075" s="489" t="s">
        <v>25231</v>
      </c>
      <c r="E8075" s="487" t="s">
        <v>25232</v>
      </c>
      <c r="F8075" s="490">
        <v>0</v>
      </c>
      <c r="G8075" s="489">
        <v>120.38</v>
      </c>
      <c r="H8075" s="489">
        <v>0</v>
      </c>
      <c r="I8075" s="487" t="s">
        <v>1593</v>
      </c>
      <c r="J8075" s="487" t="s">
        <v>1170</v>
      </c>
    </row>
    <row r="8076" spans="1:10" ht="15" x14ac:dyDescent="0.2">
      <c r="A8076" s="486" t="s">
        <v>1169</v>
      </c>
      <c r="B8076" s="487" t="s">
        <v>430</v>
      </c>
      <c r="C8076" s="488" t="s">
        <v>25233</v>
      </c>
      <c r="D8076" s="489" t="s">
        <v>25234</v>
      </c>
      <c r="E8076" s="487" t="s">
        <v>25235</v>
      </c>
      <c r="F8076" s="490">
        <v>7240</v>
      </c>
      <c r="G8076" s="489">
        <v>275.42</v>
      </c>
      <c r="H8076" s="489">
        <v>26.287130000000001</v>
      </c>
      <c r="I8076" s="487" t="s">
        <v>1499</v>
      </c>
      <c r="J8076" s="487" t="s">
        <v>1170</v>
      </c>
    </row>
    <row r="8077" spans="1:10" ht="15" x14ac:dyDescent="0.2">
      <c r="A8077" s="486" t="s">
        <v>1169</v>
      </c>
      <c r="B8077" s="487" t="s">
        <v>430</v>
      </c>
      <c r="C8077" s="488" t="s">
        <v>25236</v>
      </c>
      <c r="D8077" s="489" t="s">
        <v>25237</v>
      </c>
      <c r="E8077" s="487" t="s">
        <v>25238</v>
      </c>
      <c r="F8077" s="490">
        <v>0</v>
      </c>
      <c r="G8077" s="489">
        <v>0</v>
      </c>
      <c r="H8077" s="489">
        <v>0</v>
      </c>
      <c r="I8077" s="487" t="s">
        <v>2465</v>
      </c>
      <c r="J8077" s="487" t="s">
        <v>1170</v>
      </c>
    </row>
    <row r="8078" spans="1:10" ht="15" x14ac:dyDescent="0.2">
      <c r="A8078" s="486" t="s">
        <v>1169</v>
      </c>
      <c r="B8078" s="487" t="s">
        <v>430</v>
      </c>
      <c r="C8078" s="488" t="s">
        <v>25239</v>
      </c>
      <c r="D8078" s="489" t="s">
        <v>25240</v>
      </c>
      <c r="E8078" s="487" t="s">
        <v>25241</v>
      </c>
      <c r="F8078" s="490">
        <v>600</v>
      </c>
      <c r="G8078" s="489">
        <v>43.19</v>
      </c>
      <c r="H8078" s="489">
        <v>13.892099999999999</v>
      </c>
      <c r="I8078" s="487" t="s">
        <v>1499</v>
      </c>
      <c r="J8078" s="487" t="s">
        <v>1170</v>
      </c>
    </row>
    <row r="8079" spans="1:10" ht="15" x14ac:dyDescent="0.2">
      <c r="A8079" s="486" t="s">
        <v>1169</v>
      </c>
      <c r="B8079" s="487" t="s">
        <v>430</v>
      </c>
      <c r="C8079" s="488" t="s">
        <v>25242</v>
      </c>
      <c r="D8079" s="489" t="s">
        <v>25243</v>
      </c>
      <c r="E8079" s="487" t="s">
        <v>25244</v>
      </c>
      <c r="F8079" s="490">
        <v>15449</v>
      </c>
      <c r="G8079" s="489">
        <v>199.68</v>
      </c>
      <c r="H8079" s="489">
        <v>77.368790000000004</v>
      </c>
      <c r="I8079" s="487" t="s">
        <v>1499</v>
      </c>
      <c r="J8079" s="487" t="s">
        <v>1170</v>
      </c>
    </row>
    <row r="8080" spans="1:10" ht="15" x14ac:dyDescent="0.2">
      <c r="A8080" s="486" t="s">
        <v>1169</v>
      </c>
      <c r="B8080" s="487" t="s">
        <v>430</v>
      </c>
      <c r="C8080" s="488" t="s">
        <v>25245</v>
      </c>
      <c r="D8080" s="489" t="s">
        <v>25246</v>
      </c>
      <c r="E8080" s="487" t="s">
        <v>25247</v>
      </c>
      <c r="F8080" s="490">
        <v>15400</v>
      </c>
      <c r="G8080" s="489">
        <v>423.53</v>
      </c>
      <c r="H8080" s="489">
        <v>36.361060000000002</v>
      </c>
      <c r="I8080" s="487" t="s">
        <v>1499</v>
      </c>
      <c r="J8080" s="487" t="s">
        <v>1170</v>
      </c>
    </row>
    <row r="8081" spans="1:10" ht="15" x14ac:dyDescent="0.2">
      <c r="A8081" s="486" t="s">
        <v>1169</v>
      </c>
      <c r="B8081" s="487" t="s">
        <v>430</v>
      </c>
      <c r="C8081" s="488" t="s">
        <v>25248</v>
      </c>
      <c r="D8081" s="489" t="s">
        <v>25249</v>
      </c>
      <c r="E8081" s="487" t="s">
        <v>25250</v>
      </c>
      <c r="F8081" s="490">
        <v>7250</v>
      </c>
      <c r="G8081" s="489">
        <v>186.43</v>
      </c>
      <c r="H8081" s="489">
        <v>38.888590000000001</v>
      </c>
      <c r="I8081" s="487" t="s">
        <v>1499</v>
      </c>
      <c r="J8081" s="487" t="s">
        <v>1170</v>
      </c>
    </row>
    <row r="8082" spans="1:10" ht="15" x14ac:dyDescent="0.2">
      <c r="A8082" s="486" t="s">
        <v>1169</v>
      </c>
      <c r="B8082" s="487" t="s">
        <v>430</v>
      </c>
      <c r="C8082" s="488" t="s">
        <v>25251</v>
      </c>
      <c r="D8082" s="489" t="s">
        <v>25252</v>
      </c>
      <c r="E8082" s="487" t="s">
        <v>25253</v>
      </c>
      <c r="F8082" s="490">
        <v>56129</v>
      </c>
      <c r="G8082" s="489">
        <v>898.06</v>
      </c>
      <c r="H8082" s="489">
        <v>62.500279999999997</v>
      </c>
      <c r="I8082" s="487" t="s">
        <v>2465</v>
      </c>
      <c r="J8082" s="487" t="s">
        <v>1170</v>
      </c>
    </row>
    <row r="8083" spans="1:10" ht="15" x14ac:dyDescent="0.2">
      <c r="A8083" s="486" t="s">
        <v>1169</v>
      </c>
      <c r="B8083" s="487" t="s">
        <v>430</v>
      </c>
      <c r="C8083" s="488" t="s">
        <v>25254</v>
      </c>
      <c r="D8083" s="489" t="s">
        <v>25255</v>
      </c>
      <c r="E8083" s="487" t="s">
        <v>25256</v>
      </c>
      <c r="F8083" s="490">
        <v>0</v>
      </c>
      <c r="G8083" s="489">
        <v>37.61</v>
      </c>
      <c r="H8083" s="489">
        <v>0</v>
      </c>
      <c r="I8083" s="487" t="s">
        <v>1593</v>
      </c>
      <c r="J8083" s="487" t="s">
        <v>1170</v>
      </c>
    </row>
    <row r="8084" spans="1:10" ht="15" x14ac:dyDescent="0.2">
      <c r="A8084" s="486" t="s">
        <v>1169</v>
      </c>
      <c r="B8084" s="487" t="s">
        <v>430</v>
      </c>
      <c r="C8084" s="488" t="s">
        <v>25257</v>
      </c>
      <c r="D8084" s="489" t="s">
        <v>25258</v>
      </c>
      <c r="E8084" s="487" t="s">
        <v>25259</v>
      </c>
      <c r="F8084" s="490">
        <v>10000</v>
      </c>
      <c r="G8084" s="489">
        <v>196.9</v>
      </c>
      <c r="H8084" s="489">
        <v>50.787199999999999</v>
      </c>
      <c r="I8084" s="487" t="s">
        <v>1499</v>
      </c>
      <c r="J8084" s="487" t="s">
        <v>1170</v>
      </c>
    </row>
    <row r="8085" spans="1:10" ht="15" x14ac:dyDescent="0.2">
      <c r="A8085" s="486" t="s">
        <v>1169</v>
      </c>
      <c r="B8085" s="487" t="s">
        <v>430</v>
      </c>
      <c r="C8085" s="488" t="s">
        <v>25260</v>
      </c>
      <c r="D8085" s="489" t="s">
        <v>25261</v>
      </c>
      <c r="E8085" s="487" t="s">
        <v>25262</v>
      </c>
      <c r="F8085" s="490">
        <v>10155</v>
      </c>
      <c r="G8085" s="489">
        <v>214.68</v>
      </c>
      <c r="H8085" s="489">
        <v>47.302959999999999</v>
      </c>
      <c r="I8085" s="487" t="s">
        <v>1499</v>
      </c>
      <c r="J8085" s="487" t="s">
        <v>1170</v>
      </c>
    </row>
    <row r="8086" spans="1:10" ht="15" x14ac:dyDescent="0.2">
      <c r="A8086" s="486" t="s">
        <v>1169</v>
      </c>
      <c r="B8086" s="487" t="s">
        <v>430</v>
      </c>
      <c r="C8086" s="488" t="s">
        <v>25263</v>
      </c>
      <c r="D8086" s="489" t="s">
        <v>25264</v>
      </c>
      <c r="E8086" s="487" t="s">
        <v>25265</v>
      </c>
      <c r="F8086" s="490">
        <v>8000</v>
      </c>
      <c r="G8086" s="489">
        <v>260.62</v>
      </c>
      <c r="H8086" s="489">
        <v>30.69603</v>
      </c>
      <c r="I8086" s="487" t="s">
        <v>1499</v>
      </c>
      <c r="J8086" s="487" t="s">
        <v>1170</v>
      </c>
    </row>
    <row r="8087" spans="1:10" ht="15" x14ac:dyDescent="0.2">
      <c r="A8087" s="486" t="s">
        <v>1169</v>
      </c>
      <c r="B8087" s="487" t="s">
        <v>430</v>
      </c>
      <c r="C8087" s="488" t="s">
        <v>25266</v>
      </c>
      <c r="D8087" s="489" t="s">
        <v>25267</v>
      </c>
      <c r="E8087" s="487" t="s">
        <v>25268</v>
      </c>
      <c r="F8087" s="490">
        <v>8000</v>
      </c>
      <c r="G8087" s="489">
        <v>116.83</v>
      </c>
      <c r="H8087" s="489">
        <v>68.475560000000002</v>
      </c>
      <c r="I8087" s="487" t="s">
        <v>2465</v>
      </c>
      <c r="J8087" s="487" t="s">
        <v>1170</v>
      </c>
    </row>
    <row r="8088" spans="1:10" ht="15" x14ac:dyDescent="0.2">
      <c r="A8088" s="486" t="s">
        <v>1169</v>
      </c>
      <c r="B8088" s="487" t="s">
        <v>430</v>
      </c>
      <c r="C8088" s="488" t="s">
        <v>25269</v>
      </c>
      <c r="D8088" s="489" t="s">
        <v>25270</v>
      </c>
      <c r="E8088" s="487" t="s">
        <v>25271</v>
      </c>
      <c r="F8088" s="490">
        <v>0</v>
      </c>
      <c r="G8088" s="489">
        <v>0</v>
      </c>
      <c r="H8088" s="489">
        <v>0</v>
      </c>
      <c r="I8088" s="487" t="s">
        <v>2465</v>
      </c>
      <c r="J8088" s="487" t="s">
        <v>1170</v>
      </c>
    </row>
    <row r="8089" spans="1:10" ht="15" x14ac:dyDescent="0.2">
      <c r="A8089" s="486" t="s">
        <v>1169</v>
      </c>
      <c r="B8089" s="487" t="s">
        <v>430</v>
      </c>
      <c r="C8089" s="488" t="s">
        <v>25272</v>
      </c>
      <c r="D8089" s="489" t="s">
        <v>25273</v>
      </c>
      <c r="E8089" s="487" t="s">
        <v>25274</v>
      </c>
      <c r="F8089" s="490">
        <v>6006</v>
      </c>
      <c r="G8089" s="489">
        <v>97.07</v>
      </c>
      <c r="H8089" s="489">
        <v>61.872880000000002</v>
      </c>
      <c r="I8089" s="487" t="s">
        <v>1499</v>
      </c>
      <c r="J8089" s="487" t="s">
        <v>1170</v>
      </c>
    </row>
    <row r="8090" spans="1:10" ht="15" x14ac:dyDescent="0.2">
      <c r="A8090" s="486" t="s">
        <v>1169</v>
      </c>
      <c r="B8090" s="487" t="s">
        <v>430</v>
      </c>
      <c r="C8090" s="488" t="s">
        <v>25275</v>
      </c>
      <c r="D8090" s="489" t="s">
        <v>25276</v>
      </c>
      <c r="E8090" s="487" t="s">
        <v>25277</v>
      </c>
      <c r="F8090" s="490">
        <v>5060</v>
      </c>
      <c r="G8090" s="489">
        <v>59.98</v>
      </c>
      <c r="H8090" s="489">
        <v>84.361450000000005</v>
      </c>
      <c r="I8090" s="487" t="s">
        <v>1499</v>
      </c>
      <c r="J8090" s="487" t="s">
        <v>1170</v>
      </c>
    </row>
    <row r="8091" spans="1:10" ht="15" x14ac:dyDescent="0.2">
      <c r="A8091" s="486" t="s">
        <v>1169</v>
      </c>
      <c r="B8091" s="487" t="s">
        <v>430</v>
      </c>
      <c r="C8091" s="488" t="s">
        <v>25278</v>
      </c>
      <c r="D8091" s="489" t="s">
        <v>25279</v>
      </c>
      <c r="E8091" s="487" t="s">
        <v>4451</v>
      </c>
      <c r="F8091" s="490">
        <v>12826</v>
      </c>
      <c r="G8091" s="489">
        <v>276.33999999999997</v>
      </c>
      <c r="H8091" s="489">
        <v>46.41384</v>
      </c>
      <c r="I8091" s="487" t="s">
        <v>1499</v>
      </c>
      <c r="J8091" s="487" t="s">
        <v>1170</v>
      </c>
    </row>
    <row r="8092" spans="1:10" ht="15" x14ac:dyDescent="0.2">
      <c r="A8092" s="486" t="s">
        <v>1169</v>
      </c>
      <c r="B8092" s="487" t="s">
        <v>430</v>
      </c>
      <c r="C8092" s="488" t="s">
        <v>25280</v>
      </c>
      <c r="D8092" s="489" t="s">
        <v>25281</v>
      </c>
      <c r="E8092" s="487" t="s">
        <v>25282</v>
      </c>
      <c r="F8092" s="490">
        <v>57833</v>
      </c>
      <c r="G8092" s="489">
        <v>1332.37</v>
      </c>
      <c r="H8092" s="489">
        <v>43.406109999999998</v>
      </c>
      <c r="I8092" s="487" t="s">
        <v>1499</v>
      </c>
      <c r="J8092" s="487" t="s">
        <v>1170</v>
      </c>
    </row>
    <row r="8093" spans="1:10" ht="15" x14ac:dyDescent="0.2">
      <c r="A8093" s="486" t="s">
        <v>1169</v>
      </c>
      <c r="B8093" s="487" t="s">
        <v>430</v>
      </c>
      <c r="C8093" s="488" t="s">
        <v>25283</v>
      </c>
      <c r="D8093" s="489" t="s">
        <v>25284</v>
      </c>
      <c r="E8093" s="487" t="s">
        <v>25285</v>
      </c>
      <c r="F8093" s="490">
        <v>204184</v>
      </c>
      <c r="G8093" s="489">
        <v>1851.73</v>
      </c>
      <c r="H8093" s="489">
        <v>110.26662</v>
      </c>
      <c r="I8093" s="487" t="s">
        <v>1499</v>
      </c>
      <c r="J8093" s="487" t="s">
        <v>1170</v>
      </c>
    </row>
    <row r="8094" spans="1:10" ht="15" x14ac:dyDescent="0.2">
      <c r="A8094" s="486" t="s">
        <v>1169</v>
      </c>
      <c r="B8094" s="487" t="s">
        <v>430</v>
      </c>
      <c r="C8094" s="488" t="s">
        <v>25286</v>
      </c>
      <c r="D8094" s="489" t="s">
        <v>25287</v>
      </c>
      <c r="E8094" s="487" t="s">
        <v>25288</v>
      </c>
      <c r="F8094" s="490">
        <v>11000</v>
      </c>
      <c r="G8094" s="489">
        <v>152.43</v>
      </c>
      <c r="H8094" s="489">
        <v>72.164270000000002</v>
      </c>
      <c r="I8094" s="487" t="s">
        <v>1499</v>
      </c>
      <c r="J8094" s="487" t="s">
        <v>1170</v>
      </c>
    </row>
    <row r="8095" spans="1:10" ht="15" x14ac:dyDescent="0.2">
      <c r="A8095" s="486" t="s">
        <v>1169</v>
      </c>
      <c r="B8095" s="487" t="s">
        <v>430</v>
      </c>
      <c r="C8095" s="488" t="s">
        <v>25289</v>
      </c>
      <c r="D8095" s="489" t="s">
        <v>25290</v>
      </c>
      <c r="E8095" s="487" t="s">
        <v>25291</v>
      </c>
      <c r="F8095" s="490">
        <v>32416</v>
      </c>
      <c r="G8095" s="489">
        <v>347.55</v>
      </c>
      <c r="H8095" s="489">
        <v>93.270030000000006</v>
      </c>
      <c r="I8095" s="487" t="s">
        <v>2465</v>
      </c>
      <c r="J8095" s="487" t="s">
        <v>1170</v>
      </c>
    </row>
    <row r="8096" spans="1:10" ht="15" x14ac:dyDescent="0.2">
      <c r="A8096" s="486" t="s">
        <v>1169</v>
      </c>
      <c r="B8096" s="487" t="s">
        <v>430</v>
      </c>
      <c r="C8096" s="488" t="s">
        <v>25292</v>
      </c>
      <c r="D8096" s="489" t="s">
        <v>25293</v>
      </c>
      <c r="E8096" s="487" t="s">
        <v>25294</v>
      </c>
      <c r="F8096" s="490">
        <v>16375</v>
      </c>
      <c r="G8096" s="489">
        <v>480.86</v>
      </c>
      <c r="H8096" s="489">
        <v>34.053570000000001</v>
      </c>
      <c r="I8096" s="487" t="s">
        <v>1499</v>
      </c>
      <c r="J8096" s="487" t="s">
        <v>1170</v>
      </c>
    </row>
    <row r="8097" spans="1:10" ht="15" x14ac:dyDescent="0.2">
      <c r="A8097" s="486" t="s">
        <v>1169</v>
      </c>
      <c r="B8097" s="487" t="s">
        <v>430</v>
      </c>
      <c r="C8097" s="488" t="s">
        <v>25295</v>
      </c>
      <c r="D8097" s="489" t="s">
        <v>25296</v>
      </c>
      <c r="E8097" s="487" t="s">
        <v>25297</v>
      </c>
      <c r="F8097" s="490">
        <v>6500</v>
      </c>
      <c r="G8097" s="489">
        <v>96.44</v>
      </c>
      <c r="H8097" s="489">
        <v>67.399420000000006</v>
      </c>
      <c r="I8097" s="487" t="s">
        <v>1499</v>
      </c>
      <c r="J8097" s="487" t="s">
        <v>1170</v>
      </c>
    </row>
    <row r="8098" spans="1:10" ht="15" x14ac:dyDescent="0.2">
      <c r="A8098" s="486" t="s">
        <v>1169</v>
      </c>
      <c r="B8098" s="487" t="s">
        <v>430</v>
      </c>
      <c r="C8098" s="488" t="s">
        <v>25298</v>
      </c>
      <c r="D8098" s="489" t="s">
        <v>25299</v>
      </c>
      <c r="E8098" s="487" t="s">
        <v>25300</v>
      </c>
      <c r="F8098" s="490">
        <v>14746</v>
      </c>
      <c r="G8098" s="489">
        <v>383.32</v>
      </c>
      <c r="H8098" s="489">
        <v>38.469160000000002</v>
      </c>
      <c r="I8098" s="487" t="s">
        <v>1499</v>
      </c>
      <c r="J8098" s="487" t="s">
        <v>1170</v>
      </c>
    </row>
    <row r="8099" spans="1:10" ht="15" x14ac:dyDescent="0.2">
      <c r="A8099" s="486" t="s">
        <v>1169</v>
      </c>
      <c r="B8099" s="487" t="s">
        <v>430</v>
      </c>
      <c r="C8099" s="488" t="s">
        <v>25301</v>
      </c>
      <c r="D8099" s="489" t="s">
        <v>25302</v>
      </c>
      <c r="E8099" s="487" t="s">
        <v>25303</v>
      </c>
      <c r="F8099" s="490">
        <v>9850</v>
      </c>
      <c r="G8099" s="489">
        <v>170.59</v>
      </c>
      <c r="H8099" s="489">
        <v>57.740780000000001</v>
      </c>
      <c r="I8099" s="487" t="s">
        <v>2465</v>
      </c>
      <c r="J8099" s="487" t="s">
        <v>1170</v>
      </c>
    </row>
    <row r="8100" spans="1:10" ht="15" x14ac:dyDescent="0.2">
      <c r="A8100" s="486" t="s">
        <v>1169</v>
      </c>
      <c r="B8100" s="487" t="s">
        <v>430</v>
      </c>
      <c r="C8100" s="488" t="s">
        <v>25304</v>
      </c>
      <c r="D8100" s="489" t="s">
        <v>25305</v>
      </c>
      <c r="E8100" s="487" t="s">
        <v>25306</v>
      </c>
      <c r="F8100" s="490">
        <v>220000</v>
      </c>
      <c r="G8100" s="489">
        <v>701.46</v>
      </c>
      <c r="H8100" s="489">
        <v>313.63157000000001</v>
      </c>
      <c r="I8100" s="487" t="s">
        <v>1499</v>
      </c>
      <c r="J8100" s="487" t="s">
        <v>1170</v>
      </c>
    </row>
    <row r="8101" spans="1:10" ht="15" x14ac:dyDescent="0.2">
      <c r="A8101" s="486" t="s">
        <v>1169</v>
      </c>
      <c r="B8101" s="487" t="s">
        <v>430</v>
      </c>
      <c r="C8101" s="488" t="s">
        <v>25307</v>
      </c>
      <c r="D8101" s="489" t="s">
        <v>25308</v>
      </c>
      <c r="E8101" s="487" t="s">
        <v>25309</v>
      </c>
      <c r="F8101" s="490">
        <v>8552</v>
      </c>
      <c r="G8101" s="489">
        <v>369.27</v>
      </c>
      <c r="H8101" s="489">
        <v>23.159210000000002</v>
      </c>
      <c r="I8101" s="487" t="s">
        <v>1499</v>
      </c>
      <c r="J8101" s="487" t="s">
        <v>1170</v>
      </c>
    </row>
    <row r="8102" spans="1:10" ht="15" x14ac:dyDescent="0.2">
      <c r="A8102" s="486" t="s">
        <v>1169</v>
      </c>
      <c r="B8102" s="487" t="s">
        <v>430</v>
      </c>
      <c r="C8102" s="488" t="s">
        <v>25310</v>
      </c>
      <c r="D8102" s="489" t="s">
        <v>25311</v>
      </c>
      <c r="E8102" s="487" t="s">
        <v>25312</v>
      </c>
      <c r="F8102" s="490">
        <v>3140</v>
      </c>
      <c r="G8102" s="489">
        <v>146.59</v>
      </c>
      <c r="H8102" s="489">
        <v>21.420290000000001</v>
      </c>
      <c r="I8102" s="487" t="s">
        <v>1499</v>
      </c>
      <c r="J8102" s="487" t="s">
        <v>1170</v>
      </c>
    </row>
    <row r="8103" spans="1:10" ht="15" x14ac:dyDescent="0.2">
      <c r="A8103" s="486" t="s">
        <v>1169</v>
      </c>
      <c r="B8103" s="487" t="s">
        <v>430</v>
      </c>
      <c r="C8103" s="488" t="s">
        <v>25313</v>
      </c>
      <c r="D8103" s="489" t="s">
        <v>25314</v>
      </c>
      <c r="E8103" s="487" t="s">
        <v>25315</v>
      </c>
      <c r="F8103" s="490">
        <v>555</v>
      </c>
      <c r="G8103" s="489">
        <v>80.64</v>
      </c>
      <c r="H8103" s="489">
        <v>6.8824399999999999</v>
      </c>
      <c r="I8103" s="487" t="s">
        <v>1499</v>
      </c>
      <c r="J8103" s="487" t="s">
        <v>1170</v>
      </c>
    </row>
    <row r="8104" spans="1:10" ht="15" x14ac:dyDescent="0.2">
      <c r="A8104" s="486" t="s">
        <v>1169</v>
      </c>
      <c r="B8104" s="487" t="s">
        <v>430</v>
      </c>
      <c r="C8104" s="488" t="s">
        <v>25316</v>
      </c>
      <c r="D8104" s="489" t="s">
        <v>25317</v>
      </c>
      <c r="E8104" s="487" t="s">
        <v>25318</v>
      </c>
      <c r="F8104" s="490">
        <v>904067</v>
      </c>
      <c r="G8104" s="489">
        <v>4706.72</v>
      </c>
      <c r="H8104" s="489">
        <v>192.08005</v>
      </c>
      <c r="I8104" s="487" t="s">
        <v>1499</v>
      </c>
      <c r="J8104" s="487" t="s">
        <v>1170</v>
      </c>
    </row>
    <row r="8105" spans="1:10" ht="15" x14ac:dyDescent="0.2">
      <c r="A8105" s="486" t="s">
        <v>1169</v>
      </c>
      <c r="B8105" s="487" t="s">
        <v>430</v>
      </c>
      <c r="C8105" s="488" t="s">
        <v>25319</v>
      </c>
      <c r="D8105" s="489" t="s">
        <v>25320</v>
      </c>
      <c r="E8105" s="487" t="s">
        <v>5578</v>
      </c>
      <c r="F8105" s="490">
        <v>4384</v>
      </c>
      <c r="G8105" s="489">
        <v>124.66</v>
      </c>
      <c r="H8105" s="489">
        <v>35.167659999999998</v>
      </c>
      <c r="I8105" s="487" t="s">
        <v>1499</v>
      </c>
      <c r="J8105" s="487" t="s">
        <v>1170</v>
      </c>
    </row>
    <row r="8106" spans="1:10" ht="15" x14ac:dyDescent="0.2">
      <c r="A8106" s="486" t="s">
        <v>1169</v>
      </c>
      <c r="B8106" s="487" t="s">
        <v>430</v>
      </c>
      <c r="C8106" s="488" t="s">
        <v>25321</v>
      </c>
      <c r="D8106" s="489" t="s">
        <v>25322</v>
      </c>
      <c r="E8106" s="487" t="s">
        <v>25323</v>
      </c>
      <c r="F8106" s="490">
        <v>326510</v>
      </c>
      <c r="G8106" s="489">
        <v>1611.93</v>
      </c>
      <c r="H8106" s="489">
        <v>202.55842000000001</v>
      </c>
      <c r="I8106" s="487" t="s">
        <v>1499</v>
      </c>
      <c r="J8106" s="487" t="s">
        <v>1170</v>
      </c>
    </row>
    <row r="8107" spans="1:10" ht="15" x14ac:dyDescent="0.2">
      <c r="A8107" s="486" t="s">
        <v>1169</v>
      </c>
      <c r="B8107" s="487" t="s">
        <v>430</v>
      </c>
      <c r="C8107" s="488" t="s">
        <v>25324</v>
      </c>
      <c r="D8107" s="489" t="s">
        <v>25325</v>
      </c>
      <c r="E8107" s="487" t="s">
        <v>25326</v>
      </c>
      <c r="F8107" s="490">
        <v>0</v>
      </c>
      <c r="G8107" s="489">
        <v>0</v>
      </c>
      <c r="H8107" s="489">
        <v>0</v>
      </c>
      <c r="I8107" s="487" t="s">
        <v>2465</v>
      </c>
      <c r="J8107" s="487" t="s">
        <v>1170</v>
      </c>
    </row>
    <row r="8108" spans="1:10" ht="15" x14ac:dyDescent="0.2">
      <c r="A8108" s="486" t="s">
        <v>1169</v>
      </c>
      <c r="B8108" s="487" t="s">
        <v>430</v>
      </c>
      <c r="C8108" s="488" t="s">
        <v>25327</v>
      </c>
      <c r="D8108" s="489" t="s">
        <v>25328</v>
      </c>
      <c r="E8108" s="487" t="s">
        <v>25329</v>
      </c>
      <c r="F8108" s="490">
        <v>13059</v>
      </c>
      <c r="G8108" s="489">
        <v>114.75</v>
      </c>
      <c r="H8108" s="489">
        <v>113.80392000000001</v>
      </c>
      <c r="I8108" s="487" t="s">
        <v>1499</v>
      </c>
      <c r="J8108" s="487" t="s">
        <v>1170</v>
      </c>
    </row>
    <row r="8109" spans="1:10" ht="15" x14ac:dyDescent="0.2">
      <c r="A8109" s="486" t="s">
        <v>1169</v>
      </c>
      <c r="B8109" s="487" t="s">
        <v>430</v>
      </c>
      <c r="C8109" s="488" t="s">
        <v>25330</v>
      </c>
      <c r="D8109" s="489" t="s">
        <v>25331</v>
      </c>
      <c r="E8109" s="487" t="s">
        <v>24946</v>
      </c>
      <c r="F8109" s="490">
        <v>40000</v>
      </c>
      <c r="G8109" s="489">
        <v>467.27</v>
      </c>
      <c r="H8109" s="489">
        <v>85.603610000000003</v>
      </c>
      <c r="I8109" s="487" t="s">
        <v>1499</v>
      </c>
      <c r="J8109" s="487" t="s">
        <v>1170</v>
      </c>
    </row>
    <row r="8110" spans="1:10" ht="15" x14ac:dyDescent="0.2">
      <c r="A8110" s="486" t="s">
        <v>1169</v>
      </c>
      <c r="B8110" s="487" t="s">
        <v>430</v>
      </c>
      <c r="C8110" s="488" t="s">
        <v>25332</v>
      </c>
      <c r="D8110" s="489" t="s">
        <v>25333</v>
      </c>
      <c r="E8110" s="487" t="s">
        <v>25334</v>
      </c>
      <c r="F8110" s="490">
        <v>0</v>
      </c>
      <c r="G8110" s="489">
        <v>0</v>
      </c>
      <c r="H8110" s="489">
        <v>0</v>
      </c>
      <c r="I8110" s="487" t="s">
        <v>2465</v>
      </c>
      <c r="J8110" s="487" t="s">
        <v>1170</v>
      </c>
    </row>
    <row r="8111" spans="1:10" ht="15" x14ac:dyDescent="0.2">
      <c r="A8111" s="486" t="s">
        <v>1169</v>
      </c>
      <c r="B8111" s="487" t="s">
        <v>430</v>
      </c>
      <c r="C8111" s="488" t="s">
        <v>25335</v>
      </c>
      <c r="D8111" s="489" t="s">
        <v>25336</v>
      </c>
      <c r="E8111" s="487" t="s">
        <v>1939</v>
      </c>
      <c r="F8111" s="490">
        <v>8770</v>
      </c>
      <c r="G8111" s="489">
        <v>222.27</v>
      </c>
      <c r="H8111" s="489">
        <v>39.456519999999998</v>
      </c>
      <c r="I8111" s="487" t="s">
        <v>1499</v>
      </c>
      <c r="J8111" s="487" t="s">
        <v>1170</v>
      </c>
    </row>
    <row r="8112" spans="1:10" ht="15" x14ac:dyDescent="0.2">
      <c r="A8112" s="486" t="s">
        <v>1169</v>
      </c>
      <c r="B8112" s="487" t="s">
        <v>430</v>
      </c>
      <c r="C8112" s="488" t="s">
        <v>25337</v>
      </c>
      <c r="D8112" s="489" t="s">
        <v>25338</v>
      </c>
      <c r="E8112" s="487" t="s">
        <v>25339</v>
      </c>
      <c r="F8112" s="490">
        <v>22000</v>
      </c>
      <c r="G8112" s="489">
        <v>552.5</v>
      </c>
      <c r="H8112" s="489">
        <v>39.819000000000003</v>
      </c>
      <c r="I8112" s="487" t="s">
        <v>1499</v>
      </c>
      <c r="J8112" s="487" t="s">
        <v>1170</v>
      </c>
    </row>
    <row r="8113" spans="1:10" ht="15" x14ac:dyDescent="0.2">
      <c r="A8113" s="486" t="s">
        <v>1169</v>
      </c>
      <c r="B8113" s="487" t="s">
        <v>430</v>
      </c>
      <c r="C8113" s="488" t="s">
        <v>25340</v>
      </c>
      <c r="D8113" s="489" t="s">
        <v>25341</v>
      </c>
      <c r="E8113" s="487" t="s">
        <v>25342</v>
      </c>
      <c r="F8113" s="490">
        <v>14215</v>
      </c>
      <c r="G8113" s="489">
        <v>232.25</v>
      </c>
      <c r="H8113" s="489">
        <v>61.205599999999997</v>
      </c>
      <c r="I8113" s="487" t="s">
        <v>1499</v>
      </c>
      <c r="J8113" s="487" t="s">
        <v>1170</v>
      </c>
    </row>
    <row r="8114" spans="1:10" ht="15" x14ac:dyDescent="0.2">
      <c r="A8114" s="486" t="s">
        <v>1169</v>
      </c>
      <c r="B8114" s="487" t="s">
        <v>430</v>
      </c>
      <c r="C8114" s="488" t="s">
        <v>25343</v>
      </c>
      <c r="D8114" s="489" t="s">
        <v>25344</v>
      </c>
      <c r="E8114" s="487" t="s">
        <v>25345</v>
      </c>
      <c r="F8114" s="490">
        <v>24446</v>
      </c>
      <c r="G8114" s="489">
        <v>411.41</v>
      </c>
      <c r="H8114" s="489">
        <v>59.42004</v>
      </c>
      <c r="I8114" s="487" t="s">
        <v>1499</v>
      </c>
      <c r="J8114" s="487" t="s">
        <v>1170</v>
      </c>
    </row>
    <row r="8115" spans="1:10" ht="15" x14ac:dyDescent="0.2">
      <c r="A8115" s="486" t="s">
        <v>1169</v>
      </c>
      <c r="B8115" s="487" t="s">
        <v>430</v>
      </c>
      <c r="C8115" s="488" t="s">
        <v>25346</v>
      </c>
      <c r="D8115" s="489" t="s">
        <v>25347</v>
      </c>
      <c r="E8115" s="487" t="s">
        <v>25348</v>
      </c>
      <c r="F8115" s="490">
        <v>8045</v>
      </c>
      <c r="G8115" s="489">
        <v>166.06</v>
      </c>
      <c r="H8115" s="489">
        <v>48.446339999999999</v>
      </c>
      <c r="I8115" s="487" t="s">
        <v>1499</v>
      </c>
      <c r="J8115" s="487" t="s">
        <v>1170</v>
      </c>
    </row>
    <row r="8116" spans="1:10" ht="15" x14ac:dyDescent="0.2">
      <c r="A8116" s="486" t="s">
        <v>1169</v>
      </c>
      <c r="B8116" s="487" t="s">
        <v>430</v>
      </c>
      <c r="C8116" s="488" t="s">
        <v>25349</v>
      </c>
      <c r="D8116" s="489" t="s">
        <v>25350</v>
      </c>
      <c r="E8116" s="487" t="s">
        <v>25351</v>
      </c>
      <c r="F8116" s="490">
        <v>15408</v>
      </c>
      <c r="G8116" s="489">
        <v>312.05</v>
      </c>
      <c r="H8116" s="489">
        <v>49.3767</v>
      </c>
      <c r="I8116" s="487" t="s">
        <v>1499</v>
      </c>
      <c r="J8116" s="487" t="s">
        <v>1170</v>
      </c>
    </row>
    <row r="8117" spans="1:10" ht="15" x14ac:dyDescent="0.2">
      <c r="A8117" s="486" t="s">
        <v>1169</v>
      </c>
      <c r="B8117" s="487" t="s">
        <v>430</v>
      </c>
      <c r="C8117" s="488" t="s">
        <v>25352</v>
      </c>
      <c r="D8117" s="489" t="s">
        <v>25353</v>
      </c>
      <c r="E8117" s="487" t="s">
        <v>25354</v>
      </c>
      <c r="F8117" s="490">
        <v>12707</v>
      </c>
      <c r="G8117" s="489">
        <v>348.24</v>
      </c>
      <c r="H8117" s="489">
        <v>36.489199999999997</v>
      </c>
      <c r="I8117" s="487" t="s">
        <v>1499</v>
      </c>
      <c r="J8117" s="487" t="s">
        <v>1170</v>
      </c>
    </row>
    <row r="8118" spans="1:10" ht="15" x14ac:dyDescent="0.2">
      <c r="A8118" s="486" t="s">
        <v>1169</v>
      </c>
      <c r="B8118" s="487" t="s">
        <v>430</v>
      </c>
      <c r="C8118" s="488" t="s">
        <v>25355</v>
      </c>
      <c r="D8118" s="489" t="s">
        <v>25356</v>
      </c>
      <c r="E8118" s="487" t="s">
        <v>25357</v>
      </c>
      <c r="F8118" s="490">
        <v>4000</v>
      </c>
      <c r="G8118" s="489">
        <v>133.03</v>
      </c>
      <c r="H8118" s="489">
        <v>30.06841</v>
      </c>
      <c r="I8118" s="487" t="s">
        <v>1499</v>
      </c>
      <c r="J8118" s="487" t="s">
        <v>1170</v>
      </c>
    </row>
    <row r="8119" spans="1:10" ht="15" x14ac:dyDescent="0.2">
      <c r="A8119" s="486" t="s">
        <v>1169</v>
      </c>
      <c r="B8119" s="487" t="s">
        <v>430</v>
      </c>
      <c r="C8119" s="488" t="s">
        <v>25358</v>
      </c>
      <c r="D8119" s="489" t="s">
        <v>25359</v>
      </c>
      <c r="E8119" s="487" t="s">
        <v>25360</v>
      </c>
      <c r="F8119" s="490">
        <v>5000</v>
      </c>
      <c r="G8119" s="489">
        <v>173.26</v>
      </c>
      <c r="H8119" s="489">
        <v>28.858360000000001</v>
      </c>
      <c r="I8119" s="487" t="s">
        <v>1499</v>
      </c>
      <c r="J8119" s="487" t="s">
        <v>1170</v>
      </c>
    </row>
    <row r="8120" spans="1:10" ht="15" x14ac:dyDescent="0.2">
      <c r="A8120" s="486" t="s">
        <v>1169</v>
      </c>
      <c r="B8120" s="487" t="s">
        <v>430</v>
      </c>
      <c r="C8120" s="488" t="s">
        <v>25361</v>
      </c>
      <c r="D8120" s="489" t="s">
        <v>25362</v>
      </c>
      <c r="E8120" s="487" t="s">
        <v>25363</v>
      </c>
      <c r="F8120" s="490">
        <v>625780</v>
      </c>
      <c r="G8120" s="489">
        <v>2260.5300000000002</v>
      </c>
      <c r="H8120" s="489">
        <v>276.82889</v>
      </c>
      <c r="I8120" s="487" t="s">
        <v>1499</v>
      </c>
      <c r="J8120" s="487" t="s">
        <v>1170</v>
      </c>
    </row>
    <row r="8121" spans="1:10" ht="15" x14ac:dyDescent="0.2">
      <c r="A8121" s="486" t="s">
        <v>1169</v>
      </c>
      <c r="B8121" s="487" t="s">
        <v>430</v>
      </c>
      <c r="C8121" s="488" t="s">
        <v>25364</v>
      </c>
      <c r="D8121" s="489" t="s">
        <v>25365</v>
      </c>
      <c r="E8121" s="487" t="s">
        <v>25366</v>
      </c>
      <c r="F8121" s="490">
        <v>25876</v>
      </c>
      <c r="G8121" s="489">
        <v>960.07</v>
      </c>
      <c r="H8121" s="489">
        <v>26.952200000000001</v>
      </c>
      <c r="I8121" s="487" t="s">
        <v>1499</v>
      </c>
      <c r="J8121" s="487" t="s">
        <v>1170</v>
      </c>
    </row>
    <row r="8122" spans="1:10" ht="15" x14ac:dyDescent="0.2">
      <c r="A8122" s="486" t="s">
        <v>1169</v>
      </c>
      <c r="B8122" s="487" t="s">
        <v>430</v>
      </c>
      <c r="C8122" s="488" t="s">
        <v>25367</v>
      </c>
      <c r="D8122" s="489" t="s">
        <v>25368</v>
      </c>
      <c r="E8122" s="487" t="s">
        <v>25369</v>
      </c>
      <c r="F8122" s="490">
        <v>0</v>
      </c>
      <c r="G8122" s="489">
        <v>73.25</v>
      </c>
      <c r="H8122" s="489">
        <v>0</v>
      </c>
      <c r="I8122" s="487" t="s">
        <v>1593</v>
      </c>
      <c r="J8122" s="487" t="s">
        <v>1170</v>
      </c>
    </row>
    <row r="8123" spans="1:10" ht="15" x14ac:dyDescent="0.2">
      <c r="A8123" s="486" t="s">
        <v>1169</v>
      </c>
      <c r="B8123" s="487" t="s">
        <v>430</v>
      </c>
      <c r="C8123" s="488" t="s">
        <v>25370</v>
      </c>
      <c r="D8123" s="489" t="s">
        <v>25371</v>
      </c>
      <c r="E8123" s="487" t="s">
        <v>25372</v>
      </c>
      <c r="F8123" s="490">
        <v>195000</v>
      </c>
      <c r="G8123" s="489">
        <v>1212.97</v>
      </c>
      <c r="H8123" s="489">
        <v>160.76242999999999</v>
      </c>
      <c r="I8123" s="487" t="s">
        <v>1499</v>
      </c>
      <c r="J8123" s="487" t="s">
        <v>1170</v>
      </c>
    </row>
    <row r="8124" spans="1:10" ht="15" x14ac:dyDescent="0.2">
      <c r="A8124" s="486" t="s">
        <v>1169</v>
      </c>
      <c r="B8124" s="487" t="s">
        <v>430</v>
      </c>
      <c r="C8124" s="488" t="s">
        <v>25373</v>
      </c>
      <c r="D8124" s="489" t="s">
        <v>25374</v>
      </c>
      <c r="E8124" s="487" t="s">
        <v>25375</v>
      </c>
      <c r="F8124" s="490">
        <v>0</v>
      </c>
      <c r="G8124" s="489">
        <v>0</v>
      </c>
      <c r="H8124" s="489">
        <v>0</v>
      </c>
      <c r="I8124" s="487" t="s">
        <v>2465</v>
      </c>
      <c r="J8124" s="487" t="s">
        <v>1170</v>
      </c>
    </row>
    <row r="8125" spans="1:10" ht="15" x14ac:dyDescent="0.2">
      <c r="A8125" s="486" t="s">
        <v>1169</v>
      </c>
      <c r="B8125" s="487" t="s">
        <v>430</v>
      </c>
      <c r="C8125" s="488" t="s">
        <v>25376</v>
      </c>
      <c r="D8125" s="489" t="s">
        <v>25377</v>
      </c>
      <c r="E8125" s="487" t="s">
        <v>25378</v>
      </c>
      <c r="F8125" s="490">
        <v>19326</v>
      </c>
      <c r="G8125" s="489">
        <v>249.12</v>
      </c>
      <c r="H8125" s="489">
        <v>77.577070000000006</v>
      </c>
      <c r="I8125" s="487" t="s">
        <v>1499</v>
      </c>
      <c r="J8125" s="487" t="s">
        <v>1170</v>
      </c>
    </row>
    <row r="8126" spans="1:10" ht="15" x14ac:dyDescent="0.2">
      <c r="A8126" s="486" t="s">
        <v>1169</v>
      </c>
      <c r="B8126" s="487" t="s">
        <v>430</v>
      </c>
      <c r="C8126" s="488" t="s">
        <v>25379</v>
      </c>
      <c r="D8126" s="489" t="s">
        <v>25380</v>
      </c>
      <c r="E8126" s="487" t="s">
        <v>25381</v>
      </c>
      <c r="F8126" s="490">
        <v>70000</v>
      </c>
      <c r="G8126" s="489">
        <v>557.59</v>
      </c>
      <c r="H8126" s="489">
        <v>125.54027000000001</v>
      </c>
      <c r="I8126" s="487" t="s">
        <v>1499</v>
      </c>
      <c r="J8126" s="487" t="s">
        <v>1170</v>
      </c>
    </row>
    <row r="8127" spans="1:10" ht="15" x14ac:dyDescent="0.2">
      <c r="A8127" s="486" t="s">
        <v>1169</v>
      </c>
      <c r="B8127" s="487" t="s">
        <v>430</v>
      </c>
      <c r="C8127" s="488" t="s">
        <v>25382</v>
      </c>
      <c r="D8127" s="489" t="s">
        <v>25383</v>
      </c>
      <c r="E8127" s="487" t="s">
        <v>25384</v>
      </c>
      <c r="F8127" s="490">
        <v>5750</v>
      </c>
      <c r="G8127" s="489">
        <v>266.16000000000003</v>
      </c>
      <c r="H8127" s="489">
        <v>21.603549999999998</v>
      </c>
      <c r="I8127" s="487" t="s">
        <v>1499</v>
      </c>
      <c r="J8127" s="487" t="s">
        <v>1170</v>
      </c>
    </row>
    <row r="8128" spans="1:10" ht="15" x14ac:dyDescent="0.2">
      <c r="A8128" s="486" t="s">
        <v>1169</v>
      </c>
      <c r="B8128" s="487" t="s">
        <v>430</v>
      </c>
      <c r="C8128" s="488" t="s">
        <v>25385</v>
      </c>
      <c r="D8128" s="489" t="s">
        <v>25386</v>
      </c>
      <c r="E8128" s="487" t="s">
        <v>25387</v>
      </c>
      <c r="F8128" s="490">
        <v>3472</v>
      </c>
      <c r="G8128" s="489">
        <v>152.13999999999999</v>
      </c>
      <c r="H8128" s="489">
        <v>22.821090000000002</v>
      </c>
      <c r="I8128" s="487" t="s">
        <v>1499</v>
      </c>
      <c r="J8128" s="487" t="s">
        <v>1170</v>
      </c>
    </row>
    <row r="8129" spans="1:10" ht="15" x14ac:dyDescent="0.2">
      <c r="A8129" s="486" t="s">
        <v>1169</v>
      </c>
      <c r="B8129" s="487" t="s">
        <v>430</v>
      </c>
      <c r="C8129" s="488" t="s">
        <v>25388</v>
      </c>
      <c r="D8129" s="489" t="s">
        <v>25389</v>
      </c>
      <c r="E8129" s="487" t="s">
        <v>25390</v>
      </c>
      <c r="F8129" s="490">
        <v>20720</v>
      </c>
      <c r="G8129" s="489">
        <v>328.5</v>
      </c>
      <c r="H8129" s="489">
        <v>63.074579999999997</v>
      </c>
      <c r="I8129" s="487" t="s">
        <v>1499</v>
      </c>
      <c r="J8129" s="487" t="s">
        <v>1170</v>
      </c>
    </row>
    <row r="8130" spans="1:10" ht="15" x14ac:dyDescent="0.2">
      <c r="A8130" s="486" t="s">
        <v>1169</v>
      </c>
      <c r="B8130" s="487" t="s">
        <v>430</v>
      </c>
      <c r="C8130" s="488" t="s">
        <v>25391</v>
      </c>
      <c r="D8130" s="489" t="s">
        <v>25392</v>
      </c>
      <c r="E8130" s="487" t="s">
        <v>25393</v>
      </c>
      <c r="F8130" s="490">
        <v>49172</v>
      </c>
      <c r="G8130" s="489">
        <v>961.15</v>
      </c>
      <c r="H8130" s="489">
        <v>51.159550000000003</v>
      </c>
      <c r="I8130" s="487" t="s">
        <v>1499</v>
      </c>
      <c r="J8130" s="487" t="s">
        <v>1170</v>
      </c>
    </row>
    <row r="8131" spans="1:10" ht="15" x14ac:dyDescent="0.2">
      <c r="A8131" s="486" t="s">
        <v>1169</v>
      </c>
      <c r="B8131" s="487" t="s">
        <v>430</v>
      </c>
      <c r="C8131" s="488" t="s">
        <v>25394</v>
      </c>
      <c r="D8131" s="489" t="s">
        <v>25395</v>
      </c>
      <c r="E8131" s="487" t="s">
        <v>25396</v>
      </c>
      <c r="F8131" s="490">
        <v>8242</v>
      </c>
      <c r="G8131" s="489">
        <v>146.75</v>
      </c>
      <c r="H8131" s="489">
        <v>56.163539999999998</v>
      </c>
      <c r="I8131" s="487" t="s">
        <v>1499</v>
      </c>
      <c r="J8131" s="487" t="s">
        <v>1170</v>
      </c>
    </row>
    <row r="8132" spans="1:10" ht="15" x14ac:dyDescent="0.2">
      <c r="A8132" s="486" t="s">
        <v>1169</v>
      </c>
      <c r="B8132" s="487" t="s">
        <v>430</v>
      </c>
      <c r="C8132" s="488" t="s">
        <v>25397</v>
      </c>
      <c r="D8132" s="489" t="s">
        <v>25398</v>
      </c>
      <c r="E8132" s="487" t="s">
        <v>25399</v>
      </c>
      <c r="F8132" s="490">
        <v>8256</v>
      </c>
      <c r="G8132" s="489">
        <v>215.9</v>
      </c>
      <c r="H8132" s="489">
        <v>38.239930000000001</v>
      </c>
      <c r="I8132" s="487" t="s">
        <v>1499</v>
      </c>
      <c r="J8132" s="487" t="s">
        <v>1170</v>
      </c>
    </row>
    <row r="8133" spans="1:10" ht="15" x14ac:dyDescent="0.2">
      <c r="A8133" s="486" t="s">
        <v>1169</v>
      </c>
      <c r="B8133" s="487" t="s">
        <v>430</v>
      </c>
      <c r="C8133" s="488" t="s">
        <v>25400</v>
      </c>
      <c r="D8133" s="489" t="s">
        <v>25401</v>
      </c>
      <c r="E8133" s="487" t="s">
        <v>25402</v>
      </c>
      <c r="F8133" s="490">
        <v>67000</v>
      </c>
      <c r="G8133" s="489">
        <v>852.34</v>
      </c>
      <c r="H8133" s="489">
        <v>78.607129999999998</v>
      </c>
      <c r="I8133" s="487" t="s">
        <v>1499</v>
      </c>
      <c r="J8133" s="487" t="s">
        <v>1170</v>
      </c>
    </row>
    <row r="8134" spans="1:10" ht="15" x14ac:dyDescent="0.2">
      <c r="A8134" s="486" t="s">
        <v>1169</v>
      </c>
      <c r="B8134" s="487" t="s">
        <v>430</v>
      </c>
      <c r="C8134" s="488" t="s">
        <v>25403</v>
      </c>
      <c r="D8134" s="489" t="s">
        <v>25404</v>
      </c>
      <c r="E8134" s="487" t="s">
        <v>25405</v>
      </c>
      <c r="F8134" s="490">
        <v>29153</v>
      </c>
      <c r="G8134" s="489">
        <v>426.92</v>
      </c>
      <c r="H8134" s="489">
        <v>68.286799999999999</v>
      </c>
      <c r="I8134" s="487" t="s">
        <v>2465</v>
      </c>
      <c r="J8134" s="487" t="s">
        <v>1170</v>
      </c>
    </row>
    <row r="8135" spans="1:10" ht="15" x14ac:dyDescent="0.2">
      <c r="A8135" s="486" t="s">
        <v>1169</v>
      </c>
      <c r="B8135" s="487" t="s">
        <v>430</v>
      </c>
      <c r="C8135" s="488" t="s">
        <v>25406</v>
      </c>
      <c r="D8135" s="489" t="s">
        <v>25407</v>
      </c>
      <c r="E8135" s="487" t="s">
        <v>25408</v>
      </c>
      <c r="F8135" s="490">
        <v>5064</v>
      </c>
      <c r="G8135" s="489">
        <v>174.09</v>
      </c>
      <c r="H8135" s="489">
        <v>29.0884</v>
      </c>
      <c r="I8135" s="487" t="s">
        <v>1499</v>
      </c>
      <c r="J8135" s="487" t="s">
        <v>1170</v>
      </c>
    </row>
    <row r="8136" spans="1:10" ht="15" x14ac:dyDescent="0.2">
      <c r="A8136" s="486" t="s">
        <v>1169</v>
      </c>
      <c r="B8136" s="487" t="s">
        <v>430</v>
      </c>
      <c r="C8136" s="488" t="s">
        <v>25409</v>
      </c>
      <c r="D8136" s="489" t="s">
        <v>25410</v>
      </c>
      <c r="E8136" s="487" t="s">
        <v>25411</v>
      </c>
      <c r="F8136" s="490">
        <v>0</v>
      </c>
      <c r="G8136" s="489">
        <v>0</v>
      </c>
      <c r="H8136" s="489">
        <v>0</v>
      </c>
      <c r="I8136" s="487" t="s">
        <v>2465</v>
      </c>
      <c r="J8136" s="487" t="s">
        <v>1170</v>
      </c>
    </row>
    <row r="8137" spans="1:10" ht="15" x14ac:dyDescent="0.2">
      <c r="A8137" s="486" t="s">
        <v>1169</v>
      </c>
      <c r="B8137" s="487" t="s">
        <v>430</v>
      </c>
      <c r="C8137" s="488" t="s">
        <v>25412</v>
      </c>
      <c r="D8137" s="489" t="s">
        <v>25413</v>
      </c>
      <c r="E8137" s="487" t="s">
        <v>25414</v>
      </c>
      <c r="F8137" s="490">
        <v>7500</v>
      </c>
      <c r="G8137" s="489">
        <v>299.86</v>
      </c>
      <c r="H8137" s="489">
        <v>25.011669999999999</v>
      </c>
      <c r="I8137" s="487" t="s">
        <v>1499</v>
      </c>
      <c r="J8137" s="487" t="s">
        <v>1170</v>
      </c>
    </row>
    <row r="8138" spans="1:10" ht="15" x14ac:dyDescent="0.2">
      <c r="A8138" s="486" t="s">
        <v>1169</v>
      </c>
      <c r="B8138" s="487" t="s">
        <v>430</v>
      </c>
      <c r="C8138" s="488" t="s">
        <v>25415</v>
      </c>
      <c r="D8138" s="489" t="s">
        <v>25416</v>
      </c>
      <c r="E8138" s="487" t="s">
        <v>25417</v>
      </c>
      <c r="F8138" s="490">
        <v>21500</v>
      </c>
      <c r="G8138" s="489">
        <v>374.06</v>
      </c>
      <c r="H8138" s="489">
        <v>57.477409999999999</v>
      </c>
      <c r="I8138" s="487" t="s">
        <v>1499</v>
      </c>
      <c r="J8138" s="487" t="s">
        <v>1170</v>
      </c>
    </row>
    <row r="8139" spans="1:10" ht="15" x14ac:dyDescent="0.2">
      <c r="A8139" s="486" t="s">
        <v>1169</v>
      </c>
      <c r="B8139" s="487" t="s">
        <v>430</v>
      </c>
      <c r="C8139" s="488" t="s">
        <v>25418</v>
      </c>
      <c r="D8139" s="489" t="s">
        <v>25419</v>
      </c>
      <c r="E8139" s="487" t="s">
        <v>25420</v>
      </c>
      <c r="F8139" s="490">
        <v>11000</v>
      </c>
      <c r="G8139" s="489">
        <v>256.97000000000003</v>
      </c>
      <c r="H8139" s="489">
        <v>42.806550000000001</v>
      </c>
      <c r="I8139" s="487" t="s">
        <v>1499</v>
      </c>
      <c r="J8139" s="487" t="s">
        <v>1170</v>
      </c>
    </row>
    <row r="8140" spans="1:10" ht="15" x14ac:dyDescent="0.2">
      <c r="A8140" s="486" t="s">
        <v>1169</v>
      </c>
      <c r="B8140" s="487" t="s">
        <v>430</v>
      </c>
      <c r="C8140" s="488" t="s">
        <v>25421</v>
      </c>
      <c r="D8140" s="489" t="s">
        <v>25422</v>
      </c>
      <c r="E8140" s="487" t="s">
        <v>25423</v>
      </c>
      <c r="F8140" s="490">
        <v>5733</v>
      </c>
      <c r="G8140" s="489">
        <v>210.49</v>
      </c>
      <c r="H8140" s="489">
        <v>27.236450000000001</v>
      </c>
      <c r="I8140" s="487" t="s">
        <v>2465</v>
      </c>
      <c r="J8140" s="487" t="s">
        <v>1170</v>
      </c>
    </row>
    <row r="8141" spans="1:10" ht="15" x14ac:dyDescent="0.2">
      <c r="A8141" s="486" t="s">
        <v>1169</v>
      </c>
      <c r="B8141" s="487" t="s">
        <v>430</v>
      </c>
      <c r="C8141" s="488" t="s">
        <v>25424</v>
      </c>
      <c r="D8141" s="489" t="s">
        <v>25425</v>
      </c>
      <c r="E8141" s="487" t="s">
        <v>25426</v>
      </c>
      <c r="F8141" s="490">
        <v>6382</v>
      </c>
      <c r="G8141" s="489">
        <v>197.28</v>
      </c>
      <c r="H8141" s="489">
        <v>32.349960000000003</v>
      </c>
      <c r="I8141" s="487" t="s">
        <v>2465</v>
      </c>
      <c r="J8141" s="487" t="s">
        <v>1170</v>
      </c>
    </row>
    <row r="8142" spans="1:10" ht="15" x14ac:dyDescent="0.2">
      <c r="A8142" s="486" t="s">
        <v>1169</v>
      </c>
      <c r="B8142" s="487" t="s">
        <v>430</v>
      </c>
      <c r="C8142" s="488" t="s">
        <v>25427</v>
      </c>
      <c r="D8142" s="489" t="s">
        <v>25428</v>
      </c>
      <c r="E8142" s="487" t="s">
        <v>25429</v>
      </c>
      <c r="F8142" s="490">
        <v>1370</v>
      </c>
      <c r="G8142" s="489">
        <v>54.8</v>
      </c>
      <c r="H8142" s="489">
        <v>25</v>
      </c>
      <c r="I8142" s="487" t="s">
        <v>1499</v>
      </c>
      <c r="J8142" s="487" t="s">
        <v>1170</v>
      </c>
    </row>
    <row r="8143" spans="1:10" ht="15" x14ac:dyDescent="0.2">
      <c r="A8143" s="486" t="s">
        <v>1169</v>
      </c>
      <c r="B8143" s="487" t="s">
        <v>430</v>
      </c>
      <c r="C8143" s="488" t="s">
        <v>25430</v>
      </c>
      <c r="D8143" s="489" t="s">
        <v>25431</v>
      </c>
      <c r="E8143" s="487" t="s">
        <v>25432</v>
      </c>
      <c r="F8143" s="490">
        <v>47268</v>
      </c>
      <c r="G8143" s="489">
        <v>1006.61</v>
      </c>
      <c r="H8143" s="489">
        <v>46.957610000000003</v>
      </c>
      <c r="I8143" s="487" t="s">
        <v>1499</v>
      </c>
      <c r="J8143" s="487" t="s">
        <v>1170</v>
      </c>
    </row>
    <row r="8144" spans="1:10" ht="15" x14ac:dyDescent="0.2">
      <c r="A8144" s="486" t="s">
        <v>1169</v>
      </c>
      <c r="B8144" s="487" t="s">
        <v>430</v>
      </c>
      <c r="C8144" s="488" t="s">
        <v>25433</v>
      </c>
      <c r="D8144" s="489" t="s">
        <v>25434</v>
      </c>
      <c r="E8144" s="487" t="s">
        <v>25435</v>
      </c>
      <c r="F8144" s="490">
        <v>310268</v>
      </c>
      <c r="G8144" s="489">
        <v>1595.89</v>
      </c>
      <c r="H8144" s="489">
        <v>194.41691</v>
      </c>
      <c r="I8144" s="487" t="s">
        <v>1499</v>
      </c>
      <c r="J8144" s="487" t="s">
        <v>1170</v>
      </c>
    </row>
    <row r="8145" spans="1:10" ht="15" x14ac:dyDescent="0.2">
      <c r="A8145" s="486" t="s">
        <v>1169</v>
      </c>
      <c r="B8145" s="487" t="s">
        <v>430</v>
      </c>
      <c r="C8145" s="488" t="s">
        <v>25436</v>
      </c>
      <c r="D8145" s="489" t="s">
        <v>25437</v>
      </c>
      <c r="E8145" s="487" t="s">
        <v>25438</v>
      </c>
      <c r="F8145" s="490">
        <v>5880</v>
      </c>
      <c r="G8145" s="489">
        <v>198.48</v>
      </c>
      <c r="H8145" s="489">
        <v>29.625150000000001</v>
      </c>
      <c r="I8145" s="487" t="s">
        <v>1499</v>
      </c>
      <c r="J8145" s="487" t="s">
        <v>1170</v>
      </c>
    </row>
    <row r="8146" spans="1:10" ht="15" x14ac:dyDescent="0.2">
      <c r="A8146" s="486" t="s">
        <v>1169</v>
      </c>
      <c r="B8146" s="487" t="s">
        <v>430</v>
      </c>
      <c r="C8146" s="488" t="s">
        <v>25439</v>
      </c>
      <c r="D8146" s="489" t="s">
        <v>25440</v>
      </c>
      <c r="E8146" s="487" t="s">
        <v>23303</v>
      </c>
      <c r="F8146" s="490">
        <v>33000</v>
      </c>
      <c r="G8146" s="489">
        <v>332.24</v>
      </c>
      <c r="H8146" s="489">
        <v>99.325789999999998</v>
      </c>
      <c r="I8146" s="487" t="s">
        <v>1499</v>
      </c>
      <c r="J8146" s="487" t="s">
        <v>1170</v>
      </c>
    </row>
    <row r="8147" spans="1:10" ht="15" x14ac:dyDescent="0.2">
      <c r="A8147" s="486" t="s">
        <v>1169</v>
      </c>
      <c r="B8147" s="487" t="s">
        <v>430</v>
      </c>
      <c r="C8147" s="488" t="s">
        <v>25441</v>
      </c>
      <c r="D8147" s="489" t="s">
        <v>25442</v>
      </c>
      <c r="E8147" s="487" t="s">
        <v>25443</v>
      </c>
      <c r="F8147" s="490">
        <v>0</v>
      </c>
      <c r="G8147" s="489">
        <v>0</v>
      </c>
      <c r="H8147" s="489">
        <v>0</v>
      </c>
      <c r="I8147" s="487" t="s">
        <v>2465</v>
      </c>
      <c r="J8147" s="487" t="s">
        <v>1170</v>
      </c>
    </row>
    <row r="8148" spans="1:10" ht="15" x14ac:dyDescent="0.2">
      <c r="A8148" s="486" t="s">
        <v>1169</v>
      </c>
      <c r="B8148" s="487" t="s">
        <v>430</v>
      </c>
      <c r="C8148" s="488" t="s">
        <v>25444</v>
      </c>
      <c r="D8148" s="489" t="s">
        <v>25445</v>
      </c>
      <c r="E8148" s="487" t="s">
        <v>25446</v>
      </c>
      <c r="F8148" s="490">
        <v>39630</v>
      </c>
      <c r="G8148" s="489">
        <v>428.05</v>
      </c>
      <c r="H8148" s="489">
        <v>92.582639999999998</v>
      </c>
      <c r="I8148" s="487" t="s">
        <v>1499</v>
      </c>
      <c r="J8148" s="487" t="s">
        <v>1170</v>
      </c>
    </row>
    <row r="8149" spans="1:10" ht="15" x14ac:dyDescent="0.2">
      <c r="A8149" s="486" t="s">
        <v>1169</v>
      </c>
      <c r="B8149" s="487" t="s">
        <v>430</v>
      </c>
      <c r="C8149" s="488" t="s">
        <v>25447</v>
      </c>
      <c r="D8149" s="489" t="s">
        <v>25448</v>
      </c>
      <c r="E8149" s="487" t="s">
        <v>25449</v>
      </c>
      <c r="F8149" s="490">
        <v>40529</v>
      </c>
      <c r="G8149" s="489">
        <v>577.41</v>
      </c>
      <c r="H8149" s="489">
        <v>70.191029999999998</v>
      </c>
      <c r="I8149" s="487" t="s">
        <v>1499</v>
      </c>
      <c r="J8149" s="487" t="s">
        <v>1170</v>
      </c>
    </row>
    <row r="8150" spans="1:10" ht="15" x14ac:dyDescent="0.2">
      <c r="A8150" s="486" t="s">
        <v>1169</v>
      </c>
      <c r="B8150" s="487" t="s">
        <v>430</v>
      </c>
      <c r="C8150" s="488" t="s">
        <v>25450</v>
      </c>
      <c r="D8150" s="489" t="s">
        <v>25451</v>
      </c>
      <c r="E8150" s="487" t="s">
        <v>25452</v>
      </c>
      <c r="F8150" s="490">
        <v>0</v>
      </c>
      <c r="G8150" s="489">
        <v>49.92</v>
      </c>
      <c r="H8150" s="489">
        <v>0</v>
      </c>
      <c r="I8150" s="487" t="s">
        <v>1593</v>
      </c>
      <c r="J8150" s="487" t="s">
        <v>1170</v>
      </c>
    </row>
    <row r="8151" spans="1:10" ht="15" x14ac:dyDescent="0.2">
      <c r="A8151" s="486" t="s">
        <v>1169</v>
      </c>
      <c r="B8151" s="487" t="s">
        <v>430</v>
      </c>
      <c r="C8151" s="488" t="s">
        <v>25453</v>
      </c>
      <c r="D8151" s="489" t="s">
        <v>25454</v>
      </c>
      <c r="E8151" s="487" t="s">
        <v>25455</v>
      </c>
      <c r="F8151" s="490">
        <v>8034</v>
      </c>
      <c r="G8151" s="489">
        <v>116.77</v>
      </c>
      <c r="H8151" s="489">
        <v>68.801919999999996</v>
      </c>
      <c r="I8151" s="487" t="s">
        <v>1499</v>
      </c>
      <c r="J8151" s="487" t="s">
        <v>1170</v>
      </c>
    </row>
    <row r="8152" spans="1:10" ht="15" x14ac:dyDescent="0.2">
      <c r="A8152" s="486" t="s">
        <v>1169</v>
      </c>
      <c r="B8152" s="487" t="s">
        <v>430</v>
      </c>
      <c r="C8152" s="488" t="s">
        <v>25456</v>
      </c>
      <c r="D8152" s="489" t="s">
        <v>25457</v>
      </c>
      <c r="E8152" s="487" t="s">
        <v>25458</v>
      </c>
      <c r="F8152" s="490">
        <v>15496</v>
      </c>
      <c r="G8152" s="489">
        <v>384.83</v>
      </c>
      <c r="H8152" s="489">
        <v>40.267130000000002</v>
      </c>
      <c r="I8152" s="487" t="s">
        <v>1499</v>
      </c>
      <c r="J8152" s="487" t="s">
        <v>1170</v>
      </c>
    </row>
    <row r="8153" spans="1:10" ht="15" x14ac:dyDescent="0.2">
      <c r="A8153" s="486" t="s">
        <v>1169</v>
      </c>
      <c r="B8153" s="487" t="s">
        <v>430</v>
      </c>
      <c r="C8153" s="488" t="s">
        <v>25459</v>
      </c>
      <c r="D8153" s="489" t="s">
        <v>25460</v>
      </c>
      <c r="E8153" s="487" t="s">
        <v>25461</v>
      </c>
      <c r="F8153" s="490">
        <v>149870</v>
      </c>
      <c r="G8153" s="489">
        <v>1147.3</v>
      </c>
      <c r="H8153" s="489">
        <v>130.62843000000001</v>
      </c>
      <c r="I8153" s="487" t="s">
        <v>1499</v>
      </c>
      <c r="J8153" s="487" t="s">
        <v>1170</v>
      </c>
    </row>
    <row r="8154" spans="1:10" ht="15" x14ac:dyDescent="0.2">
      <c r="A8154" s="486" t="s">
        <v>1169</v>
      </c>
      <c r="B8154" s="487" t="s">
        <v>430</v>
      </c>
      <c r="C8154" s="488" t="s">
        <v>25462</v>
      </c>
      <c r="D8154" s="489" t="s">
        <v>25463</v>
      </c>
      <c r="E8154" s="487" t="s">
        <v>25464</v>
      </c>
      <c r="F8154" s="490">
        <v>35100</v>
      </c>
      <c r="G8154" s="489">
        <v>559.77</v>
      </c>
      <c r="H8154" s="489">
        <v>62.704320000000003</v>
      </c>
      <c r="I8154" s="487" t="s">
        <v>1499</v>
      </c>
      <c r="J8154" s="487" t="s">
        <v>1170</v>
      </c>
    </row>
    <row r="8155" spans="1:10" ht="15" x14ac:dyDescent="0.2">
      <c r="A8155" s="486" t="s">
        <v>1169</v>
      </c>
      <c r="B8155" s="487" t="s">
        <v>430</v>
      </c>
      <c r="C8155" s="488" t="s">
        <v>25465</v>
      </c>
      <c r="D8155" s="489" t="s">
        <v>25466</v>
      </c>
      <c r="E8155" s="487" t="s">
        <v>25467</v>
      </c>
      <c r="F8155" s="490">
        <v>30175</v>
      </c>
      <c r="G8155" s="489">
        <v>606.66</v>
      </c>
      <c r="H8155" s="489">
        <v>49.739559999999997</v>
      </c>
      <c r="I8155" s="487" t="s">
        <v>1499</v>
      </c>
      <c r="J8155" s="487" t="s">
        <v>1170</v>
      </c>
    </row>
    <row r="8156" spans="1:10" ht="15" x14ac:dyDescent="0.2">
      <c r="A8156" s="486" t="s">
        <v>1169</v>
      </c>
      <c r="B8156" s="487" t="s">
        <v>430</v>
      </c>
      <c r="C8156" s="488" t="s">
        <v>25468</v>
      </c>
      <c r="D8156" s="489" t="s">
        <v>25469</v>
      </c>
      <c r="E8156" s="487" t="s">
        <v>25470</v>
      </c>
      <c r="F8156" s="490">
        <v>550</v>
      </c>
      <c r="G8156" s="489">
        <v>33.020000000000003</v>
      </c>
      <c r="H8156" s="489">
        <v>16.656569999999999</v>
      </c>
      <c r="I8156" s="487" t="s">
        <v>1499</v>
      </c>
      <c r="J8156" s="487" t="s">
        <v>1170</v>
      </c>
    </row>
    <row r="8157" spans="1:10" ht="15" x14ac:dyDescent="0.2">
      <c r="A8157" s="486" t="s">
        <v>1169</v>
      </c>
      <c r="B8157" s="487" t="s">
        <v>430</v>
      </c>
      <c r="C8157" s="488" t="s">
        <v>25471</v>
      </c>
      <c r="D8157" s="489" t="s">
        <v>25472</v>
      </c>
      <c r="E8157" s="487" t="s">
        <v>25473</v>
      </c>
      <c r="F8157" s="490">
        <v>0</v>
      </c>
      <c r="G8157" s="489">
        <v>0</v>
      </c>
      <c r="H8157" s="489">
        <v>0</v>
      </c>
      <c r="I8157" s="487" t="s">
        <v>2465</v>
      </c>
      <c r="J8157" s="487" t="s">
        <v>1170</v>
      </c>
    </row>
    <row r="8158" spans="1:10" ht="15" x14ac:dyDescent="0.2">
      <c r="A8158" s="486" t="s">
        <v>1169</v>
      </c>
      <c r="B8158" s="487" t="s">
        <v>430</v>
      </c>
      <c r="C8158" s="488" t="s">
        <v>25474</v>
      </c>
      <c r="D8158" s="489" t="s">
        <v>25475</v>
      </c>
      <c r="E8158" s="487" t="s">
        <v>25476</v>
      </c>
      <c r="F8158" s="490">
        <v>16686</v>
      </c>
      <c r="G8158" s="489">
        <v>272.73</v>
      </c>
      <c r="H8158" s="489">
        <v>61.18139</v>
      </c>
      <c r="I8158" s="487" t="s">
        <v>1499</v>
      </c>
      <c r="J8158" s="487" t="s">
        <v>1170</v>
      </c>
    </row>
    <row r="8159" spans="1:10" ht="15" x14ac:dyDescent="0.2">
      <c r="A8159" s="486" t="s">
        <v>1169</v>
      </c>
      <c r="B8159" s="487" t="s">
        <v>430</v>
      </c>
      <c r="C8159" s="488" t="s">
        <v>25477</v>
      </c>
      <c r="D8159" s="489" t="s">
        <v>25478</v>
      </c>
      <c r="E8159" s="487" t="s">
        <v>25479</v>
      </c>
      <c r="F8159" s="490">
        <v>2404</v>
      </c>
      <c r="G8159" s="489">
        <v>173.83</v>
      </c>
      <c r="H8159" s="489">
        <v>13.829599999999999</v>
      </c>
      <c r="I8159" s="487" t="s">
        <v>2465</v>
      </c>
      <c r="J8159" s="487" t="s">
        <v>1170</v>
      </c>
    </row>
    <row r="8160" spans="1:10" ht="15" x14ac:dyDescent="0.2">
      <c r="A8160" s="486" t="s">
        <v>1169</v>
      </c>
      <c r="B8160" s="487" t="s">
        <v>430</v>
      </c>
      <c r="C8160" s="488" t="s">
        <v>25480</v>
      </c>
      <c r="D8160" s="489" t="s">
        <v>25481</v>
      </c>
      <c r="E8160" s="487" t="s">
        <v>25482</v>
      </c>
      <c r="F8160" s="490">
        <v>0</v>
      </c>
      <c r="G8160" s="489">
        <v>42.28</v>
      </c>
      <c r="H8160" s="489">
        <v>0</v>
      </c>
      <c r="I8160" s="487" t="s">
        <v>1593</v>
      </c>
      <c r="J8160" s="487" t="s">
        <v>1170</v>
      </c>
    </row>
    <row r="8161" spans="1:10" ht="15" x14ac:dyDescent="0.2">
      <c r="A8161" s="486" t="s">
        <v>1169</v>
      </c>
      <c r="B8161" s="487" t="s">
        <v>430</v>
      </c>
      <c r="C8161" s="488" t="s">
        <v>25483</v>
      </c>
      <c r="D8161" s="489" t="s">
        <v>25484</v>
      </c>
      <c r="E8161" s="487" t="s">
        <v>25485</v>
      </c>
      <c r="F8161" s="490">
        <v>10798</v>
      </c>
      <c r="G8161" s="489">
        <v>317.42</v>
      </c>
      <c r="H8161" s="489">
        <v>34.01802</v>
      </c>
      <c r="I8161" s="487" t="s">
        <v>1499</v>
      </c>
      <c r="J8161" s="487" t="s">
        <v>1170</v>
      </c>
    </row>
    <row r="8162" spans="1:10" ht="15" x14ac:dyDescent="0.2">
      <c r="A8162" s="486" t="s">
        <v>1169</v>
      </c>
      <c r="B8162" s="487" t="s">
        <v>430</v>
      </c>
      <c r="C8162" s="488" t="s">
        <v>25486</v>
      </c>
      <c r="D8162" s="489" t="s">
        <v>25487</v>
      </c>
      <c r="E8162" s="487" t="s">
        <v>25488</v>
      </c>
      <c r="F8162" s="490">
        <v>5515</v>
      </c>
      <c r="G8162" s="489">
        <v>104.49</v>
      </c>
      <c r="H8162" s="489">
        <v>52.780169999999998</v>
      </c>
      <c r="I8162" s="487" t="s">
        <v>1499</v>
      </c>
      <c r="J8162" s="487" t="s">
        <v>1170</v>
      </c>
    </row>
    <row r="8163" spans="1:10" ht="15" x14ac:dyDescent="0.2">
      <c r="A8163" s="486" t="s">
        <v>1169</v>
      </c>
      <c r="B8163" s="487" t="s">
        <v>430</v>
      </c>
      <c r="C8163" s="488" t="s">
        <v>25489</v>
      </c>
      <c r="D8163" s="489" t="s">
        <v>25490</v>
      </c>
      <c r="E8163" s="487" t="s">
        <v>25491</v>
      </c>
      <c r="F8163" s="490">
        <v>17365</v>
      </c>
      <c r="G8163" s="489">
        <v>225.76</v>
      </c>
      <c r="H8163" s="489">
        <v>76.917969999999997</v>
      </c>
      <c r="I8163" s="487" t="s">
        <v>1499</v>
      </c>
      <c r="J8163" s="487" t="s">
        <v>1170</v>
      </c>
    </row>
    <row r="8164" spans="1:10" ht="15" x14ac:dyDescent="0.2">
      <c r="A8164" s="486" t="s">
        <v>1169</v>
      </c>
      <c r="B8164" s="487" t="s">
        <v>430</v>
      </c>
      <c r="C8164" s="488" t="s">
        <v>25492</v>
      </c>
      <c r="D8164" s="489" t="s">
        <v>25493</v>
      </c>
      <c r="E8164" s="487" t="s">
        <v>25494</v>
      </c>
      <c r="F8164" s="490">
        <v>4211</v>
      </c>
      <c r="G8164" s="489">
        <v>123</v>
      </c>
      <c r="H8164" s="489">
        <v>34.235770000000002</v>
      </c>
      <c r="I8164" s="487" t="s">
        <v>1499</v>
      </c>
      <c r="J8164" s="487" t="s">
        <v>1170</v>
      </c>
    </row>
    <row r="8165" spans="1:10" ht="15" x14ac:dyDescent="0.2">
      <c r="A8165" s="486" t="s">
        <v>1169</v>
      </c>
      <c r="B8165" s="487" t="s">
        <v>430</v>
      </c>
      <c r="C8165" s="488" t="s">
        <v>25495</v>
      </c>
      <c r="D8165" s="489" t="s">
        <v>25496</v>
      </c>
      <c r="E8165" s="487" t="s">
        <v>25497</v>
      </c>
      <c r="F8165" s="490">
        <v>11741</v>
      </c>
      <c r="G8165" s="489">
        <v>458.67</v>
      </c>
      <c r="H8165" s="489">
        <v>25.597919999999998</v>
      </c>
      <c r="I8165" s="487" t="s">
        <v>1499</v>
      </c>
      <c r="J8165" s="487" t="s">
        <v>1170</v>
      </c>
    </row>
    <row r="8166" spans="1:10" ht="15" x14ac:dyDescent="0.2">
      <c r="A8166" s="486" t="s">
        <v>1169</v>
      </c>
      <c r="B8166" s="487" t="s">
        <v>430</v>
      </c>
      <c r="C8166" s="488" t="s">
        <v>25498</v>
      </c>
      <c r="D8166" s="489" t="s">
        <v>25499</v>
      </c>
      <c r="E8166" s="487" t="s">
        <v>25500</v>
      </c>
      <c r="F8166" s="490">
        <v>26995</v>
      </c>
      <c r="G8166" s="489">
        <v>539.89</v>
      </c>
      <c r="H8166" s="489">
        <v>50.000929999999997</v>
      </c>
      <c r="I8166" s="487" t="s">
        <v>1499</v>
      </c>
      <c r="J8166" s="487" t="s">
        <v>1170</v>
      </c>
    </row>
    <row r="8167" spans="1:10" ht="15" x14ac:dyDescent="0.2">
      <c r="A8167" s="486" t="s">
        <v>1169</v>
      </c>
      <c r="B8167" s="487" t="s">
        <v>430</v>
      </c>
      <c r="C8167" s="488" t="s">
        <v>25501</v>
      </c>
      <c r="D8167" s="489" t="s">
        <v>25502</v>
      </c>
      <c r="E8167" s="487" t="s">
        <v>25503</v>
      </c>
      <c r="F8167" s="490">
        <v>17712</v>
      </c>
      <c r="G8167" s="489">
        <v>148.21</v>
      </c>
      <c r="H8167" s="489">
        <v>119.50611000000001</v>
      </c>
      <c r="I8167" s="487" t="s">
        <v>1499</v>
      </c>
      <c r="J8167" s="487" t="s">
        <v>1170</v>
      </c>
    </row>
    <row r="8168" spans="1:10" ht="15" x14ac:dyDescent="0.2">
      <c r="A8168" s="486" t="s">
        <v>1169</v>
      </c>
      <c r="B8168" s="487" t="s">
        <v>430</v>
      </c>
      <c r="C8168" s="488" t="s">
        <v>25504</v>
      </c>
      <c r="D8168" s="489" t="s">
        <v>25505</v>
      </c>
      <c r="E8168" s="487" t="s">
        <v>25506</v>
      </c>
      <c r="F8168" s="490">
        <v>9500</v>
      </c>
      <c r="G8168" s="489">
        <v>203.25</v>
      </c>
      <c r="H8168" s="489">
        <v>46.740470000000002</v>
      </c>
      <c r="I8168" s="487" t="s">
        <v>1499</v>
      </c>
      <c r="J8168" s="487" t="s">
        <v>1170</v>
      </c>
    </row>
    <row r="8169" spans="1:10" ht="15" x14ac:dyDescent="0.2">
      <c r="A8169" s="486" t="s">
        <v>1169</v>
      </c>
      <c r="B8169" s="487" t="s">
        <v>430</v>
      </c>
      <c r="C8169" s="488" t="s">
        <v>25507</v>
      </c>
      <c r="D8169" s="489" t="s">
        <v>25508</v>
      </c>
      <c r="E8169" s="487" t="s">
        <v>25509</v>
      </c>
      <c r="F8169" s="490">
        <v>10863</v>
      </c>
      <c r="G8169" s="489">
        <v>211.46</v>
      </c>
      <c r="H8169" s="489">
        <v>51.371420000000001</v>
      </c>
      <c r="I8169" s="487" t="s">
        <v>1499</v>
      </c>
      <c r="J8169" s="487" t="s">
        <v>1170</v>
      </c>
    </row>
    <row r="8170" spans="1:10" ht="15" x14ac:dyDescent="0.2">
      <c r="A8170" s="486" t="s">
        <v>1169</v>
      </c>
      <c r="B8170" s="487" t="s">
        <v>430</v>
      </c>
      <c r="C8170" s="488" t="s">
        <v>25510</v>
      </c>
      <c r="D8170" s="489" t="s">
        <v>25511</v>
      </c>
      <c r="E8170" s="487" t="s">
        <v>25512</v>
      </c>
      <c r="F8170" s="490">
        <v>6800</v>
      </c>
      <c r="G8170" s="489">
        <v>112.53</v>
      </c>
      <c r="H8170" s="489">
        <v>60.428330000000003</v>
      </c>
      <c r="I8170" s="487" t="s">
        <v>1499</v>
      </c>
      <c r="J8170" s="487" t="s">
        <v>1170</v>
      </c>
    </row>
    <row r="8171" spans="1:10" ht="15" x14ac:dyDescent="0.2">
      <c r="A8171" s="486" t="s">
        <v>1169</v>
      </c>
      <c r="B8171" s="487" t="s">
        <v>430</v>
      </c>
      <c r="C8171" s="488" t="s">
        <v>25513</v>
      </c>
      <c r="D8171" s="489" t="s">
        <v>25514</v>
      </c>
      <c r="E8171" s="487" t="s">
        <v>25515</v>
      </c>
      <c r="F8171" s="490">
        <v>14055</v>
      </c>
      <c r="G8171" s="489">
        <v>278</v>
      </c>
      <c r="H8171" s="489">
        <v>50.557549999999999</v>
      </c>
      <c r="I8171" s="487" t="s">
        <v>1499</v>
      </c>
      <c r="J8171" s="487" t="s">
        <v>1170</v>
      </c>
    </row>
    <row r="8172" spans="1:10" ht="15" x14ac:dyDescent="0.2">
      <c r="A8172" s="486" t="s">
        <v>1169</v>
      </c>
      <c r="B8172" s="487" t="s">
        <v>430</v>
      </c>
      <c r="C8172" s="488" t="s">
        <v>25516</v>
      </c>
      <c r="D8172" s="489" t="s">
        <v>25517</v>
      </c>
      <c r="E8172" s="487" t="s">
        <v>25518</v>
      </c>
      <c r="F8172" s="490">
        <v>31000</v>
      </c>
      <c r="G8172" s="489">
        <v>699.13</v>
      </c>
      <c r="H8172" s="489">
        <v>44.340820000000001</v>
      </c>
      <c r="I8172" s="487" t="s">
        <v>1499</v>
      </c>
      <c r="J8172" s="487" t="s">
        <v>1170</v>
      </c>
    </row>
    <row r="8173" spans="1:10" ht="15" x14ac:dyDescent="0.2">
      <c r="A8173" s="486" t="s">
        <v>1169</v>
      </c>
      <c r="B8173" s="487" t="s">
        <v>430</v>
      </c>
      <c r="C8173" s="488" t="s">
        <v>25519</v>
      </c>
      <c r="D8173" s="489" t="s">
        <v>25520</v>
      </c>
      <c r="E8173" s="487" t="s">
        <v>25521</v>
      </c>
      <c r="F8173" s="490">
        <v>39836</v>
      </c>
      <c r="G8173" s="489">
        <v>558.75</v>
      </c>
      <c r="H8173" s="489">
        <v>71.294849999999997</v>
      </c>
      <c r="I8173" s="487" t="s">
        <v>1499</v>
      </c>
      <c r="J8173" s="487" t="s">
        <v>1170</v>
      </c>
    </row>
    <row r="8174" spans="1:10" ht="15" x14ac:dyDescent="0.2">
      <c r="A8174" s="486" t="s">
        <v>1169</v>
      </c>
      <c r="B8174" s="487" t="s">
        <v>430</v>
      </c>
      <c r="C8174" s="488" t="s">
        <v>25522</v>
      </c>
      <c r="D8174" s="489" t="s">
        <v>25523</v>
      </c>
      <c r="E8174" s="487" t="s">
        <v>25524</v>
      </c>
      <c r="F8174" s="490">
        <v>6400</v>
      </c>
      <c r="G8174" s="489">
        <v>288.11</v>
      </c>
      <c r="H8174" s="489">
        <v>22.213740000000001</v>
      </c>
      <c r="I8174" s="487" t="s">
        <v>1499</v>
      </c>
      <c r="J8174" s="487" t="s">
        <v>1170</v>
      </c>
    </row>
    <row r="8175" spans="1:10" ht="15" x14ac:dyDescent="0.2">
      <c r="A8175" s="486" t="s">
        <v>1169</v>
      </c>
      <c r="B8175" s="487" t="s">
        <v>430</v>
      </c>
      <c r="C8175" s="488" t="s">
        <v>25525</v>
      </c>
      <c r="D8175" s="489" t="s">
        <v>25526</v>
      </c>
      <c r="E8175" s="487" t="s">
        <v>17604</v>
      </c>
      <c r="F8175" s="490">
        <v>11460</v>
      </c>
      <c r="G8175" s="489">
        <v>477.84</v>
      </c>
      <c r="H8175" s="489">
        <v>23.98292</v>
      </c>
      <c r="I8175" s="487" t="s">
        <v>1499</v>
      </c>
      <c r="J8175" s="487" t="s">
        <v>1170</v>
      </c>
    </row>
    <row r="8176" spans="1:10" ht="15" x14ac:dyDescent="0.2">
      <c r="A8176" s="486" t="s">
        <v>1169</v>
      </c>
      <c r="B8176" s="487" t="s">
        <v>430</v>
      </c>
      <c r="C8176" s="488" t="s">
        <v>25527</v>
      </c>
      <c r="D8176" s="489" t="s">
        <v>25528</v>
      </c>
      <c r="E8176" s="487" t="s">
        <v>25529</v>
      </c>
      <c r="F8176" s="490">
        <v>946000</v>
      </c>
      <c r="G8176" s="489">
        <v>3714.23</v>
      </c>
      <c r="H8176" s="489">
        <v>254.69613000000001</v>
      </c>
      <c r="I8176" s="487" t="s">
        <v>1499</v>
      </c>
      <c r="J8176" s="487" t="s">
        <v>1170</v>
      </c>
    </row>
    <row r="8177" spans="1:10" ht="15" x14ac:dyDescent="0.2">
      <c r="A8177" s="486" t="s">
        <v>1169</v>
      </c>
      <c r="B8177" s="487" t="s">
        <v>430</v>
      </c>
      <c r="C8177" s="488" t="s">
        <v>25530</v>
      </c>
      <c r="D8177" s="489" t="s">
        <v>25531</v>
      </c>
      <c r="E8177" s="487" t="s">
        <v>25532</v>
      </c>
      <c r="F8177" s="490">
        <v>12000</v>
      </c>
      <c r="G8177" s="489">
        <v>238.31</v>
      </c>
      <c r="H8177" s="489">
        <v>50.354579999999999</v>
      </c>
      <c r="I8177" s="487" t="s">
        <v>1499</v>
      </c>
      <c r="J8177" s="487" t="s">
        <v>1170</v>
      </c>
    </row>
    <row r="8178" spans="1:10" ht="15" x14ac:dyDescent="0.2">
      <c r="A8178" s="486" t="s">
        <v>1169</v>
      </c>
      <c r="B8178" s="487" t="s">
        <v>430</v>
      </c>
      <c r="C8178" s="488" t="s">
        <v>25533</v>
      </c>
      <c r="D8178" s="489" t="s">
        <v>25534</v>
      </c>
      <c r="E8178" s="487" t="s">
        <v>25535</v>
      </c>
      <c r="F8178" s="490">
        <v>0</v>
      </c>
      <c r="G8178" s="489">
        <v>139.33000000000001</v>
      </c>
      <c r="H8178" s="489">
        <v>0</v>
      </c>
      <c r="I8178" s="487" t="s">
        <v>1593</v>
      </c>
      <c r="J8178" s="487" t="s">
        <v>1170</v>
      </c>
    </row>
    <row r="8179" spans="1:10" ht="15" x14ac:dyDescent="0.2">
      <c r="A8179" s="486" t="s">
        <v>1169</v>
      </c>
      <c r="B8179" s="487" t="s">
        <v>430</v>
      </c>
      <c r="C8179" s="488" t="s">
        <v>25536</v>
      </c>
      <c r="D8179" s="489" t="s">
        <v>25537</v>
      </c>
      <c r="E8179" s="487" t="s">
        <v>25538</v>
      </c>
      <c r="F8179" s="490">
        <v>2625</v>
      </c>
      <c r="G8179" s="489">
        <v>92.17</v>
      </c>
      <c r="H8179" s="489">
        <v>28.479980000000001</v>
      </c>
      <c r="I8179" s="487" t="s">
        <v>2465</v>
      </c>
      <c r="J8179" s="487" t="s">
        <v>1170</v>
      </c>
    </row>
    <row r="8180" spans="1:10" ht="15" x14ac:dyDescent="0.2">
      <c r="A8180" s="486" t="s">
        <v>1169</v>
      </c>
      <c r="B8180" s="487" t="s">
        <v>430</v>
      </c>
      <c r="C8180" s="488" t="s">
        <v>25539</v>
      </c>
      <c r="D8180" s="489" t="s">
        <v>25540</v>
      </c>
      <c r="E8180" s="487" t="s">
        <v>25541</v>
      </c>
      <c r="F8180" s="490">
        <v>585214</v>
      </c>
      <c r="G8180" s="489">
        <v>4302.41</v>
      </c>
      <c r="H8180" s="489">
        <v>136.02003999999999</v>
      </c>
      <c r="I8180" s="487" t="s">
        <v>1499</v>
      </c>
      <c r="J8180" s="487" t="s">
        <v>1170</v>
      </c>
    </row>
    <row r="8181" spans="1:10" ht="15" x14ac:dyDescent="0.2">
      <c r="A8181" s="486" t="s">
        <v>1169</v>
      </c>
      <c r="B8181" s="487" t="s">
        <v>430</v>
      </c>
      <c r="C8181" s="488" t="s">
        <v>25542</v>
      </c>
      <c r="D8181" s="489" t="s">
        <v>25543</v>
      </c>
      <c r="E8181" s="487" t="s">
        <v>25544</v>
      </c>
      <c r="F8181" s="490">
        <v>5520</v>
      </c>
      <c r="G8181" s="489">
        <v>52.86</v>
      </c>
      <c r="H8181" s="489">
        <v>104.42679</v>
      </c>
      <c r="I8181" s="487" t="s">
        <v>1499</v>
      </c>
      <c r="J8181" s="487" t="s">
        <v>1170</v>
      </c>
    </row>
    <row r="8182" spans="1:10" ht="15" x14ac:dyDescent="0.2">
      <c r="A8182" s="486" t="s">
        <v>1169</v>
      </c>
      <c r="B8182" s="487" t="s">
        <v>430</v>
      </c>
      <c r="C8182" s="488" t="s">
        <v>25545</v>
      </c>
      <c r="D8182" s="489" t="s">
        <v>25546</v>
      </c>
      <c r="E8182" s="487" t="s">
        <v>25547</v>
      </c>
      <c r="F8182" s="490">
        <v>0</v>
      </c>
      <c r="G8182" s="489">
        <v>0</v>
      </c>
      <c r="H8182" s="489">
        <v>0</v>
      </c>
      <c r="I8182" s="487" t="s">
        <v>2465</v>
      </c>
      <c r="J8182" s="487" t="s">
        <v>1170</v>
      </c>
    </row>
    <row r="8183" spans="1:10" ht="15" x14ac:dyDescent="0.2">
      <c r="A8183" s="486" t="s">
        <v>1169</v>
      </c>
      <c r="B8183" s="487" t="s">
        <v>430</v>
      </c>
      <c r="C8183" s="488" t="s">
        <v>25548</v>
      </c>
      <c r="D8183" s="489" t="s">
        <v>25549</v>
      </c>
      <c r="E8183" s="487" t="s">
        <v>25550</v>
      </c>
      <c r="F8183" s="490">
        <v>9546</v>
      </c>
      <c r="G8183" s="489">
        <v>126.62</v>
      </c>
      <c r="H8183" s="489">
        <v>75.390929999999997</v>
      </c>
      <c r="I8183" s="487" t="s">
        <v>2465</v>
      </c>
      <c r="J8183" s="487" t="s">
        <v>1170</v>
      </c>
    </row>
    <row r="8184" spans="1:10" ht="15" x14ac:dyDescent="0.2">
      <c r="A8184" s="486" t="s">
        <v>1169</v>
      </c>
      <c r="B8184" s="487" t="s">
        <v>430</v>
      </c>
      <c r="C8184" s="488" t="s">
        <v>25551</v>
      </c>
      <c r="D8184" s="489" t="s">
        <v>25552</v>
      </c>
      <c r="E8184" s="487" t="s">
        <v>25553</v>
      </c>
      <c r="F8184" s="490">
        <v>30000</v>
      </c>
      <c r="G8184" s="489">
        <v>639.67999999999995</v>
      </c>
      <c r="H8184" s="489">
        <v>46.898449999999997</v>
      </c>
      <c r="I8184" s="487" t="s">
        <v>1499</v>
      </c>
      <c r="J8184" s="487" t="s">
        <v>1170</v>
      </c>
    </row>
    <row r="8185" spans="1:10" ht="15" x14ac:dyDescent="0.2">
      <c r="A8185" s="486" t="s">
        <v>1169</v>
      </c>
      <c r="B8185" s="487" t="s">
        <v>430</v>
      </c>
      <c r="C8185" s="488" t="s">
        <v>25554</v>
      </c>
      <c r="D8185" s="489" t="s">
        <v>25555</v>
      </c>
      <c r="E8185" s="487" t="s">
        <v>25556</v>
      </c>
      <c r="F8185" s="490">
        <v>0</v>
      </c>
      <c r="G8185" s="489">
        <v>0</v>
      </c>
      <c r="H8185" s="489">
        <v>0</v>
      </c>
      <c r="I8185" s="487" t="s">
        <v>2465</v>
      </c>
      <c r="J8185" s="487" t="s">
        <v>1170</v>
      </c>
    </row>
    <row r="8186" spans="1:10" ht="15" x14ac:dyDescent="0.2">
      <c r="A8186" s="486" t="s">
        <v>1169</v>
      </c>
      <c r="B8186" s="487" t="s">
        <v>430</v>
      </c>
      <c r="C8186" s="488" t="s">
        <v>25557</v>
      </c>
      <c r="D8186" s="489" t="s">
        <v>25558</v>
      </c>
      <c r="E8186" s="487" t="s">
        <v>25559</v>
      </c>
      <c r="F8186" s="490">
        <v>6500</v>
      </c>
      <c r="G8186" s="489">
        <v>260.93</v>
      </c>
      <c r="H8186" s="489">
        <v>24.910900000000002</v>
      </c>
      <c r="I8186" s="487" t="s">
        <v>1499</v>
      </c>
      <c r="J8186" s="487" t="s">
        <v>1170</v>
      </c>
    </row>
    <row r="8187" spans="1:10" ht="15" x14ac:dyDescent="0.2">
      <c r="A8187" s="486" t="s">
        <v>1169</v>
      </c>
      <c r="B8187" s="487" t="s">
        <v>430</v>
      </c>
      <c r="C8187" s="488" t="s">
        <v>25560</v>
      </c>
      <c r="D8187" s="489" t="s">
        <v>25561</v>
      </c>
      <c r="E8187" s="487" t="s">
        <v>25562</v>
      </c>
      <c r="F8187" s="490">
        <v>2600</v>
      </c>
      <c r="G8187" s="489">
        <v>153.03</v>
      </c>
      <c r="H8187" s="489">
        <v>16.990130000000001</v>
      </c>
      <c r="I8187" s="487" t="s">
        <v>1499</v>
      </c>
      <c r="J8187" s="487" t="s">
        <v>1170</v>
      </c>
    </row>
    <row r="8188" spans="1:10" ht="15" x14ac:dyDescent="0.2">
      <c r="A8188" s="486" t="s">
        <v>1169</v>
      </c>
      <c r="B8188" s="487" t="s">
        <v>430</v>
      </c>
      <c r="C8188" s="488" t="s">
        <v>25563</v>
      </c>
      <c r="D8188" s="489" t="s">
        <v>25564</v>
      </c>
      <c r="E8188" s="487" t="s">
        <v>25565</v>
      </c>
      <c r="F8188" s="490">
        <v>13649</v>
      </c>
      <c r="G8188" s="489">
        <v>219.48</v>
      </c>
      <c r="H8188" s="489">
        <v>62.187899999999999</v>
      </c>
      <c r="I8188" s="487" t="s">
        <v>1499</v>
      </c>
      <c r="J8188" s="487" t="s">
        <v>1170</v>
      </c>
    </row>
    <row r="8189" spans="1:10" ht="15" x14ac:dyDescent="0.2">
      <c r="A8189" s="486" t="s">
        <v>1169</v>
      </c>
      <c r="B8189" s="487" t="s">
        <v>430</v>
      </c>
      <c r="C8189" s="488" t="s">
        <v>25566</v>
      </c>
      <c r="D8189" s="489" t="s">
        <v>25567</v>
      </c>
      <c r="E8189" s="487" t="s">
        <v>25568</v>
      </c>
      <c r="F8189" s="490">
        <v>12428</v>
      </c>
      <c r="G8189" s="489">
        <v>404.84</v>
      </c>
      <c r="H8189" s="489">
        <v>30.698550000000001</v>
      </c>
      <c r="I8189" s="487" t="s">
        <v>2465</v>
      </c>
      <c r="J8189" s="487" t="s">
        <v>1170</v>
      </c>
    </row>
    <row r="8190" spans="1:10" ht="15" x14ac:dyDescent="0.2">
      <c r="A8190" s="486" t="s">
        <v>1169</v>
      </c>
      <c r="B8190" s="487" t="s">
        <v>430</v>
      </c>
      <c r="C8190" s="488" t="s">
        <v>25569</v>
      </c>
      <c r="D8190" s="489" t="s">
        <v>25570</v>
      </c>
      <c r="E8190" s="487" t="s">
        <v>25571</v>
      </c>
      <c r="F8190" s="490">
        <v>285824</v>
      </c>
      <c r="G8190" s="489">
        <v>1276.4000000000001</v>
      </c>
      <c r="H8190" s="489">
        <v>223.9298</v>
      </c>
      <c r="I8190" s="487" t="s">
        <v>1499</v>
      </c>
      <c r="J8190" s="487" t="s">
        <v>1170</v>
      </c>
    </row>
    <row r="8191" spans="1:10" ht="15" x14ac:dyDescent="0.2">
      <c r="A8191" s="486" t="s">
        <v>1169</v>
      </c>
      <c r="B8191" s="487" t="s">
        <v>430</v>
      </c>
      <c r="C8191" s="488" t="s">
        <v>25572</v>
      </c>
      <c r="D8191" s="489" t="s">
        <v>25573</v>
      </c>
      <c r="E8191" s="487" t="s">
        <v>25574</v>
      </c>
      <c r="F8191" s="490">
        <v>6767</v>
      </c>
      <c r="G8191" s="489">
        <v>188.46</v>
      </c>
      <c r="H8191" s="489">
        <v>35.906820000000003</v>
      </c>
      <c r="I8191" s="487" t="s">
        <v>1499</v>
      </c>
      <c r="J8191" s="487" t="s">
        <v>1170</v>
      </c>
    </row>
    <row r="8192" spans="1:10" ht="15" x14ac:dyDescent="0.2">
      <c r="A8192" s="486" t="s">
        <v>1169</v>
      </c>
      <c r="B8192" s="487" t="s">
        <v>430</v>
      </c>
      <c r="C8192" s="488" t="s">
        <v>25575</v>
      </c>
      <c r="D8192" s="489" t="s">
        <v>25576</v>
      </c>
      <c r="E8192" s="487" t="s">
        <v>25577</v>
      </c>
      <c r="F8192" s="490">
        <v>29250</v>
      </c>
      <c r="G8192" s="489">
        <v>641.51</v>
      </c>
      <c r="H8192" s="489">
        <v>45.595550000000003</v>
      </c>
      <c r="I8192" s="487" t="s">
        <v>1499</v>
      </c>
      <c r="J8192" s="487" t="s">
        <v>1170</v>
      </c>
    </row>
    <row r="8193" spans="1:10" ht="15" x14ac:dyDescent="0.2">
      <c r="A8193" s="486" t="s">
        <v>1169</v>
      </c>
      <c r="B8193" s="487" t="s">
        <v>430</v>
      </c>
      <c r="C8193" s="488" t="s">
        <v>25578</v>
      </c>
      <c r="D8193" s="489" t="s">
        <v>25579</v>
      </c>
      <c r="E8193" s="487" t="s">
        <v>25580</v>
      </c>
      <c r="F8193" s="490">
        <v>4859</v>
      </c>
      <c r="G8193" s="489">
        <v>281</v>
      </c>
      <c r="H8193" s="489">
        <v>17.291810000000002</v>
      </c>
      <c r="I8193" s="487" t="s">
        <v>2465</v>
      </c>
      <c r="J8193" s="487" t="s">
        <v>1170</v>
      </c>
    </row>
    <row r="8194" spans="1:10" ht="15" x14ac:dyDescent="0.2">
      <c r="A8194" s="486" t="s">
        <v>1169</v>
      </c>
      <c r="B8194" s="487" t="s">
        <v>430</v>
      </c>
      <c r="C8194" s="488" t="s">
        <v>25581</v>
      </c>
      <c r="D8194" s="489" t="s">
        <v>25582</v>
      </c>
      <c r="E8194" s="487" t="s">
        <v>3077</v>
      </c>
      <c r="F8194" s="490">
        <v>4150</v>
      </c>
      <c r="G8194" s="489">
        <v>150.66</v>
      </c>
      <c r="H8194" s="489">
        <v>27.545470000000002</v>
      </c>
      <c r="I8194" s="487" t="s">
        <v>1499</v>
      </c>
      <c r="J8194" s="487" t="s">
        <v>1170</v>
      </c>
    </row>
    <row r="8195" spans="1:10" ht="15" x14ac:dyDescent="0.2">
      <c r="A8195" s="486" t="s">
        <v>1169</v>
      </c>
      <c r="B8195" s="487" t="s">
        <v>430</v>
      </c>
      <c r="C8195" s="488" t="s">
        <v>25583</v>
      </c>
      <c r="D8195" s="489" t="s">
        <v>25584</v>
      </c>
      <c r="E8195" s="487" t="s">
        <v>25585</v>
      </c>
      <c r="F8195" s="490">
        <v>7750</v>
      </c>
      <c r="G8195" s="489">
        <v>159.93</v>
      </c>
      <c r="H8195" s="489">
        <v>48.4587</v>
      </c>
      <c r="I8195" s="487" t="s">
        <v>1499</v>
      </c>
      <c r="J8195" s="487" t="s">
        <v>1170</v>
      </c>
    </row>
    <row r="8196" spans="1:10" ht="15" x14ac:dyDescent="0.2">
      <c r="A8196" s="486" t="s">
        <v>1169</v>
      </c>
      <c r="B8196" s="487" t="s">
        <v>430</v>
      </c>
      <c r="C8196" s="488" t="s">
        <v>25586</v>
      </c>
      <c r="D8196" s="489" t="s">
        <v>25587</v>
      </c>
      <c r="E8196" s="487" t="s">
        <v>25588</v>
      </c>
      <c r="F8196" s="490">
        <v>0</v>
      </c>
      <c r="G8196" s="489">
        <v>63.66</v>
      </c>
      <c r="H8196" s="489">
        <v>0</v>
      </c>
      <c r="I8196" s="487" t="s">
        <v>1593</v>
      </c>
      <c r="J8196" s="487" t="s">
        <v>1170</v>
      </c>
    </row>
    <row r="8197" spans="1:10" ht="15" x14ac:dyDescent="0.2">
      <c r="A8197" s="486" t="s">
        <v>1169</v>
      </c>
      <c r="B8197" s="487" t="s">
        <v>430</v>
      </c>
      <c r="C8197" s="488" t="s">
        <v>25589</v>
      </c>
      <c r="D8197" s="489" t="s">
        <v>25590</v>
      </c>
      <c r="E8197" s="487" t="s">
        <v>25591</v>
      </c>
      <c r="F8197" s="490">
        <v>17000</v>
      </c>
      <c r="G8197" s="489">
        <v>136.88999999999999</v>
      </c>
      <c r="H8197" s="489">
        <v>124.18729999999999</v>
      </c>
      <c r="I8197" s="487" t="s">
        <v>1499</v>
      </c>
      <c r="J8197" s="487" t="s">
        <v>1170</v>
      </c>
    </row>
    <row r="8198" spans="1:10" ht="15" x14ac:dyDescent="0.2">
      <c r="A8198" s="486" t="s">
        <v>1169</v>
      </c>
      <c r="B8198" s="487" t="s">
        <v>430</v>
      </c>
      <c r="C8198" s="488" t="s">
        <v>25592</v>
      </c>
      <c r="D8198" s="489" t="s">
        <v>25593</v>
      </c>
      <c r="E8198" s="487" t="s">
        <v>25594</v>
      </c>
      <c r="F8198" s="490">
        <v>27233</v>
      </c>
      <c r="G8198" s="489">
        <v>353.94</v>
      </c>
      <c r="H8198" s="489">
        <v>76.942419999999998</v>
      </c>
      <c r="I8198" s="487" t="s">
        <v>1499</v>
      </c>
      <c r="J8198" s="487" t="s">
        <v>1170</v>
      </c>
    </row>
    <row r="8199" spans="1:10" ht="15" x14ac:dyDescent="0.2">
      <c r="A8199" s="486" t="s">
        <v>1169</v>
      </c>
      <c r="B8199" s="487" t="s">
        <v>430</v>
      </c>
      <c r="C8199" s="488" t="s">
        <v>25595</v>
      </c>
      <c r="D8199" s="489" t="s">
        <v>25596</v>
      </c>
      <c r="E8199" s="487" t="s">
        <v>25597</v>
      </c>
      <c r="F8199" s="490">
        <v>4829</v>
      </c>
      <c r="G8199" s="489">
        <v>135.13</v>
      </c>
      <c r="H8199" s="489">
        <v>35.735959999999999</v>
      </c>
      <c r="I8199" s="487" t="s">
        <v>1499</v>
      </c>
      <c r="J8199" s="487" t="s">
        <v>1170</v>
      </c>
    </row>
    <row r="8200" spans="1:10" ht="15" x14ac:dyDescent="0.2">
      <c r="A8200" s="486" t="s">
        <v>1169</v>
      </c>
      <c r="B8200" s="487" t="s">
        <v>430</v>
      </c>
      <c r="C8200" s="488" t="s">
        <v>25598</v>
      </c>
      <c r="D8200" s="489" t="s">
        <v>25599</v>
      </c>
      <c r="E8200" s="487" t="s">
        <v>25600</v>
      </c>
      <c r="F8200" s="490">
        <v>588315</v>
      </c>
      <c r="G8200" s="489">
        <v>5494.51</v>
      </c>
      <c r="H8200" s="489">
        <v>107.07324</v>
      </c>
      <c r="I8200" s="487" t="s">
        <v>2465</v>
      </c>
      <c r="J8200" s="487" t="s">
        <v>1170</v>
      </c>
    </row>
    <row r="8201" spans="1:10" ht="15" x14ac:dyDescent="0.2">
      <c r="A8201" s="486" t="s">
        <v>1169</v>
      </c>
      <c r="B8201" s="487" t="s">
        <v>430</v>
      </c>
      <c r="C8201" s="488" t="s">
        <v>25601</v>
      </c>
      <c r="D8201" s="489" t="s">
        <v>25602</v>
      </c>
      <c r="E8201" s="487" t="s">
        <v>25603</v>
      </c>
      <c r="F8201" s="490">
        <v>45000</v>
      </c>
      <c r="G8201" s="489">
        <v>1724.2</v>
      </c>
      <c r="H8201" s="489">
        <v>26.099060000000001</v>
      </c>
      <c r="I8201" s="487" t="s">
        <v>1499</v>
      </c>
      <c r="J8201" s="487" t="s">
        <v>1170</v>
      </c>
    </row>
    <row r="8202" spans="1:10" ht="15" x14ac:dyDescent="0.2">
      <c r="A8202" s="486" t="s">
        <v>1169</v>
      </c>
      <c r="B8202" s="487" t="s">
        <v>430</v>
      </c>
      <c r="C8202" s="488" t="s">
        <v>25604</v>
      </c>
      <c r="D8202" s="489" t="s">
        <v>25605</v>
      </c>
      <c r="E8202" s="487" t="s">
        <v>25606</v>
      </c>
      <c r="F8202" s="490">
        <v>217519</v>
      </c>
      <c r="G8202" s="489">
        <v>1439.61</v>
      </c>
      <c r="H8202" s="489">
        <v>151.09577999999999</v>
      </c>
      <c r="I8202" s="487" t="s">
        <v>1499</v>
      </c>
      <c r="J8202" s="487" t="s">
        <v>1170</v>
      </c>
    </row>
    <row r="8203" spans="1:10" ht="15" x14ac:dyDescent="0.2">
      <c r="A8203" s="486" t="s">
        <v>1169</v>
      </c>
      <c r="B8203" s="487" t="s">
        <v>430</v>
      </c>
      <c r="C8203" s="488" t="s">
        <v>25607</v>
      </c>
      <c r="D8203" s="489" t="s">
        <v>25608</v>
      </c>
      <c r="E8203" s="487" t="s">
        <v>25609</v>
      </c>
      <c r="F8203" s="490">
        <v>30723</v>
      </c>
      <c r="G8203" s="489">
        <v>1202</v>
      </c>
      <c r="H8203" s="489">
        <v>25.559899999999999</v>
      </c>
      <c r="I8203" s="487" t="s">
        <v>1499</v>
      </c>
      <c r="J8203" s="487" t="s">
        <v>1170</v>
      </c>
    </row>
    <row r="8204" spans="1:10" ht="15" x14ac:dyDescent="0.2">
      <c r="A8204" s="486" t="s">
        <v>1169</v>
      </c>
      <c r="B8204" s="487" t="s">
        <v>430</v>
      </c>
      <c r="C8204" s="488" t="s">
        <v>25610</v>
      </c>
      <c r="D8204" s="489" t="s">
        <v>25611</v>
      </c>
      <c r="E8204" s="487" t="s">
        <v>25612</v>
      </c>
      <c r="F8204" s="490">
        <v>6047</v>
      </c>
      <c r="G8204" s="489">
        <v>102.68</v>
      </c>
      <c r="H8204" s="489">
        <v>58.8917</v>
      </c>
      <c r="I8204" s="487" t="s">
        <v>1499</v>
      </c>
      <c r="J8204" s="487" t="s">
        <v>1170</v>
      </c>
    </row>
    <row r="8205" spans="1:10" ht="15" x14ac:dyDescent="0.2">
      <c r="A8205" s="486" t="s">
        <v>1169</v>
      </c>
      <c r="B8205" s="487" t="s">
        <v>430</v>
      </c>
      <c r="C8205" s="488" t="s">
        <v>25613</v>
      </c>
      <c r="D8205" s="489" t="s">
        <v>25614</v>
      </c>
      <c r="E8205" s="487" t="s">
        <v>25615</v>
      </c>
      <c r="F8205" s="490">
        <v>6500</v>
      </c>
      <c r="G8205" s="489">
        <v>147.71</v>
      </c>
      <c r="H8205" s="489">
        <v>44.00515</v>
      </c>
      <c r="I8205" s="487" t="s">
        <v>1499</v>
      </c>
      <c r="J8205" s="487" t="s">
        <v>1170</v>
      </c>
    </row>
    <row r="8206" spans="1:10" ht="15" x14ac:dyDescent="0.2">
      <c r="A8206" s="486" t="s">
        <v>1169</v>
      </c>
      <c r="B8206" s="487" t="s">
        <v>430</v>
      </c>
      <c r="C8206" s="488" t="s">
        <v>25616</v>
      </c>
      <c r="D8206" s="489" t="s">
        <v>25617</v>
      </c>
      <c r="E8206" s="487" t="s">
        <v>25618</v>
      </c>
      <c r="F8206" s="490">
        <v>0</v>
      </c>
      <c r="G8206" s="489">
        <v>0</v>
      </c>
      <c r="H8206" s="489">
        <v>0</v>
      </c>
      <c r="I8206" s="487" t="s">
        <v>2465</v>
      </c>
      <c r="J8206" s="487" t="s">
        <v>1170</v>
      </c>
    </row>
    <row r="8207" spans="1:10" ht="15" x14ac:dyDescent="0.2">
      <c r="A8207" s="486" t="s">
        <v>1169</v>
      </c>
      <c r="B8207" s="487" t="s">
        <v>430</v>
      </c>
      <c r="C8207" s="488" t="s">
        <v>25619</v>
      </c>
      <c r="D8207" s="489" t="s">
        <v>25620</v>
      </c>
      <c r="E8207" s="487" t="s">
        <v>25621</v>
      </c>
      <c r="F8207" s="490">
        <v>0</v>
      </c>
      <c r="G8207" s="489">
        <v>0</v>
      </c>
      <c r="H8207" s="489">
        <v>0</v>
      </c>
      <c r="I8207" s="487" t="s">
        <v>2465</v>
      </c>
      <c r="J8207" s="487" t="s">
        <v>1170</v>
      </c>
    </row>
    <row r="8208" spans="1:10" ht="15" x14ac:dyDescent="0.2">
      <c r="A8208" s="486" t="s">
        <v>1169</v>
      </c>
      <c r="B8208" s="487" t="s">
        <v>430</v>
      </c>
      <c r="C8208" s="488" t="s">
        <v>25622</v>
      </c>
      <c r="D8208" s="489" t="s">
        <v>25623</v>
      </c>
      <c r="E8208" s="487" t="s">
        <v>25624</v>
      </c>
      <c r="F8208" s="490">
        <v>8746</v>
      </c>
      <c r="G8208" s="489">
        <v>287.89999999999998</v>
      </c>
      <c r="H8208" s="489">
        <v>30.378599999999999</v>
      </c>
      <c r="I8208" s="487" t="s">
        <v>1499</v>
      </c>
      <c r="J8208" s="487" t="s">
        <v>1170</v>
      </c>
    </row>
    <row r="8209" spans="1:10" ht="15" x14ac:dyDescent="0.2">
      <c r="A8209" s="486" t="s">
        <v>1169</v>
      </c>
      <c r="B8209" s="487" t="s">
        <v>430</v>
      </c>
      <c r="C8209" s="488" t="s">
        <v>25625</v>
      </c>
      <c r="D8209" s="489" t="s">
        <v>25626</v>
      </c>
      <c r="E8209" s="487" t="s">
        <v>25627</v>
      </c>
      <c r="F8209" s="490">
        <v>33744</v>
      </c>
      <c r="G8209" s="489">
        <v>474.77</v>
      </c>
      <c r="H8209" s="489">
        <v>71.07441</v>
      </c>
      <c r="I8209" s="487" t="s">
        <v>1499</v>
      </c>
      <c r="J8209" s="487" t="s">
        <v>1170</v>
      </c>
    </row>
    <row r="8210" spans="1:10" ht="15" x14ac:dyDescent="0.2">
      <c r="A8210" s="486" t="s">
        <v>1169</v>
      </c>
      <c r="B8210" s="487" t="s">
        <v>430</v>
      </c>
      <c r="C8210" s="488" t="s">
        <v>25628</v>
      </c>
      <c r="D8210" s="489" t="s">
        <v>25629</v>
      </c>
      <c r="E8210" s="487" t="s">
        <v>25630</v>
      </c>
      <c r="F8210" s="490">
        <v>4640</v>
      </c>
      <c r="G8210" s="489">
        <v>79.23</v>
      </c>
      <c r="H8210" s="489">
        <v>58.563679999999998</v>
      </c>
      <c r="I8210" s="487" t="s">
        <v>1499</v>
      </c>
      <c r="J8210" s="487" t="s">
        <v>1170</v>
      </c>
    </row>
    <row r="8211" spans="1:10" ht="15" x14ac:dyDescent="0.2">
      <c r="A8211" s="486" t="s">
        <v>1169</v>
      </c>
      <c r="B8211" s="487" t="s">
        <v>430</v>
      </c>
      <c r="C8211" s="488" t="s">
        <v>25631</v>
      </c>
      <c r="D8211" s="489" t="s">
        <v>25632</v>
      </c>
      <c r="E8211" s="487" t="s">
        <v>25633</v>
      </c>
      <c r="F8211" s="490">
        <v>97764</v>
      </c>
      <c r="G8211" s="489">
        <v>1376.82</v>
      </c>
      <c r="H8211" s="489">
        <v>71.007099999999994</v>
      </c>
      <c r="I8211" s="487" t="s">
        <v>2465</v>
      </c>
      <c r="J8211" s="487" t="s">
        <v>1170</v>
      </c>
    </row>
    <row r="8212" spans="1:10" ht="15" x14ac:dyDescent="0.2">
      <c r="A8212" s="486" t="s">
        <v>1169</v>
      </c>
      <c r="B8212" s="487" t="s">
        <v>430</v>
      </c>
      <c r="C8212" s="488" t="s">
        <v>25634</v>
      </c>
      <c r="D8212" s="489" t="s">
        <v>25635</v>
      </c>
      <c r="E8212" s="487" t="s">
        <v>25636</v>
      </c>
      <c r="F8212" s="490">
        <v>58850</v>
      </c>
      <c r="G8212" s="489">
        <v>906.14</v>
      </c>
      <c r="H8212" s="489">
        <v>64.945809999999994</v>
      </c>
      <c r="I8212" s="487" t="s">
        <v>1499</v>
      </c>
      <c r="J8212" s="487" t="s">
        <v>1170</v>
      </c>
    </row>
    <row r="8213" spans="1:10" ht="15" x14ac:dyDescent="0.2">
      <c r="A8213" s="486" t="s">
        <v>1169</v>
      </c>
      <c r="B8213" s="487" t="s">
        <v>430</v>
      </c>
      <c r="C8213" s="488" t="s">
        <v>25637</v>
      </c>
      <c r="D8213" s="489" t="s">
        <v>25638</v>
      </c>
      <c r="E8213" s="487" t="s">
        <v>25639</v>
      </c>
      <c r="F8213" s="490">
        <v>20146</v>
      </c>
      <c r="G8213" s="489">
        <v>339.65</v>
      </c>
      <c r="H8213" s="489">
        <v>59.314</v>
      </c>
      <c r="I8213" s="487" t="s">
        <v>1499</v>
      </c>
      <c r="J8213" s="487" t="s">
        <v>1170</v>
      </c>
    </row>
    <row r="8214" spans="1:10" ht="15" x14ac:dyDescent="0.2">
      <c r="A8214" s="486" t="s">
        <v>1169</v>
      </c>
      <c r="B8214" s="487" t="s">
        <v>430</v>
      </c>
      <c r="C8214" s="488" t="s">
        <v>25640</v>
      </c>
      <c r="D8214" s="489" t="s">
        <v>25641</v>
      </c>
      <c r="E8214" s="487" t="s">
        <v>25642</v>
      </c>
      <c r="F8214" s="490">
        <v>577399</v>
      </c>
      <c r="G8214" s="489">
        <v>3610.14</v>
      </c>
      <c r="H8214" s="489">
        <v>159.93812</v>
      </c>
      <c r="I8214" s="487" t="s">
        <v>1499</v>
      </c>
      <c r="J8214" s="487" t="s">
        <v>1170</v>
      </c>
    </row>
    <row r="8215" spans="1:10" ht="15" x14ac:dyDescent="0.2">
      <c r="A8215" s="486" t="s">
        <v>1169</v>
      </c>
      <c r="B8215" s="487" t="s">
        <v>430</v>
      </c>
      <c r="C8215" s="488" t="s">
        <v>25643</v>
      </c>
      <c r="D8215" s="489" t="s">
        <v>25644</v>
      </c>
      <c r="E8215" s="487" t="s">
        <v>25645</v>
      </c>
      <c r="F8215" s="490">
        <v>0</v>
      </c>
      <c r="G8215" s="489">
        <v>0</v>
      </c>
      <c r="H8215" s="489">
        <v>0</v>
      </c>
      <c r="I8215" s="487" t="s">
        <v>2465</v>
      </c>
      <c r="J8215" s="487" t="s">
        <v>1170</v>
      </c>
    </row>
    <row r="8216" spans="1:10" ht="15" x14ac:dyDescent="0.2">
      <c r="A8216" s="486" t="s">
        <v>1169</v>
      </c>
      <c r="B8216" s="487" t="s">
        <v>430</v>
      </c>
      <c r="C8216" s="488" t="s">
        <v>25646</v>
      </c>
      <c r="D8216" s="489" t="s">
        <v>25647</v>
      </c>
      <c r="E8216" s="487" t="s">
        <v>25648</v>
      </c>
      <c r="F8216" s="490">
        <v>2389594</v>
      </c>
      <c r="G8216" s="489">
        <v>27453.97</v>
      </c>
      <c r="H8216" s="489">
        <v>87.040019999999998</v>
      </c>
      <c r="I8216" s="487" t="s">
        <v>1499</v>
      </c>
      <c r="J8216" s="487" t="s">
        <v>1170</v>
      </c>
    </row>
    <row r="8217" spans="1:10" ht="15" x14ac:dyDescent="0.2">
      <c r="A8217" s="486" t="s">
        <v>1169</v>
      </c>
      <c r="B8217" s="487" t="s">
        <v>430</v>
      </c>
      <c r="C8217" s="488" t="s">
        <v>25649</v>
      </c>
      <c r="D8217" s="489" t="s">
        <v>25650</v>
      </c>
      <c r="E8217" s="487" t="s">
        <v>25651</v>
      </c>
      <c r="F8217" s="490">
        <v>0</v>
      </c>
      <c r="G8217" s="489">
        <v>49.71</v>
      </c>
      <c r="H8217" s="489">
        <v>0</v>
      </c>
      <c r="I8217" s="487" t="s">
        <v>1593</v>
      </c>
      <c r="J8217" s="487" t="s">
        <v>1170</v>
      </c>
    </row>
    <row r="8218" spans="1:10" ht="15" x14ac:dyDescent="0.2">
      <c r="A8218" s="486" t="s">
        <v>1169</v>
      </c>
      <c r="B8218" s="487" t="s">
        <v>430</v>
      </c>
      <c r="C8218" s="488" t="s">
        <v>25652</v>
      </c>
      <c r="D8218" s="489" t="s">
        <v>25653</v>
      </c>
      <c r="E8218" s="487" t="s">
        <v>25654</v>
      </c>
      <c r="F8218" s="490">
        <v>0</v>
      </c>
      <c r="G8218" s="489">
        <v>0</v>
      </c>
      <c r="H8218" s="489">
        <v>0</v>
      </c>
      <c r="I8218" s="487" t="s">
        <v>2465</v>
      </c>
      <c r="J8218" s="487" t="s">
        <v>1170</v>
      </c>
    </row>
    <row r="8219" spans="1:10" ht="15" x14ac:dyDescent="0.2">
      <c r="A8219" s="486" t="s">
        <v>1169</v>
      </c>
      <c r="B8219" s="487" t="s">
        <v>430</v>
      </c>
      <c r="C8219" s="488" t="s">
        <v>25655</v>
      </c>
      <c r="D8219" s="489" t="s">
        <v>25656</v>
      </c>
      <c r="E8219" s="487" t="s">
        <v>22019</v>
      </c>
      <c r="F8219" s="490">
        <v>62042</v>
      </c>
      <c r="G8219" s="489">
        <v>1063.54</v>
      </c>
      <c r="H8219" s="489">
        <v>58.335369999999998</v>
      </c>
      <c r="I8219" s="487" t="s">
        <v>1499</v>
      </c>
      <c r="J8219" s="487" t="s">
        <v>1170</v>
      </c>
    </row>
    <row r="8220" spans="1:10" ht="15" x14ac:dyDescent="0.2">
      <c r="A8220" s="486" t="s">
        <v>1169</v>
      </c>
      <c r="B8220" s="487" t="s">
        <v>430</v>
      </c>
      <c r="C8220" s="488" t="s">
        <v>25657</v>
      </c>
      <c r="D8220" s="489" t="s">
        <v>25658</v>
      </c>
      <c r="E8220" s="487" t="s">
        <v>25659</v>
      </c>
      <c r="F8220" s="490">
        <v>5171</v>
      </c>
      <c r="G8220" s="489">
        <v>174.28</v>
      </c>
      <c r="H8220" s="489">
        <v>29.670639999999999</v>
      </c>
      <c r="I8220" s="487" t="s">
        <v>1499</v>
      </c>
      <c r="J8220" s="487" t="s">
        <v>1170</v>
      </c>
    </row>
    <row r="8221" spans="1:10" ht="15" x14ac:dyDescent="0.2">
      <c r="A8221" s="486" t="s">
        <v>1169</v>
      </c>
      <c r="B8221" s="487" t="s">
        <v>430</v>
      </c>
      <c r="C8221" s="488" t="s">
        <v>25660</v>
      </c>
      <c r="D8221" s="489" t="s">
        <v>25661</v>
      </c>
      <c r="E8221" s="487" t="s">
        <v>25662</v>
      </c>
      <c r="F8221" s="490">
        <v>0</v>
      </c>
      <c r="G8221" s="489">
        <v>0</v>
      </c>
      <c r="H8221" s="489">
        <v>0</v>
      </c>
      <c r="I8221" s="487" t="s">
        <v>2465</v>
      </c>
      <c r="J8221" s="487" t="s">
        <v>1170</v>
      </c>
    </row>
    <row r="8222" spans="1:10" ht="15" x14ac:dyDescent="0.2">
      <c r="A8222" s="486" t="s">
        <v>1169</v>
      </c>
      <c r="B8222" s="487" t="s">
        <v>430</v>
      </c>
      <c r="C8222" s="488" t="s">
        <v>25663</v>
      </c>
      <c r="D8222" s="489" t="s">
        <v>25664</v>
      </c>
      <c r="E8222" s="487" t="s">
        <v>25665</v>
      </c>
      <c r="F8222" s="490">
        <v>12300</v>
      </c>
      <c r="G8222" s="489">
        <v>262.72000000000003</v>
      </c>
      <c r="H8222" s="489">
        <v>46.817900000000002</v>
      </c>
      <c r="I8222" s="487" t="s">
        <v>1499</v>
      </c>
      <c r="J8222" s="487" t="s">
        <v>1170</v>
      </c>
    </row>
    <row r="8223" spans="1:10" ht="15" x14ac:dyDescent="0.2">
      <c r="A8223" s="486" t="s">
        <v>1169</v>
      </c>
      <c r="B8223" s="487" t="s">
        <v>430</v>
      </c>
      <c r="C8223" s="488" t="s">
        <v>25666</v>
      </c>
      <c r="D8223" s="489" t="s">
        <v>25667</v>
      </c>
      <c r="E8223" s="487" t="s">
        <v>20236</v>
      </c>
      <c r="F8223" s="490">
        <v>6517</v>
      </c>
      <c r="G8223" s="489">
        <v>138.13999999999999</v>
      </c>
      <c r="H8223" s="489">
        <v>47.176780000000001</v>
      </c>
      <c r="I8223" s="487" t="s">
        <v>1499</v>
      </c>
      <c r="J8223" s="487" t="s">
        <v>1170</v>
      </c>
    </row>
    <row r="8224" spans="1:10" ht="15" x14ac:dyDescent="0.2">
      <c r="A8224" s="486" t="s">
        <v>1169</v>
      </c>
      <c r="B8224" s="487" t="s">
        <v>430</v>
      </c>
      <c r="C8224" s="488" t="s">
        <v>25668</v>
      </c>
      <c r="D8224" s="489" t="s">
        <v>25669</v>
      </c>
      <c r="E8224" s="487" t="s">
        <v>25670</v>
      </c>
      <c r="F8224" s="490">
        <v>22651</v>
      </c>
      <c r="G8224" s="489">
        <v>512.08000000000004</v>
      </c>
      <c r="H8224" s="489">
        <v>44.233319999999999</v>
      </c>
      <c r="I8224" s="487" t="s">
        <v>1499</v>
      </c>
      <c r="J8224" s="487" t="s">
        <v>1170</v>
      </c>
    </row>
    <row r="8225" spans="1:10" ht="15" x14ac:dyDescent="0.2">
      <c r="A8225" s="486" t="s">
        <v>1169</v>
      </c>
      <c r="B8225" s="487" t="s">
        <v>430</v>
      </c>
      <c r="C8225" s="488" t="s">
        <v>25671</v>
      </c>
      <c r="D8225" s="489" t="s">
        <v>25672</v>
      </c>
      <c r="E8225" s="487" t="s">
        <v>25673</v>
      </c>
      <c r="F8225" s="490">
        <v>39950</v>
      </c>
      <c r="G8225" s="489">
        <v>356.08</v>
      </c>
      <c r="H8225" s="489">
        <v>112.19389</v>
      </c>
      <c r="I8225" s="487" t="s">
        <v>2465</v>
      </c>
      <c r="J8225" s="487" t="s">
        <v>1170</v>
      </c>
    </row>
    <row r="8226" spans="1:10" ht="15" x14ac:dyDescent="0.2">
      <c r="A8226" s="486" t="s">
        <v>1169</v>
      </c>
      <c r="B8226" s="487" t="s">
        <v>430</v>
      </c>
      <c r="C8226" s="488" t="s">
        <v>25674</v>
      </c>
      <c r="D8226" s="489" t="s">
        <v>25675</v>
      </c>
      <c r="E8226" s="487" t="s">
        <v>3163</v>
      </c>
      <c r="F8226" s="490">
        <v>385</v>
      </c>
      <c r="G8226" s="489">
        <v>51.89</v>
      </c>
      <c r="H8226" s="489">
        <v>7.4195399999999996</v>
      </c>
      <c r="I8226" s="487" t="s">
        <v>1499</v>
      </c>
      <c r="J8226" s="487" t="s">
        <v>1170</v>
      </c>
    </row>
    <row r="8227" spans="1:10" ht="15" x14ac:dyDescent="0.2">
      <c r="A8227" s="486" t="s">
        <v>1169</v>
      </c>
      <c r="B8227" s="487" t="s">
        <v>430</v>
      </c>
      <c r="C8227" s="488" t="s">
        <v>25676</v>
      </c>
      <c r="D8227" s="489" t="s">
        <v>25677</v>
      </c>
      <c r="E8227" s="487" t="s">
        <v>25678</v>
      </c>
      <c r="F8227" s="490">
        <v>3850</v>
      </c>
      <c r="G8227" s="489">
        <v>114.24</v>
      </c>
      <c r="H8227" s="489">
        <v>33.700980000000001</v>
      </c>
      <c r="I8227" s="487" t="s">
        <v>1499</v>
      </c>
      <c r="J8227" s="487" t="s">
        <v>1170</v>
      </c>
    </row>
    <row r="8228" spans="1:10" ht="15" x14ac:dyDescent="0.2">
      <c r="A8228" s="486" t="s">
        <v>1169</v>
      </c>
      <c r="B8228" s="487" t="s">
        <v>430</v>
      </c>
      <c r="C8228" s="488" t="s">
        <v>25679</v>
      </c>
      <c r="D8228" s="489" t="s">
        <v>25680</v>
      </c>
      <c r="E8228" s="487" t="s">
        <v>25681</v>
      </c>
      <c r="F8228" s="490">
        <v>9778</v>
      </c>
      <c r="G8228" s="489">
        <v>421.54</v>
      </c>
      <c r="H8228" s="489">
        <v>23.195900000000002</v>
      </c>
      <c r="I8228" s="487" t="s">
        <v>1499</v>
      </c>
      <c r="J8228" s="487" t="s">
        <v>1170</v>
      </c>
    </row>
    <row r="8229" spans="1:10" ht="15" x14ac:dyDescent="0.2">
      <c r="A8229" s="486" t="s">
        <v>1169</v>
      </c>
      <c r="B8229" s="487" t="s">
        <v>430</v>
      </c>
      <c r="C8229" s="488" t="s">
        <v>25682</v>
      </c>
      <c r="D8229" s="489" t="s">
        <v>25683</v>
      </c>
      <c r="E8229" s="487" t="s">
        <v>25684</v>
      </c>
      <c r="F8229" s="490">
        <v>11430</v>
      </c>
      <c r="G8229" s="489">
        <v>415.03</v>
      </c>
      <c r="H8229" s="489">
        <v>27.540179999999999</v>
      </c>
      <c r="I8229" s="487" t="s">
        <v>1499</v>
      </c>
      <c r="J8229" s="487" t="s">
        <v>1170</v>
      </c>
    </row>
    <row r="8230" spans="1:10" ht="15" x14ac:dyDescent="0.2">
      <c r="A8230" s="486" t="s">
        <v>1169</v>
      </c>
      <c r="B8230" s="487" t="s">
        <v>430</v>
      </c>
      <c r="C8230" s="488" t="s">
        <v>25685</v>
      </c>
      <c r="D8230" s="489" t="s">
        <v>25686</v>
      </c>
      <c r="E8230" s="487" t="s">
        <v>25687</v>
      </c>
      <c r="F8230" s="490">
        <v>4921</v>
      </c>
      <c r="G8230" s="489">
        <v>127.94</v>
      </c>
      <c r="H8230" s="489">
        <v>38.463340000000002</v>
      </c>
      <c r="I8230" s="487" t="s">
        <v>1499</v>
      </c>
      <c r="J8230" s="487" t="s">
        <v>1170</v>
      </c>
    </row>
    <row r="8231" spans="1:10" ht="15" x14ac:dyDescent="0.2">
      <c r="A8231" s="486" t="s">
        <v>1169</v>
      </c>
      <c r="B8231" s="487" t="s">
        <v>430</v>
      </c>
      <c r="C8231" s="488" t="s">
        <v>25688</v>
      </c>
      <c r="D8231" s="489" t="s">
        <v>25689</v>
      </c>
      <c r="E8231" s="487" t="s">
        <v>18349</v>
      </c>
      <c r="F8231" s="490">
        <v>10089</v>
      </c>
      <c r="G8231" s="489">
        <v>109.47</v>
      </c>
      <c r="H8231" s="489">
        <v>92.162239999999997</v>
      </c>
      <c r="I8231" s="487" t="s">
        <v>1499</v>
      </c>
      <c r="J8231" s="487" t="s">
        <v>1170</v>
      </c>
    </row>
    <row r="8232" spans="1:10" ht="15" x14ac:dyDescent="0.2">
      <c r="A8232" s="486" t="s">
        <v>1169</v>
      </c>
      <c r="B8232" s="487" t="s">
        <v>430</v>
      </c>
      <c r="C8232" s="488" t="s">
        <v>25690</v>
      </c>
      <c r="D8232" s="489" t="s">
        <v>25691</v>
      </c>
      <c r="E8232" s="487" t="s">
        <v>25692</v>
      </c>
      <c r="F8232" s="490">
        <v>0</v>
      </c>
      <c r="G8232" s="489">
        <v>0</v>
      </c>
      <c r="H8232" s="489">
        <v>0</v>
      </c>
      <c r="I8232" s="487" t="s">
        <v>2465</v>
      </c>
      <c r="J8232" s="487" t="s">
        <v>1170</v>
      </c>
    </row>
    <row r="8233" spans="1:10" ht="15" x14ac:dyDescent="0.2">
      <c r="A8233" s="486" t="s">
        <v>1169</v>
      </c>
      <c r="B8233" s="487" t="s">
        <v>430</v>
      </c>
      <c r="C8233" s="488" t="s">
        <v>25693</v>
      </c>
      <c r="D8233" s="489" t="s">
        <v>25694</v>
      </c>
      <c r="E8233" s="487" t="s">
        <v>25695</v>
      </c>
      <c r="F8233" s="490">
        <v>7600</v>
      </c>
      <c r="G8233" s="489">
        <v>157.96</v>
      </c>
      <c r="H8233" s="489">
        <v>48.11345</v>
      </c>
      <c r="I8233" s="487" t="s">
        <v>1499</v>
      </c>
      <c r="J8233" s="487" t="s">
        <v>1170</v>
      </c>
    </row>
    <row r="8234" spans="1:10" ht="15" x14ac:dyDescent="0.2">
      <c r="A8234" s="486" t="s">
        <v>1169</v>
      </c>
      <c r="B8234" s="487" t="s">
        <v>430</v>
      </c>
      <c r="C8234" s="488" t="s">
        <v>25696</v>
      </c>
      <c r="D8234" s="489" t="s">
        <v>25697</v>
      </c>
      <c r="E8234" s="487" t="s">
        <v>25698</v>
      </c>
      <c r="F8234" s="490">
        <v>26371</v>
      </c>
      <c r="G8234" s="489">
        <v>393.42</v>
      </c>
      <c r="H8234" s="489">
        <v>67.030150000000006</v>
      </c>
      <c r="I8234" s="487" t="s">
        <v>1499</v>
      </c>
      <c r="J8234" s="487" t="s">
        <v>1170</v>
      </c>
    </row>
    <row r="8235" spans="1:10" ht="15" x14ac:dyDescent="0.2">
      <c r="A8235" s="486" t="s">
        <v>1169</v>
      </c>
      <c r="B8235" s="487" t="s">
        <v>430</v>
      </c>
      <c r="C8235" s="488" t="s">
        <v>25699</v>
      </c>
      <c r="D8235" s="489" t="s">
        <v>25700</v>
      </c>
      <c r="E8235" s="487" t="s">
        <v>25701</v>
      </c>
      <c r="F8235" s="490">
        <v>31288</v>
      </c>
      <c r="G8235" s="489">
        <v>712.9</v>
      </c>
      <c r="H8235" s="489">
        <v>43.888339999999999</v>
      </c>
      <c r="I8235" s="487" t="s">
        <v>1499</v>
      </c>
      <c r="J8235" s="487" t="s">
        <v>1170</v>
      </c>
    </row>
    <row r="8236" spans="1:10" ht="15" x14ac:dyDescent="0.2">
      <c r="A8236" s="486" t="s">
        <v>1169</v>
      </c>
      <c r="B8236" s="487" t="s">
        <v>430</v>
      </c>
      <c r="C8236" s="488" t="s">
        <v>25702</v>
      </c>
      <c r="D8236" s="489" t="s">
        <v>25703</v>
      </c>
      <c r="E8236" s="487" t="s">
        <v>25704</v>
      </c>
      <c r="F8236" s="490">
        <v>423915</v>
      </c>
      <c r="G8236" s="489">
        <v>2066.3200000000002</v>
      </c>
      <c r="H8236" s="489">
        <v>205.15457000000001</v>
      </c>
      <c r="I8236" s="487" t="s">
        <v>1499</v>
      </c>
      <c r="J8236" s="487" t="s">
        <v>1170</v>
      </c>
    </row>
    <row r="8237" spans="1:10" ht="15" x14ac:dyDescent="0.2">
      <c r="A8237" s="486" t="s">
        <v>1169</v>
      </c>
      <c r="B8237" s="487" t="s">
        <v>430</v>
      </c>
      <c r="C8237" s="488" t="s">
        <v>25705</v>
      </c>
      <c r="D8237" s="489" t="s">
        <v>25706</v>
      </c>
      <c r="E8237" s="487" t="s">
        <v>25707</v>
      </c>
      <c r="F8237" s="490">
        <v>22119</v>
      </c>
      <c r="G8237" s="489">
        <v>605.65</v>
      </c>
      <c r="H8237" s="489">
        <v>36.521090000000001</v>
      </c>
      <c r="I8237" s="487" t="s">
        <v>1499</v>
      </c>
      <c r="J8237" s="487" t="s">
        <v>1170</v>
      </c>
    </row>
    <row r="8238" spans="1:10" ht="15" x14ac:dyDescent="0.2">
      <c r="A8238" s="486" t="s">
        <v>1169</v>
      </c>
      <c r="B8238" s="487" t="s">
        <v>430</v>
      </c>
      <c r="C8238" s="488" t="s">
        <v>25708</v>
      </c>
      <c r="D8238" s="489" t="s">
        <v>25709</v>
      </c>
      <c r="E8238" s="487" t="s">
        <v>3213</v>
      </c>
      <c r="F8238" s="490">
        <v>22526</v>
      </c>
      <c r="G8238" s="489">
        <v>523.51</v>
      </c>
      <c r="H8238" s="489">
        <v>43.028790000000001</v>
      </c>
      <c r="I8238" s="487" t="s">
        <v>1499</v>
      </c>
      <c r="J8238" s="487" t="s">
        <v>1170</v>
      </c>
    </row>
    <row r="8239" spans="1:10" ht="15" x14ac:dyDescent="0.2">
      <c r="A8239" s="486" t="s">
        <v>1169</v>
      </c>
      <c r="B8239" s="487" t="s">
        <v>430</v>
      </c>
      <c r="C8239" s="488" t="s">
        <v>25710</v>
      </c>
      <c r="D8239" s="489" t="s">
        <v>25711</v>
      </c>
      <c r="E8239" s="487" t="s">
        <v>25712</v>
      </c>
      <c r="F8239" s="490">
        <v>35000</v>
      </c>
      <c r="G8239" s="489">
        <v>915.72</v>
      </c>
      <c r="H8239" s="489">
        <v>38.221290000000003</v>
      </c>
      <c r="I8239" s="487" t="s">
        <v>1499</v>
      </c>
      <c r="J8239" s="487" t="s">
        <v>1170</v>
      </c>
    </row>
    <row r="8240" spans="1:10" ht="15" x14ac:dyDescent="0.2">
      <c r="A8240" s="486" t="s">
        <v>1169</v>
      </c>
      <c r="B8240" s="487" t="s">
        <v>430</v>
      </c>
      <c r="C8240" s="488" t="s">
        <v>25713</v>
      </c>
      <c r="D8240" s="489" t="s">
        <v>25714</v>
      </c>
      <c r="E8240" s="487" t="s">
        <v>25715</v>
      </c>
      <c r="F8240" s="490">
        <v>7781</v>
      </c>
      <c r="G8240" s="489">
        <v>125.92</v>
      </c>
      <c r="H8240" s="489">
        <v>61.793199999999999</v>
      </c>
      <c r="I8240" s="487" t="s">
        <v>1499</v>
      </c>
      <c r="J8240" s="487" t="s">
        <v>1170</v>
      </c>
    </row>
    <row r="8241" spans="1:10" ht="15" x14ac:dyDescent="0.2">
      <c r="A8241" s="486" t="s">
        <v>1169</v>
      </c>
      <c r="B8241" s="487" t="s">
        <v>430</v>
      </c>
      <c r="C8241" s="488" t="s">
        <v>25716</v>
      </c>
      <c r="D8241" s="489" t="s">
        <v>25717</v>
      </c>
      <c r="E8241" s="487" t="s">
        <v>25718</v>
      </c>
      <c r="F8241" s="490">
        <v>5300</v>
      </c>
      <c r="G8241" s="489">
        <v>83.63</v>
      </c>
      <c r="H8241" s="489">
        <v>63.374389999999998</v>
      </c>
      <c r="I8241" s="487" t="s">
        <v>1499</v>
      </c>
      <c r="J8241" s="487" t="s">
        <v>1170</v>
      </c>
    </row>
    <row r="8242" spans="1:10" ht="15" x14ac:dyDescent="0.2">
      <c r="A8242" s="486" t="s">
        <v>1169</v>
      </c>
      <c r="B8242" s="487" t="s">
        <v>430</v>
      </c>
      <c r="C8242" s="488" t="s">
        <v>25719</v>
      </c>
      <c r="D8242" s="489" t="s">
        <v>25720</v>
      </c>
      <c r="E8242" s="487" t="s">
        <v>25721</v>
      </c>
      <c r="F8242" s="490">
        <v>28126</v>
      </c>
      <c r="G8242" s="489">
        <v>696.65</v>
      </c>
      <c r="H8242" s="489">
        <v>40.37321</v>
      </c>
      <c r="I8242" s="487" t="s">
        <v>1499</v>
      </c>
      <c r="J8242" s="487" t="s">
        <v>1170</v>
      </c>
    </row>
    <row r="8243" spans="1:10" ht="15" x14ac:dyDescent="0.2">
      <c r="A8243" s="486" t="s">
        <v>1169</v>
      </c>
      <c r="B8243" s="487" t="s">
        <v>430</v>
      </c>
      <c r="C8243" s="488" t="s">
        <v>25722</v>
      </c>
      <c r="D8243" s="489" t="s">
        <v>25723</v>
      </c>
      <c r="E8243" s="487" t="s">
        <v>25724</v>
      </c>
      <c r="F8243" s="490">
        <v>592276</v>
      </c>
      <c r="G8243" s="489">
        <v>3697.2</v>
      </c>
      <c r="H8243" s="489">
        <v>160.19582</v>
      </c>
      <c r="I8243" s="487" t="s">
        <v>1499</v>
      </c>
      <c r="J8243" s="487" t="s">
        <v>1170</v>
      </c>
    </row>
    <row r="8244" spans="1:10" ht="15" x14ac:dyDescent="0.2">
      <c r="A8244" s="486" t="s">
        <v>1169</v>
      </c>
      <c r="B8244" s="487" t="s">
        <v>430</v>
      </c>
      <c r="C8244" s="488" t="s">
        <v>25725</v>
      </c>
      <c r="D8244" s="489" t="s">
        <v>25726</v>
      </c>
      <c r="E8244" s="487" t="s">
        <v>11113</v>
      </c>
      <c r="F8244" s="490">
        <v>61832</v>
      </c>
      <c r="G8244" s="489">
        <v>998.94</v>
      </c>
      <c r="H8244" s="489">
        <v>61.89761</v>
      </c>
      <c r="I8244" s="487" t="s">
        <v>1499</v>
      </c>
      <c r="J8244" s="487" t="s">
        <v>1170</v>
      </c>
    </row>
    <row r="8245" spans="1:10" ht="15" x14ac:dyDescent="0.2">
      <c r="A8245" s="486" t="s">
        <v>1169</v>
      </c>
      <c r="B8245" s="487" t="s">
        <v>430</v>
      </c>
      <c r="C8245" s="488" t="s">
        <v>25727</v>
      </c>
      <c r="D8245" s="489" t="s">
        <v>25728</v>
      </c>
      <c r="E8245" s="487" t="s">
        <v>14744</v>
      </c>
      <c r="F8245" s="490">
        <v>0</v>
      </c>
      <c r="G8245" s="489">
        <v>59.8</v>
      </c>
      <c r="H8245" s="489">
        <v>0</v>
      </c>
      <c r="I8245" s="487" t="s">
        <v>1593</v>
      </c>
      <c r="J8245" s="487" t="s">
        <v>1170</v>
      </c>
    </row>
    <row r="8246" spans="1:10" ht="15" x14ac:dyDescent="0.2">
      <c r="A8246" s="486" t="s">
        <v>1169</v>
      </c>
      <c r="B8246" s="487" t="s">
        <v>430</v>
      </c>
      <c r="C8246" s="488" t="s">
        <v>25729</v>
      </c>
      <c r="D8246" s="489" t="s">
        <v>25730</v>
      </c>
      <c r="E8246" s="487" t="s">
        <v>25731</v>
      </c>
      <c r="F8246" s="490">
        <v>13637</v>
      </c>
      <c r="G8246" s="489">
        <v>337.22</v>
      </c>
      <c r="H8246" s="489">
        <v>40.439480000000003</v>
      </c>
      <c r="I8246" s="487" t="s">
        <v>1499</v>
      </c>
      <c r="J8246" s="487" t="s">
        <v>1170</v>
      </c>
    </row>
    <row r="8247" spans="1:10" ht="15" x14ac:dyDescent="0.2">
      <c r="A8247" s="486" t="s">
        <v>1169</v>
      </c>
      <c r="B8247" s="487" t="s">
        <v>430</v>
      </c>
      <c r="C8247" s="488" t="s">
        <v>25732</v>
      </c>
      <c r="D8247" s="489" t="s">
        <v>25733</v>
      </c>
      <c r="E8247" s="487" t="s">
        <v>25734</v>
      </c>
      <c r="F8247" s="490">
        <v>13000</v>
      </c>
      <c r="G8247" s="489">
        <v>343.74</v>
      </c>
      <c r="H8247" s="489">
        <v>37.819279999999999</v>
      </c>
      <c r="I8247" s="487" t="s">
        <v>1499</v>
      </c>
      <c r="J8247" s="487" t="s">
        <v>1170</v>
      </c>
    </row>
    <row r="8248" spans="1:10" ht="15" x14ac:dyDescent="0.2">
      <c r="A8248" s="486" t="s">
        <v>1169</v>
      </c>
      <c r="B8248" s="487" t="s">
        <v>430</v>
      </c>
      <c r="C8248" s="488" t="s">
        <v>25735</v>
      </c>
      <c r="D8248" s="489" t="s">
        <v>25736</v>
      </c>
      <c r="E8248" s="487" t="s">
        <v>11131</v>
      </c>
      <c r="F8248" s="490">
        <v>6849</v>
      </c>
      <c r="G8248" s="489">
        <v>109.54</v>
      </c>
      <c r="H8248" s="489">
        <v>62.525100000000002</v>
      </c>
      <c r="I8248" s="487" t="s">
        <v>1499</v>
      </c>
      <c r="J8248" s="487" t="s">
        <v>1170</v>
      </c>
    </row>
    <row r="8249" spans="1:10" ht="15" x14ac:dyDescent="0.2">
      <c r="A8249" s="486" t="s">
        <v>1169</v>
      </c>
      <c r="B8249" s="487" t="s">
        <v>430</v>
      </c>
      <c r="C8249" s="488" t="s">
        <v>25737</v>
      </c>
      <c r="D8249" s="489" t="s">
        <v>25738</v>
      </c>
      <c r="E8249" s="487" t="s">
        <v>25739</v>
      </c>
      <c r="F8249" s="490">
        <v>31249</v>
      </c>
      <c r="G8249" s="489">
        <v>624.39</v>
      </c>
      <c r="H8249" s="489">
        <v>50.047249999999998</v>
      </c>
      <c r="I8249" s="487" t="s">
        <v>1499</v>
      </c>
      <c r="J8249" s="487" t="s">
        <v>1170</v>
      </c>
    </row>
    <row r="8250" spans="1:10" ht="15" x14ac:dyDescent="0.2">
      <c r="A8250" s="486" t="s">
        <v>1169</v>
      </c>
      <c r="B8250" s="487" t="s">
        <v>430</v>
      </c>
      <c r="C8250" s="488" t="s">
        <v>25740</v>
      </c>
      <c r="D8250" s="489" t="s">
        <v>25741</v>
      </c>
      <c r="E8250" s="487" t="s">
        <v>25742</v>
      </c>
      <c r="F8250" s="490">
        <v>35000</v>
      </c>
      <c r="G8250" s="489">
        <v>949.59</v>
      </c>
      <c r="H8250" s="489">
        <v>36.85801</v>
      </c>
      <c r="I8250" s="487" t="s">
        <v>2465</v>
      </c>
      <c r="J8250" s="487" t="s">
        <v>1170</v>
      </c>
    </row>
    <row r="8251" spans="1:10" ht="15" x14ac:dyDescent="0.2">
      <c r="A8251" s="486" t="s">
        <v>1169</v>
      </c>
      <c r="B8251" s="487" t="s">
        <v>430</v>
      </c>
      <c r="C8251" s="488" t="s">
        <v>25743</v>
      </c>
      <c r="D8251" s="489" t="s">
        <v>25744</v>
      </c>
      <c r="E8251" s="487" t="s">
        <v>25745</v>
      </c>
      <c r="F8251" s="490">
        <v>34548</v>
      </c>
      <c r="G8251" s="489">
        <v>865.15</v>
      </c>
      <c r="H8251" s="489">
        <v>39.932960000000001</v>
      </c>
      <c r="I8251" s="487" t="s">
        <v>1499</v>
      </c>
      <c r="J8251" s="487" t="s">
        <v>1170</v>
      </c>
    </row>
    <row r="8252" spans="1:10" ht="15" x14ac:dyDescent="0.2">
      <c r="A8252" s="486" t="s">
        <v>1169</v>
      </c>
      <c r="B8252" s="487" t="s">
        <v>430</v>
      </c>
      <c r="C8252" s="488" t="s">
        <v>25746</v>
      </c>
      <c r="D8252" s="489" t="s">
        <v>25747</v>
      </c>
      <c r="E8252" s="487" t="s">
        <v>25748</v>
      </c>
      <c r="F8252" s="490">
        <v>0</v>
      </c>
      <c r="G8252" s="489">
        <v>0</v>
      </c>
      <c r="H8252" s="489">
        <v>0</v>
      </c>
      <c r="I8252" s="487" t="s">
        <v>2465</v>
      </c>
      <c r="J8252" s="487" t="s">
        <v>1170</v>
      </c>
    </row>
    <row r="8253" spans="1:10" ht="15" x14ac:dyDescent="0.2">
      <c r="A8253" s="486" t="s">
        <v>1169</v>
      </c>
      <c r="B8253" s="487" t="s">
        <v>430</v>
      </c>
      <c r="C8253" s="488" t="s">
        <v>25749</v>
      </c>
      <c r="D8253" s="489" t="s">
        <v>25750</v>
      </c>
      <c r="E8253" s="487" t="s">
        <v>25751</v>
      </c>
      <c r="F8253" s="490">
        <v>0</v>
      </c>
      <c r="G8253" s="489">
        <v>0</v>
      </c>
      <c r="H8253" s="489">
        <v>0</v>
      </c>
      <c r="I8253" s="487" t="s">
        <v>2465</v>
      </c>
      <c r="J8253" s="487" t="s">
        <v>1170</v>
      </c>
    </row>
    <row r="8254" spans="1:10" ht="15" x14ac:dyDescent="0.2">
      <c r="A8254" s="486" t="s">
        <v>1169</v>
      </c>
      <c r="B8254" s="487" t="s">
        <v>430</v>
      </c>
      <c r="C8254" s="488" t="s">
        <v>25752</v>
      </c>
      <c r="D8254" s="489" t="s">
        <v>25753</v>
      </c>
      <c r="E8254" s="487" t="s">
        <v>25754</v>
      </c>
      <c r="F8254" s="490">
        <v>0</v>
      </c>
      <c r="G8254" s="489">
        <v>0</v>
      </c>
      <c r="H8254" s="489">
        <v>0</v>
      </c>
      <c r="I8254" s="487" t="s">
        <v>2465</v>
      </c>
      <c r="J8254" s="487" t="s">
        <v>1170</v>
      </c>
    </row>
    <row r="8255" spans="1:10" ht="15" x14ac:dyDescent="0.2">
      <c r="A8255" s="486" t="s">
        <v>1169</v>
      </c>
      <c r="B8255" s="487" t="s">
        <v>430</v>
      </c>
      <c r="C8255" s="488" t="s">
        <v>25755</v>
      </c>
      <c r="D8255" s="489" t="s">
        <v>25756</v>
      </c>
      <c r="E8255" s="487" t="s">
        <v>25757</v>
      </c>
      <c r="F8255" s="490">
        <v>0</v>
      </c>
      <c r="G8255" s="489">
        <v>0</v>
      </c>
      <c r="H8255" s="489">
        <v>0</v>
      </c>
      <c r="I8255" s="487" t="s">
        <v>2465</v>
      </c>
      <c r="J8255" s="487" t="s">
        <v>1170</v>
      </c>
    </row>
    <row r="8256" spans="1:10" ht="15" x14ac:dyDescent="0.2">
      <c r="A8256" s="486" t="s">
        <v>1169</v>
      </c>
      <c r="B8256" s="487" t="s">
        <v>430</v>
      </c>
      <c r="C8256" s="488" t="s">
        <v>25758</v>
      </c>
      <c r="D8256" s="489" t="s">
        <v>25759</v>
      </c>
      <c r="E8256" s="487" t="s">
        <v>25760</v>
      </c>
      <c r="F8256" s="490">
        <v>5197</v>
      </c>
      <c r="G8256" s="489">
        <v>169.83</v>
      </c>
      <c r="H8256" s="489">
        <v>30.601189999999999</v>
      </c>
      <c r="I8256" s="487" t="s">
        <v>1499</v>
      </c>
      <c r="J8256" s="487" t="s">
        <v>1170</v>
      </c>
    </row>
    <row r="8257" spans="1:10" ht="15" x14ac:dyDescent="0.2">
      <c r="A8257" s="486" t="s">
        <v>1169</v>
      </c>
      <c r="B8257" s="487" t="s">
        <v>430</v>
      </c>
      <c r="C8257" s="488" t="s">
        <v>25761</v>
      </c>
      <c r="D8257" s="489" t="s">
        <v>25762</v>
      </c>
      <c r="E8257" s="487" t="s">
        <v>25763</v>
      </c>
      <c r="F8257" s="490">
        <v>32565</v>
      </c>
      <c r="G8257" s="489">
        <v>837.24</v>
      </c>
      <c r="H8257" s="489">
        <v>38.895659999999999</v>
      </c>
      <c r="I8257" s="487" t="s">
        <v>1499</v>
      </c>
      <c r="J8257" s="487" t="s">
        <v>1170</v>
      </c>
    </row>
    <row r="8258" spans="1:10" ht="15" x14ac:dyDescent="0.2">
      <c r="A8258" s="486" t="s">
        <v>1169</v>
      </c>
      <c r="B8258" s="487" t="s">
        <v>430</v>
      </c>
      <c r="C8258" s="488" t="s">
        <v>25764</v>
      </c>
      <c r="D8258" s="489" t="s">
        <v>25765</v>
      </c>
      <c r="E8258" s="487" t="s">
        <v>25766</v>
      </c>
      <c r="F8258" s="490">
        <v>0</v>
      </c>
      <c r="G8258" s="489">
        <v>0</v>
      </c>
      <c r="H8258" s="489">
        <v>0</v>
      </c>
      <c r="I8258" s="487" t="s">
        <v>2465</v>
      </c>
      <c r="J8258" s="487" t="s">
        <v>1170</v>
      </c>
    </row>
    <row r="8259" spans="1:10" ht="15" x14ac:dyDescent="0.2">
      <c r="A8259" s="486" t="s">
        <v>1169</v>
      </c>
      <c r="B8259" s="487" t="s">
        <v>430</v>
      </c>
      <c r="C8259" s="488" t="s">
        <v>25767</v>
      </c>
      <c r="D8259" s="489" t="s">
        <v>25768</v>
      </c>
      <c r="E8259" s="487" t="s">
        <v>25769</v>
      </c>
      <c r="F8259" s="490">
        <v>0</v>
      </c>
      <c r="G8259" s="489">
        <v>0</v>
      </c>
      <c r="H8259" s="489">
        <v>0</v>
      </c>
      <c r="I8259" s="487" t="s">
        <v>2465</v>
      </c>
      <c r="J8259" s="487" t="s">
        <v>1170</v>
      </c>
    </row>
    <row r="8260" spans="1:10" ht="15" x14ac:dyDescent="0.2">
      <c r="A8260" s="486" t="s">
        <v>1169</v>
      </c>
      <c r="B8260" s="487" t="s">
        <v>430</v>
      </c>
      <c r="C8260" s="488" t="s">
        <v>25770</v>
      </c>
      <c r="D8260" s="489" t="s">
        <v>25771</v>
      </c>
      <c r="E8260" s="487" t="s">
        <v>25772</v>
      </c>
      <c r="F8260" s="490">
        <v>0</v>
      </c>
      <c r="G8260" s="489">
        <v>0</v>
      </c>
      <c r="H8260" s="489">
        <v>0</v>
      </c>
      <c r="I8260" s="487" t="s">
        <v>2465</v>
      </c>
      <c r="J8260" s="487" t="s">
        <v>1170</v>
      </c>
    </row>
    <row r="8261" spans="1:10" ht="15" x14ac:dyDescent="0.2">
      <c r="A8261" s="486" t="s">
        <v>1169</v>
      </c>
      <c r="B8261" s="487" t="s">
        <v>430</v>
      </c>
      <c r="C8261" s="488" t="s">
        <v>25773</v>
      </c>
      <c r="D8261" s="489" t="s">
        <v>25774</v>
      </c>
      <c r="E8261" s="487" t="s">
        <v>25775</v>
      </c>
      <c r="F8261" s="490">
        <v>0</v>
      </c>
      <c r="G8261" s="489">
        <v>0</v>
      </c>
      <c r="H8261" s="489">
        <v>0</v>
      </c>
      <c r="I8261" s="487" t="s">
        <v>2465</v>
      </c>
      <c r="J8261" s="487" t="s">
        <v>1170</v>
      </c>
    </row>
    <row r="8262" spans="1:10" ht="15" x14ac:dyDescent="0.2">
      <c r="A8262" s="486" t="s">
        <v>1169</v>
      </c>
      <c r="B8262" s="487" t="s">
        <v>430</v>
      </c>
      <c r="C8262" s="488" t="s">
        <v>25776</v>
      </c>
      <c r="D8262" s="489" t="s">
        <v>25777</v>
      </c>
      <c r="E8262" s="487" t="s">
        <v>25778</v>
      </c>
      <c r="F8262" s="490">
        <v>0</v>
      </c>
      <c r="G8262" s="489">
        <v>0</v>
      </c>
      <c r="H8262" s="489">
        <v>0</v>
      </c>
      <c r="I8262" s="487" t="s">
        <v>2465</v>
      </c>
      <c r="J8262" s="487" t="s">
        <v>1170</v>
      </c>
    </row>
    <row r="8263" spans="1:10" ht="15" x14ac:dyDescent="0.2">
      <c r="A8263" s="486" t="s">
        <v>1169</v>
      </c>
      <c r="B8263" s="487" t="s">
        <v>430</v>
      </c>
      <c r="C8263" s="488" t="s">
        <v>25779</v>
      </c>
      <c r="D8263" s="489" t="s">
        <v>25780</v>
      </c>
      <c r="E8263" s="487" t="s">
        <v>25781</v>
      </c>
      <c r="F8263" s="490">
        <v>0</v>
      </c>
      <c r="G8263" s="489">
        <v>0</v>
      </c>
      <c r="H8263" s="489">
        <v>0</v>
      </c>
      <c r="I8263" s="487" t="s">
        <v>2465</v>
      </c>
      <c r="J8263" s="487" t="s">
        <v>1170</v>
      </c>
    </row>
    <row r="8264" spans="1:10" ht="15" x14ac:dyDescent="0.2">
      <c r="A8264" s="486" t="s">
        <v>1169</v>
      </c>
      <c r="B8264" s="487" t="s">
        <v>430</v>
      </c>
      <c r="C8264" s="488" t="s">
        <v>25782</v>
      </c>
      <c r="D8264" s="489" t="s">
        <v>25783</v>
      </c>
      <c r="E8264" s="487" t="s">
        <v>25784</v>
      </c>
      <c r="F8264" s="490">
        <v>261374</v>
      </c>
      <c r="G8264" s="489">
        <v>2332.65</v>
      </c>
      <c r="H8264" s="489">
        <v>112.05024</v>
      </c>
      <c r="I8264" s="487" t="s">
        <v>1499</v>
      </c>
      <c r="J8264" s="487" t="s">
        <v>1170</v>
      </c>
    </row>
    <row r="8265" spans="1:10" ht="15" x14ac:dyDescent="0.2">
      <c r="A8265" s="486" t="s">
        <v>1180</v>
      </c>
      <c r="B8265" s="487" t="s">
        <v>1179</v>
      </c>
      <c r="C8265" s="488" t="s">
        <v>25785</v>
      </c>
      <c r="D8265" s="489" t="s">
        <v>25786</v>
      </c>
      <c r="E8265" s="487" t="s">
        <v>25787</v>
      </c>
      <c r="F8265" s="490">
        <v>49000</v>
      </c>
      <c r="G8265" s="489">
        <v>625.47</v>
      </c>
      <c r="H8265" s="489">
        <v>78.341089999999994</v>
      </c>
      <c r="I8265" s="487" t="s">
        <v>1499</v>
      </c>
      <c r="J8265" s="487" t="s">
        <v>1181</v>
      </c>
    </row>
    <row r="8266" spans="1:10" ht="15" x14ac:dyDescent="0.2">
      <c r="A8266" s="486" t="s">
        <v>1180</v>
      </c>
      <c r="B8266" s="487" t="s">
        <v>1179</v>
      </c>
      <c r="C8266" s="488" t="s">
        <v>25788</v>
      </c>
      <c r="D8266" s="489" t="s">
        <v>25789</v>
      </c>
      <c r="E8266" s="487" t="s">
        <v>17376</v>
      </c>
      <c r="F8266" s="490">
        <v>2372</v>
      </c>
      <c r="G8266" s="489">
        <v>46.71</v>
      </c>
      <c r="H8266" s="489">
        <v>50.781419999999997</v>
      </c>
      <c r="I8266" s="487" t="s">
        <v>1499</v>
      </c>
      <c r="J8266" s="487" t="s">
        <v>1181</v>
      </c>
    </row>
    <row r="8267" spans="1:10" ht="15" x14ac:dyDescent="0.2">
      <c r="A8267" s="486" t="s">
        <v>1180</v>
      </c>
      <c r="B8267" s="487" t="s">
        <v>1179</v>
      </c>
      <c r="C8267" s="488" t="s">
        <v>25790</v>
      </c>
      <c r="D8267" s="489" t="s">
        <v>25791</v>
      </c>
      <c r="E8267" s="487" t="s">
        <v>25792</v>
      </c>
      <c r="F8267" s="490">
        <v>17855.919999999998</v>
      </c>
      <c r="G8267" s="489">
        <v>169.18</v>
      </c>
      <c r="H8267" s="489">
        <v>105.54392</v>
      </c>
      <c r="I8267" s="487" t="s">
        <v>1499</v>
      </c>
      <c r="J8267" s="487" t="s">
        <v>1181</v>
      </c>
    </row>
    <row r="8268" spans="1:10" ht="15" x14ac:dyDescent="0.2">
      <c r="A8268" s="486" t="s">
        <v>1180</v>
      </c>
      <c r="B8268" s="487" t="s">
        <v>1179</v>
      </c>
      <c r="C8268" s="488" t="s">
        <v>25793</v>
      </c>
      <c r="D8268" s="489" t="s">
        <v>25794</v>
      </c>
      <c r="E8268" s="487" t="s">
        <v>25795</v>
      </c>
      <c r="F8268" s="490">
        <v>52747</v>
      </c>
      <c r="G8268" s="489">
        <v>619.55999999999995</v>
      </c>
      <c r="H8268" s="489">
        <v>85.136229999999998</v>
      </c>
      <c r="I8268" s="487" t="s">
        <v>1499</v>
      </c>
      <c r="J8268" s="487" t="s">
        <v>1181</v>
      </c>
    </row>
    <row r="8269" spans="1:10" ht="15" x14ac:dyDescent="0.2">
      <c r="A8269" s="486" t="s">
        <v>1180</v>
      </c>
      <c r="B8269" s="487" t="s">
        <v>1179</v>
      </c>
      <c r="C8269" s="488" t="s">
        <v>25796</v>
      </c>
      <c r="D8269" s="489" t="s">
        <v>25797</v>
      </c>
      <c r="E8269" s="487" t="s">
        <v>6921</v>
      </c>
      <c r="F8269" s="490">
        <v>52100</v>
      </c>
      <c r="G8269" s="489">
        <v>283.5</v>
      </c>
      <c r="H8269" s="489">
        <v>183.77424999999999</v>
      </c>
      <c r="I8269" s="487" t="s">
        <v>1499</v>
      </c>
      <c r="J8269" s="487" t="s">
        <v>1181</v>
      </c>
    </row>
    <row r="8270" spans="1:10" ht="15" x14ac:dyDescent="0.2">
      <c r="A8270" s="486" t="s">
        <v>1180</v>
      </c>
      <c r="B8270" s="487" t="s">
        <v>1179</v>
      </c>
      <c r="C8270" s="488" t="s">
        <v>25798</v>
      </c>
      <c r="D8270" s="489" t="s">
        <v>25799</v>
      </c>
      <c r="E8270" s="487" t="s">
        <v>25800</v>
      </c>
      <c r="F8270" s="490">
        <v>0</v>
      </c>
      <c r="G8270" s="489">
        <v>83.93</v>
      </c>
      <c r="H8270" s="489">
        <v>0</v>
      </c>
      <c r="I8270" s="487" t="s">
        <v>1593</v>
      </c>
      <c r="J8270" s="487" t="s">
        <v>1181</v>
      </c>
    </row>
    <row r="8271" spans="1:10" ht="15" x14ac:dyDescent="0.2">
      <c r="A8271" s="486" t="s">
        <v>1180</v>
      </c>
      <c r="B8271" s="487" t="s">
        <v>1179</v>
      </c>
      <c r="C8271" s="488" t="s">
        <v>25801</v>
      </c>
      <c r="D8271" s="489" t="s">
        <v>25802</v>
      </c>
      <c r="E8271" s="487" t="s">
        <v>25803</v>
      </c>
      <c r="F8271" s="490">
        <v>2395</v>
      </c>
      <c r="G8271" s="489">
        <v>103.55</v>
      </c>
      <c r="H8271" s="489">
        <v>23.128920000000001</v>
      </c>
      <c r="I8271" s="487" t="s">
        <v>1499</v>
      </c>
      <c r="J8271" s="487" t="s">
        <v>1181</v>
      </c>
    </row>
    <row r="8272" spans="1:10" ht="15" x14ac:dyDescent="0.2">
      <c r="A8272" s="486" t="s">
        <v>1180</v>
      </c>
      <c r="B8272" s="487" t="s">
        <v>1179</v>
      </c>
      <c r="C8272" s="488" t="s">
        <v>25804</v>
      </c>
      <c r="D8272" s="489" t="s">
        <v>25805</v>
      </c>
      <c r="E8272" s="487" t="s">
        <v>25806</v>
      </c>
      <c r="F8272" s="490">
        <v>23875</v>
      </c>
      <c r="G8272" s="489">
        <v>473.49</v>
      </c>
      <c r="H8272" s="489">
        <v>50.423450000000003</v>
      </c>
      <c r="I8272" s="487" t="s">
        <v>1499</v>
      </c>
      <c r="J8272" s="487" t="s">
        <v>1181</v>
      </c>
    </row>
    <row r="8273" spans="1:10" ht="15" x14ac:dyDescent="0.2">
      <c r="A8273" s="486" t="s">
        <v>1180</v>
      </c>
      <c r="B8273" s="487" t="s">
        <v>1179</v>
      </c>
      <c r="C8273" s="488" t="s">
        <v>25807</v>
      </c>
      <c r="D8273" s="489" t="s">
        <v>25808</v>
      </c>
      <c r="E8273" s="487" t="s">
        <v>18745</v>
      </c>
      <c r="F8273" s="490">
        <v>8023</v>
      </c>
      <c r="G8273" s="489">
        <v>262.56</v>
      </c>
      <c r="H8273" s="489">
        <v>30.556830000000001</v>
      </c>
      <c r="I8273" s="487" t="s">
        <v>1499</v>
      </c>
      <c r="J8273" s="487" t="s">
        <v>1181</v>
      </c>
    </row>
    <row r="8274" spans="1:10" ht="15" x14ac:dyDescent="0.2">
      <c r="A8274" s="486" t="s">
        <v>1180</v>
      </c>
      <c r="B8274" s="487" t="s">
        <v>1179</v>
      </c>
      <c r="C8274" s="488" t="s">
        <v>25809</v>
      </c>
      <c r="D8274" s="489" t="s">
        <v>25810</v>
      </c>
      <c r="E8274" s="487" t="s">
        <v>25811</v>
      </c>
      <c r="F8274" s="490">
        <v>23356</v>
      </c>
      <c r="G8274" s="489">
        <v>555.26</v>
      </c>
      <c r="H8274" s="489">
        <v>42.063180000000003</v>
      </c>
      <c r="I8274" s="487" t="s">
        <v>1499</v>
      </c>
      <c r="J8274" s="487" t="s">
        <v>1181</v>
      </c>
    </row>
    <row r="8275" spans="1:10" ht="15" x14ac:dyDescent="0.2">
      <c r="A8275" s="486" t="s">
        <v>1180</v>
      </c>
      <c r="B8275" s="487" t="s">
        <v>1179</v>
      </c>
      <c r="C8275" s="488" t="s">
        <v>25812</v>
      </c>
      <c r="D8275" s="489" t="s">
        <v>25813</v>
      </c>
      <c r="E8275" s="487" t="s">
        <v>25814</v>
      </c>
      <c r="F8275" s="490">
        <v>134000</v>
      </c>
      <c r="G8275" s="489">
        <v>721.26</v>
      </c>
      <c r="H8275" s="489">
        <v>185.78599</v>
      </c>
      <c r="I8275" s="487" t="s">
        <v>1499</v>
      </c>
      <c r="J8275" s="487" t="s">
        <v>1181</v>
      </c>
    </row>
    <row r="8276" spans="1:10" ht="15" x14ac:dyDescent="0.2">
      <c r="A8276" s="486" t="s">
        <v>1180</v>
      </c>
      <c r="B8276" s="487" t="s">
        <v>1179</v>
      </c>
      <c r="C8276" s="488" t="s">
        <v>25815</v>
      </c>
      <c r="D8276" s="489" t="s">
        <v>25816</v>
      </c>
      <c r="E8276" s="487" t="s">
        <v>25817</v>
      </c>
      <c r="F8276" s="490">
        <v>5130</v>
      </c>
      <c r="G8276" s="489">
        <v>130.6</v>
      </c>
      <c r="H8276" s="489">
        <v>39.280250000000002</v>
      </c>
      <c r="I8276" s="487" t="s">
        <v>1499</v>
      </c>
      <c r="J8276" s="487" t="s">
        <v>1181</v>
      </c>
    </row>
    <row r="8277" spans="1:10" ht="15" x14ac:dyDescent="0.2">
      <c r="A8277" s="486" t="s">
        <v>1180</v>
      </c>
      <c r="B8277" s="487" t="s">
        <v>1179</v>
      </c>
      <c r="C8277" s="488" t="s">
        <v>25818</v>
      </c>
      <c r="D8277" s="489" t="s">
        <v>25819</v>
      </c>
      <c r="E8277" s="487" t="s">
        <v>25820</v>
      </c>
      <c r="F8277" s="490">
        <v>14386</v>
      </c>
      <c r="G8277" s="489">
        <v>235.05</v>
      </c>
      <c r="H8277" s="489">
        <v>61.204000000000001</v>
      </c>
      <c r="I8277" s="487" t="s">
        <v>1499</v>
      </c>
      <c r="J8277" s="487" t="s">
        <v>1181</v>
      </c>
    </row>
    <row r="8278" spans="1:10" ht="15" x14ac:dyDescent="0.2">
      <c r="A8278" s="486" t="s">
        <v>1180</v>
      </c>
      <c r="B8278" s="487" t="s">
        <v>1179</v>
      </c>
      <c r="C8278" s="488" t="s">
        <v>25821</v>
      </c>
      <c r="D8278" s="489" t="s">
        <v>25822</v>
      </c>
      <c r="E8278" s="487" t="s">
        <v>25823</v>
      </c>
      <c r="F8278" s="490">
        <v>23000</v>
      </c>
      <c r="G8278" s="489">
        <v>457.77</v>
      </c>
      <c r="H8278" s="489">
        <v>50.243569999999998</v>
      </c>
      <c r="I8278" s="487" t="s">
        <v>1499</v>
      </c>
      <c r="J8278" s="487" t="s">
        <v>1181</v>
      </c>
    </row>
    <row r="8279" spans="1:10" ht="15" x14ac:dyDescent="0.2">
      <c r="A8279" s="486" t="s">
        <v>1180</v>
      </c>
      <c r="B8279" s="487" t="s">
        <v>1179</v>
      </c>
      <c r="C8279" s="488" t="s">
        <v>25824</v>
      </c>
      <c r="D8279" s="489" t="s">
        <v>25825</v>
      </c>
      <c r="E8279" s="487" t="s">
        <v>3515</v>
      </c>
      <c r="F8279" s="490">
        <v>22196</v>
      </c>
      <c r="G8279" s="489">
        <v>212.36</v>
      </c>
      <c r="H8279" s="489">
        <v>104.52063</v>
      </c>
      <c r="I8279" s="487" t="s">
        <v>1499</v>
      </c>
      <c r="J8279" s="487" t="s">
        <v>1181</v>
      </c>
    </row>
    <row r="8280" spans="1:10" ht="15" x14ac:dyDescent="0.2">
      <c r="A8280" s="486" t="s">
        <v>1180</v>
      </c>
      <c r="B8280" s="487" t="s">
        <v>1179</v>
      </c>
      <c r="C8280" s="488" t="s">
        <v>25826</v>
      </c>
      <c r="D8280" s="489" t="s">
        <v>25827</v>
      </c>
      <c r="E8280" s="487" t="s">
        <v>25828</v>
      </c>
      <c r="F8280" s="490">
        <v>12000</v>
      </c>
      <c r="G8280" s="489">
        <v>247.25</v>
      </c>
      <c r="H8280" s="489">
        <v>48.53387</v>
      </c>
      <c r="I8280" s="487" t="s">
        <v>1499</v>
      </c>
      <c r="J8280" s="487" t="s">
        <v>1181</v>
      </c>
    </row>
    <row r="8281" spans="1:10" ht="15" x14ac:dyDescent="0.2">
      <c r="A8281" s="486" t="s">
        <v>1180</v>
      </c>
      <c r="B8281" s="487" t="s">
        <v>1179</v>
      </c>
      <c r="C8281" s="488" t="s">
        <v>25829</v>
      </c>
      <c r="D8281" s="489" t="s">
        <v>25830</v>
      </c>
      <c r="E8281" s="487" t="s">
        <v>19328</v>
      </c>
      <c r="F8281" s="490">
        <v>67596</v>
      </c>
      <c r="G8281" s="489">
        <v>416.41</v>
      </c>
      <c r="H8281" s="489">
        <v>162.3304</v>
      </c>
      <c r="I8281" s="487" t="s">
        <v>1499</v>
      </c>
      <c r="J8281" s="487" t="s">
        <v>1181</v>
      </c>
    </row>
    <row r="8282" spans="1:10" ht="15" x14ac:dyDescent="0.2">
      <c r="A8282" s="486" t="s">
        <v>1180</v>
      </c>
      <c r="B8282" s="487" t="s">
        <v>1179</v>
      </c>
      <c r="C8282" s="488" t="s">
        <v>25831</v>
      </c>
      <c r="D8282" s="489" t="s">
        <v>25832</v>
      </c>
      <c r="E8282" s="487" t="s">
        <v>25833</v>
      </c>
      <c r="F8282" s="490">
        <v>11000</v>
      </c>
      <c r="G8282" s="489">
        <v>216.49</v>
      </c>
      <c r="H8282" s="489">
        <v>50.810659999999999</v>
      </c>
      <c r="I8282" s="487" t="s">
        <v>1499</v>
      </c>
      <c r="J8282" s="487" t="s">
        <v>1181</v>
      </c>
    </row>
    <row r="8283" spans="1:10" ht="15" x14ac:dyDescent="0.2">
      <c r="A8283" s="486" t="s">
        <v>1180</v>
      </c>
      <c r="B8283" s="487" t="s">
        <v>1179</v>
      </c>
      <c r="C8283" s="488" t="s">
        <v>25834</v>
      </c>
      <c r="D8283" s="489" t="s">
        <v>25835</v>
      </c>
      <c r="E8283" s="487" t="s">
        <v>25836</v>
      </c>
      <c r="F8283" s="490">
        <v>2000</v>
      </c>
      <c r="G8283" s="489">
        <v>91.77</v>
      </c>
      <c r="H8283" s="489">
        <v>21.793610000000001</v>
      </c>
      <c r="I8283" s="487" t="s">
        <v>1499</v>
      </c>
      <c r="J8283" s="487" t="s">
        <v>1181</v>
      </c>
    </row>
    <row r="8284" spans="1:10" ht="15" x14ac:dyDescent="0.2">
      <c r="A8284" s="486" t="s">
        <v>1180</v>
      </c>
      <c r="B8284" s="487" t="s">
        <v>1179</v>
      </c>
      <c r="C8284" s="488" t="s">
        <v>25837</v>
      </c>
      <c r="D8284" s="489" t="s">
        <v>25838</v>
      </c>
      <c r="E8284" s="487" t="s">
        <v>25839</v>
      </c>
      <c r="F8284" s="490">
        <v>9500</v>
      </c>
      <c r="G8284" s="489">
        <v>242.64</v>
      </c>
      <c r="H8284" s="489">
        <v>39.152650000000001</v>
      </c>
      <c r="I8284" s="487" t="s">
        <v>1499</v>
      </c>
      <c r="J8284" s="487" t="s">
        <v>1181</v>
      </c>
    </row>
    <row r="8285" spans="1:10" ht="15" x14ac:dyDescent="0.2">
      <c r="A8285" s="486" t="s">
        <v>1180</v>
      </c>
      <c r="B8285" s="487" t="s">
        <v>1179</v>
      </c>
      <c r="C8285" s="488" t="s">
        <v>25840</v>
      </c>
      <c r="D8285" s="489" t="s">
        <v>25841</v>
      </c>
      <c r="E8285" s="487" t="s">
        <v>25842</v>
      </c>
      <c r="F8285" s="490">
        <v>55545</v>
      </c>
      <c r="G8285" s="489">
        <v>541.38</v>
      </c>
      <c r="H8285" s="489">
        <v>102.59891</v>
      </c>
      <c r="I8285" s="487" t="s">
        <v>1499</v>
      </c>
      <c r="J8285" s="487" t="s">
        <v>1181</v>
      </c>
    </row>
    <row r="8286" spans="1:10" ht="15" x14ac:dyDescent="0.2">
      <c r="A8286" s="486" t="s">
        <v>1180</v>
      </c>
      <c r="B8286" s="487" t="s">
        <v>1179</v>
      </c>
      <c r="C8286" s="488" t="s">
        <v>25843</v>
      </c>
      <c r="D8286" s="489" t="s">
        <v>25844</v>
      </c>
      <c r="E8286" s="487" t="s">
        <v>25845</v>
      </c>
      <c r="F8286" s="490">
        <v>1860</v>
      </c>
      <c r="G8286" s="489">
        <v>68.959999999999994</v>
      </c>
      <c r="H8286" s="489">
        <v>26.972159999999999</v>
      </c>
      <c r="I8286" s="487" t="s">
        <v>1499</v>
      </c>
      <c r="J8286" s="487" t="s">
        <v>1181</v>
      </c>
    </row>
    <row r="8287" spans="1:10" ht="15" x14ac:dyDescent="0.2">
      <c r="A8287" s="486" t="s">
        <v>1180</v>
      </c>
      <c r="B8287" s="487" t="s">
        <v>1179</v>
      </c>
      <c r="C8287" s="488" t="s">
        <v>25846</v>
      </c>
      <c r="D8287" s="489" t="s">
        <v>25847</v>
      </c>
      <c r="E8287" s="487" t="s">
        <v>25848</v>
      </c>
      <c r="F8287" s="490">
        <v>4120</v>
      </c>
      <c r="G8287" s="489">
        <v>120.2</v>
      </c>
      <c r="H8287" s="489">
        <v>34.276209999999999</v>
      </c>
      <c r="I8287" s="487" t="s">
        <v>1499</v>
      </c>
      <c r="J8287" s="487" t="s">
        <v>1181</v>
      </c>
    </row>
    <row r="8288" spans="1:10" ht="15" x14ac:dyDescent="0.2">
      <c r="A8288" s="486" t="s">
        <v>1180</v>
      </c>
      <c r="B8288" s="487" t="s">
        <v>1179</v>
      </c>
      <c r="C8288" s="488" t="s">
        <v>25849</v>
      </c>
      <c r="D8288" s="489" t="s">
        <v>25850</v>
      </c>
      <c r="E8288" s="487" t="s">
        <v>13466</v>
      </c>
      <c r="F8288" s="490">
        <v>90000</v>
      </c>
      <c r="G8288" s="489">
        <v>625.21</v>
      </c>
      <c r="H8288" s="489">
        <v>143.95162999999999</v>
      </c>
      <c r="I8288" s="487" t="s">
        <v>1499</v>
      </c>
      <c r="J8288" s="487" t="s">
        <v>1181</v>
      </c>
    </row>
    <row r="8289" spans="1:10" ht="15" x14ac:dyDescent="0.2">
      <c r="A8289" s="486" t="s">
        <v>1180</v>
      </c>
      <c r="B8289" s="487" t="s">
        <v>1179</v>
      </c>
      <c r="C8289" s="488" t="s">
        <v>25851</v>
      </c>
      <c r="D8289" s="489" t="s">
        <v>25852</v>
      </c>
      <c r="E8289" s="487" t="s">
        <v>25853</v>
      </c>
      <c r="F8289" s="490">
        <v>18000</v>
      </c>
      <c r="G8289" s="489">
        <v>256.63</v>
      </c>
      <c r="H8289" s="489">
        <v>70.139889999999994</v>
      </c>
      <c r="I8289" s="487" t="s">
        <v>2465</v>
      </c>
      <c r="J8289" s="487" t="s">
        <v>1181</v>
      </c>
    </row>
    <row r="8290" spans="1:10" ht="15" x14ac:dyDescent="0.2">
      <c r="A8290" s="486" t="s">
        <v>1180</v>
      </c>
      <c r="B8290" s="487" t="s">
        <v>1179</v>
      </c>
      <c r="C8290" s="488" t="s">
        <v>25854</v>
      </c>
      <c r="D8290" s="489" t="s">
        <v>25855</v>
      </c>
      <c r="E8290" s="487" t="s">
        <v>25856</v>
      </c>
      <c r="F8290" s="490">
        <v>10500</v>
      </c>
      <c r="G8290" s="489">
        <v>212.27</v>
      </c>
      <c r="H8290" s="489">
        <v>49.465299999999999</v>
      </c>
      <c r="I8290" s="487" t="s">
        <v>1499</v>
      </c>
      <c r="J8290" s="487" t="s">
        <v>1181</v>
      </c>
    </row>
    <row r="8291" spans="1:10" ht="15" x14ac:dyDescent="0.2">
      <c r="A8291" s="486" t="s">
        <v>1180</v>
      </c>
      <c r="B8291" s="487" t="s">
        <v>1179</v>
      </c>
      <c r="C8291" s="488" t="s">
        <v>25857</v>
      </c>
      <c r="D8291" s="489" t="s">
        <v>25858</v>
      </c>
      <c r="E8291" s="487" t="s">
        <v>25859</v>
      </c>
      <c r="F8291" s="490">
        <v>14000</v>
      </c>
      <c r="G8291" s="489">
        <v>152.6</v>
      </c>
      <c r="H8291" s="489">
        <v>91.743120000000005</v>
      </c>
      <c r="I8291" s="487" t="s">
        <v>1499</v>
      </c>
      <c r="J8291" s="487" t="s">
        <v>1181</v>
      </c>
    </row>
    <row r="8292" spans="1:10" ht="15" x14ac:dyDescent="0.2">
      <c r="A8292" s="486" t="s">
        <v>1180</v>
      </c>
      <c r="B8292" s="487" t="s">
        <v>1179</v>
      </c>
      <c r="C8292" s="488" t="s">
        <v>25860</v>
      </c>
      <c r="D8292" s="489" t="s">
        <v>25861</v>
      </c>
      <c r="E8292" s="487" t="s">
        <v>25862</v>
      </c>
      <c r="F8292" s="490">
        <v>74000</v>
      </c>
      <c r="G8292" s="489">
        <v>1307.26</v>
      </c>
      <c r="H8292" s="489">
        <v>56.606949999999998</v>
      </c>
      <c r="I8292" s="487" t="s">
        <v>1499</v>
      </c>
      <c r="J8292" s="487" t="s">
        <v>1181</v>
      </c>
    </row>
    <row r="8293" spans="1:10" ht="15" x14ac:dyDescent="0.2">
      <c r="A8293" s="486" t="s">
        <v>1180</v>
      </c>
      <c r="B8293" s="487" t="s">
        <v>1179</v>
      </c>
      <c r="C8293" s="488" t="s">
        <v>25863</v>
      </c>
      <c r="D8293" s="489" t="s">
        <v>25864</v>
      </c>
      <c r="E8293" s="487" t="s">
        <v>25865</v>
      </c>
      <c r="F8293" s="490">
        <v>82410</v>
      </c>
      <c r="G8293" s="489">
        <v>1308.23</v>
      </c>
      <c r="H8293" s="489">
        <v>62.993510000000001</v>
      </c>
      <c r="I8293" s="487" t="s">
        <v>2465</v>
      </c>
      <c r="J8293" s="487" t="s">
        <v>1181</v>
      </c>
    </row>
    <row r="8294" spans="1:10" ht="15" x14ac:dyDescent="0.2">
      <c r="A8294" s="486" t="s">
        <v>1180</v>
      </c>
      <c r="B8294" s="487" t="s">
        <v>1179</v>
      </c>
      <c r="C8294" s="488" t="s">
        <v>25866</v>
      </c>
      <c r="D8294" s="489" t="s">
        <v>25867</v>
      </c>
      <c r="E8294" s="487" t="s">
        <v>25868</v>
      </c>
      <c r="F8294" s="490">
        <v>14000</v>
      </c>
      <c r="G8294" s="489">
        <v>309.33999999999997</v>
      </c>
      <c r="H8294" s="489">
        <v>45.257649999999998</v>
      </c>
      <c r="I8294" s="487" t="s">
        <v>1499</v>
      </c>
      <c r="J8294" s="487" t="s">
        <v>1181</v>
      </c>
    </row>
    <row r="8295" spans="1:10" ht="15" x14ac:dyDescent="0.2">
      <c r="A8295" s="486" t="s">
        <v>1180</v>
      </c>
      <c r="B8295" s="487" t="s">
        <v>1179</v>
      </c>
      <c r="C8295" s="488" t="s">
        <v>25869</v>
      </c>
      <c r="D8295" s="489" t="s">
        <v>25870</v>
      </c>
      <c r="E8295" s="487" t="s">
        <v>25871</v>
      </c>
      <c r="F8295" s="490">
        <v>0</v>
      </c>
      <c r="G8295" s="489">
        <v>57.17</v>
      </c>
      <c r="H8295" s="489">
        <v>0</v>
      </c>
      <c r="I8295" s="487" t="s">
        <v>1593</v>
      </c>
      <c r="J8295" s="487" t="s">
        <v>1181</v>
      </c>
    </row>
    <row r="8296" spans="1:10" ht="15" x14ac:dyDescent="0.2">
      <c r="A8296" s="486" t="s">
        <v>1180</v>
      </c>
      <c r="B8296" s="487" t="s">
        <v>1179</v>
      </c>
      <c r="C8296" s="488" t="s">
        <v>25872</v>
      </c>
      <c r="D8296" s="489" t="s">
        <v>25873</v>
      </c>
      <c r="E8296" s="487" t="s">
        <v>25874</v>
      </c>
      <c r="F8296" s="490">
        <v>18362</v>
      </c>
      <c r="G8296" s="489">
        <v>254.55</v>
      </c>
      <c r="H8296" s="489">
        <v>72.135140000000007</v>
      </c>
      <c r="I8296" s="487" t="s">
        <v>1499</v>
      </c>
      <c r="J8296" s="487" t="s">
        <v>1181</v>
      </c>
    </row>
    <row r="8297" spans="1:10" ht="15" x14ac:dyDescent="0.2">
      <c r="A8297" s="486" t="s">
        <v>1180</v>
      </c>
      <c r="B8297" s="487" t="s">
        <v>1179</v>
      </c>
      <c r="C8297" s="488" t="s">
        <v>25875</v>
      </c>
      <c r="D8297" s="489" t="s">
        <v>25876</v>
      </c>
      <c r="E8297" s="487" t="s">
        <v>25877</v>
      </c>
      <c r="F8297" s="490">
        <v>68000</v>
      </c>
      <c r="G8297" s="489">
        <v>576.91999999999996</v>
      </c>
      <c r="H8297" s="489">
        <v>117.8673</v>
      </c>
      <c r="I8297" s="487" t="s">
        <v>1499</v>
      </c>
      <c r="J8297" s="487" t="s">
        <v>1181</v>
      </c>
    </row>
    <row r="8298" spans="1:10" ht="15" x14ac:dyDescent="0.2">
      <c r="A8298" s="486" t="s">
        <v>1180</v>
      </c>
      <c r="B8298" s="487" t="s">
        <v>1179</v>
      </c>
      <c r="C8298" s="488" t="s">
        <v>25878</v>
      </c>
      <c r="D8298" s="489" t="s">
        <v>25879</v>
      </c>
      <c r="E8298" s="487" t="s">
        <v>25880</v>
      </c>
      <c r="F8298" s="490">
        <v>4900</v>
      </c>
      <c r="G8298" s="489">
        <v>203.69</v>
      </c>
      <c r="H8298" s="489">
        <v>24.056159999999998</v>
      </c>
      <c r="I8298" s="487" t="s">
        <v>1499</v>
      </c>
      <c r="J8298" s="487" t="s">
        <v>1181</v>
      </c>
    </row>
    <row r="8299" spans="1:10" ht="15" x14ac:dyDescent="0.2">
      <c r="A8299" s="486" t="s">
        <v>1180</v>
      </c>
      <c r="B8299" s="487" t="s">
        <v>1179</v>
      </c>
      <c r="C8299" s="488" t="s">
        <v>25881</v>
      </c>
      <c r="D8299" s="489" t="s">
        <v>25882</v>
      </c>
      <c r="E8299" s="487" t="s">
        <v>25883</v>
      </c>
      <c r="F8299" s="490">
        <v>4299101</v>
      </c>
      <c r="G8299" s="489">
        <v>10458.59</v>
      </c>
      <c r="H8299" s="489">
        <v>411.05932999999999</v>
      </c>
      <c r="I8299" s="487" t="s">
        <v>1499</v>
      </c>
      <c r="J8299" s="487" t="s">
        <v>1181</v>
      </c>
    </row>
    <row r="8300" spans="1:10" ht="15" x14ac:dyDescent="0.2">
      <c r="A8300" s="486" t="s">
        <v>1180</v>
      </c>
      <c r="B8300" s="487" t="s">
        <v>1179</v>
      </c>
      <c r="C8300" s="488" t="s">
        <v>25884</v>
      </c>
      <c r="D8300" s="489" t="s">
        <v>25885</v>
      </c>
      <c r="E8300" s="487" t="s">
        <v>25886</v>
      </c>
      <c r="F8300" s="490">
        <v>70000</v>
      </c>
      <c r="G8300" s="489">
        <v>1168.08</v>
      </c>
      <c r="H8300" s="489">
        <v>59.927399999999999</v>
      </c>
      <c r="I8300" s="487" t="s">
        <v>1499</v>
      </c>
      <c r="J8300" s="487" t="s">
        <v>1181</v>
      </c>
    </row>
    <row r="8301" spans="1:10" ht="15" x14ac:dyDescent="0.2">
      <c r="A8301" s="486" t="s">
        <v>1180</v>
      </c>
      <c r="B8301" s="487" t="s">
        <v>1179</v>
      </c>
      <c r="C8301" s="488" t="s">
        <v>25887</v>
      </c>
      <c r="D8301" s="489" t="s">
        <v>25888</v>
      </c>
      <c r="E8301" s="487" t="s">
        <v>13190</v>
      </c>
      <c r="F8301" s="490">
        <v>32500</v>
      </c>
      <c r="G8301" s="489">
        <v>366.55</v>
      </c>
      <c r="H8301" s="489">
        <v>88.664580000000001</v>
      </c>
      <c r="I8301" s="487" t="s">
        <v>1499</v>
      </c>
      <c r="J8301" s="487" t="s">
        <v>1181</v>
      </c>
    </row>
    <row r="8302" spans="1:10" ht="15" x14ac:dyDescent="0.2">
      <c r="A8302" s="486" t="s">
        <v>1180</v>
      </c>
      <c r="B8302" s="487" t="s">
        <v>1179</v>
      </c>
      <c r="C8302" s="488" t="s">
        <v>25889</v>
      </c>
      <c r="D8302" s="489" t="s">
        <v>25890</v>
      </c>
      <c r="E8302" s="487" t="s">
        <v>25891</v>
      </c>
      <c r="F8302" s="490">
        <v>5058</v>
      </c>
      <c r="G8302" s="489">
        <v>108.86</v>
      </c>
      <c r="H8302" s="489">
        <v>46.463349999999998</v>
      </c>
      <c r="I8302" s="487" t="s">
        <v>1499</v>
      </c>
      <c r="J8302" s="487" t="s">
        <v>1181</v>
      </c>
    </row>
    <row r="8303" spans="1:10" ht="15" x14ac:dyDescent="0.2">
      <c r="A8303" s="486" t="s">
        <v>1180</v>
      </c>
      <c r="B8303" s="487" t="s">
        <v>1179</v>
      </c>
      <c r="C8303" s="488" t="s">
        <v>25892</v>
      </c>
      <c r="D8303" s="489" t="s">
        <v>25893</v>
      </c>
      <c r="E8303" s="487" t="s">
        <v>25894</v>
      </c>
      <c r="F8303" s="490">
        <v>5750</v>
      </c>
      <c r="G8303" s="489">
        <v>231.42</v>
      </c>
      <c r="H8303" s="489">
        <v>24.846599999999999</v>
      </c>
      <c r="I8303" s="487" t="s">
        <v>1499</v>
      </c>
      <c r="J8303" s="487" t="s">
        <v>1181</v>
      </c>
    </row>
    <row r="8304" spans="1:10" ht="15" x14ac:dyDescent="0.2">
      <c r="A8304" s="486" t="s">
        <v>1180</v>
      </c>
      <c r="B8304" s="487" t="s">
        <v>1179</v>
      </c>
      <c r="C8304" s="488" t="s">
        <v>25895</v>
      </c>
      <c r="D8304" s="489" t="s">
        <v>25896</v>
      </c>
      <c r="E8304" s="487" t="s">
        <v>10140</v>
      </c>
      <c r="F8304" s="490">
        <v>4256</v>
      </c>
      <c r="G8304" s="489">
        <v>115.83</v>
      </c>
      <c r="H8304" s="489">
        <v>36.743499999999997</v>
      </c>
      <c r="I8304" s="487" t="s">
        <v>1499</v>
      </c>
      <c r="J8304" s="487" t="s">
        <v>1181</v>
      </c>
    </row>
    <row r="8305" spans="1:10" ht="15" x14ac:dyDescent="0.2">
      <c r="A8305" s="486" t="s">
        <v>1180</v>
      </c>
      <c r="B8305" s="487" t="s">
        <v>1179</v>
      </c>
      <c r="C8305" s="488" t="s">
        <v>25897</v>
      </c>
      <c r="D8305" s="489" t="s">
        <v>25898</v>
      </c>
      <c r="E8305" s="487" t="s">
        <v>7286</v>
      </c>
      <c r="F8305" s="490">
        <v>21000</v>
      </c>
      <c r="G8305" s="489">
        <v>258.17</v>
      </c>
      <c r="H8305" s="489">
        <v>81.341750000000005</v>
      </c>
      <c r="I8305" s="487" t="s">
        <v>1499</v>
      </c>
      <c r="J8305" s="487" t="s">
        <v>1181</v>
      </c>
    </row>
    <row r="8306" spans="1:10" ht="15" x14ac:dyDescent="0.2">
      <c r="A8306" s="486" t="s">
        <v>1180</v>
      </c>
      <c r="B8306" s="487" t="s">
        <v>1179</v>
      </c>
      <c r="C8306" s="488" t="s">
        <v>25899</v>
      </c>
      <c r="D8306" s="489" t="s">
        <v>25900</v>
      </c>
      <c r="E8306" s="487" t="s">
        <v>25901</v>
      </c>
      <c r="F8306" s="490">
        <v>255505</v>
      </c>
      <c r="G8306" s="489">
        <v>1005.25</v>
      </c>
      <c r="H8306" s="489">
        <v>254.17060000000001</v>
      </c>
      <c r="I8306" s="487" t="s">
        <v>1499</v>
      </c>
      <c r="J8306" s="487" t="s">
        <v>1181</v>
      </c>
    </row>
    <row r="8307" spans="1:10" ht="15" x14ac:dyDescent="0.2">
      <c r="A8307" s="486" t="s">
        <v>1180</v>
      </c>
      <c r="B8307" s="487" t="s">
        <v>1179</v>
      </c>
      <c r="C8307" s="488" t="s">
        <v>25902</v>
      </c>
      <c r="D8307" s="489" t="s">
        <v>25903</v>
      </c>
      <c r="E8307" s="487" t="s">
        <v>25904</v>
      </c>
      <c r="F8307" s="490">
        <v>120450</v>
      </c>
      <c r="G8307" s="489">
        <v>2952.29</v>
      </c>
      <c r="H8307" s="489">
        <v>40.798839999999998</v>
      </c>
      <c r="I8307" s="487" t="s">
        <v>1499</v>
      </c>
      <c r="J8307" s="487" t="s">
        <v>1181</v>
      </c>
    </row>
    <row r="8308" spans="1:10" ht="15" x14ac:dyDescent="0.2">
      <c r="A8308" s="486" t="s">
        <v>1180</v>
      </c>
      <c r="B8308" s="487" t="s">
        <v>1179</v>
      </c>
      <c r="C8308" s="488" t="s">
        <v>25905</v>
      </c>
      <c r="D8308" s="489" t="s">
        <v>25906</v>
      </c>
      <c r="E8308" s="487" t="s">
        <v>25907</v>
      </c>
      <c r="F8308" s="490">
        <v>10686</v>
      </c>
      <c r="G8308" s="489">
        <v>186.44</v>
      </c>
      <c r="H8308" s="489">
        <v>57.316029999999998</v>
      </c>
      <c r="I8308" s="487" t="s">
        <v>1499</v>
      </c>
      <c r="J8308" s="487" t="s">
        <v>1181</v>
      </c>
    </row>
    <row r="8309" spans="1:10" ht="15" x14ac:dyDescent="0.2">
      <c r="A8309" s="486" t="s">
        <v>1180</v>
      </c>
      <c r="B8309" s="487" t="s">
        <v>1179</v>
      </c>
      <c r="C8309" s="488" t="s">
        <v>25908</v>
      </c>
      <c r="D8309" s="489" t="s">
        <v>25909</v>
      </c>
      <c r="E8309" s="487" t="s">
        <v>25910</v>
      </c>
      <c r="F8309" s="490">
        <v>12000</v>
      </c>
      <c r="G8309" s="489">
        <v>239.77</v>
      </c>
      <c r="H8309" s="489">
        <v>50.047960000000003</v>
      </c>
      <c r="I8309" s="487" t="s">
        <v>1499</v>
      </c>
      <c r="J8309" s="487" t="s">
        <v>1181</v>
      </c>
    </row>
    <row r="8310" spans="1:10" ht="15" x14ac:dyDescent="0.2">
      <c r="A8310" s="486" t="s">
        <v>1180</v>
      </c>
      <c r="B8310" s="487" t="s">
        <v>1179</v>
      </c>
      <c r="C8310" s="488" t="s">
        <v>25911</v>
      </c>
      <c r="D8310" s="489" t="s">
        <v>25912</v>
      </c>
      <c r="E8310" s="487" t="s">
        <v>25913</v>
      </c>
      <c r="F8310" s="490">
        <v>1324115</v>
      </c>
      <c r="G8310" s="489">
        <v>6803.48</v>
      </c>
      <c r="H8310" s="489">
        <v>194.62318999999999</v>
      </c>
      <c r="I8310" s="487" t="s">
        <v>1499</v>
      </c>
      <c r="J8310" s="487" t="s">
        <v>1181</v>
      </c>
    </row>
    <row r="8311" spans="1:10" ht="15" x14ac:dyDescent="0.2">
      <c r="A8311" s="486" t="s">
        <v>1180</v>
      </c>
      <c r="B8311" s="487" t="s">
        <v>1179</v>
      </c>
      <c r="C8311" s="488" t="s">
        <v>25914</v>
      </c>
      <c r="D8311" s="489" t="s">
        <v>25915</v>
      </c>
      <c r="E8311" s="487" t="s">
        <v>25916</v>
      </c>
      <c r="F8311" s="490">
        <v>21000</v>
      </c>
      <c r="G8311" s="489">
        <v>704.21</v>
      </c>
      <c r="H8311" s="489">
        <v>29.820650000000001</v>
      </c>
      <c r="I8311" s="487" t="s">
        <v>1499</v>
      </c>
      <c r="J8311" s="487" t="s">
        <v>1181</v>
      </c>
    </row>
    <row r="8312" spans="1:10" ht="15" x14ac:dyDescent="0.2">
      <c r="A8312" s="486" t="s">
        <v>1180</v>
      </c>
      <c r="B8312" s="487" t="s">
        <v>1179</v>
      </c>
      <c r="C8312" s="488" t="s">
        <v>25917</v>
      </c>
      <c r="D8312" s="489" t="s">
        <v>25918</v>
      </c>
      <c r="E8312" s="487" t="s">
        <v>25919</v>
      </c>
      <c r="F8312" s="490">
        <v>11500</v>
      </c>
      <c r="G8312" s="489">
        <v>208.02</v>
      </c>
      <c r="H8312" s="489">
        <v>55.283149999999999</v>
      </c>
      <c r="I8312" s="487" t="s">
        <v>1499</v>
      </c>
      <c r="J8312" s="487" t="s">
        <v>1181</v>
      </c>
    </row>
    <row r="8313" spans="1:10" ht="15" x14ac:dyDescent="0.2">
      <c r="A8313" s="486" t="s">
        <v>1180</v>
      </c>
      <c r="B8313" s="487" t="s">
        <v>1179</v>
      </c>
      <c r="C8313" s="488" t="s">
        <v>25920</v>
      </c>
      <c r="D8313" s="489" t="s">
        <v>25921</v>
      </c>
      <c r="E8313" s="487" t="s">
        <v>25922</v>
      </c>
      <c r="F8313" s="490">
        <v>4500</v>
      </c>
      <c r="G8313" s="489">
        <v>160.43</v>
      </c>
      <c r="H8313" s="489">
        <v>28.049620000000001</v>
      </c>
      <c r="I8313" s="487" t="s">
        <v>1499</v>
      </c>
      <c r="J8313" s="487" t="s">
        <v>1181</v>
      </c>
    </row>
    <row r="8314" spans="1:10" ht="15" x14ac:dyDescent="0.2">
      <c r="A8314" s="486" t="s">
        <v>1180</v>
      </c>
      <c r="B8314" s="487" t="s">
        <v>1179</v>
      </c>
      <c r="C8314" s="488" t="s">
        <v>25923</v>
      </c>
      <c r="D8314" s="489" t="s">
        <v>25924</v>
      </c>
      <c r="E8314" s="487" t="s">
        <v>25925</v>
      </c>
      <c r="F8314" s="490">
        <v>19000</v>
      </c>
      <c r="G8314" s="489">
        <v>420.17</v>
      </c>
      <c r="H8314" s="489">
        <v>45.219790000000003</v>
      </c>
      <c r="I8314" s="487" t="s">
        <v>1499</v>
      </c>
      <c r="J8314" s="487" t="s">
        <v>1181</v>
      </c>
    </row>
    <row r="8315" spans="1:10" ht="15" x14ac:dyDescent="0.2">
      <c r="A8315" s="486" t="s">
        <v>1180</v>
      </c>
      <c r="B8315" s="487" t="s">
        <v>1179</v>
      </c>
      <c r="C8315" s="488" t="s">
        <v>25926</v>
      </c>
      <c r="D8315" s="489" t="s">
        <v>25927</v>
      </c>
      <c r="E8315" s="487" t="s">
        <v>25928</v>
      </c>
      <c r="F8315" s="490">
        <v>50000</v>
      </c>
      <c r="G8315" s="489">
        <v>831.42</v>
      </c>
      <c r="H8315" s="489">
        <v>60.138080000000002</v>
      </c>
      <c r="I8315" s="487" t="s">
        <v>1499</v>
      </c>
      <c r="J8315" s="487" t="s">
        <v>1181</v>
      </c>
    </row>
    <row r="8316" spans="1:10" ht="15" x14ac:dyDescent="0.2">
      <c r="A8316" s="486" t="s">
        <v>1180</v>
      </c>
      <c r="B8316" s="487" t="s">
        <v>1179</v>
      </c>
      <c r="C8316" s="488" t="s">
        <v>25929</v>
      </c>
      <c r="D8316" s="489" t="s">
        <v>25930</v>
      </c>
      <c r="E8316" s="487" t="s">
        <v>25931</v>
      </c>
      <c r="F8316" s="490">
        <v>27692</v>
      </c>
      <c r="G8316" s="489">
        <v>389.81</v>
      </c>
      <c r="H8316" s="489">
        <v>71.039739999999995</v>
      </c>
      <c r="I8316" s="487" t="s">
        <v>1499</v>
      </c>
      <c r="J8316" s="487" t="s">
        <v>1181</v>
      </c>
    </row>
    <row r="8317" spans="1:10" ht="15" x14ac:dyDescent="0.2">
      <c r="A8317" s="486" t="s">
        <v>1180</v>
      </c>
      <c r="B8317" s="487" t="s">
        <v>1179</v>
      </c>
      <c r="C8317" s="488" t="s">
        <v>25932</v>
      </c>
      <c r="D8317" s="489" t="s">
        <v>25933</v>
      </c>
      <c r="E8317" s="487" t="s">
        <v>25934</v>
      </c>
      <c r="F8317" s="490">
        <v>257906</v>
      </c>
      <c r="G8317" s="489">
        <v>894.74</v>
      </c>
      <c r="H8317" s="489">
        <v>288.24687</v>
      </c>
      <c r="I8317" s="487" t="s">
        <v>1499</v>
      </c>
      <c r="J8317" s="487" t="s">
        <v>1181</v>
      </c>
    </row>
    <row r="8318" spans="1:10" ht="15" x14ac:dyDescent="0.2">
      <c r="A8318" s="486" t="s">
        <v>1180</v>
      </c>
      <c r="B8318" s="487" t="s">
        <v>1179</v>
      </c>
      <c r="C8318" s="488" t="s">
        <v>25935</v>
      </c>
      <c r="D8318" s="489" t="s">
        <v>25936</v>
      </c>
      <c r="E8318" s="487" t="s">
        <v>25937</v>
      </c>
      <c r="F8318" s="490">
        <v>11000</v>
      </c>
      <c r="G8318" s="489">
        <v>238.4</v>
      </c>
      <c r="H8318" s="489">
        <v>46.140940000000001</v>
      </c>
      <c r="I8318" s="487" t="s">
        <v>1499</v>
      </c>
      <c r="J8318" s="487" t="s">
        <v>1181</v>
      </c>
    </row>
    <row r="8319" spans="1:10" ht="15" x14ac:dyDescent="0.2">
      <c r="A8319" s="486" t="s">
        <v>1180</v>
      </c>
      <c r="B8319" s="487" t="s">
        <v>1179</v>
      </c>
      <c r="C8319" s="488" t="s">
        <v>25938</v>
      </c>
      <c r="D8319" s="489" t="s">
        <v>25939</v>
      </c>
      <c r="E8319" s="487" t="s">
        <v>25940</v>
      </c>
      <c r="F8319" s="490">
        <v>3500</v>
      </c>
      <c r="G8319" s="489">
        <v>111.91</v>
      </c>
      <c r="H8319" s="489">
        <v>31.275130000000001</v>
      </c>
      <c r="I8319" s="487" t="s">
        <v>1499</v>
      </c>
      <c r="J8319" s="487" t="s">
        <v>1181</v>
      </c>
    </row>
    <row r="8320" spans="1:10" ht="15" x14ac:dyDescent="0.2">
      <c r="A8320" s="486" t="s">
        <v>1180</v>
      </c>
      <c r="B8320" s="487" t="s">
        <v>1179</v>
      </c>
      <c r="C8320" s="488" t="s">
        <v>25941</v>
      </c>
      <c r="D8320" s="489" t="s">
        <v>25942</v>
      </c>
      <c r="E8320" s="487" t="s">
        <v>25943</v>
      </c>
      <c r="F8320" s="490">
        <v>8000</v>
      </c>
      <c r="G8320" s="489">
        <v>189.47</v>
      </c>
      <c r="H8320" s="489">
        <v>42.223039999999997</v>
      </c>
      <c r="I8320" s="487" t="s">
        <v>1499</v>
      </c>
      <c r="J8320" s="487" t="s">
        <v>1181</v>
      </c>
    </row>
    <row r="8321" spans="1:10" ht="15" x14ac:dyDescent="0.2">
      <c r="A8321" s="486" t="s">
        <v>1180</v>
      </c>
      <c r="B8321" s="487" t="s">
        <v>1179</v>
      </c>
      <c r="C8321" s="488" t="s">
        <v>25944</v>
      </c>
      <c r="D8321" s="489" t="s">
        <v>25945</v>
      </c>
      <c r="E8321" s="487" t="s">
        <v>25946</v>
      </c>
      <c r="F8321" s="490">
        <v>1185000</v>
      </c>
      <c r="G8321" s="489">
        <v>4660.4399999999996</v>
      </c>
      <c r="H8321" s="489">
        <v>254.26784000000001</v>
      </c>
      <c r="I8321" s="487" t="s">
        <v>1499</v>
      </c>
      <c r="J8321" s="487" t="s">
        <v>1181</v>
      </c>
    </row>
    <row r="8322" spans="1:10" ht="15" x14ac:dyDescent="0.2">
      <c r="A8322" s="486" t="s">
        <v>1180</v>
      </c>
      <c r="B8322" s="487" t="s">
        <v>1179</v>
      </c>
      <c r="C8322" s="488" t="s">
        <v>25947</v>
      </c>
      <c r="D8322" s="489" t="s">
        <v>25948</v>
      </c>
      <c r="E8322" s="487" t="s">
        <v>25949</v>
      </c>
      <c r="F8322" s="490">
        <v>10513</v>
      </c>
      <c r="G8322" s="489">
        <v>304.33999999999997</v>
      </c>
      <c r="H8322" s="489">
        <v>34.543599999999998</v>
      </c>
      <c r="I8322" s="487" t="s">
        <v>1499</v>
      </c>
      <c r="J8322" s="487" t="s">
        <v>1181</v>
      </c>
    </row>
    <row r="8323" spans="1:10" ht="15" x14ac:dyDescent="0.2">
      <c r="A8323" s="486" t="s">
        <v>1180</v>
      </c>
      <c r="B8323" s="487" t="s">
        <v>1179</v>
      </c>
      <c r="C8323" s="488" t="s">
        <v>25950</v>
      </c>
      <c r="D8323" s="489" t="s">
        <v>25951</v>
      </c>
      <c r="E8323" s="487" t="s">
        <v>25952</v>
      </c>
      <c r="F8323" s="490">
        <v>8550</v>
      </c>
      <c r="G8323" s="489">
        <v>207.29</v>
      </c>
      <c r="H8323" s="489">
        <v>41.246560000000002</v>
      </c>
      <c r="I8323" s="487" t="s">
        <v>1499</v>
      </c>
      <c r="J8323" s="487" t="s">
        <v>1181</v>
      </c>
    </row>
    <row r="8324" spans="1:10" ht="15" x14ac:dyDescent="0.2">
      <c r="A8324" s="486" t="s">
        <v>1180</v>
      </c>
      <c r="B8324" s="487" t="s">
        <v>1179</v>
      </c>
      <c r="C8324" s="488" t="s">
        <v>25953</v>
      </c>
      <c r="D8324" s="489" t="s">
        <v>25954</v>
      </c>
      <c r="E8324" s="487" t="s">
        <v>25955</v>
      </c>
      <c r="F8324" s="490">
        <v>32000</v>
      </c>
      <c r="G8324" s="489">
        <v>439.11</v>
      </c>
      <c r="H8324" s="489">
        <v>72.874679999999998</v>
      </c>
      <c r="I8324" s="487" t="s">
        <v>1499</v>
      </c>
      <c r="J8324" s="487" t="s">
        <v>1181</v>
      </c>
    </row>
    <row r="8325" spans="1:10" ht="15" x14ac:dyDescent="0.2">
      <c r="A8325" s="486" t="s">
        <v>1180</v>
      </c>
      <c r="B8325" s="487" t="s">
        <v>1179</v>
      </c>
      <c r="C8325" s="488" t="s">
        <v>25956</v>
      </c>
      <c r="D8325" s="489" t="s">
        <v>25957</v>
      </c>
      <c r="E8325" s="487" t="s">
        <v>25958</v>
      </c>
      <c r="F8325" s="490">
        <v>363627</v>
      </c>
      <c r="G8325" s="489">
        <v>2574.7399999999998</v>
      </c>
      <c r="H8325" s="489">
        <v>141.22863000000001</v>
      </c>
      <c r="I8325" s="487" t="s">
        <v>1499</v>
      </c>
      <c r="J8325" s="487" t="s">
        <v>1181</v>
      </c>
    </row>
    <row r="8326" spans="1:10" ht="15" x14ac:dyDescent="0.2">
      <c r="A8326" s="486" t="s">
        <v>1180</v>
      </c>
      <c r="B8326" s="487" t="s">
        <v>1179</v>
      </c>
      <c r="C8326" s="488" t="s">
        <v>25959</v>
      </c>
      <c r="D8326" s="489" t="s">
        <v>25960</v>
      </c>
      <c r="E8326" s="487" t="s">
        <v>25961</v>
      </c>
      <c r="F8326" s="490">
        <v>15200</v>
      </c>
      <c r="G8326" s="489">
        <v>154.53</v>
      </c>
      <c r="H8326" s="489">
        <v>98.362780000000001</v>
      </c>
      <c r="I8326" s="487" t="s">
        <v>1499</v>
      </c>
      <c r="J8326" s="487" t="s">
        <v>1181</v>
      </c>
    </row>
    <row r="8327" spans="1:10" ht="15" x14ac:dyDescent="0.2">
      <c r="A8327" s="486" t="s">
        <v>1180</v>
      </c>
      <c r="B8327" s="487" t="s">
        <v>1179</v>
      </c>
      <c r="C8327" s="488" t="s">
        <v>25962</v>
      </c>
      <c r="D8327" s="489" t="s">
        <v>25963</v>
      </c>
      <c r="E8327" s="487" t="s">
        <v>25964</v>
      </c>
      <c r="F8327" s="490">
        <v>11000</v>
      </c>
      <c r="G8327" s="489">
        <v>169.4</v>
      </c>
      <c r="H8327" s="489">
        <v>64.935059999999993</v>
      </c>
      <c r="I8327" s="487" t="s">
        <v>1499</v>
      </c>
      <c r="J8327" s="487" t="s">
        <v>1181</v>
      </c>
    </row>
    <row r="8328" spans="1:10" ht="15" x14ac:dyDescent="0.2">
      <c r="A8328" s="486" t="s">
        <v>1180</v>
      </c>
      <c r="B8328" s="487" t="s">
        <v>1179</v>
      </c>
      <c r="C8328" s="488" t="s">
        <v>25965</v>
      </c>
      <c r="D8328" s="489" t="s">
        <v>25966</v>
      </c>
      <c r="E8328" s="487" t="s">
        <v>25967</v>
      </c>
      <c r="F8328" s="490">
        <v>8400</v>
      </c>
      <c r="G8328" s="489">
        <v>257.12</v>
      </c>
      <c r="H8328" s="489">
        <v>32.66957</v>
      </c>
      <c r="I8328" s="487" t="s">
        <v>1499</v>
      </c>
      <c r="J8328" s="487" t="s">
        <v>1181</v>
      </c>
    </row>
    <row r="8329" spans="1:10" ht="15" x14ac:dyDescent="0.2">
      <c r="A8329" s="486" t="s">
        <v>1180</v>
      </c>
      <c r="B8329" s="487" t="s">
        <v>1179</v>
      </c>
      <c r="C8329" s="488" t="s">
        <v>25968</v>
      </c>
      <c r="D8329" s="489" t="s">
        <v>25969</v>
      </c>
      <c r="E8329" s="487" t="s">
        <v>25970</v>
      </c>
      <c r="F8329" s="490">
        <v>77000</v>
      </c>
      <c r="G8329" s="489">
        <v>914.63</v>
      </c>
      <c r="H8329" s="489">
        <v>84.187049999999999</v>
      </c>
      <c r="I8329" s="487" t="s">
        <v>1499</v>
      </c>
      <c r="J8329" s="487" t="s">
        <v>1181</v>
      </c>
    </row>
    <row r="8330" spans="1:10" ht="15" x14ac:dyDescent="0.2">
      <c r="A8330" s="486" t="s">
        <v>1180</v>
      </c>
      <c r="B8330" s="487" t="s">
        <v>1179</v>
      </c>
      <c r="C8330" s="488" t="s">
        <v>25971</v>
      </c>
      <c r="D8330" s="489" t="s">
        <v>25972</v>
      </c>
      <c r="E8330" s="487" t="s">
        <v>25973</v>
      </c>
      <c r="F8330" s="490">
        <v>0</v>
      </c>
      <c r="G8330" s="489">
        <v>57.89</v>
      </c>
      <c r="H8330" s="489">
        <v>0</v>
      </c>
      <c r="I8330" s="487" t="s">
        <v>1593</v>
      </c>
      <c r="J8330" s="487" t="s">
        <v>1181</v>
      </c>
    </row>
    <row r="8331" spans="1:10" ht="15" x14ac:dyDescent="0.2">
      <c r="A8331" s="486" t="s">
        <v>1180</v>
      </c>
      <c r="B8331" s="487" t="s">
        <v>1179</v>
      </c>
      <c r="C8331" s="488" t="s">
        <v>25974</v>
      </c>
      <c r="D8331" s="489" t="s">
        <v>25975</v>
      </c>
      <c r="E8331" s="487" t="s">
        <v>25976</v>
      </c>
      <c r="F8331" s="490">
        <v>10000</v>
      </c>
      <c r="G8331" s="489">
        <v>203.15</v>
      </c>
      <c r="H8331" s="489">
        <v>49.224710000000002</v>
      </c>
      <c r="I8331" s="487" t="s">
        <v>1499</v>
      </c>
      <c r="J8331" s="487" t="s">
        <v>1181</v>
      </c>
    </row>
    <row r="8332" spans="1:10" ht="15" x14ac:dyDescent="0.2">
      <c r="A8332" s="486" t="s">
        <v>1180</v>
      </c>
      <c r="B8332" s="487" t="s">
        <v>1179</v>
      </c>
      <c r="C8332" s="488" t="s">
        <v>25977</v>
      </c>
      <c r="D8332" s="489" t="s">
        <v>25978</v>
      </c>
      <c r="E8332" s="487" t="s">
        <v>25979</v>
      </c>
      <c r="F8332" s="490">
        <v>0</v>
      </c>
      <c r="G8332" s="489">
        <v>48.52</v>
      </c>
      <c r="H8332" s="489">
        <v>0</v>
      </c>
      <c r="I8332" s="487" t="s">
        <v>1593</v>
      </c>
      <c r="J8332" s="487" t="s">
        <v>1181</v>
      </c>
    </row>
    <row r="8333" spans="1:10" ht="15" x14ac:dyDescent="0.2">
      <c r="A8333" s="486" t="s">
        <v>1180</v>
      </c>
      <c r="B8333" s="487" t="s">
        <v>1179</v>
      </c>
      <c r="C8333" s="488" t="s">
        <v>25980</v>
      </c>
      <c r="D8333" s="489" t="s">
        <v>25981</v>
      </c>
      <c r="E8333" s="487" t="s">
        <v>25982</v>
      </c>
      <c r="F8333" s="490">
        <v>6990</v>
      </c>
      <c r="G8333" s="489">
        <v>303.24</v>
      </c>
      <c r="H8333" s="489">
        <v>23.05105</v>
      </c>
      <c r="I8333" s="487" t="s">
        <v>1499</v>
      </c>
      <c r="J8333" s="487" t="s">
        <v>1181</v>
      </c>
    </row>
    <row r="8334" spans="1:10" ht="15" x14ac:dyDescent="0.2">
      <c r="A8334" s="486" t="s">
        <v>1180</v>
      </c>
      <c r="B8334" s="487" t="s">
        <v>1179</v>
      </c>
      <c r="C8334" s="488" t="s">
        <v>25983</v>
      </c>
      <c r="D8334" s="489" t="s">
        <v>25984</v>
      </c>
      <c r="E8334" s="487" t="s">
        <v>25985</v>
      </c>
      <c r="F8334" s="490">
        <v>10900</v>
      </c>
      <c r="G8334" s="489">
        <v>193.42</v>
      </c>
      <c r="H8334" s="489">
        <v>56.354050000000001</v>
      </c>
      <c r="I8334" s="487" t="s">
        <v>1499</v>
      </c>
      <c r="J8334" s="487" t="s">
        <v>1181</v>
      </c>
    </row>
    <row r="8335" spans="1:10" ht="15" x14ac:dyDescent="0.2">
      <c r="A8335" s="486" t="s">
        <v>1180</v>
      </c>
      <c r="B8335" s="487" t="s">
        <v>1179</v>
      </c>
      <c r="C8335" s="488" t="s">
        <v>25986</v>
      </c>
      <c r="D8335" s="489" t="s">
        <v>25987</v>
      </c>
      <c r="E8335" s="487" t="s">
        <v>25988</v>
      </c>
      <c r="F8335" s="490">
        <v>3750</v>
      </c>
      <c r="G8335" s="489">
        <v>144.05000000000001</v>
      </c>
      <c r="H8335" s="489">
        <v>26.032630000000001</v>
      </c>
      <c r="I8335" s="487" t="s">
        <v>1499</v>
      </c>
      <c r="J8335" s="487" t="s">
        <v>1181</v>
      </c>
    </row>
    <row r="8336" spans="1:10" ht="15" x14ac:dyDescent="0.2">
      <c r="A8336" s="486" t="s">
        <v>1180</v>
      </c>
      <c r="B8336" s="487" t="s">
        <v>1179</v>
      </c>
      <c r="C8336" s="488" t="s">
        <v>25989</v>
      </c>
      <c r="D8336" s="489" t="s">
        <v>25990</v>
      </c>
      <c r="E8336" s="487" t="s">
        <v>25991</v>
      </c>
      <c r="F8336" s="490">
        <v>12000</v>
      </c>
      <c r="G8336" s="489">
        <v>150.87</v>
      </c>
      <c r="H8336" s="489">
        <v>79.538679999999999</v>
      </c>
      <c r="I8336" s="487" t="s">
        <v>1499</v>
      </c>
      <c r="J8336" s="487" t="s">
        <v>1181</v>
      </c>
    </row>
    <row r="8337" spans="1:10" ht="15" x14ac:dyDescent="0.2">
      <c r="A8337" s="486" t="s">
        <v>1180</v>
      </c>
      <c r="B8337" s="487" t="s">
        <v>1179</v>
      </c>
      <c r="C8337" s="488" t="s">
        <v>25992</v>
      </c>
      <c r="D8337" s="489" t="s">
        <v>25993</v>
      </c>
      <c r="E8337" s="487" t="s">
        <v>25994</v>
      </c>
      <c r="F8337" s="490">
        <v>21462</v>
      </c>
      <c r="G8337" s="489">
        <v>391.68</v>
      </c>
      <c r="H8337" s="489">
        <v>54.794730000000001</v>
      </c>
      <c r="I8337" s="487" t="s">
        <v>1499</v>
      </c>
      <c r="J8337" s="487" t="s">
        <v>1181</v>
      </c>
    </row>
    <row r="8338" spans="1:10" ht="15" x14ac:dyDescent="0.2">
      <c r="A8338" s="486" t="s">
        <v>1180</v>
      </c>
      <c r="B8338" s="487" t="s">
        <v>1179</v>
      </c>
      <c r="C8338" s="488" t="s">
        <v>25995</v>
      </c>
      <c r="D8338" s="489" t="s">
        <v>25996</v>
      </c>
      <c r="E8338" s="487" t="s">
        <v>25997</v>
      </c>
      <c r="F8338" s="490">
        <v>1050</v>
      </c>
      <c r="G8338" s="489">
        <v>41.86</v>
      </c>
      <c r="H8338" s="489">
        <v>25.08361</v>
      </c>
      <c r="I8338" s="487" t="s">
        <v>1499</v>
      </c>
      <c r="J8338" s="487" t="s">
        <v>1181</v>
      </c>
    </row>
    <row r="8339" spans="1:10" ht="15" x14ac:dyDescent="0.2">
      <c r="A8339" s="486" t="s">
        <v>1180</v>
      </c>
      <c r="B8339" s="487" t="s">
        <v>1179</v>
      </c>
      <c r="C8339" s="488" t="s">
        <v>25998</v>
      </c>
      <c r="D8339" s="489" t="s">
        <v>25999</v>
      </c>
      <c r="E8339" s="487" t="s">
        <v>26000</v>
      </c>
      <c r="F8339" s="490">
        <v>0</v>
      </c>
      <c r="G8339" s="489">
        <v>91.86</v>
      </c>
      <c r="H8339" s="489">
        <v>0</v>
      </c>
      <c r="I8339" s="487" t="s">
        <v>1593</v>
      </c>
      <c r="J8339" s="487" t="s">
        <v>1181</v>
      </c>
    </row>
    <row r="8340" spans="1:10" ht="15" x14ac:dyDescent="0.2">
      <c r="A8340" s="486" t="s">
        <v>1180</v>
      </c>
      <c r="B8340" s="487" t="s">
        <v>1179</v>
      </c>
      <c r="C8340" s="488" t="s">
        <v>26001</v>
      </c>
      <c r="D8340" s="489" t="s">
        <v>26002</v>
      </c>
      <c r="E8340" s="487" t="s">
        <v>11161</v>
      </c>
      <c r="F8340" s="490">
        <v>83780</v>
      </c>
      <c r="G8340" s="489">
        <v>762.19</v>
      </c>
      <c r="H8340" s="489">
        <v>109.92010000000001</v>
      </c>
      <c r="I8340" s="487" t="s">
        <v>1499</v>
      </c>
      <c r="J8340" s="487" t="s">
        <v>1181</v>
      </c>
    </row>
    <row r="8341" spans="1:10" ht="15" x14ac:dyDescent="0.2">
      <c r="A8341" s="486" t="s">
        <v>1180</v>
      </c>
      <c r="B8341" s="487" t="s">
        <v>1179</v>
      </c>
      <c r="C8341" s="488" t="s">
        <v>26003</v>
      </c>
      <c r="D8341" s="489" t="s">
        <v>26004</v>
      </c>
      <c r="E8341" s="487" t="s">
        <v>26005</v>
      </c>
      <c r="F8341" s="490">
        <v>4000</v>
      </c>
      <c r="G8341" s="489">
        <v>124.88</v>
      </c>
      <c r="H8341" s="489">
        <v>32.030749999999998</v>
      </c>
      <c r="I8341" s="487" t="s">
        <v>1499</v>
      </c>
      <c r="J8341" s="487" t="s">
        <v>1181</v>
      </c>
    </row>
    <row r="8342" spans="1:10" ht="15" x14ac:dyDescent="0.2">
      <c r="A8342" s="486" t="s">
        <v>1180</v>
      </c>
      <c r="B8342" s="487" t="s">
        <v>1179</v>
      </c>
      <c r="C8342" s="488" t="s">
        <v>26006</v>
      </c>
      <c r="D8342" s="489" t="s">
        <v>26007</v>
      </c>
      <c r="E8342" s="487" t="s">
        <v>26008</v>
      </c>
      <c r="F8342" s="490">
        <v>25000</v>
      </c>
      <c r="G8342" s="489">
        <v>618.35</v>
      </c>
      <c r="H8342" s="489">
        <v>40.43018</v>
      </c>
      <c r="I8342" s="487" t="s">
        <v>1499</v>
      </c>
      <c r="J8342" s="487" t="s">
        <v>1181</v>
      </c>
    </row>
    <row r="8343" spans="1:10" ht="15" x14ac:dyDescent="0.2">
      <c r="A8343" s="486" t="s">
        <v>1180</v>
      </c>
      <c r="B8343" s="487" t="s">
        <v>1179</v>
      </c>
      <c r="C8343" s="488" t="s">
        <v>26009</v>
      </c>
      <c r="D8343" s="489" t="s">
        <v>26010</v>
      </c>
      <c r="E8343" s="487" t="s">
        <v>26011</v>
      </c>
      <c r="F8343" s="490">
        <v>16125</v>
      </c>
      <c r="G8343" s="489">
        <v>288.70999999999998</v>
      </c>
      <c r="H8343" s="489">
        <v>55.851889999999997</v>
      </c>
      <c r="I8343" s="487" t="s">
        <v>1499</v>
      </c>
      <c r="J8343" s="487" t="s">
        <v>1181</v>
      </c>
    </row>
    <row r="8344" spans="1:10" ht="15" x14ac:dyDescent="0.2">
      <c r="A8344" s="486" t="s">
        <v>1180</v>
      </c>
      <c r="B8344" s="487" t="s">
        <v>1179</v>
      </c>
      <c r="C8344" s="488" t="s">
        <v>26012</v>
      </c>
      <c r="D8344" s="489" t="s">
        <v>26013</v>
      </c>
      <c r="E8344" s="487" t="s">
        <v>26014</v>
      </c>
      <c r="F8344" s="490">
        <v>50000</v>
      </c>
      <c r="G8344" s="489">
        <v>350.13</v>
      </c>
      <c r="H8344" s="489">
        <v>142.80410000000001</v>
      </c>
      <c r="I8344" s="487" t="s">
        <v>1499</v>
      </c>
      <c r="J8344" s="487" t="s">
        <v>1181</v>
      </c>
    </row>
    <row r="8345" spans="1:10" ht="15" x14ac:dyDescent="0.2">
      <c r="A8345" s="486" t="s">
        <v>1180</v>
      </c>
      <c r="B8345" s="487" t="s">
        <v>1179</v>
      </c>
      <c r="C8345" s="488" t="s">
        <v>26015</v>
      </c>
      <c r="D8345" s="489" t="s">
        <v>26016</v>
      </c>
      <c r="E8345" s="487" t="s">
        <v>26017</v>
      </c>
      <c r="F8345" s="490">
        <v>1300</v>
      </c>
      <c r="G8345" s="489">
        <v>85.29</v>
      </c>
      <c r="H8345" s="489">
        <v>15.24212</v>
      </c>
      <c r="I8345" s="487" t="s">
        <v>1499</v>
      </c>
      <c r="J8345" s="487" t="s">
        <v>1181</v>
      </c>
    </row>
    <row r="8346" spans="1:10" ht="15" x14ac:dyDescent="0.2">
      <c r="A8346" s="486" t="s">
        <v>1180</v>
      </c>
      <c r="B8346" s="487" t="s">
        <v>1179</v>
      </c>
      <c r="C8346" s="488" t="s">
        <v>26018</v>
      </c>
      <c r="D8346" s="489" t="s">
        <v>26019</v>
      </c>
      <c r="E8346" s="487" t="s">
        <v>26020</v>
      </c>
      <c r="F8346" s="490">
        <v>11550</v>
      </c>
      <c r="G8346" s="489">
        <v>141.34</v>
      </c>
      <c r="H8346" s="489">
        <v>81.717839999999995</v>
      </c>
      <c r="I8346" s="487" t="s">
        <v>1499</v>
      </c>
      <c r="J8346" s="487" t="s">
        <v>1181</v>
      </c>
    </row>
    <row r="8347" spans="1:10" ht="15" x14ac:dyDescent="0.2">
      <c r="A8347" s="486" t="s">
        <v>1180</v>
      </c>
      <c r="B8347" s="487" t="s">
        <v>1179</v>
      </c>
      <c r="C8347" s="488" t="s">
        <v>26021</v>
      </c>
      <c r="D8347" s="489" t="s">
        <v>26022</v>
      </c>
      <c r="E8347" s="487" t="s">
        <v>26023</v>
      </c>
      <c r="F8347" s="490">
        <v>7000</v>
      </c>
      <c r="G8347" s="489">
        <v>124.72</v>
      </c>
      <c r="H8347" s="489">
        <v>56.125720000000001</v>
      </c>
      <c r="I8347" s="487" t="s">
        <v>1499</v>
      </c>
      <c r="J8347" s="487" t="s">
        <v>1181</v>
      </c>
    </row>
    <row r="8348" spans="1:10" ht="15" x14ac:dyDescent="0.2">
      <c r="A8348" s="486" t="s">
        <v>1180</v>
      </c>
      <c r="B8348" s="487" t="s">
        <v>1179</v>
      </c>
      <c r="C8348" s="488" t="s">
        <v>26024</v>
      </c>
      <c r="D8348" s="489" t="s">
        <v>26025</v>
      </c>
      <c r="E8348" s="487" t="s">
        <v>16725</v>
      </c>
      <c r="F8348" s="490">
        <v>17000</v>
      </c>
      <c r="G8348" s="489">
        <v>288.52999999999997</v>
      </c>
      <c r="H8348" s="489">
        <v>58.919350000000001</v>
      </c>
      <c r="I8348" s="487" t="s">
        <v>1499</v>
      </c>
      <c r="J8348" s="487" t="s">
        <v>1181</v>
      </c>
    </row>
    <row r="8349" spans="1:10" ht="15" x14ac:dyDescent="0.2">
      <c r="A8349" s="486" t="s">
        <v>1180</v>
      </c>
      <c r="B8349" s="487" t="s">
        <v>1179</v>
      </c>
      <c r="C8349" s="488" t="s">
        <v>26026</v>
      </c>
      <c r="D8349" s="489" t="s">
        <v>26027</v>
      </c>
      <c r="E8349" s="487" t="s">
        <v>26028</v>
      </c>
      <c r="F8349" s="490">
        <v>65000</v>
      </c>
      <c r="G8349" s="489">
        <v>877.4</v>
      </c>
      <c r="H8349" s="489">
        <v>74.082520000000002</v>
      </c>
      <c r="I8349" s="487" t="s">
        <v>1499</v>
      </c>
      <c r="J8349" s="487" t="s">
        <v>1181</v>
      </c>
    </row>
    <row r="8350" spans="1:10" ht="15" x14ac:dyDescent="0.2">
      <c r="A8350" s="486" t="s">
        <v>1180</v>
      </c>
      <c r="B8350" s="487" t="s">
        <v>1179</v>
      </c>
      <c r="C8350" s="488" t="s">
        <v>26029</v>
      </c>
      <c r="D8350" s="489" t="s">
        <v>26030</v>
      </c>
      <c r="E8350" s="487" t="s">
        <v>26031</v>
      </c>
      <c r="F8350" s="490">
        <v>0</v>
      </c>
      <c r="G8350" s="489">
        <v>0</v>
      </c>
      <c r="H8350" s="489">
        <v>0</v>
      </c>
      <c r="I8350" s="487" t="s">
        <v>2465</v>
      </c>
      <c r="J8350" s="487" t="s">
        <v>1181</v>
      </c>
    </row>
    <row r="8351" spans="1:10" ht="15" x14ac:dyDescent="0.2">
      <c r="A8351" s="486" t="s">
        <v>1180</v>
      </c>
      <c r="B8351" s="487" t="s">
        <v>1179</v>
      </c>
      <c r="C8351" s="488" t="s">
        <v>26032</v>
      </c>
      <c r="D8351" s="489" t="s">
        <v>26033</v>
      </c>
      <c r="E8351" s="487" t="s">
        <v>26034</v>
      </c>
      <c r="F8351" s="490">
        <v>11558</v>
      </c>
      <c r="G8351" s="489">
        <v>217.75</v>
      </c>
      <c r="H8351" s="489">
        <v>53.079219999999999</v>
      </c>
      <c r="I8351" s="487" t="s">
        <v>1499</v>
      </c>
      <c r="J8351" s="487" t="s">
        <v>1181</v>
      </c>
    </row>
    <row r="8352" spans="1:10" ht="15" x14ac:dyDescent="0.2">
      <c r="A8352" s="486" t="s">
        <v>1180</v>
      </c>
      <c r="B8352" s="487" t="s">
        <v>1179</v>
      </c>
      <c r="C8352" s="488" t="s">
        <v>26035</v>
      </c>
      <c r="D8352" s="489" t="s">
        <v>26036</v>
      </c>
      <c r="E8352" s="487" t="s">
        <v>26037</v>
      </c>
      <c r="F8352" s="490">
        <v>118075</v>
      </c>
      <c r="G8352" s="489">
        <v>1179.1300000000001</v>
      </c>
      <c r="H8352" s="489">
        <v>100.13739</v>
      </c>
      <c r="I8352" s="487" t="s">
        <v>1499</v>
      </c>
      <c r="J8352" s="487" t="s">
        <v>1181</v>
      </c>
    </row>
    <row r="8353" spans="1:10" ht="15" x14ac:dyDescent="0.2">
      <c r="A8353" s="486" t="s">
        <v>1180</v>
      </c>
      <c r="B8353" s="487" t="s">
        <v>1179</v>
      </c>
      <c r="C8353" s="488" t="s">
        <v>26038</v>
      </c>
      <c r="D8353" s="489" t="s">
        <v>26039</v>
      </c>
      <c r="E8353" s="487" t="s">
        <v>26040</v>
      </c>
      <c r="F8353" s="490">
        <v>663503</v>
      </c>
      <c r="G8353" s="489">
        <v>2603.27</v>
      </c>
      <c r="H8353" s="489">
        <v>254.87290999999999</v>
      </c>
      <c r="I8353" s="487" t="s">
        <v>1499</v>
      </c>
      <c r="J8353" s="487" t="s">
        <v>1181</v>
      </c>
    </row>
    <row r="8354" spans="1:10" ht="15" x14ac:dyDescent="0.2">
      <c r="A8354" s="486" t="s">
        <v>1180</v>
      </c>
      <c r="B8354" s="487" t="s">
        <v>1179</v>
      </c>
      <c r="C8354" s="488" t="s">
        <v>26041</v>
      </c>
      <c r="D8354" s="489" t="s">
        <v>26042</v>
      </c>
      <c r="E8354" s="487" t="s">
        <v>26043</v>
      </c>
      <c r="F8354" s="490">
        <v>0</v>
      </c>
      <c r="G8354" s="489">
        <v>40.07</v>
      </c>
      <c r="H8354" s="489">
        <v>0</v>
      </c>
      <c r="I8354" s="487" t="s">
        <v>1593</v>
      </c>
      <c r="J8354" s="487" t="s">
        <v>1181</v>
      </c>
    </row>
    <row r="8355" spans="1:10" ht="15" x14ac:dyDescent="0.2">
      <c r="A8355" s="486" t="s">
        <v>1180</v>
      </c>
      <c r="B8355" s="487" t="s">
        <v>1179</v>
      </c>
      <c r="C8355" s="488" t="s">
        <v>26044</v>
      </c>
      <c r="D8355" s="489" t="s">
        <v>26045</v>
      </c>
      <c r="E8355" s="487" t="s">
        <v>26046</v>
      </c>
      <c r="F8355" s="490">
        <v>13915</v>
      </c>
      <c r="G8355" s="489">
        <v>273.35000000000002</v>
      </c>
      <c r="H8355" s="489">
        <v>50.905430000000003</v>
      </c>
      <c r="I8355" s="487" t="s">
        <v>1499</v>
      </c>
      <c r="J8355" s="487" t="s">
        <v>1181</v>
      </c>
    </row>
    <row r="8356" spans="1:10" ht="15" x14ac:dyDescent="0.2">
      <c r="A8356" s="486" t="s">
        <v>1180</v>
      </c>
      <c r="B8356" s="487" t="s">
        <v>1179</v>
      </c>
      <c r="C8356" s="488" t="s">
        <v>26047</v>
      </c>
      <c r="D8356" s="489" t="s">
        <v>26048</v>
      </c>
      <c r="E8356" s="487" t="s">
        <v>26049</v>
      </c>
      <c r="F8356" s="490">
        <v>15500</v>
      </c>
      <c r="G8356" s="489">
        <v>243.05</v>
      </c>
      <c r="H8356" s="489">
        <v>63.772889999999997</v>
      </c>
      <c r="I8356" s="487" t="s">
        <v>1499</v>
      </c>
      <c r="J8356" s="487" t="s">
        <v>1181</v>
      </c>
    </row>
    <row r="8357" spans="1:10" ht="15" x14ac:dyDescent="0.2">
      <c r="A8357" s="486" t="s">
        <v>1180</v>
      </c>
      <c r="B8357" s="487" t="s">
        <v>1179</v>
      </c>
      <c r="C8357" s="488" t="s">
        <v>26050</v>
      </c>
      <c r="D8357" s="489" t="s">
        <v>26051</v>
      </c>
      <c r="E8357" s="487" t="s">
        <v>26052</v>
      </c>
      <c r="F8357" s="490">
        <v>3200</v>
      </c>
      <c r="G8357" s="489">
        <v>100.36</v>
      </c>
      <c r="H8357" s="489">
        <v>31.885210000000001</v>
      </c>
      <c r="I8357" s="487" t="s">
        <v>1499</v>
      </c>
      <c r="J8357" s="487" t="s">
        <v>1181</v>
      </c>
    </row>
    <row r="8358" spans="1:10" ht="15" x14ac:dyDescent="0.2">
      <c r="A8358" s="486" t="s">
        <v>1180</v>
      </c>
      <c r="B8358" s="487" t="s">
        <v>1179</v>
      </c>
      <c r="C8358" s="488" t="s">
        <v>26053</v>
      </c>
      <c r="D8358" s="489" t="s">
        <v>26054</v>
      </c>
      <c r="E8358" s="487" t="s">
        <v>26055</v>
      </c>
      <c r="F8358" s="490">
        <v>0</v>
      </c>
      <c r="G8358" s="489">
        <v>29.65</v>
      </c>
      <c r="H8358" s="489">
        <v>0</v>
      </c>
      <c r="I8358" s="487" t="s">
        <v>1593</v>
      </c>
      <c r="J8358" s="487" t="s">
        <v>1181</v>
      </c>
    </row>
    <row r="8359" spans="1:10" ht="15" x14ac:dyDescent="0.2">
      <c r="A8359" s="486" t="s">
        <v>1180</v>
      </c>
      <c r="B8359" s="487" t="s">
        <v>1179</v>
      </c>
      <c r="C8359" s="488" t="s">
        <v>26056</v>
      </c>
      <c r="D8359" s="489" t="s">
        <v>26057</v>
      </c>
      <c r="E8359" s="487" t="s">
        <v>26058</v>
      </c>
      <c r="F8359" s="490">
        <v>0</v>
      </c>
      <c r="G8359" s="489">
        <v>0</v>
      </c>
      <c r="H8359" s="489">
        <v>0</v>
      </c>
      <c r="I8359" s="487" t="s">
        <v>2465</v>
      </c>
      <c r="J8359" s="487" t="s">
        <v>1181</v>
      </c>
    </row>
    <row r="8360" spans="1:10" ht="15" x14ac:dyDescent="0.2">
      <c r="A8360" s="486" t="s">
        <v>1180</v>
      </c>
      <c r="B8360" s="487" t="s">
        <v>1179</v>
      </c>
      <c r="C8360" s="488" t="s">
        <v>26059</v>
      </c>
      <c r="D8360" s="489" t="s">
        <v>26060</v>
      </c>
      <c r="E8360" s="487" t="s">
        <v>26061</v>
      </c>
      <c r="F8360" s="490">
        <v>11436</v>
      </c>
      <c r="G8360" s="489">
        <v>136.75</v>
      </c>
      <c r="H8360" s="489">
        <v>83.62706</v>
      </c>
      <c r="I8360" s="487" t="s">
        <v>1499</v>
      </c>
      <c r="J8360" s="487" t="s">
        <v>1181</v>
      </c>
    </row>
    <row r="8361" spans="1:10" ht="15" x14ac:dyDescent="0.2">
      <c r="A8361" s="486" t="s">
        <v>1180</v>
      </c>
      <c r="B8361" s="487" t="s">
        <v>1179</v>
      </c>
      <c r="C8361" s="488" t="s">
        <v>26062</v>
      </c>
      <c r="D8361" s="489" t="s">
        <v>26063</v>
      </c>
      <c r="E8361" s="487" t="s">
        <v>26064</v>
      </c>
      <c r="F8361" s="490">
        <v>91500</v>
      </c>
      <c r="G8361" s="489">
        <v>986.9</v>
      </c>
      <c r="H8361" s="489">
        <v>92.714560000000006</v>
      </c>
      <c r="I8361" s="487" t="s">
        <v>1499</v>
      </c>
      <c r="J8361" s="487" t="s">
        <v>1181</v>
      </c>
    </row>
    <row r="8362" spans="1:10" ht="15" x14ac:dyDescent="0.2">
      <c r="A8362" s="486" t="s">
        <v>1180</v>
      </c>
      <c r="B8362" s="487" t="s">
        <v>1179</v>
      </c>
      <c r="C8362" s="488" t="s">
        <v>26065</v>
      </c>
      <c r="D8362" s="489" t="s">
        <v>26066</v>
      </c>
      <c r="E8362" s="487" t="s">
        <v>26067</v>
      </c>
      <c r="F8362" s="490">
        <v>11200</v>
      </c>
      <c r="G8362" s="489">
        <v>186.76</v>
      </c>
      <c r="H8362" s="489">
        <v>59.970010000000002</v>
      </c>
      <c r="I8362" s="487" t="s">
        <v>1499</v>
      </c>
      <c r="J8362" s="487" t="s">
        <v>1181</v>
      </c>
    </row>
    <row r="8363" spans="1:10" ht="15" x14ac:dyDescent="0.2">
      <c r="A8363" s="486" t="s">
        <v>1180</v>
      </c>
      <c r="B8363" s="487" t="s">
        <v>1179</v>
      </c>
      <c r="C8363" s="488" t="s">
        <v>26068</v>
      </c>
      <c r="D8363" s="489" t="s">
        <v>26069</v>
      </c>
      <c r="E8363" s="487" t="s">
        <v>26070</v>
      </c>
      <c r="F8363" s="490">
        <v>0</v>
      </c>
      <c r="G8363" s="489">
        <v>36.82</v>
      </c>
      <c r="H8363" s="489">
        <v>0</v>
      </c>
      <c r="I8363" s="487" t="s">
        <v>1593</v>
      </c>
      <c r="J8363" s="487" t="s">
        <v>1181</v>
      </c>
    </row>
    <row r="8364" spans="1:10" ht="15" x14ac:dyDescent="0.2">
      <c r="A8364" s="486" t="s">
        <v>1180</v>
      </c>
      <c r="B8364" s="487" t="s">
        <v>1179</v>
      </c>
      <c r="C8364" s="488" t="s">
        <v>26071</v>
      </c>
      <c r="D8364" s="489" t="s">
        <v>26072</v>
      </c>
      <c r="E8364" s="487" t="s">
        <v>26073</v>
      </c>
      <c r="F8364" s="490">
        <v>20000</v>
      </c>
      <c r="G8364" s="489">
        <v>336.18</v>
      </c>
      <c r="H8364" s="489">
        <v>59.49194</v>
      </c>
      <c r="I8364" s="487" t="s">
        <v>1499</v>
      </c>
      <c r="J8364" s="487" t="s">
        <v>1181</v>
      </c>
    </row>
    <row r="8365" spans="1:10" ht="15" x14ac:dyDescent="0.2">
      <c r="A8365" s="486" t="s">
        <v>1180</v>
      </c>
      <c r="B8365" s="487" t="s">
        <v>1179</v>
      </c>
      <c r="C8365" s="488" t="s">
        <v>26074</v>
      </c>
      <c r="D8365" s="489" t="s">
        <v>26075</v>
      </c>
      <c r="E8365" s="487" t="s">
        <v>26076</v>
      </c>
      <c r="F8365" s="490">
        <v>19990</v>
      </c>
      <c r="G8365" s="489">
        <v>171.85</v>
      </c>
      <c r="H8365" s="489">
        <v>116.32237000000001</v>
      </c>
      <c r="I8365" s="487" t="s">
        <v>1499</v>
      </c>
      <c r="J8365" s="487" t="s">
        <v>1181</v>
      </c>
    </row>
    <row r="8366" spans="1:10" ht="15" x14ac:dyDescent="0.2">
      <c r="A8366" s="486" t="s">
        <v>1180</v>
      </c>
      <c r="B8366" s="487" t="s">
        <v>1179</v>
      </c>
      <c r="C8366" s="488" t="s">
        <v>26077</v>
      </c>
      <c r="D8366" s="489" t="s">
        <v>26078</v>
      </c>
      <c r="E8366" s="487" t="s">
        <v>26079</v>
      </c>
      <c r="F8366" s="490">
        <v>26500</v>
      </c>
      <c r="G8366" s="489">
        <v>248.16</v>
      </c>
      <c r="H8366" s="489">
        <v>106.78594</v>
      </c>
      <c r="I8366" s="487" t="s">
        <v>1499</v>
      </c>
      <c r="J8366" s="487" t="s">
        <v>1181</v>
      </c>
    </row>
    <row r="8367" spans="1:10" ht="15" x14ac:dyDescent="0.2">
      <c r="A8367" s="486" t="s">
        <v>1180</v>
      </c>
      <c r="B8367" s="487" t="s">
        <v>1179</v>
      </c>
      <c r="C8367" s="488" t="s">
        <v>26080</v>
      </c>
      <c r="D8367" s="489" t="s">
        <v>26081</v>
      </c>
      <c r="E8367" s="487" t="s">
        <v>26082</v>
      </c>
      <c r="F8367" s="490">
        <v>4500</v>
      </c>
      <c r="G8367" s="489">
        <v>142.57</v>
      </c>
      <c r="H8367" s="489">
        <v>31.56344</v>
      </c>
      <c r="I8367" s="487" t="s">
        <v>1499</v>
      </c>
      <c r="J8367" s="487" t="s">
        <v>1181</v>
      </c>
    </row>
    <row r="8368" spans="1:10" ht="15" x14ac:dyDescent="0.2">
      <c r="A8368" s="486" t="s">
        <v>1180</v>
      </c>
      <c r="B8368" s="487" t="s">
        <v>1179</v>
      </c>
      <c r="C8368" s="488" t="s">
        <v>26083</v>
      </c>
      <c r="D8368" s="489" t="s">
        <v>26084</v>
      </c>
      <c r="E8368" s="487" t="s">
        <v>26085</v>
      </c>
      <c r="F8368" s="490">
        <v>1500</v>
      </c>
      <c r="G8368" s="489">
        <v>42.79</v>
      </c>
      <c r="H8368" s="489">
        <v>35.054920000000003</v>
      </c>
      <c r="I8368" s="487" t="s">
        <v>1499</v>
      </c>
      <c r="J8368" s="487" t="s">
        <v>1181</v>
      </c>
    </row>
    <row r="8369" spans="1:10" ht="15" x14ac:dyDescent="0.2">
      <c r="A8369" s="486" t="s">
        <v>1180</v>
      </c>
      <c r="B8369" s="487" t="s">
        <v>1179</v>
      </c>
      <c r="C8369" s="488" t="s">
        <v>26086</v>
      </c>
      <c r="D8369" s="489" t="s">
        <v>26087</v>
      </c>
      <c r="E8369" s="487" t="s">
        <v>16863</v>
      </c>
      <c r="F8369" s="490">
        <v>12527</v>
      </c>
      <c r="G8369" s="489">
        <v>192.2</v>
      </c>
      <c r="H8369" s="489">
        <v>65.176900000000003</v>
      </c>
      <c r="I8369" s="487" t="s">
        <v>1499</v>
      </c>
      <c r="J8369" s="487" t="s">
        <v>1181</v>
      </c>
    </row>
    <row r="8370" spans="1:10" ht="15" x14ac:dyDescent="0.2">
      <c r="A8370" s="486" t="s">
        <v>1180</v>
      </c>
      <c r="B8370" s="487" t="s">
        <v>1179</v>
      </c>
      <c r="C8370" s="488" t="s">
        <v>26088</v>
      </c>
      <c r="D8370" s="489" t="s">
        <v>26089</v>
      </c>
      <c r="E8370" s="487" t="s">
        <v>26090</v>
      </c>
      <c r="F8370" s="490">
        <v>98500</v>
      </c>
      <c r="G8370" s="489">
        <v>658.33</v>
      </c>
      <c r="H8370" s="489">
        <v>149.62101000000001</v>
      </c>
      <c r="I8370" s="487" t="s">
        <v>1499</v>
      </c>
      <c r="J8370" s="487" t="s">
        <v>1181</v>
      </c>
    </row>
    <row r="8371" spans="1:10" ht="15" x14ac:dyDescent="0.2">
      <c r="A8371" s="486" t="s">
        <v>1180</v>
      </c>
      <c r="B8371" s="487" t="s">
        <v>1179</v>
      </c>
      <c r="C8371" s="488" t="s">
        <v>26091</v>
      </c>
      <c r="D8371" s="489" t="s">
        <v>26092</v>
      </c>
      <c r="E8371" s="487" t="s">
        <v>26093</v>
      </c>
      <c r="F8371" s="490">
        <v>46000</v>
      </c>
      <c r="G8371" s="489">
        <v>513.51</v>
      </c>
      <c r="H8371" s="489">
        <v>89.579560000000001</v>
      </c>
      <c r="I8371" s="487" t="s">
        <v>1499</v>
      </c>
      <c r="J8371" s="487" t="s">
        <v>1181</v>
      </c>
    </row>
    <row r="8372" spans="1:10" ht="15" x14ac:dyDescent="0.2">
      <c r="A8372" s="486" t="s">
        <v>1180</v>
      </c>
      <c r="B8372" s="487" t="s">
        <v>1179</v>
      </c>
      <c r="C8372" s="488" t="s">
        <v>26094</v>
      </c>
      <c r="D8372" s="489" t="s">
        <v>26095</v>
      </c>
      <c r="E8372" s="487" t="s">
        <v>26096</v>
      </c>
      <c r="F8372" s="490">
        <v>15500</v>
      </c>
      <c r="G8372" s="489">
        <v>235.54</v>
      </c>
      <c r="H8372" s="489">
        <v>65.806229999999999</v>
      </c>
      <c r="I8372" s="487" t="s">
        <v>1499</v>
      </c>
      <c r="J8372" s="487" t="s">
        <v>1181</v>
      </c>
    </row>
    <row r="8373" spans="1:10" ht="15" x14ac:dyDescent="0.2">
      <c r="A8373" s="486" t="s">
        <v>1180</v>
      </c>
      <c r="B8373" s="487" t="s">
        <v>1179</v>
      </c>
      <c r="C8373" s="488" t="s">
        <v>26097</v>
      </c>
      <c r="D8373" s="489" t="s">
        <v>26098</v>
      </c>
      <c r="E8373" s="487" t="s">
        <v>26099</v>
      </c>
      <c r="F8373" s="490">
        <v>2622</v>
      </c>
      <c r="G8373" s="489">
        <v>58.27</v>
      </c>
      <c r="H8373" s="489">
        <v>44.997430000000001</v>
      </c>
      <c r="I8373" s="487" t="s">
        <v>1499</v>
      </c>
      <c r="J8373" s="487" t="s">
        <v>1181</v>
      </c>
    </row>
    <row r="8374" spans="1:10" ht="15" x14ac:dyDescent="0.2">
      <c r="A8374" s="486" t="s">
        <v>1180</v>
      </c>
      <c r="B8374" s="487" t="s">
        <v>1179</v>
      </c>
      <c r="C8374" s="488" t="s">
        <v>26100</v>
      </c>
      <c r="D8374" s="489" t="s">
        <v>26101</v>
      </c>
      <c r="E8374" s="487" t="s">
        <v>26102</v>
      </c>
      <c r="F8374" s="490">
        <v>31700</v>
      </c>
      <c r="G8374" s="489">
        <v>575.19000000000005</v>
      </c>
      <c r="H8374" s="489">
        <v>55.112220000000001</v>
      </c>
      <c r="I8374" s="487" t="s">
        <v>1499</v>
      </c>
      <c r="J8374" s="487" t="s">
        <v>1181</v>
      </c>
    </row>
    <row r="8375" spans="1:10" ht="15" x14ac:dyDescent="0.2">
      <c r="A8375" s="486" t="s">
        <v>1180</v>
      </c>
      <c r="B8375" s="487" t="s">
        <v>1179</v>
      </c>
      <c r="C8375" s="488" t="s">
        <v>26103</v>
      </c>
      <c r="D8375" s="489" t="s">
        <v>26104</v>
      </c>
      <c r="E8375" s="487" t="s">
        <v>26105</v>
      </c>
      <c r="F8375" s="490">
        <v>13000</v>
      </c>
      <c r="G8375" s="489">
        <v>231.2</v>
      </c>
      <c r="H8375" s="489">
        <v>56.228369999999998</v>
      </c>
      <c r="I8375" s="487" t="s">
        <v>1499</v>
      </c>
      <c r="J8375" s="487" t="s">
        <v>1181</v>
      </c>
    </row>
    <row r="8376" spans="1:10" ht="15" x14ac:dyDescent="0.2">
      <c r="A8376" s="486" t="s">
        <v>1180</v>
      </c>
      <c r="B8376" s="487" t="s">
        <v>1179</v>
      </c>
      <c r="C8376" s="488" t="s">
        <v>26106</v>
      </c>
      <c r="D8376" s="489" t="s">
        <v>26107</v>
      </c>
      <c r="E8376" s="487" t="s">
        <v>26108</v>
      </c>
      <c r="F8376" s="490">
        <v>82676</v>
      </c>
      <c r="G8376" s="489">
        <v>824.47</v>
      </c>
      <c r="H8376" s="489">
        <v>100.27775</v>
      </c>
      <c r="I8376" s="487" t="s">
        <v>1499</v>
      </c>
      <c r="J8376" s="487" t="s">
        <v>1181</v>
      </c>
    </row>
    <row r="8377" spans="1:10" ht="15" x14ac:dyDescent="0.2">
      <c r="A8377" s="486" t="s">
        <v>1180</v>
      </c>
      <c r="B8377" s="487" t="s">
        <v>1179</v>
      </c>
      <c r="C8377" s="488" t="s">
        <v>26109</v>
      </c>
      <c r="D8377" s="489" t="s">
        <v>26110</v>
      </c>
      <c r="E8377" s="487" t="s">
        <v>26111</v>
      </c>
      <c r="F8377" s="490">
        <v>42000</v>
      </c>
      <c r="G8377" s="489">
        <v>478.43</v>
      </c>
      <c r="H8377" s="489">
        <v>87.787139999999994</v>
      </c>
      <c r="I8377" s="487" t="s">
        <v>1499</v>
      </c>
      <c r="J8377" s="487" t="s">
        <v>1181</v>
      </c>
    </row>
    <row r="8378" spans="1:10" ht="15" x14ac:dyDescent="0.2">
      <c r="A8378" s="486" t="s">
        <v>1180</v>
      </c>
      <c r="B8378" s="487" t="s">
        <v>1179</v>
      </c>
      <c r="C8378" s="488" t="s">
        <v>26112</v>
      </c>
      <c r="D8378" s="489" t="s">
        <v>26113</v>
      </c>
      <c r="E8378" s="487" t="s">
        <v>26114</v>
      </c>
      <c r="F8378" s="490">
        <v>4000</v>
      </c>
      <c r="G8378" s="489">
        <v>160.35</v>
      </c>
      <c r="H8378" s="489">
        <v>24.945430000000002</v>
      </c>
      <c r="I8378" s="487" t="s">
        <v>1499</v>
      </c>
      <c r="J8378" s="487" t="s">
        <v>1181</v>
      </c>
    </row>
    <row r="8379" spans="1:10" ht="15" x14ac:dyDescent="0.2">
      <c r="A8379" s="486" t="s">
        <v>1180</v>
      </c>
      <c r="B8379" s="487" t="s">
        <v>1179</v>
      </c>
      <c r="C8379" s="488" t="s">
        <v>26115</v>
      </c>
      <c r="D8379" s="489" t="s">
        <v>26116</v>
      </c>
      <c r="E8379" s="487" t="s">
        <v>26117</v>
      </c>
      <c r="F8379" s="490">
        <v>0</v>
      </c>
      <c r="G8379" s="489">
        <v>49.95</v>
      </c>
      <c r="H8379" s="489">
        <v>0</v>
      </c>
      <c r="I8379" s="487" t="s">
        <v>1593</v>
      </c>
      <c r="J8379" s="487" t="s">
        <v>1181</v>
      </c>
    </row>
    <row r="8380" spans="1:10" ht="15" x14ac:dyDescent="0.2">
      <c r="A8380" s="486" t="s">
        <v>1180</v>
      </c>
      <c r="B8380" s="487" t="s">
        <v>1179</v>
      </c>
      <c r="C8380" s="488" t="s">
        <v>26118</v>
      </c>
      <c r="D8380" s="489" t="s">
        <v>26119</v>
      </c>
      <c r="E8380" s="487" t="s">
        <v>26120</v>
      </c>
      <c r="F8380" s="490">
        <v>17100</v>
      </c>
      <c r="G8380" s="489">
        <v>167.38</v>
      </c>
      <c r="H8380" s="489">
        <v>102.16274</v>
      </c>
      <c r="I8380" s="487" t="s">
        <v>1499</v>
      </c>
      <c r="J8380" s="487" t="s">
        <v>1181</v>
      </c>
    </row>
    <row r="8381" spans="1:10" ht="15" x14ac:dyDescent="0.2">
      <c r="A8381" s="486" t="s">
        <v>1180</v>
      </c>
      <c r="B8381" s="487" t="s">
        <v>1179</v>
      </c>
      <c r="C8381" s="488" t="s">
        <v>26121</v>
      </c>
      <c r="D8381" s="489" t="s">
        <v>26122</v>
      </c>
      <c r="E8381" s="487" t="s">
        <v>26123</v>
      </c>
      <c r="F8381" s="490">
        <v>0</v>
      </c>
      <c r="G8381" s="489">
        <v>32.130000000000003</v>
      </c>
      <c r="H8381" s="489">
        <v>0</v>
      </c>
      <c r="I8381" s="487" t="s">
        <v>1593</v>
      </c>
      <c r="J8381" s="487" t="s">
        <v>1181</v>
      </c>
    </row>
    <row r="8382" spans="1:10" ht="15" x14ac:dyDescent="0.2">
      <c r="A8382" s="486" t="s">
        <v>1180</v>
      </c>
      <c r="B8382" s="487" t="s">
        <v>1179</v>
      </c>
      <c r="C8382" s="488" t="s">
        <v>26124</v>
      </c>
      <c r="D8382" s="489" t="s">
        <v>26125</v>
      </c>
      <c r="E8382" s="487" t="s">
        <v>26126</v>
      </c>
      <c r="F8382" s="490">
        <v>0</v>
      </c>
      <c r="G8382" s="489">
        <v>64.209999999999994</v>
      </c>
      <c r="H8382" s="489">
        <v>0</v>
      </c>
      <c r="I8382" s="487" t="s">
        <v>1593</v>
      </c>
      <c r="J8382" s="487" t="s">
        <v>1181</v>
      </c>
    </row>
    <row r="8383" spans="1:10" ht="15" x14ac:dyDescent="0.2">
      <c r="A8383" s="486" t="s">
        <v>1180</v>
      </c>
      <c r="B8383" s="487" t="s">
        <v>1179</v>
      </c>
      <c r="C8383" s="488" t="s">
        <v>26127</v>
      </c>
      <c r="D8383" s="489" t="s">
        <v>26128</v>
      </c>
      <c r="E8383" s="487" t="s">
        <v>26129</v>
      </c>
      <c r="F8383" s="490">
        <v>5253</v>
      </c>
      <c r="G8383" s="489">
        <v>111.23</v>
      </c>
      <c r="H8383" s="489">
        <v>47.226469999999999</v>
      </c>
      <c r="I8383" s="487" t="s">
        <v>1499</v>
      </c>
      <c r="J8383" s="487" t="s">
        <v>1181</v>
      </c>
    </row>
    <row r="8384" spans="1:10" ht="15" x14ac:dyDescent="0.2">
      <c r="A8384" s="486" t="s">
        <v>1180</v>
      </c>
      <c r="B8384" s="487" t="s">
        <v>1179</v>
      </c>
      <c r="C8384" s="488" t="s">
        <v>26130</v>
      </c>
      <c r="D8384" s="489" t="s">
        <v>26131</v>
      </c>
      <c r="E8384" s="487" t="s">
        <v>26132</v>
      </c>
      <c r="F8384" s="490">
        <v>87000</v>
      </c>
      <c r="G8384" s="489">
        <v>957.03</v>
      </c>
      <c r="H8384" s="489">
        <v>90.906239999999997</v>
      </c>
      <c r="I8384" s="487" t="s">
        <v>1499</v>
      </c>
      <c r="J8384" s="487" t="s">
        <v>1181</v>
      </c>
    </row>
    <row r="8385" spans="1:10" ht="15" x14ac:dyDescent="0.2">
      <c r="A8385" s="486" t="s">
        <v>1180</v>
      </c>
      <c r="B8385" s="487" t="s">
        <v>1179</v>
      </c>
      <c r="C8385" s="488" t="s">
        <v>26133</v>
      </c>
      <c r="D8385" s="489" t="s">
        <v>26134</v>
      </c>
      <c r="E8385" s="487" t="s">
        <v>26135</v>
      </c>
      <c r="F8385" s="490">
        <v>14500</v>
      </c>
      <c r="G8385" s="489">
        <v>198.27</v>
      </c>
      <c r="H8385" s="489">
        <v>73.132599999999996</v>
      </c>
      <c r="I8385" s="487" t="s">
        <v>1499</v>
      </c>
      <c r="J8385" s="487" t="s">
        <v>1181</v>
      </c>
    </row>
    <row r="8386" spans="1:10" ht="15" x14ac:dyDescent="0.2">
      <c r="A8386" s="486" t="s">
        <v>1180</v>
      </c>
      <c r="B8386" s="487" t="s">
        <v>1179</v>
      </c>
      <c r="C8386" s="488" t="s">
        <v>26136</v>
      </c>
      <c r="D8386" s="489" t="s">
        <v>26137</v>
      </c>
      <c r="E8386" s="487" t="s">
        <v>26138</v>
      </c>
      <c r="F8386" s="490">
        <v>4500</v>
      </c>
      <c r="G8386" s="489">
        <v>77.209999999999994</v>
      </c>
      <c r="H8386" s="489">
        <v>58.282609999999998</v>
      </c>
      <c r="I8386" s="487" t="s">
        <v>1499</v>
      </c>
      <c r="J8386" s="487" t="s">
        <v>1181</v>
      </c>
    </row>
    <row r="8387" spans="1:10" ht="15" x14ac:dyDescent="0.2">
      <c r="A8387" s="486" t="s">
        <v>1180</v>
      </c>
      <c r="B8387" s="487" t="s">
        <v>1179</v>
      </c>
      <c r="C8387" s="488" t="s">
        <v>26139</v>
      </c>
      <c r="D8387" s="489" t="s">
        <v>26140</v>
      </c>
      <c r="E8387" s="487" t="s">
        <v>12261</v>
      </c>
      <c r="F8387" s="490">
        <v>6400</v>
      </c>
      <c r="G8387" s="489">
        <v>98.23</v>
      </c>
      <c r="H8387" s="489">
        <v>65.153210000000001</v>
      </c>
      <c r="I8387" s="487" t="s">
        <v>1499</v>
      </c>
      <c r="J8387" s="487" t="s">
        <v>1181</v>
      </c>
    </row>
    <row r="8388" spans="1:10" ht="15" x14ac:dyDescent="0.2">
      <c r="A8388" s="486" t="s">
        <v>1180</v>
      </c>
      <c r="B8388" s="487" t="s">
        <v>1179</v>
      </c>
      <c r="C8388" s="488" t="s">
        <v>26141</v>
      </c>
      <c r="D8388" s="489" t="s">
        <v>26142</v>
      </c>
      <c r="E8388" s="487" t="s">
        <v>26143</v>
      </c>
      <c r="F8388" s="490">
        <v>4700</v>
      </c>
      <c r="G8388" s="489">
        <v>125.15</v>
      </c>
      <c r="H8388" s="489">
        <v>37.554929999999999</v>
      </c>
      <c r="I8388" s="487" t="s">
        <v>1499</v>
      </c>
      <c r="J8388" s="487" t="s">
        <v>1181</v>
      </c>
    </row>
    <row r="8389" spans="1:10" ht="15" x14ac:dyDescent="0.2">
      <c r="A8389" s="486" t="s">
        <v>1180</v>
      </c>
      <c r="B8389" s="487" t="s">
        <v>1179</v>
      </c>
      <c r="C8389" s="488" t="s">
        <v>26144</v>
      </c>
      <c r="D8389" s="489" t="s">
        <v>26145</v>
      </c>
      <c r="E8389" s="487" t="s">
        <v>26146</v>
      </c>
      <c r="F8389" s="490">
        <v>14580</v>
      </c>
      <c r="G8389" s="489">
        <v>126.37</v>
      </c>
      <c r="H8389" s="489">
        <v>115.37548</v>
      </c>
      <c r="I8389" s="487" t="s">
        <v>1499</v>
      </c>
      <c r="J8389" s="487" t="s">
        <v>1181</v>
      </c>
    </row>
    <row r="8390" spans="1:10" ht="15" x14ac:dyDescent="0.2">
      <c r="A8390" s="486" t="s">
        <v>1180</v>
      </c>
      <c r="B8390" s="487" t="s">
        <v>1179</v>
      </c>
      <c r="C8390" s="488" t="s">
        <v>26147</v>
      </c>
      <c r="D8390" s="489" t="s">
        <v>26148</v>
      </c>
      <c r="E8390" s="487" t="s">
        <v>26149</v>
      </c>
      <c r="F8390" s="490">
        <v>20046</v>
      </c>
      <c r="G8390" s="489">
        <v>284.2</v>
      </c>
      <c r="H8390" s="489">
        <v>70.534829999999999</v>
      </c>
      <c r="I8390" s="487" t="s">
        <v>1499</v>
      </c>
      <c r="J8390" s="487" t="s">
        <v>1181</v>
      </c>
    </row>
    <row r="8391" spans="1:10" ht="15" x14ac:dyDescent="0.2">
      <c r="A8391" s="486" t="s">
        <v>1180</v>
      </c>
      <c r="B8391" s="487" t="s">
        <v>1179</v>
      </c>
      <c r="C8391" s="488" t="s">
        <v>26150</v>
      </c>
      <c r="D8391" s="489" t="s">
        <v>26151</v>
      </c>
      <c r="E8391" s="487" t="s">
        <v>26152</v>
      </c>
      <c r="F8391" s="490">
        <v>2777932</v>
      </c>
      <c r="G8391" s="489">
        <v>9413.2000000000007</v>
      </c>
      <c r="H8391" s="489">
        <v>295.11027000000001</v>
      </c>
      <c r="I8391" s="487" t="s">
        <v>1499</v>
      </c>
      <c r="J8391" s="487" t="s">
        <v>1181</v>
      </c>
    </row>
    <row r="8392" spans="1:10" ht="15" x14ac:dyDescent="0.2">
      <c r="A8392" s="486" t="s">
        <v>1180</v>
      </c>
      <c r="B8392" s="487" t="s">
        <v>1179</v>
      </c>
      <c r="C8392" s="488" t="s">
        <v>26153</v>
      </c>
      <c r="D8392" s="489" t="s">
        <v>26154</v>
      </c>
      <c r="E8392" s="487" t="s">
        <v>26155</v>
      </c>
      <c r="F8392" s="490">
        <v>1056000</v>
      </c>
      <c r="G8392" s="489">
        <v>3336.61</v>
      </c>
      <c r="H8392" s="489">
        <v>316.48889000000003</v>
      </c>
      <c r="I8392" s="487" t="s">
        <v>1499</v>
      </c>
      <c r="J8392" s="487" t="s">
        <v>1181</v>
      </c>
    </row>
    <row r="8393" spans="1:10" ht="15" x14ac:dyDescent="0.2">
      <c r="A8393" s="486" t="s">
        <v>1180</v>
      </c>
      <c r="B8393" s="487" t="s">
        <v>1179</v>
      </c>
      <c r="C8393" s="488" t="s">
        <v>26156</v>
      </c>
      <c r="D8393" s="489" t="s">
        <v>26157</v>
      </c>
      <c r="E8393" s="487" t="s">
        <v>26158</v>
      </c>
      <c r="F8393" s="490">
        <v>3246.86</v>
      </c>
      <c r="G8393" s="489">
        <v>98.33</v>
      </c>
      <c r="H8393" s="489">
        <v>33.020029999999998</v>
      </c>
      <c r="I8393" s="487" t="s">
        <v>1499</v>
      </c>
      <c r="J8393" s="487" t="s">
        <v>1181</v>
      </c>
    </row>
    <row r="8394" spans="1:10" ht="15" x14ac:dyDescent="0.2">
      <c r="A8394" s="486" t="s">
        <v>1180</v>
      </c>
      <c r="B8394" s="487" t="s">
        <v>1179</v>
      </c>
      <c r="C8394" s="488" t="s">
        <v>26159</v>
      </c>
      <c r="D8394" s="489" t="s">
        <v>26160</v>
      </c>
      <c r="E8394" s="487" t="s">
        <v>26161</v>
      </c>
      <c r="F8394" s="490">
        <v>14471.37</v>
      </c>
      <c r="G8394" s="489">
        <v>98.82</v>
      </c>
      <c r="H8394" s="489">
        <v>146.44171</v>
      </c>
      <c r="I8394" s="487" t="s">
        <v>1499</v>
      </c>
      <c r="J8394" s="487" t="s">
        <v>1181</v>
      </c>
    </row>
    <row r="8395" spans="1:10" ht="15" x14ac:dyDescent="0.2">
      <c r="A8395" s="486" t="s">
        <v>1180</v>
      </c>
      <c r="B8395" s="487" t="s">
        <v>1179</v>
      </c>
      <c r="C8395" s="488" t="s">
        <v>26162</v>
      </c>
      <c r="D8395" s="489" t="s">
        <v>26163</v>
      </c>
      <c r="E8395" s="487" t="s">
        <v>26164</v>
      </c>
      <c r="F8395" s="490">
        <v>0</v>
      </c>
      <c r="G8395" s="489">
        <v>80.58</v>
      </c>
      <c r="H8395" s="489">
        <v>0</v>
      </c>
      <c r="I8395" s="487" t="s">
        <v>1593</v>
      </c>
      <c r="J8395" s="487" t="s">
        <v>1181</v>
      </c>
    </row>
    <row r="8396" spans="1:10" ht="15" x14ac:dyDescent="0.2">
      <c r="A8396" s="486" t="s">
        <v>1180</v>
      </c>
      <c r="B8396" s="487" t="s">
        <v>1179</v>
      </c>
      <c r="C8396" s="488" t="s">
        <v>26165</v>
      </c>
      <c r="D8396" s="489" t="s">
        <v>26166</v>
      </c>
      <c r="E8396" s="487" t="s">
        <v>26167</v>
      </c>
      <c r="F8396" s="490">
        <v>2425.8000000000002</v>
      </c>
      <c r="G8396" s="489">
        <v>70.62</v>
      </c>
      <c r="H8396" s="489">
        <v>34.35004</v>
      </c>
      <c r="I8396" s="487" t="s">
        <v>1499</v>
      </c>
      <c r="J8396" s="487" t="s">
        <v>1181</v>
      </c>
    </row>
    <row r="8397" spans="1:10" ht="15" x14ac:dyDescent="0.2">
      <c r="A8397" s="486" t="s">
        <v>1180</v>
      </c>
      <c r="B8397" s="487" t="s">
        <v>1179</v>
      </c>
      <c r="C8397" s="488" t="s">
        <v>26168</v>
      </c>
      <c r="D8397" s="489" t="s">
        <v>26169</v>
      </c>
      <c r="E8397" s="487" t="s">
        <v>26170</v>
      </c>
      <c r="F8397" s="490">
        <v>8364</v>
      </c>
      <c r="G8397" s="489">
        <v>153.55000000000001</v>
      </c>
      <c r="H8397" s="489">
        <v>54.470860000000002</v>
      </c>
      <c r="I8397" s="487" t="s">
        <v>1499</v>
      </c>
      <c r="J8397" s="487" t="s">
        <v>1181</v>
      </c>
    </row>
    <row r="8398" spans="1:10" ht="15" x14ac:dyDescent="0.2">
      <c r="A8398" s="486" t="s">
        <v>1180</v>
      </c>
      <c r="B8398" s="487" t="s">
        <v>1179</v>
      </c>
      <c r="C8398" s="488" t="s">
        <v>26171</v>
      </c>
      <c r="D8398" s="489" t="s">
        <v>26172</v>
      </c>
      <c r="E8398" s="487" t="s">
        <v>26173</v>
      </c>
      <c r="F8398" s="490">
        <v>29754</v>
      </c>
      <c r="G8398" s="489">
        <v>222.12</v>
      </c>
      <c r="H8398" s="489">
        <v>133.95462000000001</v>
      </c>
      <c r="I8398" s="487" t="s">
        <v>1499</v>
      </c>
      <c r="J8398" s="487" t="s">
        <v>1181</v>
      </c>
    </row>
    <row r="8399" spans="1:10" ht="15" x14ac:dyDescent="0.2">
      <c r="A8399" s="486" t="s">
        <v>1180</v>
      </c>
      <c r="B8399" s="487" t="s">
        <v>1179</v>
      </c>
      <c r="C8399" s="488" t="s">
        <v>26174</v>
      </c>
      <c r="D8399" s="489" t="s">
        <v>26175</v>
      </c>
      <c r="E8399" s="487" t="s">
        <v>26176</v>
      </c>
      <c r="F8399" s="490">
        <v>17500</v>
      </c>
      <c r="G8399" s="489">
        <v>286.58999999999997</v>
      </c>
      <c r="H8399" s="489">
        <v>61.062840000000001</v>
      </c>
      <c r="I8399" s="487" t="s">
        <v>1499</v>
      </c>
      <c r="J8399" s="487" t="s">
        <v>1181</v>
      </c>
    </row>
    <row r="8400" spans="1:10" ht="15" x14ac:dyDescent="0.2">
      <c r="A8400" s="486" t="s">
        <v>1180</v>
      </c>
      <c r="B8400" s="487" t="s">
        <v>1179</v>
      </c>
      <c r="C8400" s="488" t="s">
        <v>26177</v>
      </c>
      <c r="D8400" s="489" t="s">
        <v>26178</v>
      </c>
      <c r="E8400" s="487" t="s">
        <v>26179</v>
      </c>
      <c r="F8400" s="490">
        <v>17960</v>
      </c>
      <c r="G8400" s="489">
        <v>301.35000000000002</v>
      </c>
      <c r="H8400" s="489">
        <v>59.598469999999999</v>
      </c>
      <c r="I8400" s="487" t="s">
        <v>1499</v>
      </c>
      <c r="J8400" s="487" t="s">
        <v>1181</v>
      </c>
    </row>
    <row r="8401" spans="1:10" ht="15" x14ac:dyDescent="0.2">
      <c r="A8401" s="486" t="s">
        <v>1180</v>
      </c>
      <c r="B8401" s="487" t="s">
        <v>1179</v>
      </c>
      <c r="C8401" s="488" t="s">
        <v>26180</v>
      </c>
      <c r="D8401" s="489" t="s">
        <v>26181</v>
      </c>
      <c r="E8401" s="487" t="s">
        <v>26182</v>
      </c>
      <c r="F8401" s="490">
        <v>6600</v>
      </c>
      <c r="G8401" s="489">
        <v>261.22000000000003</v>
      </c>
      <c r="H8401" s="489">
        <v>25.26606</v>
      </c>
      <c r="I8401" s="487" t="s">
        <v>1499</v>
      </c>
      <c r="J8401" s="487" t="s">
        <v>1181</v>
      </c>
    </row>
    <row r="8402" spans="1:10" ht="15" x14ac:dyDescent="0.2">
      <c r="A8402" s="486" t="s">
        <v>1180</v>
      </c>
      <c r="B8402" s="487" t="s">
        <v>1179</v>
      </c>
      <c r="C8402" s="488" t="s">
        <v>26183</v>
      </c>
      <c r="D8402" s="489" t="s">
        <v>26184</v>
      </c>
      <c r="E8402" s="487" t="s">
        <v>26185</v>
      </c>
      <c r="F8402" s="490">
        <v>24517.5</v>
      </c>
      <c r="G8402" s="489">
        <v>294.33</v>
      </c>
      <c r="H8402" s="489">
        <v>83.299359999999993</v>
      </c>
      <c r="I8402" s="487" t="s">
        <v>1499</v>
      </c>
      <c r="J8402" s="487" t="s">
        <v>1181</v>
      </c>
    </row>
    <row r="8403" spans="1:10" ht="15" x14ac:dyDescent="0.2">
      <c r="A8403" s="486" t="s">
        <v>1180</v>
      </c>
      <c r="B8403" s="487" t="s">
        <v>1179</v>
      </c>
      <c r="C8403" s="488" t="s">
        <v>26186</v>
      </c>
      <c r="D8403" s="489" t="s">
        <v>26187</v>
      </c>
      <c r="E8403" s="487" t="s">
        <v>26188</v>
      </c>
      <c r="F8403" s="490">
        <v>80600</v>
      </c>
      <c r="G8403" s="489">
        <v>698.43</v>
      </c>
      <c r="H8403" s="489">
        <v>115.40169</v>
      </c>
      <c r="I8403" s="487" t="s">
        <v>1499</v>
      </c>
      <c r="J8403" s="487" t="s">
        <v>1181</v>
      </c>
    </row>
    <row r="8404" spans="1:10" ht="15" x14ac:dyDescent="0.2">
      <c r="A8404" s="486" t="s">
        <v>1180</v>
      </c>
      <c r="B8404" s="487" t="s">
        <v>1179</v>
      </c>
      <c r="C8404" s="488" t="s">
        <v>26189</v>
      </c>
      <c r="D8404" s="489" t="s">
        <v>26190</v>
      </c>
      <c r="E8404" s="487" t="s">
        <v>26191</v>
      </c>
      <c r="F8404" s="490">
        <v>42950</v>
      </c>
      <c r="G8404" s="489">
        <v>432.32</v>
      </c>
      <c r="H8404" s="489">
        <v>99.347710000000006</v>
      </c>
      <c r="I8404" s="487" t="s">
        <v>1499</v>
      </c>
      <c r="J8404" s="487" t="s">
        <v>1181</v>
      </c>
    </row>
    <row r="8405" spans="1:10" ht="15" x14ac:dyDescent="0.2">
      <c r="A8405" s="486" t="s">
        <v>1180</v>
      </c>
      <c r="B8405" s="487" t="s">
        <v>1179</v>
      </c>
      <c r="C8405" s="488" t="s">
        <v>26192</v>
      </c>
      <c r="D8405" s="489" t="s">
        <v>26193</v>
      </c>
      <c r="E8405" s="487" t="s">
        <v>26194</v>
      </c>
      <c r="F8405" s="490">
        <v>26400</v>
      </c>
      <c r="G8405" s="489">
        <v>237.96</v>
      </c>
      <c r="H8405" s="489">
        <v>110.94302</v>
      </c>
      <c r="I8405" s="487" t="s">
        <v>1499</v>
      </c>
      <c r="J8405" s="487" t="s">
        <v>1181</v>
      </c>
    </row>
    <row r="8406" spans="1:10" ht="15" x14ac:dyDescent="0.2">
      <c r="A8406" s="486" t="s">
        <v>1180</v>
      </c>
      <c r="B8406" s="487" t="s">
        <v>1179</v>
      </c>
      <c r="C8406" s="488" t="s">
        <v>26195</v>
      </c>
      <c r="D8406" s="489" t="s">
        <v>26196</v>
      </c>
      <c r="E8406" s="487" t="s">
        <v>26197</v>
      </c>
      <c r="F8406" s="490">
        <v>15232</v>
      </c>
      <c r="G8406" s="489">
        <v>431.03</v>
      </c>
      <c r="H8406" s="489">
        <v>35.338610000000003</v>
      </c>
      <c r="I8406" s="487" t="s">
        <v>1499</v>
      </c>
      <c r="J8406" s="487" t="s">
        <v>1181</v>
      </c>
    </row>
    <row r="8407" spans="1:10" ht="15" x14ac:dyDescent="0.2">
      <c r="A8407" s="486" t="s">
        <v>1180</v>
      </c>
      <c r="B8407" s="487" t="s">
        <v>1179</v>
      </c>
      <c r="C8407" s="488" t="s">
        <v>26198</v>
      </c>
      <c r="D8407" s="489" t="s">
        <v>26199</v>
      </c>
      <c r="E8407" s="487" t="s">
        <v>26200</v>
      </c>
      <c r="F8407" s="490">
        <v>11409</v>
      </c>
      <c r="G8407" s="489">
        <v>138.78</v>
      </c>
      <c r="H8407" s="489">
        <v>82.209249999999997</v>
      </c>
      <c r="I8407" s="487" t="s">
        <v>1499</v>
      </c>
      <c r="J8407" s="487" t="s">
        <v>1181</v>
      </c>
    </row>
    <row r="8408" spans="1:10" ht="15" x14ac:dyDescent="0.2">
      <c r="A8408" s="486" t="s">
        <v>1180</v>
      </c>
      <c r="B8408" s="487" t="s">
        <v>1179</v>
      </c>
      <c r="C8408" s="488" t="s">
        <v>26201</v>
      </c>
      <c r="D8408" s="489" t="s">
        <v>26202</v>
      </c>
      <c r="E8408" s="487" t="s">
        <v>24576</v>
      </c>
      <c r="F8408" s="490">
        <v>3914</v>
      </c>
      <c r="G8408" s="489">
        <v>125.42</v>
      </c>
      <c r="H8408" s="489">
        <v>31.207139999999999</v>
      </c>
      <c r="I8408" s="487" t="s">
        <v>1499</v>
      </c>
      <c r="J8408" s="487" t="s">
        <v>1181</v>
      </c>
    </row>
    <row r="8409" spans="1:10" ht="15" x14ac:dyDescent="0.2">
      <c r="A8409" s="486" t="s">
        <v>1180</v>
      </c>
      <c r="B8409" s="487" t="s">
        <v>1179</v>
      </c>
      <c r="C8409" s="488" t="s">
        <v>26203</v>
      </c>
      <c r="D8409" s="489" t="s">
        <v>26204</v>
      </c>
      <c r="E8409" s="487" t="s">
        <v>17568</v>
      </c>
      <c r="F8409" s="490">
        <v>15706</v>
      </c>
      <c r="G8409" s="489">
        <v>307.70999999999998</v>
      </c>
      <c r="H8409" s="489">
        <v>51.04157</v>
      </c>
      <c r="I8409" s="487" t="s">
        <v>1499</v>
      </c>
      <c r="J8409" s="487" t="s">
        <v>1181</v>
      </c>
    </row>
    <row r="8410" spans="1:10" ht="15" x14ac:dyDescent="0.2">
      <c r="A8410" s="486" t="s">
        <v>1180</v>
      </c>
      <c r="B8410" s="487" t="s">
        <v>1179</v>
      </c>
      <c r="C8410" s="488" t="s">
        <v>26205</v>
      </c>
      <c r="D8410" s="489" t="s">
        <v>26206</v>
      </c>
      <c r="E8410" s="487" t="s">
        <v>1720</v>
      </c>
      <c r="F8410" s="490">
        <v>16400</v>
      </c>
      <c r="G8410" s="489">
        <v>350.51</v>
      </c>
      <c r="H8410" s="489">
        <v>46.788960000000003</v>
      </c>
      <c r="I8410" s="487" t="s">
        <v>1499</v>
      </c>
      <c r="J8410" s="487" t="s">
        <v>1181</v>
      </c>
    </row>
    <row r="8411" spans="1:10" ht="15" x14ac:dyDescent="0.2">
      <c r="A8411" s="486" t="s">
        <v>1180</v>
      </c>
      <c r="B8411" s="487" t="s">
        <v>1179</v>
      </c>
      <c r="C8411" s="488" t="s">
        <v>26207</v>
      </c>
      <c r="D8411" s="489" t="s">
        <v>26208</v>
      </c>
      <c r="E8411" s="487" t="s">
        <v>26209</v>
      </c>
      <c r="F8411" s="490">
        <v>5250</v>
      </c>
      <c r="G8411" s="489">
        <v>116.32</v>
      </c>
      <c r="H8411" s="489">
        <v>45.13411</v>
      </c>
      <c r="I8411" s="487" t="s">
        <v>1499</v>
      </c>
      <c r="J8411" s="487" t="s">
        <v>1181</v>
      </c>
    </row>
    <row r="8412" spans="1:10" ht="15" x14ac:dyDescent="0.2">
      <c r="A8412" s="486" t="s">
        <v>1180</v>
      </c>
      <c r="B8412" s="487" t="s">
        <v>1179</v>
      </c>
      <c r="C8412" s="488" t="s">
        <v>26210</v>
      </c>
      <c r="D8412" s="489" t="s">
        <v>26211</v>
      </c>
      <c r="E8412" s="487" t="s">
        <v>26212</v>
      </c>
      <c r="F8412" s="490">
        <v>92600</v>
      </c>
      <c r="G8412" s="489">
        <v>1047.24</v>
      </c>
      <c r="H8412" s="489">
        <v>88.422899999999998</v>
      </c>
      <c r="I8412" s="487" t="s">
        <v>1499</v>
      </c>
      <c r="J8412" s="487" t="s">
        <v>1181</v>
      </c>
    </row>
    <row r="8413" spans="1:10" ht="15" x14ac:dyDescent="0.2">
      <c r="A8413" s="486" t="s">
        <v>1180</v>
      </c>
      <c r="B8413" s="487" t="s">
        <v>1179</v>
      </c>
      <c r="C8413" s="488" t="s">
        <v>26213</v>
      </c>
      <c r="D8413" s="489" t="s">
        <v>26214</v>
      </c>
      <c r="E8413" s="487" t="s">
        <v>26215</v>
      </c>
      <c r="F8413" s="490">
        <v>38600</v>
      </c>
      <c r="G8413" s="489">
        <v>772.97</v>
      </c>
      <c r="H8413" s="489">
        <v>49.937260000000002</v>
      </c>
      <c r="I8413" s="487" t="s">
        <v>1499</v>
      </c>
      <c r="J8413" s="487" t="s">
        <v>1181</v>
      </c>
    </row>
    <row r="8414" spans="1:10" ht="15" x14ac:dyDescent="0.2">
      <c r="A8414" s="486" t="s">
        <v>1180</v>
      </c>
      <c r="B8414" s="487" t="s">
        <v>1179</v>
      </c>
      <c r="C8414" s="488" t="s">
        <v>26216</v>
      </c>
      <c r="D8414" s="489" t="s">
        <v>26217</v>
      </c>
      <c r="E8414" s="487" t="s">
        <v>26218</v>
      </c>
      <c r="F8414" s="490">
        <v>506911</v>
      </c>
      <c r="G8414" s="489">
        <v>2138.02</v>
      </c>
      <c r="H8414" s="489">
        <v>237.09367</v>
      </c>
      <c r="I8414" s="487" t="s">
        <v>1499</v>
      </c>
      <c r="J8414" s="487" t="s">
        <v>1181</v>
      </c>
    </row>
    <row r="8415" spans="1:10" ht="15" x14ac:dyDescent="0.2">
      <c r="A8415" s="486" t="s">
        <v>1180</v>
      </c>
      <c r="B8415" s="487" t="s">
        <v>1179</v>
      </c>
      <c r="C8415" s="488" t="s">
        <v>26219</v>
      </c>
      <c r="D8415" s="489" t="s">
        <v>26220</v>
      </c>
      <c r="E8415" s="487" t="s">
        <v>26221</v>
      </c>
      <c r="F8415" s="490">
        <v>55000</v>
      </c>
      <c r="G8415" s="489">
        <v>344.72</v>
      </c>
      <c r="H8415" s="489">
        <v>159.54978</v>
      </c>
      <c r="I8415" s="487" t="s">
        <v>1499</v>
      </c>
      <c r="J8415" s="487" t="s">
        <v>1181</v>
      </c>
    </row>
    <row r="8416" spans="1:10" ht="15" x14ac:dyDescent="0.2">
      <c r="A8416" s="486" t="s">
        <v>1180</v>
      </c>
      <c r="B8416" s="487" t="s">
        <v>1179</v>
      </c>
      <c r="C8416" s="488" t="s">
        <v>26222</v>
      </c>
      <c r="D8416" s="489" t="s">
        <v>26223</v>
      </c>
      <c r="E8416" s="487" t="s">
        <v>26224</v>
      </c>
      <c r="F8416" s="490">
        <v>9525.44</v>
      </c>
      <c r="G8416" s="489">
        <v>90.45</v>
      </c>
      <c r="H8416" s="489">
        <v>105.31166</v>
      </c>
      <c r="I8416" s="487" t="s">
        <v>1499</v>
      </c>
      <c r="J8416" s="487" t="s">
        <v>1181</v>
      </c>
    </row>
    <row r="8417" spans="1:10" ht="15" x14ac:dyDescent="0.2">
      <c r="A8417" s="486" t="s">
        <v>1180</v>
      </c>
      <c r="B8417" s="487" t="s">
        <v>1179</v>
      </c>
      <c r="C8417" s="488" t="s">
        <v>26225</v>
      </c>
      <c r="D8417" s="489" t="s">
        <v>26226</v>
      </c>
      <c r="E8417" s="487" t="s">
        <v>26227</v>
      </c>
      <c r="F8417" s="490">
        <v>0</v>
      </c>
      <c r="G8417" s="489">
        <v>65.84</v>
      </c>
      <c r="H8417" s="489">
        <v>0</v>
      </c>
      <c r="I8417" s="487" t="s">
        <v>1593</v>
      </c>
      <c r="J8417" s="487" t="s">
        <v>1181</v>
      </c>
    </row>
    <row r="8418" spans="1:10" ht="15" x14ac:dyDescent="0.2">
      <c r="A8418" s="486" t="s">
        <v>1180</v>
      </c>
      <c r="B8418" s="487" t="s">
        <v>1179</v>
      </c>
      <c r="C8418" s="488" t="s">
        <v>26228</v>
      </c>
      <c r="D8418" s="489" t="s">
        <v>26229</v>
      </c>
      <c r="E8418" s="487" t="s">
        <v>26230</v>
      </c>
      <c r="F8418" s="490">
        <v>22765</v>
      </c>
      <c r="G8418" s="489">
        <v>504.65</v>
      </c>
      <c r="H8418" s="489">
        <v>45.110469999999999</v>
      </c>
      <c r="I8418" s="487" t="s">
        <v>1499</v>
      </c>
      <c r="J8418" s="487" t="s">
        <v>1181</v>
      </c>
    </row>
    <row r="8419" spans="1:10" ht="15" x14ac:dyDescent="0.2">
      <c r="A8419" s="486" t="s">
        <v>1180</v>
      </c>
      <c r="B8419" s="487" t="s">
        <v>1179</v>
      </c>
      <c r="C8419" s="488" t="s">
        <v>26231</v>
      </c>
      <c r="D8419" s="489" t="s">
        <v>26232</v>
      </c>
      <c r="E8419" s="487" t="s">
        <v>26233</v>
      </c>
      <c r="F8419" s="490">
        <v>30970</v>
      </c>
      <c r="G8419" s="489">
        <v>244.07</v>
      </c>
      <c r="H8419" s="489">
        <v>126.88983</v>
      </c>
      <c r="I8419" s="487" t="s">
        <v>1499</v>
      </c>
      <c r="J8419" s="487" t="s">
        <v>1181</v>
      </c>
    </row>
    <row r="8420" spans="1:10" ht="15" x14ac:dyDescent="0.2">
      <c r="A8420" s="486" t="s">
        <v>1180</v>
      </c>
      <c r="B8420" s="487" t="s">
        <v>1179</v>
      </c>
      <c r="C8420" s="488" t="s">
        <v>26234</v>
      </c>
      <c r="D8420" s="489" t="s">
        <v>26235</v>
      </c>
      <c r="E8420" s="487" t="s">
        <v>26236</v>
      </c>
      <c r="F8420" s="490">
        <v>11525</v>
      </c>
      <c r="G8420" s="489">
        <v>198.81</v>
      </c>
      <c r="H8420" s="489">
        <v>57.969920000000002</v>
      </c>
      <c r="I8420" s="487" t="s">
        <v>1499</v>
      </c>
      <c r="J8420" s="487" t="s">
        <v>1181</v>
      </c>
    </row>
    <row r="8421" spans="1:10" ht="15" x14ac:dyDescent="0.2">
      <c r="A8421" s="486" t="s">
        <v>1180</v>
      </c>
      <c r="B8421" s="487" t="s">
        <v>1179</v>
      </c>
      <c r="C8421" s="488" t="s">
        <v>26237</v>
      </c>
      <c r="D8421" s="489" t="s">
        <v>26238</v>
      </c>
      <c r="E8421" s="487" t="s">
        <v>26239</v>
      </c>
      <c r="F8421" s="490">
        <v>49320.56</v>
      </c>
      <c r="G8421" s="489">
        <v>588.94000000000005</v>
      </c>
      <c r="H8421" s="489">
        <v>83.744630000000001</v>
      </c>
      <c r="I8421" s="487" t="s">
        <v>1499</v>
      </c>
      <c r="J8421" s="487" t="s">
        <v>1181</v>
      </c>
    </row>
    <row r="8422" spans="1:10" ht="15" x14ac:dyDescent="0.2">
      <c r="A8422" s="486" t="s">
        <v>1180</v>
      </c>
      <c r="B8422" s="487" t="s">
        <v>1179</v>
      </c>
      <c r="C8422" s="488" t="s">
        <v>26240</v>
      </c>
      <c r="D8422" s="489" t="s">
        <v>26241</v>
      </c>
      <c r="E8422" s="487" t="s">
        <v>26242</v>
      </c>
      <c r="F8422" s="490">
        <v>29972</v>
      </c>
      <c r="G8422" s="489">
        <v>190.62</v>
      </c>
      <c r="H8422" s="489">
        <v>157.23428999999999</v>
      </c>
      <c r="I8422" s="487" t="s">
        <v>1499</v>
      </c>
      <c r="J8422" s="487" t="s">
        <v>1181</v>
      </c>
    </row>
    <row r="8423" spans="1:10" ht="15" x14ac:dyDescent="0.2">
      <c r="A8423" s="486" t="s">
        <v>1180</v>
      </c>
      <c r="B8423" s="487" t="s">
        <v>1179</v>
      </c>
      <c r="C8423" s="488" t="s">
        <v>26243</v>
      </c>
      <c r="D8423" s="489" t="s">
        <v>26244</v>
      </c>
      <c r="E8423" s="487" t="s">
        <v>26245</v>
      </c>
      <c r="F8423" s="490">
        <v>43550</v>
      </c>
      <c r="G8423" s="489">
        <v>503.18</v>
      </c>
      <c r="H8423" s="489">
        <v>86.549539999999993</v>
      </c>
      <c r="I8423" s="487" t="s">
        <v>1499</v>
      </c>
      <c r="J8423" s="487" t="s">
        <v>1181</v>
      </c>
    </row>
    <row r="8424" spans="1:10" ht="15" x14ac:dyDescent="0.2">
      <c r="A8424" s="486" t="s">
        <v>1180</v>
      </c>
      <c r="B8424" s="487" t="s">
        <v>1179</v>
      </c>
      <c r="C8424" s="488" t="s">
        <v>26246</v>
      </c>
      <c r="D8424" s="489" t="s">
        <v>26247</v>
      </c>
      <c r="E8424" s="487" t="s">
        <v>26248</v>
      </c>
      <c r="F8424" s="490">
        <v>0</v>
      </c>
      <c r="G8424" s="489">
        <v>57.25</v>
      </c>
      <c r="H8424" s="489">
        <v>0</v>
      </c>
      <c r="I8424" s="487" t="s">
        <v>1593</v>
      </c>
      <c r="J8424" s="487" t="s">
        <v>1181</v>
      </c>
    </row>
    <row r="8425" spans="1:10" ht="15" x14ac:dyDescent="0.2">
      <c r="A8425" s="486" t="s">
        <v>1180</v>
      </c>
      <c r="B8425" s="487" t="s">
        <v>1179</v>
      </c>
      <c r="C8425" s="488" t="s">
        <v>26249</v>
      </c>
      <c r="D8425" s="489" t="s">
        <v>26250</v>
      </c>
      <c r="E8425" s="487" t="s">
        <v>26251</v>
      </c>
      <c r="F8425" s="490">
        <v>1000</v>
      </c>
      <c r="G8425" s="489">
        <v>29.73</v>
      </c>
      <c r="H8425" s="489">
        <v>33.636060000000001</v>
      </c>
      <c r="I8425" s="487" t="s">
        <v>1499</v>
      </c>
      <c r="J8425" s="487" t="s">
        <v>1181</v>
      </c>
    </row>
    <row r="8426" spans="1:10" ht="15" x14ac:dyDescent="0.2">
      <c r="A8426" s="486" t="s">
        <v>1180</v>
      </c>
      <c r="B8426" s="487" t="s">
        <v>1179</v>
      </c>
      <c r="C8426" s="488" t="s">
        <v>26252</v>
      </c>
      <c r="D8426" s="489" t="s">
        <v>26253</v>
      </c>
      <c r="E8426" s="487" t="s">
        <v>26254</v>
      </c>
      <c r="F8426" s="490">
        <v>1450</v>
      </c>
      <c r="G8426" s="489">
        <v>87.25</v>
      </c>
      <c r="H8426" s="489">
        <v>16.61891</v>
      </c>
      <c r="I8426" s="487" t="s">
        <v>1499</v>
      </c>
      <c r="J8426" s="487" t="s">
        <v>1181</v>
      </c>
    </row>
    <row r="8427" spans="1:10" ht="15" x14ac:dyDescent="0.2">
      <c r="A8427" s="486" t="s">
        <v>1180</v>
      </c>
      <c r="B8427" s="487" t="s">
        <v>1179</v>
      </c>
      <c r="C8427" s="488" t="s">
        <v>26255</v>
      </c>
      <c r="D8427" s="489" t="s">
        <v>26256</v>
      </c>
      <c r="E8427" s="487" t="s">
        <v>26257</v>
      </c>
      <c r="F8427" s="490">
        <v>0</v>
      </c>
      <c r="G8427" s="489">
        <v>94.29</v>
      </c>
      <c r="H8427" s="489">
        <v>0</v>
      </c>
      <c r="I8427" s="487" t="s">
        <v>1593</v>
      </c>
      <c r="J8427" s="487" t="s">
        <v>1181</v>
      </c>
    </row>
    <row r="8428" spans="1:10" ht="15" x14ac:dyDescent="0.2">
      <c r="A8428" s="486" t="s">
        <v>1180</v>
      </c>
      <c r="B8428" s="487" t="s">
        <v>1179</v>
      </c>
      <c r="C8428" s="488" t="s">
        <v>26258</v>
      </c>
      <c r="D8428" s="489" t="s">
        <v>26259</v>
      </c>
      <c r="E8428" s="487" t="s">
        <v>26260</v>
      </c>
      <c r="F8428" s="490">
        <v>11077</v>
      </c>
      <c r="G8428" s="489">
        <v>241.85</v>
      </c>
      <c r="H8428" s="489">
        <v>45.801119999999997</v>
      </c>
      <c r="I8428" s="487" t="s">
        <v>1499</v>
      </c>
      <c r="J8428" s="487" t="s">
        <v>1181</v>
      </c>
    </row>
    <row r="8429" spans="1:10" ht="15" x14ac:dyDescent="0.2">
      <c r="A8429" s="486" t="s">
        <v>1180</v>
      </c>
      <c r="B8429" s="487" t="s">
        <v>1179</v>
      </c>
      <c r="C8429" s="488" t="s">
        <v>26261</v>
      </c>
      <c r="D8429" s="489" t="s">
        <v>26262</v>
      </c>
      <c r="E8429" s="487" t="s">
        <v>26263</v>
      </c>
      <c r="F8429" s="490">
        <v>124620</v>
      </c>
      <c r="G8429" s="489">
        <v>346.61</v>
      </c>
      <c r="H8429" s="489">
        <v>359.53953999999999</v>
      </c>
      <c r="I8429" s="487" t="s">
        <v>1499</v>
      </c>
      <c r="J8429" s="487" t="s">
        <v>1181</v>
      </c>
    </row>
    <row r="8430" spans="1:10" ht="15" x14ac:dyDescent="0.2">
      <c r="A8430" s="486" t="s">
        <v>1180</v>
      </c>
      <c r="B8430" s="487" t="s">
        <v>1179</v>
      </c>
      <c r="C8430" s="488" t="s">
        <v>26264</v>
      </c>
      <c r="D8430" s="489" t="s">
        <v>26265</v>
      </c>
      <c r="E8430" s="487" t="s">
        <v>26266</v>
      </c>
      <c r="F8430" s="490">
        <v>14327</v>
      </c>
      <c r="G8430" s="489">
        <v>229.2</v>
      </c>
      <c r="H8430" s="489">
        <v>62.50873</v>
      </c>
      <c r="I8430" s="487" t="s">
        <v>1499</v>
      </c>
      <c r="J8430" s="487" t="s">
        <v>1181</v>
      </c>
    </row>
    <row r="8431" spans="1:10" ht="15" x14ac:dyDescent="0.2">
      <c r="A8431" s="486" t="s">
        <v>1180</v>
      </c>
      <c r="B8431" s="487" t="s">
        <v>1179</v>
      </c>
      <c r="C8431" s="488" t="s">
        <v>26267</v>
      </c>
      <c r="D8431" s="489" t="s">
        <v>26268</v>
      </c>
      <c r="E8431" s="487" t="s">
        <v>6633</v>
      </c>
      <c r="F8431" s="490">
        <v>7000</v>
      </c>
      <c r="G8431" s="489">
        <v>117.99</v>
      </c>
      <c r="H8431" s="489">
        <v>59.327060000000003</v>
      </c>
      <c r="I8431" s="487" t="s">
        <v>1499</v>
      </c>
      <c r="J8431" s="487" t="s">
        <v>1181</v>
      </c>
    </row>
    <row r="8432" spans="1:10" ht="15" x14ac:dyDescent="0.2">
      <c r="A8432" s="486" t="s">
        <v>1180</v>
      </c>
      <c r="B8432" s="487" t="s">
        <v>1179</v>
      </c>
      <c r="C8432" s="488" t="s">
        <v>26269</v>
      </c>
      <c r="D8432" s="489" t="s">
        <v>26270</v>
      </c>
      <c r="E8432" s="487" t="s">
        <v>26271</v>
      </c>
      <c r="F8432" s="490">
        <v>10021</v>
      </c>
      <c r="G8432" s="489">
        <v>146.72</v>
      </c>
      <c r="H8432" s="489">
        <v>68.300160000000005</v>
      </c>
      <c r="I8432" s="487" t="s">
        <v>1499</v>
      </c>
      <c r="J8432" s="487" t="s">
        <v>1181</v>
      </c>
    </row>
    <row r="8433" spans="1:10" ht="15" x14ac:dyDescent="0.2">
      <c r="A8433" s="486" t="s">
        <v>1180</v>
      </c>
      <c r="B8433" s="487" t="s">
        <v>1179</v>
      </c>
      <c r="C8433" s="488" t="s">
        <v>26272</v>
      </c>
      <c r="D8433" s="489" t="s">
        <v>26273</v>
      </c>
      <c r="E8433" s="487" t="s">
        <v>11918</v>
      </c>
      <c r="F8433" s="490">
        <v>50000</v>
      </c>
      <c r="G8433" s="489">
        <v>399.78</v>
      </c>
      <c r="H8433" s="489">
        <v>125.06879000000001</v>
      </c>
      <c r="I8433" s="487" t="s">
        <v>1499</v>
      </c>
      <c r="J8433" s="487" t="s">
        <v>1181</v>
      </c>
    </row>
    <row r="8434" spans="1:10" ht="15" x14ac:dyDescent="0.2">
      <c r="A8434" s="486" t="s">
        <v>1180</v>
      </c>
      <c r="B8434" s="487" t="s">
        <v>1179</v>
      </c>
      <c r="C8434" s="488" t="s">
        <v>26274</v>
      </c>
      <c r="D8434" s="489" t="s">
        <v>26275</v>
      </c>
      <c r="E8434" s="487" t="s">
        <v>26276</v>
      </c>
      <c r="F8434" s="490">
        <v>10435</v>
      </c>
      <c r="G8434" s="489">
        <v>115.04</v>
      </c>
      <c r="H8434" s="489">
        <v>90.707579999999993</v>
      </c>
      <c r="I8434" s="487" t="s">
        <v>1499</v>
      </c>
      <c r="J8434" s="487" t="s">
        <v>1181</v>
      </c>
    </row>
    <row r="8435" spans="1:10" ht="15" x14ac:dyDescent="0.2">
      <c r="A8435" s="486" t="s">
        <v>1180</v>
      </c>
      <c r="B8435" s="487" t="s">
        <v>1179</v>
      </c>
      <c r="C8435" s="488" t="s">
        <v>26277</v>
      </c>
      <c r="D8435" s="489" t="s">
        <v>26278</v>
      </c>
      <c r="E8435" s="487" t="s">
        <v>26279</v>
      </c>
      <c r="F8435" s="490">
        <v>4919</v>
      </c>
      <c r="G8435" s="489">
        <v>96.85</v>
      </c>
      <c r="H8435" s="489">
        <v>50.789879999999997</v>
      </c>
      <c r="I8435" s="487" t="s">
        <v>1499</v>
      </c>
      <c r="J8435" s="487" t="s">
        <v>1181</v>
      </c>
    </row>
    <row r="8436" spans="1:10" ht="15" x14ac:dyDescent="0.2">
      <c r="A8436" s="486" t="s">
        <v>1180</v>
      </c>
      <c r="B8436" s="487" t="s">
        <v>1179</v>
      </c>
      <c r="C8436" s="488" t="s">
        <v>26280</v>
      </c>
      <c r="D8436" s="489" t="s">
        <v>26281</v>
      </c>
      <c r="E8436" s="487" t="s">
        <v>26282</v>
      </c>
      <c r="F8436" s="490">
        <v>5800</v>
      </c>
      <c r="G8436" s="489">
        <v>71.739999999999995</v>
      </c>
      <c r="H8436" s="489">
        <v>80.847499999999997</v>
      </c>
      <c r="I8436" s="487" t="s">
        <v>1499</v>
      </c>
      <c r="J8436" s="487" t="s">
        <v>1181</v>
      </c>
    </row>
    <row r="8437" spans="1:10" ht="15" x14ac:dyDescent="0.2">
      <c r="A8437" s="486" t="s">
        <v>1180</v>
      </c>
      <c r="B8437" s="487" t="s">
        <v>1179</v>
      </c>
      <c r="C8437" s="488" t="s">
        <v>26283</v>
      </c>
      <c r="D8437" s="489" t="s">
        <v>26284</v>
      </c>
      <c r="E8437" s="487" t="s">
        <v>6999</v>
      </c>
      <c r="F8437" s="490">
        <v>2500</v>
      </c>
      <c r="G8437" s="489">
        <v>81.73</v>
      </c>
      <c r="H8437" s="489">
        <v>30.588519999999999</v>
      </c>
      <c r="I8437" s="487" t="s">
        <v>1499</v>
      </c>
      <c r="J8437" s="487" t="s">
        <v>1181</v>
      </c>
    </row>
    <row r="8438" spans="1:10" ht="15" x14ac:dyDescent="0.2">
      <c r="A8438" s="486" t="s">
        <v>1180</v>
      </c>
      <c r="B8438" s="487" t="s">
        <v>1179</v>
      </c>
      <c r="C8438" s="488" t="s">
        <v>26285</v>
      </c>
      <c r="D8438" s="489" t="s">
        <v>26286</v>
      </c>
      <c r="E8438" s="487" t="s">
        <v>26287</v>
      </c>
      <c r="F8438" s="490">
        <v>4859</v>
      </c>
      <c r="G8438" s="489">
        <v>99.76</v>
      </c>
      <c r="H8438" s="489">
        <v>48.706899999999997</v>
      </c>
      <c r="I8438" s="487" t="s">
        <v>1499</v>
      </c>
      <c r="J8438" s="487" t="s">
        <v>1181</v>
      </c>
    </row>
    <row r="8439" spans="1:10" ht="15" x14ac:dyDescent="0.2">
      <c r="A8439" s="486" t="s">
        <v>1180</v>
      </c>
      <c r="B8439" s="487" t="s">
        <v>1179</v>
      </c>
      <c r="C8439" s="488" t="s">
        <v>26288</v>
      </c>
      <c r="D8439" s="489" t="s">
        <v>26289</v>
      </c>
      <c r="E8439" s="487" t="s">
        <v>26290</v>
      </c>
      <c r="F8439" s="490">
        <v>6885</v>
      </c>
      <c r="G8439" s="489">
        <v>232.3</v>
      </c>
      <c r="H8439" s="489">
        <v>29.638400000000001</v>
      </c>
      <c r="I8439" s="487" t="s">
        <v>2465</v>
      </c>
      <c r="J8439" s="487" t="s">
        <v>1181</v>
      </c>
    </row>
    <row r="8440" spans="1:10" ht="15" x14ac:dyDescent="0.2">
      <c r="A8440" s="486" t="s">
        <v>1180</v>
      </c>
      <c r="B8440" s="487" t="s">
        <v>1179</v>
      </c>
      <c r="C8440" s="488" t="s">
        <v>26291</v>
      </c>
      <c r="D8440" s="489" t="s">
        <v>26292</v>
      </c>
      <c r="E8440" s="487" t="s">
        <v>26293</v>
      </c>
      <c r="F8440" s="490">
        <v>14000</v>
      </c>
      <c r="G8440" s="489">
        <v>239.37</v>
      </c>
      <c r="H8440" s="489">
        <v>58.48686</v>
      </c>
      <c r="I8440" s="487" t="s">
        <v>1499</v>
      </c>
      <c r="J8440" s="487" t="s">
        <v>1181</v>
      </c>
    </row>
    <row r="8441" spans="1:10" ht="15" x14ac:dyDescent="0.2">
      <c r="A8441" s="486" t="s">
        <v>1180</v>
      </c>
      <c r="B8441" s="487" t="s">
        <v>1179</v>
      </c>
      <c r="C8441" s="488" t="s">
        <v>26294</v>
      </c>
      <c r="D8441" s="489" t="s">
        <v>26295</v>
      </c>
      <c r="E8441" s="487" t="s">
        <v>26296</v>
      </c>
      <c r="F8441" s="490">
        <v>36000</v>
      </c>
      <c r="G8441" s="489">
        <v>381.89</v>
      </c>
      <c r="H8441" s="489">
        <v>94.267979999999994</v>
      </c>
      <c r="I8441" s="487" t="s">
        <v>1499</v>
      </c>
      <c r="J8441" s="487" t="s">
        <v>1181</v>
      </c>
    </row>
    <row r="8442" spans="1:10" ht="15" x14ac:dyDescent="0.2">
      <c r="A8442" s="486" t="s">
        <v>1180</v>
      </c>
      <c r="B8442" s="487" t="s">
        <v>1179</v>
      </c>
      <c r="C8442" s="488" t="s">
        <v>26297</v>
      </c>
      <c r="D8442" s="489" t="s">
        <v>26298</v>
      </c>
      <c r="E8442" s="487" t="s">
        <v>18917</v>
      </c>
      <c r="F8442" s="490">
        <v>6000</v>
      </c>
      <c r="G8442" s="489">
        <v>124.07</v>
      </c>
      <c r="H8442" s="489">
        <v>48.3598</v>
      </c>
      <c r="I8442" s="487" t="s">
        <v>1499</v>
      </c>
      <c r="J8442" s="487" t="s">
        <v>1181</v>
      </c>
    </row>
    <row r="8443" spans="1:10" ht="15" x14ac:dyDescent="0.2">
      <c r="A8443" s="486" t="s">
        <v>1180</v>
      </c>
      <c r="B8443" s="487" t="s">
        <v>1179</v>
      </c>
      <c r="C8443" s="488" t="s">
        <v>26299</v>
      </c>
      <c r="D8443" s="489" t="s">
        <v>26300</v>
      </c>
      <c r="E8443" s="487" t="s">
        <v>26301</v>
      </c>
      <c r="F8443" s="490">
        <v>1944</v>
      </c>
      <c r="G8443" s="489">
        <v>62.83</v>
      </c>
      <c r="H8443" s="489">
        <v>30.940629999999999</v>
      </c>
      <c r="I8443" s="487" t="s">
        <v>1499</v>
      </c>
      <c r="J8443" s="487" t="s">
        <v>1181</v>
      </c>
    </row>
    <row r="8444" spans="1:10" ht="15" x14ac:dyDescent="0.2">
      <c r="A8444" s="486" t="s">
        <v>1180</v>
      </c>
      <c r="B8444" s="487" t="s">
        <v>1179</v>
      </c>
      <c r="C8444" s="488" t="s">
        <v>26302</v>
      </c>
      <c r="D8444" s="489" t="s">
        <v>26303</v>
      </c>
      <c r="E8444" s="487" t="s">
        <v>26304</v>
      </c>
      <c r="F8444" s="490">
        <v>18500</v>
      </c>
      <c r="G8444" s="489">
        <v>587.25</v>
      </c>
      <c r="H8444" s="489">
        <v>31.502770000000002</v>
      </c>
      <c r="I8444" s="487" t="s">
        <v>1499</v>
      </c>
      <c r="J8444" s="487" t="s">
        <v>1181</v>
      </c>
    </row>
    <row r="8445" spans="1:10" ht="15" x14ac:dyDescent="0.2">
      <c r="A8445" s="486" t="s">
        <v>1180</v>
      </c>
      <c r="B8445" s="487" t="s">
        <v>1179</v>
      </c>
      <c r="C8445" s="488" t="s">
        <v>26305</v>
      </c>
      <c r="D8445" s="489" t="s">
        <v>26306</v>
      </c>
      <c r="E8445" s="487" t="s">
        <v>26307</v>
      </c>
      <c r="F8445" s="490">
        <v>12000</v>
      </c>
      <c r="G8445" s="489">
        <v>204.65</v>
      </c>
      <c r="H8445" s="489">
        <v>58.636699999999998</v>
      </c>
      <c r="I8445" s="487" t="s">
        <v>1499</v>
      </c>
      <c r="J8445" s="487" t="s">
        <v>1181</v>
      </c>
    </row>
    <row r="8446" spans="1:10" ht="15" x14ac:dyDescent="0.2">
      <c r="A8446" s="486" t="s">
        <v>1180</v>
      </c>
      <c r="B8446" s="487" t="s">
        <v>1179</v>
      </c>
      <c r="C8446" s="488" t="s">
        <v>26308</v>
      </c>
      <c r="D8446" s="489" t="s">
        <v>26309</v>
      </c>
      <c r="E8446" s="487" t="s">
        <v>26310</v>
      </c>
      <c r="F8446" s="490">
        <v>514523</v>
      </c>
      <c r="G8446" s="489">
        <v>1787.87</v>
      </c>
      <c r="H8446" s="489">
        <v>287.78546999999998</v>
      </c>
      <c r="I8446" s="487" t="s">
        <v>1499</v>
      </c>
      <c r="J8446" s="487" t="s">
        <v>1181</v>
      </c>
    </row>
    <row r="8447" spans="1:10" ht="15" x14ac:dyDescent="0.2">
      <c r="A8447" s="486" t="s">
        <v>1180</v>
      </c>
      <c r="B8447" s="487" t="s">
        <v>1179</v>
      </c>
      <c r="C8447" s="488" t="s">
        <v>26311</v>
      </c>
      <c r="D8447" s="489" t="s">
        <v>26312</v>
      </c>
      <c r="E8447" s="487" t="s">
        <v>26313</v>
      </c>
      <c r="F8447" s="490">
        <v>58652</v>
      </c>
      <c r="G8447" s="489">
        <v>559.99</v>
      </c>
      <c r="H8447" s="489">
        <v>104.73757999999999</v>
      </c>
      <c r="I8447" s="487" t="s">
        <v>1499</v>
      </c>
      <c r="J8447" s="487" t="s">
        <v>1181</v>
      </c>
    </row>
    <row r="8448" spans="1:10" ht="15" x14ac:dyDescent="0.2">
      <c r="A8448" s="486" t="s">
        <v>1180</v>
      </c>
      <c r="B8448" s="487" t="s">
        <v>1179</v>
      </c>
      <c r="C8448" s="488" t="s">
        <v>26314</v>
      </c>
      <c r="D8448" s="489" t="s">
        <v>26315</v>
      </c>
      <c r="E8448" s="487" t="s">
        <v>26316</v>
      </c>
      <c r="F8448" s="490">
        <v>16500</v>
      </c>
      <c r="G8448" s="489">
        <v>274.36</v>
      </c>
      <c r="H8448" s="489">
        <v>60.139960000000002</v>
      </c>
      <c r="I8448" s="487" t="s">
        <v>1499</v>
      </c>
      <c r="J8448" s="487" t="s">
        <v>1181</v>
      </c>
    </row>
    <row r="8449" spans="1:10" ht="15" x14ac:dyDescent="0.2">
      <c r="A8449" s="486" t="s">
        <v>1180</v>
      </c>
      <c r="B8449" s="487" t="s">
        <v>1179</v>
      </c>
      <c r="C8449" s="488" t="s">
        <v>26317</v>
      </c>
      <c r="D8449" s="489" t="s">
        <v>26318</v>
      </c>
      <c r="E8449" s="487" t="s">
        <v>26319</v>
      </c>
      <c r="F8449" s="490">
        <v>48000</v>
      </c>
      <c r="G8449" s="489">
        <v>776.95</v>
      </c>
      <c r="H8449" s="489">
        <v>61.78004</v>
      </c>
      <c r="I8449" s="487" t="s">
        <v>1499</v>
      </c>
      <c r="J8449" s="487" t="s">
        <v>1181</v>
      </c>
    </row>
    <row r="8450" spans="1:10" ht="15" x14ac:dyDescent="0.2">
      <c r="A8450" s="486" t="s">
        <v>1180</v>
      </c>
      <c r="B8450" s="487" t="s">
        <v>1179</v>
      </c>
      <c r="C8450" s="488" t="s">
        <v>26320</v>
      </c>
      <c r="D8450" s="489" t="s">
        <v>26321</v>
      </c>
      <c r="E8450" s="487" t="s">
        <v>26322</v>
      </c>
      <c r="F8450" s="490">
        <v>21000</v>
      </c>
      <c r="G8450" s="489">
        <v>285.29000000000002</v>
      </c>
      <c r="H8450" s="489">
        <v>73.609309999999994</v>
      </c>
      <c r="I8450" s="487" t="s">
        <v>1499</v>
      </c>
      <c r="J8450" s="487" t="s">
        <v>1181</v>
      </c>
    </row>
    <row r="8451" spans="1:10" ht="15" x14ac:dyDescent="0.2">
      <c r="A8451" s="486" t="s">
        <v>1180</v>
      </c>
      <c r="B8451" s="487" t="s">
        <v>1179</v>
      </c>
      <c r="C8451" s="488" t="s">
        <v>26323</v>
      </c>
      <c r="D8451" s="489" t="s">
        <v>26324</v>
      </c>
      <c r="E8451" s="487" t="s">
        <v>26325</v>
      </c>
      <c r="F8451" s="490">
        <v>205836</v>
      </c>
      <c r="G8451" s="489">
        <v>1220.99</v>
      </c>
      <c r="H8451" s="489">
        <v>168.58123000000001</v>
      </c>
      <c r="I8451" s="487" t="s">
        <v>1499</v>
      </c>
      <c r="J8451" s="487" t="s">
        <v>1181</v>
      </c>
    </row>
    <row r="8452" spans="1:10" ht="15" x14ac:dyDescent="0.2">
      <c r="A8452" s="486" t="s">
        <v>1180</v>
      </c>
      <c r="B8452" s="487" t="s">
        <v>1179</v>
      </c>
      <c r="C8452" s="488" t="s">
        <v>26326</v>
      </c>
      <c r="D8452" s="489" t="s">
        <v>26327</v>
      </c>
      <c r="E8452" s="487" t="s">
        <v>26328</v>
      </c>
      <c r="F8452" s="490">
        <v>0</v>
      </c>
      <c r="G8452" s="489">
        <v>39.56</v>
      </c>
      <c r="H8452" s="489">
        <v>0</v>
      </c>
      <c r="I8452" s="487" t="s">
        <v>1593</v>
      </c>
      <c r="J8452" s="487" t="s">
        <v>1181</v>
      </c>
    </row>
    <row r="8453" spans="1:10" ht="15" x14ac:dyDescent="0.2">
      <c r="A8453" s="486" t="s">
        <v>1180</v>
      </c>
      <c r="B8453" s="487" t="s">
        <v>1179</v>
      </c>
      <c r="C8453" s="488" t="s">
        <v>26329</v>
      </c>
      <c r="D8453" s="489" t="s">
        <v>26330</v>
      </c>
      <c r="E8453" s="487" t="s">
        <v>26331</v>
      </c>
      <c r="F8453" s="490">
        <v>57000</v>
      </c>
      <c r="G8453" s="489">
        <v>595.37</v>
      </c>
      <c r="H8453" s="489">
        <v>95.738780000000006</v>
      </c>
      <c r="I8453" s="487" t="s">
        <v>1499</v>
      </c>
      <c r="J8453" s="487" t="s">
        <v>1181</v>
      </c>
    </row>
    <row r="8454" spans="1:10" ht="15" x14ac:dyDescent="0.2">
      <c r="A8454" s="486" t="s">
        <v>1180</v>
      </c>
      <c r="B8454" s="487" t="s">
        <v>1179</v>
      </c>
      <c r="C8454" s="488" t="s">
        <v>26332</v>
      </c>
      <c r="D8454" s="489" t="s">
        <v>26333</v>
      </c>
      <c r="E8454" s="487" t="s">
        <v>26334</v>
      </c>
      <c r="F8454" s="490">
        <v>1011635</v>
      </c>
      <c r="G8454" s="489">
        <v>4427.82</v>
      </c>
      <c r="H8454" s="489">
        <v>228.47247999999999</v>
      </c>
      <c r="I8454" s="487" t="s">
        <v>1499</v>
      </c>
      <c r="J8454" s="487" t="s">
        <v>1181</v>
      </c>
    </row>
    <row r="8455" spans="1:10" ht="15" x14ac:dyDescent="0.2">
      <c r="A8455" s="486" t="s">
        <v>1180</v>
      </c>
      <c r="B8455" s="487" t="s">
        <v>1179</v>
      </c>
      <c r="C8455" s="488" t="s">
        <v>26335</v>
      </c>
      <c r="D8455" s="489" t="s">
        <v>26336</v>
      </c>
      <c r="E8455" s="487" t="s">
        <v>23681</v>
      </c>
      <c r="F8455" s="490">
        <v>25969</v>
      </c>
      <c r="G8455" s="489">
        <v>405.16</v>
      </c>
      <c r="H8455" s="489">
        <v>64.095669999999998</v>
      </c>
      <c r="I8455" s="487" t="s">
        <v>1499</v>
      </c>
      <c r="J8455" s="487" t="s">
        <v>1181</v>
      </c>
    </row>
    <row r="8456" spans="1:10" ht="15" x14ac:dyDescent="0.2">
      <c r="A8456" s="486" t="s">
        <v>1180</v>
      </c>
      <c r="B8456" s="487" t="s">
        <v>1179</v>
      </c>
      <c r="C8456" s="488" t="s">
        <v>26337</v>
      </c>
      <c r="D8456" s="489" t="s">
        <v>26338</v>
      </c>
      <c r="E8456" s="487" t="s">
        <v>26339</v>
      </c>
      <c r="F8456" s="490">
        <v>3300</v>
      </c>
      <c r="G8456" s="489">
        <v>61.71</v>
      </c>
      <c r="H8456" s="489">
        <v>53.475940000000001</v>
      </c>
      <c r="I8456" s="487" t="s">
        <v>1499</v>
      </c>
      <c r="J8456" s="487" t="s">
        <v>1181</v>
      </c>
    </row>
    <row r="8457" spans="1:10" ht="15" x14ac:dyDescent="0.2">
      <c r="A8457" s="486" t="s">
        <v>1180</v>
      </c>
      <c r="B8457" s="487" t="s">
        <v>1179</v>
      </c>
      <c r="C8457" s="488" t="s">
        <v>26340</v>
      </c>
      <c r="D8457" s="489" t="s">
        <v>26341</v>
      </c>
      <c r="E8457" s="487" t="s">
        <v>26342</v>
      </c>
      <c r="F8457" s="490">
        <v>51253</v>
      </c>
      <c r="G8457" s="489">
        <v>266.33</v>
      </c>
      <c r="H8457" s="489">
        <v>192.44171</v>
      </c>
      <c r="I8457" s="487" t="s">
        <v>1499</v>
      </c>
      <c r="J8457" s="487" t="s">
        <v>1181</v>
      </c>
    </row>
    <row r="8458" spans="1:10" ht="15" x14ac:dyDescent="0.2">
      <c r="A8458" s="486" t="s">
        <v>1180</v>
      </c>
      <c r="B8458" s="487" t="s">
        <v>1179</v>
      </c>
      <c r="C8458" s="488" t="s">
        <v>26343</v>
      </c>
      <c r="D8458" s="489" t="s">
        <v>26344</v>
      </c>
      <c r="E8458" s="487" t="s">
        <v>26345</v>
      </c>
      <c r="F8458" s="490">
        <v>0</v>
      </c>
      <c r="G8458" s="489">
        <v>110.54</v>
      </c>
      <c r="H8458" s="489">
        <v>0</v>
      </c>
      <c r="I8458" s="487" t="s">
        <v>1593</v>
      </c>
      <c r="J8458" s="487" t="s">
        <v>1181</v>
      </c>
    </row>
    <row r="8459" spans="1:10" ht="15" x14ac:dyDescent="0.2">
      <c r="A8459" s="486" t="s">
        <v>1180</v>
      </c>
      <c r="B8459" s="487" t="s">
        <v>1179</v>
      </c>
      <c r="C8459" s="488" t="s">
        <v>26346</v>
      </c>
      <c r="D8459" s="489" t="s">
        <v>26347</v>
      </c>
      <c r="E8459" s="487" t="s">
        <v>26348</v>
      </c>
      <c r="F8459" s="490">
        <v>0</v>
      </c>
      <c r="G8459" s="489">
        <v>87.71</v>
      </c>
      <c r="H8459" s="489">
        <v>0</v>
      </c>
      <c r="I8459" s="487" t="s">
        <v>1593</v>
      </c>
      <c r="J8459" s="487" t="s">
        <v>1181</v>
      </c>
    </row>
    <row r="8460" spans="1:10" ht="15" x14ac:dyDescent="0.2">
      <c r="A8460" s="486" t="s">
        <v>1180</v>
      </c>
      <c r="B8460" s="487" t="s">
        <v>1179</v>
      </c>
      <c r="C8460" s="488" t="s">
        <v>26349</v>
      </c>
      <c r="D8460" s="489" t="s">
        <v>26350</v>
      </c>
      <c r="E8460" s="487" t="s">
        <v>26351</v>
      </c>
      <c r="F8460" s="490">
        <v>46467</v>
      </c>
      <c r="G8460" s="489">
        <v>285.33999999999997</v>
      </c>
      <c r="H8460" s="489">
        <v>162.84782999999999</v>
      </c>
      <c r="I8460" s="487" t="s">
        <v>1499</v>
      </c>
      <c r="J8460" s="487" t="s">
        <v>1181</v>
      </c>
    </row>
    <row r="8461" spans="1:10" ht="15" x14ac:dyDescent="0.2">
      <c r="A8461" s="486" t="s">
        <v>1180</v>
      </c>
      <c r="B8461" s="487" t="s">
        <v>1179</v>
      </c>
      <c r="C8461" s="488" t="s">
        <v>26352</v>
      </c>
      <c r="D8461" s="489" t="s">
        <v>26353</v>
      </c>
      <c r="E8461" s="487" t="s">
        <v>26354</v>
      </c>
      <c r="F8461" s="490">
        <v>76248</v>
      </c>
      <c r="G8461" s="489">
        <v>651.14</v>
      </c>
      <c r="H8461" s="489">
        <v>117.09923999999999</v>
      </c>
      <c r="I8461" s="487" t="s">
        <v>1499</v>
      </c>
      <c r="J8461" s="487" t="s">
        <v>1181</v>
      </c>
    </row>
    <row r="8462" spans="1:10" ht="15" x14ac:dyDescent="0.2">
      <c r="A8462" s="486" t="s">
        <v>1180</v>
      </c>
      <c r="B8462" s="487" t="s">
        <v>1179</v>
      </c>
      <c r="C8462" s="488" t="s">
        <v>26355</v>
      </c>
      <c r="D8462" s="489" t="s">
        <v>26356</v>
      </c>
      <c r="E8462" s="487" t="s">
        <v>26357</v>
      </c>
      <c r="F8462" s="490">
        <v>2656</v>
      </c>
      <c r="G8462" s="489">
        <v>100.26</v>
      </c>
      <c r="H8462" s="489">
        <v>26.491119999999999</v>
      </c>
      <c r="I8462" s="487" t="s">
        <v>1499</v>
      </c>
      <c r="J8462" s="487" t="s">
        <v>1181</v>
      </c>
    </row>
    <row r="8463" spans="1:10" ht="15" x14ac:dyDescent="0.2">
      <c r="A8463" s="486" t="s">
        <v>1180</v>
      </c>
      <c r="B8463" s="487" t="s">
        <v>1179</v>
      </c>
      <c r="C8463" s="488" t="s">
        <v>26358</v>
      </c>
      <c r="D8463" s="489" t="s">
        <v>26359</v>
      </c>
      <c r="E8463" s="487" t="s">
        <v>26360</v>
      </c>
      <c r="F8463" s="490">
        <v>3352</v>
      </c>
      <c r="G8463" s="489">
        <v>65.989999999999995</v>
      </c>
      <c r="H8463" s="489">
        <v>50.795580000000001</v>
      </c>
      <c r="I8463" s="487" t="s">
        <v>1499</v>
      </c>
      <c r="J8463" s="487" t="s">
        <v>1181</v>
      </c>
    </row>
    <row r="8464" spans="1:10" ht="15" x14ac:dyDescent="0.2">
      <c r="A8464" s="486" t="s">
        <v>1180</v>
      </c>
      <c r="B8464" s="487" t="s">
        <v>1179</v>
      </c>
      <c r="C8464" s="488" t="s">
        <v>26361</v>
      </c>
      <c r="D8464" s="489" t="s">
        <v>26362</v>
      </c>
      <c r="E8464" s="487" t="s">
        <v>26363</v>
      </c>
      <c r="F8464" s="490">
        <v>23912</v>
      </c>
      <c r="G8464" s="489">
        <v>470.11</v>
      </c>
      <c r="H8464" s="489">
        <v>50.864690000000003</v>
      </c>
      <c r="I8464" s="487" t="s">
        <v>1499</v>
      </c>
      <c r="J8464" s="487" t="s">
        <v>1181</v>
      </c>
    </row>
    <row r="8465" spans="1:10" ht="15" x14ac:dyDescent="0.2">
      <c r="A8465" s="486" t="s">
        <v>1180</v>
      </c>
      <c r="B8465" s="487" t="s">
        <v>1179</v>
      </c>
      <c r="C8465" s="488" t="s">
        <v>26364</v>
      </c>
      <c r="D8465" s="489" t="s">
        <v>26365</v>
      </c>
      <c r="E8465" s="487" t="s">
        <v>26366</v>
      </c>
      <c r="F8465" s="490">
        <v>5525</v>
      </c>
      <c r="G8465" s="489">
        <v>105.68</v>
      </c>
      <c r="H8465" s="489">
        <v>52.280470000000001</v>
      </c>
      <c r="I8465" s="487" t="s">
        <v>1499</v>
      </c>
      <c r="J8465" s="487" t="s">
        <v>1181</v>
      </c>
    </row>
    <row r="8466" spans="1:10" ht="15" x14ac:dyDescent="0.2">
      <c r="A8466" s="486" t="s">
        <v>1180</v>
      </c>
      <c r="B8466" s="487" t="s">
        <v>1179</v>
      </c>
      <c r="C8466" s="488" t="s">
        <v>26367</v>
      </c>
      <c r="D8466" s="489" t="s">
        <v>26368</v>
      </c>
      <c r="E8466" s="487" t="s">
        <v>26369</v>
      </c>
      <c r="F8466" s="490">
        <v>28760</v>
      </c>
      <c r="G8466" s="489">
        <v>789.2</v>
      </c>
      <c r="H8466" s="489">
        <v>36.441969999999998</v>
      </c>
      <c r="I8466" s="487" t="s">
        <v>1499</v>
      </c>
      <c r="J8466" s="487" t="s">
        <v>1181</v>
      </c>
    </row>
    <row r="8467" spans="1:10" ht="15" x14ac:dyDescent="0.2">
      <c r="A8467" s="486" t="s">
        <v>1180</v>
      </c>
      <c r="B8467" s="487" t="s">
        <v>1179</v>
      </c>
      <c r="C8467" s="488" t="s">
        <v>26370</v>
      </c>
      <c r="D8467" s="489" t="s">
        <v>26371</v>
      </c>
      <c r="E8467" s="487" t="s">
        <v>26372</v>
      </c>
      <c r="F8467" s="490">
        <v>8808</v>
      </c>
      <c r="G8467" s="489">
        <v>132.24</v>
      </c>
      <c r="H8467" s="489">
        <v>66.606170000000006</v>
      </c>
      <c r="I8467" s="487" t="s">
        <v>1499</v>
      </c>
      <c r="J8467" s="487" t="s">
        <v>1181</v>
      </c>
    </row>
    <row r="8468" spans="1:10" ht="15" x14ac:dyDescent="0.2">
      <c r="A8468" s="486" t="s">
        <v>1180</v>
      </c>
      <c r="B8468" s="487" t="s">
        <v>1179</v>
      </c>
      <c r="C8468" s="488" t="s">
        <v>26373</v>
      </c>
      <c r="D8468" s="489" t="s">
        <v>26374</v>
      </c>
      <c r="E8468" s="487" t="s">
        <v>26375</v>
      </c>
      <c r="F8468" s="490">
        <v>480000</v>
      </c>
      <c r="G8468" s="489">
        <v>3801.17</v>
      </c>
      <c r="H8468" s="489">
        <v>126.27691</v>
      </c>
      <c r="I8468" s="487" t="s">
        <v>1499</v>
      </c>
      <c r="J8468" s="487" t="s">
        <v>1181</v>
      </c>
    </row>
    <row r="8469" spans="1:10" ht="15" x14ac:dyDescent="0.2">
      <c r="A8469" s="486" t="s">
        <v>1180</v>
      </c>
      <c r="B8469" s="487" t="s">
        <v>1179</v>
      </c>
      <c r="C8469" s="488" t="s">
        <v>26376</v>
      </c>
      <c r="D8469" s="489" t="s">
        <v>26377</v>
      </c>
      <c r="E8469" s="487" t="s">
        <v>19474</v>
      </c>
      <c r="F8469" s="490">
        <v>7654</v>
      </c>
      <c r="G8469" s="489">
        <v>149.78</v>
      </c>
      <c r="H8469" s="489">
        <v>51.101619999999997</v>
      </c>
      <c r="I8469" s="487" t="s">
        <v>1499</v>
      </c>
      <c r="J8469" s="487" t="s">
        <v>1181</v>
      </c>
    </row>
    <row r="8470" spans="1:10" ht="15" x14ac:dyDescent="0.2">
      <c r="A8470" s="486" t="s">
        <v>1180</v>
      </c>
      <c r="B8470" s="487" t="s">
        <v>1179</v>
      </c>
      <c r="C8470" s="488" t="s">
        <v>26378</v>
      </c>
      <c r="D8470" s="489" t="s">
        <v>26379</v>
      </c>
      <c r="E8470" s="487" t="s">
        <v>26380</v>
      </c>
      <c r="F8470" s="490">
        <v>43875</v>
      </c>
      <c r="G8470" s="489">
        <v>1370.57</v>
      </c>
      <c r="H8470" s="489">
        <v>32.012230000000002</v>
      </c>
      <c r="I8470" s="487" t="s">
        <v>1499</v>
      </c>
      <c r="J8470" s="487" t="s">
        <v>1181</v>
      </c>
    </row>
    <row r="8471" spans="1:10" ht="15" x14ac:dyDescent="0.2">
      <c r="A8471" s="486" t="s">
        <v>1180</v>
      </c>
      <c r="B8471" s="487" t="s">
        <v>1179</v>
      </c>
      <c r="C8471" s="488" t="s">
        <v>26381</v>
      </c>
      <c r="D8471" s="489" t="s">
        <v>26382</v>
      </c>
      <c r="E8471" s="487" t="s">
        <v>26383</v>
      </c>
      <c r="F8471" s="490">
        <v>55927</v>
      </c>
      <c r="G8471" s="489">
        <v>515.55999999999995</v>
      </c>
      <c r="H8471" s="489">
        <v>108.47816</v>
      </c>
      <c r="I8471" s="487" t="s">
        <v>1499</v>
      </c>
      <c r="J8471" s="487" t="s">
        <v>1181</v>
      </c>
    </row>
    <row r="8472" spans="1:10" ht="15" x14ac:dyDescent="0.2">
      <c r="A8472" s="486" t="s">
        <v>1180</v>
      </c>
      <c r="B8472" s="487" t="s">
        <v>1179</v>
      </c>
      <c r="C8472" s="488" t="s">
        <v>26384</v>
      </c>
      <c r="D8472" s="489" t="s">
        <v>26385</v>
      </c>
      <c r="E8472" s="487" t="s">
        <v>26386</v>
      </c>
      <c r="F8472" s="490">
        <v>60750</v>
      </c>
      <c r="G8472" s="489">
        <v>335.84</v>
      </c>
      <c r="H8472" s="489">
        <v>180.88971000000001</v>
      </c>
      <c r="I8472" s="487" t="s">
        <v>1499</v>
      </c>
      <c r="J8472" s="487" t="s">
        <v>1181</v>
      </c>
    </row>
    <row r="8473" spans="1:10" ht="15" x14ac:dyDescent="0.2">
      <c r="A8473" s="486" t="s">
        <v>1180</v>
      </c>
      <c r="B8473" s="487" t="s">
        <v>1179</v>
      </c>
      <c r="C8473" s="488" t="s">
        <v>26387</v>
      </c>
      <c r="D8473" s="489" t="s">
        <v>26388</v>
      </c>
      <c r="E8473" s="487" t="s">
        <v>26389</v>
      </c>
      <c r="F8473" s="490">
        <v>47560</v>
      </c>
      <c r="G8473" s="489">
        <v>390.04</v>
      </c>
      <c r="H8473" s="489">
        <v>121.93621</v>
      </c>
      <c r="I8473" s="487" t="s">
        <v>1499</v>
      </c>
      <c r="J8473" s="487" t="s">
        <v>1181</v>
      </c>
    </row>
    <row r="8474" spans="1:10" ht="15" x14ac:dyDescent="0.2">
      <c r="A8474" s="486" t="s">
        <v>1180</v>
      </c>
      <c r="B8474" s="487" t="s">
        <v>1179</v>
      </c>
      <c r="C8474" s="488" t="s">
        <v>26390</v>
      </c>
      <c r="D8474" s="489" t="s">
        <v>26391</v>
      </c>
      <c r="E8474" s="487" t="s">
        <v>26392</v>
      </c>
      <c r="F8474" s="490">
        <v>11059</v>
      </c>
      <c r="G8474" s="489">
        <v>184.02</v>
      </c>
      <c r="H8474" s="489">
        <v>60.096730000000001</v>
      </c>
      <c r="I8474" s="487" t="s">
        <v>1499</v>
      </c>
      <c r="J8474" s="487" t="s">
        <v>1181</v>
      </c>
    </row>
    <row r="8475" spans="1:10" ht="15" x14ac:dyDescent="0.2">
      <c r="A8475" s="486" t="s">
        <v>1180</v>
      </c>
      <c r="B8475" s="487" t="s">
        <v>1179</v>
      </c>
      <c r="C8475" s="488" t="s">
        <v>26393</v>
      </c>
      <c r="D8475" s="489" t="s">
        <v>26394</v>
      </c>
      <c r="E8475" s="487" t="s">
        <v>26395</v>
      </c>
      <c r="F8475" s="490">
        <v>18000</v>
      </c>
      <c r="G8475" s="489">
        <v>342.02</v>
      </c>
      <c r="H8475" s="489">
        <v>52.628500000000003</v>
      </c>
      <c r="I8475" s="487" t="s">
        <v>1499</v>
      </c>
      <c r="J8475" s="487" t="s">
        <v>1181</v>
      </c>
    </row>
    <row r="8476" spans="1:10" ht="15" x14ac:dyDescent="0.2">
      <c r="A8476" s="486" t="s">
        <v>1180</v>
      </c>
      <c r="B8476" s="487" t="s">
        <v>1179</v>
      </c>
      <c r="C8476" s="488" t="s">
        <v>26396</v>
      </c>
      <c r="D8476" s="489" t="s">
        <v>26397</v>
      </c>
      <c r="E8476" s="487" t="s">
        <v>15628</v>
      </c>
      <c r="F8476" s="490">
        <v>0</v>
      </c>
      <c r="G8476" s="489">
        <v>42.3</v>
      </c>
      <c r="H8476" s="489">
        <v>0</v>
      </c>
      <c r="I8476" s="487" t="s">
        <v>1593</v>
      </c>
      <c r="J8476" s="487" t="s">
        <v>1181</v>
      </c>
    </row>
    <row r="8477" spans="1:10" ht="15" x14ac:dyDescent="0.2">
      <c r="A8477" s="486" t="s">
        <v>1180</v>
      </c>
      <c r="B8477" s="487" t="s">
        <v>1179</v>
      </c>
      <c r="C8477" s="488" t="s">
        <v>26398</v>
      </c>
      <c r="D8477" s="489" t="s">
        <v>26399</v>
      </c>
      <c r="E8477" s="487" t="s">
        <v>26400</v>
      </c>
      <c r="F8477" s="490">
        <v>29277</v>
      </c>
      <c r="G8477" s="489">
        <v>303.63</v>
      </c>
      <c r="H8477" s="489">
        <v>96.423280000000005</v>
      </c>
      <c r="I8477" s="487" t="s">
        <v>1499</v>
      </c>
      <c r="J8477" s="487" t="s">
        <v>1181</v>
      </c>
    </row>
    <row r="8478" spans="1:10" ht="15" x14ac:dyDescent="0.2">
      <c r="A8478" s="486" t="s">
        <v>1180</v>
      </c>
      <c r="B8478" s="487" t="s">
        <v>1179</v>
      </c>
      <c r="C8478" s="488" t="s">
        <v>26401</v>
      </c>
      <c r="D8478" s="489" t="s">
        <v>26402</v>
      </c>
      <c r="E8478" s="487" t="s">
        <v>26403</v>
      </c>
      <c r="F8478" s="490">
        <v>44750</v>
      </c>
      <c r="G8478" s="489">
        <v>701.32</v>
      </c>
      <c r="H8478" s="489">
        <v>63.808250000000001</v>
      </c>
      <c r="I8478" s="487" t="s">
        <v>1499</v>
      </c>
      <c r="J8478" s="487" t="s">
        <v>1181</v>
      </c>
    </row>
    <row r="8479" spans="1:10" ht="15" x14ac:dyDescent="0.2">
      <c r="A8479" s="486" t="s">
        <v>1180</v>
      </c>
      <c r="B8479" s="487" t="s">
        <v>1179</v>
      </c>
      <c r="C8479" s="488" t="s">
        <v>26404</v>
      </c>
      <c r="D8479" s="489" t="s">
        <v>26405</v>
      </c>
      <c r="E8479" s="487" t="s">
        <v>26406</v>
      </c>
      <c r="F8479" s="490">
        <v>0</v>
      </c>
      <c r="G8479" s="489">
        <v>0</v>
      </c>
      <c r="H8479" s="489">
        <v>0</v>
      </c>
      <c r="I8479" s="487" t="s">
        <v>2465</v>
      </c>
      <c r="J8479" s="487" t="s">
        <v>1181</v>
      </c>
    </row>
    <row r="8480" spans="1:10" ht="15" x14ac:dyDescent="0.2">
      <c r="A8480" s="486" t="s">
        <v>1180</v>
      </c>
      <c r="B8480" s="487" t="s">
        <v>1179</v>
      </c>
      <c r="C8480" s="488" t="s">
        <v>26407</v>
      </c>
      <c r="D8480" s="489" t="s">
        <v>26408</v>
      </c>
      <c r="E8480" s="487" t="s">
        <v>26409</v>
      </c>
      <c r="F8480" s="490">
        <v>11330</v>
      </c>
      <c r="G8480" s="489">
        <v>268.38</v>
      </c>
      <c r="H8480" s="489">
        <v>42.216259999999998</v>
      </c>
      <c r="I8480" s="487" t="s">
        <v>1499</v>
      </c>
      <c r="J8480" s="487" t="s">
        <v>1181</v>
      </c>
    </row>
    <row r="8481" spans="1:10" ht="15" x14ac:dyDescent="0.2">
      <c r="A8481" s="486" t="s">
        <v>1180</v>
      </c>
      <c r="B8481" s="487" t="s">
        <v>1179</v>
      </c>
      <c r="C8481" s="488" t="s">
        <v>26410</v>
      </c>
      <c r="D8481" s="489" t="s">
        <v>26411</v>
      </c>
      <c r="E8481" s="487" t="s">
        <v>26412</v>
      </c>
      <c r="F8481" s="490">
        <v>0</v>
      </c>
      <c r="G8481" s="489">
        <v>195.65</v>
      </c>
      <c r="H8481" s="489">
        <v>0</v>
      </c>
      <c r="I8481" s="487" t="s">
        <v>1593</v>
      </c>
      <c r="J8481" s="487" t="s">
        <v>1181</v>
      </c>
    </row>
    <row r="8482" spans="1:10" ht="15" x14ac:dyDescent="0.2">
      <c r="A8482" s="486" t="s">
        <v>1180</v>
      </c>
      <c r="B8482" s="487" t="s">
        <v>1179</v>
      </c>
      <c r="C8482" s="488" t="s">
        <v>26413</v>
      </c>
      <c r="D8482" s="489" t="s">
        <v>26414</v>
      </c>
      <c r="E8482" s="487" t="s">
        <v>26415</v>
      </c>
      <c r="F8482" s="490">
        <v>26000</v>
      </c>
      <c r="G8482" s="489">
        <v>308.27999999999997</v>
      </c>
      <c r="H8482" s="489">
        <v>84.338909999999998</v>
      </c>
      <c r="I8482" s="487" t="s">
        <v>1499</v>
      </c>
      <c r="J8482" s="487" t="s">
        <v>1181</v>
      </c>
    </row>
    <row r="8483" spans="1:10" ht="15" x14ac:dyDescent="0.2">
      <c r="A8483" s="486" t="s">
        <v>1180</v>
      </c>
      <c r="B8483" s="487" t="s">
        <v>1179</v>
      </c>
      <c r="C8483" s="488" t="s">
        <v>26416</v>
      </c>
      <c r="D8483" s="489" t="s">
        <v>26417</v>
      </c>
      <c r="E8483" s="487" t="s">
        <v>26418</v>
      </c>
      <c r="F8483" s="490">
        <v>9250</v>
      </c>
      <c r="G8483" s="489">
        <v>171.64</v>
      </c>
      <c r="H8483" s="489">
        <v>53.891869999999997</v>
      </c>
      <c r="I8483" s="487" t="s">
        <v>1499</v>
      </c>
      <c r="J8483" s="487" t="s">
        <v>1181</v>
      </c>
    </row>
    <row r="8484" spans="1:10" ht="15" x14ac:dyDescent="0.2">
      <c r="A8484" s="486" t="s">
        <v>1180</v>
      </c>
      <c r="B8484" s="487" t="s">
        <v>1179</v>
      </c>
      <c r="C8484" s="488" t="s">
        <v>26419</v>
      </c>
      <c r="D8484" s="489" t="s">
        <v>26420</v>
      </c>
      <c r="E8484" s="487" t="s">
        <v>26421</v>
      </c>
      <c r="F8484" s="490">
        <v>22000</v>
      </c>
      <c r="G8484" s="489">
        <v>428.11</v>
      </c>
      <c r="H8484" s="489">
        <v>51.388660000000002</v>
      </c>
      <c r="I8484" s="487" t="s">
        <v>1499</v>
      </c>
      <c r="J8484" s="487" t="s">
        <v>1181</v>
      </c>
    </row>
    <row r="8485" spans="1:10" ht="15" x14ac:dyDescent="0.2">
      <c r="A8485" s="486" t="s">
        <v>1180</v>
      </c>
      <c r="B8485" s="487" t="s">
        <v>1179</v>
      </c>
      <c r="C8485" s="488" t="s">
        <v>26422</v>
      </c>
      <c r="D8485" s="489" t="s">
        <v>26423</v>
      </c>
      <c r="E8485" s="487" t="s">
        <v>26424</v>
      </c>
      <c r="F8485" s="490">
        <v>6822</v>
      </c>
      <c r="G8485" s="489">
        <v>177.03</v>
      </c>
      <c r="H8485" s="489">
        <v>38.53584</v>
      </c>
      <c r="I8485" s="487" t="s">
        <v>1499</v>
      </c>
      <c r="J8485" s="487" t="s">
        <v>1181</v>
      </c>
    </row>
    <row r="8486" spans="1:10" ht="15" x14ac:dyDescent="0.2">
      <c r="A8486" s="486" t="s">
        <v>1180</v>
      </c>
      <c r="B8486" s="487" t="s">
        <v>1179</v>
      </c>
      <c r="C8486" s="488" t="s">
        <v>26425</v>
      </c>
      <c r="D8486" s="489" t="s">
        <v>26426</v>
      </c>
      <c r="E8486" s="487" t="s">
        <v>16580</v>
      </c>
      <c r="F8486" s="490">
        <v>32488</v>
      </c>
      <c r="G8486" s="489">
        <v>511.01</v>
      </c>
      <c r="H8486" s="489">
        <v>63.576059999999998</v>
      </c>
      <c r="I8486" s="487" t="s">
        <v>1499</v>
      </c>
      <c r="J8486" s="487" t="s">
        <v>1181</v>
      </c>
    </row>
    <row r="8487" spans="1:10" ht="15" x14ac:dyDescent="0.2">
      <c r="A8487" s="486" t="s">
        <v>1180</v>
      </c>
      <c r="B8487" s="487" t="s">
        <v>1179</v>
      </c>
      <c r="C8487" s="488" t="s">
        <v>26427</v>
      </c>
      <c r="D8487" s="489" t="s">
        <v>26428</v>
      </c>
      <c r="E8487" s="487" t="s">
        <v>26429</v>
      </c>
      <c r="F8487" s="490">
        <v>8220</v>
      </c>
      <c r="G8487" s="489">
        <v>206.17</v>
      </c>
      <c r="H8487" s="489">
        <v>39.870010000000001</v>
      </c>
      <c r="I8487" s="487" t="s">
        <v>1499</v>
      </c>
      <c r="J8487" s="487" t="s">
        <v>1181</v>
      </c>
    </row>
    <row r="8488" spans="1:10" ht="15" x14ac:dyDescent="0.2">
      <c r="A8488" s="486" t="s">
        <v>1180</v>
      </c>
      <c r="B8488" s="487" t="s">
        <v>1179</v>
      </c>
      <c r="C8488" s="488" t="s">
        <v>26430</v>
      </c>
      <c r="D8488" s="489" t="s">
        <v>26431</v>
      </c>
      <c r="E8488" s="487" t="s">
        <v>26432</v>
      </c>
      <c r="F8488" s="490">
        <v>10900</v>
      </c>
      <c r="G8488" s="489">
        <v>505.05</v>
      </c>
      <c r="H8488" s="489">
        <v>21.58202</v>
      </c>
      <c r="I8488" s="487" t="s">
        <v>1499</v>
      </c>
      <c r="J8488" s="487" t="s">
        <v>1181</v>
      </c>
    </row>
    <row r="8489" spans="1:10" ht="15" x14ac:dyDescent="0.2">
      <c r="A8489" s="486" t="s">
        <v>1180</v>
      </c>
      <c r="B8489" s="487" t="s">
        <v>1179</v>
      </c>
      <c r="C8489" s="488" t="s">
        <v>26433</v>
      </c>
      <c r="D8489" s="489" t="s">
        <v>26434</v>
      </c>
      <c r="E8489" s="487" t="s">
        <v>26435</v>
      </c>
      <c r="F8489" s="490">
        <v>6385</v>
      </c>
      <c r="G8489" s="489">
        <v>194.15</v>
      </c>
      <c r="H8489" s="489">
        <v>32.886940000000003</v>
      </c>
      <c r="I8489" s="487" t="s">
        <v>1499</v>
      </c>
      <c r="J8489" s="487" t="s">
        <v>1181</v>
      </c>
    </row>
    <row r="8490" spans="1:10" ht="15" x14ac:dyDescent="0.2">
      <c r="A8490" s="486" t="s">
        <v>1180</v>
      </c>
      <c r="B8490" s="487" t="s">
        <v>1179</v>
      </c>
      <c r="C8490" s="488" t="s">
        <v>26436</v>
      </c>
      <c r="D8490" s="489" t="s">
        <v>26437</v>
      </c>
      <c r="E8490" s="487" t="s">
        <v>26438</v>
      </c>
      <c r="F8490" s="490">
        <v>117031</v>
      </c>
      <c r="G8490" s="489">
        <v>710.01</v>
      </c>
      <c r="H8490" s="489">
        <v>164.83007000000001</v>
      </c>
      <c r="I8490" s="487" t="s">
        <v>1499</v>
      </c>
      <c r="J8490" s="487" t="s">
        <v>1181</v>
      </c>
    </row>
    <row r="8491" spans="1:10" ht="15" x14ac:dyDescent="0.2">
      <c r="A8491" s="486" t="s">
        <v>1180</v>
      </c>
      <c r="B8491" s="487" t="s">
        <v>1179</v>
      </c>
      <c r="C8491" s="488" t="s">
        <v>26439</v>
      </c>
      <c r="D8491" s="489" t="s">
        <v>26440</v>
      </c>
      <c r="E8491" s="487" t="s">
        <v>26441</v>
      </c>
      <c r="F8491" s="490">
        <v>12903</v>
      </c>
      <c r="G8491" s="489">
        <v>294.07</v>
      </c>
      <c r="H8491" s="489">
        <v>43.877310000000001</v>
      </c>
      <c r="I8491" s="487" t="s">
        <v>1499</v>
      </c>
      <c r="J8491" s="487" t="s">
        <v>1181</v>
      </c>
    </row>
    <row r="8492" spans="1:10" ht="15" x14ac:dyDescent="0.2">
      <c r="A8492" s="486" t="s">
        <v>1180</v>
      </c>
      <c r="B8492" s="487" t="s">
        <v>1179</v>
      </c>
      <c r="C8492" s="488" t="s">
        <v>26442</v>
      </c>
      <c r="D8492" s="489" t="s">
        <v>26443</v>
      </c>
      <c r="E8492" s="487" t="s">
        <v>26444</v>
      </c>
      <c r="F8492" s="490">
        <v>0</v>
      </c>
      <c r="G8492" s="489">
        <v>52.09</v>
      </c>
      <c r="H8492" s="489">
        <v>0</v>
      </c>
      <c r="I8492" s="487" t="s">
        <v>1593</v>
      </c>
      <c r="J8492" s="487" t="s">
        <v>1181</v>
      </c>
    </row>
    <row r="8493" spans="1:10" ht="15" x14ac:dyDescent="0.2">
      <c r="A8493" s="486" t="s">
        <v>1180</v>
      </c>
      <c r="B8493" s="487" t="s">
        <v>1179</v>
      </c>
      <c r="C8493" s="488" t="s">
        <v>26445</v>
      </c>
      <c r="D8493" s="489" t="s">
        <v>26446</v>
      </c>
      <c r="E8493" s="487" t="s">
        <v>26447</v>
      </c>
      <c r="F8493" s="490">
        <v>84000</v>
      </c>
      <c r="G8493" s="489">
        <v>839.39</v>
      </c>
      <c r="H8493" s="489">
        <v>100.07267</v>
      </c>
      <c r="I8493" s="487" t="s">
        <v>1499</v>
      </c>
      <c r="J8493" s="487" t="s">
        <v>1181</v>
      </c>
    </row>
    <row r="8494" spans="1:10" ht="15" x14ac:dyDescent="0.2">
      <c r="A8494" s="486" t="s">
        <v>1180</v>
      </c>
      <c r="B8494" s="487" t="s">
        <v>1179</v>
      </c>
      <c r="C8494" s="488" t="s">
        <v>26448</v>
      </c>
      <c r="D8494" s="489" t="s">
        <v>26449</v>
      </c>
      <c r="E8494" s="487" t="s">
        <v>26450</v>
      </c>
      <c r="F8494" s="490">
        <v>0</v>
      </c>
      <c r="G8494" s="489">
        <v>70.180000000000007</v>
      </c>
      <c r="H8494" s="489">
        <v>0</v>
      </c>
      <c r="I8494" s="487" t="s">
        <v>1593</v>
      </c>
      <c r="J8494" s="487" t="s">
        <v>1181</v>
      </c>
    </row>
    <row r="8495" spans="1:10" ht="15" x14ac:dyDescent="0.2">
      <c r="A8495" s="486" t="s">
        <v>1180</v>
      </c>
      <c r="B8495" s="487" t="s">
        <v>1179</v>
      </c>
      <c r="C8495" s="488" t="s">
        <v>26451</v>
      </c>
      <c r="D8495" s="489" t="s">
        <v>26452</v>
      </c>
      <c r="E8495" s="487" t="s">
        <v>26453</v>
      </c>
      <c r="F8495" s="490">
        <v>25200</v>
      </c>
      <c r="G8495" s="489">
        <v>344.66</v>
      </c>
      <c r="H8495" s="489">
        <v>73.115530000000007</v>
      </c>
      <c r="I8495" s="487" t="s">
        <v>1499</v>
      </c>
      <c r="J8495" s="487" t="s">
        <v>1181</v>
      </c>
    </row>
    <row r="8496" spans="1:10" ht="15" x14ac:dyDescent="0.2">
      <c r="A8496" s="486" t="s">
        <v>1180</v>
      </c>
      <c r="B8496" s="487" t="s">
        <v>1179</v>
      </c>
      <c r="C8496" s="488" t="s">
        <v>26454</v>
      </c>
      <c r="D8496" s="489" t="s">
        <v>26455</v>
      </c>
      <c r="E8496" s="487" t="s">
        <v>26456</v>
      </c>
      <c r="F8496" s="490">
        <v>9329</v>
      </c>
      <c r="G8496" s="489">
        <v>119.7</v>
      </c>
      <c r="H8496" s="489">
        <v>77.936509999999998</v>
      </c>
      <c r="I8496" s="487" t="s">
        <v>1499</v>
      </c>
      <c r="J8496" s="487" t="s">
        <v>1181</v>
      </c>
    </row>
    <row r="8497" spans="1:10" ht="15" x14ac:dyDescent="0.2">
      <c r="A8497" s="486" t="s">
        <v>1180</v>
      </c>
      <c r="B8497" s="487" t="s">
        <v>1179</v>
      </c>
      <c r="C8497" s="488" t="s">
        <v>26457</v>
      </c>
      <c r="D8497" s="489" t="s">
        <v>26458</v>
      </c>
      <c r="E8497" s="487" t="s">
        <v>26459</v>
      </c>
      <c r="F8497" s="490">
        <v>36000</v>
      </c>
      <c r="G8497" s="489">
        <v>515.09</v>
      </c>
      <c r="H8497" s="489">
        <v>69.890699999999995</v>
      </c>
      <c r="I8497" s="487" t="s">
        <v>1499</v>
      </c>
      <c r="J8497" s="487" t="s">
        <v>1181</v>
      </c>
    </row>
    <row r="8498" spans="1:10" ht="15" x14ac:dyDescent="0.2">
      <c r="A8498" s="486" t="s">
        <v>1180</v>
      </c>
      <c r="B8498" s="487" t="s">
        <v>1179</v>
      </c>
      <c r="C8498" s="488" t="s">
        <v>26460</v>
      </c>
      <c r="D8498" s="489" t="s">
        <v>26461</v>
      </c>
      <c r="E8498" s="487" t="s">
        <v>26462</v>
      </c>
      <c r="F8498" s="490">
        <v>31888</v>
      </c>
      <c r="G8498" s="489">
        <v>563.45000000000005</v>
      </c>
      <c r="H8498" s="489">
        <v>56.594200000000001</v>
      </c>
      <c r="I8498" s="487" t="s">
        <v>1499</v>
      </c>
      <c r="J8498" s="487" t="s">
        <v>1181</v>
      </c>
    </row>
    <row r="8499" spans="1:10" ht="15" x14ac:dyDescent="0.2">
      <c r="A8499" s="486" t="s">
        <v>1180</v>
      </c>
      <c r="B8499" s="487" t="s">
        <v>1179</v>
      </c>
      <c r="C8499" s="488" t="s">
        <v>26463</v>
      </c>
      <c r="D8499" s="489" t="s">
        <v>26464</v>
      </c>
      <c r="E8499" s="487" t="s">
        <v>26465</v>
      </c>
      <c r="F8499" s="490">
        <v>40000</v>
      </c>
      <c r="G8499" s="489">
        <v>605.28</v>
      </c>
      <c r="H8499" s="489">
        <v>66.085120000000003</v>
      </c>
      <c r="I8499" s="487" t="s">
        <v>2465</v>
      </c>
      <c r="J8499" s="487" t="s">
        <v>1181</v>
      </c>
    </row>
    <row r="8500" spans="1:10" ht="15" x14ac:dyDescent="0.2">
      <c r="A8500" s="486" t="s">
        <v>1180</v>
      </c>
      <c r="B8500" s="487" t="s">
        <v>1179</v>
      </c>
      <c r="C8500" s="488" t="s">
        <v>26466</v>
      </c>
      <c r="D8500" s="489" t="s">
        <v>26467</v>
      </c>
      <c r="E8500" s="487" t="s">
        <v>26468</v>
      </c>
      <c r="F8500" s="490">
        <v>8993</v>
      </c>
      <c r="G8500" s="489">
        <v>138.19999999999999</v>
      </c>
      <c r="H8500" s="489">
        <v>65.072360000000003</v>
      </c>
      <c r="I8500" s="487" t="s">
        <v>1499</v>
      </c>
      <c r="J8500" s="487" t="s">
        <v>1181</v>
      </c>
    </row>
    <row r="8501" spans="1:10" ht="15" x14ac:dyDescent="0.2">
      <c r="A8501" s="486" t="s">
        <v>1180</v>
      </c>
      <c r="B8501" s="487" t="s">
        <v>1179</v>
      </c>
      <c r="C8501" s="488" t="s">
        <v>26469</v>
      </c>
      <c r="D8501" s="489" t="s">
        <v>26470</v>
      </c>
      <c r="E8501" s="487" t="s">
        <v>26471</v>
      </c>
      <c r="F8501" s="490">
        <v>4500</v>
      </c>
      <c r="G8501" s="489">
        <v>155.41</v>
      </c>
      <c r="H8501" s="489">
        <v>28.955670000000001</v>
      </c>
      <c r="I8501" s="487" t="s">
        <v>1499</v>
      </c>
      <c r="J8501" s="487" t="s">
        <v>1181</v>
      </c>
    </row>
    <row r="8502" spans="1:10" ht="15" x14ac:dyDescent="0.2">
      <c r="A8502" s="486" t="s">
        <v>1180</v>
      </c>
      <c r="B8502" s="487" t="s">
        <v>1179</v>
      </c>
      <c r="C8502" s="488" t="s">
        <v>26472</v>
      </c>
      <c r="D8502" s="489" t="s">
        <v>26473</v>
      </c>
      <c r="E8502" s="487" t="s">
        <v>26474</v>
      </c>
      <c r="F8502" s="490">
        <v>35200</v>
      </c>
      <c r="G8502" s="489">
        <v>177.46</v>
      </c>
      <c r="H8502" s="489">
        <v>198.35455999999999</v>
      </c>
      <c r="I8502" s="487" t="s">
        <v>1499</v>
      </c>
      <c r="J8502" s="487" t="s">
        <v>1181</v>
      </c>
    </row>
    <row r="8503" spans="1:10" ht="15" x14ac:dyDescent="0.2">
      <c r="A8503" s="486" t="s">
        <v>1180</v>
      </c>
      <c r="B8503" s="487" t="s">
        <v>1179</v>
      </c>
      <c r="C8503" s="488" t="s">
        <v>26475</v>
      </c>
      <c r="D8503" s="489" t="s">
        <v>26476</v>
      </c>
      <c r="E8503" s="487" t="s">
        <v>26477</v>
      </c>
      <c r="F8503" s="490">
        <v>11800</v>
      </c>
      <c r="G8503" s="489">
        <v>59.48</v>
      </c>
      <c r="H8503" s="489">
        <v>198.38601</v>
      </c>
      <c r="I8503" s="487" t="s">
        <v>1499</v>
      </c>
      <c r="J8503" s="487" t="s">
        <v>1181</v>
      </c>
    </row>
    <row r="8504" spans="1:10" ht="15" x14ac:dyDescent="0.2">
      <c r="A8504" s="486" t="s">
        <v>1180</v>
      </c>
      <c r="B8504" s="487" t="s">
        <v>1179</v>
      </c>
      <c r="C8504" s="488" t="s">
        <v>26478</v>
      </c>
      <c r="D8504" s="489" t="s">
        <v>26479</v>
      </c>
      <c r="E8504" s="487" t="s">
        <v>26480</v>
      </c>
      <c r="F8504" s="490">
        <v>15000</v>
      </c>
      <c r="G8504" s="489">
        <v>420.01</v>
      </c>
      <c r="H8504" s="489">
        <v>35.713439999999999</v>
      </c>
      <c r="I8504" s="487" t="s">
        <v>1499</v>
      </c>
      <c r="J8504" s="487" t="s">
        <v>1181</v>
      </c>
    </row>
    <row r="8505" spans="1:10" ht="15" x14ac:dyDescent="0.2">
      <c r="A8505" s="486" t="s">
        <v>1180</v>
      </c>
      <c r="B8505" s="487" t="s">
        <v>1179</v>
      </c>
      <c r="C8505" s="488" t="s">
        <v>26481</v>
      </c>
      <c r="D8505" s="489" t="s">
        <v>26482</v>
      </c>
      <c r="E8505" s="487" t="s">
        <v>26483</v>
      </c>
      <c r="F8505" s="490">
        <v>14500</v>
      </c>
      <c r="G8505" s="489">
        <v>238.46</v>
      </c>
      <c r="H8505" s="489">
        <v>60.806840000000001</v>
      </c>
      <c r="I8505" s="487" t="s">
        <v>1499</v>
      </c>
      <c r="J8505" s="487" t="s">
        <v>1181</v>
      </c>
    </row>
    <row r="8506" spans="1:10" ht="15" x14ac:dyDescent="0.2">
      <c r="A8506" s="486" t="s">
        <v>1180</v>
      </c>
      <c r="B8506" s="487" t="s">
        <v>1179</v>
      </c>
      <c r="C8506" s="488" t="s">
        <v>26484</v>
      </c>
      <c r="D8506" s="489" t="s">
        <v>26485</v>
      </c>
      <c r="E8506" s="487" t="s">
        <v>26486</v>
      </c>
      <c r="F8506" s="490">
        <v>16200</v>
      </c>
      <c r="G8506" s="489">
        <v>205.16</v>
      </c>
      <c r="H8506" s="489">
        <v>78.962760000000003</v>
      </c>
      <c r="I8506" s="487" t="s">
        <v>1499</v>
      </c>
      <c r="J8506" s="487" t="s">
        <v>1181</v>
      </c>
    </row>
    <row r="8507" spans="1:10" ht="15" x14ac:dyDescent="0.2">
      <c r="A8507" s="486" t="s">
        <v>1180</v>
      </c>
      <c r="B8507" s="487" t="s">
        <v>1179</v>
      </c>
      <c r="C8507" s="488" t="s">
        <v>26487</v>
      </c>
      <c r="D8507" s="489" t="s">
        <v>26488</v>
      </c>
      <c r="E8507" s="487" t="s">
        <v>26489</v>
      </c>
      <c r="F8507" s="490">
        <v>250</v>
      </c>
      <c r="G8507" s="489">
        <v>23.62</v>
      </c>
      <c r="H8507" s="489">
        <v>10.584250000000001</v>
      </c>
      <c r="I8507" s="487" t="s">
        <v>1499</v>
      </c>
      <c r="J8507" s="487" t="s">
        <v>1181</v>
      </c>
    </row>
    <row r="8508" spans="1:10" ht="15" x14ac:dyDescent="0.2">
      <c r="A8508" s="486" t="s">
        <v>1180</v>
      </c>
      <c r="B8508" s="487" t="s">
        <v>1179</v>
      </c>
      <c r="C8508" s="488" t="s">
        <v>26490</v>
      </c>
      <c r="D8508" s="489" t="s">
        <v>26491</v>
      </c>
      <c r="E8508" s="487" t="s">
        <v>26492</v>
      </c>
      <c r="F8508" s="490">
        <v>42000</v>
      </c>
      <c r="G8508" s="489">
        <v>313.72000000000003</v>
      </c>
      <c r="H8508" s="489">
        <v>133.87734</v>
      </c>
      <c r="I8508" s="487" t="s">
        <v>1499</v>
      </c>
      <c r="J8508" s="487" t="s">
        <v>1181</v>
      </c>
    </row>
    <row r="8509" spans="1:10" ht="15" x14ac:dyDescent="0.2">
      <c r="A8509" s="486" t="s">
        <v>1180</v>
      </c>
      <c r="B8509" s="487" t="s">
        <v>1179</v>
      </c>
      <c r="C8509" s="488" t="s">
        <v>26493</v>
      </c>
      <c r="D8509" s="489" t="s">
        <v>26494</v>
      </c>
      <c r="E8509" s="487" t="s">
        <v>26495</v>
      </c>
      <c r="F8509" s="490">
        <v>1110510</v>
      </c>
      <c r="G8509" s="489">
        <v>3515.57</v>
      </c>
      <c r="H8509" s="489">
        <v>315.88333999999998</v>
      </c>
      <c r="I8509" s="487" t="s">
        <v>1499</v>
      </c>
      <c r="J8509" s="487" t="s">
        <v>1181</v>
      </c>
    </row>
    <row r="8510" spans="1:10" ht="15" x14ac:dyDescent="0.2">
      <c r="A8510" s="486" t="s">
        <v>1180</v>
      </c>
      <c r="B8510" s="487" t="s">
        <v>1179</v>
      </c>
      <c r="C8510" s="488" t="s">
        <v>26496</v>
      </c>
      <c r="D8510" s="489" t="s">
        <v>26497</v>
      </c>
      <c r="E8510" s="487" t="s">
        <v>26498</v>
      </c>
      <c r="F8510" s="490">
        <v>6600</v>
      </c>
      <c r="G8510" s="489">
        <v>98.21</v>
      </c>
      <c r="H8510" s="489">
        <v>67.202929999999995</v>
      </c>
      <c r="I8510" s="487" t="s">
        <v>1499</v>
      </c>
      <c r="J8510" s="487" t="s">
        <v>1181</v>
      </c>
    </row>
    <row r="8511" spans="1:10" ht="15" x14ac:dyDescent="0.2">
      <c r="A8511" s="486" t="s">
        <v>1180</v>
      </c>
      <c r="B8511" s="487" t="s">
        <v>1179</v>
      </c>
      <c r="C8511" s="488" t="s">
        <v>26499</v>
      </c>
      <c r="D8511" s="489" t="s">
        <v>26500</v>
      </c>
      <c r="E8511" s="487" t="s">
        <v>26501</v>
      </c>
      <c r="F8511" s="490">
        <v>13208</v>
      </c>
      <c r="G8511" s="489">
        <v>487.25</v>
      </c>
      <c r="H8511" s="489">
        <v>27.107230000000001</v>
      </c>
      <c r="I8511" s="487" t="s">
        <v>1499</v>
      </c>
      <c r="J8511" s="487" t="s">
        <v>1181</v>
      </c>
    </row>
    <row r="8512" spans="1:10" ht="15" x14ac:dyDescent="0.2">
      <c r="A8512" s="486" t="s">
        <v>1180</v>
      </c>
      <c r="B8512" s="487" t="s">
        <v>1179</v>
      </c>
      <c r="C8512" s="488" t="s">
        <v>26502</v>
      </c>
      <c r="D8512" s="489" t="s">
        <v>26503</v>
      </c>
      <c r="E8512" s="487" t="s">
        <v>26504</v>
      </c>
      <c r="F8512" s="490">
        <v>0</v>
      </c>
      <c r="G8512" s="489">
        <v>50.41</v>
      </c>
      <c r="H8512" s="489">
        <v>0</v>
      </c>
      <c r="I8512" s="487" t="s">
        <v>1593</v>
      </c>
      <c r="J8512" s="487" t="s">
        <v>1181</v>
      </c>
    </row>
    <row r="8513" spans="1:10" ht="15" x14ac:dyDescent="0.2">
      <c r="A8513" s="486" t="s">
        <v>1180</v>
      </c>
      <c r="B8513" s="487" t="s">
        <v>1179</v>
      </c>
      <c r="C8513" s="488" t="s">
        <v>26505</v>
      </c>
      <c r="D8513" s="489" t="s">
        <v>26506</v>
      </c>
      <c r="E8513" s="487" t="s">
        <v>19304</v>
      </c>
      <c r="F8513" s="490">
        <v>640200</v>
      </c>
      <c r="G8513" s="489">
        <v>2190.0100000000002</v>
      </c>
      <c r="H8513" s="489">
        <v>292.32742999999999</v>
      </c>
      <c r="I8513" s="487" t="s">
        <v>1499</v>
      </c>
      <c r="J8513" s="487" t="s">
        <v>1181</v>
      </c>
    </row>
    <row r="8514" spans="1:10" ht="15" x14ac:dyDescent="0.2">
      <c r="A8514" s="486" t="s">
        <v>1180</v>
      </c>
      <c r="B8514" s="487" t="s">
        <v>1179</v>
      </c>
      <c r="C8514" s="488" t="s">
        <v>26507</v>
      </c>
      <c r="D8514" s="489" t="s">
        <v>26508</v>
      </c>
      <c r="E8514" s="487" t="s">
        <v>26509</v>
      </c>
      <c r="F8514" s="490">
        <v>4007</v>
      </c>
      <c r="G8514" s="489">
        <v>78.89</v>
      </c>
      <c r="H8514" s="489">
        <v>50.79224</v>
      </c>
      <c r="I8514" s="487" t="s">
        <v>1499</v>
      </c>
      <c r="J8514" s="487" t="s">
        <v>1181</v>
      </c>
    </row>
    <row r="8515" spans="1:10" ht="15" x14ac:dyDescent="0.2">
      <c r="A8515" s="486" t="s">
        <v>1180</v>
      </c>
      <c r="B8515" s="487" t="s">
        <v>1179</v>
      </c>
      <c r="C8515" s="488" t="s">
        <v>26510</v>
      </c>
      <c r="D8515" s="489" t="s">
        <v>26511</v>
      </c>
      <c r="E8515" s="487" t="s">
        <v>26512</v>
      </c>
      <c r="F8515" s="490">
        <v>10495</v>
      </c>
      <c r="G8515" s="489">
        <v>165.12</v>
      </c>
      <c r="H8515" s="489">
        <v>63.559840000000001</v>
      </c>
      <c r="I8515" s="487" t="s">
        <v>1499</v>
      </c>
      <c r="J8515" s="487" t="s">
        <v>1181</v>
      </c>
    </row>
    <row r="8516" spans="1:10" ht="15" x14ac:dyDescent="0.2">
      <c r="A8516" s="486" t="s">
        <v>1180</v>
      </c>
      <c r="B8516" s="487" t="s">
        <v>1179</v>
      </c>
      <c r="C8516" s="488" t="s">
        <v>26513</v>
      </c>
      <c r="D8516" s="489" t="s">
        <v>26514</v>
      </c>
      <c r="E8516" s="487" t="s">
        <v>26515</v>
      </c>
      <c r="F8516" s="490">
        <v>345743</v>
      </c>
      <c r="G8516" s="489">
        <v>1555.81</v>
      </c>
      <c r="H8516" s="489">
        <v>222.22701000000001</v>
      </c>
      <c r="I8516" s="487" t="s">
        <v>1499</v>
      </c>
      <c r="J8516" s="487" t="s">
        <v>1181</v>
      </c>
    </row>
    <row r="8517" spans="1:10" ht="15" x14ac:dyDescent="0.2">
      <c r="A8517" s="486" t="s">
        <v>1180</v>
      </c>
      <c r="B8517" s="487" t="s">
        <v>1179</v>
      </c>
      <c r="C8517" s="488" t="s">
        <v>26516</v>
      </c>
      <c r="D8517" s="489" t="s">
        <v>26517</v>
      </c>
      <c r="E8517" s="487" t="s">
        <v>26518</v>
      </c>
      <c r="F8517" s="490">
        <v>25000</v>
      </c>
      <c r="G8517" s="489">
        <v>362.21</v>
      </c>
      <c r="H8517" s="489">
        <v>69.02073</v>
      </c>
      <c r="I8517" s="487" t="s">
        <v>1499</v>
      </c>
      <c r="J8517" s="487" t="s">
        <v>1181</v>
      </c>
    </row>
    <row r="8518" spans="1:10" ht="15" x14ac:dyDescent="0.2">
      <c r="A8518" s="486" t="s">
        <v>1180</v>
      </c>
      <c r="B8518" s="487" t="s">
        <v>1179</v>
      </c>
      <c r="C8518" s="488" t="s">
        <v>26519</v>
      </c>
      <c r="D8518" s="489" t="s">
        <v>26520</v>
      </c>
      <c r="E8518" s="487" t="s">
        <v>26521</v>
      </c>
      <c r="F8518" s="490">
        <v>16661</v>
      </c>
      <c r="G8518" s="489">
        <v>461.77</v>
      </c>
      <c r="H8518" s="489">
        <v>36.080730000000003</v>
      </c>
      <c r="I8518" s="487" t="s">
        <v>1499</v>
      </c>
      <c r="J8518" s="487" t="s">
        <v>1181</v>
      </c>
    </row>
    <row r="8519" spans="1:10" ht="15" x14ac:dyDescent="0.2">
      <c r="A8519" s="486" t="s">
        <v>1180</v>
      </c>
      <c r="B8519" s="487" t="s">
        <v>1179</v>
      </c>
      <c r="C8519" s="488" t="s">
        <v>26522</v>
      </c>
      <c r="D8519" s="489" t="s">
        <v>26523</v>
      </c>
      <c r="E8519" s="487" t="s">
        <v>26524</v>
      </c>
      <c r="F8519" s="490">
        <v>192493</v>
      </c>
      <c r="G8519" s="489">
        <v>2209.39</v>
      </c>
      <c r="H8519" s="489">
        <v>87.124949999999998</v>
      </c>
      <c r="I8519" s="487" t="s">
        <v>1499</v>
      </c>
      <c r="J8519" s="487" t="s">
        <v>1181</v>
      </c>
    </row>
    <row r="8520" spans="1:10" ht="15" x14ac:dyDescent="0.2">
      <c r="A8520" s="486" t="s">
        <v>1180</v>
      </c>
      <c r="B8520" s="487" t="s">
        <v>1179</v>
      </c>
      <c r="C8520" s="488" t="s">
        <v>26525</v>
      </c>
      <c r="D8520" s="489" t="s">
        <v>26526</v>
      </c>
      <c r="E8520" s="487" t="s">
        <v>26527</v>
      </c>
      <c r="F8520" s="490">
        <v>0</v>
      </c>
      <c r="G8520" s="489">
        <v>0</v>
      </c>
      <c r="H8520" s="489">
        <v>0</v>
      </c>
      <c r="I8520" s="487" t="s">
        <v>2465</v>
      </c>
      <c r="J8520" s="487" t="s">
        <v>1181</v>
      </c>
    </row>
    <row r="8521" spans="1:10" ht="15" x14ac:dyDescent="0.2">
      <c r="A8521" s="486" t="s">
        <v>1180</v>
      </c>
      <c r="B8521" s="487" t="s">
        <v>1179</v>
      </c>
      <c r="C8521" s="488" t="s">
        <v>26528</v>
      </c>
      <c r="D8521" s="489" t="s">
        <v>26529</v>
      </c>
      <c r="E8521" s="487" t="s">
        <v>26530</v>
      </c>
      <c r="F8521" s="490">
        <v>7500</v>
      </c>
      <c r="G8521" s="489">
        <v>172.76</v>
      </c>
      <c r="H8521" s="489">
        <v>43.41283</v>
      </c>
      <c r="I8521" s="487" t="s">
        <v>1499</v>
      </c>
      <c r="J8521" s="487" t="s">
        <v>1181</v>
      </c>
    </row>
    <row r="8522" spans="1:10" ht="15" x14ac:dyDescent="0.2">
      <c r="A8522" s="486" t="s">
        <v>1180</v>
      </c>
      <c r="B8522" s="487" t="s">
        <v>1179</v>
      </c>
      <c r="C8522" s="488" t="s">
        <v>26531</v>
      </c>
      <c r="D8522" s="489" t="s">
        <v>26532</v>
      </c>
      <c r="E8522" s="487" t="s">
        <v>26533</v>
      </c>
      <c r="F8522" s="490">
        <v>3332.92</v>
      </c>
      <c r="G8522" s="489">
        <v>159.47</v>
      </c>
      <c r="H8522" s="489">
        <v>20.899979999999999</v>
      </c>
      <c r="I8522" s="487" t="s">
        <v>1499</v>
      </c>
      <c r="J8522" s="487" t="s">
        <v>1181</v>
      </c>
    </row>
    <row r="8523" spans="1:10" ht="15" x14ac:dyDescent="0.2">
      <c r="A8523" s="486" t="s">
        <v>1180</v>
      </c>
      <c r="B8523" s="487" t="s">
        <v>1179</v>
      </c>
      <c r="C8523" s="488" t="s">
        <v>26534</v>
      </c>
      <c r="D8523" s="489" t="s">
        <v>26535</v>
      </c>
      <c r="E8523" s="487" t="s">
        <v>26536</v>
      </c>
      <c r="F8523" s="490">
        <v>2387</v>
      </c>
      <c r="G8523" s="489">
        <v>72.61</v>
      </c>
      <c r="H8523" s="489">
        <v>32.87426</v>
      </c>
      <c r="I8523" s="487" t="s">
        <v>1499</v>
      </c>
      <c r="J8523" s="487" t="s">
        <v>1181</v>
      </c>
    </row>
    <row r="8524" spans="1:10" ht="15" x14ac:dyDescent="0.2">
      <c r="A8524" s="486" t="s">
        <v>1180</v>
      </c>
      <c r="B8524" s="487" t="s">
        <v>1179</v>
      </c>
      <c r="C8524" s="488" t="s">
        <v>26537</v>
      </c>
      <c r="D8524" s="489" t="s">
        <v>26538</v>
      </c>
      <c r="E8524" s="487" t="s">
        <v>26539</v>
      </c>
      <c r="F8524" s="490">
        <v>3000</v>
      </c>
      <c r="G8524" s="489">
        <v>62.32</v>
      </c>
      <c r="H8524" s="489">
        <v>48.138640000000002</v>
      </c>
      <c r="I8524" s="487" t="s">
        <v>1499</v>
      </c>
      <c r="J8524" s="487" t="s">
        <v>1181</v>
      </c>
    </row>
    <row r="8525" spans="1:10" ht="15" x14ac:dyDescent="0.2">
      <c r="A8525" s="486" t="s">
        <v>1180</v>
      </c>
      <c r="B8525" s="487" t="s">
        <v>1179</v>
      </c>
      <c r="C8525" s="488" t="s">
        <v>26540</v>
      </c>
      <c r="D8525" s="489" t="s">
        <v>26541</v>
      </c>
      <c r="E8525" s="487" t="s">
        <v>26542</v>
      </c>
      <c r="F8525" s="490">
        <v>24000</v>
      </c>
      <c r="G8525" s="489">
        <v>337.88</v>
      </c>
      <c r="H8525" s="489">
        <v>71.031139999999994</v>
      </c>
      <c r="I8525" s="487" t="s">
        <v>1499</v>
      </c>
      <c r="J8525" s="487" t="s">
        <v>1181</v>
      </c>
    </row>
    <row r="8526" spans="1:10" ht="15" x14ac:dyDescent="0.2">
      <c r="A8526" s="486" t="s">
        <v>1180</v>
      </c>
      <c r="B8526" s="487" t="s">
        <v>1179</v>
      </c>
      <c r="C8526" s="488" t="s">
        <v>26543</v>
      </c>
      <c r="D8526" s="489" t="s">
        <v>26544</v>
      </c>
      <c r="E8526" s="487" t="s">
        <v>26545</v>
      </c>
      <c r="F8526" s="490">
        <v>41600</v>
      </c>
      <c r="G8526" s="489">
        <v>523.19000000000005</v>
      </c>
      <c r="H8526" s="489">
        <v>79.512219999999999</v>
      </c>
      <c r="I8526" s="487" t="s">
        <v>1499</v>
      </c>
      <c r="J8526" s="487" t="s">
        <v>1181</v>
      </c>
    </row>
    <row r="8527" spans="1:10" ht="15" x14ac:dyDescent="0.2">
      <c r="A8527" s="486" t="s">
        <v>1180</v>
      </c>
      <c r="B8527" s="487" t="s">
        <v>1179</v>
      </c>
      <c r="C8527" s="488" t="s">
        <v>26546</v>
      </c>
      <c r="D8527" s="489" t="s">
        <v>26547</v>
      </c>
      <c r="E8527" s="487" t="s">
        <v>26548</v>
      </c>
      <c r="F8527" s="490">
        <v>30013</v>
      </c>
      <c r="G8527" s="489">
        <v>385.37</v>
      </c>
      <c r="H8527" s="489">
        <v>77.881</v>
      </c>
      <c r="I8527" s="487" t="s">
        <v>1499</v>
      </c>
      <c r="J8527" s="487" t="s">
        <v>1181</v>
      </c>
    </row>
    <row r="8528" spans="1:10" ht="15" x14ac:dyDescent="0.2">
      <c r="A8528" s="486" t="s">
        <v>1180</v>
      </c>
      <c r="B8528" s="487" t="s">
        <v>1179</v>
      </c>
      <c r="C8528" s="488" t="s">
        <v>26549</v>
      </c>
      <c r="D8528" s="489" t="s">
        <v>26550</v>
      </c>
      <c r="E8528" s="487" t="s">
        <v>26551</v>
      </c>
      <c r="F8528" s="490">
        <v>22019</v>
      </c>
      <c r="G8528" s="489">
        <v>424.34</v>
      </c>
      <c r="H8528" s="489">
        <v>51.889989999999997</v>
      </c>
      <c r="I8528" s="487" t="s">
        <v>1499</v>
      </c>
      <c r="J8528" s="487" t="s">
        <v>1181</v>
      </c>
    </row>
    <row r="8529" spans="1:10" ht="15" x14ac:dyDescent="0.2">
      <c r="A8529" s="486" t="s">
        <v>1180</v>
      </c>
      <c r="B8529" s="487" t="s">
        <v>1179</v>
      </c>
      <c r="C8529" s="488" t="s">
        <v>26552</v>
      </c>
      <c r="D8529" s="489" t="s">
        <v>26553</v>
      </c>
      <c r="E8529" s="487" t="s">
        <v>26554</v>
      </c>
      <c r="F8529" s="490">
        <v>11000</v>
      </c>
      <c r="G8529" s="489">
        <v>218.31</v>
      </c>
      <c r="H8529" s="489">
        <v>50.387059999999998</v>
      </c>
      <c r="I8529" s="487" t="s">
        <v>1499</v>
      </c>
      <c r="J8529" s="487" t="s">
        <v>1181</v>
      </c>
    </row>
    <row r="8530" spans="1:10" ht="15" x14ac:dyDescent="0.2">
      <c r="A8530" s="486" t="s">
        <v>1180</v>
      </c>
      <c r="B8530" s="487" t="s">
        <v>1179</v>
      </c>
      <c r="C8530" s="488" t="s">
        <v>26555</v>
      </c>
      <c r="D8530" s="489" t="s">
        <v>26556</v>
      </c>
      <c r="E8530" s="487" t="s">
        <v>26557</v>
      </c>
      <c r="F8530" s="490">
        <v>97281</v>
      </c>
      <c r="G8530" s="489">
        <v>771.37</v>
      </c>
      <c r="H8530" s="489">
        <v>126.11458</v>
      </c>
      <c r="I8530" s="487" t="s">
        <v>1499</v>
      </c>
      <c r="J8530" s="487" t="s">
        <v>1181</v>
      </c>
    </row>
    <row r="8531" spans="1:10" ht="15" x14ac:dyDescent="0.2">
      <c r="A8531" s="486" t="s">
        <v>1180</v>
      </c>
      <c r="B8531" s="487" t="s">
        <v>1179</v>
      </c>
      <c r="C8531" s="488" t="s">
        <v>26558</v>
      </c>
      <c r="D8531" s="489" t="s">
        <v>26559</v>
      </c>
      <c r="E8531" s="487" t="s">
        <v>26560</v>
      </c>
      <c r="F8531" s="490">
        <v>11477</v>
      </c>
      <c r="G8531" s="489">
        <v>172.13</v>
      </c>
      <c r="H8531" s="489">
        <v>66.676349999999999</v>
      </c>
      <c r="I8531" s="487" t="s">
        <v>1499</v>
      </c>
      <c r="J8531" s="487" t="s">
        <v>1181</v>
      </c>
    </row>
    <row r="8532" spans="1:10" ht="15" x14ac:dyDescent="0.2">
      <c r="A8532" s="486" t="s">
        <v>1180</v>
      </c>
      <c r="B8532" s="487" t="s">
        <v>1179</v>
      </c>
      <c r="C8532" s="488" t="s">
        <v>26561</v>
      </c>
      <c r="D8532" s="489" t="s">
        <v>26562</v>
      </c>
      <c r="E8532" s="487" t="s">
        <v>26563</v>
      </c>
      <c r="F8532" s="490">
        <v>14000</v>
      </c>
      <c r="G8532" s="489">
        <v>237.77</v>
      </c>
      <c r="H8532" s="489">
        <v>58.880429999999997</v>
      </c>
      <c r="I8532" s="487" t="s">
        <v>1499</v>
      </c>
      <c r="J8532" s="487" t="s">
        <v>1181</v>
      </c>
    </row>
    <row r="8533" spans="1:10" ht="15" x14ac:dyDescent="0.2">
      <c r="A8533" s="486" t="s">
        <v>1180</v>
      </c>
      <c r="B8533" s="487" t="s">
        <v>1179</v>
      </c>
      <c r="C8533" s="488" t="s">
        <v>26564</v>
      </c>
      <c r="D8533" s="489" t="s">
        <v>26565</v>
      </c>
      <c r="E8533" s="487" t="s">
        <v>26566</v>
      </c>
      <c r="F8533" s="490">
        <v>18540</v>
      </c>
      <c r="G8533" s="489">
        <v>279.89999999999998</v>
      </c>
      <c r="H8533" s="489">
        <v>66.237939999999995</v>
      </c>
      <c r="I8533" s="487" t="s">
        <v>1499</v>
      </c>
      <c r="J8533" s="487" t="s">
        <v>1181</v>
      </c>
    </row>
    <row r="8534" spans="1:10" ht="15" x14ac:dyDescent="0.2">
      <c r="A8534" s="486" t="s">
        <v>1180</v>
      </c>
      <c r="B8534" s="487" t="s">
        <v>1179</v>
      </c>
      <c r="C8534" s="488" t="s">
        <v>26567</v>
      </c>
      <c r="D8534" s="489" t="s">
        <v>26568</v>
      </c>
      <c r="E8534" s="487" t="s">
        <v>26569</v>
      </c>
      <c r="F8534" s="490">
        <v>842117</v>
      </c>
      <c r="G8534" s="489">
        <v>3917.94</v>
      </c>
      <c r="H8534" s="489">
        <v>214.93871999999999</v>
      </c>
      <c r="I8534" s="487" t="s">
        <v>1499</v>
      </c>
      <c r="J8534" s="487" t="s">
        <v>1181</v>
      </c>
    </row>
    <row r="8535" spans="1:10" ht="15" x14ac:dyDescent="0.2">
      <c r="A8535" s="486" t="s">
        <v>1180</v>
      </c>
      <c r="B8535" s="487" t="s">
        <v>1179</v>
      </c>
      <c r="C8535" s="488" t="s">
        <v>26570</v>
      </c>
      <c r="D8535" s="489" t="s">
        <v>26571</v>
      </c>
      <c r="E8535" s="487" t="s">
        <v>26572</v>
      </c>
      <c r="F8535" s="490">
        <v>0</v>
      </c>
      <c r="G8535" s="489">
        <v>46.64</v>
      </c>
      <c r="H8535" s="489">
        <v>0</v>
      </c>
      <c r="I8535" s="487" t="s">
        <v>1593</v>
      </c>
      <c r="J8535" s="487" t="s">
        <v>1181</v>
      </c>
    </row>
    <row r="8536" spans="1:10" ht="15" x14ac:dyDescent="0.2">
      <c r="A8536" s="486" t="s">
        <v>1180</v>
      </c>
      <c r="B8536" s="487" t="s">
        <v>1179</v>
      </c>
      <c r="C8536" s="488" t="s">
        <v>26573</v>
      </c>
      <c r="D8536" s="489" t="s">
        <v>26574</v>
      </c>
      <c r="E8536" s="487" t="s">
        <v>26575</v>
      </c>
      <c r="F8536" s="490">
        <v>71390</v>
      </c>
      <c r="G8536" s="489">
        <v>1018.47</v>
      </c>
      <c r="H8536" s="489">
        <v>70.095339999999993</v>
      </c>
      <c r="I8536" s="487" t="s">
        <v>1499</v>
      </c>
      <c r="J8536" s="487" t="s">
        <v>1181</v>
      </c>
    </row>
    <row r="8537" spans="1:10" ht="15" x14ac:dyDescent="0.2">
      <c r="A8537" s="486" t="s">
        <v>1180</v>
      </c>
      <c r="B8537" s="487" t="s">
        <v>1179</v>
      </c>
      <c r="C8537" s="488" t="s">
        <v>26576</v>
      </c>
      <c r="D8537" s="489" t="s">
        <v>26577</v>
      </c>
      <c r="E8537" s="487" t="s">
        <v>26578</v>
      </c>
      <c r="F8537" s="490">
        <v>0</v>
      </c>
      <c r="G8537" s="489">
        <v>96.37</v>
      </c>
      <c r="H8537" s="489">
        <v>0</v>
      </c>
      <c r="I8537" s="487" t="s">
        <v>1593</v>
      </c>
      <c r="J8537" s="487" t="s">
        <v>1181</v>
      </c>
    </row>
    <row r="8538" spans="1:10" ht="15" x14ac:dyDescent="0.2">
      <c r="A8538" s="486" t="s">
        <v>1180</v>
      </c>
      <c r="B8538" s="487" t="s">
        <v>1179</v>
      </c>
      <c r="C8538" s="488" t="s">
        <v>26579</v>
      </c>
      <c r="D8538" s="489" t="s">
        <v>26580</v>
      </c>
      <c r="E8538" s="487" t="s">
        <v>26581</v>
      </c>
      <c r="F8538" s="490">
        <v>0</v>
      </c>
      <c r="G8538" s="489">
        <v>0</v>
      </c>
      <c r="H8538" s="489">
        <v>0</v>
      </c>
      <c r="I8538" s="487" t="s">
        <v>2465</v>
      </c>
      <c r="J8538" s="487" t="s">
        <v>1181</v>
      </c>
    </row>
    <row r="8539" spans="1:10" ht="15" x14ac:dyDescent="0.2">
      <c r="A8539" s="486" t="s">
        <v>1180</v>
      </c>
      <c r="B8539" s="487" t="s">
        <v>1179</v>
      </c>
      <c r="C8539" s="488" t="s">
        <v>26582</v>
      </c>
      <c r="D8539" s="489" t="s">
        <v>26583</v>
      </c>
      <c r="E8539" s="487" t="s">
        <v>26584</v>
      </c>
      <c r="F8539" s="490">
        <v>5500</v>
      </c>
      <c r="G8539" s="489">
        <v>76.040000000000006</v>
      </c>
      <c r="H8539" s="489">
        <v>72.330349999999996</v>
      </c>
      <c r="I8539" s="487" t="s">
        <v>1499</v>
      </c>
      <c r="J8539" s="487" t="s">
        <v>1181</v>
      </c>
    </row>
    <row r="8540" spans="1:10" ht="15" x14ac:dyDescent="0.2">
      <c r="A8540" s="486" t="s">
        <v>1180</v>
      </c>
      <c r="B8540" s="487" t="s">
        <v>1179</v>
      </c>
      <c r="C8540" s="488" t="s">
        <v>26585</v>
      </c>
      <c r="D8540" s="489" t="s">
        <v>26586</v>
      </c>
      <c r="E8540" s="487" t="s">
        <v>26587</v>
      </c>
      <c r="F8540" s="490">
        <v>10512.4</v>
      </c>
      <c r="G8540" s="489">
        <v>166.24</v>
      </c>
      <c r="H8540" s="489">
        <v>63.236280000000001</v>
      </c>
      <c r="I8540" s="487" t="s">
        <v>1499</v>
      </c>
      <c r="J8540" s="487" t="s">
        <v>1181</v>
      </c>
    </row>
    <row r="8541" spans="1:10" ht="15" x14ac:dyDescent="0.2">
      <c r="A8541" s="486" t="s">
        <v>1180</v>
      </c>
      <c r="B8541" s="487" t="s">
        <v>1179</v>
      </c>
      <c r="C8541" s="488" t="s">
        <v>26588</v>
      </c>
      <c r="D8541" s="489" t="s">
        <v>26589</v>
      </c>
      <c r="E8541" s="487" t="s">
        <v>26590</v>
      </c>
      <c r="F8541" s="490">
        <v>49250</v>
      </c>
      <c r="G8541" s="489">
        <v>356.44</v>
      </c>
      <c r="H8541" s="489">
        <v>138.17192</v>
      </c>
      <c r="I8541" s="487" t="s">
        <v>1499</v>
      </c>
      <c r="J8541" s="487" t="s">
        <v>1181</v>
      </c>
    </row>
    <row r="8542" spans="1:10" ht="15" x14ac:dyDescent="0.2">
      <c r="A8542" s="486" t="s">
        <v>1180</v>
      </c>
      <c r="B8542" s="487" t="s">
        <v>1179</v>
      </c>
      <c r="C8542" s="488" t="s">
        <v>26591</v>
      </c>
      <c r="D8542" s="489" t="s">
        <v>26592</v>
      </c>
      <c r="E8542" s="487" t="s">
        <v>26593</v>
      </c>
      <c r="F8542" s="490">
        <v>0</v>
      </c>
      <c r="G8542" s="489">
        <v>0</v>
      </c>
      <c r="H8542" s="489">
        <v>0</v>
      </c>
      <c r="I8542" s="487" t="s">
        <v>2465</v>
      </c>
      <c r="J8542" s="487" t="s">
        <v>1181</v>
      </c>
    </row>
    <row r="8543" spans="1:10" ht="15" x14ac:dyDescent="0.2">
      <c r="A8543" s="486" t="s">
        <v>1180</v>
      </c>
      <c r="B8543" s="487" t="s">
        <v>1179</v>
      </c>
      <c r="C8543" s="488" t="s">
        <v>26594</v>
      </c>
      <c r="D8543" s="489" t="s">
        <v>26595</v>
      </c>
      <c r="E8543" s="487" t="s">
        <v>26596</v>
      </c>
      <c r="F8543" s="490">
        <v>0</v>
      </c>
      <c r="G8543" s="489">
        <v>29.61</v>
      </c>
      <c r="H8543" s="489">
        <v>0</v>
      </c>
      <c r="I8543" s="487" t="s">
        <v>1593</v>
      </c>
      <c r="J8543" s="487" t="s">
        <v>1181</v>
      </c>
    </row>
    <row r="8544" spans="1:10" ht="15" x14ac:dyDescent="0.2">
      <c r="A8544" s="486" t="s">
        <v>1180</v>
      </c>
      <c r="B8544" s="487" t="s">
        <v>1179</v>
      </c>
      <c r="C8544" s="488" t="s">
        <v>26597</v>
      </c>
      <c r="D8544" s="489" t="s">
        <v>26598</v>
      </c>
      <c r="E8544" s="487" t="s">
        <v>26599</v>
      </c>
      <c r="F8544" s="490">
        <v>8395</v>
      </c>
      <c r="G8544" s="489">
        <v>191.73</v>
      </c>
      <c r="H8544" s="489">
        <v>43.785530000000001</v>
      </c>
      <c r="I8544" s="487" t="s">
        <v>1499</v>
      </c>
      <c r="J8544" s="487" t="s">
        <v>1181</v>
      </c>
    </row>
    <row r="8545" spans="1:10" ht="15" x14ac:dyDescent="0.2">
      <c r="A8545" s="486" t="s">
        <v>1180</v>
      </c>
      <c r="B8545" s="487" t="s">
        <v>1179</v>
      </c>
      <c r="C8545" s="488" t="s">
        <v>26600</v>
      </c>
      <c r="D8545" s="489" t="s">
        <v>26601</v>
      </c>
      <c r="E8545" s="487" t="s">
        <v>26602</v>
      </c>
      <c r="F8545" s="490">
        <v>45000</v>
      </c>
      <c r="G8545" s="489">
        <v>1073.53</v>
      </c>
      <c r="H8545" s="489">
        <v>41.917789999999997</v>
      </c>
      <c r="I8545" s="487" t="s">
        <v>1499</v>
      </c>
      <c r="J8545" s="487" t="s">
        <v>1181</v>
      </c>
    </row>
    <row r="8546" spans="1:10" ht="15" x14ac:dyDescent="0.2">
      <c r="A8546" s="486" t="s">
        <v>1180</v>
      </c>
      <c r="B8546" s="487" t="s">
        <v>1179</v>
      </c>
      <c r="C8546" s="488" t="s">
        <v>26603</v>
      </c>
      <c r="D8546" s="489" t="s">
        <v>26604</v>
      </c>
      <c r="E8546" s="487" t="s">
        <v>3334</v>
      </c>
      <c r="F8546" s="490">
        <v>1035</v>
      </c>
      <c r="G8546" s="489">
        <v>82.01</v>
      </c>
      <c r="H8546" s="489">
        <v>12.62041</v>
      </c>
      <c r="I8546" s="487" t="s">
        <v>1499</v>
      </c>
      <c r="J8546" s="487" t="s">
        <v>1181</v>
      </c>
    </row>
    <row r="8547" spans="1:10" ht="15" x14ac:dyDescent="0.2">
      <c r="A8547" s="486" t="s">
        <v>1180</v>
      </c>
      <c r="B8547" s="487" t="s">
        <v>1179</v>
      </c>
      <c r="C8547" s="488" t="s">
        <v>26605</v>
      </c>
      <c r="D8547" s="489" t="s">
        <v>26606</v>
      </c>
      <c r="E8547" s="487" t="s">
        <v>26607</v>
      </c>
      <c r="F8547" s="490">
        <v>0</v>
      </c>
      <c r="G8547" s="489">
        <v>69.400000000000006</v>
      </c>
      <c r="H8547" s="489">
        <v>0</v>
      </c>
      <c r="I8547" s="487" t="s">
        <v>1593</v>
      </c>
      <c r="J8547" s="487" t="s">
        <v>1181</v>
      </c>
    </row>
    <row r="8548" spans="1:10" ht="15" x14ac:dyDescent="0.2">
      <c r="A8548" s="486" t="s">
        <v>1180</v>
      </c>
      <c r="B8548" s="487" t="s">
        <v>1179</v>
      </c>
      <c r="C8548" s="488" t="s">
        <v>26608</v>
      </c>
      <c r="D8548" s="489" t="s">
        <v>26609</v>
      </c>
      <c r="E8548" s="487" t="s">
        <v>2726</v>
      </c>
      <c r="F8548" s="490">
        <v>46020.7</v>
      </c>
      <c r="G8548" s="489">
        <v>466.34</v>
      </c>
      <c r="H8548" s="489">
        <v>98.684870000000004</v>
      </c>
      <c r="I8548" s="487" t="s">
        <v>1499</v>
      </c>
      <c r="J8548" s="487" t="s">
        <v>1181</v>
      </c>
    </row>
    <row r="8549" spans="1:10" ht="15" x14ac:dyDescent="0.2">
      <c r="A8549" s="486" t="s">
        <v>1180</v>
      </c>
      <c r="B8549" s="487" t="s">
        <v>1179</v>
      </c>
      <c r="C8549" s="488" t="s">
        <v>26610</v>
      </c>
      <c r="D8549" s="489" t="s">
        <v>26611</v>
      </c>
      <c r="E8549" s="487" t="s">
        <v>26612</v>
      </c>
      <c r="F8549" s="490">
        <v>0</v>
      </c>
      <c r="G8549" s="489">
        <v>95.5</v>
      </c>
      <c r="H8549" s="489">
        <v>0</v>
      </c>
      <c r="I8549" s="487" t="s">
        <v>1593</v>
      </c>
      <c r="J8549" s="487" t="s">
        <v>1181</v>
      </c>
    </row>
    <row r="8550" spans="1:10" ht="15" x14ac:dyDescent="0.2">
      <c r="A8550" s="486" t="s">
        <v>1180</v>
      </c>
      <c r="B8550" s="487" t="s">
        <v>1179</v>
      </c>
      <c r="C8550" s="488" t="s">
        <v>26613</v>
      </c>
      <c r="D8550" s="489" t="s">
        <v>26614</v>
      </c>
      <c r="E8550" s="487" t="s">
        <v>26615</v>
      </c>
      <c r="F8550" s="490">
        <v>9470</v>
      </c>
      <c r="G8550" s="489">
        <v>197.22</v>
      </c>
      <c r="H8550" s="489">
        <v>48.017440000000001</v>
      </c>
      <c r="I8550" s="487" t="s">
        <v>1499</v>
      </c>
      <c r="J8550" s="487" t="s">
        <v>1181</v>
      </c>
    </row>
    <row r="8551" spans="1:10" ht="15" x14ac:dyDescent="0.2">
      <c r="A8551" s="486" t="s">
        <v>1180</v>
      </c>
      <c r="B8551" s="487" t="s">
        <v>1179</v>
      </c>
      <c r="C8551" s="488" t="s">
        <v>26616</v>
      </c>
      <c r="D8551" s="489" t="s">
        <v>26617</v>
      </c>
      <c r="E8551" s="487" t="s">
        <v>26618</v>
      </c>
      <c r="F8551" s="490">
        <v>293720</v>
      </c>
      <c r="G8551" s="489">
        <v>1340.41</v>
      </c>
      <c r="H8551" s="489">
        <v>219.12698</v>
      </c>
      <c r="I8551" s="487" t="s">
        <v>1499</v>
      </c>
      <c r="J8551" s="487" t="s">
        <v>1181</v>
      </c>
    </row>
    <row r="8552" spans="1:10" ht="15" x14ac:dyDescent="0.2">
      <c r="A8552" s="486" t="s">
        <v>1180</v>
      </c>
      <c r="B8552" s="487" t="s">
        <v>1179</v>
      </c>
      <c r="C8552" s="488" t="s">
        <v>26619</v>
      </c>
      <c r="D8552" s="489" t="s">
        <v>26620</v>
      </c>
      <c r="E8552" s="487" t="s">
        <v>26621</v>
      </c>
      <c r="F8552" s="490">
        <v>4000</v>
      </c>
      <c r="G8552" s="489">
        <v>52.74</v>
      </c>
      <c r="H8552" s="489">
        <v>75.843760000000003</v>
      </c>
      <c r="I8552" s="487" t="s">
        <v>1499</v>
      </c>
      <c r="J8552" s="487" t="s">
        <v>1181</v>
      </c>
    </row>
    <row r="8553" spans="1:10" ht="15" x14ac:dyDescent="0.2">
      <c r="A8553" s="486" t="s">
        <v>1180</v>
      </c>
      <c r="B8553" s="487" t="s">
        <v>1179</v>
      </c>
      <c r="C8553" s="488" t="s">
        <v>26622</v>
      </c>
      <c r="D8553" s="489" t="s">
        <v>26623</v>
      </c>
      <c r="E8553" s="487" t="s">
        <v>26624</v>
      </c>
      <c r="F8553" s="490">
        <v>14000</v>
      </c>
      <c r="G8553" s="489">
        <v>301.77</v>
      </c>
      <c r="H8553" s="489">
        <v>46.392949999999999</v>
      </c>
      <c r="I8553" s="487" t="s">
        <v>1499</v>
      </c>
      <c r="J8553" s="487" t="s">
        <v>1181</v>
      </c>
    </row>
    <row r="8554" spans="1:10" ht="15" x14ac:dyDescent="0.2">
      <c r="A8554" s="486" t="s">
        <v>1180</v>
      </c>
      <c r="B8554" s="487" t="s">
        <v>1179</v>
      </c>
      <c r="C8554" s="488" t="s">
        <v>26625</v>
      </c>
      <c r="D8554" s="489" t="s">
        <v>26626</v>
      </c>
      <c r="E8554" s="487" t="s">
        <v>26627</v>
      </c>
      <c r="F8554" s="490">
        <v>122500</v>
      </c>
      <c r="G8554" s="489">
        <v>1652.69</v>
      </c>
      <c r="H8554" s="489">
        <v>74.121579999999994</v>
      </c>
      <c r="I8554" s="487" t="s">
        <v>1499</v>
      </c>
      <c r="J8554" s="487" t="s">
        <v>1181</v>
      </c>
    </row>
    <row r="8555" spans="1:10" ht="15" x14ac:dyDescent="0.2">
      <c r="A8555" s="486" t="s">
        <v>1180</v>
      </c>
      <c r="B8555" s="487" t="s">
        <v>1179</v>
      </c>
      <c r="C8555" s="488" t="s">
        <v>26628</v>
      </c>
      <c r="D8555" s="489" t="s">
        <v>26629</v>
      </c>
      <c r="E8555" s="487" t="s">
        <v>13005</v>
      </c>
      <c r="F8555" s="490">
        <v>1234120</v>
      </c>
      <c r="G8555" s="489">
        <v>5824.73</v>
      </c>
      <c r="H8555" s="489">
        <v>211.87592000000001</v>
      </c>
      <c r="I8555" s="487" t="s">
        <v>1499</v>
      </c>
      <c r="J8555" s="487" t="s">
        <v>1181</v>
      </c>
    </row>
    <row r="8556" spans="1:10" ht="15" x14ac:dyDescent="0.2">
      <c r="A8556" s="486" t="s">
        <v>1180</v>
      </c>
      <c r="B8556" s="487" t="s">
        <v>1179</v>
      </c>
      <c r="C8556" s="488" t="s">
        <v>26630</v>
      </c>
      <c r="D8556" s="489" t="s">
        <v>26631</v>
      </c>
      <c r="E8556" s="487" t="s">
        <v>26632</v>
      </c>
      <c r="F8556" s="490">
        <v>8500</v>
      </c>
      <c r="G8556" s="489">
        <v>317.86</v>
      </c>
      <c r="H8556" s="489">
        <v>26.741330000000001</v>
      </c>
      <c r="I8556" s="487" t="s">
        <v>1499</v>
      </c>
      <c r="J8556" s="487" t="s">
        <v>1181</v>
      </c>
    </row>
    <row r="8557" spans="1:10" ht="15" x14ac:dyDescent="0.2">
      <c r="A8557" s="486" t="s">
        <v>1180</v>
      </c>
      <c r="B8557" s="487" t="s">
        <v>1179</v>
      </c>
      <c r="C8557" s="488" t="s">
        <v>26633</v>
      </c>
      <c r="D8557" s="489" t="s">
        <v>26634</v>
      </c>
      <c r="E8557" s="487" t="s">
        <v>26635</v>
      </c>
      <c r="F8557" s="490">
        <v>1603433</v>
      </c>
      <c r="G8557" s="489">
        <v>4407.6899999999996</v>
      </c>
      <c r="H8557" s="489">
        <v>363.7808</v>
      </c>
      <c r="I8557" s="487" t="s">
        <v>1499</v>
      </c>
      <c r="J8557" s="487" t="s">
        <v>1181</v>
      </c>
    </row>
    <row r="8558" spans="1:10" ht="15" x14ac:dyDescent="0.2">
      <c r="A8558" s="486" t="s">
        <v>1180</v>
      </c>
      <c r="B8558" s="487" t="s">
        <v>1179</v>
      </c>
      <c r="C8558" s="488" t="s">
        <v>26636</v>
      </c>
      <c r="D8558" s="489" t="s">
        <v>26637</v>
      </c>
      <c r="E8558" s="487" t="s">
        <v>26638</v>
      </c>
      <c r="F8558" s="490">
        <v>110992</v>
      </c>
      <c r="G8558" s="489">
        <v>1346.61</v>
      </c>
      <c r="H8558" s="489">
        <v>82.423270000000002</v>
      </c>
      <c r="I8558" s="487" t="s">
        <v>1499</v>
      </c>
      <c r="J8558" s="487" t="s">
        <v>1181</v>
      </c>
    </row>
    <row r="8559" spans="1:10" ht="15" x14ac:dyDescent="0.2">
      <c r="A8559" s="486" t="s">
        <v>1180</v>
      </c>
      <c r="B8559" s="487" t="s">
        <v>1179</v>
      </c>
      <c r="C8559" s="488" t="s">
        <v>26639</v>
      </c>
      <c r="D8559" s="489" t="s">
        <v>26640</v>
      </c>
      <c r="E8559" s="487" t="s">
        <v>26641</v>
      </c>
      <c r="F8559" s="490">
        <v>20475</v>
      </c>
      <c r="G8559" s="489">
        <v>252.99</v>
      </c>
      <c r="H8559" s="489">
        <v>80.932050000000004</v>
      </c>
      <c r="I8559" s="487" t="s">
        <v>1499</v>
      </c>
      <c r="J8559" s="487" t="s">
        <v>1181</v>
      </c>
    </row>
    <row r="8560" spans="1:10" ht="15" x14ac:dyDescent="0.2">
      <c r="A8560" s="486" t="s">
        <v>1180</v>
      </c>
      <c r="B8560" s="487" t="s">
        <v>1179</v>
      </c>
      <c r="C8560" s="488" t="s">
        <v>26642</v>
      </c>
      <c r="D8560" s="489" t="s">
        <v>26643</v>
      </c>
      <c r="E8560" s="487" t="s">
        <v>26644</v>
      </c>
      <c r="F8560" s="490">
        <v>9000</v>
      </c>
      <c r="G8560" s="489">
        <v>182.33</v>
      </c>
      <c r="H8560" s="489">
        <v>49.361049999999999</v>
      </c>
      <c r="I8560" s="487" t="s">
        <v>1499</v>
      </c>
      <c r="J8560" s="487" t="s">
        <v>1181</v>
      </c>
    </row>
    <row r="8561" spans="1:10" ht="15" x14ac:dyDescent="0.2">
      <c r="A8561" s="486" t="s">
        <v>1180</v>
      </c>
      <c r="B8561" s="487" t="s">
        <v>1179</v>
      </c>
      <c r="C8561" s="488" t="s">
        <v>26645</v>
      </c>
      <c r="D8561" s="489" t="s">
        <v>26646</v>
      </c>
      <c r="E8561" s="487" t="s">
        <v>26647</v>
      </c>
      <c r="F8561" s="490">
        <v>0</v>
      </c>
      <c r="G8561" s="489">
        <v>139.66</v>
      </c>
      <c r="H8561" s="489">
        <v>0</v>
      </c>
      <c r="I8561" s="487" t="s">
        <v>1593</v>
      </c>
      <c r="J8561" s="487" t="s">
        <v>1181</v>
      </c>
    </row>
    <row r="8562" spans="1:10" ht="15" x14ac:dyDescent="0.2">
      <c r="A8562" s="486" t="s">
        <v>1180</v>
      </c>
      <c r="B8562" s="487" t="s">
        <v>1179</v>
      </c>
      <c r="C8562" s="488" t="s">
        <v>26648</v>
      </c>
      <c r="D8562" s="489" t="s">
        <v>26649</v>
      </c>
      <c r="E8562" s="487" t="s">
        <v>26650</v>
      </c>
      <c r="F8562" s="490">
        <v>13324</v>
      </c>
      <c r="G8562" s="489">
        <v>451.97</v>
      </c>
      <c r="H8562" s="489">
        <v>29.47983</v>
      </c>
      <c r="I8562" s="487" t="s">
        <v>1499</v>
      </c>
      <c r="J8562" s="487" t="s">
        <v>1181</v>
      </c>
    </row>
    <row r="8563" spans="1:10" ht="15" x14ac:dyDescent="0.2">
      <c r="A8563" s="486" t="s">
        <v>1180</v>
      </c>
      <c r="B8563" s="487" t="s">
        <v>1179</v>
      </c>
      <c r="C8563" s="488" t="s">
        <v>26651</v>
      </c>
      <c r="D8563" s="489" t="s">
        <v>26652</v>
      </c>
      <c r="E8563" s="487" t="s">
        <v>26653</v>
      </c>
      <c r="F8563" s="490">
        <v>22400</v>
      </c>
      <c r="G8563" s="489">
        <v>191.42</v>
      </c>
      <c r="H8563" s="489">
        <v>117.02016999999999</v>
      </c>
      <c r="I8563" s="487" t="s">
        <v>1499</v>
      </c>
      <c r="J8563" s="487" t="s">
        <v>1181</v>
      </c>
    </row>
    <row r="8564" spans="1:10" ht="15" x14ac:dyDescent="0.2">
      <c r="A8564" s="486" t="s">
        <v>1180</v>
      </c>
      <c r="B8564" s="487" t="s">
        <v>1179</v>
      </c>
      <c r="C8564" s="488" t="s">
        <v>26654</v>
      </c>
      <c r="D8564" s="489" t="s">
        <v>26655</v>
      </c>
      <c r="E8564" s="487" t="s">
        <v>26656</v>
      </c>
      <c r="F8564" s="490">
        <v>69690</v>
      </c>
      <c r="G8564" s="489">
        <v>903.66</v>
      </c>
      <c r="H8564" s="489">
        <v>77.119709999999998</v>
      </c>
      <c r="I8564" s="487" t="s">
        <v>1499</v>
      </c>
      <c r="J8564" s="487" t="s">
        <v>1181</v>
      </c>
    </row>
    <row r="8565" spans="1:10" ht="15" x14ac:dyDescent="0.2">
      <c r="A8565" s="486" t="s">
        <v>1180</v>
      </c>
      <c r="B8565" s="487" t="s">
        <v>1179</v>
      </c>
      <c r="C8565" s="488" t="s">
        <v>26657</v>
      </c>
      <c r="D8565" s="489" t="s">
        <v>26658</v>
      </c>
      <c r="E8565" s="487" t="s">
        <v>26659</v>
      </c>
      <c r="F8565" s="490">
        <v>7662</v>
      </c>
      <c r="G8565" s="489">
        <v>234.75</v>
      </c>
      <c r="H8565" s="489">
        <v>32.638979999999997</v>
      </c>
      <c r="I8565" s="487" t="s">
        <v>1499</v>
      </c>
      <c r="J8565" s="487" t="s">
        <v>1181</v>
      </c>
    </row>
    <row r="8566" spans="1:10" ht="15" x14ac:dyDescent="0.2">
      <c r="A8566" s="486" t="s">
        <v>1180</v>
      </c>
      <c r="B8566" s="487" t="s">
        <v>1179</v>
      </c>
      <c r="C8566" s="488" t="s">
        <v>26660</v>
      </c>
      <c r="D8566" s="489" t="s">
        <v>26661</v>
      </c>
      <c r="E8566" s="487" t="s">
        <v>26662</v>
      </c>
      <c r="F8566" s="490">
        <v>4900</v>
      </c>
      <c r="G8566" s="489">
        <v>137.75</v>
      </c>
      <c r="H8566" s="489">
        <v>35.571689999999997</v>
      </c>
      <c r="I8566" s="487" t="s">
        <v>1499</v>
      </c>
      <c r="J8566" s="487" t="s">
        <v>1181</v>
      </c>
    </row>
    <row r="8567" spans="1:10" ht="15" x14ac:dyDescent="0.2">
      <c r="A8567" s="486" t="s">
        <v>1180</v>
      </c>
      <c r="B8567" s="487" t="s">
        <v>1179</v>
      </c>
      <c r="C8567" s="488" t="s">
        <v>26663</v>
      </c>
      <c r="D8567" s="489" t="s">
        <v>26664</v>
      </c>
      <c r="E8567" s="487" t="s">
        <v>26665</v>
      </c>
      <c r="F8567" s="490">
        <v>33000</v>
      </c>
      <c r="G8567" s="489">
        <v>559.19000000000005</v>
      </c>
      <c r="H8567" s="489">
        <v>59.013930000000002</v>
      </c>
      <c r="I8567" s="487" t="s">
        <v>1499</v>
      </c>
      <c r="J8567" s="487" t="s">
        <v>1181</v>
      </c>
    </row>
    <row r="8568" spans="1:10" ht="15" x14ac:dyDescent="0.2">
      <c r="A8568" s="486" t="s">
        <v>1180</v>
      </c>
      <c r="B8568" s="487" t="s">
        <v>1179</v>
      </c>
      <c r="C8568" s="488" t="s">
        <v>26666</v>
      </c>
      <c r="D8568" s="489" t="s">
        <v>26667</v>
      </c>
      <c r="E8568" s="487" t="s">
        <v>26668</v>
      </c>
      <c r="F8568" s="490">
        <v>212760</v>
      </c>
      <c r="G8568" s="489">
        <v>2232.04</v>
      </c>
      <c r="H8568" s="489">
        <v>95.320869999999999</v>
      </c>
      <c r="I8568" s="487" t="s">
        <v>1499</v>
      </c>
      <c r="J8568" s="487" t="s">
        <v>1181</v>
      </c>
    </row>
    <row r="8569" spans="1:10" ht="15" x14ac:dyDescent="0.2">
      <c r="A8569" s="486" t="s">
        <v>1180</v>
      </c>
      <c r="B8569" s="487" t="s">
        <v>1179</v>
      </c>
      <c r="C8569" s="488" t="s">
        <v>26669</v>
      </c>
      <c r="D8569" s="489" t="s">
        <v>26670</v>
      </c>
      <c r="E8569" s="487" t="s">
        <v>26671</v>
      </c>
      <c r="F8569" s="490">
        <v>9000</v>
      </c>
      <c r="G8569" s="489">
        <v>317.77999999999997</v>
      </c>
      <c r="H8569" s="489">
        <v>28.321480000000001</v>
      </c>
      <c r="I8569" s="487" t="s">
        <v>1499</v>
      </c>
      <c r="J8569" s="487" t="s">
        <v>1181</v>
      </c>
    </row>
    <row r="8570" spans="1:10" ht="15" x14ac:dyDescent="0.2">
      <c r="A8570" s="486" t="s">
        <v>1180</v>
      </c>
      <c r="B8570" s="487" t="s">
        <v>1179</v>
      </c>
      <c r="C8570" s="488" t="s">
        <v>26672</v>
      </c>
      <c r="D8570" s="489" t="s">
        <v>26673</v>
      </c>
      <c r="E8570" s="487" t="s">
        <v>26674</v>
      </c>
      <c r="F8570" s="490">
        <v>4850</v>
      </c>
      <c r="G8570" s="489">
        <v>179.13</v>
      </c>
      <c r="H8570" s="489">
        <v>27.075310000000002</v>
      </c>
      <c r="I8570" s="487" t="s">
        <v>1499</v>
      </c>
      <c r="J8570" s="487" t="s">
        <v>1181</v>
      </c>
    </row>
    <row r="8571" spans="1:10" ht="15" x14ac:dyDescent="0.2">
      <c r="A8571" s="486" t="s">
        <v>1180</v>
      </c>
      <c r="B8571" s="487" t="s">
        <v>1179</v>
      </c>
      <c r="C8571" s="488" t="s">
        <v>26675</v>
      </c>
      <c r="D8571" s="489" t="s">
        <v>26676</v>
      </c>
      <c r="E8571" s="487" t="s">
        <v>26677</v>
      </c>
      <c r="F8571" s="490">
        <v>32765</v>
      </c>
      <c r="G8571" s="489">
        <v>384.36</v>
      </c>
      <c r="H8571" s="489">
        <v>85.245599999999996</v>
      </c>
      <c r="I8571" s="487" t="s">
        <v>1499</v>
      </c>
      <c r="J8571" s="487" t="s">
        <v>1181</v>
      </c>
    </row>
    <row r="8572" spans="1:10" ht="15" x14ac:dyDescent="0.2">
      <c r="A8572" s="486" t="s">
        <v>1180</v>
      </c>
      <c r="B8572" s="487" t="s">
        <v>1179</v>
      </c>
      <c r="C8572" s="488" t="s">
        <v>26678</v>
      </c>
      <c r="D8572" s="489" t="s">
        <v>26679</v>
      </c>
      <c r="E8572" s="487" t="s">
        <v>26680</v>
      </c>
      <c r="F8572" s="490">
        <v>28935.599999999999</v>
      </c>
      <c r="G8572" s="489">
        <v>689.29</v>
      </c>
      <c r="H8572" s="489">
        <v>41.978850000000001</v>
      </c>
      <c r="I8572" s="487" t="s">
        <v>1499</v>
      </c>
      <c r="J8572" s="487" t="s">
        <v>1181</v>
      </c>
    </row>
    <row r="8573" spans="1:10" ht="15" x14ac:dyDescent="0.2">
      <c r="A8573" s="486" t="s">
        <v>1180</v>
      </c>
      <c r="B8573" s="487" t="s">
        <v>1179</v>
      </c>
      <c r="C8573" s="488" t="s">
        <v>26681</v>
      </c>
      <c r="D8573" s="489" t="s">
        <v>26682</v>
      </c>
      <c r="E8573" s="487" t="s">
        <v>26683</v>
      </c>
      <c r="F8573" s="490">
        <v>8500</v>
      </c>
      <c r="G8573" s="489">
        <v>131.25</v>
      </c>
      <c r="H8573" s="489">
        <v>64.761899999999997</v>
      </c>
      <c r="I8573" s="487" t="s">
        <v>1499</v>
      </c>
      <c r="J8573" s="487" t="s">
        <v>1181</v>
      </c>
    </row>
    <row r="8574" spans="1:10" ht="15" x14ac:dyDescent="0.2">
      <c r="A8574" s="486" t="s">
        <v>1180</v>
      </c>
      <c r="B8574" s="487" t="s">
        <v>1179</v>
      </c>
      <c r="C8574" s="488" t="s">
        <v>26684</v>
      </c>
      <c r="D8574" s="489" t="s">
        <v>26685</v>
      </c>
      <c r="E8574" s="487" t="s">
        <v>26686</v>
      </c>
      <c r="F8574" s="490">
        <v>5000</v>
      </c>
      <c r="G8574" s="489">
        <v>78.14</v>
      </c>
      <c r="H8574" s="489">
        <v>63.98771</v>
      </c>
      <c r="I8574" s="487" t="s">
        <v>1499</v>
      </c>
      <c r="J8574" s="487" t="s">
        <v>1181</v>
      </c>
    </row>
    <row r="8575" spans="1:10" ht="15" x14ac:dyDescent="0.2">
      <c r="A8575" s="486" t="s">
        <v>1180</v>
      </c>
      <c r="B8575" s="487" t="s">
        <v>1179</v>
      </c>
      <c r="C8575" s="488" t="s">
        <v>26687</v>
      </c>
      <c r="D8575" s="489" t="s">
        <v>26688</v>
      </c>
      <c r="E8575" s="487" t="s">
        <v>26689</v>
      </c>
      <c r="F8575" s="490">
        <v>0</v>
      </c>
      <c r="G8575" s="489">
        <v>115.22</v>
      </c>
      <c r="H8575" s="489">
        <v>0</v>
      </c>
      <c r="I8575" s="487" t="s">
        <v>1593</v>
      </c>
      <c r="J8575" s="487" t="s">
        <v>1181</v>
      </c>
    </row>
    <row r="8576" spans="1:10" ht="15" x14ac:dyDescent="0.2">
      <c r="A8576" s="486" t="s">
        <v>1180</v>
      </c>
      <c r="B8576" s="487" t="s">
        <v>1179</v>
      </c>
      <c r="C8576" s="488" t="s">
        <v>26690</v>
      </c>
      <c r="D8576" s="489" t="s">
        <v>26691</v>
      </c>
      <c r="E8576" s="487" t="s">
        <v>26692</v>
      </c>
      <c r="F8576" s="490">
        <v>195000</v>
      </c>
      <c r="G8576" s="489">
        <v>1013.02</v>
      </c>
      <c r="H8576" s="489">
        <v>192.49373</v>
      </c>
      <c r="I8576" s="487" t="s">
        <v>1499</v>
      </c>
      <c r="J8576" s="487" t="s">
        <v>1181</v>
      </c>
    </row>
    <row r="8577" spans="1:10" ht="15" x14ac:dyDescent="0.2">
      <c r="A8577" s="486" t="s">
        <v>1180</v>
      </c>
      <c r="B8577" s="487" t="s">
        <v>1179</v>
      </c>
      <c r="C8577" s="488" t="s">
        <v>26693</v>
      </c>
      <c r="D8577" s="489" t="s">
        <v>26694</v>
      </c>
      <c r="E8577" s="487" t="s">
        <v>26695</v>
      </c>
      <c r="F8577" s="490">
        <v>458896</v>
      </c>
      <c r="G8577" s="489">
        <v>2283.98</v>
      </c>
      <c r="H8577" s="489">
        <v>200.91945000000001</v>
      </c>
      <c r="I8577" s="487" t="s">
        <v>1499</v>
      </c>
      <c r="J8577" s="487" t="s">
        <v>1181</v>
      </c>
    </row>
    <row r="8578" spans="1:10" ht="15" x14ac:dyDescent="0.2">
      <c r="A8578" s="486" t="s">
        <v>1180</v>
      </c>
      <c r="B8578" s="487" t="s">
        <v>1179</v>
      </c>
      <c r="C8578" s="488" t="s">
        <v>26696</v>
      </c>
      <c r="D8578" s="489" t="s">
        <v>26697</v>
      </c>
      <c r="E8578" s="487" t="s">
        <v>4675</v>
      </c>
      <c r="F8578" s="490">
        <v>10120</v>
      </c>
      <c r="G8578" s="489">
        <v>169.56</v>
      </c>
      <c r="H8578" s="489">
        <v>59.683889999999998</v>
      </c>
      <c r="I8578" s="487" t="s">
        <v>1499</v>
      </c>
      <c r="J8578" s="487" t="s">
        <v>1181</v>
      </c>
    </row>
    <row r="8579" spans="1:10" ht="15" x14ac:dyDescent="0.2">
      <c r="A8579" s="486" t="s">
        <v>1180</v>
      </c>
      <c r="B8579" s="487" t="s">
        <v>1179</v>
      </c>
      <c r="C8579" s="488" t="s">
        <v>26698</v>
      </c>
      <c r="D8579" s="489" t="s">
        <v>26699</v>
      </c>
      <c r="E8579" s="487" t="s">
        <v>26700</v>
      </c>
      <c r="F8579" s="490">
        <v>29515</v>
      </c>
      <c r="G8579" s="489">
        <v>309.89999999999998</v>
      </c>
      <c r="H8579" s="489">
        <v>95.240399999999994</v>
      </c>
      <c r="I8579" s="487" t="s">
        <v>1499</v>
      </c>
      <c r="J8579" s="487" t="s">
        <v>1181</v>
      </c>
    </row>
    <row r="8580" spans="1:10" ht="15" x14ac:dyDescent="0.2">
      <c r="A8580" s="486" t="s">
        <v>1180</v>
      </c>
      <c r="B8580" s="487" t="s">
        <v>1179</v>
      </c>
      <c r="C8580" s="488" t="s">
        <v>26701</v>
      </c>
      <c r="D8580" s="489" t="s">
        <v>26702</v>
      </c>
      <c r="E8580" s="487" t="s">
        <v>26703</v>
      </c>
      <c r="F8580" s="490">
        <v>14000</v>
      </c>
      <c r="G8580" s="489">
        <v>167.85</v>
      </c>
      <c r="H8580" s="489">
        <v>83.407799999999995</v>
      </c>
      <c r="I8580" s="487" t="s">
        <v>1499</v>
      </c>
      <c r="J8580" s="487" t="s">
        <v>1181</v>
      </c>
    </row>
    <row r="8581" spans="1:10" ht="15" x14ac:dyDescent="0.2">
      <c r="A8581" s="486" t="s">
        <v>1180</v>
      </c>
      <c r="B8581" s="487" t="s">
        <v>1179</v>
      </c>
      <c r="C8581" s="488" t="s">
        <v>26704</v>
      </c>
      <c r="D8581" s="489" t="s">
        <v>26705</v>
      </c>
      <c r="E8581" s="487" t="s">
        <v>26706</v>
      </c>
      <c r="F8581" s="490">
        <v>8682</v>
      </c>
      <c r="G8581" s="489">
        <v>127.01</v>
      </c>
      <c r="H8581" s="489">
        <v>68.356819999999999</v>
      </c>
      <c r="I8581" s="487" t="s">
        <v>1499</v>
      </c>
      <c r="J8581" s="487" t="s">
        <v>1181</v>
      </c>
    </row>
    <row r="8582" spans="1:10" ht="15" x14ac:dyDescent="0.2">
      <c r="A8582" s="486" t="s">
        <v>1180</v>
      </c>
      <c r="B8582" s="487" t="s">
        <v>1179</v>
      </c>
      <c r="C8582" s="488" t="s">
        <v>26707</v>
      </c>
      <c r="D8582" s="489" t="s">
        <v>26708</v>
      </c>
      <c r="E8582" s="487" t="s">
        <v>26709</v>
      </c>
      <c r="F8582" s="490">
        <v>7000</v>
      </c>
      <c r="G8582" s="489">
        <v>119.12</v>
      </c>
      <c r="H8582" s="489">
        <v>58.764270000000003</v>
      </c>
      <c r="I8582" s="487" t="s">
        <v>1499</v>
      </c>
      <c r="J8582" s="487" t="s">
        <v>1181</v>
      </c>
    </row>
    <row r="8583" spans="1:10" ht="15" x14ac:dyDescent="0.2">
      <c r="A8583" s="486" t="s">
        <v>1180</v>
      </c>
      <c r="B8583" s="487" t="s">
        <v>1179</v>
      </c>
      <c r="C8583" s="488" t="s">
        <v>26710</v>
      </c>
      <c r="D8583" s="489" t="s">
        <v>26711</v>
      </c>
      <c r="E8583" s="487" t="s">
        <v>26712</v>
      </c>
      <c r="F8583" s="490">
        <v>82000</v>
      </c>
      <c r="G8583" s="489">
        <v>1264.0899999999999</v>
      </c>
      <c r="H8583" s="489">
        <v>64.868799999999993</v>
      </c>
      <c r="I8583" s="487" t="s">
        <v>1499</v>
      </c>
      <c r="J8583" s="487" t="s">
        <v>1181</v>
      </c>
    </row>
    <row r="8584" spans="1:10" ht="15" x14ac:dyDescent="0.2">
      <c r="A8584" s="486" t="s">
        <v>1180</v>
      </c>
      <c r="B8584" s="487" t="s">
        <v>1179</v>
      </c>
      <c r="C8584" s="488" t="s">
        <v>26713</v>
      </c>
      <c r="D8584" s="489" t="s">
        <v>26714</v>
      </c>
      <c r="E8584" s="487" t="s">
        <v>26715</v>
      </c>
      <c r="F8584" s="490">
        <v>51914.73</v>
      </c>
      <c r="G8584" s="489">
        <v>491.36</v>
      </c>
      <c r="H8584" s="489">
        <v>105.65518</v>
      </c>
      <c r="I8584" s="487" t="s">
        <v>1499</v>
      </c>
      <c r="J8584" s="487" t="s">
        <v>1181</v>
      </c>
    </row>
    <row r="8585" spans="1:10" ht="15" x14ac:dyDescent="0.2">
      <c r="A8585" s="486" t="s">
        <v>1180</v>
      </c>
      <c r="B8585" s="487" t="s">
        <v>1179</v>
      </c>
      <c r="C8585" s="488" t="s">
        <v>26716</v>
      </c>
      <c r="D8585" s="489" t="s">
        <v>26717</v>
      </c>
      <c r="E8585" s="487" t="s">
        <v>26718</v>
      </c>
      <c r="F8585" s="490">
        <v>57000</v>
      </c>
      <c r="G8585" s="489">
        <v>787.06</v>
      </c>
      <c r="H8585" s="489">
        <v>72.421419999999998</v>
      </c>
      <c r="I8585" s="487" t="s">
        <v>1499</v>
      </c>
      <c r="J8585" s="487" t="s">
        <v>1181</v>
      </c>
    </row>
    <row r="8586" spans="1:10" ht="15" x14ac:dyDescent="0.2">
      <c r="A8586" s="486" t="s">
        <v>1180</v>
      </c>
      <c r="B8586" s="487" t="s">
        <v>1179</v>
      </c>
      <c r="C8586" s="488" t="s">
        <v>26719</v>
      </c>
      <c r="D8586" s="489" t="s">
        <v>26720</v>
      </c>
      <c r="E8586" s="487" t="s">
        <v>26721</v>
      </c>
      <c r="F8586" s="490">
        <v>6100</v>
      </c>
      <c r="G8586" s="489">
        <v>166.32</v>
      </c>
      <c r="H8586" s="489">
        <v>36.676290000000002</v>
      </c>
      <c r="I8586" s="487" t="s">
        <v>1499</v>
      </c>
      <c r="J8586" s="487" t="s">
        <v>1181</v>
      </c>
    </row>
    <row r="8587" spans="1:10" ht="15" x14ac:dyDescent="0.2">
      <c r="A8587" s="486" t="s">
        <v>1180</v>
      </c>
      <c r="B8587" s="487" t="s">
        <v>1179</v>
      </c>
      <c r="C8587" s="488" t="s">
        <v>26722</v>
      </c>
      <c r="D8587" s="489" t="s">
        <v>26723</v>
      </c>
      <c r="E8587" s="487" t="s">
        <v>26724</v>
      </c>
      <c r="F8587" s="490">
        <v>3088</v>
      </c>
      <c r="G8587" s="489">
        <v>60.71</v>
      </c>
      <c r="H8587" s="489">
        <v>50.86477</v>
      </c>
      <c r="I8587" s="487" t="s">
        <v>1499</v>
      </c>
      <c r="J8587" s="487" t="s">
        <v>1181</v>
      </c>
    </row>
    <row r="8588" spans="1:10" ht="15" x14ac:dyDescent="0.2">
      <c r="A8588" s="486" t="s">
        <v>1180</v>
      </c>
      <c r="B8588" s="487" t="s">
        <v>1179</v>
      </c>
      <c r="C8588" s="488" t="s">
        <v>26725</v>
      </c>
      <c r="D8588" s="489" t="s">
        <v>26726</v>
      </c>
      <c r="E8588" s="487" t="s">
        <v>26727</v>
      </c>
      <c r="F8588" s="490">
        <v>3296939</v>
      </c>
      <c r="G8588" s="489">
        <v>9492.17</v>
      </c>
      <c r="H8588" s="489">
        <v>347.33249000000001</v>
      </c>
      <c r="I8588" s="487" t="s">
        <v>1499</v>
      </c>
      <c r="J8588" s="487" t="s">
        <v>1181</v>
      </c>
    </row>
    <row r="8589" spans="1:10" ht="15" x14ac:dyDescent="0.2">
      <c r="A8589" s="486" t="s">
        <v>1180</v>
      </c>
      <c r="B8589" s="487" t="s">
        <v>1179</v>
      </c>
      <c r="C8589" s="488" t="s">
        <v>26728</v>
      </c>
      <c r="D8589" s="489" t="s">
        <v>26729</v>
      </c>
      <c r="E8589" s="487" t="s">
        <v>26730</v>
      </c>
      <c r="F8589" s="490">
        <v>134632</v>
      </c>
      <c r="G8589" s="489">
        <v>3234.27</v>
      </c>
      <c r="H8589" s="489">
        <v>41.6267</v>
      </c>
      <c r="I8589" s="487" t="s">
        <v>1499</v>
      </c>
      <c r="J8589" s="487" t="s">
        <v>1181</v>
      </c>
    </row>
    <row r="8590" spans="1:10" ht="15" x14ac:dyDescent="0.2">
      <c r="A8590" s="486" t="s">
        <v>1180</v>
      </c>
      <c r="B8590" s="487" t="s">
        <v>1179</v>
      </c>
      <c r="C8590" s="488" t="s">
        <v>26731</v>
      </c>
      <c r="D8590" s="489" t="s">
        <v>26732</v>
      </c>
      <c r="E8590" s="487" t="s">
        <v>26733</v>
      </c>
      <c r="F8590" s="490">
        <v>6571886</v>
      </c>
      <c r="G8590" s="489">
        <v>20186.95</v>
      </c>
      <c r="H8590" s="489">
        <v>325.55121000000003</v>
      </c>
      <c r="I8590" s="487" t="s">
        <v>1499</v>
      </c>
      <c r="J8590" s="487" t="s">
        <v>1181</v>
      </c>
    </row>
    <row r="8591" spans="1:10" ht="15" x14ac:dyDescent="0.2">
      <c r="A8591" s="486" t="s">
        <v>1180</v>
      </c>
      <c r="B8591" s="487" t="s">
        <v>1179</v>
      </c>
      <c r="C8591" s="488" t="s">
        <v>26734</v>
      </c>
      <c r="D8591" s="489" t="s">
        <v>26735</v>
      </c>
      <c r="E8591" s="487" t="s">
        <v>26736</v>
      </c>
      <c r="F8591" s="490">
        <v>8463.67</v>
      </c>
      <c r="G8591" s="489">
        <v>272.74</v>
      </c>
      <c r="H8591" s="489">
        <v>31.03201</v>
      </c>
      <c r="I8591" s="487" t="s">
        <v>1499</v>
      </c>
      <c r="J8591" s="487" t="s">
        <v>1181</v>
      </c>
    </row>
    <row r="8592" spans="1:10" ht="15" x14ac:dyDescent="0.2">
      <c r="A8592" s="486" t="s">
        <v>595</v>
      </c>
      <c r="B8592" s="487" t="s">
        <v>594</v>
      </c>
      <c r="C8592" s="488" t="s">
        <v>26737</v>
      </c>
      <c r="D8592" s="489" t="s">
        <v>26738</v>
      </c>
      <c r="E8592" s="487" t="s">
        <v>26739</v>
      </c>
      <c r="F8592" s="490">
        <v>66400</v>
      </c>
      <c r="G8592" s="489">
        <v>1959.9</v>
      </c>
      <c r="H8592" s="489">
        <v>33.879280000000001</v>
      </c>
      <c r="I8592" s="487" t="s">
        <v>1499</v>
      </c>
      <c r="J8592" s="487" t="s">
        <v>596</v>
      </c>
    </row>
    <row r="8593" spans="1:10" ht="15" x14ac:dyDescent="0.2">
      <c r="A8593" s="486" t="s">
        <v>595</v>
      </c>
      <c r="B8593" s="487" t="s">
        <v>594</v>
      </c>
      <c r="C8593" s="488" t="s">
        <v>26740</v>
      </c>
      <c r="D8593" s="489" t="s">
        <v>26741</v>
      </c>
      <c r="E8593" s="487" t="s">
        <v>26742</v>
      </c>
      <c r="F8593" s="490">
        <v>8579.9</v>
      </c>
      <c r="G8593" s="489">
        <v>626.9</v>
      </c>
      <c r="H8593" s="489">
        <v>13.68623</v>
      </c>
      <c r="I8593" s="487" t="s">
        <v>1499</v>
      </c>
      <c r="J8593" s="487" t="s">
        <v>596</v>
      </c>
    </row>
    <row r="8594" spans="1:10" ht="15" x14ac:dyDescent="0.2">
      <c r="A8594" s="486" t="s">
        <v>595</v>
      </c>
      <c r="B8594" s="487" t="s">
        <v>594</v>
      </c>
      <c r="C8594" s="488" t="s">
        <v>26743</v>
      </c>
      <c r="D8594" s="489" t="s">
        <v>26744</v>
      </c>
      <c r="E8594" s="487" t="s">
        <v>26745</v>
      </c>
      <c r="F8594" s="490">
        <v>4272</v>
      </c>
      <c r="G8594" s="489">
        <v>242</v>
      </c>
      <c r="H8594" s="489">
        <v>17.652889999999999</v>
      </c>
      <c r="I8594" s="487" t="s">
        <v>1499</v>
      </c>
      <c r="J8594" s="487" t="s">
        <v>596</v>
      </c>
    </row>
    <row r="8595" spans="1:10" ht="15" x14ac:dyDescent="0.2">
      <c r="A8595" s="486" t="s">
        <v>595</v>
      </c>
      <c r="B8595" s="487" t="s">
        <v>594</v>
      </c>
      <c r="C8595" s="488" t="s">
        <v>26746</v>
      </c>
      <c r="D8595" s="489" t="s">
        <v>26747</v>
      </c>
      <c r="E8595" s="487" t="s">
        <v>26748</v>
      </c>
      <c r="F8595" s="490">
        <v>13144</v>
      </c>
      <c r="G8595" s="489">
        <v>397.3</v>
      </c>
      <c r="H8595" s="489">
        <v>33.083309999999997</v>
      </c>
      <c r="I8595" s="487" t="s">
        <v>1499</v>
      </c>
      <c r="J8595" s="487" t="s">
        <v>596</v>
      </c>
    </row>
    <row r="8596" spans="1:10" ht="15" x14ac:dyDescent="0.2">
      <c r="A8596" s="486" t="s">
        <v>595</v>
      </c>
      <c r="B8596" s="487" t="s">
        <v>594</v>
      </c>
      <c r="C8596" s="488" t="s">
        <v>26749</v>
      </c>
      <c r="D8596" s="489" t="s">
        <v>26750</v>
      </c>
      <c r="E8596" s="487" t="s">
        <v>26751</v>
      </c>
      <c r="F8596" s="490">
        <v>120772</v>
      </c>
      <c r="G8596" s="489">
        <v>3989.8</v>
      </c>
      <c r="H8596" s="489">
        <v>30.270189999999999</v>
      </c>
      <c r="I8596" s="487" t="s">
        <v>1499</v>
      </c>
      <c r="J8596" s="487" t="s">
        <v>596</v>
      </c>
    </row>
    <row r="8597" spans="1:10" ht="15" x14ac:dyDescent="0.2">
      <c r="A8597" s="486" t="s">
        <v>595</v>
      </c>
      <c r="B8597" s="487" t="s">
        <v>594</v>
      </c>
      <c r="C8597" s="488" t="s">
        <v>26752</v>
      </c>
      <c r="D8597" s="489" t="s">
        <v>26753</v>
      </c>
      <c r="E8597" s="487" t="s">
        <v>26754</v>
      </c>
      <c r="F8597" s="490">
        <v>227808</v>
      </c>
      <c r="G8597" s="489">
        <v>5957.7</v>
      </c>
      <c r="H8597" s="489">
        <v>38.237569999999998</v>
      </c>
      <c r="I8597" s="487" t="s">
        <v>1499</v>
      </c>
      <c r="J8597" s="487" t="s">
        <v>596</v>
      </c>
    </row>
    <row r="8598" spans="1:10" ht="15" x14ac:dyDescent="0.2">
      <c r="A8598" s="486" t="s">
        <v>595</v>
      </c>
      <c r="B8598" s="487" t="s">
        <v>594</v>
      </c>
      <c r="C8598" s="488" t="s">
        <v>26755</v>
      </c>
      <c r="D8598" s="489" t="s">
        <v>26756</v>
      </c>
      <c r="E8598" s="487" t="s">
        <v>26757</v>
      </c>
      <c r="F8598" s="490">
        <v>120366</v>
      </c>
      <c r="G8598" s="489">
        <v>2665.4</v>
      </c>
      <c r="H8598" s="489">
        <v>45.158700000000003</v>
      </c>
      <c r="I8598" s="487" t="s">
        <v>1499</v>
      </c>
      <c r="J8598" s="487" t="s">
        <v>596</v>
      </c>
    </row>
    <row r="8599" spans="1:10" ht="15" x14ac:dyDescent="0.2">
      <c r="A8599" s="486" t="s">
        <v>595</v>
      </c>
      <c r="B8599" s="487" t="s">
        <v>594</v>
      </c>
      <c r="C8599" s="488" t="s">
        <v>26758</v>
      </c>
      <c r="D8599" s="489" t="s">
        <v>26759</v>
      </c>
      <c r="E8599" s="487" t="s">
        <v>26760</v>
      </c>
      <c r="F8599" s="490">
        <v>337034</v>
      </c>
      <c r="G8599" s="489">
        <v>5274.5</v>
      </c>
      <c r="H8599" s="489">
        <v>63.898760000000003</v>
      </c>
      <c r="I8599" s="487" t="s">
        <v>1499</v>
      </c>
      <c r="J8599" s="487" t="s">
        <v>596</v>
      </c>
    </row>
    <row r="8600" spans="1:10" ht="15" x14ac:dyDescent="0.2">
      <c r="A8600" s="486" t="s">
        <v>750</v>
      </c>
      <c r="B8600" s="487" t="s">
        <v>749</v>
      </c>
      <c r="C8600" s="488" t="s">
        <v>26761</v>
      </c>
      <c r="D8600" s="489" t="s">
        <v>26762</v>
      </c>
      <c r="E8600" s="487" t="s">
        <v>26763</v>
      </c>
      <c r="F8600" s="490">
        <v>36544</v>
      </c>
      <c r="G8600" s="489">
        <v>850.3</v>
      </c>
      <c r="H8600" s="489">
        <v>42.97777</v>
      </c>
      <c r="I8600" s="487" t="s">
        <v>1499</v>
      </c>
      <c r="J8600" s="487" t="s">
        <v>751</v>
      </c>
    </row>
    <row r="8601" spans="1:10" ht="15" x14ac:dyDescent="0.2">
      <c r="A8601" s="486" t="s">
        <v>750</v>
      </c>
      <c r="B8601" s="487" t="s">
        <v>749</v>
      </c>
      <c r="C8601" s="488" t="s">
        <v>26764</v>
      </c>
      <c r="D8601" s="489" t="s">
        <v>26765</v>
      </c>
      <c r="E8601" s="487" t="s">
        <v>26766</v>
      </c>
      <c r="F8601" s="490">
        <v>33600</v>
      </c>
      <c r="G8601" s="489">
        <v>1671.5</v>
      </c>
      <c r="H8601" s="489">
        <v>20.101710000000001</v>
      </c>
      <c r="I8601" s="487" t="s">
        <v>1499</v>
      </c>
      <c r="J8601" s="487" t="s">
        <v>751</v>
      </c>
    </row>
    <row r="8602" spans="1:10" ht="15" x14ac:dyDescent="0.2">
      <c r="A8602" s="486" t="s">
        <v>750</v>
      </c>
      <c r="B8602" s="487" t="s">
        <v>749</v>
      </c>
      <c r="C8602" s="488" t="s">
        <v>26767</v>
      </c>
      <c r="D8602" s="489" t="s">
        <v>26768</v>
      </c>
      <c r="E8602" s="487" t="s">
        <v>26769</v>
      </c>
      <c r="F8602" s="490">
        <v>11835</v>
      </c>
      <c r="G8602" s="489">
        <v>364.1</v>
      </c>
      <c r="H8602" s="489">
        <v>32.504809999999999</v>
      </c>
      <c r="I8602" s="487" t="s">
        <v>1499</v>
      </c>
      <c r="J8602" s="487" t="s">
        <v>751</v>
      </c>
    </row>
    <row r="8603" spans="1:10" ht="15" x14ac:dyDescent="0.2">
      <c r="A8603" s="486" t="s">
        <v>750</v>
      </c>
      <c r="B8603" s="487" t="s">
        <v>749</v>
      </c>
      <c r="C8603" s="488" t="s">
        <v>26770</v>
      </c>
      <c r="D8603" s="489" t="s">
        <v>26771</v>
      </c>
      <c r="E8603" s="487" t="s">
        <v>26772</v>
      </c>
      <c r="F8603" s="490">
        <v>82292.55</v>
      </c>
      <c r="G8603" s="489">
        <v>1999.6</v>
      </c>
      <c r="H8603" s="489">
        <v>41.154510000000002</v>
      </c>
      <c r="I8603" s="487" t="s">
        <v>1499</v>
      </c>
      <c r="J8603" s="487" t="s">
        <v>751</v>
      </c>
    </row>
    <row r="8604" spans="1:10" ht="15" x14ac:dyDescent="0.2">
      <c r="A8604" s="486" t="s">
        <v>750</v>
      </c>
      <c r="B8604" s="487" t="s">
        <v>749</v>
      </c>
      <c r="C8604" s="488" t="s">
        <v>26773</v>
      </c>
      <c r="D8604" s="489" t="s">
        <v>26774</v>
      </c>
      <c r="E8604" s="487" t="s">
        <v>26775</v>
      </c>
      <c r="F8604" s="490">
        <v>6276</v>
      </c>
      <c r="G8604" s="489">
        <v>141.80000000000001</v>
      </c>
      <c r="H8604" s="489">
        <v>44.259520000000002</v>
      </c>
      <c r="I8604" s="487" t="s">
        <v>1499</v>
      </c>
      <c r="J8604" s="487" t="s">
        <v>751</v>
      </c>
    </row>
    <row r="8605" spans="1:10" ht="15" x14ac:dyDescent="0.2">
      <c r="A8605" s="486" t="s">
        <v>750</v>
      </c>
      <c r="B8605" s="487" t="s">
        <v>749</v>
      </c>
      <c r="C8605" s="488" t="s">
        <v>26776</v>
      </c>
      <c r="D8605" s="489" t="s">
        <v>26777</v>
      </c>
      <c r="E8605" s="487" t="s">
        <v>26778</v>
      </c>
      <c r="F8605" s="490">
        <v>118976.42</v>
      </c>
      <c r="G8605" s="489">
        <v>3725.1</v>
      </c>
      <c r="H8605" s="489">
        <v>31.939119999999999</v>
      </c>
      <c r="I8605" s="487" t="s">
        <v>1499</v>
      </c>
      <c r="J8605" s="487" t="s">
        <v>751</v>
      </c>
    </row>
    <row r="8606" spans="1:10" ht="15" x14ac:dyDescent="0.2">
      <c r="A8606" s="486" t="s">
        <v>750</v>
      </c>
      <c r="B8606" s="487" t="s">
        <v>749</v>
      </c>
      <c r="C8606" s="488" t="s">
        <v>26779</v>
      </c>
      <c r="D8606" s="489" t="s">
        <v>26780</v>
      </c>
      <c r="E8606" s="487" t="s">
        <v>26781</v>
      </c>
      <c r="F8606" s="490">
        <v>25000</v>
      </c>
      <c r="G8606" s="489">
        <v>1932.3</v>
      </c>
      <c r="H8606" s="489">
        <v>12.937950000000001</v>
      </c>
      <c r="I8606" s="487" t="s">
        <v>1499</v>
      </c>
      <c r="J8606" s="487" t="s">
        <v>751</v>
      </c>
    </row>
    <row r="8607" spans="1:10" ht="15" x14ac:dyDescent="0.2">
      <c r="A8607" s="486" t="s">
        <v>750</v>
      </c>
      <c r="B8607" s="487" t="s">
        <v>749</v>
      </c>
      <c r="C8607" s="488" t="s">
        <v>26782</v>
      </c>
      <c r="D8607" s="489" t="s">
        <v>26783</v>
      </c>
      <c r="E8607" s="487" t="s">
        <v>9102</v>
      </c>
      <c r="F8607" s="490">
        <v>20000</v>
      </c>
      <c r="G8607" s="489">
        <v>1402.1</v>
      </c>
      <c r="H8607" s="489">
        <v>14.26432</v>
      </c>
      <c r="I8607" s="487" t="s">
        <v>1499</v>
      </c>
      <c r="J8607" s="487" t="s">
        <v>751</v>
      </c>
    </row>
    <row r="8608" spans="1:10" ht="15" x14ac:dyDescent="0.2">
      <c r="A8608" s="486" t="s">
        <v>750</v>
      </c>
      <c r="B8608" s="487" t="s">
        <v>749</v>
      </c>
      <c r="C8608" s="488" t="s">
        <v>26784</v>
      </c>
      <c r="D8608" s="489" t="s">
        <v>26785</v>
      </c>
      <c r="E8608" s="487" t="s">
        <v>26786</v>
      </c>
      <c r="F8608" s="490">
        <v>8500</v>
      </c>
      <c r="G8608" s="489">
        <v>129.9</v>
      </c>
      <c r="H8608" s="489">
        <v>65.434950000000001</v>
      </c>
      <c r="I8608" s="487" t="s">
        <v>1499</v>
      </c>
      <c r="J8608" s="487" t="s">
        <v>751</v>
      </c>
    </row>
    <row r="8609" spans="1:10" ht="15" x14ac:dyDescent="0.2">
      <c r="A8609" s="486" t="s">
        <v>750</v>
      </c>
      <c r="B8609" s="487" t="s">
        <v>749</v>
      </c>
      <c r="C8609" s="488" t="s">
        <v>26787</v>
      </c>
      <c r="D8609" s="489" t="s">
        <v>26788</v>
      </c>
      <c r="E8609" s="487" t="s">
        <v>26789</v>
      </c>
      <c r="F8609" s="490">
        <v>20000</v>
      </c>
      <c r="G8609" s="489">
        <v>436.5</v>
      </c>
      <c r="H8609" s="489">
        <v>45.819009999999999</v>
      </c>
      <c r="I8609" s="487" t="s">
        <v>1499</v>
      </c>
      <c r="J8609" s="487" t="s">
        <v>751</v>
      </c>
    </row>
    <row r="8610" spans="1:10" ht="15" x14ac:dyDescent="0.2">
      <c r="A8610" s="486" t="s">
        <v>750</v>
      </c>
      <c r="B8610" s="487" t="s">
        <v>749</v>
      </c>
      <c r="C8610" s="488" t="s">
        <v>26790</v>
      </c>
      <c r="D8610" s="489" t="s">
        <v>26791</v>
      </c>
      <c r="E8610" s="487" t="s">
        <v>26792</v>
      </c>
      <c r="F8610" s="490">
        <v>25000</v>
      </c>
      <c r="G8610" s="489">
        <v>357.8</v>
      </c>
      <c r="H8610" s="489">
        <v>69.871440000000007</v>
      </c>
      <c r="I8610" s="487" t="s">
        <v>1499</v>
      </c>
      <c r="J8610" s="487" t="s">
        <v>751</v>
      </c>
    </row>
    <row r="8611" spans="1:10" ht="15" x14ac:dyDescent="0.2">
      <c r="A8611" s="486" t="s">
        <v>750</v>
      </c>
      <c r="B8611" s="487" t="s">
        <v>749</v>
      </c>
      <c r="C8611" s="488" t="s">
        <v>26793</v>
      </c>
      <c r="D8611" s="489" t="s">
        <v>26794</v>
      </c>
      <c r="E8611" s="487" t="s">
        <v>26795</v>
      </c>
      <c r="F8611" s="490">
        <v>5000</v>
      </c>
      <c r="G8611" s="489">
        <v>90.2</v>
      </c>
      <c r="H8611" s="489">
        <v>55.432369999999999</v>
      </c>
      <c r="I8611" s="487" t="s">
        <v>1499</v>
      </c>
      <c r="J8611" s="487" t="s">
        <v>751</v>
      </c>
    </row>
    <row r="8612" spans="1:10" ht="15" x14ac:dyDescent="0.2">
      <c r="A8612" s="486" t="s">
        <v>750</v>
      </c>
      <c r="B8612" s="487" t="s">
        <v>749</v>
      </c>
      <c r="C8612" s="488" t="s">
        <v>26796</v>
      </c>
      <c r="D8612" s="489" t="s">
        <v>26797</v>
      </c>
      <c r="E8612" s="487" t="s">
        <v>26798</v>
      </c>
      <c r="F8612" s="490">
        <v>9750</v>
      </c>
      <c r="G8612" s="489">
        <v>161.80000000000001</v>
      </c>
      <c r="H8612" s="489">
        <v>60.25958</v>
      </c>
      <c r="I8612" s="487" t="s">
        <v>1499</v>
      </c>
      <c r="J8612" s="487" t="s">
        <v>751</v>
      </c>
    </row>
    <row r="8613" spans="1:10" ht="15" x14ac:dyDescent="0.2">
      <c r="A8613" s="486" t="s">
        <v>750</v>
      </c>
      <c r="B8613" s="487" t="s">
        <v>749</v>
      </c>
      <c r="C8613" s="488" t="s">
        <v>26799</v>
      </c>
      <c r="D8613" s="489" t="s">
        <v>26800</v>
      </c>
      <c r="E8613" s="487" t="s">
        <v>13270</v>
      </c>
      <c r="F8613" s="490">
        <v>11100</v>
      </c>
      <c r="G8613" s="489">
        <v>235.7</v>
      </c>
      <c r="H8613" s="489">
        <v>47.093760000000003</v>
      </c>
      <c r="I8613" s="487" t="s">
        <v>1499</v>
      </c>
      <c r="J8613" s="487" t="s">
        <v>751</v>
      </c>
    </row>
    <row r="8614" spans="1:10" ht="15" x14ac:dyDescent="0.2">
      <c r="A8614" s="486" t="s">
        <v>750</v>
      </c>
      <c r="B8614" s="487" t="s">
        <v>749</v>
      </c>
      <c r="C8614" s="488" t="s">
        <v>26801</v>
      </c>
      <c r="D8614" s="489" t="s">
        <v>26802</v>
      </c>
      <c r="E8614" s="487" t="s">
        <v>26803</v>
      </c>
      <c r="F8614" s="490">
        <v>6850</v>
      </c>
      <c r="G8614" s="489">
        <v>106.6</v>
      </c>
      <c r="H8614" s="489">
        <v>64.25891</v>
      </c>
      <c r="I8614" s="487" t="s">
        <v>1499</v>
      </c>
      <c r="J8614" s="487" t="s">
        <v>751</v>
      </c>
    </row>
    <row r="8615" spans="1:10" ht="15" x14ac:dyDescent="0.2">
      <c r="A8615" s="486" t="s">
        <v>750</v>
      </c>
      <c r="B8615" s="487" t="s">
        <v>749</v>
      </c>
      <c r="C8615" s="488" t="s">
        <v>26804</v>
      </c>
      <c r="D8615" s="489" t="s">
        <v>26805</v>
      </c>
      <c r="E8615" s="487" t="s">
        <v>26806</v>
      </c>
      <c r="F8615" s="490">
        <v>41485</v>
      </c>
      <c r="G8615" s="489">
        <v>3778.2</v>
      </c>
      <c r="H8615" s="489">
        <v>10.9801</v>
      </c>
      <c r="I8615" s="487" t="s">
        <v>1499</v>
      </c>
      <c r="J8615" s="487" t="s">
        <v>751</v>
      </c>
    </row>
    <row r="8616" spans="1:10" ht="15" x14ac:dyDescent="0.2">
      <c r="A8616" s="486" t="s">
        <v>750</v>
      </c>
      <c r="B8616" s="487" t="s">
        <v>749</v>
      </c>
      <c r="C8616" s="488" t="s">
        <v>26807</v>
      </c>
      <c r="D8616" s="489" t="s">
        <v>26808</v>
      </c>
      <c r="E8616" s="487" t="s">
        <v>26248</v>
      </c>
      <c r="F8616" s="490">
        <v>16000</v>
      </c>
      <c r="G8616" s="489">
        <v>257.8</v>
      </c>
      <c r="H8616" s="489">
        <v>62.06362</v>
      </c>
      <c r="I8616" s="487" t="s">
        <v>1499</v>
      </c>
      <c r="J8616" s="487" t="s">
        <v>751</v>
      </c>
    </row>
    <row r="8617" spans="1:10" ht="15" x14ac:dyDescent="0.2">
      <c r="A8617" s="486" t="s">
        <v>750</v>
      </c>
      <c r="B8617" s="487" t="s">
        <v>749</v>
      </c>
      <c r="C8617" s="488" t="s">
        <v>26809</v>
      </c>
      <c r="D8617" s="489" t="s">
        <v>26810</v>
      </c>
      <c r="E8617" s="487" t="s">
        <v>8661</v>
      </c>
      <c r="F8617" s="490">
        <v>10263</v>
      </c>
      <c r="G8617" s="489">
        <v>446.2</v>
      </c>
      <c r="H8617" s="489">
        <v>23.000900000000001</v>
      </c>
      <c r="I8617" s="487" t="s">
        <v>1499</v>
      </c>
      <c r="J8617" s="487" t="s">
        <v>751</v>
      </c>
    </row>
    <row r="8618" spans="1:10" ht="15" x14ac:dyDescent="0.2">
      <c r="A8618" s="486" t="s">
        <v>750</v>
      </c>
      <c r="B8618" s="487" t="s">
        <v>749</v>
      </c>
      <c r="C8618" s="488" t="s">
        <v>26811</v>
      </c>
      <c r="D8618" s="489" t="s">
        <v>26812</v>
      </c>
      <c r="E8618" s="487" t="s">
        <v>26813</v>
      </c>
      <c r="F8618" s="490">
        <v>32863.370000000003</v>
      </c>
      <c r="G8618" s="489">
        <v>531.29999999999995</v>
      </c>
      <c r="H8618" s="489">
        <v>61.854640000000003</v>
      </c>
      <c r="I8618" s="487" t="s">
        <v>1499</v>
      </c>
      <c r="J8618" s="487" t="s">
        <v>751</v>
      </c>
    </row>
    <row r="8619" spans="1:10" ht="15" x14ac:dyDescent="0.2">
      <c r="A8619" s="486" t="s">
        <v>750</v>
      </c>
      <c r="B8619" s="487" t="s">
        <v>749</v>
      </c>
      <c r="C8619" s="488" t="s">
        <v>26814</v>
      </c>
      <c r="D8619" s="489" t="s">
        <v>26815</v>
      </c>
      <c r="E8619" s="487" t="s">
        <v>26816</v>
      </c>
      <c r="F8619" s="490">
        <v>13739</v>
      </c>
      <c r="G8619" s="489">
        <v>481</v>
      </c>
      <c r="H8619" s="489">
        <v>28.563410000000001</v>
      </c>
      <c r="I8619" s="487" t="s">
        <v>1499</v>
      </c>
      <c r="J8619" s="487" t="s">
        <v>751</v>
      </c>
    </row>
    <row r="8620" spans="1:10" ht="15" x14ac:dyDescent="0.2">
      <c r="A8620" s="486" t="s">
        <v>750</v>
      </c>
      <c r="B8620" s="487" t="s">
        <v>749</v>
      </c>
      <c r="C8620" s="488" t="s">
        <v>26817</v>
      </c>
      <c r="D8620" s="489" t="s">
        <v>26818</v>
      </c>
      <c r="E8620" s="487" t="s">
        <v>26819</v>
      </c>
      <c r="F8620" s="490">
        <v>17316</v>
      </c>
      <c r="G8620" s="489">
        <v>231.3</v>
      </c>
      <c r="H8620" s="489">
        <v>74.863810000000001</v>
      </c>
      <c r="I8620" s="487" t="s">
        <v>1499</v>
      </c>
      <c r="J8620" s="487" t="s">
        <v>751</v>
      </c>
    </row>
    <row r="8621" spans="1:10" ht="15" x14ac:dyDescent="0.2">
      <c r="A8621" s="486" t="s">
        <v>750</v>
      </c>
      <c r="B8621" s="487" t="s">
        <v>749</v>
      </c>
      <c r="C8621" s="488" t="s">
        <v>26820</v>
      </c>
      <c r="D8621" s="489" t="s">
        <v>26821</v>
      </c>
      <c r="E8621" s="487" t="s">
        <v>26822</v>
      </c>
      <c r="F8621" s="490">
        <v>0</v>
      </c>
      <c r="G8621" s="489">
        <v>36.700000000000003</v>
      </c>
      <c r="H8621" s="489">
        <v>0</v>
      </c>
      <c r="I8621" s="487" t="s">
        <v>1593</v>
      </c>
      <c r="J8621" s="487" t="s">
        <v>751</v>
      </c>
    </row>
    <row r="8622" spans="1:10" ht="15" x14ac:dyDescent="0.2">
      <c r="A8622" s="486" t="s">
        <v>750</v>
      </c>
      <c r="B8622" s="487" t="s">
        <v>749</v>
      </c>
      <c r="C8622" s="488" t="s">
        <v>26823</v>
      </c>
      <c r="D8622" s="489" t="s">
        <v>26824</v>
      </c>
      <c r="E8622" s="487" t="s">
        <v>26825</v>
      </c>
      <c r="F8622" s="490">
        <v>29379.55</v>
      </c>
      <c r="G8622" s="489">
        <v>1425.5</v>
      </c>
      <c r="H8622" s="489">
        <v>20.61</v>
      </c>
      <c r="I8622" s="487" t="s">
        <v>1499</v>
      </c>
      <c r="J8622" s="487" t="s">
        <v>751</v>
      </c>
    </row>
    <row r="8623" spans="1:10" ht="15" x14ac:dyDescent="0.2">
      <c r="A8623" s="486" t="s">
        <v>750</v>
      </c>
      <c r="B8623" s="487" t="s">
        <v>749</v>
      </c>
      <c r="C8623" s="488" t="s">
        <v>26826</v>
      </c>
      <c r="D8623" s="489" t="s">
        <v>26827</v>
      </c>
      <c r="E8623" s="487" t="s">
        <v>26828</v>
      </c>
      <c r="F8623" s="490">
        <v>0</v>
      </c>
      <c r="G8623" s="489">
        <v>26</v>
      </c>
      <c r="H8623" s="489">
        <v>0</v>
      </c>
      <c r="I8623" s="487" t="s">
        <v>1593</v>
      </c>
      <c r="J8623" s="487" t="s">
        <v>751</v>
      </c>
    </row>
    <row r="8624" spans="1:10" ht="15" x14ac:dyDescent="0.2">
      <c r="A8624" s="486" t="s">
        <v>750</v>
      </c>
      <c r="B8624" s="487" t="s">
        <v>749</v>
      </c>
      <c r="C8624" s="488" t="s">
        <v>26829</v>
      </c>
      <c r="D8624" s="489" t="s">
        <v>26830</v>
      </c>
      <c r="E8624" s="487" t="s">
        <v>26831</v>
      </c>
      <c r="F8624" s="490">
        <v>27592</v>
      </c>
      <c r="G8624" s="489">
        <v>539.20000000000005</v>
      </c>
      <c r="H8624" s="489">
        <v>51.172110000000004</v>
      </c>
      <c r="I8624" s="487" t="s">
        <v>1499</v>
      </c>
      <c r="J8624" s="487" t="s">
        <v>751</v>
      </c>
    </row>
    <row r="8625" spans="1:10" ht="15" x14ac:dyDescent="0.2">
      <c r="A8625" s="486" t="s">
        <v>750</v>
      </c>
      <c r="B8625" s="487" t="s">
        <v>749</v>
      </c>
      <c r="C8625" s="488" t="s">
        <v>26832</v>
      </c>
      <c r="D8625" s="489" t="s">
        <v>26833</v>
      </c>
      <c r="E8625" s="487" t="s">
        <v>26834</v>
      </c>
      <c r="F8625" s="490">
        <v>99212</v>
      </c>
      <c r="G8625" s="489">
        <v>1495</v>
      </c>
      <c r="H8625" s="489">
        <v>66.362539999999996</v>
      </c>
      <c r="I8625" s="487" t="s">
        <v>1499</v>
      </c>
      <c r="J8625" s="487" t="s">
        <v>751</v>
      </c>
    </row>
    <row r="8626" spans="1:10" ht="15" x14ac:dyDescent="0.2">
      <c r="A8626" s="486" t="s">
        <v>750</v>
      </c>
      <c r="B8626" s="487" t="s">
        <v>749</v>
      </c>
      <c r="C8626" s="488" t="s">
        <v>26835</v>
      </c>
      <c r="D8626" s="489" t="s">
        <v>26836</v>
      </c>
      <c r="E8626" s="487" t="s">
        <v>26837</v>
      </c>
      <c r="F8626" s="490">
        <v>42701</v>
      </c>
      <c r="G8626" s="489">
        <v>2165.1999999999998</v>
      </c>
      <c r="H8626" s="489">
        <v>19.721499999999999</v>
      </c>
      <c r="I8626" s="487" t="s">
        <v>1499</v>
      </c>
      <c r="J8626" s="487" t="s">
        <v>751</v>
      </c>
    </row>
    <row r="8627" spans="1:10" ht="15" x14ac:dyDescent="0.2">
      <c r="A8627" s="486" t="s">
        <v>750</v>
      </c>
      <c r="B8627" s="487" t="s">
        <v>749</v>
      </c>
      <c r="C8627" s="488" t="s">
        <v>26838</v>
      </c>
      <c r="D8627" s="489" t="s">
        <v>26839</v>
      </c>
      <c r="E8627" s="487" t="s">
        <v>6714</v>
      </c>
      <c r="F8627" s="490">
        <v>1680</v>
      </c>
      <c r="G8627" s="489">
        <v>126.5</v>
      </c>
      <c r="H8627" s="489">
        <v>13.28063</v>
      </c>
      <c r="I8627" s="487" t="s">
        <v>1499</v>
      </c>
      <c r="J8627" s="487" t="s">
        <v>751</v>
      </c>
    </row>
    <row r="8628" spans="1:10" ht="15" x14ac:dyDescent="0.2">
      <c r="A8628" s="486" t="s">
        <v>750</v>
      </c>
      <c r="B8628" s="487" t="s">
        <v>749</v>
      </c>
      <c r="C8628" s="488" t="s">
        <v>26840</v>
      </c>
      <c r="D8628" s="489" t="s">
        <v>26841</v>
      </c>
      <c r="E8628" s="487" t="s">
        <v>26842</v>
      </c>
      <c r="F8628" s="490">
        <v>97800</v>
      </c>
      <c r="G8628" s="489">
        <v>2053</v>
      </c>
      <c r="H8628" s="489">
        <v>47.637599999999999</v>
      </c>
      <c r="I8628" s="487" t="s">
        <v>1499</v>
      </c>
      <c r="J8628" s="487" t="s">
        <v>751</v>
      </c>
    </row>
    <row r="8629" spans="1:10" ht="15" x14ac:dyDescent="0.2">
      <c r="A8629" s="486" t="s">
        <v>750</v>
      </c>
      <c r="B8629" s="487" t="s">
        <v>749</v>
      </c>
      <c r="C8629" s="488" t="s">
        <v>26843</v>
      </c>
      <c r="D8629" s="489" t="s">
        <v>26844</v>
      </c>
      <c r="E8629" s="487" t="s">
        <v>4099</v>
      </c>
      <c r="F8629" s="490">
        <v>209095</v>
      </c>
      <c r="G8629" s="489">
        <v>3301.4</v>
      </c>
      <c r="H8629" s="489">
        <v>63.335250000000002</v>
      </c>
      <c r="I8629" s="487" t="s">
        <v>1499</v>
      </c>
      <c r="J8629" s="487" t="s">
        <v>751</v>
      </c>
    </row>
    <row r="8630" spans="1:10" ht="15" x14ac:dyDescent="0.2">
      <c r="A8630" s="486" t="s">
        <v>750</v>
      </c>
      <c r="B8630" s="487" t="s">
        <v>749</v>
      </c>
      <c r="C8630" s="488" t="s">
        <v>26845</v>
      </c>
      <c r="D8630" s="489" t="s">
        <v>26846</v>
      </c>
      <c r="E8630" s="487" t="s">
        <v>26847</v>
      </c>
      <c r="F8630" s="490">
        <v>37500</v>
      </c>
      <c r="G8630" s="489">
        <v>358.5</v>
      </c>
      <c r="H8630" s="489">
        <v>104.60251</v>
      </c>
      <c r="I8630" s="487" t="s">
        <v>1499</v>
      </c>
      <c r="J8630" s="487" t="s">
        <v>751</v>
      </c>
    </row>
    <row r="8631" spans="1:10" ht="15" x14ac:dyDescent="0.2">
      <c r="A8631" s="486" t="s">
        <v>750</v>
      </c>
      <c r="B8631" s="487" t="s">
        <v>749</v>
      </c>
      <c r="C8631" s="488" t="s">
        <v>26848</v>
      </c>
      <c r="D8631" s="489" t="s">
        <v>26849</v>
      </c>
      <c r="E8631" s="487" t="s">
        <v>26850</v>
      </c>
      <c r="F8631" s="490">
        <v>96026.52</v>
      </c>
      <c r="G8631" s="489">
        <v>1398.7</v>
      </c>
      <c r="H8631" s="489">
        <v>68.654120000000006</v>
      </c>
      <c r="I8631" s="487" t="s">
        <v>1499</v>
      </c>
      <c r="J8631" s="487" t="s">
        <v>751</v>
      </c>
    </row>
    <row r="8632" spans="1:10" ht="15" x14ac:dyDescent="0.2">
      <c r="A8632" s="486" t="s">
        <v>750</v>
      </c>
      <c r="B8632" s="487" t="s">
        <v>749</v>
      </c>
      <c r="C8632" s="488" t="s">
        <v>26851</v>
      </c>
      <c r="D8632" s="489" t="s">
        <v>26852</v>
      </c>
      <c r="E8632" s="487" t="s">
        <v>26853</v>
      </c>
      <c r="F8632" s="490">
        <v>358265</v>
      </c>
      <c r="G8632" s="489">
        <v>4945.8</v>
      </c>
      <c r="H8632" s="489">
        <v>72.438230000000004</v>
      </c>
      <c r="I8632" s="487" t="s">
        <v>1499</v>
      </c>
      <c r="J8632" s="487" t="s">
        <v>751</v>
      </c>
    </row>
    <row r="8633" spans="1:10" ht="15" x14ac:dyDescent="0.2">
      <c r="A8633" s="486" t="s">
        <v>750</v>
      </c>
      <c r="B8633" s="487" t="s">
        <v>749</v>
      </c>
      <c r="C8633" s="488" t="s">
        <v>26854</v>
      </c>
      <c r="D8633" s="489" t="s">
        <v>26855</v>
      </c>
      <c r="E8633" s="487" t="s">
        <v>26856</v>
      </c>
      <c r="F8633" s="490">
        <v>35000</v>
      </c>
      <c r="G8633" s="489">
        <v>828.3</v>
      </c>
      <c r="H8633" s="489">
        <v>42.255220000000001</v>
      </c>
      <c r="I8633" s="487" t="s">
        <v>1499</v>
      </c>
      <c r="J8633" s="487" t="s">
        <v>751</v>
      </c>
    </row>
    <row r="8634" spans="1:10" ht="15" x14ac:dyDescent="0.2">
      <c r="A8634" s="486" t="s">
        <v>750</v>
      </c>
      <c r="B8634" s="487" t="s">
        <v>749</v>
      </c>
      <c r="C8634" s="488" t="s">
        <v>26857</v>
      </c>
      <c r="D8634" s="489" t="s">
        <v>26858</v>
      </c>
      <c r="E8634" s="487" t="s">
        <v>26859</v>
      </c>
      <c r="F8634" s="490">
        <v>71278</v>
      </c>
      <c r="G8634" s="489">
        <v>2460.1999999999998</v>
      </c>
      <c r="H8634" s="489">
        <v>28.972439999999999</v>
      </c>
      <c r="I8634" s="487" t="s">
        <v>1499</v>
      </c>
      <c r="J8634" s="487" t="s">
        <v>751</v>
      </c>
    </row>
    <row r="8635" spans="1:10" ht="15" x14ac:dyDescent="0.2">
      <c r="A8635" s="486" t="s">
        <v>750</v>
      </c>
      <c r="B8635" s="487" t="s">
        <v>749</v>
      </c>
      <c r="C8635" s="488" t="s">
        <v>26860</v>
      </c>
      <c r="D8635" s="489" t="s">
        <v>26861</v>
      </c>
      <c r="E8635" s="487" t="s">
        <v>2059</v>
      </c>
      <c r="F8635" s="490">
        <v>1500</v>
      </c>
      <c r="G8635" s="489">
        <v>70.099999999999994</v>
      </c>
      <c r="H8635" s="489">
        <v>21.398</v>
      </c>
      <c r="I8635" s="487" t="s">
        <v>1499</v>
      </c>
      <c r="J8635" s="487" t="s">
        <v>751</v>
      </c>
    </row>
    <row r="8636" spans="1:10" ht="15" x14ac:dyDescent="0.2">
      <c r="A8636" s="486" t="s">
        <v>750</v>
      </c>
      <c r="B8636" s="487" t="s">
        <v>749</v>
      </c>
      <c r="C8636" s="488" t="s">
        <v>26862</v>
      </c>
      <c r="D8636" s="489" t="s">
        <v>26863</v>
      </c>
      <c r="E8636" s="487" t="s">
        <v>26864</v>
      </c>
      <c r="F8636" s="490">
        <v>0</v>
      </c>
      <c r="G8636" s="489">
        <v>52.8</v>
      </c>
      <c r="H8636" s="489">
        <v>0</v>
      </c>
      <c r="I8636" s="487" t="s">
        <v>1593</v>
      </c>
      <c r="J8636" s="487" t="s">
        <v>751</v>
      </c>
    </row>
    <row r="8637" spans="1:10" ht="15" x14ac:dyDescent="0.2">
      <c r="A8637" s="486" t="s">
        <v>750</v>
      </c>
      <c r="B8637" s="487" t="s">
        <v>749</v>
      </c>
      <c r="C8637" s="488" t="s">
        <v>26865</v>
      </c>
      <c r="D8637" s="489" t="s">
        <v>26866</v>
      </c>
      <c r="E8637" s="487" t="s">
        <v>26867</v>
      </c>
      <c r="F8637" s="490">
        <v>32597</v>
      </c>
      <c r="G8637" s="489">
        <v>961.2</v>
      </c>
      <c r="H8637" s="489">
        <v>33.912820000000004</v>
      </c>
      <c r="I8637" s="487" t="s">
        <v>1499</v>
      </c>
      <c r="J8637" s="487" t="s">
        <v>751</v>
      </c>
    </row>
    <row r="8638" spans="1:10" ht="15" x14ac:dyDescent="0.2">
      <c r="A8638" s="486" t="s">
        <v>950</v>
      </c>
      <c r="B8638" s="487" t="s">
        <v>949</v>
      </c>
      <c r="C8638" s="488" t="s">
        <v>26868</v>
      </c>
      <c r="D8638" s="489" t="s">
        <v>26869</v>
      </c>
      <c r="E8638" s="487" t="s">
        <v>26870</v>
      </c>
      <c r="F8638" s="490">
        <v>69666</v>
      </c>
      <c r="G8638" s="489">
        <v>1374.7</v>
      </c>
      <c r="H8638" s="489">
        <v>50.677239999999998</v>
      </c>
      <c r="I8638" s="487" t="s">
        <v>1499</v>
      </c>
      <c r="J8638" s="487" t="s">
        <v>951</v>
      </c>
    </row>
    <row r="8639" spans="1:10" ht="15" x14ac:dyDescent="0.2">
      <c r="A8639" s="486" t="s">
        <v>950</v>
      </c>
      <c r="B8639" s="487" t="s">
        <v>949</v>
      </c>
      <c r="C8639" s="488" t="s">
        <v>26871</v>
      </c>
      <c r="D8639" s="489" t="s">
        <v>26872</v>
      </c>
      <c r="E8639" s="487" t="s">
        <v>26873</v>
      </c>
      <c r="F8639" s="490">
        <v>122355</v>
      </c>
      <c r="G8639" s="489">
        <v>2202.4</v>
      </c>
      <c r="H8639" s="489">
        <v>55.555300000000003</v>
      </c>
      <c r="I8639" s="487" t="s">
        <v>1499</v>
      </c>
      <c r="J8639" s="487" t="s">
        <v>951</v>
      </c>
    </row>
    <row r="8640" spans="1:10" ht="15" x14ac:dyDescent="0.2">
      <c r="A8640" s="486" t="s">
        <v>950</v>
      </c>
      <c r="B8640" s="487" t="s">
        <v>949</v>
      </c>
      <c r="C8640" s="488" t="s">
        <v>26874</v>
      </c>
      <c r="D8640" s="489" t="s">
        <v>26875</v>
      </c>
      <c r="E8640" s="487" t="s">
        <v>26876</v>
      </c>
      <c r="F8640" s="490">
        <v>396939</v>
      </c>
      <c r="G8640" s="489">
        <v>8485.6</v>
      </c>
      <c r="H8640" s="489">
        <v>46.777949999999997</v>
      </c>
      <c r="I8640" s="487" t="s">
        <v>1499</v>
      </c>
      <c r="J8640" s="487" t="s">
        <v>951</v>
      </c>
    </row>
    <row r="8641" spans="1:10" ht="15" x14ac:dyDescent="0.2">
      <c r="A8641" s="486" t="s">
        <v>950</v>
      </c>
      <c r="B8641" s="487" t="s">
        <v>949</v>
      </c>
      <c r="C8641" s="488" t="s">
        <v>26877</v>
      </c>
      <c r="D8641" s="489" t="s">
        <v>26878</v>
      </c>
      <c r="E8641" s="487" t="s">
        <v>26879</v>
      </c>
      <c r="F8641" s="490">
        <v>19080</v>
      </c>
      <c r="G8641" s="489">
        <v>386.1</v>
      </c>
      <c r="H8641" s="489">
        <v>49.417250000000003</v>
      </c>
      <c r="I8641" s="487" t="s">
        <v>2465</v>
      </c>
      <c r="J8641" s="487" t="s">
        <v>951</v>
      </c>
    </row>
    <row r="8642" spans="1:10" ht="15" x14ac:dyDescent="0.2">
      <c r="A8642" s="486" t="s">
        <v>950</v>
      </c>
      <c r="B8642" s="487" t="s">
        <v>949</v>
      </c>
      <c r="C8642" s="488" t="s">
        <v>26880</v>
      </c>
      <c r="D8642" s="489" t="s">
        <v>26881</v>
      </c>
      <c r="E8642" s="487" t="s">
        <v>5955</v>
      </c>
      <c r="F8642" s="490">
        <v>19000</v>
      </c>
      <c r="G8642" s="489">
        <v>344.6</v>
      </c>
      <c r="H8642" s="489">
        <v>55.136389999999999</v>
      </c>
      <c r="I8642" s="487" t="s">
        <v>1499</v>
      </c>
      <c r="J8642" s="487" t="s">
        <v>951</v>
      </c>
    </row>
    <row r="8643" spans="1:10" ht="15" x14ac:dyDescent="0.2">
      <c r="A8643" s="486" t="s">
        <v>950</v>
      </c>
      <c r="B8643" s="487" t="s">
        <v>949</v>
      </c>
      <c r="C8643" s="488" t="s">
        <v>26882</v>
      </c>
      <c r="D8643" s="489" t="s">
        <v>26883</v>
      </c>
      <c r="E8643" s="487" t="s">
        <v>26884</v>
      </c>
      <c r="F8643" s="490">
        <v>11450</v>
      </c>
      <c r="G8643" s="489">
        <v>275</v>
      </c>
      <c r="H8643" s="489">
        <v>41.636360000000003</v>
      </c>
      <c r="I8643" s="487" t="s">
        <v>2465</v>
      </c>
      <c r="J8643" s="487" t="s">
        <v>951</v>
      </c>
    </row>
    <row r="8644" spans="1:10" ht="15" x14ac:dyDescent="0.2">
      <c r="A8644" s="486" t="s">
        <v>950</v>
      </c>
      <c r="B8644" s="487" t="s">
        <v>949</v>
      </c>
      <c r="C8644" s="488" t="s">
        <v>26885</v>
      </c>
      <c r="D8644" s="489" t="s">
        <v>26886</v>
      </c>
      <c r="E8644" s="487" t="s">
        <v>26887</v>
      </c>
      <c r="F8644" s="490">
        <v>28257</v>
      </c>
      <c r="G8644" s="489">
        <v>475.2</v>
      </c>
      <c r="H8644" s="489">
        <v>59.463380000000001</v>
      </c>
      <c r="I8644" s="487" t="s">
        <v>1499</v>
      </c>
      <c r="J8644" s="487" t="s">
        <v>951</v>
      </c>
    </row>
    <row r="8645" spans="1:10" ht="15" x14ac:dyDescent="0.2">
      <c r="A8645" s="486" t="s">
        <v>950</v>
      </c>
      <c r="B8645" s="487" t="s">
        <v>949</v>
      </c>
      <c r="C8645" s="488" t="s">
        <v>26888</v>
      </c>
      <c r="D8645" s="489" t="s">
        <v>26889</v>
      </c>
      <c r="E8645" s="487" t="s">
        <v>26890</v>
      </c>
      <c r="F8645" s="490">
        <v>17500</v>
      </c>
      <c r="G8645" s="489">
        <v>282.7</v>
      </c>
      <c r="H8645" s="489">
        <v>61.903080000000003</v>
      </c>
      <c r="I8645" s="487" t="s">
        <v>1499</v>
      </c>
      <c r="J8645" s="487" t="s">
        <v>951</v>
      </c>
    </row>
    <row r="8646" spans="1:10" ht="15" x14ac:dyDescent="0.2">
      <c r="A8646" s="486" t="s">
        <v>950</v>
      </c>
      <c r="B8646" s="487" t="s">
        <v>949</v>
      </c>
      <c r="C8646" s="488" t="s">
        <v>26891</v>
      </c>
      <c r="D8646" s="489" t="s">
        <v>26892</v>
      </c>
      <c r="E8646" s="487" t="s">
        <v>26893</v>
      </c>
      <c r="F8646" s="490">
        <v>21000</v>
      </c>
      <c r="G8646" s="489">
        <v>325.39999999999998</v>
      </c>
      <c r="H8646" s="489">
        <v>64.535960000000003</v>
      </c>
      <c r="I8646" s="487" t="s">
        <v>1499</v>
      </c>
      <c r="J8646" s="487" t="s">
        <v>951</v>
      </c>
    </row>
    <row r="8647" spans="1:10" ht="15" x14ac:dyDescent="0.2">
      <c r="A8647" s="486" t="s">
        <v>950</v>
      </c>
      <c r="B8647" s="487" t="s">
        <v>949</v>
      </c>
      <c r="C8647" s="488" t="s">
        <v>26894</v>
      </c>
      <c r="D8647" s="489" t="s">
        <v>26895</v>
      </c>
      <c r="E8647" s="487" t="s">
        <v>26896</v>
      </c>
      <c r="F8647" s="490">
        <v>0</v>
      </c>
      <c r="G8647" s="489">
        <v>0</v>
      </c>
      <c r="H8647" s="489">
        <v>0</v>
      </c>
      <c r="I8647" s="487" t="s">
        <v>2465</v>
      </c>
      <c r="J8647" s="487" t="s">
        <v>951</v>
      </c>
    </row>
    <row r="8648" spans="1:10" ht="15" x14ac:dyDescent="0.2">
      <c r="A8648" s="486" t="s">
        <v>950</v>
      </c>
      <c r="B8648" s="487" t="s">
        <v>949</v>
      </c>
      <c r="C8648" s="488" t="s">
        <v>26897</v>
      </c>
      <c r="D8648" s="489" t="s">
        <v>26898</v>
      </c>
      <c r="E8648" s="487" t="s">
        <v>26899</v>
      </c>
      <c r="F8648" s="490">
        <v>94304</v>
      </c>
      <c r="G8648" s="489">
        <v>1482.2</v>
      </c>
      <c r="H8648" s="489">
        <v>63.624339999999997</v>
      </c>
      <c r="I8648" s="487" t="s">
        <v>1499</v>
      </c>
      <c r="J8648" s="487" t="s">
        <v>951</v>
      </c>
    </row>
    <row r="8649" spans="1:10" ht="15" x14ac:dyDescent="0.2">
      <c r="A8649" s="486" t="s">
        <v>950</v>
      </c>
      <c r="B8649" s="487" t="s">
        <v>949</v>
      </c>
      <c r="C8649" s="488" t="s">
        <v>26900</v>
      </c>
      <c r="D8649" s="489" t="s">
        <v>26901</v>
      </c>
      <c r="E8649" s="487" t="s">
        <v>26902</v>
      </c>
      <c r="F8649" s="490">
        <v>0</v>
      </c>
      <c r="G8649" s="489">
        <v>0</v>
      </c>
      <c r="H8649" s="489">
        <v>0</v>
      </c>
      <c r="I8649" s="487" t="s">
        <v>2465</v>
      </c>
      <c r="J8649" s="487" t="s">
        <v>951</v>
      </c>
    </row>
    <row r="8650" spans="1:10" ht="15" x14ac:dyDescent="0.2">
      <c r="A8650" s="486" t="s">
        <v>950</v>
      </c>
      <c r="B8650" s="487" t="s">
        <v>949</v>
      </c>
      <c r="C8650" s="488" t="s">
        <v>26903</v>
      </c>
      <c r="D8650" s="489" t="s">
        <v>26904</v>
      </c>
      <c r="E8650" s="487" t="s">
        <v>26905</v>
      </c>
      <c r="F8650" s="490">
        <v>34000</v>
      </c>
      <c r="G8650" s="489">
        <v>1385.8</v>
      </c>
      <c r="H8650" s="489">
        <v>24.534559999999999</v>
      </c>
      <c r="I8650" s="487" t="s">
        <v>1499</v>
      </c>
      <c r="J8650" s="487" t="s">
        <v>951</v>
      </c>
    </row>
    <row r="8651" spans="1:10" ht="15" x14ac:dyDescent="0.2">
      <c r="A8651" s="486" t="s">
        <v>950</v>
      </c>
      <c r="B8651" s="487" t="s">
        <v>949</v>
      </c>
      <c r="C8651" s="488" t="s">
        <v>26906</v>
      </c>
      <c r="D8651" s="489" t="s">
        <v>26907</v>
      </c>
      <c r="E8651" s="487" t="s">
        <v>26908</v>
      </c>
      <c r="F8651" s="490">
        <v>7518</v>
      </c>
      <c r="G8651" s="489">
        <v>164.6</v>
      </c>
      <c r="H8651" s="489">
        <v>45.67436</v>
      </c>
      <c r="I8651" s="487" t="s">
        <v>1499</v>
      </c>
      <c r="J8651" s="487" t="s">
        <v>951</v>
      </c>
    </row>
    <row r="8652" spans="1:10" ht="15" x14ac:dyDescent="0.2">
      <c r="A8652" s="486" t="s">
        <v>950</v>
      </c>
      <c r="B8652" s="487" t="s">
        <v>949</v>
      </c>
      <c r="C8652" s="488" t="s">
        <v>26909</v>
      </c>
      <c r="D8652" s="489" t="s">
        <v>26910</v>
      </c>
      <c r="E8652" s="487" t="s">
        <v>26911</v>
      </c>
      <c r="F8652" s="490">
        <v>13223</v>
      </c>
      <c r="G8652" s="489">
        <v>215.2</v>
      </c>
      <c r="H8652" s="489">
        <v>61.445169999999997</v>
      </c>
      <c r="I8652" s="487" t="s">
        <v>1499</v>
      </c>
      <c r="J8652" s="487" t="s">
        <v>951</v>
      </c>
    </row>
    <row r="8653" spans="1:10" ht="15" x14ac:dyDescent="0.2">
      <c r="A8653" s="486" t="s">
        <v>950</v>
      </c>
      <c r="B8653" s="487" t="s">
        <v>949</v>
      </c>
      <c r="C8653" s="488" t="s">
        <v>26912</v>
      </c>
      <c r="D8653" s="489" t="s">
        <v>26913</v>
      </c>
      <c r="E8653" s="487" t="s">
        <v>26914</v>
      </c>
      <c r="F8653" s="490">
        <v>10584</v>
      </c>
      <c r="G8653" s="489">
        <v>199.3</v>
      </c>
      <c r="H8653" s="489">
        <v>53.105870000000003</v>
      </c>
      <c r="I8653" s="487" t="s">
        <v>1499</v>
      </c>
      <c r="J8653" s="487" t="s">
        <v>951</v>
      </c>
    </row>
    <row r="8654" spans="1:10" ht="15" x14ac:dyDescent="0.2">
      <c r="A8654" s="486" t="s">
        <v>950</v>
      </c>
      <c r="B8654" s="487" t="s">
        <v>949</v>
      </c>
      <c r="C8654" s="488" t="s">
        <v>26915</v>
      </c>
      <c r="D8654" s="489" t="s">
        <v>26916</v>
      </c>
      <c r="E8654" s="487" t="s">
        <v>26917</v>
      </c>
      <c r="F8654" s="490">
        <v>20915</v>
      </c>
      <c r="G8654" s="489">
        <v>597.1</v>
      </c>
      <c r="H8654" s="489">
        <v>35.027630000000002</v>
      </c>
      <c r="I8654" s="487" t="s">
        <v>1499</v>
      </c>
      <c r="J8654" s="487" t="s">
        <v>951</v>
      </c>
    </row>
    <row r="8655" spans="1:10" ht="15" x14ac:dyDescent="0.2">
      <c r="A8655" s="486" t="s">
        <v>950</v>
      </c>
      <c r="B8655" s="487" t="s">
        <v>949</v>
      </c>
      <c r="C8655" s="488" t="s">
        <v>26918</v>
      </c>
      <c r="D8655" s="489" t="s">
        <v>26919</v>
      </c>
      <c r="E8655" s="487" t="s">
        <v>949</v>
      </c>
      <c r="F8655" s="490">
        <v>998698</v>
      </c>
      <c r="G8655" s="489">
        <v>12957</v>
      </c>
      <c r="H8655" s="489">
        <v>77.077870000000004</v>
      </c>
      <c r="I8655" s="487" t="s">
        <v>1499</v>
      </c>
      <c r="J8655" s="487" t="s">
        <v>951</v>
      </c>
    </row>
    <row r="8656" spans="1:10" ht="15" x14ac:dyDescent="0.2">
      <c r="A8656" s="486" t="s">
        <v>950</v>
      </c>
      <c r="B8656" s="487" t="s">
        <v>949</v>
      </c>
      <c r="C8656" s="488" t="s">
        <v>26920</v>
      </c>
      <c r="D8656" s="489" t="s">
        <v>26921</v>
      </c>
      <c r="E8656" s="487" t="s">
        <v>26922</v>
      </c>
      <c r="F8656" s="490">
        <v>33461</v>
      </c>
      <c r="G8656" s="489">
        <v>782.9</v>
      </c>
      <c r="H8656" s="489">
        <v>42.739809999999999</v>
      </c>
      <c r="I8656" s="487" t="s">
        <v>1499</v>
      </c>
      <c r="J8656" s="487" t="s">
        <v>951</v>
      </c>
    </row>
    <row r="8657" spans="1:10" ht="15" x14ac:dyDescent="0.2">
      <c r="A8657" s="486" t="s">
        <v>950</v>
      </c>
      <c r="B8657" s="487" t="s">
        <v>949</v>
      </c>
      <c r="C8657" s="488" t="s">
        <v>26923</v>
      </c>
      <c r="D8657" s="489" t="s">
        <v>26924</v>
      </c>
      <c r="E8657" s="487" t="s">
        <v>26925</v>
      </c>
      <c r="F8657" s="490">
        <v>27500</v>
      </c>
      <c r="G8657" s="489">
        <v>535.70000000000005</v>
      </c>
      <c r="H8657" s="489">
        <v>51.334699999999998</v>
      </c>
      <c r="I8657" s="487" t="s">
        <v>1499</v>
      </c>
      <c r="J8657" s="487" t="s">
        <v>951</v>
      </c>
    </row>
    <row r="8658" spans="1:10" ht="15" x14ac:dyDescent="0.2">
      <c r="A8658" s="486" t="s">
        <v>950</v>
      </c>
      <c r="B8658" s="487" t="s">
        <v>949</v>
      </c>
      <c r="C8658" s="488" t="s">
        <v>26926</v>
      </c>
      <c r="D8658" s="489" t="s">
        <v>26927</v>
      </c>
      <c r="E8658" s="487" t="s">
        <v>26928</v>
      </c>
      <c r="F8658" s="490">
        <v>212000</v>
      </c>
      <c r="G8658" s="489">
        <v>3684.1</v>
      </c>
      <c r="H8658" s="489">
        <v>57.544580000000003</v>
      </c>
      <c r="I8658" s="487" t="s">
        <v>1499</v>
      </c>
      <c r="J8658" s="487" t="s">
        <v>951</v>
      </c>
    </row>
    <row r="8659" spans="1:10" ht="15" x14ac:dyDescent="0.2">
      <c r="A8659" s="486" t="s">
        <v>950</v>
      </c>
      <c r="B8659" s="487" t="s">
        <v>949</v>
      </c>
      <c r="C8659" s="488" t="s">
        <v>26929</v>
      </c>
      <c r="D8659" s="489" t="s">
        <v>26930</v>
      </c>
      <c r="E8659" s="487" t="s">
        <v>26931</v>
      </c>
      <c r="F8659" s="490">
        <v>6500</v>
      </c>
      <c r="G8659" s="489">
        <v>171.3</v>
      </c>
      <c r="H8659" s="489">
        <v>37.945129999999999</v>
      </c>
      <c r="I8659" s="487" t="s">
        <v>1499</v>
      </c>
      <c r="J8659" s="487" t="s">
        <v>951</v>
      </c>
    </row>
    <row r="8660" spans="1:10" ht="15" x14ac:dyDescent="0.2">
      <c r="A8660" s="486" t="s">
        <v>950</v>
      </c>
      <c r="B8660" s="487" t="s">
        <v>949</v>
      </c>
      <c r="C8660" s="488" t="s">
        <v>26932</v>
      </c>
      <c r="D8660" s="489" t="s">
        <v>26933</v>
      </c>
      <c r="E8660" s="487" t="s">
        <v>26934</v>
      </c>
      <c r="F8660" s="490">
        <v>0</v>
      </c>
      <c r="G8660" s="489">
        <v>0</v>
      </c>
      <c r="H8660" s="489">
        <v>0</v>
      </c>
      <c r="I8660" s="487" t="s">
        <v>2465</v>
      </c>
      <c r="J8660" s="487" t="s">
        <v>951</v>
      </c>
    </row>
    <row r="8661" spans="1:10" ht="15" x14ac:dyDescent="0.2">
      <c r="A8661" s="486" t="s">
        <v>950</v>
      </c>
      <c r="B8661" s="487" t="s">
        <v>949</v>
      </c>
      <c r="C8661" s="488" t="s">
        <v>26935</v>
      </c>
      <c r="D8661" s="489" t="s">
        <v>26936</v>
      </c>
      <c r="E8661" s="487" t="s">
        <v>23537</v>
      </c>
      <c r="F8661" s="490">
        <v>14000</v>
      </c>
      <c r="G8661" s="489">
        <v>210.6</v>
      </c>
      <c r="H8661" s="489">
        <v>66.476730000000003</v>
      </c>
      <c r="I8661" s="487" t="s">
        <v>1499</v>
      </c>
      <c r="J8661" s="487" t="s">
        <v>951</v>
      </c>
    </row>
    <row r="8662" spans="1:10" ht="15" x14ac:dyDescent="0.2">
      <c r="A8662" s="486" t="s">
        <v>950</v>
      </c>
      <c r="B8662" s="487" t="s">
        <v>949</v>
      </c>
      <c r="C8662" s="488" t="s">
        <v>26937</v>
      </c>
      <c r="D8662" s="489" t="s">
        <v>26938</v>
      </c>
      <c r="E8662" s="487" t="s">
        <v>26939</v>
      </c>
      <c r="F8662" s="490">
        <v>1765</v>
      </c>
      <c r="G8662" s="489">
        <v>104.8</v>
      </c>
      <c r="H8662" s="489">
        <v>16.8416</v>
      </c>
      <c r="I8662" s="487" t="s">
        <v>1499</v>
      </c>
      <c r="J8662" s="487" t="s">
        <v>951</v>
      </c>
    </row>
    <row r="8663" spans="1:10" ht="15" x14ac:dyDescent="0.2">
      <c r="A8663" s="486" t="s">
        <v>950</v>
      </c>
      <c r="B8663" s="487" t="s">
        <v>949</v>
      </c>
      <c r="C8663" s="488" t="s">
        <v>26940</v>
      </c>
      <c r="D8663" s="489" t="s">
        <v>26941</v>
      </c>
      <c r="E8663" s="487" t="s">
        <v>26942</v>
      </c>
      <c r="F8663" s="490">
        <v>83623.55</v>
      </c>
      <c r="G8663" s="489">
        <v>1231.9000000000001</v>
      </c>
      <c r="H8663" s="489">
        <v>67.881770000000003</v>
      </c>
      <c r="I8663" s="487" t="s">
        <v>2465</v>
      </c>
      <c r="J8663" s="487" t="s">
        <v>951</v>
      </c>
    </row>
    <row r="8664" spans="1:10" ht="15" x14ac:dyDescent="0.2">
      <c r="A8664" s="486" t="s">
        <v>950</v>
      </c>
      <c r="B8664" s="487" t="s">
        <v>949</v>
      </c>
      <c r="C8664" s="488" t="s">
        <v>26943</v>
      </c>
      <c r="D8664" s="489" t="s">
        <v>26944</v>
      </c>
      <c r="E8664" s="487" t="s">
        <v>26945</v>
      </c>
      <c r="F8664" s="490">
        <v>38000</v>
      </c>
      <c r="G8664" s="489">
        <v>799</v>
      </c>
      <c r="H8664" s="489">
        <v>47.559449999999998</v>
      </c>
      <c r="I8664" s="487" t="s">
        <v>1499</v>
      </c>
      <c r="J8664" s="487" t="s">
        <v>951</v>
      </c>
    </row>
    <row r="8665" spans="1:10" ht="15" x14ac:dyDescent="0.2">
      <c r="A8665" s="486" t="s">
        <v>950</v>
      </c>
      <c r="B8665" s="487" t="s">
        <v>949</v>
      </c>
      <c r="C8665" s="488" t="s">
        <v>26946</v>
      </c>
      <c r="D8665" s="489" t="s">
        <v>26947</v>
      </c>
      <c r="E8665" s="487" t="s">
        <v>26948</v>
      </c>
      <c r="F8665" s="490">
        <v>130733.72</v>
      </c>
      <c r="G8665" s="489">
        <v>1846</v>
      </c>
      <c r="H8665" s="489">
        <v>70.819999999999993</v>
      </c>
      <c r="I8665" s="487" t="s">
        <v>1499</v>
      </c>
      <c r="J8665" s="487" t="s">
        <v>951</v>
      </c>
    </row>
    <row r="8666" spans="1:10" ht="15" x14ac:dyDescent="0.2">
      <c r="A8666" s="486" t="s">
        <v>950</v>
      </c>
      <c r="B8666" s="487" t="s">
        <v>949</v>
      </c>
      <c r="C8666" s="488" t="s">
        <v>26949</v>
      </c>
      <c r="D8666" s="489" t="s">
        <v>26950</v>
      </c>
      <c r="E8666" s="487" t="s">
        <v>26951</v>
      </c>
      <c r="F8666" s="490">
        <v>72000</v>
      </c>
      <c r="G8666" s="489">
        <v>1003.5</v>
      </c>
      <c r="H8666" s="489">
        <v>71.74888</v>
      </c>
      <c r="I8666" s="487" t="s">
        <v>1499</v>
      </c>
      <c r="J8666" s="487" t="s">
        <v>951</v>
      </c>
    </row>
    <row r="8667" spans="1:10" ht="15" x14ac:dyDescent="0.2">
      <c r="A8667" s="486" t="s">
        <v>1013</v>
      </c>
      <c r="B8667" s="487" t="s">
        <v>1012</v>
      </c>
      <c r="C8667" s="488" t="s">
        <v>26952</v>
      </c>
      <c r="D8667" s="489" t="s">
        <v>26953</v>
      </c>
      <c r="E8667" s="487" t="s">
        <v>26954</v>
      </c>
      <c r="F8667" s="490">
        <v>227067</v>
      </c>
      <c r="G8667" s="489">
        <v>2619</v>
      </c>
      <c r="H8667" s="489">
        <v>86.699889999999996</v>
      </c>
      <c r="I8667" s="487" t="s">
        <v>1499</v>
      </c>
      <c r="J8667" s="487" t="s">
        <v>1014</v>
      </c>
    </row>
    <row r="8668" spans="1:10" ht="15" x14ac:dyDescent="0.2">
      <c r="A8668" s="486" t="s">
        <v>1013</v>
      </c>
      <c r="B8668" s="487" t="s">
        <v>1012</v>
      </c>
      <c r="C8668" s="488" t="s">
        <v>26955</v>
      </c>
      <c r="D8668" s="489" t="s">
        <v>26956</v>
      </c>
      <c r="E8668" s="487" t="s">
        <v>26957</v>
      </c>
      <c r="F8668" s="490">
        <v>22191</v>
      </c>
      <c r="G8668" s="489">
        <v>620</v>
      </c>
      <c r="H8668" s="489">
        <v>35.791939999999997</v>
      </c>
      <c r="I8668" s="487" t="s">
        <v>1499</v>
      </c>
      <c r="J8668" s="487" t="s">
        <v>1014</v>
      </c>
    </row>
    <row r="8669" spans="1:10" ht="15" x14ac:dyDescent="0.2">
      <c r="A8669" s="486" t="s">
        <v>1013</v>
      </c>
      <c r="B8669" s="487" t="s">
        <v>1012</v>
      </c>
      <c r="C8669" s="488" t="s">
        <v>26958</v>
      </c>
      <c r="D8669" s="489" t="s">
        <v>26959</v>
      </c>
      <c r="E8669" s="487" t="s">
        <v>26960</v>
      </c>
      <c r="F8669" s="490">
        <v>6730</v>
      </c>
      <c r="G8669" s="489">
        <v>206</v>
      </c>
      <c r="H8669" s="489">
        <v>32.669899999999998</v>
      </c>
      <c r="I8669" s="487" t="s">
        <v>1499</v>
      </c>
      <c r="J8669" s="487" t="s">
        <v>1014</v>
      </c>
    </row>
    <row r="8670" spans="1:10" ht="15" x14ac:dyDescent="0.2">
      <c r="A8670" s="486" t="s">
        <v>1013</v>
      </c>
      <c r="B8670" s="487" t="s">
        <v>1012</v>
      </c>
      <c r="C8670" s="488" t="s">
        <v>26961</v>
      </c>
      <c r="D8670" s="489" t="s">
        <v>26962</v>
      </c>
      <c r="E8670" s="487" t="s">
        <v>26963</v>
      </c>
      <c r="F8670" s="490">
        <v>18827</v>
      </c>
      <c r="G8670" s="489">
        <v>472</v>
      </c>
      <c r="H8670" s="489">
        <v>39.887709999999998</v>
      </c>
      <c r="I8670" s="487" t="s">
        <v>1499</v>
      </c>
      <c r="J8670" s="487" t="s">
        <v>1014</v>
      </c>
    </row>
    <row r="8671" spans="1:10" ht="15" x14ac:dyDescent="0.2">
      <c r="A8671" s="486" t="s">
        <v>1013</v>
      </c>
      <c r="B8671" s="487" t="s">
        <v>1012</v>
      </c>
      <c r="C8671" s="488" t="s">
        <v>26964</v>
      </c>
      <c r="D8671" s="489" t="s">
        <v>26965</v>
      </c>
      <c r="E8671" s="487" t="s">
        <v>26966</v>
      </c>
      <c r="F8671" s="490">
        <v>238253</v>
      </c>
      <c r="G8671" s="489">
        <v>6998</v>
      </c>
      <c r="H8671" s="489">
        <v>34.045870000000001</v>
      </c>
      <c r="I8671" s="487" t="s">
        <v>1499</v>
      </c>
      <c r="J8671" s="487" t="s">
        <v>1014</v>
      </c>
    </row>
    <row r="8672" spans="1:10" ht="15" x14ac:dyDescent="0.2">
      <c r="A8672" s="486" t="s">
        <v>1013</v>
      </c>
      <c r="B8672" s="487" t="s">
        <v>1012</v>
      </c>
      <c r="C8672" s="488" t="s">
        <v>26967</v>
      </c>
      <c r="D8672" s="489" t="s">
        <v>26968</v>
      </c>
      <c r="E8672" s="487" t="s">
        <v>26969</v>
      </c>
      <c r="F8672" s="490">
        <v>138038</v>
      </c>
      <c r="G8672" s="489">
        <v>2234</v>
      </c>
      <c r="H8672" s="489">
        <v>61.789619999999999</v>
      </c>
      <c r="I8672" s="487" t="s">
        <v>1499</v>
      </c>
      <c r="J8672" s="487" t="s">
        <v>1014</v>
      </c>
    </row>
    <row r="8673" spans="1:10" ht="15" x14ac:dyDescent="0.2">
      <c r="A8673" s="486" t="s">
        <v>1013</v>
      </c>
      <c r="B8673" s="487" t="s">
        <v>1012</v>
      </c>
      <c r="C8673" s="488" t="s">
        <v>26970</v>
      </c>
      <c r="D8673" s="489" t="s">
        <v>26971</v>
      </c>
      <c r="E8673" s="487" t="s">
        <v>25189</v>
      </c>
      <c r="F8673" s="490">
        <v>94805</v>
      </c>
      <c r="G8673" s="489">
        <v>1627</v>
      </c>
      <c r="H8673" s="489">
        <v>58.269820000000003</v>
      </c>
      <c r="I8673" s="487" t="s">
        <v>1499</v>
      </c>
      <c r="J8673" s="487" t="s">
        <v>1014</v>
      </c>
    </row>
    <row r="8674" spans="1:10" ht="15" x14ac:dyDescent="0.2">
      <c r="A8674" s="486" t="s">
        <v>1013</v>
      </c>
      <c r="B8674" s="487" t="s">
        <v>1012</v>
      </c>
      <c r="C8674" s="488" t="s">
        <v>26972</v>
      </c>
      <c r="D8674" s="489" t="s">
        <v>26973</v>
      </c>
      <c r="E8674" s="487" t="s">
        <v>26974</v>
      </c>
      <c r="F8674" s="490">
        <v>7437</v>
      </c>
      <c r="G8674" s="489">
        <v>281</v>
      </c>
      <c r="H8674" s="489">
        <v>26.466190000000001</v>
      </c>
      <c r="I8674" s="487" t="s">
        <v>1499</v>
      </c>
      <c r="J8674" s="487" t="s">
        <v>1014</v>
      </c>
    </row>
    <row r="8675" spans="1:10" ht="15" x14ac:dyDescent="0.2">
      <c r="A8675" s="486" t="s">
        <v>1013</v>
      </c>
      <c r="B8675" s="487" t="s">
        <v>1012</v>
      </c>
      <c r="C8675" s="488" t="s">
        <v>26975</v>
      </c>
      <c r="D8675" s="489" t="s">
        <v>26976</v>
      </c>
      <c r="E8675" s="487" t="s">
        <v>16076</v>
      </c>
      <c r="F8675" s="490">
        <v>31372</v>
      </c>
      <c r="G8675" s="489">
        <v>1573</v>
      </c>
      <c r="H8675" s="489">
        <v>19.94406</v>
      </c>
      <c r="I8675" s="487" t="s">
        <v>1499</v>
      </c>
      <c r="J8675" s="487" t="s">
        <v>1014</v>
      </c>
    </row>
    <row r="8676" spans="1:10" ht="15" x14ac:dyDescent="0.2">
      <c r="A8676" s="486" t="s">
        <v>1013</v>
      </c>
      <c r="B8676" s="487" t="s">
        <v>1012</v>
      </c>
      <c r="C8676" s="488" t="s">
        <v>26977</v>
      </c>
      <c r="D8676" s="489" t="s">
        <v>26978</v>
      </c>
      <c r="E8676" s="487" t="s">
        <v>26979</v>
      </c>
      <c r="F8676" s="490">
        <v>41687</v>
      </c>
      <c r="G8676" s="489">
        <v>1054</v>
      </c>
      <c r="H8676" s="489">
        <v>39.551229999999997</v>
      </c>
      <c r="I8676" s="487" t="s">
        <v>1499</v>
      </c>
      <c r="J8676" s="487" t="s">
        <v>1014</v>
      </c>
    </row>
    <row r="8677" spans="1:10" ht="15" x14ac:dyDescent="0.2">
      <c r="A8677" s="486" t="s">
        <v>1210</v>
      </c>
      <c r="B8677" s="487" t="s">
        <v>1209</v>
      </c>
      <c r="C8677" s="488" t="s">
        <v>26980</v>
      </c>
      <c r="D8677" s="489" t="s">
        <v>26981</v>
      </c>
      <c r="E8677" s="487" t="s">
        <v>26982</v>
      </c>
      <c r="F8677" s="490">
        <v>39000</v>
      </c>
      <c r="G8677" s="489">
        <v>613.41</v>
      </c>
      <c r="H8677" s="489">
        <v>63.579009999999997</v>
      </c>
      <c r="I8677" s="487" t="s">
        <v>1499</v>
      </c>
      <c r="J8677" s="487" t="s">
        <v>1211</v>
      </c>
    </row>
    <row r="8678" spans="1:10" ht="15" x14ac:dyDescent="0.2">
      <c r="A8678" s="486" t="s">
        <v>1210</v>
      </c>
      <c r="B8678" s="487" t="s">
        <v>1209</v>
      </c>
      <c r="C8678" s="488" t="s">
        <v>26983</v>
      </c>
      <c r="D8678" s="489" t="s">
        <v>26984</v>
      </c>
      <c r="E8678" s="487" t="s">
        <v>26985</v>
      </c>
      <c r="F8678" s="490">
        <v>110000</v>
      </c>
      <c r="G8678" s="489">
        <v>1628.78</v>
      </c>
      <c r="H8678" s="489">
        <v>67.535210000000006</v>
      </c>
      <c r="I8678" s="487" t="s">
        <v>1499</v>
      </c>
      <c r="J8678" s="487" t="s">
        <v>1211</v>
      </c>
    </row>
    <row r="8679" spans="1:10" ht="15" x14ac:dyDescent="0.2">
      <c r="A8679" s="486" t="s">
        <v>1210</v>
      </c>
      <c r="B8679" s="487" t="s">
        <v>1209</v>
      </c>
      <c r="C8679" s="488" t="s">
        <v>26986</v>
      </c>
      <c r="D8679" s="489" t="s">
        <v>26987</v>
      </c>
      <c r="E8679" s="487" t="s">
        <v>26988</v>
      </c>
      <c r="F8679" s="490">
        <v>6825</v>
      </c>
      <c r="G8679" s="489">
        <v>354.49</v>
      </c>
      <c r="H8679" s="489">
        <v>19.25301</v>
      </c>
      <c r="I8679" s="487" t="s">
        <v>1499</v>
      </c>
      <c r="J8679" s="487" t="s">
        <v>1211</v>
      </c>
    </row>
    <row r="8680" spans="1:10" ht="15" x14ac:dyDescent="0.2">
      <c r="A8680" s="486" t="s">
        <v>1210</v>
      </c>
      <c r="B8680" s="487" t="s">
        <v>1209</v>
      </c>
      <c r="C8680" s="488" t="s">
        <v>26989</v>
      </c>
      <c r="D8680" s="489" t="s">
        <v>26990</v>
      </c>
      <c r="E8680" s="487" t="s">
        <v>26991</v>
      </c>
      <c r="F8680" s="490">
        <v>5933</v>
      </c>
      <c r="G8680" s="489">
        <v>249.5</v>
      </c>
      <c r="H8680" s="489">
        <v>23.77956</v>
      </c>
      <c r="I8680" s="487" t="s">
        <v>1499</v>
      </c>
      <c r="J8680" s="487" t="s">
        <v>1211</v>
      </c>
    </row>
    <row r="8681" spans="1:10" ht="15" x14ac:dyDescent="0.2">
      <c r="A8681" s="486" t="s">
        <v>1210</v>
      </c>
      <c r="B8681" s="487" t="s">
        <v>1209</v>
      </c>
      <c r="C8681" s="488" t="s">
        <v>26992</v>
      </c>
      <c r="D8681" s="489" t="s">
        <v>26993</v>
      </c>
      <c r="E8681" s="487" t="s">
        <v>26994</v>
      </c>
      <c r="F8681" s="490">
        <v>212061.7</v>
      </c>
      <c r="G8681" s="489">
        <v>3158.91</v>
      </c>
      <c r="H8681" s="489">
        <v>67.131290000000007</v>
      </c>
      <c r="I8681" s="487" t="s">
        <v>1499</v>
      </c>
      <c r="J8681" s="487" t="s">
        <v>1211</v>
      </c>
    </row>
    <row r="8682" spans="1:10" ht="15" x14ac:dyDescent="0.2">
      <c r="A8682" s="486" t="s">
        <v>1210</v>
      </c>
      <c r="B8682" s="487" t="s">
        <v>1209</v>
      </c>
      <c r="C8682" s="488" t="s">
        <v>26995</v>
      </c>
      <c r="D8682" s="489" t="s">
        <v>26996</v>
      </c>
      <c r="E8682" s="487" t="s">
        <v>26997</v>
      </c>
      <c r="F8682" s="490">
        <v>251345.81</v>
      </c>
      <c r="G8682" s="489">
        <v>2231.08</v>
      </c>
      <c r="H8682" s="489">
        <v>112.65657</v>
      </c>
      <c r="I8682" s="487" t="s">
        <v>1499</v>
      </c>
      <c r="J8682" s="487" t="s">
        <v>1211</v>
      </c>
    </row>
    <row r="8683" spans="1:10" ht="15" x14ac:dyDescent="0.2">
      <c r="A8683" s="486" t="s">
        <v>1210</v>
      </c>
      <c r="B8683" s="487" t="s">
        <v>1209</v>
      </c>
      <c r="C8683" s="488" t="s">
        <v>26998</v>
      </c>
      <c r="D8683" s="489" t="s">
        <v>26999</v>
      </c>
      <c r="E8683" s="487" t="s">
        <v>27000</v>
      </c>
      <c r="F8683" s="490">
        <v>202925.33</v>
      </c>
      <c r="G8683" s="489">
        <v>3218.96</v>
      </c>
      <c r="H8683" s="489">
        <v>63.040649999999999</v>
      </c>
      <c r="I8683" s="487" t="s">
        <v>1499</v>
      </c>
      <c r="J8683" s="487" t="s">
        <v>1211</v>
      </c>
    </row>
    <row r="8684" spans="1:10" ht="15" x14ac:dyDescent="0.2">
      <c r="A8684" s="486" t="s">
        <v>1210</v>
      </c>
      <c r="B8684" s="487" t="s">
        <v>1209</v>
      </c>
      <c r="C8684" s="488" t="s">
        <v>27001</v>
      </c>
      <c r="D8684" s="489" t="s">
        <v>27002</v>
      </c>
      <c r="E8684" s="487" t="s">
        <v>27003</v>
      </c>
      <c r="F8684" s="490">
        <v>5093</v>
      </c>
      <c r="G8684" s="489">
        <v>263.49</v>
      </c>
      <c r="H8684" s="489">
        <v>19.32901</v>
      </c>
      <c r="I8684" s="487" t="s">
        <v>1499</v>
      </c>
      <c r="J8684" s="487" t="s">
        <v>1211</v>
      </c>
    </row>
    <row r="8685" spans="1:10" ht="15" x14ac:dyDescent="0.2">
      <c r="A8685" s="486" t="s">
        <v>1210</v>
      </c>
      <c r="B8685" s="487" t="s">
        <v>1209</v>
      </c>
      <c r="C8685" s="488" t="s">
        <v>27004</v>
      </c>
      <c r="D8685" s="489" t="s">
        <v>27005</v>
      </c>
      <c r="E8685" s="487" t="s">
        <v>27006</v>
      </c>
      <c r="F8685" s="490">
        <v>8020</v>
      </c>
      <c r="G8685" s="489">
        <v>237.01</v>
      </c>
      <c r="H8685" s="489">
        <v>33.838230000000003</v>
      </c>
      <c r="I8685" s="487" t="s">
        <v>1499</v>
      </c>
      <c r="J8685" s="487" t="s">
        <v>1211</v>
      </c>
    </row>
    <row r="8686" spans="1:10" ht="15" x14ac:dyDescent="0.2">
      <c r="A8686" s="486" t="s">
        <v>1210</v>
      </c>
      <c r="B8686" s="487" t="s">
        <v>1209</v>
      </c>
      <c r="C8686" s="488" t="s">
        <v>27007</v>
      </c>
      <c r="D8686" s="489" t="s">
        <v>27008</v>
      </c>
      <c r="E8686" s="487" t="s">
        <v>27009</v>
      </c>
      <c r="F8686" s="490">
        <v>152000</v>
      </c>
      <c r="G8686" s="489">
        <v>1723.18</v>
      </c>
      <c r="H8686" s="489">
        <v>88.209010000000006</v>
      </c>
      <c r="I8686" s="487" t="s">
        <v>1499</v>
      </c>
      <c r="J8686" s="487" t="s">
        <v>1211</v>
      </c>
    </row>
    <row r="8687" spans="1:10" ht="15" x14ac:dyDescent="0.2">
      <c r="A8687" s="486" t="s">
        <v>1210</v>
      </c>
      <c r="B8687" s="487" t="s">
        <v>1209</v>
      </c>
      <c r="C8687" s="488" t="s">
        <v>27010</v>
      </c>
      <c r="D8687" s="489" t="s">
        <v>27011</v>
      </c>
      <c r="E8687" s="487" t="s">
        <v>23297</v>
      </c>
      <c r="F8687" s="490">
        <v>122914</v>
      </c>
      <c r="G8687" s="489">
        <v>1120.8699999999999</v>
      </c>
      <c r="H8687" s="489">
        <v>109.65946</v>
      </c>
      <c r="I8687" s="487" t="s">
        <v>1499</v>
      </c>
      <c r="J8687" s="487" t="s">
        <v>1211</v>
      </c>
    </row>
    <row r="8688" spans="1:10" ht="15" x14ac:dyDescent="0.2">
      <c r="A8688" s="486" t="s">
        <v>1210</v>
      </c>
      <c r="B8688" s="487" t="s">
        <v>1209</v>
      </c>
      <c r="C8688" s="488" t="s">
        <v>27012</v>
      </c>
      <c r="D8688" s="489" t="s">
        <v>27013</v>
      </c>
      <c r="E8688" s="487" t="s">
        <v>27014</v>
      </c>
      <c r="F8688" s="490">
        <v>227312</v>
      </c>
      <c r="G8688" s="489">
        <v>3428</v>
      </c>
      <c r="H8688" s="489">
        <v>66.310389999999998</v>
      </c>
      <c r="I8688" s="487" t="s">
        <v>1499</v>
      </c>
      <c r="J8688" s="487" t="s">
        <v>1211</v>
      </c>
    </row>
    <row r="8689" spans="1:10" ht="15" x14ac:dyDescent="0.2">
      <c r="A8689" s="486" t="s">
        <v>1210</v>
      </c>
      <c r="B8689" s="487" t="s">
        <v>1209</v>
      </c>
      <c r="C8689" s="488" t="s">
        <v>27015</v>
      </c>
      <c r="D8689" s="489" t="s">
        <v>27016</v>
      </c>
      <c r="E8689" s="487" t="s">
        <v>4215</v>
      </c>
      <c r="F8689" s="490">
        <v>30511</v>
      </c>
      <c r="G8689" s="489">
        <v>278.70999999999998</v>
      </c>
      <c r="H8689" s="489">
        <v>109.47221</v>
      </c>
      <c r="I8689" s="487" t="s">
        <v>1499</v>
      </c>
      <c r="J8689" s="487" t="s">
        <v>1211</v>
      </c>
    </row>
    <row r="8690" spans="1:10" ht="15" x14ac:dyDescent="0.2">
      <c r="A8690" s="486" t="s">
        <v>1210</v>
      </c>
      <c r="B8690" s="487" t="s">
        <v>1209</v>
      </c>
      <c r="C8690" s="488" t="s">
        <v>27017</v>
      </c>
      <c r="D8690" s="489" t="s">
        <v>27018</v>
      </c>
      <c r="E8690" s="487" t="s">
        <v>3919</v>
      </c>
      <c r="F8690" s="490">
        <v>6677</v>
      </c>
      <c r="G8690" s="489">
        <v>49.49</v>
      </c>
      <c r="H8690" s="489">
        <v>134.91614000000001</v>
      </c>
      <c r="I8690" s="487" t="s">
        <v>1499</v>
      </c>
      <c r="J8690" s="487" t="s">
        <v>1211</v>
      </c>
    </row>
    <row r="8691" spans="1:10" ht="15" x14ac:dyDescent="0.2">
      <c r="A8691" s="486" t="s">
        <v>1210</v>
      </c>
      <c r="B8691" s="487" t="s">
        <v>1209</v>
      </c>
      <c r="C8691" s="488" t="s">
        <v>27019</v>
      </c>
      <c r="D8691" s="489" t="s">
        <v>27020</v>
      </c>
      <c r="E8691" s="487" t="s">
        <v>27021</v>
      </c>
      <c r="F8691" s="490">
        <v>12000</v>
      </c>
      <c r="G8691" s="489">
        <v>515.70000000000005</v>
      </c>
      <c r="H8691" s="489">
        <v>23.26934</v>
      </c>
      <c r="I8691" s="487" t="s">
        <v>1499</v>
      </c>
      <c r="J8691" s="487" t="s">
        <v>1211</v>
      </c>
    </row>
    <row r="8692" spans="1:10" ht="15" x14ac:dyDescent="0.2">
      <c r="A8692" s="486" t="s">
        <v>1210</v>
      </c>
      <c r="B8692" s="487" t="s">
        <v>1209</v>
      </c>
      <c r="C8692" s="488" t="s">
        <v>27022</v>
      </c>
      <c r="D8692" s="489" t="s">
        <v>27023</v>
      </c>
      <c r="E8692" s="487" t="s">
        <v>4543</v>
      </c>
      <c r="F8692" s="490">
        <v>104000</v>
      </c>
      <c r="G8692" s="489">
        <v>1278.54</v>
      </c>
      <c r="H8692" s="489">
        <v>81.342780000000005</v>
      </c>
      <c r="I8692" s="487" t="s">
        <v>1499</v>
      </c>
      <c r="J8692" s="487" t="s">
        <v>1211</v>
      </c>
    </row>
    <row r="8693" spans="1:10" ht="15" x14ac:dyDescent="0.2">
      <c r="A8693" s="486" t="s">
        <v>1210</v>
      </c>
      <c r="B8693" s="487" t="s">
        <v>1209</v>
      </c>
      <c r="C8693" s="488" t="s">
        <v>27024</v>
      </c>
      <c r="D8693" s="489" t="s">
        <v>27025</v>
      </c>
      <c r="E8693" s="487" t="s">
        <v>27026</v>
      </c>
      <c r="F8693" s="490">
        <v>192048</v>
      </c>
      <c r="G8693" s="489">
        <v>3380.52</v>
      </c>
      <c r="H8693" s="489">
        <v>56.810189999999999</v>
      </c>
      <c r="I8693" s="487" t="s">
        <v>1499</v>
      </c>
      <c r="J8693" s="487" t="s">
        <v>1211</v>
      </c>
    </row>
    <row r="8694" spans="1:10" ht="15" x14ac:dyDescent="0.2">
      <c r="A8694" s="486" t="s">
        <v>1210</v>
      </c>
      <c r="B8694" s="487" t="s">
        <v>1209</v>
      </c>
      <c r="C8694" s="488" t="s">
        <v>27027</v>
      </c>
      <c r="D8694" s="489" t="s">
        <v>27028</v>
      </c>
      <c r="E8694" s="487" t="s">
        <v>27029</v>
      </c>
      <c r="F8694" s="490">
        <v>134364</v>
      </c>
      <c r="G8694" s="489">
        <v>1055.04</v>
      </c>
      <c r="H8694" s="489">
        <v>127.35441</v>
      </c>
      <c r="I8694" s="487" t="s">
        <v>1499</v>
      </c>
      <c r="J8694" s="487" t="s">
        <v>1211</v>
      </c>
    </row>
    <row r="8695" spans="1:10" ht="15" x14ac:dyDescent="0.2">
      <c r="A8695" s="486" t="s">
        <v>1210</v>
      </c>
      <c r="B8695" s="487" t="s">
        <v>1209</v>
      </c>
      <c r="C8695" s="488" t="s">
        <v>27030</v>
      </c>
      <c r="D8695" s="489" t="s">
        <v>27031</v>
      </c>
      <c r="E8695" s="487" t="s">
        <v>27032</v>
      </c>
      <c r="F8695" s="490">
        <v>17260</v>
      </c>
      <c r="G8695" s="489">
        <v>484.79</v>
      </c>
      <c r="H8695" s="489">
        <v>35.60304</v>
      </c>
      <c r="I8695" s="487" t="s">
        <v>1499</v>
      </c>
      <c r="J8695" s="487" t="s">
        <v>1211</v>
      </c>
    </row>
    <row r="8696" spans="1:10" ht="15" x14ac:dyDescent="0.2">
      <c r="A8696" s="486" t="s">
        <v>1210</v>
      </c>
      <c r="B8696" s="487" t="s">
        <v>1209</v>
      </c>
      <c r="C8696" s="488" t="s">
        <v>27033</v>
      </c>
      <c r="D8696" s="489" t="s">
        <v>27034</v>
      </c>
      <c r="E8696" s="487" t="s">
        <v>27035</v>
      </c>
      <c r="F8696" s="490">
        <v>46209</v>
      </c>
      <c r="G8696" s="489">
        <v>1014.48</v>
      </c>
      <c r="H8696" s="489">
        <v>45.549439999999997</v>
      </c>
      <c r="I8696" s="487" t="s">
        <v>1499</v>
      </c>
      <c r="J8696" s="487" t="s">
        <v>1211</v>
      </c>
    </row>
    <row r="8697" spans="1:10" ht="15" x14ac:dyDescent="0.2">
      <c r="A8697" s="486" t="s">
        <v>1210</v>
      </c>
      <c r="B8697" s="487" t="s">
        <v>1209</v>
      </c>
      <c r="C8697" s="488" t="s">
        <v>27036</v>
      </c>
      <c r="D8697" s="489" t="s">
        <v>27037</v>
      </c>
      <c r="E8697" s="487" t="s">
        <v>27038</v>
      </c>
      <c r="F8697" s="490">
        <v>310000</v>
      </c>
      <c r="G8697" s="489">
        <v>3423.63</v>
      </c>
      <c r="H8697" s="489">
        <v>90.547169999999994</v>
      </c>
      <c r="I8697" s="487" t="s">
        <v>1499</v>
      </c>
      <c r="J8697" s="487" t="s">
        <v>1211</v>
      </c>
    </row>
    <row r="8698" spans="1:10" ht="15" x14ac:dyDescent="0.2">
      <c r="A8698" s="486" t="s">
        <v>1210</v>
      </c>
      <c r="B8698" s="487" t="s">
        <v>1209</v>
      </c>
      <c r="C8698" s="488" t="s">
        <v>27039</v>
      </c>
      <c r="D8698" s="489" t="s">
        <v>27040</v>
      </c>
      <c r="E8698" s="487" t="s">
        <v>27041</v>
      </c>
      <c r="F8698" s="490">
        <v>264705</v>
      </c>
      <c r="G8698" s="489">
        <v>3529.18</v>
      </c>
      <c r="H8698" s="489">
        <v>75.004679999999993</v>
      </c>
      <c r="I8698" s="487" t="s">
        <v>1499</v>
      </c>
      <c r="J8698" s="487" t="s">
        <v>1211</v>
      </c>
    </row>
    <row r="8699" spans="1:10" ht="15" x14ac:dyDescent="0.2">
      <c r="A8699" s="486" t="s">
        <v>1210</v>
      </c>
      <c r="B8699" s="487" t="s">
        <v>1209</v>
      </c>
      <c r="C8699" s="488" t="s">
        <v>27042</v>
      </c>
      <c r="D8699" s="489" t="s">
        <v>27043</v>
      </c>
      <c r="E8699" s="487" t="s">
        <v>27044</v>
      </c>
      <c r="F8699" s="490">
        <v>22665</v>
      </c>
      <c r="G8699" s="489">
        <v>303.38</v>
      </c>
      <c r="H8699" s="489">
        <v>74.708290000000005</v>
      </c>
      <c r="I8699" s="487" t="s">
        <v>1499</v>
      </c>
      <c r="J8699" s="487" t="s">
        <v>1211</v>
      </c>
    </row>
    <row r="8700" spans="1:10" ht="15" x14ac:dyDescent="0.2">
      <c r="A8700" s="486" t="s">
        <v>1210</v>
      </c>
      <c r="B8700" s="487" t="s">
        <v>1209</v>
      </c>
      <c r="C8700" s="488" t="s">
        <v>27045</v>
      </c>
      <c r="D8700" s="489" t="s">
        <v>27046</v>
      </c>
      <c r="E8700" s="487" t="s">
        <v>27047</v>
      </c>
      <c r="F8700" s="490">
        <v>26573</v>
      </c>
      <c r="G8700" s="489">
        <v>313.33999999999997</v>
      </c>
      <c r="H8700" s="489">
        <v>84.805639999999997</v>
      </c>
      <c r="I8700" s="487" t="s">
        <v>1499</v>
      </c>
      <c r="J8700" s="487" t="s">
        <v>1211</v>
      </c>
    </row>
    <row r="8701" spans="1:10" ht="15" x14ac:dyDescent="0.2">
      <c r="A8701" s="486" t="s">
        <v>1210</v>
      </c>
      <c r="B8701" s="487" t="s">
        <v>1209</v>
      </c>
      <c r="C8701" s="488" t="s">
        <v>27048</v>
      </c>
      <c r="D8701" s="489" t="s">
        <v>27049</v>
      </c>
      <c r="E8701" s="487" t="s">
        <v>1269</v>
      </c>
      <c r="F8701" s="490">
        <v>18200</v>
      </c>
      <c r="G8701" s="489">
        <v>498.31</v>
      </c>
      <c r="H8701" s="489">
        <v>36.523449999999997</v>
      </c>
      <c r="I8701" s="487" t="s">
        <v>1499</v>
      </c>
      <c r="J8701" s="487" t="s">
        <v>1211</v>
      </c>
    </row>
    <row r="8702" spans="1:10" ht="15" x14ac:dyDescent="0.2">
      <c r="A8702" s="486" t="s">
        <v>1210</v>
      </c>
      <c r="B8702" s="487" t="s">
        <v>1209</v>
      </c>
      <c r="C8702" s="488" t="s">
        <v>27050</v>
      </c>
      <c r="D8702" s="489" t="s">
        <v>27051</v>
      </c>
      <c r="E8702" s="487" t="s">
        <v>27052</v>
      </c>
      <c r="F8702" s="490">
        <v>39680</v>
      </c>
      <c r="G8702" s="489">
        <v>587.88</v>
      </c>
      <c r="H8702" s="489">
        <v>67.496769999999998</v>
      </c>
      <c r="I8702" s="487" t="s">
        <v>1499</v>
      </c>
      <c r="J8702" s="487" t="s">
        <v>1211</v>
      </c>
    </row>
    <row r="8703" spans="1:10" ht="15" x14ac:dyDescent="0.2">
      <c r="A8703" s="486" t="s">
        <v>1210</v>
      </c>
      <c r="B8703" s="487" t="s">
        <v>1209</v>
      </c>
      <c r="C8703" s="488" t="s">
        <v>27053</v>
      </c>
      <c r="D8703" s="489" t="s">
        <v>27054</v>
      </c>
      <c r="E8703" s="487" t="s">
        <v>27055</v>
      </c>
      <c r="F8703" s="490">
        <v>376309.5</v>
      </c>
      <c r="G8703" s="489">
        <v>5250.36</v>
      </c>
      <c r="H8703" s="489">
        <v>71.673090000000002</v>
      </c>
      <c r="I8703" s="487" t="s">
        <v>1499</v>
      </c>
      <c r="J8703" s="487" t="s">
        <v>1211</v>
      </c>
    </row>
    <row r="8704" spans="1:10" ht="15" x14ac:dyDescent="0.2">
      <c r="A8704" s="486" t="s">
        <v>1234</v>
      </c>
      <c r="B8704" s="487" t="s">
        <v>1233</v>
      </c>
      <c r="C8704" s="488" t="s">
        <v>27056</v>
      </c>
      <c r="D8704" s="489" t="s">
        <v>27057</v>
      </c>
      <c r="E8704" s="487" t="s">
        <v>27058</v>
      </c>
      <c r="F8704" s="490">
        <v>3291.24</v>
      </c>
      <c r="G8704" s="489">
        <v>227</v>
      </c>
      <c r="H8704" s="489">
        <v>14.498849999999999</v>
      </c>
      <c r="I8704" s="487" t="s">
        <v>1499</v>
      </c>
      <c r="J8704" s="487" t="s">
        <v>1235</v>
      </c>
    </row>
    <row r="8705" spans="1:10" ht="15" x14ac:dyDescent="0.2">
      <c r="A8705" s="486" t="s">
        <v>1234</v>
      </c>
      <c r="B8705" s="487" t="s">
        <v>1233</v>
      </c>
      <c r="C8705" s="488" t="s">
        <v>27059</v>
      </c>
      <c r="D8705" s="489" t="s">
        <v>27060</v>
      </c>
      <c r="E8705" s="487" t="s">
        <v>27061</v>
      </c>
      <c r="F8705" s="490">
        <v>107632.83</v>
      </c>
      <c r="G8705" s="489">
        <v>1040</v>
      </c>
      <c r="H8705" s="489">
        <v>103.49311</v>
      </c>
      <c r="I8705" s="487" t="s">
        <v>1499</v>
      </c>
      <c r="J8705" s="487" t="s">
        <v>1235</v>
      </c>
    </row>
    <row r="8706" spans="1:10" ht="15" x14ac:dyDescent="0.2">
      <c r="A8706" s="486" t="s">
        <v>1234</v>
      </c>
      <c r="B8706" s="487" t="s">
        <v>1233</v>
      </c>
      <c r="C8706" s="488" t="s">
        <v>27062</v>
      </c>
      <c r="D8706" s="489" t="s">
        <v>27063</v>
      </c>
      <c r="E8706" s="487" t="s">
        <v>27064</v>
      </c>
      <c r="F8706" s="490">
        <v>42849.7</v>
      </c>
      <c r="G8706" s="489">
        <v>793.1</v>
      </c>
      <c r="H8706" s="489">
        <v>54.028120000000001</v>
      </c>
      <c r="I8706" s="487" t="s">
        <v>1499</v>
      </c>
      <c r="J8706" s="487" t="s">
        <v>1235</v>
      </c>
    </row>
    <row r="8707" spans="1:10" ht="15" x14ac:dyDescent="0.2">
      <c r="A8707" s="486" t="s">
        <v>1234</v>
      </c>
      <c r="B8707" s="487" t="s">
        <v>1233</v>
      </c>
      <c r="C8707" s="488" t="s">
        <v>27065</v>
      </c>
      <c r="D8707" s="489" t="s">
        <v>27066</v>
      </c>
      <c r="E8707" s="487" t="s">
        <v>6501</v>
      </c>
      <c r="F8707" s="490">
        <v>14667.3</v>
      </c>
      <c r="G8707" s="489">
        <v>230.1</v>
      </c>
      <c r="H8707" s="489">
        <v>63.743160000000003</v>
      </c>
      <c r="I8707" s="487" t="s">
        <v>1499</v>
      </c>
      <c r="J8707" s="487" t="s">
        <v>1235</v>
      </c>
    </row>
    <row r="8708" spans="1:10" ht="15" x14ac:dyDescent="0.2">
      <c r="A8708" s="486" t="s">
        <v>1234</v>
      </c>
      <c r="B8708" s="487" t="s">
        <v>1233</v>
      </c>
      <c r="C8708" s="488" t="s">
        <v>27067</v>
      </c>
      <c r="D8708" s="489" t="s">
        <v>27068</v>
      </c>
      <c r="E8708" s="487" t="s">
        <v>27069</v>
      </c>
      <c r="F8708" s="490">
        <v>15374.79</v>
      </c>
      <c r="G8708" s="489">
        <v>542.4</v>
      </c>
      <c r="H8708" s="489">
        <v>28.345849999999999</v>
      </c>
      <c r="I8708" s="487" t="s">
        <v>1499</v>
      </c>
      <c r="J8708" s="487" t="s">
        <v>1235</v>
      </c>
    </row>
    <row r="8709" spans="1:10" ht="15" x14ac:dyDescent="0.2">
      <c r="A8709" s="486" t="s">
        <v>1234</v>
      </c>
      <c r="B8709" s="487" t="s">
        <v>1233</v>
      </c>
      <c r="C8709" s="488" t="s">
        <v>27070</v>
      </c>
      <c r="D8709" s="489" t="s">
        <v>27071</v>
      </c>
      <c r="E8709" s="487" t="s">
        <v>27072</v>
      </c>
      <c r="F8709" s="490">
        <v>7375.31</v>
      </c>
      <c r="G8709" s="489">
        <v>249.5</v>
      </c>
      <c r="H8709" s="489">
        <v>29.560359999999999</v>
      </c>
      <c r="I8709" s="487" t="s">
        <v>1499</v>
      </c>
      <c r="J8709" s="487" t="s">
        <v>1235</v>
      </c>
    </row>
    <row r="8710" spans="1:10" ht="15" x14ac:dyDescent="0.2">
      <c r="A8710" s="486" t="s">
        <v>1234</v>
      </c>
      <c r="B8710" s="487" t="s">
        <v>1233</v>
      </c>
      <c r="C8710" s="488" t="s">
        <v>27073</v>
      </c>
      <c r="D8710" s="489" t="s">
        <v>27074</v>
      </c>
      <c r="E8710" s="487" t="s">
        <v>27075</v>
      </c>
      <c r="F8710" s="490">
        <v>7031.35</v>
      </c>
      <c r="G8710" s="489">
        <v>293.8</v>
      </c>
      <c r="H8710" s="489">
        <v>23.93244</v>
      </c>
      <c r="I8710" s="487" t="s">
        <v>1499</v>
      </c>
      <c r="J8710" s="487" t="s">
        <v>1235</v>
      </c>
    </row>
    <row r="8711" spans="1:10" ht="15" x14ac:dyDescent="0.2">
      <c r="A8711" s="486" t="s">
        <v>1234</v>
      </c>
      <c r="B8711" s="487" t="s">
        <v>1233</v>
      </c>
      <c r="C8711" s="488" t="s">
        <v>27076</v>
      </c>
      <c r="D8711" s="489" t="s">
        <v>27077</v>
      </c>
      <c r="E8711" s="487" t="s">
        <v>27078</v>
      </c>
      <c r="F8711" s="490">
        <v>241166.25</v>
      </c>
      <c r="G8711" s="489">
        <v>1890.6</v>
      </c>
      <c r="H8711" s="489">
        <v>127.5607</v>
      </c>
      <c r="I8711" s="487" t="s">
        <v>1499</v>
      </c>
      <c r="J8711" s="487" t="s">
        <v>1235</v>
      </c>
    </row>
    <row r="8712" spans="1:10" ht="15" x14ac:dyDescent="0.2">
      <c r="A8712" s="486" t="s">
        <v>1234</v>
      </c>
      <c r="B8712" s="487" t="s">
        <v>1233</v>
      </c>
      <c r="C8712" s="488" t="s">
        <v>27079</v>
      </c>
      <c r="D8712" s="489" t="s">
        <v>27080</v>
      </c>
      <c r="E8712" s="487" t="s">
        <v>27081</v>
      </c>
      <c r="F8712" s="490">
        <v>11112.57</v>
      </c>
      <c r="G8712" s="489">
        <v>877.8</v>
      </c>
      <c r="H8712" s="489">
        <v>12.65957</v>
      </c>
      <c r="I8712" s="487" t="s">
        <v>1499</v>
      </c>
      <c r="J8712" s="487" t="s">
        <v>1235</v>
      </c>
    </row>
    <row r="8713" spans="1:10" ht="15" x14ac:dyDescent="0.2">
      <c r="A8713" s="486" t="s">
        <v>1234</v>
      </c>
      <c r="B8713" s="487" t="s">
        <v>1233</v>
      </c>
      <c r="C8713" s="488" t="s">
        <v>27082</v>
      </c>
      <c r="D8713" s="489" t="s">
        <v>27083</v>
      </c>
      <c r="E8713" s="487" t="s">
        <v>27084</v>
      </c>
      <c r="F8713" s="490">
        <v>20558.47</v>
      </c>
      <c r="G8713" s="489">
        <v>904.3</v>
      </c>
      <c r="H8713" s="489">
        <v>22.73413</v>
      </c>
      <c r="I8713" s="487" t="s">
        <v>1499</v>
      </c>
      <c r="J8713" s="487" t="s">
        <v>1235</v>
      </c>
    </row>
    <row r="8714" spans="1:10" ht="15" x14ac:dyDescent="0.2">
      <c r="A8714" s="486" t="s">
        <v>1234</v>
      </c>
      <c r="B8714" s="487" t="s">
        <v>1233</v>
      </c>
      <c r="C8714" s="488" t="s">
        <v>27085</v>
      </c>
      <c r="D8714" s="489" t="s">
        <v>27086</v>
      </c>
      <c r="E8714" s="487" t="s">
        <v>27087</v>
      </c>
      <c r="F8714" s="490">
        <v>80377.47</v>
      </c>
      <c r="G8714" s="489">
        <v>2156.9</v>
      </c>
      <c r="H8714" s="489">
        <v>37.265270000000001</v>
      </c>
      <c r="I8714" s="487" t="s">
        <v>1499</v>
      </c>
      <c r="J8714" s="487" t="s">
        <v>1235</v>
      </c>
    </row>
    <row r="8715" spans="1:10" ht="15" x14ac:dyDescent="0.2">
      <c r="A8715" s="486" t="s">
        <v>1234</v>
      </c>
      <c r="B8715" s="487" t="s">
        <v>1233</v>
      </c>
      <c r="C8715" s="488" t="s">
        <v>27088</v>
      </c>
      <c r="D8715" s="489" t="s">
        <v>27089</v>
      </c>
      <c r="E8715" s="487" t="s">
        <v>27090</v>
      </c>
      <c r="F8715" s="490">
        <v>345.6</v>
      </c>
      <c r="G8715" s="489">
        <v>65.599999999999994</v>
      </c>
      <c r="H8715" s="489">
        <v>5.2682900000000004</v>
      </c>
      <c r="I8715" s="487" t="s">
        <v>1499</v>
      </c>
      <c r="J8715" s="487" t="s">
        <v>1235</v>
      </c>
    </row>
    <row r="8716" spans="1:10" ht="15" x14ac:dyDescent="0.2">
      <c r="A8716" s="486" t="s">
        <v>1234</v>
      </c>
      <c r="B8716" s="487" t="s">
        <v>1233</v>
      </c>
      <c r="C8716" s="488" t="s">
        <v>27091</v>
      </c>
      <c r="D8716" s="489" t="s">
        <v>27092</v>
      </c>
      <c r="E8716" s="487" t="s">
        <v>16432</v>
      </c>
      <c r="F8716" s="490">
        <v>1180</v>
      </c>
      <c r="G8716" s="489">
        <v>142.9</v>
      </c>
      <c r="H8716" s="489">
        <v>8.2575199999999995</v>
      </c>
      <c r="I8716" s="487" t="s">
        <v>1499</v>
      </c>
      <c r="J8716" s="487" t="s">
        <v>1235</v>
      </c>
    </row>
    <row r="8717" spans="1:10" ht="15" x14ac:dyDescent="0.2">
      <c r="A8717" s="486" t="s">
        <v>1234</v>
      </c>
      <c r="B8717" s="487" t="s">
        <v>1233</v>
      </c>
      <c r="C8717" s="488" t="s">
        <v>27093</v>
      </c>
      <c r="D8717" s="489" t="s">
        <v>27094</v>
      </c>
      <c r="E8717" s="487" t="s">
        <v>27095</v>
      </c>
      <c r="F8717" s="490">
        <v>1921.79</v>
      </c>
      <c r="G8717" s="489">
        <v>84.3</v>
      </c>
      <c r="H8717" s="489">
        <v>22.797029999999999</v>
      </c>
      <c r="I8717" s="487" t="s">
        <v>1499</v>
      </c>
      <c r="J8717" s="487" t="s">
        <v>1235</v>
      </c>
    </row>
    <row r="8718" spans="1:10" ht="15" x14ac:dyDescent="0.2">
      <c r="A8718" s="486" t="s">
        <v>1234</v>
      </c>
      <c r="B8718" s="487" t="s">
        <v>1233</v>
      </c>
      <c r="C8718" s="488" t="s">
        <v>27096</v>
      </c>
      <c r="D8718" s="489" t="s">
        <v>27097</v>
      </c>
      <c r="E8718" s="487" t="s">
        <v>20343</v>
      </c>
      <c r="F8718" s="490">
        <v>105208.09</v>
      </c>
      <c r="G8718" s="489">
        <v>2285.5</v>
      </c>
      <c r="H8718" s="489">
        <v>46.032850000000003</v>
      </c>
      <c r="I8718" s="487" t="s">
        <v>1499</v>
      </c>
      <c r="J8718" s="487" t="s">
        <v>1235</v>
      </c>
    </row>
    <row r="8719" spans="1:10" ht="15" x14ac:dyDescent="0.2">
      <c r="A8719" s="486" t="s">
        <v>1234</v>
      </c>
      <c r="B8719" s="487" t="s">
        <v>1233</v>
      </c>
      <c r="C8719" s="488" t="s">
        <v>27098</v>
      </c>
      <c r="D8719" s="489" t="s">
        <v>27099</v>
      </c>
      <c r="E8719" s="487" t="s">
        <v>19414</v>
      </c>
      <c r="F8719" s="490">
        <v>4386.13</v>
      </c>
      <c r="G8719" s="489">
        <v>86.2</v>
      </c>
      <c r="H8719" s="489">
        <v>50.883180000000003</v>
      </c>
      <c r="I8719" s="487" t="s">
        <v>1499</v>
      </c>
      <c r="J8719" s="487" t="s">
        <v>1235</v>
      </c>
    </row>
    <row r="8720" spans="1:10" ht="15" x14ac:dyDescent="0.2">
      <c r="A8720" s="486" t="s">
        <v>1234</v>
      </c>
      <c r="B8720" s="487" t="s">
        <v>1233</v>
      </c>
      <c r="C8720" s="488" t="s">
        <v>27100</v>
      </c>
      <c r="D8720" s="489" t="s">
        <v>27101</v>
      </c>
      <c r="E8720" s="487" t="s">
        <v>27102</v>
      </c>
      <c r="F8720" s="490">
        <v>117046.81</v>
      </c>
      <c r="G8720" s="489">
        <v>2011.8</v>
      </c>
      <c r="H8720" s="489">
        <v>58.180140000000002</v>
      </c>
      <c r="I8720" s="487" t="s">
        <v>1499</v>
      </c>
      <c r="J8720" s="487" t="s">
        <v>1235</v>
      </c>
    </row>
    <row r="8721" spans="1:10" ht="15" x14ac:dyDescent="0.2">
      <c r="A8721" s="486" t="s">
        <v>1234</v>
      </c>
      <c r="B8721" s="487" t="s">
        <v>1233</v>
      </c>
      <c r="C8721" s="488" t="s">
        <v>27103</v>
      </c>
      <c r="D8721" s="489" t="s">
        <v>27104</v>
      </c>
      <c r="E8721" s="487" t="s">
        <v>4218</v>
      </c>
      <c r="F8721" s="490">
        <v>25262.21</v>
      </c>
      <c r="G8721" s="489">
        <v>457.3</v>
      </c>
      <c r="H8721" s="489">
        <v>55.242089999999997</v>
      </c>
      <c r="I8721" s="487" t="s">
        <v>1499</v>
      </c>
      <c r="J8721" s="487" t="s">
        <v>1235</v>
      </c>
    </row>
    <row r="8722" spans="1:10" ht="15" x14ac:dyDescent="0.2">
      <c r="A8722" s="486" t="s">
        <v>1234</v>
      </c>
      <c r="B8722" s="487" t="s">
        <v>1233</v>
      </c>
      <c r="C8722" s="488" t="s">
        <v>27105</v>
      </c>
      <c r="D8722" s="489" t="s">
        <v>27106</v>
      </c>
      <c r="E8722" s="487" t="s">
        <v>27107</v>
      </c>
      <c r="F8722" s="490">
        <v>4997.74</v>
      </c>
      <c r="G8722" s="489">
        <v>388.6</v>
      </c>
      <c r="H8722" s="489">
        <v>12.860889999999999</v>
      </c>
      <c r="I8722" s="487" t="s">
        <v>1499</v>
      </c>
      <c r="J8722" s="487" t="s">
        <v>1235</v>
      </c>
    </row>
    <row r="8723" spans="1:10" ht="15" x14ac:dyDescent="0.2">
      <c r="A8723" s="486" t="s">
        <v>1234</v>
      </c>
      <c r="B8723" s="487" t="s">
        <v>1233</v>
      </c>
      <c r="C8723" s="488" t="s">
        <v>27108</v>
      </c>
      <c r="D8723" s="489" t="s">
        <v>27109</v>
      </c>
      <c r="E8723" s="487" t="s">
        <v>27110</v>
      </c>
      <c r="F8723" s="490">
        <v>12448.98</v>
      </c>
      <c r="G8723" s="489">
        <v>277.39999999999998</v>
      </c>
      <c r="H8723" s="489">
        <v>44.877360000000003</v>
      </c>
      <c r="I8723" s="487" t="s">
        <v>1499</v>
      </c>
      <c r="J8723" s="487" t="s">
        <v>1235</v>
      </c>
    </row>
    <row r="8724" spans="1:10" ht="15" x14ac:dyDescent="0.2">
      <c r="A8724" s="486" t="s">
        <v>1234</v>
      </c>
      <c r="B8724" s="487" t="s">
        <v>1233</v>
      </c>
      <c r="C8724" s="488" t="s">
        <v>27111</v>
      </c>
      <c r="D8724" s="489" t="s">
        <v>27112</v>
      </c>
      <c r="E8724" s="487" t="s">
        <v>27113</v>
      </c>
      <c r="F8724" s="490">
        <v>42000</v>
      </c>
      <c r="G8724" s="489">
        <v>748.8</v>
      </c>
      <c r="H8724" s="489">
        <v>56.089739999999999</v>
      </c>
      <c r="I8724" s="487" t="s">
        <v>1499</v>
      </c>
      <c r="J8724" s="487" t="s">
        <v>1235</v>
      </c>
    </row>
    <row r="8725" spans="1:10" ht="15" x14ac:dyDescent="0.2">
      <c r="A8725" s="486" t="s">
        <v>1234</v>
      </c>
      <c r="B8725" s="487" t="s">
        <v>1233</v>
      </c>
      <c r="C8725" s="488" t="s">
        <v>27114</v>
      </c>
      <c r="D8725" s="489" t="s">
        <v>27115</v>
      </c>
      <c r="E8725" s="487" t="s">
        <v>27116</v>
      </c>
      <c r="F8725" s="490">
        <v>40638.839999999997</v>
      </c>
      <c r="G8725" s="489">
        <v>844.9</v>
      </c>
      <c r="H8725" s="489">
        <v>48.098990000000001</v>
      </c>
      <c r="I8725" s="487" t="s">
        <v>1499</v>
      </c>
      <c r="J8725" s="487" t="s">
        <v>1235</v>
      </c>
    </row>
    <row r="8726" spans="1:10" ht="15" x14ac:dyDescent="0.2">
      <c r="A8726" s="486" t="s">
        <v>1234</v>
      </c>
      <c r="B8726" s="487" t="s">
        <v>1233</v>
      </c>
      <c r="C8726" s="488" t="s">
        <v>27117</v>
      </c>
      <c r="D8726" s="489" t="s">
        <v>27118</v>
      </c>
      <c r="E8726" s="487" t="s">
        <v>27119</v>
      </c>
      <c r="F8726" s="490">
        <v>7296.13</v>
      </c>
      <c r="G8726" s="489">
        <v>187.7</v>
      </c>
      <c r="H8726" s="489">
        <v>38.871229999999997</v>
      </c>
      <c r="I8726" s="487" t="s">
        <v>1499</v>
      </c>
      <c r="J8726" s="487" t="s">
        <v>1235</v>
      </c>
    </row>
    <row r="8727" spans="1:10" ht="15" x14ac:dyDescent="0.2">
      <c r="A8727" s="486" t="s">
        <v>1234</v>
      </c>
      <c r="B8727" s="487" t="s">
        <v>1233</v>
      </c>
      <c r="C8727" s="488" t="s">
        <v>27120</v>
      </c>
      <c r="D8727" s="489" t="s">
        <v>27121</v>
      </c>
      <c r="E8727" s="487" t="s">
        <v>27122</v>
      </c>
      <c r="F8727" s="490">
        <v>3433.74</v>
      </c>
      <c r="G8727" s="489">
        <v>84.1</v>
      </c>
      <c r="H8727" s="489">
        <v>40.829250000000002</v>
      </c>
      <c r="I8727" s="487" t="s">
        <v>1499</v>
      </c>
      <c r="J8727" s="487" t="s">
        <v>1235</v>
      </c>
    </row>
    <row r="8728" spans="1:10" ht="15" x14ac:dyDescent="0.2">
      <c r="A8728" s="486" t="s">
        <v>1234</v>
      </c>
      <c r="B8728" s="487" t="s">
        <v>1233</v>
      </c>
      <c r="C8728" s="488" t="s">
        <v>27123</v>
      </c>
      <c r="D8728" s="489" t="s">
        <v>27124</v>
      </c>
      <c r="E8728" s="487" t="s">
        <v>4588</v>
      </c>
      <c r="F8728" s="490">
        <v>0</v>
      </c>
      <c r="G8728" s="489">
        <v>88.7</v>
      </c>
      <c r="H8728" s="489">
        <v>0</v>
      </c>
      <c r="I8728" s="487" t="s">
        <v>1593</v>
      </c>
      <c r="J8728" s="487" t="s">
        <v>1235</v>
      </c>
    </row>
    <row r="8729" spans="1:10" ht="15" x14ac:dyDescent="0.2">
      <c r="A8729" s="486" t="s">
        <v>1234</v>
      </c>
      <c r="B8729" s="487" t="s">
        <v>1233</v>
      </c>
      <c r="C8729" s="488" t="s">
        <v>27125</v>
      </c>
      <c r="D8729" s="489" t="s">
        <v>27126</v>
      </c>
      <c r="E8729" s="487" t="s">
        <v>27127</v>
      </c>
      <c r="F8729" s="490">
        <v>8864.69</v>
      </c>
      <c r="G8729" s="489">
        <v>199.6</v>
      </c>
      <c r="H8729" s="489">
        <v>44.412269999999999</v>
      </c>
      <c r="I8729" s="487" t="s">
        <v>1499</v>
      </c>
      <c r="J8729" s="487" t="s">
        <v>1235</v>
      </c>
    </row>
    <row r="8730" spans="1:10" ht="15" x14ac:dyDescent="0.2">
      <c r="A8730" s="486" t="s">
        <v>1234</v>
      </c>
      <c r="B8730" s="487" t="s">
        <v>1233</v>
      </c>
      <c r="C8730" s="488" t="s">
        <v>27128</v>
      </c>
      <c r="D8730" s="489" t="s">
        <v>27129</v>
      </c>
      <c r="E8730" s="487" t="s">
        <v>27130</v>
      </c>
      <c r="F8730" s="490">
        <v>3906.37</v>
      </c>
      <c r="G8730" s="489">
        <v>200</v>
      </c>
      <c r="H8730" s="489">
        <v>19.531849999999999</v>
      </c>
      <c r="I8730" s="487" t="s">
        <v>1499</v>
      </c>
      <c r="J8730" s="487" t="s">
        <v>1235</v>
      </c>
    </row>
    <row r="8731" spans="1:10" ht="15" x14ac:dyDescent="0.2">
      <c r="A8731" s="486" t="s">
        <v>1234</v>
      </c>
      <c r="B8731" s="487" t="s">
        <v>1233</v>
      </c>
      <c r="C8731" s="488" t="s">
        <v>27131</v>
      </c>
      <c r="D8731" s="489" t="s">
        <v>27132</v>
      </c>
      <c r="E8731" s="487" t="s">
        <v>27133</v>
      </c>
      <c r="F8731" s="490">
        <v>5250</v>
      </c>
      <c r="G8731" s="489">
        <v>189.3</v>
      </c>
      <c r="H8731" s="489">
        <v>27.73376</v>
      </c>
      <c r="I8731" s="487" t="s">
        <v>1499</v>
      </c>
      <c r="J8731" s="487" t="s">
        <v>1235</v>
      </c>
    </row>
    <row r="8732" spans="1:10" ht="15" x14ac:dyDescent="0.2">
      <c r="A8732" s="486" t="s">
        <v>1234</v>
      </c>
      <c r="B8732" s="487" t="s">
        <v>1233</v>
      </c>
      <c r="C8732" s="488" t="s">
        <v>27134</v>
      </c>
      <c r="D8732" s="489" t="s">
        <v>27135</v>
      </c>
      <c r="E8732" s="487" t="s">
        <v>27136</v>
      </c>
      <c r="F8732" s="490">
        <v>8333.48</v>
      </c>
      <c r="G8732" s="489">
        <v>184.3</v>
      </c>
      <c r="H8732" s="489">
        <v>45.216929999999998</v>
      </c>
      <c r="I8732" s="487" t="s">
        <v>1499</v>
      </c>
      <c r="J8732" s="487" t="s">
        <v>1235</v>
      </c>
    </row>
    <row r="8733" spans="1:10" ht="15" x14ac:dyDescent="0.2">
      <c r="A8733" s="486" t="s">
        <v>1234</v>
      </c>
      <c r="B8733" s="487" t="s">
        <v>1233</v>
      </c>
      <c r="C8733" s="488" t="s">
        <v>27137</v>
      </c>
      <c r="D8733" s="489" t="s">
        <v>27138</v>
      </c>
      <c r="E8733" s="487" t="s">
        <v>27139</v>
      </c>
      <c r="F8733" s="490">
        <v>14839.96</v>
      </c>
      <c r="G8733" s="489">
        <v>171.2</v>
      </c>
      <c r="H8733" s="489">
        <v>86.682010000000005</v>
      </c>
      <c r="I8733" s="487" t="s">
        <v>1499</v>
      </c>
      <c r="J8733" s="487" t="s">
        <v>1235</v>
      </c>
    </row>
    <row r="8734" spans="1:10" ht="15" x14ac:dyDescent="0.2">
      <c r="A8734" s="486" t="s">
        <v>1234</v>
      </c>
      <c r="B8734" s="487" t="s">
        <v>1233</v>
      </c>
      <c r="C8734" s="488" t="s">
        <v>27140</v>
      </c>
      <c r="D8734" s="489" t="s">
        <v>27141</v>
      </c>
      <c r="E8734" s="487" t="s">
        <v>27142</v>
      </c>
      <c r="F8734" s="490">
        <v>18951.37</v>
      </c>
      <c r="G8734" s="489">
        <v>769.3</v>
      </c>
      <c r="H8734" s="489">
        <v>24.63456</v>
      </c>
      <c r="I8734" s="487" t="s">
        <v>1499</v>
      </c>
      <c r="J8734" s="487" t="s">
        <v>1235</v>
      </c>
    </row>
    <row r="8735" spans="1:10" ht="15" x14ac:dyDescent="0.2">
      <c r="A8735" s="486" t="s">
        <v>1234</v>
      </c>
      <c r="B8735" s="487" t="s">
        <v>1233</v>
      </c>
      <c r="C8735" s="488" t="s">
        <v>27143</v>
      </c>
      <c r="D8735" s="489" t="s">
        <v>27144</v>
      </c>
      <c r="E8735" s="487" t="s">
        <v>13806</v>
      </c>
      <c r="F8735" s="490">
        <v>11331.57</v>
      </c>
      <c r="G8735" s="489">
        <v>330</v>
      </c>
      <c r="H8735" s="489">
        <v>34.338090000000001</v>
      </c>
      <c r="I8735" s="487" t="s">
        <v>1499</v>
      </c>
      <c r="J8735" s="487" t="s">
        <v>1235</v>
      </c>
    </row>
    <row r="8736" spans="1:10" ht="15" x14ac:dyDescent="0.2">
      <c r="A8736" s="486" t="s">
        <v>1234</v>
      </c>
      <c r="B8736" s="487" t="s">
        <v>1233</v>
      </c>
      <c r="C8736" s="488" t="s">
        <v>27145</v>
      </c>
      <c r="D8736" s="489" t="s">
        <v>27146</v>
      </c>
      <c r="E8736" s="487" t="s">
        <v>27147</v>
      </c>
      <c r="F8736" s="490">
        <v>17628.47</v>
      </c>
      <c r="G8736" s="489">
        <v>751</v>
      </c>
      <c r="H8736" s="489">
        <v>23.473330000000001</v>
      </c>
      <c r="I8736" s="487" t="s">
        <v>1499</v>
      </c>
      <c r="J8736" s="487" t="s">
        <v>1235</v>
      </c>
    </row>
    <row r="8737" spans="1:10" ht="15" x14ac:dyDescent="0.2">
      <c r="A8737" s="486" t="s">
        <v>1234</v>
      </c>
      <c r="B8737" s="487" t="s">
        <v>1233</v>
      </c>
      <c r="C8737" s="488" t="s">
        <v>27148</v>
      </c>
      <c r="D8737" s="489" t="s">
        <v>27149</v>
      </c>
      <c r="E8737" s="487" t="s">
        <v>27150</v>
      </c>
      <c r="F8737" s="490">
        <v>409788.12</v>
      </c>
      <c r="G8737" s="489">
        <v>6403.9</v>
      </c>
      <c r="H8737" s="489">
        <v>63.990400000000001</v>
      </c>
      <c r="I8737" s="487" t="s">
        <v>1499</v>
      </c>
      <c r="J8737" s="487" t="s">
        <v>1235</v>
      </c>
    </row>
    <row r="8738" spans="1:10" ht="15" x14ac:dyDescent="0.2">
      <c r="A8738" s="486" t="s">
        <v>1234</v>
      </c>
      <c r="B8738" s="487" t="s">
        <v>1233</v>
      </c>
      <c r="C8738" s="488" t="s">
        <v>27151</v>
      </c>
      <c r="D8738" s="489" t="s">
        <v>27152</v>
      </c>
      <c r="E8738" s="487" t="s">
        <v>27153</v>
      </c>
      <c r="F8738" s="490">
        <v>20105.38</v>
      </c>
      <c r="G8738" s="489">
        <v>194.2</v>
      </c>
      <c r="H8738" s="489">
        <v>103.52925</v>
      </c>
      <c r="I8738" s="487" t="s">
        <v>1499</v>
      </c>
      <c r="J8738" s="487" t="s">
        <v>1235</v>
      </c>
    </row>
    <row r="8739" spans="1:10" ht="15" x14ac:dyDescent="0.2">
      <c r="A8739" s="486" t="s">
        <v>1234</v>
      </c>
      <c r="B8739" s="487" t="s">
        <v>1233</v>
      </c>
      <c r="C8739" s="488" t="s">
        <v>27154</v>
      </c>
      <c r="D8739" s="489" t="s">
        <v>27155</v>
      </c>
      <c r="E8739" s="487" t="s">
        <v>27156</v>
      </c>
      <c r="F8739" s="490">
        <v>32884.839999999997</v>
      </c>
      <c r="G8739" s="489">
        <v>1361.7</v>
      </c>
      <c r="H8739" s="489">
        <v>24.149840000000001</v>
      </c>
      <c r="I8739" s="487" t="s">
        <v>1499</v>
      </c>
      <c r="J8739" s="487" t="s">
        <v>1235</v>
      </c>
    </row>
    <row r="8740" spans="1:10" ht="15" x14ac:dyDescent="0.2">
      <c r="A8740" s="486" t="s">
        <v>1234</v>
      </c>
      <c r="B8740" s="487" t="s">
        <v>1233</v>
      </c>
      <c r="C8740" s="488" t="s">
        <v>27157</v>
      </c>
      <c r="D8740" s="489" t="s">
        <v>27158</v>
      </c>
      <c r="E8740" s="487" t="s">
        <v>27159</v>
      </c>
      <c r="F8740" s="490">
        <v>3420.04</v>
      </c>
      <c r="G8740" s="489">
        <v>130.1</v>
      </c>
      <c r="H8740" s="489">
        <v>26.287780000000001</v>
      </c>
      <c r="I8740" s="487" t="s">
        <v>1499</v>
      </c>
      <c r="J8740" s="487" t="s">
        <v>1235</v>
      </c>
    </row>
    <row r="8741" spans="1:10" ht="15" x14ac:dyDescent="0.2">
      <c r="A8741" s="486" t="s">
        <v>1234</v>
      </c>
      <c r="B8741" s="487" t="s">
        <v>1233</v>
      </c>
      <c r="C8741" s="488" t="s">
        <v>27160</v>
      </c>
      <c r="D8741" s="489" t="s">
        <v>27161</v>
      </c>
      <c r="E8741" s="487" t="s">
        <v>13954</v>
      </c>
      <c r="F8741" s="490">
        <v>34062.33</v>
      </c>
      <c r="G8741" s="489">
        <v>478</v>
      </c>
      <c r="H8741" s="489">
        <v>71.260099999999994</v>
      </c>
      <c r="I8741" s="487" t="s">
        <v>1499</v>
      </c>
      <c r="J8741" s="487" t="s">
        <v>1235</v>
      </c>
    </row>
    <row r="8742" spans="1:10" ht="15" x14ac:dyDescent="0.2">
      <c r="A8742" s="486" t="s">
        <v>1234</v>
      </c>
      <c r="B8742" s="487" t="s">
        <v>1233</v>
      </c>
      <c r="C8742" s="488" t="s">
        <v>27162</v>
      </c>
      <c r="D8742" s="489" t="s">
        <v>27163</v>
      </c>
      <c r="E8742" s="487" t="s">
        <v>27164</v>
      </c>
      <c r="F8742" s="490">
        <v>1610.4</v>
      </c>
      <c r="G8742" s="489">
        <v>88.6</v>
      </c>
      <c r="H8742" s="489">
        <v>18.176069999999999</v>
      </c>
      <c r="I8742" s="487" t="s">
        <v>1499</v>
      </c>
      <c r="J8742" s="487" t="s">
        <v>1235</v>
      </c>
    </row>
    <row r="8743" spans="1:10" ht="15" x14ac:dyDescent="0.2">
      <c r="A8743" s="486" t="s">
        <v>1234</v>
      </c>
      <c r="B8743" s="487" t="s">
        <v>1233</v>
      </c>
      <c r="C8743" s="488" t="s">
        <v>27165</v>
      </c>
      <c r="D8743" s="489" t="s">
        <v>27166</v>
      </c>
      <c r="E8743" s="487" t="s">
        <v>27167</v>
      </c>
      <c r="F8743" s="490">
        <v>28903.42</v>
      </c>
      <c r="G8743" s="489">
        <v>814.4</v>
      </c>
      <c r="H8743" s="489">
        <v>35.490450000000003</v>
      </c>
      <c r="I8743" s="487" t="s">
        <v>1499</v>
      </c>
      <c r="J8743" s="487" t="s">
        <v>1235</v>
      </c>
    </row>
    <row r="8744" spans="1:10" ht="15" x14ac:dyDescent="0.2">
      <c r="A8744" s="486" t="s">
        <v>1237</v>
      </c>
      <c r="B8744" s="487" t="s">
        <v>1236</v>
      </c>
      <c r="C8744" s="488" t="s">
        <v>27168</v>
      </c>
      <c r="D8744" s="489" t="s">
        <v>27169</v>
      </c>
      <c r="E8744" s="487" t="s">
        <v>27170</v>
      </c>
      <c r="F8744" s="490">
        <v>10250</v>
      </c>
      <c r="G8744" s="489">
        <v>175</v>
      </c>
      <c r="H8744" s="489">
        <v>58.571429999999999</v>
      </c>
      <c r="I8744" s="487" t="s">
        <v>1499</v>
      </c>
      <c r="J8744" s="487" t="s">
        <v>1238</v>
      </c>
    </row>
    <row r="8745" spans="1:10" ht="15" x14ac:dyDescent="0.2">
      <c r="A8745" s="486" t="s">
        <v>1237</v>
      </c>
      <c r="B8745" s="487" t="s">
        <v>1236</v>
      </c>
      <c r="C8745" s="488" t="s">
        <v>27171</v>
      </c>
      <c r="D8745" s="489" t="s">
        <v>27172</v>
      </c>
      <c r="E8745" s="487" t="s">
        <v>11724</v>
      </c>
      <c r="F8745" s="490">
        <v>18086.25</v>
      </c>
      <c r="G8745" s="489">
        <v>566</v>
      </c>
      <c r="H8745" s="489">
        <v>31.954509999999999</v>
      </c>
      <c r="I8745" s="487" t="s">
        <v>1499</v>
      </c>
      <c r="J8745" s="487" t="s">
        <v>1238</v>
      </c>
    </row>
    <row r="8746" spans="1:10" ht="15" x14ac:dyDescent="0.2">
      <c r="A8746" s="486" t="s">
        <v>1237</v>
      </c>
      <c r="B8746" s="487" t="s">
        <v>1236</v>
      </c>
      <c r="C8746" s="488" t="s">
        <v>27173</v>
      </c>
      <c r="D8746" s="489" t="s">
        <v>27174</v>
      </c>
      <c r="E8746" s="487" t="s">
        <v>27175</v>
      </c>
      <c r="F8746" s="490">
        <v>11819</v>
      </c>
      <c r="G8746" s="489">
        <v>378</v>
      </c>
      <c r="H8746" s="489">
        <v>31.267199999999999</v>
      </c>
      <c r="I8746" s="487" t="s">
        <v>1499</v>
      </c>
      <c r="J8746" s="487" t="s">
        <v>1238</v>
      </c>
    </row>
    <row r="8747" spans="1:10" ht="15" x14ac:dyDescent="0.2">
      <c r="A8747" s="486" t="s">
        <v>1237</v>
      </c>
      <c r="B8747" s="487" t="s">
        <v>1236</v>
      </c>
      <c r="C8747" s="488" t="s">
        <v>27176</v>
      </c>
      <c r="D8747" s="489" t="s">
        <v>27177</v>
      </c>
      <c r="E8747" s="487" t="s">
        <v>27178</v>
      </c>
      <c r="F8747" s="490">
        <v>481920</v>
      </c>
      <c r="G8747" s="489">
        <v>6401</v>
      </c>
      <c r="H8747" s="489">
        <v>75.288240000000002</v>
      </c>
      <c r="I8747" s="487" t="s">
        <v>1499</v>
      </c>
      <c r="J8747" s="487" t="s">
        <v>1238</v>
      </c>
    </row>
    <row r="8748" spans="1:10" ht="15" x14ac:dyDescent="0.2">
      <c r="A8748" s="486" t="s">
        <v>1237</v>
      </c>
      <c r="B8748" s="487" t="s">
        <v>1236</v>
      </c>
      <c r="C8748" s="488" t="s">
        <v>27179</v>
      </c>
      <c r="D8748" s="489" t="s">
        <v>27180</v>
      </c>
      <c r="E8748" s="487" t="s">
        <v>27181</v>
      </c>
      <c r="F8748" s="490">
        <v>696</v>
      </c>
      <c r="G8748" s="489">
        <v>44</v>
      </c>
      <c r="H8748" s="489">
        <v>15.81818</v>
      </c>
      <c r="I8748" s="487" t="s">
        <v>1499</v>
      </c>
      <c r="J8748" s="487" t="s">
        <v>1238</v>
      </c>
    </row>
    <row r="8749" spans="1:10" ht="15" x14ac:dyDescent="0.2">
      <c r="A8749" s="486" t="s">
        <v>1237</v>
      </c>
      <c r="B8749" s="487" t="s">
        <v>1236</v>
      </c>
      <c r="C8749" s="488" t="s">
        <v>27182</v>
      </c>
      <c r="D8749" s="489" t="s">
        <v>27183</v>
      </c>
      <c r="E8749" s="487" t="s">
        <v>27184</v>
      </c>
      <c r="F8749" s="490">
        <v>2000</v>
      </c>
      <c r="G8749" s="489">
        <v>135</v>
      </c>
      <c r="H8749" s="489">
        <v>14.81481</v>
      </c>
      <c r="I8749" s="487" t="s">
        <v>1499</v>
      </c>
      <c r="J8749" s="487" t="s">
        <v>1238</v>
      </c>
    </row>
    <row r="8750" spans="1:10" ht="15" x14ac:dyDescent="0.2">
      <c r="A8750" s="486" t="s">
        <v>1237</v>
      </c>
      <c r="B8750" s="487" t="s">
        <v>1236</v>
      </c>
      <c r="C8750" s="488" t="s">
        <v>27185</v>
      </c>
      <c r="D8750" s="489" t="s">
        <v>27186</v>
      </c>
      <c r="E8750" s="487" t="s">
        <v>27187</v>
      </c>
      <c r="F8750" s="490">
        <v>33215</v>
      </c>
      <c r="G8750" s="489">
        <v>850</v>
      </c>
      <c r="H8750" s="489">
        <v>39.07647</v>
      </c>
      <c r="I8750" s="487" t="s">
        <v>1499</v>
      </c>
      <c r="J8750" s="487" t="s">
        <v>1238</v>
      </c>
    </row>
    <row r="8751" spans="1:10" ht="15" x14ac:dyDescent="0.2">
      <c r="A8751" s="486" t="s">
        <v>1237</v>
      </c>
      <c r="B8751" s="487" t="s">
        <v>1236</v>
      </c>
      <c r="C8751" s="488" t="s">
        <v>27188</v>
      </c>
      <c r="D8751" s="489" t="s">
        <v>27189</v>
      </c>
      <c r="E8751" s="487" t="s">
        <v>27190</v>
      </c>
      <c r="F8751" s="490">
        <v>5922</v>
      </c>
      <c r="G8751" s="489">
        <v>105</v>
      </c>
      <c r="H8751" s="489">
        <v>56.4</v>
      </c>
      <c r="I8751" s="487" t="s">
        <v>1499</v>
      </c>
      <c r="J8751" s="487" t="s">
        <v>1238</v>
      </c>
    </row>
    <row r="8752" spans="1:10" ht="15" x14ac:dyDescent="0.2">
      <c r="A8752" s="486" t="s">
        <v>1237</v>
      </c>
      <c r="B8752" s="487" t="s">
        <v>1236</v>
      </c>
      <c r="C8752" s="488" t="s">
        <v>27191</v>
      </c>
      <c r="D8752" s="489" t="s">
        <v>27192</v>
      </c>
      <c r="E8752" s="487" t="s">
        <v>27193</v>
      </c>
      <c r="F8752" s="490">
        <v>8800</v>
      </c>
      <c r="G8752" s="489">
        <v>399</v>
      </c>
      <c r="H8752" s="489">
        <v>22.055140000000002</v>
      </c>
      <c r="I8752" s="487" t="s">
        <v>1499</v>
      </c>
      <c r="J8752" s="487" t="s">
        <v>1238</v>
      </c>
    </row>
    <row r="8753" spans="1:10" ht="15" x14ac:dyDescent="0.2">
      <c r="A8753" s="486" t="s">
        <v>1237</v>
      </c>
      <c r="B8753" s="487" t="s">
        <v>1236</v>
      </c>
      <c r="C8753" s="488" t="s">
        <v>27194</v>
      </c>
      <c r="D8753" s="489" t="s">
        <v>27195</v>
      </c>
      <c r="E8753" s="487" t="s">
        <v>27196</v>
      </c>
      <c r="F8753" s="490">
        <v>376842</v>
      </c>
      <c r="G8753" s="489">
        <v>4053</v>
      </c>
      <c r="H8753" s="489">
        <v>92.978530000000006</v>
      </c>
      <c r="I8753" s="487" t="s">
        <v>1499</v>
      </c>
      <c r="J8753" s="487" t="s">
        <v>1238</v>
      </c>
    </row>
    <row r="8754" spans="1:10" ht="15" x14ac:dyDescent="0.2">
      <c r="A8754" s="486" t="s">
        <v>1237</v>
      </c>
      <c r="B8754" s="487" t="s">
        <v>1236</v>
      </c>
      <c r="C8754" s="488" t="s">
        <v>27197</v>
      </c>
      <c r="D8754" s="489" t="s">
        <v>27198</v>
      </c>
      <c r="E8754" s="487" t="s">
        <v>27199</v>
      </c>
      <c r="F8754" s="490">
        <v>79100.31</v>
      </c>
      <c r="G8754" s="489">
        <v>1656</v>
      </c>
      <c r="H8754" s="489">
        <v>47.765889999999999</v>
      </c>
      <c r="I8754" s="487" t="s">
        <v>1499</v>
      </c>
      <c r="J8754" s="487" t="s">
        <v>1238</v>
      </c>
    </row>
    <row r="8755" spans="1:10" ht="15" x14ac:dyDescent="0.2">
      <c r="A8755" s="486" t="s">
        <v>1237</v>
      </c>
      <c r="B8755" s="487" t="s">
        <v>1236</v>
      </c>
      <c r="C8755" s="488" t="s">
        <v>27200</v>
      </c>
      <c r="D8755" s="489" t="s">
        <v>27201</v>
      </c>
      <c r="E8755" s="487" t="s">
        <v>27202</v>
      </c>
      <c r="F8755" s="490">
        <v>85500</v>
      </c>
      <c r="G8755" s="489">
        <v>2292</v>
      </c>
      <c r="H8755" s="489">
        <v>37.303660000000001</v>
      </c>
      <c r="I8755" s="487" t="s">
        <v>1499</v>
      </c>
      <c r="J8755" s="487" t="s">
        <v>1238</v>
      </c>
    </row>
    <row r="8756" spans="1:10" ht="15" x14ac:dyDescent="0.2">
      <c r="A8756" s="486" t="s">
        <v>1237</v>
      </c>
      <c r="B8756" s="487" t="s">
        <v>1236</v>
      </c>
      <c r="C8756" s="488" t="s">
        <v>27203</v>
      </c>
      <c r="D8756" s="489" t="s">
        <v>27204</v>
      </c>
      <c r="E8756" s="487" t="s">
        <v>27205</v>
      </c>
      <c r="F8756" s="490">
        <v>1797</v>
      </c>
      <c r="G8756" s="489">
        <v>66</v>
      </c>
      <c r="H8756" s="489">
        <v>27.227270000000001</v>
      </c>
      <c r="I8756" s="487" t="s">
        <v>1499</v>
      </c>
      <c r="J8756" s="487" t="s">
        <v>1238</v>
      </c>
    </row>
    <row r="8757" spans="1:10" ht="15" x14ac:dyDescent="0.2">
      <c r="A8757" s="486" t="s">
        <v>1237</v>
      </c>
      <c r="B8757" s="487" t="s">
        <v>1236</v>
      </c>
      <c r="C8757" s="488" t="s">
        <v>27206</v>
      </c>
      <c r="D8757" s="489" t="s">
        <v>27207</v>
      </c>
      <c r="E8757" s="487" t="s">
        <v>27208</v>
      </c>
      <c r="F8757" s="490">
        <v>7800</v>
      </c>
      <c r="G8757" s="489">
        <v>119</v>
      </c>
      <c r="H8757" s="489">
        <v>65.546220000000005</v>
      </c>
      <c r="I8757" s="487" t="s">
        <v>1499</v>
      </c>
      <c r="J8757" s="487" t="s">
        <v>1238</v>
      </c>
    </row>
    <row r="8758" spans="1:10" ht="15" x14ac:dyDescent="0.2">
      <c r="A8758" s="486" t="s">
        <v>1237</v>
      </c>
      <c r="B8758" s="487" t="s">
        <v>1236</v>
      </c>
      <c r="C8758" s="488" t="s">
        <v>27209</v>
      </c>
      <c r="D8758" s="489" t="s">
        <v>27210</v>
      </c>
      <c r="E8758" s="487" t="s">
        <v>27211</v>
      </c>
      <c r="F8758" s="490">
        <v>5000</v>
      </c>
      <c r="G8758" s="489">
        <v>225</v>
      </c>
      <c r="H8758" s="489">
        <v>22.22222</v>
      </c>
      <c r="I8758" s="487" t="s">
        <v>1499</v>
      </c>
      <c r="J8758" s="487" t="s">
        <v>1238</v>
      </c>
    </row>
    <row r="8759" spans="1:10" ht="15" x14ac:dyDescent="0.2">
      <c r="A8759" s="486" t="s">
        <v>1237</v>
      </c>
      <c r="B8759" s="487" t="s">
        <v>1236</v>
      </c>
      <c r="C8759" s="488" t="s">
        <v>27212</v>
      </c>
      <c r="D8759" s="489" t="s">
        <v>27213</v>
      </c>
      <c r="E8759" s="487" t="s">
        <v>27214</v>
      </c>
      <c r="F8759" s="490">
        <v>10605</v>
      </c>
      <c r="G8759" s="489">
        <v>383</v>
      </c>
      <c r="H8759" s="489">
        <v>27.689299999999999</v>
      </c>
      <c r="I8759" s="487" t="s">
        <v>1499</v>
      </c>
      <c r="J8759" s="487" t="s">
        <v>1238</v>
      </c>
    </row>
    <row r="8760" spans="1:10" ht="15" x14ac:dyDescent="0.2">
      <c r="A8760" s="486" t="s">
        <v>1237</v>
      </c>
      <c r="B8760" s="487" t="s">
        <v>1236</v>
      </c>
      <c r="C8760" s="488" t="s">
        <v>27215</v>
      </c>
      <c r="D8760" s="489" t="s">
        <v>27216</v>
      </c>
      <c r="E8760" s="487" t="s">
        <v>27217</v>
      </c>
      <c r="F8760" s="490">
        <v>36300</v>
      </c>
      <c r="G8760" s="489">
        <v>1354</v>
      </c>
      <c r="H8760" s="489">
        <v>26.809449999999998</v>
      </c>
      <c r="I8760" s="487" t="s">
        <v>1499</v>
      </c>
      <c r="J8760" s="487" t="s">
        <v>1238</v>
      </c>
    </row>
    <row r="8761" spans="1:10" ht="15" x14ac:dyDescent="0.2">
      <c r="A8761" s="486" t="s">
        <v>1237</v>
      </c>
      <c r="B8761" s="487" t="s">
        <v>1236</v>
      </c>
      <c r="C8761" s="488" t="s">
        <v>27218</v>
      </c>
      <c r="D8761" s="489" t="s">
        <v>27219</v>
      </c>
      <c r="E8761" s="487" t="s">
        <v>27220</v>
      </c>
      <c r="F8761" s="490">
        <v>2800</v>
      </c>
      <c r="G8761" s="489">
        <v>104</v>
      </c>
      <c r="H8761" s="489">
        <v>26.923079999999999</v>
      </c>
      <c r="I8761" s="487" t="s">
        <v>1499</v>
      </c>
      <c r="J8761" s="487" t="s">
        <v>1238</v>
      </c>
    </row>
    <row r="8762" spans="1:10" ht="15" x14ac:dyDescent="0.2">
      <c r="A8762" s="486" t="s">
        <v>1237</v>
      </c>
      <c r="B8762" s="487" t="s">
        <v>1236</v>
      </c>
      <c r="C8762" s="488" t="s">
        <v>27221</v>
      </c>
      <c r="D8762" s="489" t="s">
        <v>27222</v>
      </c>
      <c r="E8762" s="487" t="s">
        <v>27223</v>
      </c>
      <c r="F8762" s="490">
        <v>5449.5</v>
      </c>
      <c r="G8762" s="489">
        <v>126</v>
      </c>
      <c r="H8762" s="489">
        <v>43.25</v>
      </c>
      <c r="I8762" s="487" t="s">
        <v>1499</v>
      </c>
      <c r="J8762" s="487" t="s">
        <v>1238</v>
      </c>
    </row>
    <row r="8763" spans="1:10" ht="15" x14ac:dyDescent="0.2">
      <c r="A8763" s="486" t="s">
        <v>1237</v>
      </c>
      <c r="B8763" s="487" t="s">
        <v>1236</v>
      </c>
      <c r="C8763" s="488" t="s">
        <v>27224</v>
      </c>
      <c r="D8763" s="489" t="s">
        <v>27225</v>
      </c>
      <c r="E8763" s="487" t="s">
        <v>27226</v>
      </c>
      <c r="F8763" s="490">
        <v>160000</v>
      </c>
      <c r="G8763" s="489">
        <v>1857</v>
      </c>
      <c r="H8763" s="489">
        <v>86.160470000000004</v>
      </c>
      <c r="I8763" s="487" t="s">
        <v>1499</v>
      </c>
      <c r="J8763" s="487" t="s">
        <v>1238</v>
      </c>
    </row>
    <row r="8764" spans="1:10" ht="15" x14ac:dyDescent="0.2">
      <c r="A8764" s="486" t="s">
        <v>1237</v>
      </c>
      <c r="B8764" s="487" t="s">
        <v>1236</v>
      </c>
      <c r="C8764" s="488" t="s">
        <v>27227</v>
      </c>
      <c r="D8764" s="489" t="s">
        <v>27228</v>
      </c>
      <c r="E8764" s="487" t="s">
        <v>27229</v>
      </c>
      <c r="F8764" s="490">
        <v>3111.15</v>
      </c>
      <c r="G8764" s="489">
        <v>100</v>
      </c>
      <c r="H8764" s="489">
        <v>31.111499999999999</v>
      </c>
      <c r="I8764" s="487" t="s">
        <v>1499</v>
      </c>
      <c r="J8764" s="487" t="s">
        <v>1238</v>
      </c>
    </row>
    <row r="8765" spans="1:10" ht="15" x14ac:dyDescent="0.2">
      <c r="A8765" s="486" t="s">
        <v>1237</v>
      </c>
      <c r="B8765" s="487" t="s">
        <v>1236</v>
      </c>
      <c r="C8765" s="488" t="s">
        <v>27230</v>
      </c>
      <c r="D8765" s="489" t="s">
        <v>27231</v>
      </c>
      <c r="E8765" s="487" t="s">
        <v>27232</v>
      </c>
      <c r="F8765" s="490">
        <v>1048.32</v>
      </c>
      <c r="G8765" s="489">
        <v>100</v>
      </c>
      <c r="H8765" s="489">
        <v>10.4832</v>
      </c>
      <c r="I8765" s="487" t="s">
        <v>1499</v>
      </c>
      <c r="J8765" s="487" t="s">
        <v>1238</v>
      </c>
    </row>
    <row r="8766" spans="1:10" ht="15" x14ac:dyDescent="0.2">
      <c r="A8766" s="486" t="s">
        <v>1237</v>
      </c>
      <c r="B8766" s="487" t="s">
        <v>1236</v>
      </c>
      <c r="C8766" s="488" t="s">
        <v>27233</v>
      </c>
      <c r="D8766" s="489" t="s">
        <v>27234</v>
      </c>
      <c r="E8766" s="487" t="s">
        <v>27235</v>
      </c>
      <c r="F8766" s="490">
        <v>2000</v>
      </c>
      <c r="G8766" s="489">
        <v>159</v>
      </c>
      <c r="H8766" s="489">
        <v>12.578620000000001</v>
      </c>
      <c r="I8766" s="487" t="s">
        <v>1499</v>
      </c>
      <c r="J8766" s="487" t="s">
        <v>1238</v>
      </c>
    </row>
    <row r="8767" spans="1:10" ht="15" x14ac:dyDescent="0.2">
      <c r="A8767" s="486" t="s">
        <v>1237</v>
      </c>
      <c r="B8767" s="487" t="s">
        <v>1236</v>
      </c>
      <c r="C8767" s="488" t="s">
        <v>27236</v>
      </c>
      <c r="D8767" s="489" t="s">
        <v>27237</v>
      </c>
      <c r="E8767" s="487" t="s">
        <v>27238</v>
      </c>
      <c r="F8767" s="490">
        <v>1800</v>
      </c>
      <c r="G8767" s="489">
        <v>68</v>
      </c>
      <c r="H8767" s="489">
        <v>26.470590000000001</v>
      </c>
      <c r="I8767" s="487" t="s">
        <v>1499</v>
      </c>
      <c r="J8767" s="487" t="s">
        <v>1238</v>
      </c>
    </row>
    <row r="8768" spans="1:10" ht="15" x14ac:dyDescent="0.2">
      <c r="A8768" s="486" t="s">
        <v>1237</v>
      </c>
      <c r="B8768" s="487" t="s">
        <v>1236</v>
      </c>
      <c r="C8768" s="488" t="s">
        <v>27239</v>
      </c>
      <c r="D8768" s="489" t="s">
        <v>27240</v>
      </c>
      <c r="E8768" s="487" t="s">
        <v>1720</v>
      </c>
      <c r="F8768" s="490">
        <v>10000</v>
      </c>
      <c r="G8768" s="489">
        <v>393</v>
      </c>
      <c r="H8768" s="489">
        <v>25.44529</v>
      </c>
      <c r="I8768" s="487" t="s">
        <v>1499</v>
      </c>
      <c r="J8768" s="487" t="s">
        <v>1238</v>
      </c>
    </row>
    <row r="8769" spans="1:10" ht="15" x14ac:dyDescent="0.2">
      <c r="A8769" s="486" t="s">
        <v>1237</v>
      </c>
      <c r="B8769" s="487" t="s">
        <v>1236</v>
      </c>
      <c r="C8769" s="488" t="s">
        <v>27241</v>
      </c>
      <c r="D8769" s="489" t="s">
        <v>27242</v>
      </c>
      <c r="E8769" s="487" t="s">
        <v>27243</v>
      </c>
      <c r="F8769" s="490">
        <v>800</v>
      </c>
      <c r="G8769" s="489">
        <v>41</v>
      </c>
      <c r="H8769" s="489">
        <v>19.5122</v>
      </c>
      <c r="I8769" s="487" t="s">
        <v>1499</v>
      </c>
      <c r="J8769" s="487" t="s">
        <v>1238</v>
      </c>
    </row>
    <row r="8770" spans="1:10" ht="15" x14ac:dyDescent="0.2">
      <c r="A8770" s="486" t="s">
        <v>1237</v>
      </c>
      <c r="B8770" s="487" t="s">
        <v>1236</v>
      </c>
      <c r="C8770" s="488" t="s">
        <v>27244</v>
      </c>
      <c r="D8770" s="489" t="s">
        <v>27245</v>
      </c>
      <c r="E8770" s="487" t="s">
        <v>27246</v>
      </c>
      <c r="F8770" s="490">
        <v>31952.59</v>
      </c>
      <c r="G8770" s="489">
        <v>601</v>
      </c>
      <c r="H8770" s="489">
        <v>53.165709999999997</v>
      </c>
      <c r="I8770" s="487" t="s">
        <v>1499</v>
      </c>
      <c r="J8770" s="487" t="s">
        <v>1238</v>
      </c>
    </row>
    <row r="8771" spans="1:10" ht="15" x14ac:dyDescent="0.2">
      <c r="A8771" s="486" t="s">
        <v>1237</v>
      </c>
      <c r="B8771" s="487" t="s">
        <v>1236</v>
      </c>
      <c r="C8771" s="488" t="s">
        <v>27247</v>
      </c>
      <c r="D8771" s="489" t="s">
        <v>27248</v>
      </c>
      <c r="E8771" s="487" t="s">
        <v>4552</v>
      </c>
      <c r="F8771" s="490">
        <v>21435.56</v>
      </c>
      <c r="G8771" s="489">
        <v>632</v>
      </c>
      <c r="H8771" s="489">
        <v>33.917029999999997</v>
      </c>
      <c r="I8771" s="487" t="s">
        <v>1499</v>
      </c>
      <c r="J8771" s="487" t="s">
        <v>1238</v>
      </c>
    </row>
    <row r="8772" spans="1:10" ht="15" x14ac:dyDescent="0.2">
      <c r="A8772" s="486" t="s">
        <v>1237</v>
      </c>
      <c r="B8772" s="487" t="s">
        <v>1236</v>
      </c>
      <c r="C8772" s="488" t="s">
        <v>27249</v>
      </c>
      <c r="D8772" s="489" t="s">
        <v>27250</v>
      </c>
      <c r="E8772" s="487" t="s">
        <v>27251</v>
      </c>
      <c r="F8772" s="490">
        <v>220446</v>
      </c>
      <c r="G8772" s="489">
        <v>6624</v>
      </c>
      <c r="H8772" s="489">
        <v>33.279890000000002</v>
      </c>
      <c r="I8772" s="487" t="s">
        <v>1499</v>
      </c>
      <c r="J8772" s="487" t="s">
        <v>1238</v>
      </c>
    </row>
    <row r="8773" spans="1:10" ht="15" x14ac:dyDescent="0.2">
      <c r="A8773" s="486" t="s">
        <v>1237</v>
      </c>
      <c r="B8773" s="487" t="s">
        <v>1236</v>
      </c>
      <c r="C8773" s="488" t="s">
        <v>27252</v>
      </c>
      <c r="D8773" s="489" t="s">
        <v>27253</v>
      </c>
      <c r="E8773" s="487" t="s">
        <v>27254</v>
      </c>
      <c r="F8773" s="490">
        <v>2250</v>
      </c>
      <c r="G8773" s="489">
        <v>176</v>
      </c>
      <c r="H8773" s="489">
        <v>12.784090000000001</v>
      </c>
      <c r="I8773" s="487" t="s">
        <v>1499</v>
      </c>
      <c r="J8773" s="487" t="s">
        <v>1238</v>
      </c>
    </row>
    <row r="8774" spans="1:10" ht="15" x14ac:dyDescent="0.2">
      <c r="A8774" s="486" t="s">
        <v>1237</v>
      </c>
      <c r="B8774" s="487" t="s">
        <v>1236</v>
      </c>
      <c r="C8774" s="488" t="s">
        <v>27255</v>
      </c>
      <c r="D8774" s="489" t="s">
        <v>27256</v>
      </c>
      <c r="E8774" s="487" t="s">
        <v>27257</v>
      </c>
      <c r="F8774" s="490">
        <v>7196.34</v>
      </c>
      <c r="G8774" s="489">
        <v>159</v>
      </c>
      <c r="H8774" s="489">
        <v>45.26</v>
      </c>
      <c r="I8774" s="487" t="s">
        <v>1499</v>
      </c>
      <c r="J8774" s="487" t="s">
        <v>1238</v>
      </c>
    </row>
    <row r="8775" spans="1:10" ht="15" x14ac:dyDescent="0.2">
      <c r="A8775" s="486" t="s">
        <v>1237</v>
      </c>
      <c r="B8775" s="487" t="s">
        <v>1236</v>
      </c>
      <c r="C8775" s="488" t="s">
        <v>27258</v>
      </c>
      <c r="D8775" s="489" t="s">
        <v>27259</v>
      </c>
      <c r="E8775" s="487" t="s">
        <v>27260</v>
      </c>
      <c r="F8775" s="490">
        <v>5250</v>
      </c>
      <c r="G8775" s="489">
        <v>296</v>
      </c>
      <c r="H8775" s="489">
        <v>17.73649</v>
      </c>
      <c r="I8775" s="487" t="s">
        <v>1499</v>
      </c>
      <c r="J8775" s="487" t="s">
        <v>1238</v>
      </c>
    </row>
    <row r="8776" spans="1:10" ht="15" x14ac:dyDescent="0.2">
      <c r="A8776" s="486" t="s">
        <v>1237</v>
      </c>
      <c r="B8776" s="487" t="s">
        <v>1236</v>
      </c>
      <c r="C8776" s="488" t="s">
        <v>27261</v>
      </c>
      <c r="D8776" s="489" t="s">
        <v>27262</v>
      </c>
      <c r="E8776" s="487" t="s">
        <v>27263</v>
      </c>
      <c r="F8776" s="490">
        <v>7590</v>
      </c>
      <c r="G8776" s="489">
        <v>266</v>
      </c>
      <c r="H8776" s="489">
        <v>28.533829999999998</v>
      </c>
      <c r="I8776" s="487" t="s">
        <v>1499</v>
      </c>
      <c r="J8776" s="487" t="s">
        <v>1238</v>
      </c>
    </row>
    <row r="8777" spans="1:10" ht="15" x14ac:dyDescent="0.2">
      <c r="A8777" s="486" t="s">
        <v>1237</v>
      </c>
      <c r="B8777" s="487" t="s">
        <v>1236</v>
      </c>
      <c r="C8777" s="488" t="s">
        <v>27264</v>
      </c>
      <c r="D8777" s="489" t="s">
        <v>27265</v>
      </c>
      <c r="E8777" s="487" t="s">
        <v>27266</v>
      </c>
      <c r="F8777" s="490">
        <v>3104</v>
      </c>
      <c r="G8777" s="489">
        <v>87</v>
      </c>
      <c r="H8777" s="489">
        <v>35.678159999999998</v>
      </c>
      <c r="I8777" s="487" t="s">
        <v>1499</v>
      </c>
      <c r="J8777" s="487" t="s">
        <v>1238</v>
      </c>
    </row>
    <row r="8778" spans="1:10" ht="15" x14ac:dyDescent="0.2">
      <c r="A8778" s="486" t="s">
        <v>1237</v>
      </c>
      <c r="B8778" s="487" t="s">
        <v>1236</v>
      </c>
      <c r="C8778" s="488" t="s">
        <v>27267</v>
      </c>
      <c r="D8778" s="489" t="s">
        <v>27268</v>
      </c>
      <c r="E8778" s="487" t="s">
        <v>27269</v>
      </c>
      <c r="F8778" s="490">
        <v>2386.56</v>
      </c>
      <c r="G8778" s="489">
        <v>96</v>
      </c>
      <c r="H8778" s="489">
        <v>24.86</v>
      </c>
      <c r="I8778" s="487" t="s">
        <v>1499</v>
      </c>
      <c r="J8778" s="487" t="s">
        <v>1238</v>
      </c>
    </row>
    <row r="8779" spans="1:10" ht="15" x14ac:dyDescent="0.2">
      <c r="A8779" s="486" t="s">
        <v>1237</v>
      </c>
      <c r="B8779" s="487" t="s">
        <v>1236</v>
      </c>
      <c r="C8779" s="488" t="s">
        <v>27270</v>
      </c>
      <c r="D8779" s="489" t="s">
        <v>27271</v>
      </c>
      <c r="E8779" s="487" t="s">
        <v>4624</v>
      </c>
      <c r="F8779" s="490">
        <v>3600</v>
      </c>
      <c r="G8779" s="489">
        <v>252</v>
      </c>
      <c r="H8779" s="489">
        <v>14.28571</v>
      </c>
      <c r="I8779" s="487" t="s">
        <v>1499</v>
      </c>
      <c r="J8779" s="487" t="s">
        <v>1238</v>
      </c>
    </row>
    <row r="8780" spans="1:10" ht="15" x14ac:dyDescent="0.2">
      <c r="A8780" s="486" t="s">
        <v>1237</v>
      </c>
      <c r="B8780" s="487" t="s">
        <v>1236</v>
      </c>
      <c r="C8780" s="488" t="s">
        <v>27272</v>
      </c>
      <c r="D8780" s="489" t="s">
        <v>27273</v>
      </c>
      <c r="E8780" s="487" t="s">
        <v>27274</v>
      </c>
      <c r="F8780" s="490">
        <v>2400</v>
      </c>
      <c r="G8780" s="489">
        <v>109</v>
      </c>
      <c r="H8780" s="489">
        <v>22.018350000000002</v>
      </c>
      <c r="I8780" s="487" t="s">
        <v>1499</v>
      </c>
      <c r="J8780" s="487" t="s">
        <v>1238</v>
      </c>
    </row>
    <row r="8781" spans="1:10" ht="15" x14ac:dyDescent="0.2">
      <c r="A8781" s="486" t="s">
        <v>1237</v>
      </c>
      <c r="B8781" s="487" t="s">
        <v>1236</v>
      </c>
      <c r="C8781" s="488" t="s">
        <v>27275</v>
      </c>
      <c r="D8781" s="489" t="s">
        <v>27276</v>
      </c>
      <c r="E8781" s="487" t="s">
        <v>27277</v>
      </c>
      <c r="F8781" s="490">
        <v>2472</v>
      </c>
      <c r="G8781" s="489">
        <v>107</v>
      </c>
      <c r="H8781" s="489">
        <v>23.102799999999998</v>
      </c>
      <c r="I8781" s="487" t="s">
        <v>1499</v>
      </c>
      <c r="J8781" s="487" t="s">
        <v>1238</v>
      </c>
    </row>
    <row r="8782" spans="1:10" ht="15" x14ac:dyDescent="0.2">
      <c r="A8782" s="486" t="s">
        <v>1237</v>
      </c>
      <c r="B8782" s="487" t="s">
        <v>1236</v>
      </c>
      <c r="C8782" s="488" t="s">
        <v>27278</v>
      </c>
      <c r="D8782" s="489" t="s">
        <v>27279</v>
      </c>
      <c r="E8782" s="487" t="s">
        <v>27280</v>
      </c>
      <c r="F8782" s="490">
        <v>14000</v>
      </c>
      <c r="G8782" s="489">
        <v>159</v>
      </c>
      <c r="H8782" s="489">
        <v>88.050309999999996</v>
      </c>
      <c r="I8782" s="487" t="s">
        <v>1499</v>
      </c>
      <c r="J8782" s="487" t="s">
        <v>1238</v>
      </c>
    </row>
    <row r="8783" spans="1:10" ht="15" x14ac:dyDescent="0.2">
      <c r="A8783" s="486" t="s">
        <v>1237</v>
      </c>
      <c r="B8783" s="487" t="s">
        <v>1236</v>
      </c>
      <c r="C8783" s="488" t="s">
        <v>27281</v>
      </c>
      <c r="D8783" s="489" t="s">
        <v>27282</v>
      </c>
      <c r="E8783" s="487" t="s">
        <v>27283</v>
      </c>
      <c r="F8783" s="490">
        <v>22500</v>
      </c>
      <c r="G8783" s="489">
        <v>444</v>
      </c>
      <c r="H8783" s="489">
        <v>50.67568</v>
      </c>
      <c r="I8783" s="487" t="s">
        <v>1499</v>
      </c>
      <c r="J8783" s="487" t="s">
        <v>1238</v>
      </c>
    </row>
    <row r="8784" spans="1:10" ht="15" x14ac:dyDescent="0.2">
      <c r="A8784" s="486" t="s">
        <v>1237</v>
      </c>
      <c r="B8784" s="487" t="s">
        <v>1236</v>
      </c>
      <c r="C8784" s="488" t="s">
        <v>27284</v>
      </c>
      <c r="D8784" s="489" t="s">
        <v>27285</v>
      </c>
      <c r="E8784" s="487" t="s">
        <v>5468</v>
      </c>
      <c r="F8784" s="490">
        <v>110840.22</v>
      </c>
      <c r="G8784" s="489">
        <v>1959</v>
      </c>
      <c r="H8784" s="489">
        <v>56.58</v>
      </c>
      <c r="I8784" s="487" t="s">
        <v>1499</v>
      </c>
      <c r="J8784" s="487" t="s">
        <v>1238</v>
      </c>
    </row>
    <row r="8785" spans="1:10" ht="15" x14ac:dyDescent="0.2">
      <c r="A8785" s="486" t="s">
        <v>1237</v>
      </c>
      <c r="B8785" s="487" t="s">
        <v>1236</v>
      </c>
      <c r="C8785" s="488" t="s">
        <v>27286</v>
      </c>
      <c r="D8785" s="489" t="s">
        <v>27287</v>
      </c>
      <c r="E8785" s="487" t="s">
        <v>27288</v>
      </c>
      <c r="F8785" s="490">
        <v>11000</v>
      </c>
      <c r="G8785" s="489">
        <v>99</v>
      </c>
      <c r="H8785" s="489">
        <v>111.11111</v>
      </c>
      <c r="I8785" s="487" t="s">
        <v>1499</v>
      </c>
      <c r="J8785" s="487" t="s">
        <v>1238</v>
      </c>
    </row>
    <row r="8786" spans="1:10" ht="15" x14ac:dyDescent="0.2">
      <c r="A8786" s="486" t="s">
        <v>1237</v>
      </c>
      <c r="B8786" s="487" t="s">
        <v>1236</v>
      </c>
      <c r="C8786" s="488" t="s">
        <v>27289</v>
      </c>
      <c r="D8786" s="489" t="s">
        <v>27290</v>
      </c>
      <c r="E8786" s="487" t="s">
        <v>27291</v>
      </c>
      <c r="F8786" s="490">
        <v>5664.14</v>
      </c>
      <c r="G8786" s="489">
        <v>167</v>
      </c>
      <c r="H8786" s="489">
        <v>33.917009999999998</v>
      </c>
      <c r="I8786" s="487" t="s">
        <v>1499</v>
      </c>
      <c r="J8786" s="487" t="s">
        <v>1238</v>
      </c>
    </row>
    <row r="8787" spans="1:10" ht="15" x14ac:dyDescent="0.2">
      <c r="A8787" s="486" t="s">
        <v>366</v>
      </c>
      <c r="B8787" s="487" t="s">
        <v>365</v>
      </c>
      <c r="C8787" s="488" t="s">
        <v>27292</v>
      </c>
      <c r="D8787" s="489" t="s">
        <v>27293</v>
      </c>
      <c r="E8787" s="487" t="s">
        <v>27294</v>
      </c>
      <c r="F8787" s="490">
        <v>58000</v>
      </c>
      <c r="G8787" s="489">
        <v>727.9</v>
      </c>
      <c r="H8787" s="489">
        <v>79.681269999999998</v>
      </c>
      <c r="I8787" s="487" t="s">
        <v>1499</v>
      </c>
      <c r="J8787" s="487" t="s">
        <v>367</v>
      </c>
    </row>
    <row r="8788" spans="1:10" ht="15" x14ac:dyDescent="0.2">
      <c r="A8788" s="486" t="s">
        <v>366</v>
      </c>
      <c r="B8788" s="487" t="s">
        <v>365</v>
      </c>
      <c r="C8788" s="488" t="s">
        <v>27295</v>
      </c>
      <c r="D8788" s="489" t="s">
        <v>27296</v>
      </c>
      <c r="E8788" s="487" t="s">
        <v>10227</v>
      </c>
      <c r="F8788" s="490">
        <v>1550</v>
      </c>
      <c r="G8788" s="489">
        <v>93.79</v>
      </c>
      <c r="H8788" s="489">
        <v>16.52628</v>
      </c>
      <c r="I8788" s="487" t="s">
        <v>1499</v>
      </c>
      <c r="J8788" s="487" t="s">
        <v>367</v>
      </c>
    </row>
    <row r="8789" spans="1:10" ht="15" x14ac:dyDescent="0.2">
      <c r="A8789" s="486" t="s">
        <v>366</v>
      </c>
      <c r="B8789" s="487" t="s">
        <v>365</v>
      </c>
      <c r="C8789" s="488" t="s">
        <v>27297</v>
      </c>
      <c r="D8789" s="489" t="s">
        <v>27298</v>
      </c>
      <c r="E8789" s="487" t="s">
        <v>27299</v>
      </c>
      <c r="F8789" s="490">
        <v>8770</v>
      </c>
      <c r="G8789" s="489">
        <v>112.68</v>
      </c>
      <c r="H8789" s="489">
        <v>77.831029999999998</v>
      </c>
      <c r="I8789" s="487" t="s">
        <v>1499</v>
      </c>
      <c r="J8789" s="487" t="s">
        <v>367</v>
      </c>
    </row>
    <row r="8790" spans="1:10" ht="15" x14ac:dyDescent="0.2">
      <c r="A8790" s="486" t="s">
        <v>366</v>
      </c>
      <c r="B8790" s="487" t="s">
        <v>365</v>
      </c>
      <c r="C8790" s="488" t="s">
        <v>27300</v>
      </c>
      <c r="D8790" s="489" t="s">
        <v>27301</v>
      </c>
      <c r="E8790" s="487" t="s">
        <v>27302</v>
      </c>
      <c r="F8790" s="490">
        <v>0</v>
      </c>
      <c r="G8790" s="489">
        <v>65.23</v>
      </c>
      <c r="H8790" s="489">
        <v>0</v>
      </c>
      <c r="I8790" s="487" t="s">
        <v>1593</v>
      </c>
      <c r="J8790" s="487" t="s">
        <v>367</v>
      </c>
    </row>
    <row r="8791" spans="1:10" ht="15" x14ac:dyDescent="0.2">
      <c r="A8791" s="486" t="s">
        <v>366</v>
      </c>
      <c r="B8791" s="487" t="s">
        <v>365</v>
      </c>
      <c r="C8791" s="488" t="s">
        <v>27303</v>
      </c>
      <c r="D8791" s="489" t="s">
        <v>27304</v>
      </c>
      <c r="E8791" s="487" t="s">
        <v>27305</v>
      </c>
      <c r="F8791" s="490">
        <v>9600</v>
      </c>
      <c r="G8791" s="489">
        <v>247</v>
      </c>
      <c r="H8791" s="489">
        <v>38.866399999999999</v>
      </c>
      <c r="I8791" s="487" t="s">
        <v>1499</v>
      </c>
      <c r="J8791" s="487" t="s">
        <v>367</v>
      </c>
    </row>
    <row r="8792" spans="1:10" ht="15" x14ac:dyDescent="0.2">
      <c r="A8792" s="486" t="s">
        <v>366</v>
      </c>
      <c r="B8792" s="487" t="s">
        <v>365</v>
      </c>
      <c r="C8792" s="488" t="s">
        <v>27306</v>
      </c>
      <c r="D8792" s="489" t="s">
        <v>27307</v>
      </c>
      <c r="E8792" s="487" t="s">
        <v>27308</v>
      </c>
      <c r="F8792" s="490">
        <v>7250</v>
      </c>
      <c r="G8792" s="489">
        <v>111.3</v>
      </c>
      <c r="H8792" s="489">
        <v>65.139259999999993</v>
      </c>
      <c r="I8792" s="487" t="s">
        <v>1499</v>
      </c>
      <c r="J8792" s="487" t="s">
        <v>367</v>
      </c>
    </row>
    <row r="8793" spans="1:10" ht="15" x14ac:dyDescent="0.2">
      <c r="A8793" s="486" t="s">
        <v>366</v>
      </c>
      <c r="B8793" s="487" t="s">
        <v>365</v>
      </c>
      <c r="C8793" s="488" t="s">
        <v>27309</v>
      </c>
      <c r="D8793" s="489" t="s">
        <v>27310</v>
      </c>
      <c r="E8793" s="487" t="s">
        <v>11730</v>
      </c>
      <c r="F8793" s="490">
        <v>15500</v>
      </c>
      <c r="G8793" s="489">
        <v>365.56</v>
      </c>
      <c r="H8793" s="489">
        <v>42.400700000000001</v>
      </c>
      <c r="I8793" s="487" t="s">
        <v>1499</v>
      </c>
      <c r="J8793" s="487" t="s">
        <v>367</v>
      </c>
    </row>
    <row r="8794" spans="1:10" ht="15" x14ac:dyDescent="0.2">
      <c r="A8794" s="486" t="s">
        <v>366</v>
      </c>
      <c r="B8794" s="487" t="s">
        <v>365</v>
      </c>
      <c r="C8794" s="488" t="s">
        <v>27311</v>
      </c>
      <c r="D8794" s="489" t="s">
        <v>27312</v>
      </c>
      <c r="E8794" s="487" t="s">
        <v>27313</v>
      </c>
      <c r="F8794" s="490">
        <v>36000</v>
      </c>
      <c r="G8794" s="489">
        <v>388.26</v>
      </c>
      <c r="H8794" s="489">
        <v>92.721369999999993</v>
      </c>
      <c r="I8794" s="487" t="s">
        <v>1499</v>
      </c>
      <c r="J8794" s="487" t="s">
        <v>367</v>
      </c>
    </row>
    <row r="8795" spans="1:10" ht="15" x14ac:dyDescent="0.2">
      <c r="A8795" s="486" t="s">
        <v>366</v>
      </c>
      <c r="B8795" s="487" t="s">
        <v>365</v>
      </c>
      <c r="C8795" s="488" t="s">
        <v>27314</v>
      </c>
      <c r="D8795" s="489" t="s">
        <v>27315</v>
      </c>
      <c r="E8795" s="487" t="s">
        <v>2342</v>
      </c>
      <c r="F8795" s="490">
        <v>65107</v>
      </c>
      <c r="G8795" s="489">
        <v>559.92999999999995</v>
      </c>
      <c r="H8795" s="489">
        <v>116.27703</v>
      </c>
      <c r="I8795" s="487" t="s">
        <v>1499</v>
      </c>
      <c r="J8795" s="487" t="s">
        <v>367</v>
      </c>
    </row>
    <row r="8796" spans="1:10" ht="15" x14ac:dyDescent="0.2">
      <c r="A8796" s="486" t="s">
        <v>366</v>
      </c>
      <c r="B8796" s="487" t="s">
        <v>365</v>
      </c>
      <c r="C8796" s="488" t="s">
        <v>27316</v>
      </c>
      <c r="D8796" s="489" t="s">
        <v>27317</v>
      </c>
      <c r="E8796" s="487" t="s">
        <v>10233</v>
      </c>
      <c r="F8796" s="490">
        <v>848</v>
      </c>
      <c r="G8796" s="489">
        <v>51.5</v>
      </c>
      <c r="H8796" s="489">
        <v>16.46602</v>
      </c>
      <c r="I8796" s="487" t="s">
        <v>1499</v>
      </c>
      <c r="J8796" s="487" t="s">
        <v>367</v>
      </c>
    </row>
    <row r="8797" spans="1:10" ht="15" x14ac:dyDescent="0.2">
      <c r="A8797" s="486" t="s">
        <v>366</v>
      </c>
      <c r="B8797" s="487" t="s">
        <v>365</v>
      </c>
      <c r="C8797" s="488" t="s">
        <v>27318</v>
      </c>
      <c r="D8797" s="489" t="s">
        <v>27319</v>
      </c>
      <c r="E8797" s="487" t="s">
        <v>27320</v>
      </c>
      <c r="F8797" s="490">
        <v>74966</v>
      </c>
      <c r="G8797" s="489">
        <v>1092.33</v>
      </c>
      <c r="H8797" s="489">
        <v>68.629440000000002</v>
      </c>
      <c r="I8797" s="487" t="s">
        <v>1499</v>
      </c>
      <c r="J8797" s="487" t="s">
        <v>367</v>
      </c>
    </row>
    <row r="8798" spans="1:10" ht="15" x14ac:dyDescent="0.2">
      <c r="A8798" s="486" t="s">
        <v>366</v>
      </c>
      <c r="B8798" s="487" t="s">
        <v>365</v>
      </c>
      <c r="C8798" s="488" t="s">
        <v>27321</v>
      </c>
      <c r="D8798" s="489" t="s">
        <v>27322</v>
      </c>
      <c r="E8798" s="487" t="s">
        <v>27323</v>
      </c>
      <c r="F8798" s="490">
        <v>3400</v>
      </c>
      <c r="G8798" s="489">
        <v>101.05</v>
      </c>
      <c r="H8798" s="489">
        <v>33.646709999999999</v>
      </c>
      <c r="I8798" s="487" t="s">
        <v>1499</v>
      </c>
      <c r="J8798" s="487" t="s">
        <v>367</v>
      </c>
    </row>
    <row r="8799" spans="1:10" ht="15" x14ac:dyDescent="0.2">
      <c r="A8799" s="486" t="s">
        <v>366</v>
      </c>
      <c r="B8799" s="487" t="s">
        <v>365</v>
      </c>
      <c r="C8799" s="488" t="s">
        <v>27324</v>
      </c>
      <c r="D8799" s="489" t="s">
        <v>27325</v>
      </c>
      <c r="E8799" s="487" t="s">
        <v>18780</v>
      </c>
      <c r="F8799" s="490">
        <v>7161</v>
      </c>
      <c r="G8799" s="489">
        <v>150.53</v>
      </c>
      <c r="H8799" s="489">
        <v>47.571910000000003</v>
      </c>
      <c r="I8799" s="487" t="s">
        <v>1499</v>
      </c>
      <c r="J8799" s="487" t="s">
        <v>367</v>
      </c>
    </row>
    <row r="8800" spans="1:10" ht="15" x14ac:dyDescent="0.2">
      <c r="A8800" s="486" t="s">
        <v>366</v>
      </c>
      <c r="B8800" s="487" t="s">
        <v>365</v>
      </c>
      <c r="C8800" s="488" t="s">
        <v>27326</v>
      </c>
      <c r="D8800" s="489" t="s">
        <v>27327</v>
      </c>
      <c r="E8800" s="487" t="s">
        <v>27328</v>
      </c>
      <c r="F8800" s="490">
        <v>32500</v>
      </c>
      <c r="G8800" s="489">
        <v>406.35</v>
      </c>
      <c r="H8800" s="489">
        <v>79.980310000000003</v>
      </c>
      <c r="I8800" s="487" t="s">
        <v>1499</v>
      </c>
      <c r="J8800" s="487" t="s">
        <v>367</v>
      </c>
    </row>
    <row r="8801" spans="1:10" ht="15" x14ac:dyDescent="0.2">
      <c r="A8801" s="486" t="s">
        <v>366</v>
      </c>
      <c r="B8801" s="487" t="s">
        <v>365</v>
      </c>
      <c r="C8801" s="488" t="s">
        <v>27329</v>
      </c>
      <c r="D8801" s="489" t="s">
        <v>27330</v>
      </c>
      <c r="E8801" s="487" t="s">
        <v>27331</v>
      </c>
      <c r="F8801" s="490">
        <v>10394</v>
      </c>
      <c r="G8801" s="489">
        <v>101.34</v>
      </c>
      <c r="H8801" s="489">
        <v>102.56562</v>
      </c>
      <c r="I8801" s="487" t="s">
        <v>1499</v>
      </c>
      <c r="J8801" s="487" t="s">
        <v>367</v>
      </c>
    </row>
    <row r="8802" spans="1:10" ht="15" x14ac:dyDescent="0.2">
      <c r="A8802" s="486" t="s">
        <v>366</v>
      </c>
      <c r="B8802" s="487" t="s">
        <v>365</v>
      </c>
      <c r="C8802" s="488" t="s">
        <v>27332</v>
      </c>
      <c r="D8802" s="489" t="s">
        <v>27333</v>
      </c>
      <c r="E8802" s="487" t="s">
        <v>27334</v>
      </c>
      <c r="F8802" s="490">
        <v>112050</v>
      </c>
      <c r="G8802" s="489">
        <v>1325.67</v>
      </c>
      <c r="H8802" s="489">
        <v>84.523300000000006</v>
      </c>
      <c r="I8802" s="487" t="s">
        <v>1499</v>
      </c>
      <c r="J8802" s="487" t="s">
        <v>367</v>
      </c>
    </row>
    <row r="8803" spans="1:10" ht="15" x14ac:dyDescent="0.2">
      <c r="A8803" s="486" t="s">
        <v>366</v>
      </c>
      <c r="B8803" s="487" t="s">
        <v>365</v>
      </c>
      <c r="C8803" s="488" t="s">
        <v>27335</v>
      </c>
      <c r="D8803" s="489" t="s">
        <v>27336</v>
      </c>
      <c r="E8803" s="487" t="s">
        <v>27337</v>
      </c>
      <c r="F8803" s="490">
        <v>9600</v>
      </c>
      <c r="G8803" s="489">
        <v>377.86</v>
      </c>
      <c r="H8803" s="489">
        <v>25.40624</v>
      </c>
      <c r="I8803" s="487" t="s">
        <v>2465</v>
      </c>
      <c r="J8803" s="487" t="s">
        <v>367</v>
      </c>
    </row>
    <row r="8804" spans="1:10" ht="15" x14ac:dyDescent="0.2">
      <c r="A8804" s="486" t="s">
        <v>366</v>
      </c>
      <c r="B8804" s="487" t="s">
        <v>365</v>
      </c>
      <c r="C8804" s="488" t="s">
        <v>27338</v>
      </c>
      <c r="D8804" s="489" t="s">
        <v>27339</v>
      </c>
      <c r="E8804" s="487" t="s">
        <v>27340</v>
      </c>
      <c r="F8804" s="490">
        <v>33702</v>
      </c>
      <c r="G8804" s="489">
        <v>421.45</v>
      </c>
      <c r="H8804" s="489">
        <v>79.96678</v>
      </c>
      <c r="I8804" s="487" t="s">
        <v>1499</v>
      </c>
      <c r="J8804" s="487" t="s">
        <v>367</v>
      </c>
    </row>
    <row r="8805" spans="1:10" ht="15" x14ac:dyDescent="0.2">
      <c r="A8805" s="486" t="s">
        <v>366</v>
      </c>
      <c r="B8805" s="487" t="s">
        <v>365</v>
      </c>
      <c r="C8805" s="488" t="s">
        <v>27341</v>
      </c>
      <c r="D8805" s="489" t="s">
        <v>27342</v>
      </c>
      <c r="E8805" s="487" t="s">
        <v>27343</v>
      </c>
      <c r="F8805" s="490">
        <v>1900</v>
      </c>
      <c r="G8805" s="489">
        <v>98.22</v>
      </c>
      <c r="H8805" s="489">
        <v>19.344329999999999</v>
      </c>
      <c r="I8805" s="487" t="s">
        <v>1499</v>
      </c>
      <c r="J8805" s="487" t="s">
        <v>367</v>
      </c>
    </row>
    <row r="8806" spans="1:10" ht="15" x14ac:dyDescent="0.2">
      <c r="A8806" s="486" t="s">
        <v>366</v>
      </c>
      <c r="B8806" s="487" t="s">
        <v>365</v>
      </c>
      <c r="C8806" s="488" t="s">
        <v>27344</v>
      </c>
      <c r="D8806" s="489" t="s">
        <v>27345</v>
      </c>
      <c r="E8806" s="487" t="s">
        <v>2857</v>
      </c>
      <c r="F8806" s="490">
        <v>32022</v>
      </c>
      <c r="G8806" s="489">
        <v>387.13</v>
      </c>
      <c r="H8806" s="489">
        <v>82.716399999999993</v>
      </c>
      <c r="I8806" s="487" t="s">
        <v>1499</v>
      </c>
      <c r="J8806" s="487" t="s">
        <v>367</v>
      </c>
    </row>
    <row r="8807" spans="1:10" ht="15" x14ac:dyDescent="0.2">
      <c r="A8807" s="486" t="s">
        <v>366</v>
      </c>
      <c r="B8807" s="487" t="s">
        <v>365</v>
      </c>
      <c r="C8807" s="488" t="s">
        <v>27346</v>
      </c>
      <c r="D8807" s="489" t="s">
        <v>27347</v>
      </c>
      <c r="E8807" s="487" t="s">
        <v>9254</v>
      </c>
      <c r="F8807" s="490">
        <v>61480</v>
      </c>
      <c r="G8807" s="489">
        <v>493.11</v>
      </c>
      <c r="H8807" s="489">
        <v>124.67806</v>
      </c>
      <c r="I8807" s="487" t="s">
        <v>1499</v>
      </c>
      <c r="J8807" s="487" t="s">
        <v>367</v>
      </c>
    </row>
    <row r="8808" spans="1:10" ht="15" x14ac:dyDescent="0.2">
      <c r="A8808" s="486" t="s">
        <v>366</v>
      </c>
      <c r="B8808" s="487" t="s">
        <v>365</v>
      </c>
      <c r="C8808" s="488" t="s">
        <v>27348</v>
      </c>
      <c r="D8808" s="489" t="s">
        <v>27349</v>
      </c>
      <c r="E8808" s="487" t="s">
        <v>27350</v>
      </c>
      <c r="F8808" s="490">
        <v>40440</v>
      </c>
      <c r="G8808" s="489">
        <v>481.11</v>
      </c>
      <c r="H8808" s="489">
        <v>84.055620000000005</v>
      </c>
      <c r="I8808" s="487" t="s">
        <v>1499</v>
      </c>
      <c r="J8808" s="487" t="s">
        <v>367</v>
      </c>
    </row>
    <row r="8809" spans="1:10" ht="15" x14ac:dyDescent="0.2">
      <c r="A8809" s="486" t="s">
        <v>366</v>
      </c>
      <c r="B8809" s="487" t="s">
        <v>365</v>
      </c>
      <c r="C8809" s="488" t="s">
        <v>27351</v>
      </c>
      <c r="D8809" s="489" t="s">
        <v>27352</v>
      </c>
      <c r="E8809" s="487" t="s">
        <v>27353</v>
      </c>
      <c r="F8809" s="490">
        <v>160000</v>
      </c>
      <c r="G8809" s="489">
        <v>1277.8699999999999</v>
      </c>
      <c r="H8809" s="489">
        <v>125.20835</v>
      </c>
      <c r="I8809" s="487" t="s">
        <v>1499</v>
      </c>
      <c r="J8809" s="487" t="s">
        <v>367</v>
      </c>
    </row>
    <row r="8810" spans="1:10" ht="15" x14ac:dyDescent="0.2">
      <c r="A8810" s="486" t="s">
        <v>366</v>
      </c>
      <c r="B8810" s="487" t="s">
        <v>365</v>
      </c>
      <c r="C8810" s="488" t="s">
        <v>27354</v>
      </c>
      <c r="D8810" s="489" t="s">
        <v>27355</v>
      </c>
      <c r="E8810" s="487" t="s">
        <v>27356</v>
      </c>
      <c r="F8810" s="490">
        <v>7013</v>
      </c>
      <c r="G8810" s="489">
        <v>168.14</v>
      </c>
      <c r="H8810" s="489">
        <v>41.709290000000003</v>
      </c>
      <c r="I8810" s="487" t="s">
        <v>1499</v>
      </c>
      <c r="J8810" s="487" t="s">
        <v>367</v>
      </c>
    </row>
    <row r="8811" spans="1:10" ht="15" x14ac:dyDescent="0.2">
      <c r="A8811" s="486" t="s">
        <v>366</v>
      </c>
      <c r="B8811" s="487" t="s">
        <v>365</v>
      </c>
      <c r="C8811" s="488" t="s">
        <v>27357</v>
      </c>
      <c r="D8811" s="489" t="s">
        <v>27358</v>
      </c>
      <c r="E8811" s="487" t="s">
        <v>27359</v>
      </c>
      <c r="F8811" s="490">
        <v>10700</v>
      </c>
      <c r="G8811" s="489">
        <v>362.58</v>
      </c>
      <c r="H8811" s="489">
        <v>29.510729999999999</v>
      </c>
      <c r="I8811" s="487" t="s">
        <v>1499</v>
      </c>
      <c r="J8811" s="487" t="s">
        <v>367</v>
      </c>
    </row>
    <row r="8812" spans="1:10" ht="15" x14ac:dyDescent="0.2">
      <c r="A8812" s="486" t="s">
        <v>366</v>
      </c>
      <c r="B8812" s="487" t="s">
        <v>365</v>
      </c>
      <c r="C8812" s="488" t="s">
        <v>27360</v>
      </c>
      <c r="D8812" s="489" t="s">
        <v>27361</v>
      </c>
      <c r="E8812" s="487" t="s">
        <v>27362</v>
      </c>
      <c r="F8812" s="490">
        <v>3125</v>
      </c>
      <c r="G8812" s="489">
        <v>52.78</v>
      </c>
      <c r="H8812" s="489">
        <v>59.208030000000001</v>
      </c>
      <c r="I8812" s="487" t="s">
        <v>1499</v>
      </c>
      <c r="J8812" s="487" t="s">
        <v>367</v>
      </c>
    </row>
    <row r="8813" spans="1:10" ht="15" x14ac:dyDescent="0.2">
      <c r="A8813" s="486" t="s">
        <v>366</v>
      </c>
      <c r="B8813" s="487" t="s">
        <v>365</v>
      </c>
      <c r="C8813" s="488" t="s">
        <v>27363</v>
      </c>
      <c r="D8813" s="489" t="s">
        <v>27364</v>
      </c>
      <c r="E8813" s="487" t="s">
        <v>27365</v>
      </c>
      <c r="F8813" s="490">
        <v>124239</v>
      </c>
      <c r="G8813" s="489">
        <v>1312.74</v>
      </c>
      <c r="H8813" s="489">
        <v>94.640979999999999</v>
      </c>
      <c r="I8813" s="487" t="s">
        <v>1499</v>
      </c>
      <c r="J8813" s="487" t="s">
        <v>367</v>
      </c>
    </row>
    <row r="8814" spans="1:10" ht="15" x14ac:dyDescent="0.2">
      <c r="A8814" s="486" t="s">
        <v>366</v>
      </c>
      <c r="B8814" s="487" t="s">
        <v>365</v>
      </c>
      <c r="C8814" s="488" t="s">
        <v>27366</v>
      </c>
      <c r="D8814" s="489" t="s">
        <v>27367</v>
      </c>
      <c r="E8814" s="487" t="s">
        <v>27368</v>
      </c>
      <c r="F8814" s="490">
        <v>306148</v>
      </c>
      <c r="G8814" s="489">
        <v>2906.84</v>
      </c>
      <c r="H8814" s="489">
        <v>105.31986999999999</v>
      </c>
      <c r="I8814" s="487" t="s">
        <v>1499</v>
      </c>
      <c r="J8814" s="487" t="s">
        <v>367</v>
      </c>
    </row>
    <row r="8815" spans="1:10" ht="15" x14ac:dyDescent="0.2">
      <c r="A8815" s="486" t="s">
        <v>366</v>
      </c>
      <c r="B8815" s="487" t="s">
        <v>365</v>
      </c>
      <c r="C8815" s="488" t="s">
        <v>27369</v>
      </c>
      <c r="D8815" s="489" t="s">
        <v>27370</v>
      </c>
      <c r="E8815" s="487" t="s">
        <v>27371</v>
      </c>
      <c r="F8815" s="490">
        <v>60900</v>
      </c>
      <c r="G8815" s="489">
        <v>654.99</v>
      </c>
      <c r="H8815" s="489">
        <v>92.978520000000003</v>
      </c>
      <c r="I8815" s="487" t="s">
        <v>1499</v>
      </c>
      <c r="J8815" s="487" t="s">
        <v>367</v>
      </c>
    </row>
    <row r="8816" spans="1:10" ht="15" x14ac:dyDescent="0.2">
      <c r="A8816" s="486" t="s">
        <v>366</v>
      </c>
      <c r="B8816" s="487" t="s">
        <v>365</v>
      </c>
      <c r="C8816" s="488" t="s">
        <v>27372</v>
      </c>
      <c r="D8816" s="489" t="s">
        <v>27373</v>
      </c>
      <c r="E8816" s="487" t="s">
        <v>27374</v>
      </c>
      <c r="F8816" s="490">
        <v>5295</v>
      </c>
      <c r="G8816" s="489">
        <v>136.52000000000001</v>
      </c>
      <c r="H8816" s="489">
        <v>38.785530000000001</v>
      </c>
      <c r="I8816" s="487" t="s">
        <v>1499</v>
      </c>
      <c r="J8816" s="487" t="s">
        <v>367</v>
      </c>
    </row>
    <row r="8817" spans="1:10" ht="15" x14ac:dyDescent="0.2">
      <c r="A8817" s="486" t="s">
        <v>366</v>
      </c>
      <c r="B8817" s="487" t="s">
        <v>365</v>
      </c>
      <c r="C8817" s="488" t="s">
        <v>27375</v>
      </c>
      <c r="D8817" s="489" t="s">
        <v>27376</v>
      </c>
      <c r="E8817" s="487" t="s">
        <v>27377</v>
      </c>
      <c r="F8817" s="490">
        <v>463401</v>
      </c>
      <c r="G8817" s="489">
        <v>3187.16</v>
      </c>
      <c r="H8817" s="489">
        <v>145.39621</v>
      </c>
      <c r="I8817" s="487" t="s">
        <v>1499</v>
      </c>
      <c r="J8817" s="487" t="s">
        <v>367</v>
      </c>
    </row>
    <row r="8818" spans="1:10" ht="15" x14ac:dyDescent="0.2">
      <c r="A8818" s="486" t="s">
        <v>366</v>
      </c>
      <c r="B8818" s="487" t="s">
        <v>365</v>
      </c>
      <c r="C8818" s="488" t="s">
        <v>27378</v>
      </c>
      <c r="D8818" s="489" t="s">
        <v>27379</v>
      </c>
      <c r="E8818" s="487" t="s">
        <v>27380</v>
      </c>
      <c r="F8818" s="490">
        <v>4975</v>
      </c>
      <c r="G8818" s="489">
        <v>132.4</v>
      </c>
      <c r="H8818" s="489">
        <v>37.575530000000001</v>
      </c>
      <c r="I8818" s="487" t="s">
        <v>1499</v>
      </c>
      <c r="J8818" s="487" t="s">
        <v>367</v>
      </c>
    </row>
    <row r="8819" spans="1:10" ht="15" x14ac:dyDescent="0.2">
      <c r="A8819" s="486" t="s">
        <v>366</v>
      </c>
      <c r="B8819" s="487" t="s">
        <v>365</v>
      </c>
      <c r="C8819" s="488" t="s">
        <v>27381</v>
      </c>
      <c r="D8819" s="489" t="s">
        <v>27382</v>
      </c>
      <c r="E8819" s="487" t="s">
        <v>27383</v>
      </c>
      <c r="F8819" s="490">
        <v>15220</v>
      </c>
      <c r="G8819" s="489">
        <v>253.74</v>
      </c>
      <c r="H8819" s="489">
        <v>59.982660000000003</v>
      </c>
      <c r="I8819" s="487" t="s">
        <v>1499</v>
      </c>
      <c r="J8819" s="487" t="s">
        <v>367</v>
      </c>
    </row>
    <row r="8820" spans="1:10" ht="15" x14ac:dyDescent="0.2">
      <c r="A8820" s="486" t="s">
        <v>366</v>
      </c>
      <c r="B8820" s="487" t="s">
        <v>365</v>
      </c>
      <c r="C8820" s="488" t="s">
        <v>27384</v>
      </c>
      <c r="D8820" s="489" t="s">
        <v>27385</v>
      </c>
      <c r="E8820" s="487" t="s">
        <v>15244</v>
      </c>
      <c r="F8820" s="490">
        <v>0</v>
      </c>
      <c r="G8820" s="489">
        <v>84.19</v>
      </c>
      <c r="H8820" s="489">
        <v>0</v>
      </c>
      <c r="I8820" s="487" t="s">
        <v>1593</v>
      </c>
      <c r="J8820" s="487" t="s">
        <v>367</v>
      </c>
    </row>
    <row r="8821" spans="1:10" ht="15" x14ac:dyDescent="0.2">
      <c r="A8821" s="486" t="s">
        <v>366</v>
      </c>
      <c r="B8821" s="487" t="s">
        <v>365</v>
      </c>
      <c r="C8821" s="488" t="s">
        <v>27386</v>
      </c>
      <c r="D8821" s="489" t="s">
        <v>27387</v>
      </c>
      <c r="E8821" s="487" t="s">
        <v>27388</v>
      </c>
      <c r="F8821" s="490">
        <v>0</v>
      </c>
      <c r="G8821" s="489">
        <v>0</v>
      </c>
      <c r="H8821" s="489">
        <v>0</v>
      </c>
      <c r="I8821" s="487" t="s">
        <v>2465</v>
      </c>
      <c r="J8821" s="487" t="s">
        <v>367</v>
      </c>
    </row>
    <row r="8822" spans="1:10" ht="15" x14ac:dyDescent="0.2">
      <c r="A8822" s="486" t="s">
        <v>366</v>
      </c>
      <c r="B8822" s="487" t="s">
        <v>365</v>
      </c>
      <c r="C8822" s="488" t="s">
        <v>27389</v>
      </c>
      <c r="D8822" s="489" t="s">
        <v>27390</v>
      </c>
      <c r="E8822" s="487" t="s">
        <v>27391</v>
      </c>
      <c r="F8822" s="490">
        <v>9535</v>
      </c>
      <c r="G8822" s="489">
        <v>327.08</v>
      </c>
      <c r="H8822" s="489">
        <v>29.151890000000002</v>
      </c>
      <c r="I8822" s="487" t="s">
        <v>1499</v>
      </c>
      <c r="J8822" s="487" t="s">
        <v>367</v>
      </c>
    </row>
    <row r="8823" spans="1:10" ht="15" x14ac:dyDescent="0.2">
      <c r="A8823" s="486" t="s">
        <v>366</v>
      </c>
      <c r="B8823" s="487" t="s">
        <v>365</v>
      </c>
      <c r="C8823" s="488" t="s">
        <v>27392</v>
      </c>
      <c r="D8823" s="489" t="s">
        <v>27393</v>
      </c>
      <c r="E8823" s="487" t="s">
        <v>6334</v>
      </c>
      <c r="F8823" s="490">
        <v>37500</v>
      </c>
      <c r="G8823" s="489">
        <v>731.48</v>
      </c>
      <c r="H8823" s="489">
        <v>51.265929999999997</v>
      </c>
      <c r="I8823" s="487" t="s">
        <v>1499</v>
      </c>
      <c r="J8823" s="487" t="s">
        <v>367</v>
      </c>
    </row>
    <row r="8824" spans="1:10" ht="15" x14ac:dyDescent="0.2">
      <c r="A8824" s="486" t="s">
        <v>366</v>
      </c>
      <c r="B8824" s="487" t="s">
        <v>365</v>
      </c>
      <c r="C8824" s="488" t="s">
        <v>27394</v>
      </c>
      <c r="D8824" s="489" t="s">
        <v>27395</v>
      </c>
      <c r="E8824" s="487" t="s">
        <v>27396</v>
      </c>
      <c r="F8824" s="490">
        <v>7398</v>
      </c>
      <c r="G8824" s="489">
        <v>109.17</v>
      </c>
      <c r="H8824" s="489">
        <v>67.765870000000007</v>
      </c>
      <c r="I8824" s="487" t="s">
        <v>1499</v>
      </c>
      <c r="J8824" s="487" t="s">
        <v>367</v>
      </c>
    </row>
    <row r="8825" spans="1:10" ht="15" x14ac:dyDescent="0.2">
      <c r="A8825" s="486" t="s">
        <v>366</v>
      </c>
      <c r="B8825" s="487" t="s">
        <v>365</v>
      </c>
      <c r="C8825" s="488" t="s">
        <v>27397</v>
      </c>
      <c r="D8825" s="489" t="s">
        <v>27398</v>
      </c>
      <c r="E8825" s="487" t="s">
        <v>27399</v>
      </c>
      <c r="F8825" s="490">
        <v>15677</v>
      </c>
      <c r="G8825" s="489">
        <v>207.75</v>
      </c>
      <c r="H8825" s="489">
        <v>75.460890000000006</v>
      </c>
      <c r="I8825" s="487" t="s">
        <v>1499</v>
      </c>
      <c r="J8825" s="487" t="s">
        <v>367</v>
      </c>
    </row>
    <row r="8826" spans="1:10" ht="15" x14ac:dyDescent="0.2">
      <c r="A8826" s="486" t="s">
        <v>366</v>
      </c>
      <c r="B8826" s="487" t="s">
        <v>365</v>
      </c>
      <c r="C8826" s="488" t="s">
        <v>27400</v>
      </c>
      <c r="D8826" s="489" t="s">
        <v>27401</v>
      </c>
      <c r="E8826" s="487" t="s">
        <v>27402</v>
      </c>
      <c r="F8826" s="490">
        <v>3100</v>
      </c>
      <c r="G8826" s="489">
        <v>39.85</v>
      </c>
      <c r="H8826" s="489">
        <v>77.791719999999998</v>
      </c>
      <c r="I8826" s="487" t="s">
        <v>1499</v>
      </c>
      <c r="J8826" s="487" t="s">
        <v>367</v>
      </c>
    </row>
    <row r="8827" spans="1:10" ht="15" x14ac:dyDescent="0.2">
      <c r="A8827" s="486" t="s">
        <v>366</v>
      </c>
      <c r="B8827" s="487" t="s">
        <v>365</v>
      </c>
      <c r="C8827" s="488" t="s">
        <v>27403</v>
      </c>
      <c r="D8827" s="489" t="s">
        <v>27404</v>
      </c>
      <c r="E8827" s="487" t="s">
        <v>27405</v>
      </c>
      <c r="F8827" s="490">
        <v>122332</v>
      </c>
      <c r="G8827" s="489">
        <v>980.27</v>
      </c>
      <c r="H8827" s="489">
        <v>124.79419</v>
      </c>
      <c r="I8827" s="487" t="s">
        <v>1499</v>
      </c>
      <c r="J8827" s="487" t="s">
        <v>367</v>
      </c>
    </row>
    <row r="8828" spans="1:10" ht="15" x14ac:dyDescent="0.2">
      <c r="A8828" s="486" t="s">
        <v>366</v>
      </c>
      <c r="B8828" s="487" t="s">
        <v>365</v>
      </c>
      <c r="C8828" s="488" t="s">
        <v>27406</v>
      </c>
      <c r="D8828" s="489" t="s">
        <v>27407</v>
      </c>
      <c r="E8828" s="487" t="s">
        <v>27408</v>
      </c>
      <c r="F8828" s="490">
        <v>10108</v>
      </c>
      <c r="G8828" s="489">
        <v>412.14</v>
      </c>
      <c r="H8828" s="489">
        <v>24.525649999999999</v>
      </c>
      <c r="I8828" s="487" t="s">
        <v>1499</v>
      </c>
      <c r="J8828" s="487" t="s">
        <v>367</v>
      </c>
    </row>
    <row r="8829" spans="1:10" ht="15" x14ac:dyDescent="0.2">
      <c r="A8829" s="486" t="s">
        <v>366</v>
      </c>
      <c r="B8829" s="487" t="s">
        <v>365</v>
      </c>
      <c r="C8829" s="488" t="s">
        <v>27409</v>
      </c>
      <c r="D8829" s="489" t="s">
        <v>27410</v>
      </c>
      <c r="E8829" s="487" t="s">
        <v>27411</v>
      </c>
      <c r="F8829" s="490">
        <v>13800</v>
      </c>
      <c r="G8829" s="489">
        <v>254.35</v>
      </c>
      <c r="H8829" s="489">
        <v>54.255949999999999</v>
      </c>
      <c r="I8829" s="487" t="s">
        <v>1499</v>
      </c>
      <c r="J8829" s="487" t="s">
        <v>367</v>
      </c>
    </row>
    <row r="8830" spans="1:10" ht="15" x14ac:dyDescent="0.2">
      <c r="A8830" s="486" t="s">
        <v>366</v>
      </c>
      <c r="B8830" s="487" t="s">
        <v>365</v>
      </c>
      <c r="C8830" s="488" t="s">
        <v>27412</v>
      </c>
      <c r="D8830" s="489" t="s">
        <v>27413</v>
      </c>
      <c r="E8830" s="487" t="s">
        <v>27414</v>
      </c>
      <c r="F8830" s="490">
        <v>22029</v>
      </c>
      <c r="G8830" s="489">
        <v>598.72</v>
      </c>
      <c r="H8830" s="489">
        <v>36.793489999999998</v>
      </c>
      <c r="I8830" s="487" t="s">
        <v>1499</v>
      </c>
      <c r="J8830" s="487" t="s">
        <v>367</v>
      </c>
    </row>
    <row r="8831" spans="1:10" ht="15" x14ac:dyDescent="0.2">
      <c r="A8831" s="486" t="s">
        <v>366</v>
      </c>
      <c r="B8831" s="487" t="s">
        <v>365</v>
      </c>
      <c r="C8831" s="488" t="s">
        <v>27415</v>
      </c>
      <c r="D8831" s="489" t="s">
        <v>27416</v>
      </c>
      <c r="E8831" s="487" t="s">
        <v>27417</v>
      </c>
      <c r="F8831" s="490">
        <v>6127</v>
      </c>
      <c r="G8831" s="489">
        <v>96.09</v>
      </c>
      <c r="H8831" s="489">
        <v>63.76314</v>
      </c>
      <c r="I8831" s="487" t="s">
        <v>1499</v>
      </c>
      <c r="J8831" s="487" t="s">
        <v>367</v>
      </c>
    </row>
    <row r="8832" spans="1:10" ht="15" x14ac:dyDescent="0.2">
      <c r="A8832" s="486" t="s">
        <v>366</v>
      </c>
      <c r="B8832" s="487" t="s">
        <v>365</v>
      </c>
      <c r="C8832" s="488" t="s">
        <v>27418</v>
      </c>
      <c r="D8832" s="489" t="s">
        <v>27419</v>
      </c>
      <c r="E8832" s="487" t="s">
        <v>27420</v>
      </c>
      <c r="F8832" s="490">
        <v>9494</v>
      </c>
      <c r="G8832" s="489">
        <v>147.76</v>
      </c>
      <c r="H8832" s="489">
        <v>64.252840000000006</v>
      </c>
      <c r="I8832" s="487" t="s">
        <v>1499</v>
      </c>
      <c r="J8832" s="487" t="s">
        <v>367</v>
      </c>
    </row>
    <row r="8833" spans="1:10" ht="15" x14ac:dyDescent="0.2">
      <c r="A8833" s="486" t="s">
        <v>366</v>
      </c>
      <c r="B8833" s="487" t="s">
        <v>365</v>
      </c>
      <c r="C8833" s="488" t="s">
        <v>27421</v>
      </c>
      <c r="D8833" s="489" t="s">
        <v>27422</v>
      </c>
      <c r="E8833" s="487" t="s">
        <v>27423</v>
      </c>
      <c r="F8833" s="490">
        <v>9312</v>
      </c>
      <c r="G8833" s="489">
        <v>162.31</v>
      </c>
      <c r="H8833" s="489">
        <v>57.371699999999997</v>
      </c>
      <c r="I8833" s="487" t="s">
        <v>1499</v>
      </c>
      <c r="J8833" s="487" t="s">
        <v>367</v>
      </c>
    </row>
    <row r="8834" spans="1:10" ht="15" x14ac:dyDescent="0.2">
      <c r="A8834" s="486" t="s">
        <v>366</v>
      </c>
      <c r="B8834" s="487" t="s">
        <v>365</v>
      </c>
      <c r="C8834" s="488" t="s">
        <v>27424</v>
      </c>
      <c r="D8834" s="489" t="s">
        <v>27425</v>
      </c>
      <c r="E8834" s="487" t="s">
        <v>27426</v>
      </c>
      <c r="F8834" s="490">
        <v>186950</v>
      </c>
      <c r="G8834" s="489">
        <v>1729.17</v>
      </c>
      <c r="H8834" s="489">
        <v>108.11545</v>
      </c>
      <c r="I8834" s="487" t="s">
        <v>1499</v>
      </c>
      <c r="J8834" s="487" t="s">
        <v>367</v>
      </c>
    </row>
    <row r="8835" spans="1:10" ht="15" x14ac:dyDescent="0.2">
      <c r="A8835" s="486" t="s">
        <v>366</v>
      </c>
      <c r="B8835" s="487" t="s">
        <v>365</v>
      </c>
      <c r="C8835" s="488" t="s">
        <v>27427</v>
      </c>
      <c r="D8835" s="489" t="s">
        <v>27428</v>
      </c>
      <c r="E8835" s="487" t="s">
        <v>27429</v>
      </c>
      <c r="F8835" s="490">
        <v>1600</v>
      </c>
      <c r="G8835" s="489">
        <v>64.709999999999994</v>
      </c>
      <c r="H8835" s="489">
        <v>24.7257</v>
      </c>
      <c r="I8835" s="487" t="s">
        <v>1499</v>
      </c>
      <c r="J8835" s="487" t="s">
        <v>367</v>
      </c>
    </row>
    <row r="8836" spans="1:10" ht="15" x14ac:dyDescent="0.2">
      <c r="A8836" s="486" t="s">
        <v>366</v>
      </c>
      <c r="B8836" s="487" t="s">
        <v>365</v>
      </c>
      <c r="C8836" s="488" t="s">
        <v>27430</v>
      </c>
      <c r="D8836" s="489" t="s">
        <v>27431</v>
      </c>
      <c r="E8836" s="487" t="s">
        <v>27432</v>
      </c>
      <c r="F8836" s="490">
        <v>22300</v>
      </c>
      <c r="G8836" s="489">
        <v>266.77</v>
      </c>
      <c r="H8836" s="489">
        <v>83.592609999999993</v>
      </c>
      <c r="I8836" s="487" t="s">
        <v>1499</v>
      </c>
      <c r="J8836" s="487" t="s">
        <v>367</v>
      </c>
    </row>
    <row r="8837" spans="1:10" ht="15" x14ac:dyDescent="0.2">
      <c r="A8837" s="486" t="s">
        <v>366</v>
      </c>
      <c r="B8837" s="487" t="s">
        <v>365</v>
      </c>
      <c r="C8837" s="488" t="s">
        <v>27433</v>
      </c>
      <c r="D8837" s="489" t="s">
        <v>27434</v>
      </c>
      <c r="E8837" s="487" t="s">
        <v>27435</v>
      </c>
      <c r="F8837" s="490">
        <v>50000</v>
      </c>
      <c r="G8837" s="489">
        <v>570.02</v>
      </c>
      <c r="H8837" s="489">
        <v>87.716220000000007</v>
      </c>
      <c r="I8837" s="487" t="s">
        <v>1499</v>
      </c>
      <c r="J8837" s="487" t="s">
        <v>367</v>
      </c>
    </row>
    <row r="8838" spans="1:10" ht="15" x14ac:dyDescent="0.2">
      <c r="A8838" s="486" t="s">
        <v>366</v>
      </c>
      <c r="B8838" s="487" t="s">
        <v>365</v>
      </c>
      <c r="C8838" s="488" t="s">
        <v>27436</v>
      </c>
      <c r="D8838" s="489" t="s">
        <v>27437</v>
      </c>
      <c r="E8838" s="487" t="s">
        <v>27438</v>
      </c>
      <c r="F8838" s="490">
        <v>8520</v>
      </c>
      <c r="G8838" s="489">
        <v>203.56</v>
      </c>
      <c r="H8838" s="489">
        <v>41.854979999999998</v>
      </c>
      <c r="I8838" s="487" t="s">
        <v>1499</v>
      </c>
      <c r="J8838" s="487" t="s">
        <v>367</v>
      </c>
    </row>
    <row r="8839" spans="1:10" ht="15" x14ac:dyDescent="0.2">
      <c r="A8839" s="486" t="s">
        <v>366</v>
      </c>
      <c r="B8839" s="487" t="s">
        <v>365</v>
      </c>
      <c r="C8839" s="488" t="s">
        <v>27439</v>
      </c>
      <c r="D8839" s="489" t="s">
        <v>27440</v>
      </c>
      <c r="E8839" s="487" t="s">
        <v>3479</v>
      </c>
      <c r="F8839" s="490">
        <v>26480</v>
      </c>
      <c r="G8839" s="489">
        <v>265.67</v>
      </c>
      <c r="H8839" s="489">
        <v>99.672529999999995</v>
      </c>
      <c r="I8839" s="487" t="s">
        <v>1499</v>
      </c>
      <c r="J8839" s="487" t="s">
        <v>367</v>
      </c>
    </row>
    <row r="8840" spans="1:10" ht="15" x14ac:dyDescent="0.2">
      <c r="A8840" s="486" t="s">
        <v>366</v>
      </c>
      <c r="B8840" s="487" t="s">
        <v>365</v>
      </c>
      <c r="C8840" s="488" t="s">
        <v>27441</v>
      </c>
      <c r="D8840" s="489" t="s">
        <v>27442</v>
      </c>
      <c r="E8840" s="487" t="s">
        <v>27443</v>
      </c>
      <c r="F8840" s="490">
        <v>181450</v>
      </c>
      <c r="G8840" s="489">
        <v>1415.37</v>
      </c>
      <c r="H8840" s="489">
        <v>128.19969</v>
      </c>
      <c r="I8840" s="487" t="s">
        <v>1499</v>
      </c>
      <c r="J8840" s="487" t="s">
        <v>367</v>
      </c>
    </row>
    <row r="8841" spans="1:10" ht="15" x14ac:dyDescent="0.2">
      <c r="A8841" s="486" t="s">
        <v>366</v>
      </c>
      <c r="B8841" s="487" t="s">
        <v>365</v>
      </c>
      <c r="C8841" s="488" t="s">
        <v>27444</v>
      </c>
      <c r="D8841" s="489" t="s">
        <v>27445</v>
      </c>
      <c r="E8841" s="487" t="s">
        <v>27446</v>
      </c>
      <c r="F8841" s="490">
        <v>26308</v>
      </c>
      <c r="G8841" s="489">
        <v>408.39</v>
      </c>
      <c r="H8841" s="489">
        <v>64.418819999999997</v>
      </c>
      <c r="I8841" s="487" t="s">
        <v>1499</v>
      </c>
      <c r="J8841" s="487" t="s">
        <v>367</v>
      </c>
    </row>
    <row r="8842" spans="1:10" ht="15" x14ac:dyDescent="0.2">
      <c r="A8842" s="486" t="s">
        <v>366</v>
      </c>
      <c r="B8842" s="487" t="s">
        <v>365</v>
      </c>
      <c r="C8842" s="488" t="s">
        <v>27447</v>
      </c>
      <c r="D8842" s="489" t="s">
        <v>27448</v>
      </c>
      <c r="E8842" s="487" t="s">
        <v>27449</v>
      </c>
      <c r="F8842" s="490">
        <v>7328</v>
      </c>
      <c r="G8842" s="489">
        <v>119.2</v>
      </c>
      <c r="H8842" s="489">
        <v>61.476509999999998</v>
      </c>
      <c r="I8842" s="487" t="s">
        <v>1499</v>
      </c>
      <c r="J8842" s="487" t="s">
        <v>367</v>
      </c>
    </row>
    <row r="8843" spans="1:10" ht="15" x14ac:dyDescent="0.2">
      <c r="A8843" s="486" t="s">
        <v>366</v>
      </c>
      <c r="B8843" s="487" t="s">
        <v>365</v>
      </c>
      <c r="C8843" s="488" t="s">
        <v>27450</v>
      </c>
      <c r="D8843" s="489" t="s">
        <v>27451</v>
      </c>
      <c r="E8843" s="487" t="s">
        <v>27452</v>
      </c>
      <c r="F8843" s="490">
        <v>18709</v>
      </c>
      <c r="G8843" s="489">
        <v>262.66000000000003</v>
      </c>
      <c r="H8843" s="489">
        <v>71.228970000000004</v>
      </c>
      <c r="I8843" s="487" t="s">
        <v>1499</v>
      </c>
      <c r="J8843" s="487" t="s">
        <v>367</v>
      </c>
    </row>
    <row r="8844" spans="1:10" ht="15" x14ac:dyDescent="0.2">
      <c r="A8844" s="486" t="s">
        <v>366</v>
      </c>
      <c r="B8844" s="487" t="s">
        <v>365</v>
      </c>
      <c r="C8844" s="488" t="s">
        <v>27453</v>
      </c>
      <c r="D8844" s="489" t="s">
        <v>27454</v>
      </c>
      <c r="E8844" s="487" t="s">
        <v>27455</v>
      </c>
      <c r="F8844" s="490">
        <v>4000</v>
      </c>
      <c r="G8844" s="489">
        <v>70.819999999999993</v>
      </c>
      <c r="H8844" s="489">
        <v>56.48122</v>
      </c>
      <c r="I8844" s="487" t="s">
        <v>1499</v>
      </c>
      <c r="J8844" s="487" t="s">
        <v>367</v>
      </c>
    </row>
    <row r="8845" spans="1:10" ht="15" x14ac:dyDescent="0.2">
      <c r="A8845" s="486" t="s">
        <v>366</v>
      </c>
      <c r="B8845" s="487" t="s">
        <v>365</v>
      </c>
      <c r="C8845" s="488" t="s">
        <v>27456</v>
      </c>
      <c r="D8845" s="489" t="s">
        <v>27457</v>
      </c>
      <c r="E8845" s="487" t="s">
        <v>27458</v>
      </c>
      <c r="F8845" s="490">
        <v>0</v>
      </c>
      <c r="G8845" s="489">
        <v>35.090000000000003</v>
      </c>
      <c r="H8845" s="489">
        <v>0</v>
      </c>
      <c r="I8845" s="487" t="s">
        <v>1593</v>
      </c>
      <c r="J8845" s="487" t="s">
        <v>367</v>
      </c>
    </row>
    <row r="8846" spans="1:10" ht="15" x14ac:dyDescent="0.2">
      <c r="A8846" s="486" t="s">
        <v>366</v>
      </c>
      <c r="B8846" s="487" t="s">
        <v>365</v>
      </c>
      <c r="C8846" s="488" t="s">
        <v>27459</v>
      </c>
      <c r="D8846" s="489" t="s">
        <v>27460</v>
      </c>
      <c r="E8846" s="487" t="s">
        <v>27461</v>
      </c>
      <c r="F8846" s="490">
        <v>13790</v>
      </c>
      <c r="G8846" s="489">
        <v>206.11</v>
      </c>
      <c r="H8846" s="489">
        <v>66.906019999999998</v>
      </c>
      <c r="I8846" s="487" t="s">
        <v>1499</v>
      </c>
      <c r="J8846" s="487" t="s">
        <v>367</v>
      </c>
    </row>
    <row r="8847" spans="1:10" ht="15" x14ac:dyDescent="0.2">
      <c r="A8847" s="486" t="s">
        <v>366</v>
      </c>
      <c r="B8847" s="487" t="s">
        <v>365</v>
      </c>
      <c r="C8847" s="488" t="s">
        <v>27462</v>
      </c>
      <c r="D8847" s="489" t="s">
        <v>27463</v>
      </c>
      <c r="E8847" s="487" t="s">
        <v>27464</v>
      </c>
      <c r="F8847" s="490">
        <v>74300</v>
      </c>
      <c r="G8847" s="489">
        <v>840.48</v>
      </c>
      <c r="H8847" s="489">
        <v>88.401870000000002</v>
      </c>
      <c r="I8847" s="487" t="s">
        <v>1499</v>
      </c>
      <c r="J8847" s="487" t="s">
        <v>367</v>
      </c>
    </row>
    <row r="8848" spans="1:10" ht="15" x14ac:dyDescent="0.2">
      <c r="A8848" s="486" t="s">
        <v>366</v>
      </c>
      <c r="B8848" s="487" t="s">
        <v>365</v>
      </c>
      <c r="C8848" s="488" t="s">
        <v>27465</v>
      </c>
      <c r="D8848" s="489" t="s">
        <v>27466</v>
      </c>
      <c r="E8848" s="487" t="s">
        <v>19304</v>
      </c>
      <c r="F8848" s="490">
        <v>1000</v>
      </c>
      <c r="G8848" s="489">
        <v>39.090000000000003</v>
      </c>
      <c r="H8848" s="489">
        <v>25.581990000000001</v>
      </c>
      <c r="I8848" s="487" t="s">
        <v>1499</v>
      </c>
      <c r="J8848" s="487" t="s">
        <v>367</v>
      </c>
    </row>
    <row r="8849" spans="1:10" ht="15" x14ac:dyDescent="0.2">
      <c r="A8849" s="486" t="s">
        <v>366</v>
      </c>
      <c r="B8849" s="487" t="s">
        <v>365</v>
      </c>
      <c r="C8849" s="488" t="s">
        <v>27467</v>
      </c>
      <c r="D8849" s="489" t="s">
        <v>27468</v>
      </c>
      <c r="E8849" s="487" t="s">
        <v>27469</v>
      </c>
      <c r="F8849" s="490">
        <v>77760</v>
      </c>
      <c r="G8849" s="489">
        <v>824.99</v>
      </c>
      <c r="H8849" s="489">
        <v>94.255690000000001</v>
      </c>
      <c r="I8849" s="487" t="s">
        <v>1499</v>
      </c>
      <c r="J8849" s="487" t="s">
        <v>367</v>
      </c>
    </row>
    <row r="8850" spans="1:10" ht="15" x14ac:dyDescent="0.2">
      <c r="A8850" s="486" t="s">
        <v>366</v>
      </c>
      <c r="B8850" s="487" t="s">
        <v>365</v>
      </c>
      <c r="C8850" s="488" t="s">
        <v>27470</v>
      </c>
      <c r="D8850" s="489" t="s">
        <v>27471</v>
      </c>
      <c r="E8850" s="487" t="s">
        <v>27472</v>
      </c>
      <c r="F8850" s="490">
        <v>11898</v>
      </c>
      <c r="G8850" s="489">
        <v>169.65</v>
      </c>
      <c r="H8850" s="489">
        <v>70.132630000000006</v>
      </c>
      <c r="I8850" s="487" t="s">
        <v>1499</v>
      </c>
      <c r="J8850" s="487" t="s">
        <v>367</v>
      </c>
    </row>
    <row r="8851" spans="1:10" ht="15" x14ac:dyDescent="0.2">
      <c r="A8851" s="486" t="s">
        <v>366</v>
      </c>
      <c r="B8851" s="487" t="s">
        <v>365</v>
      </c>
      <c r="C8851" s="488" t="s">
        <v>27473</v>
      </c>
      <c r="D8851" s="489" t="s">
        <v>27474</v>
      </c>
      <c r="E8851" s="487" t="s">
        <v>27475</v>
      </c>
      <c r="F8851" s="490">
        <v>14500</v>
      </c>
      <c r="G8851" s="489">
        <v>317.67</v>
      </c>
      <c r="H8851" s="489">
        <v>45.644849999999998</v>
      </c>
      <c r="I8851" s="487" t="s">
        <v>1499</v>
      </c>
      <c r="J8851" s="487" t="s">
        <v>367</v>
      </c>
    </row>
    <row r="8852" spans="1:10" ht="15" x14ac:dyDescent="0.2">
      <c r="A8852" s="486" t="s">
        <v>366</v>
      </c>
      <c r="B8852" s="487" t="s">
        <v>365</v>
      </c>
      <c r="C8852" s="488" t="s">
        <v>27476</v>
      </c>
      <c r="D8852" s="489" t="s">
        <v>27477</v>
      </c>
      <c r="E8852" s="487" t="s">
        <v>27478</v>
      </c>
      <c r="F8852" s="490">
        <v>18100</v>
      </c>
      <c r="G8852" s="489">
        <v>335.79</v>
      </c>
      <c r="H8852" s="489">
        <v>53.902740000000001</v>
      </c>
      <c r="I8852" s="487" t="s">
        <v>1499</v>
      </c>
      <c r="J8852" s="487" t="s">
        <v>367</v>
      </c>
    </row>
    <row r="8853" spans="1:10" ht="15" x14ac:dyDescent="0.2">
      <c r="A8853" s="486" t="s">
        <v>366</v>
      </c>
      <c r="B8853" s="487" t="s">
        <v>365</v>
      </c>
      <c r="C8853" s="488" t="s">
        <v>27479</v>
      </c>
      <c r="D8853" s="489" t="s">
        <v>27480</v>
      </c>
      <c r="E8853" s="487" t="s">
        <v>27481</v>
      </c>
      <c r="F8853" s="490">
        <v>11710</v>
      </c>
      <c r="G8853" s="489">
        <v>403.48</v>
      </c>
      <c r="H8853" s="489">
        <v>29.022500000000001</v>
      </c>
      <c r="I8853" s="487" t="s">
        <v>1499</v>
      </c>
      <c r="J8853" s="487" t="s">
        <v>367</v>
      </c>
    </row>
    <row r="8854" spans="1:10" ht="15" x14ac:dyDescent="0.2">
      <c r="A8854" s="486" t="s">
        <v>366</v>
      </c>
      <c r="B8854" s="487" t="s">
        <v>365</v>
      </c>
      <c r="C8854" s="488" t="s">
        <v>27482</v>
      </c>
      <c r="D8854" s="489" t="s">
        <v>27483</v>
      </c>
      <c r="E8854" s="487" t="s">
        <v>6720</v>
      </c>
      <c r="F8854" s="490">
        <v>858400</v>
      </c>
      <c r="G8854" s="489">
        <v>4615.34</v>
      </c>
      <c r="H8854" s="489">
        <v>185.98846</v>
      </c>
      <c r="I8854" s="487" t="s">
        <v>1499</v>
      </c>
      <c r="J8854" s="487" t="s">
        <v>367</v>
      </c>
    </row>
    <row r="8855" spans="1:10" ht="15" x14ac:dyDescent="0.2">
      <c r="A8855" s="486" t="s">
        <v>366</v>
      </c>
      <c r="B8855" s="487" t="s">
        <v>365</v>
      </c>
      <c r="C8855" s="488" t="s">
        <v>27484</v>
      </c>
      <c r="D8855" s="489" t="s">
        <v>27485</v>
      </c>
      <c r="E8855" s="487" t="s">
        <v>27486</v>
      </c>
      <c r="F8855" s="490">
        <v>17006</v>
      </c>
      <c r="G8855" s="489">
        <v>253.21</v>
      </c>
      <c r="H8855" s="489">
        <v>67.161640000000006</v>
      </c>
      <c r="I8855" s="487" t="s">
        <v>1499</v>
      </c>
      <c r="J8855" s="487" t="s">
        <v>367</v>
      </c>
    </row>
    <row r="8856" spans="1:10" ht="15" x14ac:dyDescent="0.2">
      <c r="A8856" s="486" t="s">
        <v>366</v>
      </c>
      <c r="B8856" s="487" t="s">
        <v>365</v>
      </c>
      <c r="C8856" s="488" t="s">
        <v>27487</v>
      </c>
      <c r="D8856" s="489" t="s">
        <v>27488</v>
      </c>
      <c r="E8856" s="487" t="s">
        <v>27489</v>
      </c>
      <c r="F8856" s="490">
        <v>6375</v>
      </c>
      <c r="G8856" s="489">
        <v>128.9</v>
      </c>
      <c r="H8856" s="489">
        <v>49.456940000000003</v>
      </c>
      <c r="I8856" s="487" t="s">
        <v>1499</v>
      </c>
      <c r="J8856" s="487" t="s">
        <v>367</v>
      </c>
    </row>
    <row r="8857" spans="1:10" ht="15" x14ac:dyDescent="0.2">
      <c r="A8857" s="486" t="s">
        <v>366</v>
      </c>
      <c r="B8857" s="487" t="s">
        <v>365</v>
      </c>
      <c r="C8857" s="488" t="s">
        <v>27490</v>
      </c>
      <c r="D8857" s="489" t="s">
        <v>27491</v>
      </c>
      <c r="E8857" s="487" t="s">
        <v>27492</v>
      </c>
      <c r="F8857" s="490">
        <v>2120</v>
      </c>
      <c r="G8857" s="489">
        <v>49.13</v>
      </c>
      <c r="H8857" s="489">
        <v>43.150820000000003</v>
      </c>
      <c r="I8857" s="487" t="s">
        <v>1499</v>
      </c>
      <c r="J8857" s="487" t="s">
        <v>367</v>
      </c>
    </row>
    <row r="8858" spans="1:10" ht="15" x14ac:dyDescent="0.2">
      <c r="A8858" s="486" t="s">
        <v>366</v>
      </c>
      <c r="B8858" s="487" t="s">
        <v>365</v>
      </c>
      <c r="C8858" s="488" t="s">
        <v>27493</v>
      </c>
      <c r="D8858" s="489" t="s">
        <v>27494</v>
      </c>
      <c r="E8858" s="487" t="s">
        <v>27495</v>
      </c>
      <c r="F8858" s="490">
        <v>0</v>
      </c>
      <c r="G8858" s="489">
        <v>58.45</v>
      </c>
      <c r="H8858" s="489">
        <v>0</v>
      </c>
      <c r="I8858" s="487" t="s">
        <v>1593</v>
      </c>
      <c r="J8858" s="487" t="s">
        <v>367</v>
      </c>
    </row>
    <row r="8859" spans="1:10" ht="15" x14ac:dyDescent="0.2">
      <c r="A8859" s="486" t="s">
        <v>366</v>
      </c>
      <c r="B8859" s="487" t="s">
        <v>365</v>
      </c>
      <c r="C8859" s="488" t="s">
        <v>27496</v>
      </c>
      <c r="D8859" s="489" t="s">
        <v>27497</v>
      </c>
      <c r="E8859" s="487" t="s">
        <v>27498</v>
      </c>
      <c r="F8859" s="490">
        <v>0</v>
      </c>
      <c r="G8859" s="489">
        <v>19.829999999999998</v>
      </c>
      <c r="H8859" s="489">
        <v>0</v>
      </c>
      <c r="I8859" s="487" t="s">
        <v>1593</v>
      </c>
      <c r="J8859" s="487" t="s">
        <v>367</v>
      </c>
    </row>
    <row r="8860" spans="1:10" ht="15" x14ac:dyDescent="0.2">
      <c r="A8860" s="486" t="s">
        <v>366</v>
      </c>
      <c r="B8860" s="487" t="s">
        <v>365</v>
      </c>
      <c r="C8860" s="488" t="s">
        <v>27499</v>
      </c>
      <c r="D8860" s="489" t="s">
        <v>27500</v>
      </c>
      <c r="E8860" s="487" t="s">
        <v>27501</v>
      </c>
      <c r="F8860" s="490">
        <v>4000</v>
      </c>
      <c r="G8860" s="489">
        <v>144.31</v>
      </c>
      <c r="H8860" s="489">
        <v>27.718109999999999</v>
      </c>
      <c r="I8860" s="487" t="s">
        <v>1499</v>
      </c>
      <c r="J8860" s="487" t="s">
        <v>367</v>
      </c>
    </row>
    <row r="8861" spans="1:10" ht="15" x14ac:dyDescent="0.2">
      <c r="A8861" s="486" t="s">
        <v>366</v>
      </c>
      <c r="B8861" s="487" t="s">
        <v>365</v>
      </c>
      <c r="C8861" s="488" t="s">
        <v>27502</v>
      </c>
      <c r="D8861" s="489" t="s">
        <v>27503</v>
      </c>
      <c r="E8861" s="487" t="s">
        <v>27504</v>
      </c>
      <c r="F8861" s="490">
        <v>7723</v>
      </c>
      <c r="G8861" s="489">
        <v>176.88</v>
      </c>
      <c r="H8861" s="489">
        <v>43.662370000000003</v>
      </c>
      <c r="I8861" s="487" t="s">
        <v>1499</v>
      </c>
      <c r="J8861" s="487" t="s">
        <v>367</v>
      </c>
    </row>
    <row r="8862" spans="1:10" ht="15" x14ac:dyDescent="0.2">
      <c r="A8862" s="486" t="s">
        <v>366</v>
      </c>
      <c r="B8862" s="487" t="s">
        <v>365</v>
      </c>
      <c r="C8862" s="488" t="s">
        <v>27505</v>
      </c>
      <c r="D8862" s="489" t="s">
        <v>27506</v>
      </c>
      <c r="E8862" s="487" t="s">
        <v>27507</v>
      </c>
      <c r="F8862" s="490">
        <v>3200</v>
      </c>
      <c r="G8862" s="489">
        <v>127.83</v>
      </c>
      <c r="H8862" s="489">
        <v>25.033249999999999</v>
      </c>
      <c r="I8862" s="487" t="s">
        <v>1499</v>
      </c>
      <c r="J8862" s="487" t="s">
        <v>367</v>
      </c>
    </row>
    <row r="8863" spans="1:10" ht="15" x14ac:dyDescent="0.2">
      <c r="A8863" s="486" t="s">
        <v>989</v>
      </c>
      <c r="B8863" s="487" t="s">
        <v>988</v>
      </c>
      <c r="C8863" s="488" t="s">
        <v>27508</v>
      </c>
      <c r="D8863" s="489" t="s">
        <v>27509</v>
      </c>
      <c r="E8863" s="487" t="s">
        <v>27510</v>
      </c>
      <c r="F8863" s="490">
        <v>0</v>
      </c>
      <c r="G8863" s="489">
        <v>24.7</v>
      </c>
      <c r="H8863" s="489">
        <v>0</v>
      </c>
      <c r="I8863" s="487" t="s">
        <v>1593</v>
      </c>
      <c r="J8863" s="487" t="s">
        <v>990</v>
      </c>
    </row>
    <row r="8864" spans="1:10" ht="15" x14ac:dyDescent="0.2">
      <c r="A8864" s="486" t="s">
        <v>989</v>
      </c>
      <c r="B8864" s="487" t="s">
        <v>988</v>
      </c>
      <c r="C8864" s="488" t="s">
        <v>27511</v>
      </c>
      <c r="D8864" s="489" t="s">
        <v>27512</v>
      </c>
      <c r="E8864" s="487" t="s">
        <v>27513</v>
      </c>
      <c r="F8864" s="490">
        <v>2205</v>
      </c>
      <c r="G8864" s="489">
        <v>145.85</v>
      </c>
      <c r="H8864" s="489">
        <v>15.118270000000001</v>
      </c>
      <c r="I8864" s="487" t="s">
        <v>1499</v>
      </c>
      <c r="J8864" s="487" t="s">
        <v>990</v>
      </c>
    </row>
    <row r="8865" spans="1:10" ht="15" x14ac:dyDescent="0.2">
      <c r="A8865" s="486" t="s">
        <v>989</v>
      </c>
      <c r="B8865" s="487" t="s">
        <v>988</v>
      </c>
      <c r="C8865" s="488" t="s">
        <v>27514</v>
      </c>
      <c r="D8865" s="489" t="s">
        <v>27515</v>
      </c>
      <c r="E8865" s="487" t="s">
        <v>27516</v>
      </c>
      <c r="F8865" s="490">
        <v>3764</v>
      </c>
      <c r="G8865" s="489">
        <v>98.84</v>
      </c>
      <c r="H8865" s="489">
        <v>38.08175</v>
      </c>
      <c r="I8865" s="487" t="s">
        <v>1499</v>
      </c>
      <c r="J8865" s="487" t="s">
        <v>990</v>
      </c>
    </row>
    <row r="8866" spans="1:10" ht="15" x14ac:dyDescent="0.2">
      <c r="A8866" s="486" t="s">
        <v>989</v>
      </c>
      <c r="B8866" s="487" t="s">
        <v>988</v>
      </c>
      <c r="C8866" s="488" t="s">
        <v>27517</v>
      </c>
      <c r="D8866" s="489" t="s">
        <v>27518</v>
      </c>
      <c r="E8866" s="487" t="s">
        <v>27519</v>
      </c>
      <c r="F8866" s="490">
        <v>0</v>
      </c>
      <c r="G8866" s="489">
        <v>32.93</v>
      </c>
      <c r="H8866" s="489">
        <v>0</v>
      </c>
      <c r="I8866" s="487" t="s">
        <v>1593</v>
      </c>
      <c r="J8866" s="487" t="s">
        <v>990</v>
      </c>
    </row>
    <row r="8867" spans="1:10" ht="15" x14ac:dyDescent="0.2">
      <c r="A8867" s="486" t="s">
        <v>989</v>
      </c>
      <c r="B8867" s="487" t="s">
        <v>988</v>
      </c>
      <c r="C8867" s="488" t="s">
        <v>27520</v>
      </c>
      <c r="D8867" s="489" t="s">
        <v>27521</v>
      </c>
      <c r="E8867" s="487" t="s">
        <v>27522</v>
      </c>
      <c r="F8867" s="490">
        <v>488</v>
      </c>
      <c r="G8867" s="489">
        <v>22.57</v>
      </c>
      <c r="H8867" s="489">
        <v>21.62162</v>
      </c>
      <c r="I8867" s="487" t="s">
        <v>1499</v>
      </c>
      <c r="J8867" s="487" t="s">
        <v>990</v>
      </c>
    </row>
    <row r="8868" spans="1:10" ht="15" x14ac:dyDescent="0.2">
      <c r="A8868" s="486" t="s">
        <v>989</v>
      </c>
      <c r="B8868" s="487" t="s">
        <v>988</v>
      </c>
      <c r="C8868" s="488" t="s">
        <v>27523</v>
      </c>
      <c r="D8868" s="489" t="s">
        <v>27524</v>
      </c>
      <c r="E8868" s="487" t="s">
        <v>19635</v>
      </c>
      <c r="F8868" s="490">
        <v>46733</v>
      </c>
      <c r="G8868" s="489">
        <v>694.42</v>
      </c>
      <c r="H8868" s="489">
        <v>67.297889999999995</v>
      </c>
      <c r="I8868" s="487" t="s">
        <v>1499</v>
      </c>
      <c r="J8868" s="487" t="s">
        <v>990</v>
      </c>
    </row>
    <row r="8869" spans="1:10" ht="15" x14ac:dyDescent="0.2">
      <c r="A8869" s="486" t="s">
        <v>989</v>
      </c>
      <c r="B8869" s="487" t="s">
        <v>988</v>
      </c>
      <c r="C8869" s="488" t="s">
        <v>27525</v>
      </c>
      <c r="D8869" s="489" t="s">
        <v>27526</v>
      </c>
      <c r="E8869" s="487" t="s">
        <v>27527</v>
      </c>
      <c r="F8869" s="490">
        <v>0</v>
      </c>
      <c r="G8869" s="489">
        <v>34.159999999999997</v>
      </c>
      <c r="H8869" s="489">
        <v>0</v>
      </c>
      <c r="I8869" s="487" t="s">
        <v>1593</v>
      </c>
      <c r="J8869" s="487" t="s">
        <v>990</v>
      </c>
    </row>
    <row r="8870" spans="1:10" ht="15" x14ac:dyDescent="0.2">
      <c r="A8870" s="486" t="s">
        <v>989</v>
      </c>
      <c r="B8870" s="487" t="s">
        <v>988</v>
      </c>
      <c r="C8870" s="488" t="s">
        <v>27528</v>
      </c>
      <c r="D8870" s="489" t="s">
        <v>27529</v>
      </c>
      <c r="E8870" s="487" t="s">
        <v>27530</v>
      </c>
      <c r="F8870" s="490">
        <v>32487</v>
      </c>
      <c r="G8870" s="489">
        <v>415.25</v>
      </c>
      <c r="H8870" s="489">
        <v>78.234800000000007</v>
      </c>
      <c r="I8870" s="487" t="s">
        <v>1499</v>
      </c>
      <c r="J8870" s="487" t="s">
        <v>990</v>
      </c>
    </row>
    <row r="8871" spans="1:10" ht="15" x14ac:dyDescent="0.2">
      <c r="A8871" s="486" t="s">
        <v>989</v>
      </c>
      <c r="B8871" s="487" t="s">
        <v>988</v>
      </c>
      <c r="C8871" s="488" t="s">
        <v>27531</v>
      </c>
      <c r="D8871" s="489" t="s">
        <v>27532</v>
      </c>
      <c r="E8871" s="487" t="s">
        <v>15022</v>
      </c>
      <c r="F8871" s="490">
        <v>56120</v>
      </c>
      <c r="G8871" s="489">
        <v>578.09</v>
      </c>
      <c r="H8871" s="489">
        <v>97.078310000000002</v>
      </c>
      <c r="I8871" s="487" t="s">
        <v>1499</v>
      </c>
      <c r="J8871" s="487" t="s">
        <v>990</v>
      </c>
    </row>
    <row r="8872" spans="1:10" ht="15" x14ac:dyDescent="0.2">
      <c r="A8872" s="486" t="s">
        <v>989</v>
      </c>
      <c r="B8872" s="487" t="s">
        <v>988</v>
      </c>
      <c r="C8872" s="488" t="s">
        <v>27533</v>
      </c>
      <c r="D8872" s="489" t="s">
        <v>27534</v>
      </c>
      <c r="E8872" s="487" t="s">
        <v>27535</v>
      </c>
      <c r="F8872" s="490">
        <v>16500</v>
      </c>
      <c r="G8872" s="489">
        <v>192.15</v>
      </c>
      <c r="H8872" s="489">
        <v>85.870410000000007</v>
      </c>
      <c r="I8872" s="487" t="s">
        <v>1499</v>
      </c>
      <c r="J8872" s="487" t="s">
        <v>990</v>
      </c>
    </row>
    <row r="8873" spans="1:10" ht="15" x14ac:dyDescent="0.2">
      <c r="A8873" s="486" t="s">
        <v>989</v>
      </c>
      <c r="B8873" s="487" t="s">
        <v>988</v>
      </c>
      <c r="C8873" s="488" t="s">
        <v>27536</v>
      </c>
      <c r="D8873" s="489" t="s">
        <v>27537</v>
      </c>
      <c r="E8873" s="487" t="s">
        <v>27538</v>
      </c>
      <c r="F8873" s="490">
        <v>14791</v>
      </c>
      <c r="G8873" s="489">
        <v>265.27</v>
      </c>
      <c r="H8873" s="489">
        <v>55.758279999999999</v>
      </c>
      <c r="I8873" s="487" t="s">
        <v>1499</v>
      </c>
      <c r="J8873" s="487" t="s">
        <v>990</v>
      </c>
    </row>
    <row r="8874" spans="1:10" ht="15" x14ac:dyDescent="0.2">
      <c r="A8874" s="486" t="s">
        <v>989</v>
      </c>
      <c r="B8874" s="487" t="s">
        <v>988</v>
      </c>
      <c r="C8874" s="488" t="s">
        <v>27539</v>
      </c>
      <c r="D8874" s="489" t="s">
        <v>27540</v>
      </c>
      <c r="E8874" s="487" t="s">
        <v>27541</v>
      </c>
      <c r="F8874" s="490">
        <v>2000</v>
      </c>
      <c r="G8874" s="489">
        <v>127.54</v>
      </c>
      <c r="H8874" s="489">
        <v>15.68135</v>
      </c>
      <c r="I8874" s="487" t="s">
        <v>1499</v>
      </c>
      <c r="J8874" s="487" t="s">
        <v>990</v>
      </c>
    </row>
    <row r="8875" spans="1:10" ht="15" x14ac:dyDescent="0.2">
      <c r="A8875" s="486" t="s">
        <v>989</v>
      </c>
      <c r="B8875" s="487" t="s">
        <v>988</v>
      </c>
      <c r="C8875" s="488" t="s">
        <v>27542</v>
      </c>
      <c r="D8875" s="489" t="s">
        <v>27543</v>
      </c>
      <c r="E8875" s="487" t="s">
        <v>27544</v>
      </c>
      <c r="F8875" s="490">
        <v>6100</v>
      </c>
      <c r="G8875" s="489">
        <v>177.91</v>
      </c>
      <c r="H8875" s="489">
        <v>34.286999999999999</v>
      </c>
      <c r="I8875" s="487" t="s">
        <v>1499</v>
      </c>
      <c r="J8875" s="487" t="s">
        <v>990</v>
      </c>
    </row>
    <row r="8876" spans="1:10" ht="15" x14ac:dyDescent="0.2">
      <c r="A8876" s="486" t="s">
        <v>989</v>
      </c>
      <c r="B8876" s="487" t="s">
        <v>988</v>
      </c>
      <c r="C8876" s="488" t="s">
        <v>27545</v>
      </c>
      <c r="D8876" s="489" t="s">
        <v>27546</v>
      </c>
      <c r="E8876" s="487" t="s">
        <v>27547</v>
      </c>
      <c r="F8876" s="490">
        <v>1620</v>
      </c>
      <c r="G8876" s="489">
        <v>104.51</v>
      </c>
      <c r="H8876" s="489">
        <v>15.500909999999999</v>
      </c>
      <c r="I8876" s="487" t="s">
        <v>1499</v>
      </c>
      <c r="J8876" s="487" t="s">
        <v>990</v>
      </c>
    </row>
    <row r="8877" spans="1:10" ht="15" x14ac:dyDescent="0.2">
      <c r="A8877" s="486" t="s">
        <v>989</v>
      </c>
      <c r="B8877" s="487" t="s">
        <v>988</v>
      </c>
      <c r="C8877" s="488" t="s">
        <v>27548</v>
      </c>
      <c r="D8877" s="489" t="s">
        <v>27549</v>
      </c>
      <c r="E8877" s="487" t="s">
        <v>27550</v>
      </c>
      <c r="F8877" s="490">
        <v>23825</v>
      </c>
      <c r="G8877" s="489">
        <v>319.26</v>
      </c>
      <c r="H8877" s="489">
        <v>74.625699999999995</v>
      </c>
      <c r="I8877" s="487" t="s">
        <v>1499</v>
      </c>
      <c r="J8877" s="487" t="s">
        <v>990</v>
      </c>
    </row>
    <row r="8878" spans="1:10" ht="15" x14ac:dyDescent="0.2">
      <c r="A8878" s="486" t="s">
        <v>989</v>
      </c>
      <c r="B8878" s="487" t="s">
        <v>988</v>
      </c>
      <c r="C8878" s="488" t="s">
        <v>27551</v>
      </c>
      <c r="D8878" s="489" t="s">
        <v>27552</v>
      </c>
      <c r="E8878" s="487" t="s">
        <v>27553</v>
      </c>
      <c r="F8878" s="490">
        <v>63600</v>
      </c>
      <c r="G8878" s="489">
        <v>364.93</v>
      </c>
      <c r="H8878" s="489">
        <v>174.28</v>
      </c>
      <c r="I8878" s="487" t="s">
        <v>1499</v>
      </c>
      <c r="J8878" s="487" t="s">
        <v>990</v>
      </c>
    </row>
    <row r="8879" spans="1:10" ht="15" x14ac:dyDescent="0.2">
      <c r="A8879" s="486" t="s">
        <v>989</v>
      </c>
      <c r="B8879" s="487" t="s">
        <v>988</v>
      </c>
      <c r="C8879" s="488" t="s">
        <v>27554</v>
      </c>
      <c r="D8879" s="489" t="s">
        <v>27555</v>
      </c>
      <c r="E8879" s="487" t="s">
        <v>27556</v>
      </c>
      <c r="F8879" s="490">
        <v>0</v>
      </c>
      <c r="G8879" s="489">
        <v>31.89</v>
      </c>
      <c r="H8879" s="489">
        <v>0</v>
      </c>
      <c r="I8879" s="487" t="s">
        <v>1593</v>
      </c>
      <c r="J8879" s="487" t="s">
        <v>990</v>
      </c>
    </row>
    <row r="8880" spans="1:10" ht="15" x14ac:dyDescent="0.2">
      <c r="A8880" s="486" t="s">
        <v>989</v>
      </c>
      <c r="B8880" s="487" t="s">
        <v>988</v>
      </c>
      <c r="C8880" s="488" t="s">
        <v>27557</v>
      </c>
      <c r="D8880" s="489" t="s">
        <v>27558</v>
      </c>
      <c r="E8880" s="487" t="s">
        <v>27559</v>
      </c>
      <c r="F8880" s="490">
        <v>92955</v>
      </c>
      <c r="G8880" s="489">
        <v>1103.3499999999999</v>
      </c>
      <c r="H8880" s="489">
        <v>84.247969999999995</v>
      </c>
      <c r="I8880" s="487" t="s">
        <v>1499</v>
      </c>
      <c r="J8880" s="487" t="s">
        <v>990</v>
      </c>
    </row>
    <row r="8881" spans="1:10" ht="15" x14ac:dyDescent="0.2">
      <c r="A8881" s="486" t="s">
        <v>989</v>
      </c>
      <c r="B8881" s="487" t="s">
        <v>988</v>
      </c>
      <c r="C8881" s="488" t="s">
        <v>27560</v>
      </c>
      <c r="D8881" s="489" t="s">
        <v>27561</v>
      </c>
      <c r="E8881" s="487" t="s">
        <v>27562</v>
      </c>
      <c r="F8881" s="490">
        <v>8250</v>
      </c>
      <c r="G8881" s="489">
        <v>233.45</v>
      </c>
      <c r="H8881" s="489">
        <v>35.339469999999999</v>
      </c>
      <c r="I8881" s="487" t="s">
        <v>1499</v>
      </c>
      <c r="J8881" s="487" t="s">
        <v>990</v>
      </c>
    </row>
    <row r="8882" spans="1:10" ht="15" x14ac:dyDescent="0.2">
      <c r="A8882" s="486" t="s">
        <v>989</v>
      </c>
      <c r="B8882" s="487" t="s">
        <v>988</v>
      </c>
      <c r="C8882" s="488" t="s">
        <v>27563</v>
      </c>
      <c r="D8882" s="489" t="s">
        <v>27564</v>
      </c>
      <c r="E8882" s="487" t="s">
        <v>27565</v>
      </c>
      <c r="F8882" s="490">
        <v>4924</v>
      </c>
      <c r="G8882" s="489">
        <v>85.9</v>
      </c>
      <c r="H8882" s="489">
        <v>57.322470000000003</v>
      </c>
      <c r="I8882" s="487" t="s">
        <v>1499</v>
      </c>
      <c r="J8882" s="487" t="s">
        <v>990</v>
      </c>
    </row>
    <row r="8883" spans="1:10" ht="15" x14ac:dyDescent="0.2">
      <c r="A8883" s="486" t="s">
        <v>989</v>
      </c>
      <c r="B8883" s="487" t="s">
        <v>988</v>
      </c>
      <c r="C8883" s="488" t="s">
        <v>27566</v>
      </c>
      <c r="D8883" s="489" t="s">
        <v>27567</v>
      </c>
      <c r="E8883" s="487" t="s">
        <v>27568</v>
      </c>
      <c r="F8883" s="490">
        <v>3400</v>
      </c>
      <c r="G8883" s="489">
        <v>69.569999999999993</v>
      </c>
      <c r="H8883" s="489">
        <v>48.871639999999999</v>
      </c>
      <c r="I8883" s="487" t="s">
        <v>1499</v>
      </c>
      <c r="J8883" s="487" t="s">
        <v>990</v>
      </c>
    </row>
    <row r="8884" spans="1:10" ht="15" x14ac:dyDescent="0.2">
      <c r="A8884" s="486" t="s">
        <v>989</v>
      </c>
      <c r="B8884" s="487" t="s">
        <v>988</v>
      </c>
      <c r="C8884" s="488" t="s">
        <v>27569</v>
      </c>
      <c r="D8884" s="489" t="s">
        <v>27570</v>
      </c>
      <c r="E8884" s="487" t="s">
        <v>27571</v>
      </c>
      <c r="F8884" s="490">
        <v>7836</v>
      </c>
      <c r="G8884" s="489">
        <v>182.39</v>
      </c>
      <c r="H8884" s="489">
        <v>42.962879999999998</v>
      </c>
      <c r="I8884" s="487" t="s">
        <v>1499</v>
      </c>
      <c r="J8884" s="487" t="s">
        <v>990</v>
      </c>
    </row>
    <row r="8885" spans="1:10" ht="15" x14ac:dyDescent="0.2">
      <c r="A8885" s="486" t="s">
        <v>989</v>
      </c>
      <c r="B8885" s="487" t="s">
        <v>988</v>
      </c>
      <c r="C8885" s="488" t="s">
        <v>27572</v>
      </c>
      <c r="D8885" s="489" t="s">
        <v>27573</v>
      </c>
      <c r="E8885" s="487" t="s">
        <v>27574</v>
      </c>
      <c r="F8885" s="490">
        <v>35653</v>
      </c>
      <c r="G8885" s="489">
        <v>778.26</v>
      </c>
      <c r="H8885" s="489">
        <v>45.811169999999997</v>
      </c>
      <c r="I8885" s="487" t="s">
        <v>1499</v>
      </c>
      <c r="J8885" s="487" t="s">
        <v>990</v>
      </c>
    </row>
    <row r="8886" spans="1:10" ht="15" x14ac:dyDescent="0.2">
      <c r="A8886" s="486" t="s">
        <v>989</v>
      </c>
      <c r="B8886" s="487" t="s">
        <v>988</v>
      </c>
      <c r="C8886" s="488" t="s">
        <v>27575</v>
      </c>
      <c r="D8886" s="489" t="s">
        <v>27576</v>
      </c>
      <c r="E8886" s="487" t="s">
        <v>27577</v>
      </c>
      <c r="F8886" s="490">
        <v>35259</v>
      </c>
      <c r="G8886" s="489">
        <v>294.43</v>
      </c>
      <c r="H8886" s="489">
        <v>119.75342000000001</v>
      </c>
      <c r="I8886" s="487" t="s">
        <v>1499</v>
      </c>
      <c r="J8886" s="487" t="s">
        <v>990</v>
      </c>
    </row>
    <row r="8887" spans="1:10" ht="15" x14ac:dyDescent="0.2">
      <c r="A8887" s="486" t="s">
        <v>989</v>
      </c>
      <c r="B8887" s="487" t="s">
        <v>988</v>
      </c>
      <c r="C8887" s="488" t="s">
        <v>27578</v>
      </c>
      <c r="D8887" s="489" t="s">
        <v>27579</v>
      </c>
      <c r="E8887" s="487" t="s">
        <v>27580</v>
      </c>
      <c r="F8887" s="490">
        <v>10106</v>
      </c>
      <c r="G8887" s="489">
        <v>339.47</v>
      </c>
      <c r="H8887" s="489">
        <v>29.769939999999998</v>
      </c>
      <c r="I8887" s="487" t="s">
        <v>1499</v>
      </c>
      <c r="J8887" s="487" t="s">
        <v>990</v>
      </c>
    </row>
    <row r="8888" spans="1:10" ht="15" x14ac:dyDescent="0.2">
      <c r="A8888" s="486" t="s">
        <v>989</v>
      </c>
      <c r="B8888" s="487" t="s">
        <v>988</v>
      </c>
      <c r="C8888" s="488" t="s">
        <v>27581</v>
      </c>
      <c r="D8888" s="489" t="s">
        <v>27582</v>
      </c>
      <c r="E8888" s="487" t="s">
        <v>27208</v>
      </c>
      <c r="F8888" s="490">
        <v>9645</v>
      </c>
      <c r="G8888" s="489">
        <v>257.45999999999998</v>
      </c>
      <c r="H8888" s="489">
        <v>37.462130000000002</v>
      </c>
      <c r="I8888" s="487" t="s">
        <v>1499</v>
      </c>
      <c r="J8888" s="487" t="s">
        <v>990</v>
      </c>
    </row>
    <row r="8889" spans="1:10" ht="15" x14ac:dyDescent="0.2">
      <c r="A8889" s="486" t="s">
        <v>989</v>
      </c>
      <c r="B8889" s="487" t="s">
        <v>988</v>
      </c>
      <c r="C8889" s="488" t="s">
        <v>27583</v>
      </c>
      <c r="D8889" s="489" t="s">
        <v>27584</v>
      </c>
      <c r="E8889" s="487" t="s">
        <v>27585</v>
      </c>
      <c r="F8889" s="490">
        <v>11686</v>
      </c>
      <c r="G8889" s="489">
        <v>419.69</v>
      </c>
      <c r="H8889" s="489">
        <v>27.844360000000002</v>
      </c>
      <c r="I8889" s="487" t="s">
        <v>1499</v>
      </c>
      <c r="J8889" s="487" t="s">
        <v>990</v>
      </c>
    </row>
    <row r="8890" spans="1:10" ht="15" x14ac:dyDescent="0.2">
      <c r="A8890" s="486" t="s">
        <v>989</v>
      </c>
      <c r="B8890" s="487" t="s">
        <v>988</v>
      </c>
      <c r="C8890" s="488" t="s">
        <v>27586</v>
      </c>
      <c r="D8890" s="489" t="s">
        <v>27587</v>
      </c>
      <c r="E8890" s="487" t="s">
        <v>27588</v>
      </c>
      <c r="F8890" s="490">
        <v>6092</v>
      </c>
      <c r="G8890" s="489">
        <v>101.7</v>
      </c>
      <c r="H8890" s="489">
        <v>59.901670000000003</v>
      </c>
      <c r="I8890" s="487" t="s">
        <v>1499</v>
      </c>
      <c r="J8890" s="487" t="s">
        <v>990</v>
      </c>
    </row>
    <row r="8891" spans="1:10" ht="15" x14ac:dyDescent="0.2">
      <c r="A8891" s="486" t="s">
        <v>989</v>
      </c>
      <c r="B8891" s="487" t="s">
        <v>988</v>
      </c>
      <c r="C8891" s="488" t="s">
        <v>27589</v>
      </c>
      <c r="D8891" s="489" t="s">
        <v>27590</v>
      </c>
      <c r="E8891" s="487" t="s">
        <v>27591</v>
      </c>
      <c r="F8891" s="490">
        <v>2900</v>
      </c>
      <c r="G8891" s="489">
        <v>160.75</v>
      </c>
      <c r="H8891" s="489">
        <v>18.04044</v>
      </c>
      <c r="I8891" s="487" t="s">
        <v>1499</v>
      </c>
      <c r="J8891" s="487" t="s">
        <v>990</v>
      </c>
    </row>
    <row r="8892" spans="1:10" ht="15" x14ac:dyDescent="0.2">
      <c r="A8892" s="486" t="s">
        <v>989</v>
      </c>
      <c r="B8892" s="487" t="s">
        <v>988</v>
      </c>
      <c r="C8892" s="488" t="s">
        <v>27592</v>
      </c>
      <c r="D8892" s="489" t="s">
        <v>27593</v>
      </c>
      <c r="E8892" s="487" t="s">
        <v>27594</v>
      </c>
      <c r="F8892" s="490">
        <v>91166</v>
      </c>
      <c r="G8892" s="489">
        <v>896.52</v>
      </c>
      <c r="H8892" s="489">
        <v>101.68875</v>
      </c>
      <c r="I8892" s="487" t="s">
        <v>1499</v>
      </c>
      <c r="J8892" s="487" t="s">
        <v>990</v>
      </c>
    </row>
    <row r="8893" spans="1:10" ht="15" x14ac:dyDescent="0.2">
      <c r="A8893" s="486" t="s">
        <v>989</v>
      </c>
      <c r="B8893" s="487" t="s">
        <v>988</v>
      </c>
      <c r="C8893" s="488" t="s">
        <v>27595</v>
      </c>
      <c r="D8893" s="489" t="s">
        <v>27596</v>
      </c>
      <c r="E8893" s="487" t="s">
        <v>2878</v>
      </c>
      <c r="F8893" s="490">
        <v>5606</v>
      </c>
      <c r="G8893" s="489">
        <v>86.42</v>
      </c>
      <c r="H8893" s="489">
        <v>64.869240000000005</v>
      </c>
      <c r="I8893" s="487" t="s">
        <v>1499</v>
      </c>
      <c r="J8893" s="487" t="s">
        <v>990</v>
      </c>
    </row>
    <row r="8894" spans="1:10" ht="15" x14ac:dyDescent="0.2">
      <c r="A8894" s="486" t="s">
        <v>989</v>
      </c>
      <c r="B8894" s="487" t="s">
        <v>988</v>
      </c>
      <c r="C8894" s="488" t="s">
        <v>27597</v>
      </c>
      <c r="D8894" s="489" t="s">
        <v>27598</v>
      </c>
      <c r="E8894" s="487" t="s">
        <v>27599</v>
      </c>
      <c r="F8894" s="490">
        <v>10855</v>
      </c>
      <c r="G8894" s="489">
        <v>292.08999999999997</v>
      </c>
      <c r="H8894" s="489">
        <v>37.163200000000003</v>
      </c>
      <c r="I8894" s="487" t="s">
        <v>1499</v>
      </c>
      <c r="J8894" s="487" t="s">
        <v>990</v>
      </c>
    </row>
    <row r="8895" spans="1:10" ht="15" x14ac:dyDescent="0.2">
      <c r="A8895" s="486" t="s">
        <v>989</v>
      </c>
      <c r="B8895" s="487" t="s">
        <v>988</v>
      </c>
      <c r="C8895" s="488" t="s">
        <v>27600</v>
      </c>
      <c r="D8895" s="489" t="s">
        <v>27601</v>
      </c>
      <c r="E8895" s="487" t="s">
        <v>27602</v>
      </c>
      <c r="F8895" s="490">
        <v>249150</v>
      </c>
      <c r="G8895" s="489">
        <v>1982.51</v>
      </c>
      <c r="H8895" s="489">
        <v>125.67402</v>
      </c>
      <c r="I8895" s="487" t="s">
        <v>1499</v>
      </c>
      <c r="J8895" s="487" t="s">
        <v>990</v>
      </c>
    </row>
    <row r="8896" spans="1:10" ht="15" x14ac:dyDescent="0.2">
      <c r="A8896" s="486" t="s">
        <v>989</v>
      </c>
      <c r="B8896" s="487" t="s">
        <v>988</v>
      </c>
      <c r="C8896" s="488" t="s">
        <v>27603</v>
      </c>
      <c r="D8896" s="489" t="s">
        <v>27604</v>
      </c>
      <c r="E8896" s="487" t="s">
        <v>3284</v>
      </c>
      <c r="F8896" s="490">
        <v>149345</v>
      </c>
      <c r="G8896" s="489">
        <v>911.3</v>
      </c>
      <c r="H8896" s="489">
        <v>163.88127</v>
      </c>
      <c r="I8896" s="487" t="s">
        <v>1499</v>
      </c>
      <c r="J8896" s="487" t="s">
        <v>990</v>
      </c>
    </row>
    <row r="8897" spans="1:10" ht="15" x14ac:dyDescent="0.2">
      <c r="A8897" s="486" t="s">
        <v>989</v>
      </c>
      <c r="B8897" s="487" t="s">
        <v>988</v>
      </c>
      <c r="C8897" s="488" t="s">
        <v>27605</v>
      </c>
      <c r="D8897" s="489" t="s">
        <v>27606</v>
      </c>
      <c r="E8897" s="487" t="s">
        <v>27607</v>
      </c>
      <c r="F8897" s="490">
        <v>7000</v>
      </c>
      <c r="G8897" s="489">
        <v>184.42</v>
      </c>
      <c r="H8897" s="489">
        <v>37.95684</v>
      </c>
      <c r="I8897" s="487" t="s">
        <v>1499</v>
      </c>
      <c r="J8897" s="487" t="s">
        <v>990</v>
      </c>
    </row>
    <row r="8898" spans="1:10" ht="15" x14ac:dyDescent="0.2">
      <c r="A8898" s="486" t="s">
        <v>989</v>
      </c>
      <c r="B8898" s="487" t="s">
        <v>988</v>
      </c>
      <c r="C8898" s="488" t="s">
        <v>27608</v>
      </c>
      <c r="D8898" s="489" t="s">
        <v>27609</v>
      </c>
      <c r="E8898" s="487" t="s">
        <v>27610</v>
      </c>
      <c r="F8898" s="490">
        <v>10845</v>
      </c>
      <c r="G8898" s="489">
        <v>226.87</v>
      </c>
      <c r="H8898" s="489">
        <v>47.802709999999998</v>
      </c>
      <c r="I8898" s="487" t="s">
        <v>1499</v>
      </c>
      <c r="J8898" s="487" t="s">
        <v>990</v>
      </c>
    </row>
    <row r="8899" spans="1:10" ht="15" x14ac:dyDescent="0.2">
      <c r="A8899" s="486" t="s">
        <v>989</v>
      </c>
      <c r="B8899" s="487" t="s">
        <v>988</v>
      </c>
      <c r="C8899" s="488" t="s">
        <v>27611</v>
      </c>
      <c r="D8899" s="489" t="s">
        <v>27612</v>
      </c>
      <c r="E8899" s="487" t="s">
        <v>27613</v>
      </c>
      <c r="F8899" s="490">
        <v>0</v>
      </c>
      <c r="G8899" s="489">
        <v>50.78</v>
      </c>
      <c r="H8899" s="489">
        <v>0</v>
      </c>
      <c r="I8899" s="487" t="s">
        <v>1593</v>
      </c>
      <c r="J8899" s="487" t="s">
        <v>990</v>
      </c>
    </row>
    <row r="8900" spans="1:10" ht="15" x14ac:dyDescent="0.2">
      <c r="A8900" s="486" t="s">
        <v>989</v>
      </c>
      <c r="B8900" s="487" t="s">
        <v>988</v>
      </c>
      <c r="C8900" s="488" t="s">
        <v>27614</v>
      </c>
      <c r="D8900" s="489" t="s">
        <v>27615</v>
      </c>
      <c r="E8900" s="487" t="s">
        <v>27616</v>
      </c>
      <c r="F8900" s="490">
        <v>10918</v>
      </c>
      <c r="G8900" s="489">
        <v>143.31</v>
      </c>
      <c r="H8900" s="489">
        <v>76.1845</v>
      </c>
      <c r="I8900" s="487" t="s">
        <v>1499</v>
      </c>
      <c r="J8900" s="487" t="s">
        <v>990</v>
      </c>
    </row>
    <row r="8901" spans="1:10" ht="15" x14ac:dyDescent="0.2">
      <c r="A8901" s="486" t="s">
        <v>989</v>
      </c>
      <c r="B8901" s="487" t="s">
        <v>988</v>
      </c>
      <c r="C8901" s="488" t="s">
        <v>27617</v>
      </c>
      <c r="D8901" s="489" t="s">
        <v>27618</v>
      </c>
      <c r="E8901" s="487" t="s">
        <v>27619</v>
      </c>
      <c r="F8901" s="490">
        <v>37800</v>
      </c>
      <c r="G8901" s="489">
        <v>453.72</v>
      </c>
      <c r="H8901" s="489">
        <v>83.31129</v>
      </c>
      <c r="I8901" s="487" t="s">
        <v>1499</v>
      </c>
      <c r="J8901" s="487" t="s">
        <v>990</v>
      </c>
    </row>
    <row r="8902" spans="1:10" ht="15" x14ac:dyDescent="0.2">
      <c r="A8902" s="486" t="s">
        <v>989</v>
      </c>
      <c r="B8902" s="487" t="s">
        <v>988</v>
      </c>
      <c r="C8902" s="488" t="s">
        <v>27620</v>
      </c>
      <c r="D8902" s="489" t="s">
        <v>27621</v>
      </c>
      <c r="E8902" s="487" t="s">
        <v>27622</v>
      </c>
      <c r="F8902" s="490">
        <v>1129</v>
      </c>
      <c r="G8902" s="489">
        <v>55.65</v>
      </c>
      <c r="H8902" s="489">
        <v>20.287510000000001</v>
      </c>
      <c r="I8902" s="487" t="s">
        <v>1499</v>
      </c>
      <c r="J8902" s="487" t="s">
        <v>990</v>
      </c>
    </row>
    <row r="8903" spans="1:10" ht="15" x14ac:dyDescent="0.2">
      <c r="A8903" s="486" t="s">
        <v>989</v>
      </c>
      <c r="B8903" s="487" t="s">
        <v>988</v>
      </c>
      <c r="C8903" s="488" t="s">
        <v>27623</v>
      </c>
      <c r="D8903" s="489" t="s">
        <v>27624</v>
      </c>
      <c r="E8903" s="487" t="s">
        <v>27625</v>
      </c>
      <c r="F8903" s="490">
        <v>1921</v>
      </c>
      <c r="G8903" s="489">
        <v>27.38</v>
      </c>
      <c r="H8903" s="489">
        <v>70.160700000000006</v>
      </c>
      <c r="I8903" s="487" t="s">
        <v>1499</v>
      </c>
      <c r="J8903" s="487" t="s">
        <v>990</v>
      </c>
    </row>
    <row r="8904" spans="1:10" ht="15" x14ac:dyDescent="0.2">
      <c r="A8904" s="486" t="s">
        <v>989</v>
      </c>
      <c r="B8904" s="487" t="s">
        <v>988</v>
      </c>
      <c r="C8904" s="488" t="s">
        <v>27626</v>
      </c>
      <c r="D8904" s="489" t="s">
        <v>27627</v>
      </c>
      <c r="E8904" s="487" t="s">
        <v>27628</v>
      </c>
      <c r="F8904" s="490">
        <v>14400</v>
      </c>
      <c r="G8904" s="489">
        <v>485.2</v>
      </c>
      <c r="H8904" s="489">
        <v>29.67848</v>
      </c>
      <c r="I8904" s="487" t="s">
        <v>1499</v>
      </c>
      <c r="J8904" s="487" t="s">
        <v>990</v>
      </c>
    </row>
    <row r="8905" spans="1:10" ht="15" x14ac:dyDescent="0.2">
      <c r="A8905" s="486" t="s">
        <v>989</v>
      </c>
      <c r="B8905" s="487" t="s">
        <v>988</v>
      </c>
      <c r="C8905" s="488" t="s">
        <v>27629</v>
      </c>
      <c r="D8905" s="489" t="s">
        <v>27630</v>
      </c>
      <c r="E8905" s="487" t="s">
        <v>27631</v>
      </c>
      <c r="F8905" s="490">
        <v>1500</v>
      </c>
      <c r="G8905" s="489">
        <v>89.82</v>
      </c>
      <c r="H8905" s="489">
        <v>16.70007</v>
      </c>
      <c r="I8905" s="487" t="s">
        <v>1499</v>
      </c>
      <c r="J8905" s="487" t="s">
        <v>990</v>
      </c>
    </row>
    <row r="8906" spans="1:10" ht="15" x14ac:dyDescent="0.2">
      <c r="A8906" s="486" t="s">
        <v>989</v>
      </c>
      <c r="B8906" s="487" t="s">
        <v>988</v>
      </c>
      <c r="C8906" s="488" t="s">
        <v>27632</v>
      </c>
      <c r="D8906" s="489" t="s">
        <v>27633</v>
      </c>
      <c r="E8906" s="487" t="s">
        <v>27634</v>
      </c>
      <c r="F8906" s="490">
        <v>4320</v>
      </c>
      <c r="G8906" s="489">
        <v>158.07</v>
      </c>
      <c r="H8906" s="489">
        <v>27.329660000000001</v>
      </c>
      <c r="I8906" s="487" t="s">
        <v>1499</v>
      </c>
      <c r="J8906" s="487" t="s">
        <v>990</v>
      </c>
    </row>
    <row r="8907" spans="1:10" ht="15" x14ac:dyDescent="0.2">
      <c r="A8907" s="486" t="s">
        <v>989</v>
      </c>
      <c r="B8907" s="487" t="s">
        <v>988</v>
      </c>
      <c r="C8907" s="488" t="s">
        <v>27635</v>
      </c>
      <c r="D8907" s="489" t="s">
        <v>27636</v>
      </c>
      <c r="E8907" s="487" t="s">
        <v>27637</v>
      </c>
      <c r="F8907" s="490">
        <v>55125</v>
      </c>
      <c r="G8907" s="489">
        <v>859.04</v>
      </c>
      <c r="H8907" s="489">
        <v>64.170469999999995</v>
      </c>
      <c r="I8907" s="487" t="s">
        <v>1499</v>
      </c>
      <c r="J8907" s="487" t="s">
        <v>990</v>
      </c>
    </row>
    <row r="8908" spans="1:10" ht="15" x14ac:dyDescent="0.2">
      <c r="A8908" s="486" t="s">
        <v>989</v>
      </c>
      <c r="B8908" s="487" t="s">
        <v>988</v>
      </c>
      <c r="C8908" s="488" t="s">
        <v>27638</v>
      </c>
      <c r="D8908" s="489" t="s">
        <v>27639</v>
      </c>
      <c r="E8908" s="487" t="s">
        <v>27640</v>
      </c>
      <c r="F8908" s="490">
        <v>12376</v>
      </c>
      <c r="G8908" s="489">
        <v>219.19</v>
      </c>
      <c r="H8908" s="489">
        <v>56.462429999999998</v>
      </c>
      <c r="I8908" s="487" t="s">
        <v>1499</v>
      </c>
      <c r="J8908" s="487" t="s">
        <v>990</v>
      </c>
    </row>
    <row r="8909" spans="1:10" ht="15" x14ac:dyDescent="0.2">
      <c r="A8909" s="486" t="s">
        <v>989</v>
      </c>
      <c r="B8909" s="487" t="s">
        <v>988</v>
      </c>
      <c r="C8909" s="488" t="s">
        <v>27641</v>
      </c>
      <c r="D8909" s="489" t="s">
        <v>27642</v>
      </c>
      <c r="E8909" s="487" t="s">
        <v>27643</v>
      </c>
      <c r="F8909" s="490">
        <v>17794</v>
      </c>
      <c r="G8909" s="489">
        <v>348.96</v>
      </c>
      <c r="H8909" s="489">
        <v>50.991520000000001</v>
      </c>
      <c r="I8909" s="487" t="s">
        <v>1499</v>
      </c>
      <c r="J8909" s="487" t="s">
        <v>990</v>
      </c>
    </row>
    <row r="8910" spans="1:10" ht="15" x14ac:dyDescent="0.2">
      <c r="A8910" s="486" t="s">
        <v>989</v>
      </c>
      <c r="B8910" s="487" t="s">
        <v>988</v>
      </c>
      <c r="C8910" s="488" t="s">
        <v>27644</v>
      </c>
      <c r="D8910" s="489" t="s">
        <v>27645</v>
      </c>
      <c r="E8910" s="487" t="s">
        <v>27646</v>
      </c>
      <c r="F8910" s="490">
        <v>2225</v>
      </c>
      <c r="G8910" s="489">
        <v>75.23</v>
      </c>
      <c r="H8910" s="489">
        <v>29.575970000000002</v>
      </c>
      <c r="I8910" s="487" t="s">
        <v>1499</v>
      </c>
      <c r="J8910" s="487" t="s">
        <v>990</v>
      </c>
    </row>
    <row r="8911" spans="1:10" ht="15" x14ac:dyDescent="0.2">
      <c r="A8911" s="486" t="s">
        <v>989</v>
      </c>
      <c r="B8911" s="487" t="s">
        <v>988</v>
      </c>
      <c r="C8911" s="488" t="s">
        <v>27647</v>
      </c>
      <c r="D8911" s="489" t="s">
        <v>27648</v>
      </c>
      <c r="E8911" s="487" t="s">
        <v>27649</v>
      </c>
      <c r="F8911" s="490">
        <v>60030</v>
      </c>
      <c r="G8911" s="489">
        <v>719.86</v>
      </c>
      <c r="H8911" s="489">
        <v>83.391210000000001</v>
      </c>
      <c r="I8911" s="487" t="s">
        <v>1499</v>
      </c>
      <c r="J8911" s="487" t="s">
        <v>990</v>
      </c>
    </row>
    <row r="8912" spans="1:10" ht="15" x14ac:dyDescent="0.2">
      <c r="A8912" s="486" t="s">
        <v>989</v>
      </c>
      <c r="B8912" s="487" t="s">
        <v>988</v>
      </c>
      <c r="C8912" s="488" t="s">
        <v>27650</v>
      </c>
      <c r="D8912" s="489" t="s">
        <v>27651</v>
      </c>
      <c r="E8912" s="487" t="s">
        <v>27652</v>
      </c>
      <c r="F8912" s="490">
        <v>0</v>
      </c>
      <c r="G8912" s="489">
        <v>72.349999999999994</v>
      </c>
      <c r="H8912" s="489">
        <v>0</v>
      </c>
      <c r="I8912" s="487" t="s">
        <v>1593</v>
      </c>
      <c r="J8912" s="487" t="s">
        <v>990</v>
      </c>
    </row>
    <row r="8913" spans="1:10" ht="15" x14ac:dyDescent="0.2">
      <c r="A8913" s="486" t="s">
        <v>989</v>
      </c>
      <c r="B8913" s="487" t="s">
        <v>988</v>
      </c>
      <c r="C8913" s="488" t="s">
        <v>27653</v>
      </c>
      <c r="D8913" s="489" t="s">
        <v>27654</v>
      </c>
      <c r="E8913" s="487" t="s">
        <v>27655</v>
      </c>
      <c r="F8913" s="490">
        <v>5607</v>
      </c>
      <c r="G8913" s="489">
        <v>110.48</v>
      </c>
      <c r="H8913" s="489">
        <v>50.751269999999998</v>
      </c>
      <c r="I8913" s="487" t="s">
        <v>1499</v>
      </c>
      <c r="J8913" s="487" t="s">
        <v>990</v>
      </c>
    </row>
    <row r="8914" spans="1:10" ht="15" x14ac:dyDescent="0.2">
      <c r="A8914" s="486" t="s">
        <v>989</v>
      </c>
      <c r="B8914" s="487" t="s">
        <v>988</v>
      </c>
      <c r="C8914" s="488" t="s">
        <v>27656</v>
      </c>
      <c r="D8914" s="489" t="s">
        <v>27657</v>
      </c>
      <c r="E8914" s="487" t="s">
        <v>27658</v>
      </c>
      <c r="F8914" s="490">
        <v>12210</v>
      </c>
      <c r="G8914" s="489">
        <v>236.66</v>
      </c>
      <c r="H8914" s="489">
        <v>51.593000000000004</v>
      </c>
      <c r="I8914" s="487" t="s">
        <v>1499</v>
      </c>
      <c r="J8914" s="487" t="s">
        <v>990</v>
      </c>
    </row>
    <row r="8915" spans="1:10" ht="15" x14ac:dyDescent="0.2">
      <c r="A8915" s="486" t="s">
        <v>989</v>
      </c>
      <c r="B8915" s="487" t="s">
        <v>988</v>
      </c>
      <c r="C8915" s="488" t="s">
        <v>27659</v>
      </c>
      <c r="D8915" s="489" t="s">
        <v>27660</v>
      </c>
      <c r="E8915" s="487" t="s">
        <v>27661</v>
      </c>
      <c r="F8915" s="490">
        <v>14166</v>
      </c>
      <c r="G8915" s="489">
        <v>216.54</v>
      </c>
      <c r="H8915" s="489">
        <v>65.419780000000003</v>
      </c>
      <c r="I8915" s="487" t="s">
        <v>1499</v>
      </c>
      <c r="J8915" s="487" t="s">
        <v>990</v>
      </c>
    </row>
    <row r="8916" spans="1:10" ht="15" x14ac:dyDescent="0.2">
      <c r="A8916" s="486" t="s">
        <v>989</v>
      </c>
      <c r="B8916" s="487" t="s">
        <v>988</v>
      </c>
      <c r="C8916" s="488" t="s">
        <v>27662</v>
      </c>
      <c r="D8916" s="489" t="s">
        <v>27663</v>
      </c>
      <c r="E8916" s="487" t="s">
        <v>27664</v>
      </c>
      <c r="F8916" s="490">
        <v>6500</v>
      </c>
      <c r="G8916" s="489">
        <v>139</v>
      </c>
      <c r="H8916" s="489">
        <v>46.762590000000003</v>
      </c>
      <c r="I8916" s="487" t="s">
        <v>1499</v>
      </c>
      <c r="J8916" s="487" t="s">
        <v>990</v>
      </c>
    </row>
    <row r="8917" spans="1:10" ht="15" x14ac:dyDescent="0.2">
      <c r="A8917" s="486" t="s">
        <v>989</v>
      </c>
      <c r="B8917" s="487" t="s">
        <v>988</v>
      </c>
      <c r="C8917" s="488" t="s">
        <v>27665</v>
      </c>
      <c r="D8917" s="489" t="s">
        <v>27666</v>
      </c>
      <c r="E8917" s="487" t="s">
        <v>27667</v>
      </c>
      <c r="F8917" s="490">
        <v>2812</v>
      </c>
      <c r="G8917" s="489">
        <v>130.07</v>
      </c>
      <c r="H8917" s="489">
        <v>21.619129999999998</v>
      </c>
      <c r="I8917" s="487" t="s">
        <v>1499</v>
      </c>
      <c r="J8917" s="487" t="s">
        <v>990</v>
      </c>
    </row>
    <row r="8918" spans="1:10" ht="15" x14ac:dyDescent="0.2">
      <c r="A8918" s="486" t="s">
        <v>989</v>
      </c>
      <c r="B8918" s="487" t="s">
        <v>988</v>
      </c>
      <c r="C8918" s="488" t="s">
        <v>27668</v>
      </c>
      <c r="D8918" s="489" t="s">
        <v>27669</v>
      </c>
      <c r="E8918" s="487" t="s">
        <v>27670</v>
      </c>
      <c r="F8918" s="490">
        <v>23160</v>
      </c>
      <c r="G8918" s="489">
        <v>392.25</v>
      </c>
      <c r="H8918" s="489">
        <v>59.043979999999998</v>
      </c>
      <c r="I8918" s="487" t="s">
        <v>1499</v>
      </c>
      <c r="J8918" s="487" t="s">
        <v>990</v>
      </c>
    </row>
    <row r="8919" spans="1:10" ht="15" x14ac:dyDescent="0.2">
      <c r="A8919" s="486" t="s">
        <v>989</v>
      </c>
      <c r="B8919" s="487" t="s">
        <v>988</v>
      </c>
      <c r="C8919" s="488" t="s">
        <v>27671</v>
      </c>
      <c r="D8919" s="489" t="s">
        <v>27672</v>
      </c>
      <c r="E8919" s="487" t="s">
        <v>27673</v>
      </c>
      <c r="F8919" s="490">
        <v>0</v>
      </c>
      <c r="G8919" s="489">
        <v>55.22</v>
      </c>
      <c r="H8919" s="489">
        <v>0</v>
      </c>
      <c r="I8919" s="487" t="s">
        <v>1593</v>
      </c>
      <c r="J8919" s="487" t="s">
        <v>990</v>
      </c>
    </row>
    <row r="8920" spans="1:10" ht="15" x14ac:dyDescent="0.2">
      <c r="A8920" s="486" t="s">
        <v>989</v>
      </c>
      <c r="B8920" s="487" t="s">
        <v>988</v>
      </c>
      <c r="C8920" s="488" t="s">
        <v>27674</v>
      </c>
      <c r="D8920" s="489" t="s">
        <v>27675</v>
      </c>
      <c r="E8920" s="487" t="s">
        <v>7897</v>
      </c>
      <c r="F8920" s="490">
        <v>1600</v>
      </c>
      <c r="G8920" s="489">
        <v>101.83</v>
      </c>
      <c r="H8920" s="489">
        <v>15.71246</v>
      </c>
      <c r="I8920" s="487" t="s">
        <v>1499</v>
      </c>
      <c r="J8920" s="487" t="s">
        <v>990</v>
      </c>
    </row>
    <row r="8921" spans="1:10" ht="15" x14ac:dyDescent="0.2">
      <c r="A8921" s="486" t="s">
        <v>989</v>
      </c>
      <c r="B8921" s="487" t="s">
        <v>988</v>
      </c>
      <c r="C8921" s="488" t="s">
        <v>27676</v>
      </c>
      <c r="D8921" s="489" t="s">
        <v>27677</v>
      </c>
      <c r="E8921" s="487" t="s">
        <v>10271</v>
      </c>
      <c r="F8921" s="490">
        <v>0</v>
      </c>
      <c r="G8921" s="489">
        <v>45.17</v>
      </c>
      <c r="H8921" s="489">
        <v>0</v>
      </c>
      <c r="I8921" s="487" t="s">
        <v>1593</v>
      </c>
      <c r="J8921" s="487" t="s">
        <v>990</v>
      </c>
    </row>
    <row r="8922" spans="1:10" ht="15" x14ac:dyDescent="0.2">
      <c r="A8922" s="486" t="s">
        <v>989</v>
      </c>
      <c r="B8922" s="487" t="s">
        <v>988</v>
      </c>
      <c r="C8922" s="488" t="s">
        <v>27678</v>
      </c>
      <c r="D8922" s="489" t="s">
        <v>27679</v>
      </c>
      <c r="E8922" s="487" t="s">
        <v>27680</v>
      </c>
      <c r="F8922" s="490">
        <v>53000</v>
      </c>
      <c r="G8922" s="489">
        <v>492.39</v>
      </c>
      <c r="H8922" s="489">
        <v>107.63825</v>
      </c>
      <c r="I8922" s="487" t="s">
        <v>1499</v>
      </c>
      <c r="J8922" s="487" t="s">
        <v>990</v>
      </c>
    </row>
    <row r="8923" spans="1:10" ht="15" x14ac:dyDescent="0.2">
      <c r="A8923" s="486" t="s">
        <v>989</v>
      </c>
      <c r="B8923" s="487" t="s">
        <v>988</v>
      </c>
      <c r="C8923" s="488" t="s">
        <v>27681</v>
      </c>
      <c r="D8923" s="489" t="s">
        <v>27682</v>
      </c>
      <c r="E8923" s="487" t="s">
        <v>27683</v>
      </c>
      <c r="F8923" s="490">
        <v>8425</v>
      </c>
      <c r="G8923" s="489">
        <v>114.4</v>
      </c>
      <c r="H8923" s="489">
        <v>73.645099999999999</v>
      </c>
      <c r="I8923" s="487" t="s">
        <v>1499</v>
      </c>
      <c r="J8923" s="487" t="s">
        <v>990</v>
      </c>
    </row>
    <row r="8924" spans="1:10" ht="15" x14ac:dyDescent="0.2">
      <c r="A8924" s="486" t="s">
        <v>989</v>
      </c>
      <c r="B8924" s="487" t="s">
        <v>988</v>
      </c>
      <c r="C8924" s="488" t="s">
        <v>27684</v>
      </c>
      <c r="D8924" s="489" t="s">
        <v>27685</v>
      </c>
      <c r="E8924" s="487" t="s">
        <v>27686</v>
      </c>
      <c r="F8924" s="490">
        <v>0</v>
      </c>
      <c r="G8924" s="489">
        <v>27.01</v>
      </c>
      <c r="H8924" s="489">
        <v>0</v>
      </c>
      <c r="I8924" s="487" t="s">
        <v>1593</v>
      </c>
      <c r="J8924" s="487" t="s">
        <v>990</v>
      </c>
    </row>
    <row r="8925" spans="1:10" ht="15" x14ac:dyDescent="0.2">
      <c r="A8925" s="486" t="s">
        <v>989</v>
      </c>
      <c r="B8925" s="487" t="s">
        <v>988</v>
      </c>
      <c r="C8925" s="488" t="s">
        <v>27687</v>
      </c>
      <c r="D8925" s="489" t="s">
        <v>27688</v>
      </c>
      <c r="E8925" s="487" t="s">
        <v>27689</v>
      </c>
      <c r="F8925" s="490">
        <v>9370</v>
      </c>
      <c r="G8925" s="489">
        <v>221.01</v>
      </c>
      <c r="H8925" s="489">
        <v>42.396270000000001</v>
      </c>
      <c r="I8925" s="487" t="s">
        <v>1499</v>
      </c>
      <c r="J8925" s="487" t="s">
        <v>990</v>
      </c>
    </row>
    <row r="8926" spans="1:10" ht="15" x14ac:dyDescent="0.2">
      <c r="A8926" s="486" t="s">
        <v>989</v>
      </c>
      <c r="B8926" s="487" t="s">
        <v>988</v>
      </c>
      <c r="C8926" s="488" t="s">
        <v>27690</v>
      </c>
      <c r="D8926" s="489" t="s">
        <v>27691</v>
      </c>
      <c r="E8926" s="487" t="s">
        <v>27692</v>
      </c>
      <c r="F8926" s="490">
        <v>7200</v>
      </c>
      <c r="G8926" s="489">
        <v>186.02</v>
      </c>
      <c r="H8926" s="489">
        <v>38.70552</v>
      </c>
      <c r="I8926" s="487" t="s">
        <v>1499</v>
      </c>
      <c r="J8926" s="487" t="s">
        <v>990</v>
      </c>
    </row>
    <row r="8927" spans="1:10" ht="15" x14ac:dyDescent="0.2">
      <c r="A8927" s="486" t="s">
        <v>989</v>
      </c>
      <c r="B8927" s="487" t="s">
        <v>988</v>
      </c>
      <c r="C8927" s="488" t="s">
        <v>27693</v>
      </c>
      <c r="D8927" s="489" t="s">
        <v>27694</v>
      </c>
      <c r="E8927" s="487" t="s">
        <v>27695</v>
      </c>
      <c r="F8927" s="490">
        <v>57850</v>
      </c>
      <c r="G8927" s="489">
        <v>602.99</v>
      </c>
      <c r="H8927" s="489">
        <v>95.938569999999999</v>
      </c>
      <c r="I8927" s="487" t="s">
        <v>1499</v>
      </c>
      <c r="J8927" s="487" t="s">
        <v>990</v>
      </c>
    </row>
    <row r="8928" spans="1:10" ht="15" x14ac:dyDescent="0.2">
      <c r="A8928" s="486" t="s">
        <v>989</v>
      </c>
      <c r="B8928" s="487" t="s">
        <v>988</v>
      </c>
      <c r="C8928" s="488" t="s">
        <v>27696</v>
      </c>
      <c r="D8928" s="489" t="s">
        <v>27697</v>
      </c>
      <c r="E8928" s="487" t="s">
        <v>27698</v>
      </c>
      <c r="F8928" s="490">
        <v>7750</v>
      </c>
      <c r="G8928" s="489">
        <v>187.02</v>
      </c>
      <c r="H8928" s="489">
        <v>41.439419999999998</v>
      </c>
      <c r="I8928" s="487" t="s">
        <v>1499</v>
      </c>
      <c r="J8928" s="487" t="s">
        <v>990</v>
      </c>
    </row>
    <row r="8929" spans="1:10" ht="15" x14ac:dyDescent="0.2">
      <c r="A8929" s="486" t="s">
        <v>989</v>
      </c>
      <c r="B8929" s="487" t="s">
        <v>988</v>
      </c>
      <c r="C8929" s="488" t="s">
        <v>27699</v>
      </c>
      <c r="D8929" s="489" t="s">
        <v>27700</v>
      </c>
      <c r="E8929" s="487" t="s">
        <v>27701</v>
      </c>
      <c r="F8929" s="490">
        <v>7280</v>
      </c>
      <c r="G8929" s="489">
        <v>91.29</v>
      </c>
      <c r="H8929" s="489">
        <v>79.745859999999993</v>
      </c>
      <c r="I8929" s="487" t="s">
        <v>1499</v>
      </c>
      <c r="J8929" s="487" t="s">
        <v>990</v>
      </c>
    </row>
    <row r="8930" spans="1:10" ht="15" x14ac:dyDescent="0.2">
      <c r="A8930" s="486" t="s">
        <v>989</v>
      </c>
      <c r="B8930" s="487" t="s">
        <v>988</v>
      </c>
      <c r="C8930" s="488" t="s">
        <v>27702</v>
      </c>
      <c r="D8930" s="489" t="s">
        <v>27703</v>
      </c>
      <c r="E8930" s="487" t="s">
        <v>27704</v>
      </c>
      <c r="F8930" s="490">
        <v>3325</v>
      </c>
      <c r="G8930" s="489">
        <v>79.19</v>
      </c>
      <c r="H8930" s="489">
        <v>41.98762</v>
      </c>
      <c r="I8930" s="487" t="s">
        <v>1499</v>
      </c>
      <c r="J8930" s="487" t="s">
        <v>990</v>
      </c>
    </row>
    <row r="8931" spans="1:10" ht="15" x14ac:dyDescent="0.2">
      <c r="A8931" s="486" t="s">
        <v>989</v>
      </c>
      <c r="B8931" s="487" t="s">
        <v>988</v>
      </c>
      <c r="C8931" s="488" t="s">
        <v>27705</v>
      </c>
      <c r="D8931" s="489" t="s">
        <v>27706</v>
      </c>
      <c r="E8931" s="487" t="s">
        <v>27707</v>
      </c>
      <c r="F8931" s="490">
        <v>180920</v>
      </c>
      <c r="G8931" s="489">
        <v>1923.03</v>
      </c>
      <c r="H8931" s="489">
        <v>94.080699999999993</v>
      </c>
      <c r="I8931" s="487" t="s">
        <v>1499</v>
      </c>
      <c r="J8931" s="487" t="s">
        <v>990</v>
      </c>
    </row>
    <row r="8932" spans="1:10" ht="15" x14ac:dyDescent="0.2">
      <c r="A8932" s="486" t="s">
        <v>989</v>
      </c>
      <c r="B8932" s="487" t="s">
        <v>988</v>
      </c>
      <c r="C8932" s="488" t="s">
        <v>27708</v>
      </c>
      <c r="D8932" s="489" t="s">
        <v>27709</v>
      </c>
      <c r="E8932" s="487" t="s">
        <v>15336</v>
      </c>
      <c r="F8932" s="490">
        <v>0</v>
      </c>
      <c r="G8932" s="489">
        <v>39.880000000000003</v>
      </c>
      <c r="H8932" s="489">
        <v>0</v>
      </c>
      <c r="I8932" s="487" t="s">
        <v>1593</v>
      </c>
      <c r="J8932" s="487" t="s">
        <v>990</v>
      </c>
    </row>
    <row r="8933" spans="1:10" ht="15" x14ac:dyDescent="0.2">
      <c r="A8933" s="486" t="s">
        <v>989</v>
      </c>
      <c r="B8933" s="487" t="s">
        <v>988</v>
      </c>
      <c r="C8933" s="488" t="s">
        <v>27710</v>
      </c>
      <c r="D8933" s="489" t="s">
        <v>27711</v>
      </c>
      <c r="E8933" s="487" t="s">
        <v>11505</v>
      </c>
      <c r="F8933" s="490">
        <v>55000</v>
      </c>
      <c r="G8933" s="489">
        <v>475.91</v>
      </c>
      <c r="H8933" s="489">
        <v>115.56807000000001</v>
      </c>
      <c r="I8933" s="487" t="s">
        <v>1499</v>
      </c>
      <c r="J8933" s="487" t="s">
        <v>990</v>
      </c>
    </row>
    <row r="8934" spans="1:10" ht="15" x14ac:dyDescent="0.2">
      <c r="A8934" s="486" t="s">
        <v>989</v>
      </c>
      <c r="B8934" s="487" t="s">
        <v>988</v>
      </c>
      <c r="C8934" s="488" t="s">
        <v>27712</v>
      </c>
      <c r="D8934" s="489" t="s">
        <v>27713</v>
      </c>
      <c r="E8934" s="487" t="s">
        <v>27714</v>
      </c>
      <c r="F8934" s="490">
        <v>11440</v>
      </c>
      <c r="G8934" s="489">
        <v>212.91</v>
      </c>
      <c r="H8934" s="489">
        <v>53.731619999999999</v>
      </c>
      <c r="I8934" s="487" t="s">
        <v>1499</v>
      </c>
      <c r="J8934" s="487" t="s">
        <v>990</v>
      </c>
    </row>
    <row r="8935" spans="1:10" ht="15" x14ac:dyDescent="0.2">
      <c r="A8935" s="486" t="s">
        <v>989</v>
      </c>
      <c r="B8935" s="487" t="s">
        <v>988</v>
      </c>
      <c r="C8935" s="488" t="s">
        <v>27715</v>
      </c>
      <c r="D8935" s="489" t="s">
        <v>27716</v>
      </c>
      <c r="E8935" s="487" t="s">
        <v>27717</v>
      </c>
      <c r="F8935" s="490">
        <v>7110</v>
      </c>
      <c r="G8935" s="489">
        <v>162.26</v>
      </c>
      <c r="H8935" s="489">
        <v>43.818559999999998</v>
      </c>
      <c r="I8935" s="487" t="s">
        <v>1499</v>
      </c>
      <c r="J8935" s="487" t="s">
        <v>990</v>
      </c>
    </row>
    <row r="8936" spans="1:10" ht="15" x14ac:dyDescent="0.2">
      <c r="A8936" s="486" t="s">
        <v>989</v>
      </c>
      <c r="B8936" s="487" t="s">
        <v>988</v>
      </c>
      <c r="C8936" s="488" t="s">
        <v>27718</v>
      </c>
      <c r="D8936" s="489" t="s">
        <v>27719</v>
      </c>
      <c r="E8936" s="487" t="s">
        <v>27720</v>
      </c>
      <c r="F8936" s="490">
        <v>34756</v>
      </c>
      <c r="G8936" s="489">
        <v>495.32</v>
      </c>
      <c r="H8936" s="489">
        <v>70.168779999999998</v>
      </c>
      <c r="I8936" s="487" t="s">
        <v>1499</v>
      </c>
      <c r="J8936" s="487" t="s">
        <v>990</v>
      </c>
    </row>
    <row r="8937" spans="1:10" ht="15" x14ac:dyDescent="0.2">
      <c r="A8937" s="486" t="s">
        <v>989</v>
      </c>
      <c r="B8937" s="487" t="s">
        <v>988</v>
      </c>
      <c r="C8937" s="488" t="s">
        <v>27721</v>
      </c>
      <c r="D8937" s="489" t="s">
        <v>27722</v>
      </c>
      <c r="E8937" s="487" t="s">
        <v>27723</v>
      </c>
      <c r="F8937" s="490">
        <v>27000</v>
      </c>
      <c r="G8937" s="489">
        <v>537.20000000000005</v>
      </c>
      <c r="H8937" s="489">
        <v>50.26061</v>
      </c>
      <c r="I8937" s="487" t="s">
        <v>1499</v>
      </c>
      <c r="J8937" s="487" t="s">
        <v>990</v>
      </c>
    </row>
    <row r="8938" spans="1:10" ht="15" x14ac:dyDescent="0.2">
      <c r="A8938" s="486" t="s">
        <v>989</v>
      </c>
      <c r="B8938" s="487" t="s">
        <v>988</v>
      </c>
      <c r="C8938" s="488" t="s">
        <v>27724</v>
      </c>
      <c r="D8938" s="489" t="s">
        <v>27725</v>
      </c>
      <c r="E8938" s="487" t="s">
        <v>27726</v>
      </c>
      <c r="F8938" s="490">
        <v>23525</v>
      </c>
      <c r="G8938" s="489">
        <v>406.12</v>
      </c>
      <c r="H8938" s="489">
        <v>57.926229999999997</v>
      </c>
      <c r="I8938" s="487" t="s">
        <v>1499</v>
      </c>
      <c r="J8938" s="487" t="s">
        <v>990</v>
      </c>
    </row>
    <row r="8939" spans="1:10" ht="15" x14ac:dyDescent="0.2">
      <c r="A8939" s="486" t="s">
        <v>989</v>
      </c>
      <c r="B8939" s="487" t="s">
        <v>988</v>
      </c>
      <c r="C8939" s="488" t="s">
        <v>27727</v>
      </c>
      <c r="D8939" s="489" t="s">
        <v>27728</v>
      </c>
      <c r="E8939" s="487" t="s">
        <v>27729</v>
      </c>
      <c r="F8939" s="490">
        <v>2750</v>
      </c>
      <c r="G8939" s="489">
        <v>89.15</v>
      </c>
      <c r="H8939" s="489">
        <v>30.846889999999998</v>
      </c>
      <c r="I8939" s="487" t="s">
        <v>1499</v>
      </c>
      <c r="J8939" s="487" t="s">
        <v>990</v>
      </c>
    </row>
    <row r="8940" spans="1:10" ht="15" x14ac:dyDescent="0.2">
      <c r="A8940" s="486" t="s">
        <v>989</v>
      </c>
      <c r="B8940" s="487" t="s">
        <v>988</v>
      </c>
      <c r="C8940" s="488" t="s">
        <v>27730</v>
      </c>
      <c r="D8940" s="489" t="s">
        <v>27731</v>
      </c>
      <c r="E8940" s="487" t="s">
        <v>27732</v>
      </c>
      <c r="F8940" s="490">
        <v>25811</v>
      </c>
      <c r="G8940" s="489">
        <v>423.91</v>
      </c>
      <c r="H8940" s="489">
        <v>60.887920000000001</v>
      </c>
      <c r="I8940" s="487" t="s">
        <v>1499</v>
      </c>
      <c r="J8940" s="487" t="s">
        <v>990</v>
      </c>
    </row>
    <row r="8941" spans="1:10" ht="15" x14ac:dyDescent="0.2">
      <c r="A8941" s="486" t="s">
        <v>989</v>
      </c>
      <c r="B8941" s="487" t="s">
        <v>988</v>
      </c>
      <c r="C8941" s="488" t="s">
        <v>27733</v>
      </c>
      <c r="D8941" s="489" t="s">
        <v>27734</v>
      </c>
      <c r="E8941" s="487" t="s">
        <v>27735</v>
      </c>
      <c r="F8941" s="490">
        <v>26002</v>
      </c>
      <c r="G8941" s="489">
        <v>286.39</v>
      </c>
      <c r="H8941" s="489">
        <v>90.792280000000005</v>
      </c>
      <c r="I8941" s="487" t="s">
        <v>1499</v>
      </c>
      <c r="J8941" s="487" t="s">
        <v>990</v>
      </c>
    </row>
    <row r="8942" spans="1:10" ht="15" x14ac:dyDescent="0.2">
      <c r="A8942" s="486" t="s">
        <v>989</v>
      </c>
      <c r="B8942" s="487" t="s">
        <v>988</v>
      </c>
      <c r="C8942" s="488" t="s">
        <v>27736</v>
      </c>
      <c r="D8942" s="489" t="s">
        <v>27737</v>
      </c>
      <c r="E8942" s="487" t="s">
        <v>27738</v>
      </c>
      <c r="F8942" s="490">
        <v>0</v>
      </c>
      <c r="G8942" s="489">
        <v>57.77</v>
      </c>
      <c r="H8942" s="489">
        <v>0</v>
      </c>
      <c r="I8942" s="487" t="s">
        <v>1593</v>
      </c>
      <c r="J8942" s="487" t="s">
        <v>990</v>
      </c>
    </row>
    <row r="8943" spans="1:10" ht="15" x14ac:dyDescent="0.2">
      <c r="A8943" s="486" t="s">
        <v>989</v>
      </c>
      <c r="B8943" s="487" t="s">
        <v>988</v>
      </c>
      <c r="C8943" s="488" t="s">
        <v>27739</v>
      </c>
      <c r="D8943" s="489" t="s">
        <v>27740</v>
      </c>
      <c r="E8943" s="487" t="s">
        <v>27741</v>
      </c>
      <c r="F8943" s="490">
        <v>12140</v>
      </c>
      <c r="G8943" s="489">
        <v>173.84</v>
      </c>
      <c r="H8943" s="489">
        <v>69.834329999999994</v>
      </c>
      <c r="I8943" s="487" t="s">
        <v>1499</v>
      </c>
      <c r="J8943" s="487" t="s">
        <v>990</v>
      </c>
    </row>
    <row r="8944" spans="1:10" ht="15" x14ac:dyDescent="0.2">
      <c r="A8944" s="486" t="s">
        <v>989</v>
      </c>
      <c r="B8944" s="487" t="s">
        <v>988</v>
      </c>
      <c r="C8944" s="488" t="s">
        <v>27742</v>
      </c>
      <c r="D8944" s="489" t="s">
        <v>27743</v>
      </c>
      <c r="E8944" s="487" t="s">
        <v>27744</v>
      </c>
      <c r="F8944" s="490">
        <v>23860</v>
      </c>
      <c r="G8944" s="489">
        <v>341.68</v>
      </c>
      <c r="H8944" s="489">
        <v>69.831419999999994</v>
      </c>
      <c r="I8944" s="487" t="s">
        <v>1499</v>
      </c>
      <c r="J8944" s="487" t="s">
        <v>990</v>
      </c>
    </row>
    <row r="8945" spans="1:10" ht="15" x14ac:dyDescent="0.2">
      <c r="A8945" s="486" t="s">
        <v>989</v>
      </c>
      <c r="B8945" s="487" t="s">
        <v>988</v>
      </c>
      <c r="C8945" s="488" t="s">
        <v>27745</v>
      </c>
      <c r="D8945" s="489" t="s">
        <v>27746</v>
      </c>
      <c r="E8945" s="487" t="s">
        <v>27747</v>
      </c>
      <c r="F8945" s="490">
        <v>9666</v>
      </c>
      <c r="G8945" s="489">
        <v>264.33</v>
      </c>
      <c r="H8945" s="489">
        <v>36.567929999999997</v>
      </c>
      <c r="I8945" s="487" t="s">
        <v>1499</v>
      </c>
      <c r="J8945" s="487" t="s">
        <v>990</v>
      </c>
    </row>
    <row r="8946" spans="1:10" ht="15" x14ac:dyDescent="0.2">
      <c r="A8946" s="486" t="s">
        <v>989</v>
      </c>
      <c r="B8946" s="487" t="s">
        <v>988</v>
      </c>
      <c r="C8946" s="488" t="s">
        <v>27748</v>
      </c>
      <c r="D8946" s="489" t="s">
        <v>27749</v>
      </c>
      <c r="E8946" s="487" t="s">
        <v>27750</v>
      </c>
      <c r="F8946" s="490">
        <v>0</v>
      </c>
      <c r="G8946" s="489">
        <v>42.21</v>
      </c>
      <c r="H8946" s="489">
        <v>0</v>
      </c>
      <c r="I8946" s="487" t="s">
        <v>1593</v>
      </c>
      <c r="J8946" s="487" t="s">
        <v>990</v>
      </c>
    </row>
    <row r="8947" spans="1:10" ht="15" x14ac:dyDescent="0.2">
      <c r="A8947" s="486" t="s">
        <v>989</v>
      </c>
      <c r="B8947" s="487" t="s">
        <v>988</v>
      </c>
      <c r="C8947" s="488" t="s">
        <v>27751</v>
      </c>
      <c r="D8947" s="489" t="s">
        <v>27752</v>
      </c>
      <c r="E8947" s="487" t="s">
        <v>27753</v>
      </c>
      <c r="F8947" s="490">
        <v>150</v>
      </c>
      <c r="G8947" s="489">
        <v>26.73</v>
      </c>
      <c r="H8947" s="489">
        <v>5.6116700000000002</v>
      </c>
      <c r="I8947" s="487" t="s">
        <v>1499</v>
      </c>
      <c r="J8947" s="487" t="s">
        <v>990</v>
      </c>
    </row>
    <row r="8948" spans="1:10" ht="15" x14ac:dyDescent="0.2">
      <c r="A8948" s="486" t="s">
        <v>989</v>
      </c>
      <c r="B8948" s="487" t="s">
        <v>988</v>
      </c>
      <c r="C8948" s="488" t="s">
        <v>27754</v>
      </c>
      <c r="D8948" s="489" t="s">
        <v>27755</v>
      </c>
      <c r="E8948" s="487" t="s">
        <v>3973</v>
      </c>
      <c r="F8948" s="490">
        <v>18422</v>
      </c>
      <c r="G8948" s="489">
        <v>281.83</v>
      </c>
      <c r="H8948" s="489">
        <v>65.365650000000002</v>
      </c>
      <c r="I8948" s="487" t="s">
        <v>1499</v>
      </c>
      <c r="J8948" s="487" t="s">
        <v>990</v>
      </c>
    </row>
    <row r="8949" spans="1:10" ht="15" x14ac:dyDescent="0.2">
      <c r="A8949" s="486" t="s">
        <v>989</v>
      </c>
      <c r="B8949" s="487" t="s">
        <v>988</v>
      </c>
      <c r="C8949" s="488" t="s">
        <v>27756</v>
      </c>
      <c r="D8949" s="489" t="s">
        <v>27757</v>
      </c>
      <c r="E8949" s="487" t="s">
        <v>27758</v>
      </c>
      <c r="F8949" s="490">
        <v>0</v>
      </c>
      <c r="G8949" s="489">
        <v>30.62</v>
      </c>
      <c r="H8949" s="489">
        <v>0</v>
      </c>
      <c r="I8949" s="487" t="s">
        <v>1593</v>
      </c>
      <c r="J8949" s="487" t="s">
        <v>990</v>
      </c>
    </row>
    <row r="8950" spans="1:10" ht="15" x14ac:dyDescent="0.2">
      <c r="A8950" s="486" t="s">
        <v>989</v>
      </c>
      <c r="B8950" s="487" t="s">
        <v>988</v>
      </c>
      <c r="C8950" s="488" t="s">
        <v>27759</v>
      </c>
      <c r="D8950" s="489" t="s">
        <v>27760</v>
      </c>
      <c r="E8950" s="487" t="s">
        <v>27761</v>
      </c>
      <c r="F8950" s="490">
        <v>6742</v>
      </c>
      <c r="G8950" s="489">
        <v>87.64</v>
      </c>
      <c r="H8950" s="489">
        <v>76.928340000000006</v>
      </c>
      <c r="I8950" s="487" t="s">
        <v>1499</v>
      </c>
      <c r="J8950" s="487" t="s">
        <v>990</v>
      </c>
    </row>
    <row r="8951" spans="1:10" ht="15" x14ac:dyDescent="0.2">
      <c r="A8951" s="486" t="s">
        <v>989</v>
      </c>
      <c r="B8951" s="487" t="s">
        <v>988</v>
      </c>
      <c r="C8951" s="488" t="s">
        <v>27762</v>
      </c>
      <c r="D8951" s="489" t="s">
        <v>27763</v>
      </c>
      <c r="E8951" s="487" t="s">
        <v>27764</v>
      </c>
      <c r="F8951" s="490">
        <v>7000</v>
      </c>
      <c r="G8951" s="489">
        <v>274.33999999999997</v>
      </c>
      <c r="H8951" s="489">
        <v>25.515779999999999</v>
      </c>
      <c r="I8951" s="487" t="s">
        <v>1499</v>
      </c>
      <c r="J8951" s="487" t="s">
        <v>990</v>
      </c>
    </row>
    <row r="8952" spans="1:10" ht="15" x14ac:dyDescent="0.2">
      <c r="A8952" s="486" t="s">
        <v>989</v>
      </c>
      <c r="B8952" s="487" t="s">
        <v>988</v>
      </c>
      <c r="C8952" s="488" t="s">
        <v>27765</v>
      </c>
      <c r="D8952" s="489" t="s">
        <v>27766</v>
      </c>
      <c r="E8952" s="487" t="s">
        <v>27767</v>
      </c>
      <c r="F8952" s="490">
        <v>8586</v>
      </c>
      <c r="G8952" s="489">
        <v>269.27999999999997</v>
      </c>
      <c r="H8952" s="489">
        <v>31.88503</v>
      </c>
      <c r="I8952" s="487" t="s">
        <v>1499</v>
      </c>
      <c r="J8952" s="487" t="s">
        <v>990</v>
      </c>
    </row>
    <row r="8953" spans="1:10" ht="15" x14ac:dyDescent="0.2">
      <c r="A8953" s="486" t="s">
        <v>989</v>
      </c>
      <c r="B8953" s="487" t="s">
        <v>988</v>
      </c>
      <c r="C8953" s="488" t="s">
        <v>27768</v>
      </c>
      <c r="D8953" s="489" t="s">
        <v>27769</v>
      </c>
      <c r="E8953" s="487" t="s">
        <v>27770</v>
      </c>
      <c r="F8953" s="490">
        <v>8172</v>
      </c>
      <c r="G8953" s="489">
        <v>148.76</v>
      </c>
      <c r="H8953" s="489">
        <v>54.93412</v>
      </c>
      <c r="I8953" s="487" t="s">
        <v>1499</v>
      </c>
      <c r="J8953" s="487" t="s">
        <v>990</v>
      </c>
    </row>
    <row r="8954" spans="1:10" ht="15" x14ac:dyDescent="0.2">
      <c r="A8954" s="486" t="s">
        <v>989</v>
      </c>
      <c r="B8954" s="487" t="s">
        <v>988</v>
      </c>
      <c r="C8954" s="488" t="s">
        <v>27771</v>
      </c>
      <c r="D8954" s="489" t="s">
        <v>27772</v>
      </c>
      <c r="E8954" s="487" t="s">
        <v>27773</v>
      </c>
      <c r="F8954" s="490">
        <v>3850</v>
      </c>
      <c r="G8954" s="489">
        <v>88.91</v>
      </c>
      <c r="H8954" s="489">
        <v>43.302219999999998</v>
      </c>
      <c r="I8954" s="487" t="s">
        <v>1499</v>
      </c>
      <c r="J8954" s="487" t="s">
        <v>990</v>
      </c>
    </row>
    <row r="8955" spans="1:10" ht="15" x14ac:dyDescent="0.2">
      <c r="A8955" s="486" t="s">
        <v>989</v>
      </c>
      <c r="B8955" s="487" t="s">
        <v>988</v>
      </c>
      <c r="C8955" s="488" t="s">
        <v>27774</v>
      </c>
      <c r="D8955" s="489" t="s">
        <v>27775</v>
      </c>
      <c r="E8955" s="487" t="s">
        <v>27776</v>
      </c>
      <c r="F8955" s="490">
        <v>1501786</v>
      </c>
      <c r="G8955" s="489">
        <v>7143.15</v>
      </c>
      <c r="H8955" s="489">
        <v>210.24142000000001</v>
      </c>
      <c r="I8955" s="487" t="s">
        <v>1499</v>
      </c>
      <c r="J8955" s="487" t="s">
        <v>990</v>
      </c>
    </row>
    <row r="8956" spans="1:10" ht="15" x14ac:dyDescent="0.2">
      <c r="A8956" s="486" t="s">
        <v>989</v>
      </c>
      <c r="B8956" s="487" t="s">
        <v>988</v>
      </c>
      <c r="C8956" s="488" t="s">
        <v>27777</v>
      </c>
      <c r="D8956" s="489" t="s">
        <v>27778</v>
      </c>
      <c r="E8956" s="487" t="s">
        <v>27779</v>
      </c>
      <c r="F8956" s="490">
        <v>59630</v>
      </c>
      <c r="G8956" s="489">
        <v>1031</v>
      </c>
      <c r="H8956" s="489">
        <v>57.837049999999998</v>
      </c>
      <c r="I8956" s="487" t="s">
        <v>1499</v>
      </c>
      <c r="J8956" s="487" t="s">
        <v>990</v>
      </c>
    </row>
    <row r="8957" spans="1:10" ht="15" x14ac:dyDescent="0.2">
      <c r="A8957" s="486" t="s">
        <v>989</v>
      </c>
      <c r="B8957" s="487" t="s">
        <v>988</v>
      </c>
      <c r="C8957" s="488" t="s">
        <v>27780</v>
      </c>
      <c r="D8957" s="489" t="s">
        <v>27781</v>
      </c>
      <c r="E8957" s="487" t="s">
        <v>27782</v>
      </c>
      <c r="F8957" s="490">
        <v>46491</v>
      </c>
      <c r="G8957" s="489">
        <v>635.66999999999996</v>
      </c>
      <c r="H8957" s="489">
        <v>73.137010000000004</v>
      </c>
      <c r="I8957" s="487" t="s">
        <v>1499</v>
      </c>
      <c r="J8957" s="487" t="s">
        <v>990</v>
      </c>
    </row>
    <row r="8958" spans="1:10" ht="15" x14ac:dyDescent="0.2">
      <c r="A8958" s="486" t="s">
        <v>989</v>
      </c>
      <c r="B8958" s="487" t="s">
        <v>988</v>
      </c>
      <c r="C8958" s="488" t="s">
        <v>27783</v>
      </c>
      <c r="D8958" s="489" t="s">
        <v>27784</v>
      </c>
      <c r="E8958" s="487" t="s">
        <v>27785</v>
      </c>
      <c r="F8958" s="490">
        <v>720</v>
      </c>
      <c r="G8958" s="489">
        <v>92.64</v>
      </c>
      <c r="H8958" s="489">
        <v>7.7720200000000004</v>
      </c>
      <c r="I8958" s="487" t="s">
        <v>1499</v>
      </c>
      <c r="J8958" s="487" t="s">
        <v>990</v>
      </c>
    </row>
    <row r="8959" spans="1:10" ht="15" x14ac:dyDescent="0.2">
      <c r="A8959" s="486" t="s">
        <v>989</v>
      </c>
      <c r="B8959" s="487" t="s">
        <v>988</v>
      </c>
      <c r="C8959" s="488" t="s">
        <v>27786</v>
      </c>
      <c r="D8959" s="489" t="s">
        <v>27787</v>
      </c>
      <c r="E8959" s="487" t="s">
        <v>27788</v>
      </c>
      <c r="F8959" s="490">
        <v>4607</v>
      </c>
      <c r="G8959" s="489">
        <v>105.12</v>
      </c>
      <c r="H8959" s="489">
        <v>43.826099999999997</v>
      </c>
      <c r="I8959" s="487" t="s">
        <v>1499</v>
      </c>
      <c r="J8959" s="487" t="s">
        <v>990</v>
      </c>
    </row>
    <row r="8960" spans="1:10" ht="15" x14ac:dyDescent="0.2">
      <c r="A8960" s="486" t="s">
        <v>989</v>
      </c>
      <c r="B8960" s="487" t="s">
        <v>988</v>
      </c>
      <c r="C8960" s="488" t="s">
        <v>27789</v>
      </c>
      <c r="D8960" s="489" t="s">
        <v>27790</v>
      </c>
      <c r="E8960" s="487" t="s">
        <v>27791</v>
      </c>
      <c r="F8960" s="490">
        <v>0</v>
      </c>
      <c r="G8960" s="489">
        <v>44.92</v>
      </c>
      <c r="H8960" s="489">
        <v>0</v>
      </c>
      <c r="I8960" s="487" t="s">
        <v>1593</v>
      </c>
      <c r="J8960" s="487" t="s">
        <v>990</v>
      </c>
    </row>
    <row r="8961" spans="1:10" ht="15" x14ac:dyDescent="0.2">
      <c r="A8961" s="486" t="s">
        <v>989</v>
      </c>
      <c r="B8961" s="487" t="s">
        <v>988</v>
      </c>
      <c r="C8961" s="488" t="s">
        <v>27792</v>
      </c>
      <c r="D8961" s="489" t="s">
        <v>27793</v>
      </c>
      <c r="E8961" s="487" t="s">
        <v>27794</v>
      </c>
      <c r="F8961" s="490">
        <v>23000</v>
      </c>
      <c r="G8961" s="489">
        <v>343.77</v>
      </c>
      <c r="H8961" s="489">
        <v>66.905199999999994</v>
      </c>
      <c r="I8961" s="487" t="s">
        <v>1499</v>
      </c>
      <c r="J8961" s="487" t="s">
        <v>990</v>
      </c>
    </row>
    <row r="8962" spans="1:10" ht="15" x14ac:dyDescent="0.2">
      <c r="A8962" s="486" t="s">
        <v>989</v>
      </c>
      <c r="B8962" s="487" t="s">
        <v>988</v>
      </c>
      <c r="C8962" s="488" t="s">
        <v>27795</v>
      </c>
      <c r="D8962" s="489" t="s">
        <v>27796</v>
      </c>
      <c r="E8962" s="487" t="s">
        <v>27797</v>
      </c>
      <c r="F8962" s="490">
        <v>1923</v>
      </c>
      <c r="G8962" s="489">
        <v>92.93</v>
      </c>
      <c r="H8962" s="489">
        <v>20.692990000000002</v>
      </c>
      <c r="I8962" s="487" t="s">
        <v>1499</v>
      </c>
      <c r="J8962" s="487" t="s">
        <v>990</v>
      </c>
    </row>
    <row r="8963" spans="1:10" ht="15" x14ac:dyDescent="0.2">
      <c r="A8963" s="486" t="s">
        <v>989</v>
      </c>
      <c r="B8963" s="487" t="s">
        <v>988</v>
      </c>
      <c r="C8963" s="488" t="s">
        <v>27798</v>
      </c>
      <c r="D8963" s="489" t="s">
        <v>27799</v>
      </c>
      <c r="E8963" s="487" t="s">
        <v>27800</v>
      </c>
      <c r="F8963" s="490">
        <v>300</v>
      </c>
      <c r="G8963" s="489">
        <v>30.25</v>
      </c>
      <c r="H8963" s="489">
        <v>9.9173600000000004</v>
      </c>
      <c r="I8963" s="487" t="s">
        <v>1499</v>
      </c>
      <c r="J8963" s="487" t="s">
        <v>990</v>
      </c>
    </row>
    <row r="8964" spans="1:10" ht="15" x14ac:dyDescent="0.2">
      <c r="A8964" s="486" t="s">
        <v>989</v>
      </c>
      <c r="B8964" s="487" t="s">
        <v>988</v>
      </c>
      <c r="C8964" s="488" t="s">
        <v>27801</v>
      </c>
      <c r="D8964" s="489" t="s">
        <v>27802</v>
      </c>
      <c r="E8964" s="487" t="s">
        <v>27803</v>
      </c>
      <c r="F8964" s="490">
        <v>4500</v>
      </c>
      <c r="G8964" s="489">
        <v>73.849999999999994</v>
      </c>
      <c r="H8964" s="489">
        <v>60.934330000000003</v>
      </c>
      <c r="I8964" s="487" t="s">
        <v>1499</v>
      </c>
      <c r="J8964" s="487" t="s">
        <v>990</v>
      </c>
    </row>
    <row r="8965" spans="1:10" ht="15" x14ac:dyDescent="0.2">
      <c r="A8965" s="486" t="s">
        <v>989</v>
      </c>
      <c r="B8965" s="487" t="s">
        <v>988</v>
      </c>
      <c r="C8965" s="488" t="s">
        <v>27804</v>
      </c>
      <c r="D8965" s="489" t="s">
        <v>27805</v>
      </c>
      <c r="E8965" s="487" t="s">
        <v>27806</v>
      </c>
      <c r="F8965" s="490">
        <v>201497</v>
      </c>
      <c r="G8965" s="489">
        <v>1861.37</v>
      </c>
      <c r="H8965" s="489">
        <v>108.25199000000001</v>
      </c>
      <c r="I8965" s="487" t="s">
        <v>1499</v>
      </c>
      <c r="J8965" s="487" t="s">
        <v>990</v>
      </c>
    </row>
    <row r="8966" spans="1:10" ht="15" x14ac:dyDescent="0.2">
      <c r="A8966" s="486" t="s">
        <v>989</v>
      </c>
      <c r="B8966" s="487" t="s">
        <v>988</v>
      </c>
      <c r="C8966" s="488" t="s">
        <v>27807</v>
      </c>
      <c r="D8966" s="489" t="s">
        <v>27808</v>
      </c>
      <c r="E8966" s="487" t="s">
        <v>20266</v>
      </c>
      <c r="F8966" s="490">
        <v>4918</v>
      </c>
      <c r="G8966" s="489">
        <v>63.93</v>
      </c>
      <c r="H8966" s="489">
        <v>76.927890000000005</v>
      </c>
      <c r="I8966" s="487" t="s">
        <v>1499</v>
      </c>
      <c r="J8966" s="487" t="s">
        <v>990</v>
      </c>
    </row>
    <row r="8967" spans="1:10" ht="15" x14ac:dyDescent="0.2">
      <c r="A8967" s="486" t="s">
        <v>989</v>
      </c>
      <c r="B8967" s="487" t="s">
        <v>988</v>
      </c>
      <c r="C8967" s="488" t="s">
        <v>27809</v>
      </c>
      <c r="D8967" s="489" t="s">
        <v>27810</v>
      </c>
      <c r="E8967" s="487" t="s">
        <v>27811</v>
      </c>
      <c r="F8967" s="490">
        <v>12463</v>
      </c>
      <c r="G8967" s="489">
        <v>233.47</v>
      </c>
      <c r="H8967" s="489">
        <v>53.381590000000003</v>
      </c>
      <c r="I8967" s="487" t="s">
        <v>1499</v>
      </c>
      <c r="J8967" s="487" t="s">
        <v>990</v>
      </c>
    </row>
    <row r="8968" spans="1:10" ht="15" x14ac:dyDescent="0.2">
      <c r="A8968" s="486" t="s">
        <v>989</v>
      </c>
      <c r="B8968" s="487" t="s">
        <v>988</v>
      </c>
      <c r="C8968" s="488" t="s">
        <v>27812</v>
      </c>
      <c r="D8968" s="489" t="s">
        <v>27813</v>
      </c>
      <c r="E8968" s="487" t="s">
        <v>27814</v>
      </c>
      <c r="F8968" s="490">
        <v>25995</v>
      </c>
      <c r="G8968" s="489">
        <v>543.26</v>
      </c>
      <c r="H8968" s="489">
        <v>47.850020000000001</v>
      </c>
      <c r="I8968" s="487" t="s">
        <v>1499</v>
      </c>
      <c r="J8968" s="487" t="s">
        <v>990</v>
      </c>
    </row>
    <row r="8969" spans="1:10" ht="15" x14ac:dyDescent="0.2">
      <c r="A8969" s="486" t="s">
        <v>989</v>
      </c>
      <c r="B8969" s="487" t="s">
        <v>988</v>
      </c>
      <c r="C8969" s="488" t="s">
        <v>27815</v>
      </c>
      <c r="D8969" s="489" t="s">
        <v>27816</v>
      </c>
      <c r="E8969" s="487" t="s">
        <v>27817</v>
      </c>
      <c r="F8969" s="490">
        <v>13421</v>
      </c>
      <c r="G8969" s="489">
        <v>210.4</v>
      </c>
      <c r="H8969" s="489">
        <v>63.788020000000003</v>
      </c>
      <c r="I8969" s="487" t="s">
        <v>1499</v>
      </c>
      <c r="J8969" s="487" t="s">
        <v>990</v>
      </c>
    </row>
    <row r="8970" spans="1:10" ht="15" x14ac:dyDescent="0.2">
      <c r="A8970" s="486" t="s">
        <v>989</v>
      </c>
      <c r="B8970" s="487" t="s">
        <v>988</v>
      </c>
      <c r="C8970" s="488" t="s">
        <v>27818</v>
      </c>
      <c r="D8970" s="489" t="s">
        <v>27819</v>
      </c>
      <c r="E8970" s="487" t="s">
        <v>27820</v>
      </c>
      <c r="F8970" s="490">
        <v>3856</v>
      </c>
      <c r="G8970" s="489">
        <v>83.62</v>
      </c>
      <c r="H8970" s="489">
        <v>46.113370000000003</v>
      </c>
      <c r="I8970" s="487" t="s">
        <v>1499</v>
      </c>
      <c r="J8970" s="487" t="s">
        <v>990</v>
      </c>
    </row>
    <row r="8971" spans="1:10" ht="15" x14ac:dyDescent="0.2">
      <c r="A8971" s="486" t="s">
        <v>989</v>
      </c>
      <c r="B8971" s="487" t="s">
        <v>988</v>
      </c>
      <c r="C8971" s="488" t="s">
        <v>27821</v>
      </c>
      <c r="D8971" s="489" t="s">
        <v>27822</v>
      </c>
      <c r="E8971" s="487" t="s">
        <v>27823</v>
      </c>
      <c r="F8971" s="490">
        <v>13765</v>
      </c>
      <c r="G8971" s="489">
        <v>261.95999999999998</v>
      </c>
      <c r="H8971" s="489">
        <v>52.546190000000003</v>
      </c>
      <c r="I8971" s="487" t="s">
        <v>1499</v>
      </c>
      <c r="J8971" s="487" t="s">
        <v>990</v>
      </c>
    </row>
    <row r="8972" spans="1:10" ht="15" x14ac:dyDescent="0.2">
      <c r="A8972" s="486" t="s">
        <v>989</v>
      </c>
      <c r="B8972" s="487" t="s">
        <v>988</v>
      </c>
      <c r="C8972" s="488" t="s">
        <v>27824</v>
      </c>
      <c r="D8972" s="489" t="s">
        <v>27825</v>
      </c>
      <c r="E8972" s="487" t="s">
        <v>27826</v>
      </c>
      <c r="F8972" s="490">
        <v>13708</v>
      </c>
      <c r="G8972" s="489">
        <v>298.2</v>
      </c>
      <c r="H8972" s="489">
        <v>45.969149999999999</v>
      </c>
      <c r="I8972" s="487" t="s">
        <v>1499</v>
      </c>
      <c r="J8972" s="487" t="s">
        <v>990</v>
      </c>
    </row>
    <row r="8973" spans="1:10" ht="15" x14ac:dyDescent="0.2">
      <c r="A8973" s="486" t="s">
        <v>989</v>
      </c>
      <c r="B8973" s="487" t="s">
        <v>988</v>
      </c>
      <c r="C8973" s="488" t="s">
        <v>27827</v>
      </c>
      <c r="D8973" s="489" t="s">
        <v>27828</v>
      </c>
      <c r="E8973" s="487" t="s">
        <v>27829</v>
      </c>
      <c r="F8973" s="490">
        <v>7491</v>
      </c>
      <c r="G8973" s="489">
        <v>195.63</v>
      </c>
      <c r="H8973" s="489">
        <v>38.291670000000003</v>
      </c>
      <c r="I8973" s="487" t="s">
        <v>1499</v>
      </c>
      <c r="J8973" s="487" t="s">
        <v>990</v>
      </c>
    </row>
    <row r="8974" spans="1:10" ht="15" x14ac:dyDescent="0.2">
      <c r="A8974" s="486" t="s">
        <v>989</v>
      </c>
      <c r="B8974" s="487" t="s">
        <v>988</v>
      </c>
      <c r="C8974" s="488" t="s">
        <v>27830</v>
      </c>
      <c r="D8974" s="489" t="s">
        <v>27831</v>
      </c>
      <c r="E8974" s="487" t="s">
        <v>14744</v>
      </c>
      <c r="F8974" s="490">
        <v>7107</v>
      </c>
      <c r="G8974" s="489">
        <v>155.13999999999999</v>
      </c>
      <c r="H8974" s="489">
        <v>45.81024</v>
      </c>
      <c r="I8974" s="487" t="s">
        <v>1499</v>
      </c>
      <c r="J8974" s="487" t="s">
        <v>990</v>
      </c>
    </row>
    <row r="8975" spans="1:10" ht="15" x14ac:dyDescent="0.2">
      <c r="A8975" s="486" t="s">
        <v>989</v>
      </c>
      <c r="B8975" s="487" t="s">
        <v>988</v>
      </c>
      <c r="C8975" s="488" t="s">
        <v>27832</v>
      </c>
      <c r="D8975" s="489" t="s">
        <v>27833</v>
      </c>
      <c r="E8975" s="487" t="s">
        <v>27834</v>
      </c>
      <c r="F8975" s="490">
        <v>5900</v>
      </c>
      <c r="G8975" s="489">
        <v>147.63</v>
      </c>
      <c r="H8975" s="489">
        <v>39.964779999999998</v>
      </c>
      <c r="I8975" s="487" t="s">
        <v>1499</v>
      </c>
      <c r="J8975" s="487" t="s">
        <v>990</v>
      </c>
    </row>
    <row r="8976" spans="1:10" ht="15" x14ac:dyDescent="0.2">
      <c r="A8976" s="486" t="s">
        <v>989</v>
      </c>
      <c r="B8976" s="487" t="s">
        <v>988</v>
      </c>
      <c r="C8976" s="488" t="s">
        <v>27835</v>
      </c>
      <c r="D8976" s="489" t="s">
        <v>27836</v>
      </c>
      <c r="E8976" s="487" t="s">
        <v>22646</v>
      </c>
      <c r="F8976" s="490">
        <v>6460</v>
      </c>
      <c r="G8976" s="489">
        <v>137.91</v>
      </c>
      <c r="H8976" s="489">
        <v>46.842140000000001</v>
      </c>
      <c r="I8976" s="487" t="s">
        <v>1499</v>
      </c>
      <c r="J8976" s="487" t="s">
        <v>990</v>
      </c>
    </row>
    <row r="8977" spans="1:10" ht="15" x14ac:dyDescent="0.2">
      <c r="A8977" s="486" t="s">
        <v>989</v>
      </c>
      <c r="B8977" s="487" t="s">
        <v>988</v>
      </c>
      <c r="C8977" s="488" t="s">
        <v>27837</v>
      </c>
      <c r="D8977" s="489" t="s">
        <v>27838</v>
      </c>
      <c r="E8977" s="487" t="s">
        <v>27839</v>
      </c>
      <c r="F8977" s="490">
        <v>4691</v>
      </c>
      <c r="G8977" s="489">
        <v>107.04</v>
      </c>
      <c r="H8977" s="489">
        <v>43.824739999999998</v>
      </c>
      <c r="I8977" s="487" t="s">
        <v>1499</v>
      </c>
      <c r="J8977" s="487" t="s">
        <v>990</v>
      </c>
    </row>
    <row r="8978" spans="1:10" ht="15" x14ac:dyDescent="0.2">
      <c r="A8978" s="486" t="s">
        <v>989</v>
      </c>
      <c r="B8978" s="487" t="s">
        <v>988</v>
      </c>
      <c r="C8978" s="488" t="s">
        <v>27840</v>
      </c>
      <c r="D8978" s="489" t="s">
        <v>27841</v>
      </c>
      <c r="E8978" s="487" t="s">
        <v>27842</v>
      </c>
      <c r="F8978" s="490">
        <v>6500</v>
      </c>
      <c r="G8978" s="489">
        <v>155.25</v>
      </c>
      <c r="H8978" s="489">
        <v>41.86795</v>
      </c>
      <c r="I8978" s="487" t="s">
        <v>1499</v>
      </c>
      <c r="J8978" s="487" t="s">
        <v>990</v>
      </c>
    </row>
    <row r="8979" spans="1:10" ht="15" x14ac:dyDescent="0.2">
      <c r="A8979" s="486" t="s">
        <v>989</v>
      </c>
      <c r="B8979" s="487" t="s">
        <v>988</v>
      </c>
      <c r="C8979" s="488" t="s">
        <v>27843</v>
      </c>
      <c r="D8979" s="489" t="s">
        <v>27844</v>
      </c>
      <c r="E8979" s="487" t="s">
        <v>9557</v>
      </c>
      <c r="F8979" s="490">
        <v>2096</v>
      </c>
      <c r="G8979" s="489">
        <v>75.48</v>
      </c>
      <c r="H8979" s="489">
        <v>27.76895</v>
      </c>
      <c r="I8979" s="487" t="s">
        <v>1499</v>
      </c>
      <c r="J8979" s="487" t="s">
        <v>990</v>
      </c>
    </row>
    <row r="8980" spans="1:10" ht="15" x14ac:dyDescent="0.2">
      <c r="A8980" s="486" t="s">
        <v>989</v>
      </c>
      <c r="B8980" s="487" t="s">
        <v>988</v>
      </c>
      <c r="C8980" s="488" t="s">
        <v>27845</v>
      </c>
      <c r="D8980" s="489" t="s">
        <v>27846</v>
      </c>
      <c r="E8980" s="487" t="s">
        <v>27847</v>
      </c>
      <c r="F8980" s="490">
        <v>70000</v>
      </c>
      <c r="G8980" s="489">
        <v>1013.84</v>
      </c>
      <c r="H8980" s="489">
        <v>69.044430000000006</v>
      </c>
      <c r="I8980" s="487" t="s">
        <v>1499</v>
      </c>
      <c r="J8980" s="487" t="s">
        <v>990</v>
      </c>
    </row>
    <row r="8981" spans="1:10" ht="15" x14ac:dyDescent="0.2">
      <c r="A8981" s="486" t="s">
        <v>989</v>
      </c>
      <c r="B8981" s="487" t="s">
        <v>988</v>
      </c>
      <c r="C8981" s="488" t="s">
        <v>27848</v>
      </c>
      <c r="D8981" s="489" t="s">
        <v>27849</v>
      </c>
      <c r="E8981" s="487" t="s">
        <v>27850</v>
      </c>
      <c r="F8981" s="490">
        <v>14224</v>
      </c>
      <c r="G8981" s="489">
        <v>343.66</v>
      </c>
      <c r="H8981" s="489">
        <v>41.389749999999999</v>
      </c>
      <c r="I8981" s="487" t="s">
        <v>1499</v>
      </c>
      <c r="J8981" s="487" t="s">
        <v>990</v>
      </c>
    </row>
    <row r="8982" spans="1:10" ht="15" x14ac:dyDescent="0.2">
      <c r="A8982" s="486" t="s">
        <v>989</v>
      </c>
      <c r="B8982" s="487" t="s">
        <v>988</v>
      </c>
      <c r="C8982" s="488" t="s">
        <v>27851</v>
      </c>
      <c r="D8982" s="489" t="s">
        <v>27852</v>
      </c>
      <c r="E8982" s="487" t="s">
        <v>27853</v>
      </c>
      <c r="F8982" s="490">
        <v>17600</v>
      </c>
      <c r="G8982" s="489">
        <v>360.11</v>
      </c>
      <c r="H8982" s="489">
        <v>48.873959999999997</v>
      </c>
      <c r="I8982" s="487" t="s">
        <v>1499</v>
      </c>
      <c r="J8982" s="487" t="s">
        <v>990</v>
      </c>
    </row>
    <row r="8983" spans="1:10" ht="15" x14ac:dyDescent="0.2">
      <c r="A8983" s="486" t="s">
        <v>989</v>
      </c>
      <c r="B8983" s="487" t="s">
        <v>988</v>
      </c>
      <c r="C8983" s="488" t="s">
        <v>27854</v>
      </c>
      <c r="D8983" s="489" t="s">
        <v>27855</v>
      </c>
      <c r="E8983" s="487" t="s">
        <v>27856</v>
      </c>
      <c r="F8983" s="490">
        <v>3230</v>
      </c>
      <c r="G8983" s="489">
        <v>141.33000000000001</v>
      </c>
      <c r="H8983" s="489">
        <v>22.854310000000002</v>
      </c>
      <c r="I8983" s="487" t="s">
        <v>1499</v>
      </c>
      <c r="J8983" s="487" t="s">
        <v>990</v>
      </c>
    </row>
    <row r="8984" spans="1:10" ht="15" x14ac:dyDescent="0.2">
      <c r="A8984" s="486" t="s">
        <v>989</v>
      </c>
      <c r="B8984" s="487" t="s">
        <v>988</v>
      </c>
      <c r="C8984" s="488" t="s">
        <v>27857</v>
      </c>
      <c r="D8984" s="489" t="s">
        <v>27858</v>
      </c>
      <c r="E8984" s="487" t="s">
        <v>4033</v>
      </c>
      <c r="F8984" s="490">
        <v>8000</v>
      </c>
      <c r="G8984" s="489">
        <v>225.03</v>
      </c>
      <c r="H8984" s="489">
        <v>35.550820000000002</v>
      </c>
      <c r="I8984" s="487" t="s">
        <v>1499</v>
      </c>
      <c r="J8984" s="487" t="s">
        <v>990</v>
      </c>
    </row>
    <row r="8985" spans="1:10" ht="15" x14ac:dyDescent="0.2">
      <c r="A8985" s="486" t="s">
        <v>989</v>
      </c>
      <c r="B8985" s="487" t="s">
        <v>988</v>
      </c>
      <c r="C8985" s="488" t="s">
        <v>27859</v>
      </c>
      <c r="D8985" s="489" t="s">
        <v>27860</v>
      </c>
      <c r="E8985" s="487" t="s">
        <v>27861</v>
      </c>
      <c r="F8985" s="490">
        <v>0</v>
      </c>
      <c r="G8985" s="489">
        <v>19.55</v>
      </c>
      <c r="H8985" s="489">
        <v>0</v>
      </c>
      <c r="I8985" s="487" t="s">
        <v>1593</v>
      </c>
      <c r="J8985" s="487" t="s">
        <v>990</v>
      </c>
    </row>
    <row r="8986" spans="1:10" ht="15" x14ac:dyDescent="0.2">
      <c r="A8986" s="486" t="s">
        <v>753</v>
      </c>
      <c r="B8986" s="487" t="s">
        <v>752</v>
      </c>
      <c r="C8986" s="488" t="s">
        <v>27862</v>
      </c>
      <c r="D8986" s="489" t="s">
        <v>27863</v>
      </c>
      <c r="E8986" s="487" t="s">
        <v>27864</v>
      </c>
      <c r="F8986" s="490">
        <v>6500</v>
      </c>
      <c r="G8986" s="489">
        <v>116.7</v>
      </c>
      <c r="H8986" s="489">
        <v>55.698369999999997</v>
      </c>
      <c r="I8986" s="487" t="s">
        <v>1499</v>
      </c>
      <c r="J8986" s="487" t="s">
        <v>754</v>
      </c>
    </row>
    <row r="8987" spans="1:10" ht="15" x14ac:dyDescent="0.2">
      <c r="A8987" s="486" t="s">
        <v>753</v>
      </c>
      <c r="B8987" s="487" t="s">
        <v>752</v>
      </c>
      <c r="C8987" s="488" t="s">
        <v>27865</v>
      </c>
      <c r="D8987" s="489" t="s">
        <v>27866</v>
      </c>
      <c r="E8987" s="487" t="s">
        <v>27867</v>
      </c>
      <c r="F8987" s="490">
        <v>7129</v>
      </c>
      <c r="G8987" s="489">
        <v>171.96</v>
      </c>
      <c r="H8987" s="489">
        <v>41.457320000000003</v>
      </c>
      <c r="I8987" s="487" t="s">
        <v>1499</v>
      </c>
      <c r="J8987" s="487" t="s">
        <v>754</v>
      </c>
    </row>
    <row r="8988" spans="1:10" ht="15" x14ac:dyDescent="0.2">
      <c r="A8988" s="486" t="s">
        <v>753</v>
      </c>
      <c r="B8988" s="487" t="s">
        <v>752</v>
      </c>
      <c r="C8988" s="488" t="s">
        <v>27868</v>
      </c>
      <c r="D8988" s="489" t="s">
        <v>27869</v>
      </c>
      <c r="E8988" s="487" t="s">
        <v>27870</v>
      </c>
      <c r="F8988" s="490">
        <v>302000</v>
      </c>
      <c r="G8988" s="489">
        <v>2554.64</v>
      </c>
      <c r="H8988" s="489">
        <v>118.21626999999999</v>
      </c>
      <c r="I8988" s="487" t="s">
        <v>1499</v>
      </c>
      <c r="J8988" s="487" t="s">
        <v>754</v>
      </c>
    </row>
    <row r="8989" spans="1:10" ht="15" x14ac:dyDescent="0.2">
      <c r="A8989" s="486" t="s">
        <v>753</v>
      </c>
      <c r="B8989" s="487" t="s">
        <v>752</v>
      </c>
      <c r="C8989" s="488" t="s">
        <v>27871</v>
      </c>
      <c r="D8989" s="489" t="s">
        <v>27872</v>
      </c>
      <c r="E8989" s="487" t="s">
        <v>11424</v>
      </c>
      <c r="F8989" s="490">
        <v>10000</v>
      </c>
      <c r="G8989" s="489">
        <v>193.07</v>
      </c>
      <c r="H8989" s="489">
        <v>51.794690000000003</v>
      </c>
      <c r="I8989" s="487" t="s">
        <v>1499</v>
      </c>
      <c r="J8989" s="487" t="s">
        <v>754</v>
      </c>
    </row>
    <row r="8990" spans="1:10" ht="15" x14ac:dyDescent="0.2">
      <c r="A8990" s="486" t="s">
        <v>753</v>
      </c>
      <c r="B8990" s="487" t="s">
        <v>752</v>
      </c>
      <c r="C8990" s="488" t="s">
        <v>27873</v>
      </c>
      <c r="D8990" s="489" t="s">
        <v>27874</v>
      </c>
      <c r="E8990" s="487" t="s">
        <v>27875</v>
      </c>
      <c r="F8990" s="490">
        <v>10000</v>
      </c>
      <c r="G8990" s="489">
        <v>840.89</v>
      </c>
      <c r="H8990" s="489">
        <v>11.892160000000001</v>
      </c>
      <c r="I8990" s="487" t="s">
        <v>1499</v>
      </c>
      <c r="J8990" s="487" t="s">
        <v>754</v>
      </c>
    </row>
    <row r="8991" spans="1:10" ht="15" x14ac:dyDescent="0.2">
      <c r="A8991" s="486" t="s">
        <v>753</v>
      </c>
      <c r="B8991" s="487" t="s">
        <v>752</v>
      </c>
      <c r="C8991" s="488" t="s">
        <v>27876</v>
      </c>
      <c r="D8991" s="489" t="s">
        <v>27877</v>
      </c>
      <c r="E8991" s="487" t="s">
        <v>27878</v>
      </c>
      <c r="F8991" s="490">
        <v>3800</v>
      </c>
      <c r="G8991" s="489">
        <v>107.72</v>
      </c>
      <c r="H8991" s="489">
        <v>35.27664</v>
      </c>
      <c r="I8991" s="487" t="s">
        <v>2465</v>
      </c>
      <c r="J8991" s="487" t="s">
        <v>754</v>
      </c>
    </row>
    <row r="8992" spans="1:10" ht="15" x14ac:dyDescent="0.2">
      <c r="A8992" s="486" t="s">
        <v>753</v>
      </c>
      <c r="B8992" s="487" t="s">
        <v>752</v>
      </c>
      <c r="C8992" s="488" t="s">
        <v>27879</v>
      </c>
      <c r="D8992" s="489" t="s">
        <v>27880</v>
      </c>
      <c r="E8992" s="487" t="s">
        <v>27881</v>
      </c>
      <c r="F8992" s="490">
        <v>13950</v>
      </c>
      <c r="G8992" s="489">
        <v>255.24</v>
      </c>
      <c r="H8992" s="489">
        <v>54.654440000000001</v>
      </c>
      <c r="I8992" s="487" t="s">
        <v>1499</v>
      </c>
      <c r="J8992" s="487" t="s">
        <v>754</v>
      </c>
    </row>
    <row r="8993" spans="1:10" ht="15" x14ac:dyDescent="0.2">
      <c r="A8993" s="486" t="s">
        <v>753</v>
      </c>
      <c r="B8993" s="487" t="s">
        <v>752</v>
      </c>
      <c r="C8993" s="488" t="s">
        <v>27882</v>
      </c>
      <c r="D8993" s="489" t="s">
        <v>27883</v>
      </c>
      <c r="E8993" s="487" t="s">
        <v>27884</v>
      </c>
      <c r="F8993" s="490">
        <v>8716</v>
      </c>
      <c r="G8993" s="489">
        <v>224.47</v>
      </c>
      <c r="H8993" s="489">
        <v>38.829239999999999</v>
      </c>
      <c r="I8993" s="487" t="s">
        <v>1499</v>
      </c>
      <c r="J8993" s="487" t="s">
        <v>754</v>
      </c>
    </row>
    <row r="8994" spans="1:10" ht="15" x14ac:dyDescent="0.2">
      <c r="A8994" s="486" t="s">
        <v>753</v>
      </c>
      <c r="B8994" s="487" t="s">
        <v>752</v>
      </c>
      <c r="C8994" s="488" t="s">
        <v>27885</v>
      </c>
      <c r="D8994" s="489" t="s">
        <v>27886</v>
      </c>
      <c r="E8994" s="487" t="s">
        <v>27887</v>
      </c>
      <c r="F8994" s="490">
        <v>1411</v>
      </c>
      <c r="G8994" s="489">
        <v>138.99</v>
      </c>
      <c r="H8994" s="489">
        <v>10.151809999999999</v>
      </c>
      <c r="I8994" s="487" t="s">
        <v>2465</v>
      </c>
      <c r="J8994" s="487" t="s">
        <v>754</v>
      </c>
    </row>
    <row r="8995" spans="1:10" ht="15" x14ac:dyDescent="0.2">
      <c r="A8995" s="486" t="s">
        <v>753</v>
      </c>
      <c r="B8995" s="487" t="s">
        <v>752</v>
      </c>
      <c r="C8995" s="488" t="s">
        <v>27888</v>
      </c>
      <c r="D8995" s="489" t="s">
        <v>27889</v>
      </c>
      <c r="E8995" s="487" t="s">
        <v>27890</v>
      </c>
      <c r="F8995" s="490">
        <v>8480</v>
      </c>
      <c r="G8995" s="489">
        <v>261.19</v>
      </c>
      <c r="H8995" s="489">
        <v>32.466790000000003</v>
      </c>
      <c r="I8995" s="487" t="s">
        <v>1499</v>
      </c>
      <c r="J8995" s="487" t="s">
        <v>754</v>
      </c>
    </row>
    <row r="8996" spans="1:10" ht="15" x14ac:dyDescent="0.2">
      <c r="A8996" s="486" t="s">
        <v>753</v>
      </c>
      <c r="B8996" s="487" t="s">
        <v>752</v>
      </c>
      <c r="C8996" s="488" t="s">
        <v>27891</v>
      </c>
      <c r="D8996" s="489" t="s">
        <v>27892</v>
      </c>
      <c r="E8996" s="487" t="s">
        <v>27893</v>
      </c>
      <c r="F8996" s="490">
        <v>275501</v>
      </c>
      <c r="G8996" s="489">
        <v>3484.71</v>
      </c>
      <c r="H8996" s="489">
        <v>79.059950000000001</v>
      </c>
      <c r="I8996" s="487" t="s">
        <v>1499</v>
      </c>
      <c r="J8996" s="487" t="s">
        <v>754</v>
      </c>
    </row>
    <row r="8997" spans="1:10" ht="15" x14ac:dyDescent="0.2">
      <c r="A8997" s="486" t="s">
        <v>753</v>
      </c>
      <c r="B8997" s="487" t="s">
        <v>752</v>
      </c>
      <c r="C8997" s="488" t="s">
        <v>27894</v>
      </c>
      <c r="D8997" s="489" t="s">
        <v>27895</v>
      </c>
      <c r="E8997" s="487" t="s">
        <v>27896</v>
      </c>
      <c r="F8997" s="490">
        <v>0</v>
      </c>
      <c r="G8997" s="489">
        <v>36.049999999999997</v>
      </c>
      <c r="H8997" s="489">
        <v>0</v>
      </c>
      <c r="I8997" s="487" t="s">
        <v>1593</v>
      </c>
      <c r="J8997" s="487" t="s">
        <v>754</v>
      </c>
    </row>
    <row r="8998" spans="1:10" ht="15" x14ac:dyDescent="0.2">
      <c r="A8998" s="486" t="s">
        <v>753</v>
      </c>
      <c r="B8998" s="487" t="s">
        <v>752</v>
      </c>
      <c r="C8998" s="488" t="s">
        <v>27897</v>
      </c>
      <c r="D8998" s="489" t="s">
        <v>27898</v>
      </c>
      <c r="E8998" s="487" t="s">
        <v>27899</v>
      </c>
      <c r="F8998" s="490">
        <v>10000</v>
      </c>
      <c r="G8998" s="489">
        <v>339.02</v>
      </c>
      <c r="H8998" s="489">
        <v>29.496780000000001</v>
      </c>
      <c r="I8998" s="487" t="s">
        <v>2465</v>
      </c>
      <c r="J8998" s="487" t="s">
        <v>754</v>
      </c>
    </row>
    <row r="8999" spans="1:10" ht="15" x14ac:dyDescent="0.2">
      <c r="A8999" s="486" t="s">
        <v>753</v>
      </c>
      <c r="B8999" s="487" t="s">
        <v>752</v>
      </c>
      <c r="C8999" s="488" t="s">
        <v>27900</v>
      </c>
      <c r="D8999" s="489" t="s">
        <v>27901</v>
      </c>
      <c r="E8999" s="487" t="s">
        <v>27902</v>
      </c>
      <c r="F8999" s="490">
        <v>7705</v>
      </c>
      <c r="G8999" s="489">
        <v>137.69999999999999</v>
      </c>
      <c r="H8999" s="489">
        <v>55.954970000000003</v>
      </c>
      <c r="I8999" s="487" t="s">
        <v>1499</v>
      </c>
      <c r="J8999" s="487" t="s">
        <v>754</v>
      </c>
    </row>
    <row r="9000" spans="1:10" ht="15" x14ac:dyDescent="0.2">
      <c r="A9000" s="486" t="s">
        <v>753</v>
      </c>
      <c r="B9000" s="487" t="s">
        <v>752</v>
      </c>
      <c r="C9000" s="488" t="s">
        <v>27903</v>
      </c>
      <c r="D9000" s="489" t="s">
        <v>27904</v>
      </c>
      <c r="E9000" s="487" t="s">
        <v>27905</v>
      </c>
      <c r="F9000" s="490">
        <v>15000</v>
      </c>
      <c r="G9000" s="489">
        <v>519.37</v>
      </c>
      <c r="H9000" s="489">
        <v>28.881139999999998</v>
      </c>
      <c r="I9000" s="487" t="s">
        <v>2465</v>
      </c>
      <c r="J9000" s="487" t="s">
        <v>754</v>
      </c>
    </row>
    <row r="9001" spans="1:10" ht="15" x14ac:dyDescent="0.2">
      <c r="A9001" s="486" t="s">
        <v>753</v>
      </c>
      <c r="B9001" s="487" t="s">
        <v>752</v>
      </c>
      <c r="C9001" s="488" t="s">
        <v>27906</v>
      </c>
      <c r="D9001" s="489" t="s">
        <v>27907</v>
      </c>
      <c r="E9001" s="487" t="s">
        <v>27908</v>
      </c>
      <c r="F9001" s="490">
        <v>3700</v>
      </c>
      <c r="G9001" s="489">
        <v>78.78</v>
      </c>
      <c r="H9001" s="489">
        <v>46.966239999999999</v>
      </c>
      <c r="I9001" s="487" t="s">
        <v>2465</v>
      </c>
      <c r="J9001" s="487" t="s">
        <v>754</v>
      </c>
    </row>
    <row r="9002" spans="1:10" ht="15" x14ac:dyDescent="0.2">
      <c r="A9002" s="486" t="s">
        <v>753</v>
      </c>
      <c r="B9002" s="487" t="s">
        <v>752</v>
      </c>
      <c r="C9002" s="488" t="s">
        <v>27909</v>
      </c>
      <c r="D9002" s="489" t="s">
        <v>27910</v>
      </c>
      <c r="E9002" s="487" t="s">
        <v>27911</v>
      </c>
      <c r="F9002" s="490">
        <v>10558</v>
      </c>
      <c r="G9002" s="489">
        <v>254.35</v>
      </c>
      <c r="H9002" s="489">
        <v>41.509729999999998</v>
      </c>
      <c r="I9002" s="487" t="s">
        <v>1499</v>
      </c>
      <c r="J9002" s="487" t="s">
        <v>754</v>
      </c>
    </row>
    <row r="9003" spans="1:10" ht="15" x14ac:dyDescent="0.2">
      <c r="A9003" s="486" t="s">
        <v>753</v>
      </c>
      <c r="B9003" s="487" t="s">
        <v>752</v>
      </c>
      <c r="C9003" s="488" t="s">
        <v>27912</v>
      </c>
      <c r="D9003" s="489" t="s">
        <v>27913</v>
      </c>
      <c r="E9003" s="487" t="s">
        <v>27914</v>
      </c>
      <c r="F9003" s="490">
        <v>0</v>
      </c>
      <c r="G9003" s="489">
        <v>14.3</v>
      </c>
      <c r="H9003" s="489">
        <v>0</v>
      </c>
      <c r="I9003" s="487" t="s">
        <v>1593</v>
      </c>
      <c r="J9003" s="487" t="s">
        <v>754</v>
      </c>
    </row>
    <row r="9004" spans="1:10" ht="15" x14ac:dyDescent="0.2">
      <c r="A9004" s="486" t="s">
        <v>753</v>
      </c>
      <c r="B9004" s="487" t="s">
        <v>752</v>
      </c>
      <c r="C9004" s="488" t="s">
        <v>27915</v>
      </c>
      <c r="D9004" s="489" t="s">
        <v>27916</v>
      </c>
      <c r="E9004" s="487" t="s">
        <v>4894</v>
      </c>
      <c r="F9004" s="490">
        <v>4371</v>
      </c>
      <c r="G9004" s="489">
        <v>66.25</v>
      </c>
      <c r="H9004" s="489">
        <v>65.977360000000004</v>
      </c>
      <c r="I9004" s="487" t="s">
        <v>1499</v>
      </c>
      <c r="J9004" s="487" t="s">
        <v>754</v>
      </c>
    </row>
    <row r="9005" spans="1:10" ht="15" x14ac:dyDescent="0.2">
      <c r="A9005" s="486" t="s">
        <v>753</v>
      </c>
      <c r="B9005" s="487" t="s">
        <v>752</v>
      </c>
      <c r="C9005" s="488" t="s">
        <v>27917</v>
      </c>
      <c r="D9005" s="489" t="s">
        <v>27918</v>
      </c>
      <c r="E9005" s="487" t="s">
        <v>27919</v>
      </c>
      <c r="F9005" s="490">
        <v>4500</v>
      </c>
      <c r="G9005" s="489">
        <v>220.09</v>
      </c>
      <c r="H9005" s="489">
        <v>20.446179999999998</v>
      </c>
      <c r="I9005" s="487" t="s">
        <v>2465</v>
      </c>
      <c r="J9005" s="487" t="s">
        <v>754</v>
      </c>
    </row>
    <row r="9006" spans="1:10" ht="15" x14ac:dyDescent="0.2">
      <c r="A9006" s="486" t="s">
        <v>753</v>
      </c>
      <c r="B9006" s="487" t="s">
        <v>752</v>
      </c>
      <c r="C9006" s="488" t="s">
        <v>27920</v>
      </c>
      <c r="D9006" s="489" t="s">
        <v>27921</v>
      </c>
      <c r="E9006" s="487" t="s">
        <v>27922</v>
      </c>
      <c r="F9006" s="490">
        <v>3316</v>
      </c>
      <c r="G9006" s="489">
        <v>167.63</v>
      </c>
      <c r="H9006" s="489">
        <v>19.781659999999999</v>
      </c>
      <c r="I9006" s="487" t="s">
        <v>1499</v>
      </c>
      <c r="J9006" s="487" t="s">
        <v>754</v>
      </c>
    </row>
    <row r="9007" spans="1:10" ht="15" x14ac:dyDescent="0.2">
      <c r="A9007" s="486" t="s">
        <v>753</v>
      </c>
      <c r="B9007" s="487" t="s">
        <v>752</v>
      </c>
      <c r="C9007" s="488" t="s">
        <v>27923</v>
      </c>
      <c r="D9007" s="489" t="s">
        <v>27924</v>
      </c>
      <c r="E9007" s="487" t="s">
        <v>27925</v>
      </c>
      <c r="F9007" s="490">
        <v>6366</v>
      </c>
      <c r="G9007" s="489">
        <v>163.52000000000001</v>
      </c>
      <c r="H9007" s="489">
        <v>38.931019999999997</v>
      </c>
      <c r="I9007" s="487" t="s">
        <v>1499</v>
      </c>
      <c r="J9007" s="487" t="s">
        <v>754</v>
      </c>
    </row>
    <row r="9008" spans="1:10" ht="15" x14ac:dyDescent="0.2">
      <c r="A9008" s="486" t="s">
        <v>753</v>
      </c>
      <c r="B9008" s="487" t="s">
        <v>752</v>
      </c>
      <c r="C9008" s="488" t="s">
        <v>27926</v>
      </c>
      <c r="D9008" s="489" t="s">
        <v>27927</v>
      </c>
      <c r="E9008" s="487" t="s">
        <v>27928</v>
      </c>
      <c r="F9008" s="490">
        <v>6442</v>
      </c>
      <c r="G9008" s="489">
        <v>161.05000000000001</v>
      </c>
      <c r="H9008" s="489">
        <v>40</v>
      </c>
      <c r="I9008" s="487" t="s">
        <v>1499</v>
      </c>
      <c r="J9008" s="487" t="s">
        <v>754</v>
      </c>
    </row>
    <row r="9009" spans="1:10" ht="15" x14ac:dyDescent="0.2">
      <c r="A9009" s="486" t="s">
        <v>753</v>
      </c>
      <c r="B9009" s="487" t="s">
        <v>752</v>
      </c>
      <c r="C9009" s="488" t="s">
        <v>27929</v>
      </c>
      <c r="D9009" s="489" t="s">
        <v>27930</v>
      </c>
      <c r="E9009" s="487" t="s">
        <v>27931</v>
      </c>
      <c r="F9009" s="490">
        <v>7000</v>
      </c>
      <c r="G9009" s="489">
        <v>1010.13</v>
      </c>
      <c r="H9009" s="489">
        <v>6.9298000000000002</v>
      </c>
      <c r="I9009" s="487" t="s">
        <v>2465</v>
      </c>
      <c r="J9009" s="487" t="s">
        <v>754</v>
      </c>
    </row>
    <row r="9010" spans="1:10" ht="15" x14ac:dyDescent="0.2">
      <c r="A9010" s="486" t="s">
        <v>753</v>
      </c>
      <c r="B9010" s="487" t="s">
        <v>752</v>
      </c>
      <c r="C9010" s="488" t="s">
        <v>27932</v>
      </c>
      <c r="D9010" s="489" t="s">
        <v>27933</v>
      </c>
      <c r="E9010" s="487" t="s">
        <v>27934</v>
      </c>
      <c r="F9010" s="490">
        <v>5300</v>
      </c>
      <c r="G9010" s="489">
        <v>160.52000000000001</v>
      </c>
      <c r="H9010" s="489">
        <v>33.017690000000002</v>
      </c>
      <c r="I9010" s="487" t="s">
        <v>1499</v>
      </c>
      <c r="J9010" s="487" t="s">
        <v>754</v>
      </c>
    </row>
    <row r="9011" spans="1:10" ht="15" x14ac:dyDescent="0.2">
      <c r="A9011" s="486" t="s">
        <v>753</v>
      </c>
      <c r="B9011" s="487" t="s">
        <v>752</v>
      </c>
      <c r="C9011" s="488" t="s">
        <v>27935</v>
      </c>
      <c r="D9011" s="489" t="s">
        <v>27936</v>
      </c>
      <c r="E9011" s="487" t="s">
        <v>27937</v>
      </c>
      <c r="F9011" s="490">
        <v>3468</v>
      </c>
      <c r="G9011" s="489">
        <v>77.47</v>
      </c>
      <c r="H9011" s="489">
        <v>44.765720000000002</v>
      </c>
      <c r="I9011" s="487" t="s">
        <v>1499</v>
      </c>
      <c r="J9011" s="487" t="s">
        <v>754</v>
      </c>
    </row>
    <row r="9012" spans="1:10" ht="15" x14ac:dyDescent="0.2">
      <c r="A9012" s="486" t="s">
        <v>753</v>
      </c>
      <c r="B9012" s="487" t="s">
        <v>752</v>
      </c>
      <c r="C9012" s="488" t="s">
        <v>27938</v>
      </c>
      <c r="D9012" s="489" t="s">
        <v>27939</v>
      </c>
      <c r="E9012" s="487" t="s">
        <v>27940</v>
      </c>
      <c r="F9012" s="490">
        <v>14159</v>
      </c>
      <c r="G9012" s="489">
        <v>237.77</v>
      </c>
      <c r="H9012" s="489">
        <v>59.549140000000001</v>
      </c>
      <c r="I9012" s="487" t="s">
        <v>1499</v>
      </c>
      <c r="J9012" s="487" t="s">
        <v>754</v>
      </c>
    </row>
    <row r="9013" spans="1:10" ht="15" x14ac:dyDescent="0.2">
      <c r="A9013" s="486" t="s">
        <v>753</v>
      </c>
      <c r="B9013" s="487" t="s">
        <v>752</v>
      </c>
      <c r="C9013" s="488" t="s">
        <v>27941</v>
      </c>
      <c r="D9013" s="489" t="s">
        <v>27942</v>
      </c>
      <c r="E9013" s="487" t="s">
        <v>27943</v>
      </c>
      <c r="F9013" s="490">
        <v>235000</v>
      </c>
      <c r="G9013" s="489">
        <v>1744.98</v>
      </c>
      <c r="H9013" s="489">
        <v>134.67203000000001</v>
      </c>
      <c r="I9013" s="487" t="s">
        <v>1499</v>
      </c>
      <c r="J9013" s="487" t="s">
        <v>754</v>
      </c>
    </row>
    <row r="9014" spans="1:10" ht="15" x14ac:dyDescent="0.2">
      <c r="A9014" s="486" t="s">
        <v>753</v>
      </c>
      <c r="B9014" s="487" t="s">
        <v>752</v>
      </c>
      <c r="C9014" s="488" t="s">
        <v>27944</v>
      </c>
      <c r="D9014" s="489" t="s">
        <v>27945</v>
      </c>
      <c r="E9014" s="487" t="s">
        <v>27946</v>
      </c>
      <c r="F9014" s="490">
        <v>0</v>
      </c>
      <c r="G9014" s="489">
        <v>79.41</v>
      </c>
      <c r="H9014" s="489">
        <v>0</v>
      </c>
      <c r="I9014" s="487" t="s">
        <v>1593</v>
      </c>
      <c r="J9014" s="487" t="s">
        <v>754</v>
      </c>
    </row>
    <row r="9015" spans="1:10" ht="15" x14ac:dyDescent="0.2">
      <c r="A9015" s="486" t="s">
        <v>753</v>
      </c>
      <c r="B9015" s="487" t="s">
        <v>752</v>
      </c>
      <c r="C9015" s="488" t="s">
        <v>27947</v>
      </c>
      <c r="D9015" s="489" t="s">
        <v>27948</v>
      </c>
      <c r="E9015" s="487" t="s">
        <v>27949</v>
      </c>
      <c r="F9015" s="490">
        <v>3724</v>
      </c>
      <c r="G9015" s="489">
        <v>131.78</v>
      </c>
      <c r="H9015" s="489">
        <v>28.259219999999999</v>
      </c>
      <c r="I9015" s="487" t="s">
        <v>2465</v>
      </c>
      <c r="J9015" s="487" t="s">
        <v>754</v>
      </c>
    </row>
    <row r="9016" spans="1:10" ht="15" x14ac:dyDescent="0.2">
      <c r="A9016" s="486" t="s">
        <v>753</v>
      </c>
      <c r="B9016" s="487" t="s">
        <v>752</v>
      </c>
      <c r="C9016" s="488" t="s">
        <v>27950</v>
      </c>
      <c r="D9016" s="489" t="s">
        <v>27951</v>
      </c>
      <c r="E9016" s="487" t="s">
        <v>27952</v>
      </c>
      <c r="F9016" s="490">
        <v>0</v>
      </c>
      <c r="G9016" s="489">
        <v>0</v>
      </c>
      <c r="H9016" s="489">
        <v>0</v>
      </c>
      <c r="I9016" s="487" t="s">
        <v>2465</v>
      </c>
      <c r="J9016" s="487" t="s">
        <v>754</v>
      </c>
    </row>
    <row r="9017" spans="1:10" ht="15" x14ac:dyDescent="0.2">
      <c r="A9017" s="486" t="s">
        <v>753</v>
      </c>
      <c r="B9017" s="487" t="s">
        <v>752</v>
      </c>
      <c r="C9017" s="488" t="s">
        <v>27953</v>
      </c>
      <c r="D9017" s="489" t="s">
        <v>27954</v>
      </c>
      <c r="E9017" s="487" t="s">
        <v>27955</v>
      </c>
      <c r="F9017" s="490">
        <v>61600</v>
      </c>
      <c r="G9017" s="489">
        <v>2693.68</v>
      </c>
      <c r="H9017" s="489">
        <v>22.86834</v>
      </c>
      <c r="I9017" s="487" t="s">
        <v>1499</v>
      </c>
      <c r="J9017" s="487" t="s">
        <v>754</v>
      </c>
    </row>
    <row r="9018" spans="1:10" ht="15" x14ac:dyDescent="0.2">
      <c r="A9018" s="486" t="s">
        <v>753</v>
      </c>
      <c r="B9018" s="487" t="s">
        <v>752</v>
      </c>
      <c r="C9018" s="488" t="s">
        <v>27956</v>
      </c>
      <c r="D9018" s="489" t="s">
        <v>27957</v>
      </c>
      <c r="E9018" s="487" t="s">
        <v>27958</v>
      </c>
      <c r="F9018" s="490">
        <v>8435</v>
      </c>
      <c r="G9018" s="489">
        <v>177.46</v>
      </c>
      <c r="H9018" s="489">
        <v>47.531840000000003</v>
      </c>
      <c r="I9018" s="487" t="s">
        <v>1499</v>
      </c>
      <c r="J9018" s="487" t="s">
        <v>754</v>
      </c>
    </row>
    <row r="9019" spans="1:10" ht="15" x14ac:dyDescent="0.2">
      <c r="A9019" s="486" t="s">
        <v>753</v>
      </c>
      <c r="B9019" s="487" t="s">
        <v>752</v>
      </c>
      <c r="C9019" s="488" t="s">
        <v>27959</v>
      </c>
      <c r="D9019" s="489" t="s">
        <v>27960</v>
      </c>
      <c r="E9019" s="487" t="s">
        <v>27961</v>
      </c>
      <c r="F9019" s="490">
        <v>3750</v>
      </c>
      <c r="G9019" s="489">
        <v>164.21</v>
      </c>
      <c r="H9019" s="489">
        <v>22.83661</v>
      </c>
      <c r="I9019" s="487" t="s">
        <v>2465</v>
      </c>
      <c r="J9019" s="487" t="s">
        <v>754</v>
      </c>
    </row>
    <row r="9020" spans="1:10" ht="15" x14ac:dyDescent="0.2">
      <c r="A9020" s="486" t="s">
        <v>753</v>
      </c>
      <c r="B9020" s="487" t="s">
        <v>752</v>
      </c>
      <c r="C9020" s="488" t="s">
        <v>27962</v>
      </c>
      <c r="D9020" s="489" t="s">
        <v>27963</v>
      </c>
      <c r="E9020" s="487" t="s">
        <v>27964</v>
      </c>
      <c r="F9020" s="490">
        <v>1000</v>
      </c>
      <c r="G9020" s="489">
        <v>83.53</v>
      </c>
      <c r="H9020" s="489">
        <v>11.97175</v>
      </c>
      <c r="I9020" s="487" t="s">
        <v>1499</v>
      </c>
      <c r="J9020" s="487" t="s">
        <v>754</v>
      </c>
    </row>
    <row r="9021" spans="1:10" ht="15" x14ac:dyDescent="0.2">
      <c r="A9021" s="486" t="s">
        <v>753</v>
      </c>
      <c r="B9021" s="487" t="s">
        <v>752</v>
      </c>
      <c r="C9021" s="488" t="s">
        <v>27965</v>
      </c>
      <c r="D9021" s="489" t="s">
        <v>27966</v>
      </c>
      <c r="E9021" s="487" t="s">
        <v>22392</v>
      </c>
      <c r="F9021" s="490">
        <v>6002</v>
      </c>
      <c r="G9021" s="489">
        <v>152.53</v>
      </c>
      <c r="H9021" s="489">
        <v>39.349640000000001</v>
      </c>
      <c r="I9021" s="487" t="s">
        <v>1499</v>
      </c>
      <c r="J9021" s="487" t="s">
        <v>754</v>
      </c>
    </row>
    <row r="9022" spans="1:10" ht="15" x14ac:dyDescent="0.2">
      <c r="A9022" s="486" t="s">
        <v>753</v>
      </c>
      <c r="B9022" s="487" t="s">
        <v>752</v>
      </c>
      <c r="C9022" s="488" t="s">
        <v>27967</v>
      </c>
      <c r="D9022" s="489" t="s">
        <v>27968</v>
      </c>
      <c r="E9022" s="487" t="s">
        <v>27969</v>
      </c>
      <c r="F9022" s="490">
        <v>12300</v>
      </c>
      <c r="G9022" s="489">
        <v>171.04</v>
      </c>
      <c r="H9022" s="489">
        <v>71.912999999999997</v>
      </c>
      <c r="I9022" s="487" t="s">
        <v>2465</v>
      </c>
      <c r="J9022" s="487" t="s">
        <v>754</v>
      </c>
    </row>
    <row r="9023" spans="1:10" ht="15" x14ac:dyDescent="0.2">
      <c r="A9023" s="486" t="s">
        <v>753</v>
      </c>
      <c r="B9023" s="487" t="s">
        <v>752</v>
      </c>
      <c r="C9023" s="488" t="s">
        <v>27970</v>
      </c>
      <c r="D9023" s="489" t="s">
        <v>27971</v>
      </c>
      <c r="E9023" s="487" t="s">
        <v>27972</v>
      </c>
      <c r="F9023" s="490">
        <v>8203</v>
      </c>
      <c r="G9023" s="489">
        <v>637.4</v>
      </c>
      <c r="H9023" s="489">
        <v>12.86947</v>
      </c>
      <c r="I9023" s="487" t="s">
        <v>1499</v>
      </c>
      <c r="J9023" s="487" t="s">
        <v>754</v>
      </c>
    </row>
    <row r="9024" spans="1:10" ht="15" x14ac:dyDescent="0.2">
      <c r="A9024" s="486" t="s">
        <v>753</v>
      </c>
      <c r="B9024" s="487" t="s">
        <v>752</v>
      </c>
      <c r="C9024" s="488" t="s">
        <v>27973</v>
      </c>
      <c r="D9024" s="489" t="s">
        <v>27974</v>
      </c>
      <c r="E9024" s="487" t="s">
        <v>27975</v>
      </c>
      <c r="F9024" s="490">
        <v>0</v>
      </c>
      <c r="G9024" s="489">
        <v>13.83</v>
      </c>
      <c r="H9024" s="489">
        <v>0</v>
      </c>
      <c r="I9024" s="487" t="s">
        <v>1593</v>
      </c>
      <c r="J9024" s="487" t="s">
        <v>754</v>
      </c>
    </row>
    <row r="9025" spans="1:10" ht="15" x14ac:dyDescent="0.2">
      <c r="A9025" s="486" t="s">
        <v>753</v>
      </c>
      <c r="B9025" s="487" t="s">
        <v>752</v>
      </c>
      <c r="C9025" s="488" t="s">
        <v>27976</v>
      </c>
      <c r="D9025" s="489" t="s">
        <v>27977</v>
      </c>
      <c r="E9025" s="487" t="s">
        <v>27978</v>
      </c>
      <c r="F9025" s="490">
        <v>0</v>
      </c>
      <c r="G9025" s="489">
        <v>70.83</v>
      </c>
      <c r="H9025" s="489">
        <v>0</v>
      </c>
      <c r="I9025" s="487" t="s">
        <v>1593</v>
      </c>
      <c r="J9025" s="487" t="s">
        <v>754</v>
      </c>
    </row>
    <row r="9026" spans="1:10" ht="15" x14ac:dyDescent="0.2">
      <c r="A9026" s="486" t="s">
        <v>753</v>
      </c>
      <c r="B9026" s="487" t="s">
        <v>752</v>
      </c>
      <c r="C9026" s="488" t="s">
        <v>27979</v>
      </c>
      <c r="D9026" s="489" t="s">
        <v>27980</v>
      </c>
      <c r="E9026" s="487" t="s">
        <v>27981</v>
      </c>
      <c r="F9026" s="490">
        <v>4500</v>
      </c>
      <c r="G9026" s="489">
        <v>156.94999999999999</v>
      </c>
      <c r="H9026" s="489">
        <v>28.67155</v>
      </c>
      <c r="I9026" s="487" t="s">
        <v>1499</v>
      </c>
      <c r="J9026" s="487" t="s">
        <v>754</v>
      </c>
    </row>
    <row r="9027" spans="1:10" ht="15" x14ac:dyDescent="0.2">
      <c r="A9027" s="486" t="s">
        <v>753</v>
      </c>
      <c r="B9027" s="487" t="s">
        <v>752</v>
      </c>
      <c r="C9027" s="488" t="s">
        <v>27982</v>
      </c>
      <c r="D9027" s="489" t="s">
        <v>27983</v>
      </c>
      <c r="E9027" s="487" t="s">
        <v>27984</v>
      </c>
      <c r="F9027" s="490">
        <v>3132</v>
      </c>
      <c r="G9027" s="489">
        <v>235.59</v>
      </c>
      <c r="H9027" s="489">
        <v>13.294280000000001</v>
      </c>
      <c r="I9027" s="487" t="s">
        <v>2465</v>
      </c>
      <c r="J9027" s="487" t="s">
        <v>754</v>
      </c>
    </row>
    <row r="9028" spans="1:10" ht="15" x14ac:dyDescent="0.2">
      <c r="A9028" s="486" t="s">
        <v>753</v>
      </c>
      <c r="B9028" s="487" t="s">
        <v>752</v>
      </c>
      <c r="C9028" s="488" t="s">
        <v>27985</v>
      </c>
      <c r="D9028" s="489" t="s">
        <v>27986</v>
      </c>
      <c r="E9028" s="487" t="s">
        <v>27987</v>
      </c>
      <c r="F9028" s="490">
        <v>21000</v>
      </c>
      <c r="G9028" s="489">
        <v>706.84</v>
      </c>
      <c r="H9028" s="489">
        <v>29.709689999999998</v>
      </c>
      <c r="I9028" s="487" t="s">
        <v>2465</v>
      </c>
      <c r="J9028" s="487" t="s">
        <v>754</v>
      </c>
    </row>
    <row r="9029" spans="1:10" ht="15" x14ac:dyDescent="0.2">
      <c r="A9029" s="486" t="s">
        <v>753</v>
      </c>
      <c r="B9029" s="487" t="s">
        <v>752</v>
      </c>
      <c r="C9029" s="488" t="s">
        <v>27988</v>
      </c>
      <c r="D9029" s="489" t="s">
        <v>27989</v>
      </c>
      <c r="E9029" s="487" t="s">
        <v>27990</v>
      </c>
      <c r="F9029" s="490">
        <v>0</v>
      </c>
      <c r="G9029" s="489">
        <v>91.64</v>
      </c>
      <c r="H9029" s="489">
        <v>0</v>
      </c>
      <c r="I9029" s="487" t="s">
        <v>1593</v>
      </c>
      <c r="J9029" s="487" t="s">
        <v>754</v>
      </c>
    </row>
    <row r="9030" spans="1:10" ht="15" x14ac:dyDescent="0.2">
      <c r="A9030" s="486" t="s">
        <v>753</v>
      </c>
      <c r="B9030" s="487" t="s">
        <v>752</v>
      </c>
      <c r="C9030" s="488" t="s">
        <v>27991</v>
      </c>
      <c r="D9030" s="489" t="s">
        <v>27992</v>
      </c>
      <c r="E9030" s="487" t="s">
        <v>27993</v>
      </c>
      <c r="F9030" s="490">
        <v>7654</v>
      </c>
      <c r="G9030" s="489">
        <v>251.13</v>
      </c>
      <c r="H9030" s="489">
        <v>30.47824</v>
      </c>
      <c r="I9030" s="487" t="s">
        <v>1499</v>
      </c>
      <c r="J9030" s="487" t="s">
        <v>754</v>
      </c>
    </row>
    <row r="9031" spans="1:10" ht="15" x14ac:dyDescent="0.2">
      <c r="A9031" s="486" t="s">
        <v>753</v>
      </c>
      <c r="B9031" s="487" t="s">
        <v>752</v>
      </c>
      <c r="C9031" s="488" t="s">
        <v>27994</v>
      </c>
      <c r="D9031" s="489" t="s">
        <v>27995</v>
      </c>
      <c r="E9031" s="487" t="s">
        <v>27996</v>
      </c>
      <c r="F9031" s="490">
        <v>600</v>
      </c>
      <c r="G9031" s="489">
        <v>35.18</v>
      </c>
      <c r="H9031" s="489">
        <v>17.055140000000002</v>
      </c>
      <c r="I9031" s="487" t="s">
        <v>1499</v>
      </c>
      <c r="J9031" s="487" t="s">
        <v>754</v>
      </c>
    </row>
    <row r="9032" spans="1:10" ht="15" x14ac:dyDescent="0.2">
      <c r="A9032" s="486" t="s">
        <v>753</v>
      </c>
      <c r="B9032" s="487" t="s">
        <v>752</v>
      </c>
      <c r="C9032" s="488" t="s">
        <v>27997</v>
      </c>
      <c r="D9032" s="489" t="s">
        <v>27998</v>
      </c>
      <c r="E9032" s="487" t="s">
        <v>27999</v>
      </c>
      <c r="F9032" s="490">
        <v>12250</v>
      </c>
      <c r="G9032" s="489">
        <v>252.11</v>
      </c>
      <c r="H9032" s="489">
        <v>48.5899</v>
      </c>
      <c r="I9032" s="487" t="s">
        <v>1499</v>
      </c>
      <c r="J9032" s="487" t="s">
        <v>754</v>
      </c>
    </row>
    <row r="9033" spans="1:10" ht="15" x14ac:dyDescent="0.2">
      <c r="A9033" s="486" t="s">
        <v>753</v>
      </c>
      <c r="B9033" s="487" t="s">
        <v>752</v>
      </c>
      <c r="C9033" s="488" t="s">
        <v>28000</v>
      </c>
      <c r="D9033" s="489" t="s">
        <v>28001</v>
      </c>
      <c r="E9033" s="487" t="s">
        <v>28002</v>
      </c>
      <c r="F9033" s="490">
        <v>2000</v>
      </c>
      <c r="G9033" s="489">
        <v>130.29</v>
      </c>
      <c r="H9033" s="489">
        <v>15.35037</v>
      </c>
      <c r="I9033" s="487" t="s">
        <v>1499</v>
      </c>
      <c r="J9033" s="487" t="s">
        <v>754</v>
      </c>
    </row>
    <row r="9034" spans="1:10" ht="15" x14ac:dyDescent="0.2">
      <c r="A9034" s="486" t="s">
        <v>753</v>
      </c>
      <c r="B9034" s="487" t="s">
        <v>752</v>
      </c>
      <c r="C9034" s="488" t="s">
        <v>28003</v>
      </c>
      <c r="D9034" s="489" t="s">
        <v>28004</v>
      </c>
      <c r="E9034" s="487" t="s">
        <v>28005</v>
      </c>
      <c r="F9034" s="490">
        <v>17152</v>
      </c>
      <c r="G9034" s="489">
        <v>214.75</v>
      </c>
      <c r="H9034" s="489">
        <v>79.869619999999998</v>
      </c>
      <c r="I9034" s="487" t="s">
        <v>1499</v>
      </c>
      <c r="J9034" s="487" t="s">
        <v>754</v>
      </c>
    </row>
    <row r="9035" spans="1:10" ht="15" x14ac:dyDescent="0.2">
      <c r="A9035" s="486" t="s">
        <v>753</v>
      </c>
      <c r="B9035" s="487" t="s">
        <v>752</v>
      </c>
      <c r="C9035" s="488" t="s">
        <v>28006</v>
      </c>
      <c r="D9035" s="489" t="s">
        <v>28007</v>
      </c>
      <c r="E9035" s="487" t="s">
        <v>3865</v>
      </c>
      <c r="F9035" s="490">
        <v>11472</v>
      </c>
      <c r="G9035" s="489">
        <v>188.72</v>
      </c>
      <c r="H9035" s="489">
        <v>60.788469999999997</v>
      </c>
      <c r="I9035" s="487" t="s">
        <v>1499</v>
      </c>
      <c r="J9035" s="487" t="s">
        <v>754</v>
      </c>
    </row>
    <row r="9036" spans="1:10" ht="15" x14ac:dyDescent="0.2">
      <c r="A9036" s="486" t="s">
        <v>753</v>
      </c>
      <c r="B9036" s="487" t="s">
        <v>752</v>
      </c>
      <c r="C9036" s="488" t="s">
        <v>28008</v>
      </c>
      <c r="D9036" s="489" t="s">
        <v>28009</v>
      </c>
      <c r="E9036" s="487" t="s">
        <v>28010</v>
      </c>
      <c r="F9036" s="490">
        <v>0</v>
      </c>
      <c r="G9036" s="489">
        <v>0</v>
      </c>
      <c r="H9036" s="489">
        <v>0</v>
      </c>
      <c r="I9036" s="487" t="s">
        <v>2465</v>
      </c>
      <c r="J9036" s="487" t="s">
        <v>754</v>
      </c>
    </row>
    <row r="9037" spans="1:10" ht="15" x14ac:dyDescent="0.2">
      <c r="A9037" s="486" t="s">
        <v>753</v>
      </c>
      <c r="B9037" s="487" t="s">
        <v>752</v>
      </c>
      <c r="C9037" s="488" t="s">
        <v>28011</v>
      </c>
      <c r="D9037" s="489" t="s">
        <v>28012</v>
      </c>
      <c r="E9037" s="487" t="s">
        <v>28013</v>
      </c>
      <c r="F9037" s="490">
        <v>12300</v>
      </c>
      <c r="G9037" s="489">
        <v>160.43</v>
      </c>
      <c r="H9037" s="489">
        <v>76.668949999999995</v>
      </c>
      <c r="I9037" s="487" t="s">
        <v>1499</v>
      </c>
      <c r="J9037" s="487" t="s">
        <v>754</v>
      </c>
    </row>
    <row r="9038" spans="1:10" ht="15" x14ac:dyDescent="0.2">
      <c r="A9038" s="486" t="s">
        <v>753</v>
      </c>
      <c r="B9038" s="487" t="s">
        <v>752</v>
      </c>
      <c r="C9038" s="488" t="s">
        <v>28014</v>
      </c>
      <c r="D9038" s="489" t="s">
        <v>28015</v>
      </c>
      <c r="E9038" s="487" t="s">
        <v>28016</v>
      </c>
      <c r="F9038" s="490">
        <v>26849</v>
      </c>
      <c r="G9038" s="489">
        <v>557.09</v>
      </c>
      <c r="H9038" s="489">
        <v>48.19509</v>
      </c>
      <c r="I9038" s="487" t="s">
        <v>2465</v>
      </c>
      <c r="J9038" s="487" t="s">
        <v>754</v>
      </c>
    </row>
    <row r="9039" spans="1:10" ht="15" x14ac:dyDescent="0.2">
      <c r="A9039" s="486" t="s">
        <v>753</v>
      </c>
      <c r="B9039" s="487" t="s">
        <v>752</v>
      </c>
      <c r="C9039" s="488" t="s">
        <v>28017</v>
      </c>
      <c r="D9039" s="489" t="s">
        <v>28018</v>
      </c>
      <c r="E9039" s="487" t="s">
        <v>28019</v>
      </c>
      <c r="F9039" s="490">
        <v>9000</v>
      </c>
      <c r="G9039" s="489">
        <v>151.55000000000001</v>
      </c>
      <c r="H9039" s="489">
        <v>59.386339999999997</v>
      </c>
      <c r="I9039" s="487" t="s">
        <v>2465</v>
      </c>
      <c r="J9039" s="487" t="s">
        <v>754</v>
      </c>
    </row>
    <row r="9040" spans="1:10" ht="15" x14ac:dyDescent="0.2">
      <c r="A9040" s="486" t="s">
        <v>753</v>
      </c>
      <c r="B9040" s="487" t="s">
        <v>752</v>
      </c>
      <c r="C9040" s="488" t="s">
        <v>28020</v>
      </c>
      <c r="D9040" s="489" t="s">
        <v>28021</v>
      </c>
      <c r="E9040" s="487" t="s">
        <v>28022</v>
      </c>
      <c r="F9040" s="490">
        <v>717436</v>
      </c>
      <c r="G9040" s="489">
        <v>9294.42</v>
      </c>
      <c r="H9040" s="489">
        <v>77.189970000000002</v>
      </c>
      <c r="I9040" s="487" t="s">
        <v>1499</v>
      </c>
      <c r="J9040" s="487" t="s">
        <v>754</v>
      </c>
    </row>
    <row r="9041" spans="1:10" ht="15" x14ac:dyDescent="0.2">
      <c r="A9041" s="486" t="s">
        <v>753</v>
      </c>
      <c r="B9041" s="487" t="s">
        <v>752</v>
      </c>
      <c r="C9041" s="488" t="s">
        <v>28023</v>
      </c>
      <c r="D9041" s="489" t="s">
        <v>28024</v>
      </c>
      <c r="E9041" s="487" t="s">
        <v>28025</v>
      </c>
      <c r="F9041" s="490">
        <v>0</v>
      </c>
      <c r="G9041" s="489">
        <v>0</v>
      </c>
      <c r="H9041" s="489">
        <v>0</v>
      </c>
      <c r="I9041" s="487" t="s">
        <v>2465</v>
      </c>
      <c r="J9041" s="487" t="s">
        <v>754</v>
      </c>
    </row>
    <row r="9042" spans="1:10" ht="15" x14ac:dyDescent="0.2">
      <c r="A9042" s="486" t="s">
        <v>753</v>
      </c>
      <c r="B9042" s="487" t="s">
        <v>752</v>
      </c>
      <c r="C9042" s="488" t="s">
        <v>28026</v>
      </c>
      <c r="D9042" s="489" t="s">
        <v>28027</v>
      </c>
      <c r="E9042" s="487" t="s">
        <v>28028</v>
      </c>
      <c r="F9042" s="490">
        <v>1920</v>
      </c>
      <c r="G9042" s="489">
        <v>174.73</v>
      </c>
      <c r="H9042" s="489">
        <v>10.988379999999999</v>
      </c>
      <c r="I9042" s="487" t="s">
        <v>2465</v>
      </c>
      <c r="J9042" s="487" t="s">
        <v>754</v>
      </c>
    </row>
    <row r="9043" spans="1:10" ht="15" x14ac:dyDescent="0.2">
      <c r="A9043" s="486" t="s">
        <v>753</v>
      </c>
      <c r="B9043" s="487" t="s">
        <v>752</v>
      </c>
      <c r="C9043" s="488" t="s">
        <v>28029</v>
      </c>
      <c r="D9043" s="489" t="s">
        <v>28030</v>
      </c>
      <c r="E9043" s="487" t="s">
        <v>28031</v>
      </c>
      <c r="F9043" s="490">
        <v>0</v>
      </c>
      <c r="G9043" s="489">
        <v>0</v>
      </c>
      <c r="H9043" s="489">
        <v>0</v>
      </c>
      <c r="I9043" s="487" t="s">
        <v>2465</v>
      </c>
      <c r="J9043" s="487" t="s">
        <v>754</v>
      </c>
    </row>
    <row r="9044" spans="1:10" ht="15" x14ac:dyDescent="0.2">
      <c r="A9044" s="486" t="s">
        <v>753</v>
      </c>
      <c r="B9044" s="487" t="s">
        <v>752</v>
      </c>
      <c r="C9044" s="488" t="s">
        <v>28032</v>
      </c>
      <c r="D9044" s="489" t="s">
        <v>28033</v>
      </c>
      <c r="E9044" s="487" t="s">
        <v>28034</v>
      </c>
      <c r="F9044" s="490">
        <v>198152</v>
      </c>
      <c r="G9044" s="489">
        <v>1711.12</v>
      </c>
      <c r="H9044" s="489">
        <v>115.80252</v>
      </c>
      <c r="I9044" s="487" t="s">
        <v>1499</v>
      </c>
      <c r="J9044" s="487" t="s">
        <v>754</v>
      </c>
    </row>
    <row r="9045" spans="1:10" ht="15" x14ac:dyDescent="0.2">
      <c r="A9045" s="486" t="s">
        <v>753</v>
      </c>
      <c r="B9045" s="487" t="s">
        <v>752</v>
      </c>
      <c r="C9045" s="488" t="s">
        <v>28035</v>
      </c>
      <c r="D9045" s="489" t="s">
        <v>28036</v>
      </c>
      <c r="E9045" s="487" t="s">
        <v>28037</v>
      </c>
      <c r="F9045" s="490">
        <v>12342</v>
      </c>
      <c r="G9045" s="489">
        <v>246.17</v>
      </c>
      <c r="H9045" s="489">
        <v>50.13608</v>
      </c>
      <c r="I9045" s="487" t="s">
        <v>1499</v>
      </c>
      <c r="J9045" s="487" t="s">
        <v>754</v>
      </c>
    </row>
    <row r="9046" spans="1:10" ht="15" x14ac:dyDescent="0.2">
      <c r="A9046" s="486" t="s">
        <v>753</v>
      </c>
      <c r="B9046" s="487" t="s">
        <v>752</v>
      </c>
      <c r="C9046" s="488" t="s">
        <v>28038</v>
      </c>
      <c r="D9046" s="489" t="s">
        <v>28039</v>
      </c>
      <c r="E9046" s="487" t="s">
        <v>28040</v>
      </c>
      <c r="F9046" s="490">
        <v>2477</v>
      </c>
      <c r="G9046" s="489">
        <v>186.81</v>
      </c>
      <c r="H9046" s="489">
        <v>13.259460000000001</v>
      </c>
      <c r="I9046" s="487" t="s">
        <v>2465</v>
      </c>
      <c r="J9046" s="487" t="s">
        <v>754</v>
      </c>
    </row>
    <row r="9047" spans="1:10" ht="15" x14ac:dyDescent="0.2">
      <c r="A9047" s="486" t="s">
        <v>753</v>
      </c>
      <c r="B9047" s="487" t="s">
        <v>752</v>
      </c>
      <c r="C9047" s="488" t="s">
        <v>28041</v>
      </c>
      <c r="D9047" s="489" t="s">
        <v>28042</v>
      </c>
      <c r="E9047" s="487" t="s">
        <v>28043</v>
      </c>
      <c r="F9047" s="490">
        <v>39850</v>
      </c>
      <c r="G9047" s="489">
        <v>537.22</v>
      </c>
      <c r="H9047" s="489">
        <v>74.178179999999998</v>
      </c>
      <c r="I9047" s="487" t="s">
        <v>2465</v>
      </c>
      <c r="J9047" s="487" t="s">
        <v>754</v>
      </c>
    </row>
    <row r="9048" spans="1:10" ht="15" x14ac:dyDescent="0.2">
      <c r="A9048" s="486" t="s">
        <v>753</v>
      </c>
      <c r="B9048" s="487" t="s">
        <v>752</v>
      </c>
      <c r="C9048" s="488" t="s">
        <v>28044</v>
      </c>
      <c r="D9048" s="489" t="s">
        <v>28045</v>
      </c>
      <c r="E9048" s="487" t="s">
        <v>28046</v>
      </c>
      <c r="F9048" s="490">
        <v>4800</v>
      </c>
      <c r="G9048" s="489">
        <v>264.39</v>
      </c>
      <c r="H9048" s="489">
        <v>18.155000000000001</v>
      </c>
      <c r="I9048" s="487" t="s">
        <v>1499</v>
      </c>
      <c r="J9048" s="487" t="s">
        <v>754</v>
      </c>
    </row>
    <row r="9049" spans="1:10" ht="15" x14ac:dyDescent="0.2">
      <c r="A9049" s="486" t="s">
        <v>753</v>
      </c>
      <c r="B9049" s="487" t="s">
        <v>752</v>
      </c>
      <c r="C9049" s="488" t="s">
        <v>28047</v>
      </c>
      <c r="D9049" s="489" t="s">
        <v>28048</v>
      </c>
      <c r="E9049" s="487" t="s">
        <v>28049</v>
      </c>
      <c r="F9049" s="490">
        <v>8600</v>
      </c>
      <c r="G9049" s="489">
        <v>134.72999999999999</v>
      </c>
      <c r="H9049" s="489">
        <v>63.83137</v>
      </c>
      <c r="I9049" s="487" t="s">
        <v>1499</v>
      </c>
      <c r="J9049" s="487" t="s">
        <v>754</v>
      </c>
    </row>
    <row r="9050" spans="1:10" ht="15" x14ac:dyDescent="0.2">
      <c r="A9050" s="486" t="s">
        <v>753</v>
      </c>
      <c r="B9050" s="487" t="s">
        <v>752</v>
      </c>
      <c r="C9050" s="488" t="s">
        <v>28050</v>
      </c>
      <c r="D9050" s="489" t="s">
        <v>28051</v>
      </c>
      <c r="E9050" s="487" t="s">
        <v>28052</v>
      </c>
      <c r="F9050" s="490">
        <v>7284</v>
      </c>
      <c r="G9050" s="489">
        <v>117.98</v>
      </c>
      <c r="H9050" s="489">
        <v>61.739280000000001</v>
      </c>
      <c r="I9050" s="487" t="s">
        <v>1499</v>
      </c>
      <c r="J9050" s="487" t="s">
        <v>754</v>
      </c>
    </row>
    <row r="9051" spans="1:10" ht="15" x14ac:dyDescent="0.2">
      <c r="A9051" s="486" t="s">
        <v>753</v>
      </c>
      <c r="B9051" s="487" t="s">
        <v>752</v>
      </c>
      <c r="C9051" s="488" t="s">
        <v>28053</v>
      </c>
      <c r="D9051" s="489" t="s">
        <v>28054</v>
      </c>
      <c r="E9051" s="487" t="s">
        <v>28055</v>
      </c>
      <c r="F9051" s="490">
        <v>0</v>
      </c>
      <c r="G9051" s="489">
        <v>0</v>
      </c>
      <c r="H9051" s="489">
        <v>0</v>
      </c>
      <c r="I9051" s="487" t="s">
        <v>2465</v>
      </c>
      <c r="J9051" s="487" t="s">
        <v>754</v>
      </c>
    </row>
    <row r="9052" spans="1:10" ht="15" x14ac:dyDescent="0.2">
      <c r="A9052" s="486" t="s">
        <v>753</v>
      </c>
      <c r="B9052" s="487" t="s">
        <v>752</v>
      </c>
      <c r="C9052" s="488" t="s">
        <v>28056</v>
      </c>
      <c r="D9052" s="489" t="s">
        <v>28057</v>
      </c>
      <c r="E9052" s="487" t="s">
        <v>28058</v>
      </c>
      <c r="F9052" s="490">
        <v>10040</v>
      </c>
      <c r="G9052" s="489">
        <v>191.1</v>
      </c>
      <c r="H9052" s="489">
        <v>52.537939999999999</v>
      </c>
      <c r="I9052" s="487" t="s">
        <v>1499</v>
      </c>
      <c r="J9052" s="487" t="s">
        <v>754</v>
      </c>
    </row>
    <row r="9053" spans="1:10" ht="15" x14ac:dyDescent="0.2">
      <c r="A9053" s="486" t="s">
        <v>753</v>
      </c>
      <c r="B9053" s="487" t="s">
        <v>752</v>
      </c>
      <c r="C9053" s="488" t="s">
        <v>28059</v>
      </c>
      <c r="D9053" s="489" t="s">
        <v>28060</v>
      </c>
      <c r="E9053" s="487" t="s">
        <v>28061</v>
      </c>
      <c r="F9053" s="490">
        <v>300350</v>
      </c>
      <c r="G9053" s="489">
        <v>1931.71</v>
      </c>
      <c r="H9053" s="489">
        <v>155.48400000000001</v>
      </c>
      <c r="I9053" s="487" t="s">
        <v>1499</v>
      </c>
      <c r="J9053" s="487" t="s">
        <v>754</v>
      </c>
    </row>
    <row r="9054" spans="1:10" ht="15" x14ac:dyDescent="0.2">
      <c r="A9054" s="486" t="s">
        <v>753</v>
      </c>
      <c r="B9054" s="487" t="s">
        <v>752</v>
      </c>
      <c r="C9054" s="488" t="s">
        <v>28062</v>
      </c>
      <c r="D9054" s="489" t="s">
        <v>28063</v>
      </c>
      <c r="E9054" s="487" t="s">
        <v>28064</v>
      </c>
      <c r="F9054" s="490">
        <v>9135</v>
      </c>
      <c r="G9054" s="489">
        <v>184.54</v>
      </c>
      <c r="H9054" s="489">
        <v>49.501460000000002</v>
      </c>
      <c r="I9054" s="487" t="s">
        <v>1499</v>
      </c>
      <c r="J9054" s="487" t="s">
        <v>754</v>
      </c>
    </row>
    <row r="9055" spans="1:10" ht="15" x14ac:dyDescent="0.2">
      <c r="A9055" s="486" t="s">
        <v>753</v>
      </c>
      <c r="B9055" s="487" t="s">
        <v>752</v>
      </c>
      <c r="C9055" s="488" t="s">
        <v>28065</v>
      </c>
      <c r="D9055" s="489" t="s">
        <v>28066</v>
      </c>
      <c r="E9055" s="487" t="s">
        <v>28067</v>
      </c>
      <c r="F9055" s="490">
        <v>0</v>
      </c>
      <c r="G9055" s="489">
        <v>31.54</v>
      </c>
      <c r="H9055" s="489">
        <v>0</v>
      </c>
      <c r="I9055" s="487" t="s">
        <v>1593</v>
      </c>
      <c r="J9055" s="487" t="s">
        <v>754</v>
      </c>
    </row>
    <row r="9056" spans="1:10" ht="15" x14ac:dyDescent="0.2">
      <c r="A9056" s="486" t="s">
        <v>753</v>
      </c>
      <c r="B9056" s="487" t="s">
        <v>752</v>
      </c>
      <c r="C9056" s="488" t="s">
        <v>28068</v>
      </c>
      <c r="D9056" s="489" t="s">
        <v>28069</v>
      </c>
      <c r="E9056" s="487" t="s">
        <v>28070</v>
      </c>
      <c r="F9056" s="490">
        <v>5275</v>
      </c>
      <c r="G9056" s="489">
        <v>145.71</v>
      </c>
      <c r="H9056" s="489">
        <v>36.20205</v>
      </c>
      <c r="I9056" s="487" t="s">
        <v>1499</v>
      </c>
      <c r="J9056" s="487" t="s">
        <v>754</v>
      </c>
    </row>
    <row r="9057" spans="1:10" ht="15" x14ac:dyDescent="0.2">
      <c r="A9057" s="486" t="s">
        <v>753</v>
      </c>
      <c r="B9057" s="487" t="s">
        <v>752</v>
      </c>
      <c r="C9057" s="488" t="s">
        <v>28071</v>
      </c>
      <c r="D9057" s="489" t="s">
        <v>28072</v>
      </c>
      <c r="E9057" s="487" t="s">
        <v>28073</v>
      </c>
      <c r="F9057" s="490">
        <v>9218</v>
      </c>
      <c r="G9057" s="489">
        <v>67.430000000000007</v>
      </c>
      <c r="H9057" s="489">
        <v>136.70473000000001</v>
      </c>
      <c r="I9057" s="487" t="s">
        <v>1499</v>
      </c>
      <c r="J9057" s="487" t="s">
        <v>754</v>
      </c>
    </row>
    <row r="9058" spans="1:10" ht="15" x14ac:dyDescent="0.2">
      <c r="A9058" s="486" t="s">
        <v>753</v>
      </c>
      <c r="B9058" s="487" t="s">
        <v>752</v>
      </c>
      <c r="C9058" s="488" t="s">
        <v>28074</v>
      </c>
      <c r="D9058" s="489" t="s">
        <v>28075</v>
      </c>
      <c r="E9058" s="487" t="s">
        <v>28076</v>
      </c>
      <c r="F9058" s="490">
        <v>41400</v>
      </c>
      <c r="G9058" s="489">
        <v>535.77</v>
      </c>
      <c r="H9058" s="489">
        <v>77.271960000000007</v>
      </c>
      <c r="I9058" s="487" t="s">
        <v>1499</v>
      </c>
      <c r="J9058" s="487" t="s">
        <v>754</v>
      </c>
    </row>
    <row r="9059" spans="1:10" ht="15" x14ac:dyDescent="0.2">
      <c r="A9059" s="486" t="s">
        <v>753</v>
      </c>
      <c r="B9059" s="487" t="s">
        <v>752</v>
      </c>
      <c r="C9059" s="488" t="s">
        <v>28077</v>
      </c>
      <c r="D9059" s="489" t="s">
        <v>28078</v>
      </c>
      <c r="E9059" s="487" t="s">
        <v>24576</v>
      </c>
      <c r="F9059" s="490">
        <v>15604</v>
      </c>
      <c r="G9059" s="489">
        <v>321.61</v>
      </c>
      <c r="H9059" s="489">
        <v>48.518389999999997</v>
      </c>
      <c r="I9059" s="487" t="s">
        <v>1499</v>
      </c>
      <c r="J9059" s="487" t="s">
        <v>754</v>
      </c>
    </row>
    <row r="9060" spans="1:10" ht="15" x14ac:dyDescent="0.2">
      <c r="A9060" s="486" t="s">
        <v>753</v>
      </c>
      <c r="B9060" s="487" t="s">
        <v>752</v>
      </c>
      <c r="C9060" s="488" t="s">
        <v>28079</v>
      </c>
      <c r="D9060" s="489" t="s">
        <v>28080</v>
      </c>
      <c r="E9060" s="487" t="s">
        <v>28081</v>
      </c>
      <c r="F9060" s="490">
        <v>0</v>
      </c>
      <c r="G9060" s="489">
        <v>0</v>
      </c>
      <c r="H9060" s="489">
        <v>0</v>
      </c>
      <c r="I9060" s="487" t="s">
        <v>2465</v>
      </c>
      <c r="J9060" s="487" t="s">
        <v>754</v>
      </c>
    </row>
    <row r="9061" spans="1:10" ht="15" x14ac:dyDescent="0.2">
      <c r="A9061" s="486" t="s">
        <v>753</v>
      </c>
      <c r="B9061" s="487" t="s">
        <v>752</v>
      </c>
      <c r="C9061" s="488" t="s">
        <v>28082</v>
      </c>
      <c r="D9061" s="489" t="s">
        <v>28083</v>
      </c>
      <c r="E9061" s="487" t="s">
        <v>28084</v>
      </c>
      <c r="F9061" s="490">
        <v>6715</v>
      </c>
      <c r="G9061" s="489">
        <v>90.87</v>
      </c>
      <c r="H9061" s="489">
        <v>73.896780000000007</v>
      </c>
      <c r="I9061" s="487" t="s">
        <v>1499</v>
      </c>
      <c r="J9061" s="487" t="s">
        <v>754</v>
      </c>
    </row>
    <row r="9062" spans="1:10" ht="15" x14ac:dyDescent="0.2">
      <c r="A9062" s="486" t="s">
        <v>753</v>
      </c>
      <c r="B9062" s="487" t="s">
        <v>752</v>
      </c>
      <c r="C9062" s="488" t="s">
        <v>28085</v>
      </c>
      <c r="D9062" s="489" t="s">
        <v>28086</v>
      </c>
      <c r="E9062" s="487" t="s">
        <v>28087</v>
      </c>
      <c r="F9062" s="490">
        <v>4838</v>
      </c>
      <c r="G9062" s="489">
        <v>79.73</v>
      </c>
      <c r="H9062" s="489">
        <v>60.679789999999997</v>
      </c>
      <c r="I9062" s="487" t="s">
        <v>1499</v>
      </c>
      <c r="J9062" s="487" t="s">
        <v>754</v>
      </c>
    </row>
    <row r="9063" spans="1:10" ht="15" x14ac:dyDescent="0.2">
      <c r="A9063" s="486" t="s">
        <v>753</v>
      </c>
      <c r="B9063" s="487" t="s">
        <v>752</v>
      </c>
      <c r="C9063" s="488" t="s">
        <v>28088</v>
      </c>
      <c r="D9063" s="489" t="s">
        <v>28089</v>
      </c>
      <c r="E9063" s="487" t="s">
        <v>28090</v>
      </c>
      <c r="F9063" s="490">
        <v>27308</v>
      </c>
      <c r="G9063" s="489">
        <v>466.61</v>
      </c>
      <c r="H9063" s="489">
        <v>58.524250000000002</v>
      </c>
      <c r="I9063" s="487" t="s">
        <v>1499</v>
      </c>
      <c r="J9063" s="487" t="s">
        <v>754</v>
      </c>
    </row>
    <row r="9064" spans="1:10" ht="15" x14ac:dyDescent="0.2">
      <c r="A9064" s="486" t="s">
        <v>753</v>
      </c>
      <c r="B9064" s="487" t="s">
        <v>752</v>
      </c>
      <c r="C9064" s="488" t="s">
        <v>28091</v>
      </c>
      <c r="D9064" s="489" t="s">
        <v>28092</v>
      </c>
      <c r="E9064" s="487" t="s">
        <v>28093</v>
      </c>
      <c r="F9064" s="490">
        <v>450400</v>
      </c>
      <c r="G9064" s="489">
        <v>4883.07</v>
      </c>
      <c r="H9064" s="489">
        <v>92.23706</v>
      </c>
      <c r="I9064" s="487" t="s">
        <v>1499</v>
      </c>
      <c r="J9064" s="487" t="s">
        <v>754</v>
      </c>
    </row>
    <row r="9065" spans="1:10" ht="15" x14ac:dyDescent="0.2">
      <c r="A9065" s="486" t="s">
        <v>753</v>
      </c>
      <c r="B9065" s="487" t="s">
        <v>752</v>
      </c>
      <c r="C9065" s="488" t="s">
        <v>28094</v>
      </c>
      <c r="D9065" s="489" t="s">
        <v>28095</v>
      </c>
      <c r="E9065" s="487" t="s">
        <v>28096</v>
      </c>
      <c r="F9065" s="490">
        <v>184217</v>
      </c>
      <c r="G9065" s="489">
        <v>1526.62</v>
      </c>
      <c r="H9065" s="489">
        <v>120.66985</v>
      </c>
      <c r="I9065" s="487" t="s">
        <v>1499</v>
      </c>
      <c r="J9065" s="487" t="s">
        <v>754</v>
      </c>
    </row>
    <row r="9066" spans="1:10" ht="15" x14ac:dyDescent="0.2">
      <c r="A9066" s="486" t="s">
        <v>753</v>
      </c>
      <c r="B9066" s="487" t="s">
        <v>752</v>
      </c>
      <c r="C9066" s="488" t="s">
        <v>28097</v>
      </c>
      <c r="D9066" s="489" t="s">
        <v>28098</v>
      </c>
      <c r="E9066" s="487" t="s">
        <v>28099</v>
      </c>
      <c r="F9066" s="490">
        <v>8100</v>
      </c>
      <c r="G9066" s="489">
        <v>113.94</v>
      </c>
      <c r="H9066" s="489">
        <v>71.090050000000005</v>
      </c>
      <c r="I9066" s="487" t="s">
        <v>1499</v>
      </c>
      <c r="J9066" s="487" t="s">
        <v>754</v>
      </c>
    </row>
    <row r="9067" spans="1:10" ht="15" x14ac:dyDescent="0.2">
      <c r="A9067" s="486" t="s">
        <v>753</v>
      </c>
      <c r="B9067" s="487" t="s">
        <v>752</v>
      </c>
      <c r="C9067" s="488" t="s">
        <v>28100</v>
      </c>
      <c r="D9067" s="489" t="s">
        <v>28101</v>
      </c>
      <c r="E9067" s="487" t="s">
        <v>28102</v>
      </c>
      <c r="F9067" s="490">
        <v>0</v>
      </c>
      <c r="G9067" s="489">
        <v>0</v>
      </c>
      <c r="H9067" s="489">
        <v>0</v>
      </c>
      <c r="I9067" s="487" t="s">
        <v>2465</v>
      </c>
      <c r="J9067" s="487" t="s">
        <v>754</v>
      </c>
    </row>
    <row r="9068" spans="1:10" ht="15" x14ac:dyDescent="0.2">
      <c r="A9068" s="486" t="s">
        <v>753</v>
      </c>
      <c r="B9068" s="487" t="s">
        <v>752</v>
      </c>
      <c r="C9068" s="488" t="s">
        <v>28103</v>
      </c>
      <c r="D9068" s="489" t="s">
        <v>28104</v>
      </c>
      <c r="E9068" s="487" t="s">
        <v>28105</v>
      </c>
      <c r="F9068" s="490">
        <v>21910</v>
      </c>
      <c r="G9068" s="489">
        <v>334.77</v>
      </c>
      <c r="H9068" s="489">
        <v>65.447919999999996</v>
      </c>
      <c r="I9068" s="487" t="s">
        <v>1499</v>
      </c>
      <c r="J9068" s="487" t="s">
        <v>754</v>
      </c>
    </row>
    <row r="9069" spans="1:10" ht="15" x14ac:dyDescent="0.2">
      <c r="A9069" s="486" t="s">
        <v>753</v>
      </c>
      <c r="B9069" s="487" t="s">
        <v>752</v>
      </c>
      <c r="C9069" s="488" t="s">
        <v>28106</v>
      </c>
      <c r="D9069" s="489" t="s">
        <v>28107</v>
      </c>
      <c r="E9069" s="487" t="s">
        <v>28108</v>
      </c>
      <c r="F9069" s="490">
        <v>385000</v>
      </c>
      <c r="G9069" s="489">
        <v>2088.5700000000002</v>
      </c>
      <c r="H9069" s="489">
        <v>184.33664999999999</v>
      </c>
      <c r="I9069" s="487" t="s">
        <v>1499</v>
      </c>
      <c r="J9069" s="487" t="s">
        <v>754</v>
      </c>
    </row>
    <row r="9070" spans="1:10" ht="15" x14ac:dyDescent="0.2">
      <c r="A9070" s="486" t="s">
        <v>753</v>
      </c>
      <c r="B9070" s="487" t="s">
        <v>752</v>
      </c>
      <c r="C9070" s="488" t="s">
        <v>28109</v>
      </c>
      <c r="D9070" s="489" t="s">
        <v>28110</v>
      </c>
      <c r="E9070" s="487" t="s">
        <v>28111</v>
      </c>
      <c r="F9070" s="490">
        <v>2000</v>
      </c>
      <c r="G9070" s="489">
        <v>42.73</v>
      </c>
      <c r="H9070" s="489">
        <v>46.805520000000001</v>
      </c>
      <c r="I9070" s="487" t="s">
        <v>1499</v>
      </c>
      <c r="J9070" s="487" t="s">
        <v>754</v>
      </c>
    </row>
    <row r="9071" spans="1:10" ht="15" x14ac:dyDescent="0.2">
      <c r="A9071" s="486" t="s">
        <v>753</v>
      </c>
      <c r="B9071" s="487" t="s">
        <v>752</v>
      </c>
      <c r="C9071" s="488" t="s">
        <v>28112</v>
      </c>
      <c r="D9071" s="489" t="s">
        <v>28113</v>
      </c>
      <c r="E9071" s="487" t="s">
        <v>28114</v>
      </c>
      <c r="F9071" s="490">
        <v>12879</v>
      </c>
      <c r="G9071" s="489">
        <v>128.26</v>
      </c>
      <c r="H9071" s="489">
        <v>100.41322</v>
      </c>
      <c r="I9071" s="487" t="s">
        <v>2465</v>
      </c>
      <c r="J9071" s="487" t="s">
        <v>754</v>
      </c>
    </row>
    <row r="9072" spans="1:10" ht="15" x14ac:dyDescent="0.2">
      <c r="A9072" s="486" t="s">
        <v>753</v>
      </c>
      <c r="B9072" s="487" t="s">
        <v>752</v>
      </c>
      <c r="C9072" s="488" t="s">
        <v>28115</v>
      </c>
      <c r="D9072" s="489" t="s">
        <v>28116</v>
      </c>
      <c r="E9072" s="487" t="s">
        <v>28117</v>
      </c>
      <c r="F9072" s="490">
        <v>0</v>
      </c>
      <c r="G9072" s="489">
        <v>0</v>
      </c>
      <c r="H9072" s="489">
        <v>0</v>
      </c>
      <c r="I9072" s="487" t="s">
        <v>2465</v>
      </c>
      <c r="J9072" s="487" t="s">
        <v>754</v>
      </c>
    </row>
    <row r="9073" spans="1:10" ht="15" x14ac:dyDescent="0.2">
      <c r="A9073" s="486" t="s">
        <v>753</v>
      </c>
      <c r="B9073" s="487" t="s">
        <v>752</v>
      </c>
      <c r="C9073" s="488" t="s">
        <v>28118</v>
      </c>
      <c r="D9073" s="489" t="s">
        <v>28119</v>
      </c>
      <c r="E9073" s="487" t="s">
        <v>28120</v>
      </c>
      <c r="F9073" s="490">
        <v>0</v>
      </c>
      <c r="G9073" s="489">
        <v>0</v>
      </c>
      <c r="H9073" s="489">
        <v>0</v>
      </c>
      <c r="I9073" s="487" t="s">
        <v>2465</v>
      </c>
      <c r="J9073" s="487" t="s">
        <v>754</v>
      </c>
    </row>
    <row r="9074" spans="1:10" ht="15" x14ac:dyDescent="0.2">
      <c r="A9074" s="486" t="s">
        <v>753</v>
      </c>
      <c r="B9074" s="487" t="s">
        <v>752</v>
      </c>
      <c r="C9074" s="488" t="s">
        <v>28121</v>
      </c>
      <c r="D9074" s="489" t="s">
        <v>28122</v>
      </c>
      <c r="E9074" s="487" t="s">
        <v>28123</v>
      </c>
      <c r="F9074" s="490">
        <v>13750</v>
      </c>
      <c r="G9074" s="489">
        <v>222.6</v>
      </c>
      <c r="H9074" s="489">
        <v>61.76999</v>
      </c>
      <c r="I9074" s="487" t="s">
        <v>1499</v>
      </c>
      <c r="J9074" s="487" t="s">
        <v>754</v>
      </c>
    </row>
    <row r="9075" spans="1:10" ht="15" x14ac:dyDescent="0.2">
      <c r="A9075" s="486" t="s">
        <v>753</v>
      </c>
      <c r="B9075" s="487" t="s">
        <v>752</v>
      </c>
      <c r="C9075" s="488" t="s">
        <v>28124</v>
      </c>
      <c r="D9075" s="489" t="s">
        <v>28125</v>
      </c>
      <c r="E9075" s="487" t="s">
        <v>28126</v>
      </c>
      <c r="F9075" s="490">
        <v>4683</v>
      </c>
      <c r="G9075" s="489">
        <v>70.92</v>
      </c>
      <c r="H9075" s="489">
        <v>66.032150000000001</v>
      </c>
      <c r="I9075" s="487" t="s">
        <v>1499</v>
      </c>
      <c r="J9075" s="487" t="s">
        <v>754</v>
      </c>
    </row>
    <row r="9076" spans="1:10" ht="15" x14ac:dyDescent="0.2">
      <c r="A9076" s="486" t="s">
        <v>753</v>
      </c>
      <c r="B9076" s="487" t="s">
        <v>752</v>
      </c>
      <c r="C9076" s="488" t="s">
        <v>28127</v>
      </c>
      <c r="D9076" s="489" t="s">
        <v>28128</v>
      </c>
      <c r="E9076" s="487" t="s">
        <v>23672</v>
      </c>
      <c r="F9076" s="490">
        <v>4109</v>
      </c>
      <c r="G9076" s="489">
        <v>137.33000000000001</v>
      </c>
      <c r="H9076" s="489">
        <v>29.920629999999999</v>
      </c>
      <c r="I9076" s="487" t="s">
        <v>1499</v>
      </c>
      <c r="J9076" s="487" t="s">
        <v>754</v>
      </c>
    </row>
    <row r="9077" spans="1:10" ht="15" x14ac:dyDescent="0.2">
      <c r="A9077" s="486" t="s">
        <v>753</v>
      </c>
      <c r="B9077" s="487" t="s">
        <v>752</v>
      </c>
      <c r="C9077" s="488" t="s">
        <v>28129</v>
      </c>
      <c r="D9077" s="489" t="s">
        <v>28130</v>
      </c>
      <c r="E9077" s="487" t="s">
        <v>28131</v>
      </c>
      <c r="F9077" s="490">
        <v>2413263</v>
      </c>
      <c r="G9077" s="489">
        <v>13315.91</v>
      </c>
      <c r="H9077" s="489">
        <v>181.23155</v>
      </c>
      <c r="I9077" s="487" t="s">
        <v>1499</v>
      </c>
      <c r="J9077" s="487" t="s">
        <v>754</v>
      </c>
    </row>
    <row r="9078" spans="1:10" ht="15" x14ac:dyDescent="0.2">
      <c r="A9078" s="486" t="s">
        <v>753</v>
      </c>
      <c r="B9078" s="487" t="s">
        <v>752</v>
      </c>
      <c r="C9078" s="488" t="s">
        <v>28132</v>
      </c>
      <c r="D9078" s="489" t="s">
        <v>28133</v>
      </c>
      <c r="E9078" s="487" t="s">
        <v>28134</v>
      </c>
      <c r="F9078" s="490">
        <v>6477</v>
      </c>
      <c r="G9078" s="489">
        <v>94.72</v>
      </c>
      <c r="H9078" s="489">
        <v>68.380489999999995</v>
      </c>
      <c r="I9078" s="487" t="s">
        <v>1499</v>
      </c>
      <c r="J9078" s="487" t="s">
        <v>754</v>
      </c>
    </row>
    <row r="9079" spans="1:10" ht="15" x14ac:dyDescent="0.2">
      <c r="A9079" s="486" t="s">
        <v>753</v>
      </c>
      <c r="B9079" s="487" t="s">
        <v>752</v>
      </c>
      <c r="C9079" s="488" t="s">
        <v>28135</v>
      </c>
      <c r="D9079" s="489" t="s">
        <v>28136</v>
      </c>
      <c r="E9079" s="487" t="s">
        <v>28137</v>
      </c>
      <c r="F9079" s="490">
        <v>165000</v>
      </c>
      <c r="G9079" s="489">
        <v>2208.4499999999998</v>
      </c>
      <c r="H9079" s="489">
        <v>74.713030000000003</v>
      </c>
      <c r="I9079" s="487" t="s">
        <v>1499</v>
      </c>
      <c r="J9079" s="487" t="s">
        <v>754</v>
      </c>
    </row>
    <row r="9080" spans="1:10" ht="15" x14ac:dyDescent="0.2">
      <c r="A9080" s="486" t="s">
        <v>753</v>
      </c>
      <c r="B9080" s="487" t="s">
        <v>752</v>
      </c>
      <c r="C9080" s="488" t="s">
        <v>28138</v>
      </c>
      <c r="D9080" s="489" t="s">
        <v>28139</v>
      </c>
      <c r="E9080" s="487" t="s">
        <v>979</v>
      </c>
      <c r="F9080" s="490">
        <v>137549</v>
      </c>
      <c r="G9080" s="489">
        <v>2005.03</v>
      </c>
      <c r="H9080" s="489">
        <v>68.601969999999994</v>
      </c>
      <c r="I9080" s="487" t="s">
        <v>1499</v>
      </c>
      <c r="J9080" s="487" t="s">
        <v>754</v>
      </c>
    </row>
    <row r="9081" spans="1:10" ht="15" x14ac:dyDescent="0.2">
      <c r="A9081" s="486" t="s">
        <v>753</v>
      </c>
      <c r="B9081" s="487" t="s">
        <v>752</v>
      </c>
      <c r="C9081" s="488" t="s">
        <v>28140</v>
      </c>
      <c r="D9081" s="489" t="s">
        <v>28141</v>
      </c>
      <c r="E9081" s="487" t="s">
        <v>28142</v>
      </c>
      <c r="F9081" s="490">
        <v>1632</v>
      </c>
      <c r="G9081" s="489">
        <v>91.99</v>
      </c>
      <c r="H9081" s="489">
        <v>17.741060000000001</v>
      </c>
      <c r="I9081" s="487" t="s">
        <v>1499</v>
      </c>
      <c r="J9081" s="487" t="s">
        <v>754</v>
      </c>
    </row>
    <row r="9082" spans="1:10" ht="15" x14ac:dyDescent="0.2">
      <c r="A9082" s="486" t="s">
        <v>753</v>
      </c>
      <c r="B9082" s="487" t="s">
        <v>752</v>
      </c>
      <c r="C9082" s="488" t="s">
        <v>28143</v>
      </c>
      <c r="D9082" s="489" t="s">
        <v>28144</v>
      </c>
      <c r="E9082" s="487" t="s">
        <v>6142</v>
      </c>
      <c r="F9082" s="490">
        <v>10295</v>
      </c>
      <c r="G9082" s="489">
        <v>238.73</v>
      </c>
      <c r="H9082" s="489">
        <v>43.124029999999998</v>
      </c>
      <c r="I9082" s="487" t="s">
        <v>1499</v>
      </c>
      <c r="J9082" s="487" t="s">
        <v>754</v>
      </c>
    </row>
    <row r="9083" spans="1:10" ht="15" x14ac:dyDescent="0.2">
      <c r="A9083" s="486" t="s">
        <v>753</v>
      </c>
      <c r="B9083" s="487" t="s">
        <v>752</v>
      </c>
      <c r="C9083" s="488" t="s">
        <v>28145</v>
      </c>
      <c r="D9083" s="489" t="s">
        <v>28146</v>
      </c>
      <c r="E9083" s="487" t="s">
        <v>28147</v>
      </c>
      <c r="F9083" s="490">
        <v>0</v>
      </c>
      <c r="G9083" s="489">
        <v>0</v>
      </c>
      <c r="H9083" s="489">
        <v>0</v>
      </c>
      <c r="I9083" s="487" t="s">
        <v>2465</v>
      </c>
      <c r="J9083" s="487" t="s">
        <v>754</v>
      </c>
    </row>
    <row r="9084" spans="1:10" ht="15" x14ac:dyDescent="0.2">
      <c r="A9084" s="486" t="s">
        <v>753</v>
      </c>
      <c r="B9084" s="487" t="s">
        <v>752</v>
      </c>
      <c r="C9084" s="488" t="s">
        <v>28148</v>
      </c>
      <c r="D9084" s="489" t="s">
        <v>28149</v>
      </c>
      <c r="E9084" s="487" t="s">
        <v>28150</v>
      </c>
      <c r="F9084" s="490">
        <v>7100</v>
      </c>
      <c r="G9084" s="489">
        <v>190.34</v>
      </c>
      <c r="H9084" s="489">
        <v>37.301670000000001</v>
      </c>
      <c r="I9084" s="487" t="s">
        <v>1499</v>
      </c>
      <c r="J9084" s="487" t="s">
        <v>754</v>
      </c>
    </row>
    <row r="9085" spans="1:10" ht="15" x14ac:dyDescent="0.2">
      <c r="A9085" s="486" t="s">
        <v>753</v>
      </c>
      <c r="B9085" s="487" t="s">
        <v>752</v>
      </c>
      <c r="C9085" s="488" t="s">
        <v>28151</v>
      </c>
      <c r="D9085" s="489" t="s">
        <v>28152</v>
      </c>
      <c r="E9085" s="487" t="s">
        <v>28153</v>
      </c>
      <c r="F9085" s="490">
        <v>12010</v>
      </c>
      <c r="G9085" s="489">
        <v>351.12</v>
      </c>
      <c r="H9085" s="489">
        <v>34.204830000000001</v>
      </c>
      <c r="I9085" s="487" t="s">
        <v>1499</v>
      </c>
      <c r="J9085" s="487" t="s">
        <v>754</v>
      </c>
    </row>
    <row r="9086" spans="1:10" ht="15" x14ac:dyDescent="0.2">
      <c r="A9086" s="486" t="s">
        <v>753</v>
      </c>
      <c r="B9086" s="487" t="s">
        <v>752</v>
      </c>
      <c r="C9086" s="488" t="s">
        <v>28154</v>
      </c>
      <c r="D9086" s="489" t="s">
        <v>28155</v>
      </c>
      <c r="E9086" s="487" t="s">
        <v>28156</v>
      </c>
      <c r="F9086" s="490">
        <v>8500</v>
      </c>
      <c r="G9086" s="489">
        <v>118.61</v>
      </c>
      <c r="H9086" s="489">
        <v>71.663430000000005</v>
      </c>
      <c r="I9086" s="487" t="s">
        <v>1499</v>
      </c>
      <c r="J9086" s="487" t="s">
        <v>754</v>
      </c>
    </row>
    <row r="9087" spans="1:10" ht="15" x14ac:dyDescent="0.2">
      <c r="A9087" s="486" t="s">
        <v>753</v>
      </c>
      <c r="B9087" s="487" t="s">
        <v>752</v>
      </c>
      <c r="C9087" s="488" t="s">
        <v>28157</v>
      </c>
      <c r="D9087" s="489" t="s">
        <v>28158</v>
      </c>
      <c r="E9087" s="487" t="s">
        <v>28159</v>
      </c>
      <c r="F9087" s="490">
        <v>8987</v>
      </c>
      <c r="G9087" s="489">
        <v>155.83000000000001</v>
      </c>
      <c r="H9087" s="489">
        <v>57.671819999999997</v>
      </c>
      <c r="I9087" s="487" t="s">
        <v>1499</v>
      </c>
      <c r="J9087" s="487" t="s">
        <v>754</v>
      </c>
    </row>
    <row r="9088" spans="1:10" ht="15" x14ac:dyDescent="0.2">
      <c r="A9088" s="486" t="s">
        <v>753</v>
      </c>
      <c r="B9088" s="487" t="s">
        <v>752</v>
      </c>
      <c r="C9088" s="488" t="s">
        <v>28160</v>
      </c>
      <c r="D9088" s="489" t="s">
        <v>28161</v>
      </c>
      <c r="E9088" s="487" t="s">
        <v>28162</v>
      </c>
      <c r="F9088" s="490">
        <v>0</v>
      </c>
      <c r="G9088" s="489">
        <v>0</v>
      </c>
      <c r="H9088" s="489">
        <v>0</v>
      </c>
      <c r="I9088" s="487" t="s">
        <v>2465</v>
      </c>
      <c r="J9088" s="487" t="s">
        <v>754</v>
      </c>
    </row>
    <row r="9089" spans="1:10" ht="15" x14ac:dyDescent="0.2">
      <c r="A9089" s="486" t="s">
        <v>753</v>
      </c>
      <c r="B9089" s="487" t="s">
        <v>752</v>
      </c>
      <c r="C9089" s="488" t="s">
        <v>28163</v>
      </c>
      <c r="D9089" s="489" t="s">
        <v>28164</v>
      </c>
      <c r="E9089" s="487" t="s">
        <v>28165</v>
      </c>
      <c r="F9089" s="490">
        <v>6222</v>
      </c>
      <c r="G9089" s="489">
        <v>340.72</v>
      </c>
      <c r="H9089" s="489">
        <v>18.261330000000001</v>
      </c>
      <c r="I9089" s="487" t="s">
        <v>1499</v>
      </c>
      <c r="J9089" s="487" t="s">
        <v>754</v>
      </c>
    </row>
    <row r="9090" spans="1:10" ht="15" x14ac:dyDescent="0.2">
      <c r="A9090" s="486" t="s">
        <v>753</v>
      </c>
      <c r="B9090" s="487" t="s">
        <v>752</v>
      </c>
      <c r="C9090" s="488" t="s">
        <v>28166</v>
      </c>
      <c r="D9090" s="489" t="s">
        <v>28167</v>
      </c>
      <c r="E9090" s="487" t="s">
        <v>19192</v>
      </c>
      <c r="F9090" s="490">
        <v>29106</v>
      </c>
      <c r="G9090" s="489">
        <v>1732.41</v>
      </c>
      <c r="H9090" s="489">
        <v>16.80087</v>
      </c>
      <c r="I9090" s="487" t="s">
        <v>1499</v>
      </c>
      <c r="J9090" s="487" t="s">
        <v>754</v>
      </c>
    </row>
    <row r="9091" spans="1:10" ht="15" x14ac:dyDescent="0.2">
      <c r="A9091" s="486" t="s">
        <v>753</v>
      </c>
      <c r="B9091" s="487" t="s">
        <v>752</v>
      </c>
      <c r="C9091" s="488" t="s">
        <v>28168</v>
      </c>
      <c r="D9091" s="489" t="s">
        <v>28169</v>
      </c>
      <c r="E9091" s="487" t="s">
        <v>28170</v>
      </c>
      <c r="F9091" s="490">
        <v>284595</v>
      </c>
      <c r="G9091" s="489">
        <v>3354.62</v>
      </c>
      <c r="H9091" s="489">
        <v>84.836730000000003</v>
      </c>
      <c r="I9091" s="487" t="s">
        <v>1499</v>
      </c>
      <c r="J9091" s="487" t="s">
        <v>754</v>
      </c>
    </row>
    <row r="9092" spans="1:10" ht="15" x14ac:dyDescent="0.2">
      <c r="A9092" s="486" t="s">
        <v>753</v>
      </c>
      <c r="B9092" s="487" t="s">
        <v>752</v>
      </c>
      <c r="C9092" s="488" t="s">
        <v>28171</v>
      </c>
      <c r="D9092" s="489" t="s">
        <v>28172</v>
      </c>
      <c r="E9092" s="487" t="s">
        <v>28173</v>
      </c>
      <c r="F9092" s="490">
        <v>8350</v>
      </c>
      <c r="G9092" s="489">
        <v>146.38999999999999</v>
      </c>
      <c r="H9092" s="489">
        <v>57.03942</v>
      </c>
      <c r="I9092" s="487" t="s">
        <v>1499</v>
      </c>
      <c r="J9092" s="487" t="s">
        <v>754</v>
      </c>
    </row>
    <row r="9093" spans="1:10" ht="15" x14ac:dyDescent="0.2">
      <c r="A9093" s="486" t="s">
        <v>753</v>
      </c>
      <c r="B9093" s="487" t="s">
        <v>752</v>
      </c>
      <c r="C9093" s="488" t="s">
        <v>28174</v>
      </c>
      <c r="D9093" s="489" t="s">
        <v>28175</v>
      </c>
      <c r="E9093" s="487" t="s">
        <v>28176</v>
      </c>
      <c r="F9093" s="490">
        <v>13673</v>
      </c>
      <c r="G9093" s="489">
        <v>280.93</v>
      </c>
      <c r="H9093" s="489">
        <v>48.670490000000001</v>
      </c>
      <c r="I9093" s="487" t="s">
        <v>1499</v>
      </c>
      <c r="J9093" s="487" t="s">
        <v>754</v>
      </c>
    </row>
    <row r="9094" spans="1:10" ht="15" x14ac:dyDescent="0.2">
      <c r="A9094" s="486" t="s">
        <v>753</v>
      </c>
      <c r="B9094" s="487" t="s">
        <v>752</v>
      </c>
      <c r="C9094" s="488" t="s">
        <v>28177</v>
      </c>
      <c r="D9094" s="489" t="s">
        <v>28178</v>
      </c>
      <c r="E9094" s="487" t="s">
        <v>28179</v>
      </c>
      <c r="F9094" s="490">
        <v>7740</v>
      </c>
      <c r="G9094" s="489">
        <v>134.51</v>
      </c>
      <c r="H9094" s="489">
        <v>57.542189999999998</v>
      </c>
      <c r="I9094" s="487" t="s">
        <v>1499</v>
      </c>
      <c r="J9094" s="487" t="s">
        <v>754</v>
      </c>
    </row>
    <row r="9095" spans="1:10" ht="15" x14ac:dyDescent="0.2">
      <c r="A9095" s="486" t="s">
        <v>753</v>
      </c>
      <c r="B9095" s="487" t="s">
        <v>752</v>
      </c>
      <c r="C9095" s="488" t="s">
        <v>28180</v>
      </c>
      <c r="D9095" s="489" t="s">
        <v>28181</v>
      </c>
      <c r="E9095" s="487" t="s">
        <v>28182</v>
      </c>
      <c r="F9095" s="490">
        <v>12000</v>
      </c>
      <c r="G9095" s="489">
        <v>115.02</v>
      </c>
      <c r="H9095" s="489">
        <v>104.32968</v>
      </c>
      <c r="I9095" s="487" t="s">
        <v>1499</v>
      </c>
      <c r="J9095" s="487" t="s">
        <v>754</v>
      </c>
    </row>
    <row r="9096" spans="1:10" ht="15" x14ac:dyDescent="0.2">
      <c r="A9096" s="486" t="s">
        <v>753</v>
      </c>
      <c r="B9096" s="487" t="s">
        <v>752</v>
      </c>
      <c r="C9096" s="488" t="s">
        <v>28183</v>
      </c>
      <c r="D9096" s="489" t="s">
        <v>28184</v>
      </c>
      <c r="E9096" s="487" t="s">
        <v>28185</v>
      </c>
      <c r="F9096" s="490">
        <v>0</v>
      </c>
      <c r="G9096" s="489">
        <v>0</v>
      </c>
      <c r="H9096" s="489">
        <v>0</v>
      </c>
      <c r="I9096" s="487" t="s">
        <v>2465</v>
      </c>
      <c r="J9096" s="487" t="s">
        <v>754</v>
      </c>
    </row>
    <row r="9097" spans="1:10" ht="15" x14ac:dyDescent="0.2">
      <c r="A9097" s="486" t="s">
        <v>753</v>
      </c>
      <c r="B9097" s="487" t="s">
        <v>752</v>
      </c>
      <c r="C9097" s="488" t="s">
        <v>28186</v>
      </c>
      <c r="D9097" s="489" t="s">
        <v>28187</v>
      </c>
      <c r="E9097" s="487" t="s">
        <v>28188</v>
      </c>
      <c r="F9097" s="490">
        <v>0</v>
      </c>
      <c r="G9097" s="489">
        <v>17.55</v>
      </c>
      <c r="H9097" s="489">
        <v>0</v>
      </c>
      <c r="I9097" s="487" t="s">
        <v>1593</v>
      </c>
      <c r="J9097" s="487" t="s">
        <v>754</v>
      </c>
    </row>
    <row r="9098" spans="1:10" ht="15" x14ac:dyDescent="0.2">
      <c r="A9098" s="486" t="s">
        <v>753</v>
      </c>
      <c r="B9098" s="487" t="s">
        <v>752</v>
      </c>
      <c r="C9098" s="488" t="s">
        <v>28189</v>
      </c>
      <c r="D9098" s="489" t="s">
        <v>28190</v>
      </c>
      <c r="E9098" s="487" t="s">
        <v>28191</v>
      </c>
      <c r="F9098" s="490">
        <v>0</v>
      </c>
      <c r="G9098" s="489">
        <v>60.66</v>
      </c>
      <c r="H9098" s="489">
        <v>0</v>
      </c>
      <c r="I9098" s="487" t="s">
        <v>1593</v>
      </c>
      <c r="J9098" s="487" t="s">
        <v>754</v>
      </c>
    </row>
    <row r="9099" spans="1:10" ht="15" x14ac:dyDescent="0.2">
      <c r="A9099" s="486" t="s">
        <v>753</v>
      </c>
      <c r="B9099" s="487" t="s">
        <v>752</v>
      </c>
      <c r="C9099" s="488" t="s">
        <v>28192</v>
      </c>
      <c r="D9099" s="489" t="s">
        <v>28193</v>
      </c>
      <c r="E9099" s="487" t="s">
        <v>28194</v>
      </c>
      <c r="F9099" s="490">
        <v>3074</v>
      </c>
      <c r="G9099" s="489">
        <v>139.61000000000001</v>
      </c>
      <c r="H9099" s="489">
        <v>22.01848</v>
      </c>
      <c r="I9099" s="487" t="s">
        <v>1499</v>
      </c>
      <c r="J9099" s="487" t="s">
        <v>754</v>
      </c>
    </row>
    <row r="9100" spans="1:10" ht="15" x14ac:dyDescent="0.2">
      <c r="A9100" s="486" t="s">
        <v>753</v>
      </c>
      <c r="B9100" s="487" t="s">
        <v>752</v>
      </c>
      <c r="C9100" s="488" t="s">
        <v>28195</v>
      </c>
      <c r="D9100" s="489" t="s">
        <v>28196</v>
      </c>
      <c r="E9100" s="487" t="s">
        <v>28197</v>
      </c>
      <c r="F9100" s="490">
        <v>188420</v>
      </c>
      <c r="G9100" s="489">
        <v>980.16</v>
      </c>
      <c r="H9100" s="489">
        <v>192.23392000000001</v>
      </c>
      <c r="I9100" s="487" t="s">
        <v>1499</v>
      </c>
      <c r="J9100" s="487" t="s">
        <v>754</v>
      </c>
    </row>
    <row r="9101" spans="1:10" ht="15" x14ac:dyDescent="0.2">
      <c r="A9101" s="486" t="s">
        <v>753</v>
      </c>
      <c r="B9101" s="487" t="s">
        <v>752</v>
      </c>
      <c r="C9101" s="488" t="s">
        <v>28198</v>
      </c>
      <c r="D9101" s="489" t="s">
        <v>28199</v>
      </c>
      <c r="E9101" s="487" t="s">
        <v>28200</v>
      </c>
      <c r="F9101" s="490">
        <v>32846</v>
      </c>
      <c r="G9101" s="489">
        <v>1358.38</v>
      </c>
      <c r="H9101" s="489">
        <v>24.18027</v>
      </c>
      <c r="I9101" s="487" t="s">
        <v>1499</v>
      </c>
      <c r="J9101" s="487" t="s">
        <v>754</v>
      </c>
    </row>
    <row r="9102" spans="1:10" ht="15" x14ac:dyDescent="0.2">
      <c r="A9102" s="486" t="s">
        <v>753</v>
      </c>
      <c r="B9102" s="487" t="s">
        <v>752</v>
      </c>
      <c r="C9102" s="488" t="s">
        <v>28201</v>
      </c>
      <c r="D9102" s="489" t="s">
        <v>28202</v>
      </c>
      <c r="E9102" s="487" t="s">
        <v>28203</v>
      </c>
      <c r="F9102" s="490">
        <v>11231</v>
      </c>
      <c r="G9102" s="489">
        <v>232.97</v>
      </c>
      <c r="H9102" s="489">
        <v>48.207920000000001</v>
      </c>
      <c r="I9102" s="487" t="s">
        <v>2465</v>
      </c>
      <c r="J9102" s="487" t="s">
        <v>754</v>
      </c>
    </row>
    <row r="9103" spans="1:10" ht="15" x14ac:dyDescent="0.2">
      <c r="A9103" s="486" t="s">
        <v>753</v>
      </c>
      <c r="B9103" s="487" t="s">
        <v>752</v>
      </c>
      <c r="C9103" s="488" t="s">
        <v>28204</v>
      </c>
      <c r="D9103" s="489" t="s">
        <v>28205</v>
      </c>
      <c r="E9103" s="487" t="s">
        <v>28206</v>
      </c>
      <c r="F9103" s="490">
        <v>4800</v>
      </c>
      <c r="G9103" s="489">
        <v>121.72</v>
      </c>
      <c r="H9103" s="489">
        <v>39.43477</v>
      </c>
      <c r="I9103" s="487" t="s">
        <v>1499</v>
      </c>
      <c r="J9103" s="487" t="s">
        <v>754</v>
      </c>
    </row>
    <row r="9104" spans="1:10" ht="15" x14ac:dyDescent="0.2">
      <c r="A9104" s="486" t="s">
        <v>753</v>
      </c>
      <c r="B9104" s="487" t="s">
        <v>752</v>
      </c>
      <c r="C9104" s="488" t="s">
        <v>28207</v>
      </c>
      <c r="D9104" s="489" t="s">
        <v>28208</v>
      </c>
      <c r="E9104" s="487" t="s">
        <v>28209</v>
      </c>
      <c r="F9104" s="490">
        <v>0</v>
      </c>
      <c r="G9104" s="489">
        <v>33.39</v>
      </c>
      <c r="H9104" s="489">
        <v>0</v>
      </c>
      <c r="I9104" s="487" t="s">
        <v>1593</v>
      </c>
      <c r="J9104" s="487" t="s">
        <v>754</v>
      </c>
    </row>
    <row r="9105" spans="1:10" ht="15" x14ac:dyDescent="0.2">
      <c r="A9105" s="486" t="s">
        <v>753</v>
      </c>
      <c r="B9105" s="487" t="s">
        <v>752</v>
      </c>
      <c r="C9105" s="488" t="s">
        <v>28210</v>
      </c>
      <c r="D9105" s="489" t="s">
        <v>28211</v>
      </c>
      <c r="E9105" s="487" t="s">
        <v>28212</v>
      </c>
      <c r="F9105" s="490">
        <v>136200</v>
      </c>
      <c r="G9105" s="489">
        <v>2643.52</v>
      </c>
      <c r="H9105" s="489">
        <v>51.522210000000001</v>
      </c>
      <c r="I9105" s="487" t="s">
        <v>1499</v>
      </c>
      <c r="J9105" s="487" t="s">
        <v>754</v>
      </c>
    </row>
    <row r="9106" spans="1:10" ht="15" x14ac:dyDescent="0.2">
      <c r="A9106" s="486" t="s">
        <v>753</v>
      </c>
      <c r="B9106" s="487" t="s">
        <v>752</v>
      </c>
      <c r="C9106" s="488" t="s">
        <v>28213</v>
      </c>
      <c r="D9106" s="489" t="s">
        <v>28214</v>
      </c>
      <c r="E9106" s="487" t="s">
        <v>28215</v>
      </c>
      <c r="F9106" s="490">
        <v>278037</v>
      </c>
      <c r="G9106" s="489">
        <v>1683.63</v>
      </c>
      <c r="H9106" s="489">
        <v>165.14139</v>
      </c>
      <c r="I9106" s="487" t="s">
        <v>1499</v>
      </c>
      <c r="J9106" s="487" t="s">
        <v>754</v>
      </c>
    </row>
    <row r="9107" spans="1:10" ht="15" x14ac:dyDescent="0.2">
      <c r="A9107" s="486" t="s">
        <v>753</v>
      </c>
      <c r="B9107" s="487" t="s">
        <v>752</v>
      </c>
      <c r="C9107" s="488" t="s">
        <v>28216</v>
      </c>
      <c r="D9107" s="489" t="s">
        <v>28217</v>
      </c>
      <c r="E9107" s="487" t="s">
        <v>28218</v>
      </c>
      <c r="F9107" s="490">
        <v>9000</v>
      </c>
      <c r="G9107" s="489">
        <v>132.84</v>
      </c>
      <c r="H9107" s="489">
        <v>67.750680000000003</v>
      </c>
      <c r="I9107" s="487" t="s">
        <v>1499</v>
      </c>
      <c r="J9107" s="487" t="s">
        <v>754</v>
      </c>
    </row>
    <row r="9108" spans="1:10" ht="15" x14ac:dyDescent="0.2">
      <c r="A9108" s="486" t="s">
        <v>753</v>
      </c>
      <c r="B9108" s="487" t="s">
        <v>752</v>
      </c>
      <c r="C9108" s="488" t="s">
        <v>28219</v>
      </c>
      <c r="D9108" s="489" t="s">
        <v>28220</v>
      </c>
      <c r="E9108" s="487" t="s">
        <v>28221</v>
      </c>
      <c r="F9108" s="490">
        <v>10100</v>
      </c>
      <c r="G9108" s="489">
        <v>181.67</v>
      </c>
      <c r="H9108" s="489">
        <v>55.595309999999998</v>
      </c>
      <c r="I9108" s="487" t="s">
        <v>2465</v>
      </c>
      <c r="J9108" s="487" t="s">
        <v>754</v>
      </c>
    </row>
    <row r="9109" spans="1:10" ht="15" x14ac:dyDescent="0.2">
      <c r="A9109" s="486" t="s">
        <v>753</v>
      </c>
      <c r="B9109" s="487" t="s">
        <v>752</v>
      </c>
      <c r="C9109" s="488" t="s">
        <v>28222</v>
      </c>
      <c r="D9109" s="489" t="s">
        <v>28223</v>
      </c>
      <c r="E9109" s="487" t="s">
        <v>28224</v>
      </c>
      <c r="F9109" s="490">
        <v>0</v>
      </c>
      <c r="G9109" s="489">
        <v>0</v>
      </c>
      <c r="H9109" s="489">
        <v>0</v>
      </c>
      <c r="I9109" s="487" t="s">
        <v>2465</v>
      </c>
      <c r="J9109" s="487" t="s">
        <v>754</v>
      </c>
    </row>
    <row r="9110" spans="1:10" ht="15" x14ac:dyDescent="0.2">
      <c r="A9110" s="486" t="s">
        <v>753</v>
      </c>
      <c r="B9110" s="487" t="s">
        <v>752</v>
      </c>
      <c r="C9110" s="488" t="s">
        <v>28225</v>
      </c>
      <c r="D9110" s="489" t="s">
        <v>28226</v>
      </c>
      <c r="E9110" s="487" t="s">
        <v>28227</v>
      </c>
      <c r="F9110" s="490">
        <v>6500</v>
      </c>
      <c r="G9110" s="489">
        <v>99.88</v>
      </c>
      <c r="H9110" s="489">
        <v>65.078090000000003</v>
      </c>
      <c r="I9110" s="487" t="s">
        <v>1499</v>
      </c>
      <c r="J9110" s="487" t="s">
        <v>754</v>
      </c>
    </row>
    <row r="9111" spans="1:10" ht="15" x14ac:dyDescent="0.2">
      <c r="A9111" s="486" t="s">
        <v>753</v>
      </c>
      <c r="B9111" s="487" t="s">
        <v>752</v>
      </c>
      <c r="C9111" s="488" t="s">
        <v>28228</v>
      </c>
      <c r="D9111" s="489" t="s">
        <v>28229</v>
      </c>
      <c r="E9111" s="487" t="s">
        <v>28230</v>
      </c>
      <c r="F9111" s="490">
        <v>2500</v>
      </c>
      <c r="G9111" s="489">
        <v>108.39</v>
      </c>
      <c r="H9111" s="489">
        <v>23.064859999999999</v>
      </c>
      <c r="I9111" s="487" t="s">
        <v>1499</v>
      </c>
      <c r="J9111" s="487" t="s">
        <v>754</v>
      </c>
    </row>
    <row r="9112" spans="1:10" ht="15" x14ac:dyDescent="0.2">
      <c r="A9112" s="486" t="s">
        <v>753</v>
      </c>
      <c r="B9112" s="487" t="s">
        <v>752</v>
      </c>
      <c r="C9112" s="488" t="s">
        <v>28231</v>
      </c>
      <c r="D9112" s="489" t="s">
        <v>28232</v>
      </c>
      <c r="E9112" s="487" t="s">
        <v>28233</v>
      </c>
      <c r="F9112" s="490">
        <v>15038</v>
      </c>
      <c r="G9112" s="489">
        <v>378.44</v>
      </c>
      <c r="H9112" s="489">
        <v>39.736809999999998</v>
      </c>
      <c r="I9112" s="487" t="s">
        <v>1499</v>
      </c>
      <c r="J9112" s="487" t="s">
        <v>754</v>
      </c>
    </row>
    <row r="9113" spans="1:10" ht="15" x14ac:dyDescent="0.2">
      <c r="A9113" s="486" t="s">
        <v>753</v>
      </c>
      <c r="B9113" s="487" t="s">
        <v>752</v>
      </c>
      <c r="C9113" s="488" t="s">
        <v>28234</v>
      </c>
      <c r="D9113" s="489" t="s">
        <v>28235</v>
      </c>
      <c r="E9113" s="487" t="s">
        <v>28236</v>
      </c>
      <c r="F9113" s="490">
        <v>4454</v>
      </c>
      <c r="G9113" s="489">
        <v>170.22</v>
      </c>
      <c r="H9113" s="489">
        <v>26.166139999999999</v>
      </c>
      <c r="I9113" s="487" t="s">
        <v>1499</v>
      </c>
      <c r="J9113" s="487" t="s">
        <v>754</v>
      </c>
    </row>
    <row r="9114" spans="1:10" ht="15" x14ac:dyDescent="0.2">
      <c r="A9114" s="486" t="s">
        <v>753</v>
      </c>
      <c r="B9114" s="487" t="s">
        <v>752</v>
      </c>
      <c r="C9114" s="488" t="s">
        <v>28237</v>
      </c>
      <c r="D9114" s="489" t="s">
        <v>28238</v>
      </c>
      <c r="E9114" s="487" t="s">
        <v>28239</v>
      </c>
      <c r="F9114" s="490">
        <v>0</v>
      </c>
      <c r="G9114" s="489">
        <v>0</v>
      </c>
      <c r="H9114" s="489">
        <v>0</v>
      </c>
      <c r="I9114" s="487" t="s">
        <v>2465</v>
      </c>
      <c r="J9114" s="487" t="s">
        <v>754</v>
      </c>
    </row>
    <row r="9115" spans="1:10" ht="15" x14ac:dyDescent="0.2">
      <c r="A9115" s="486" t="s">
        <v>753</v>
      </c>
      <c r="B9115" s="487" t="s">
        <v>752</v>
      </c>
      <c r="C9115" s="488" t="s">
        <v>28240</v>
      </c>
      <c r="D9115" s="489" t="s">
        <v>28241</v>
      </c>
      <c r="E9115" s="487" t="s">
        <v>28242</v>
      </c>
      <c r="F9115" s="490">
        <v>0</v>
      </c>
      <c r="G9115" s="489">
        <v>0</v>
      </c>
      <c r="H9115" s="489">
        <v>0</v>
      </c>
      <c r="I9115" s="487" t="s">
        <v>2465</v>
      </c>
      <c r="J9115" s="487" t="s">
        <v>754</v>
      </c>
    </row>
    <row r="9116" spans="1:10" ht="15" x14ac:dyDescent="0.2">
      <c r="A9116" s="486" t="s">
        <v>753</v>
      </c>
      <c r="B9116" s="487" t="s">
        <v>752</v>
      </c>
      <c r="C9116" s="488" t="s">
        <v>28243</v>
      </c>
      <c r="D9116" s="489" t="s">
        <v>28244</v>
      </c>
      <c r="E9116" s="487" t="s">
        <v>28245</v>
      </c>
      <c r="F9116" s="490">
        <v>0</v>
      </c>
      <c r="G9116" s="489">
        <v>0</v>
      </c>
      <c r="H9116" s="489">
        <v>0</v>
      </c>
      <c r="I9116" s="487" t="s">
        <v>2465</v>
      </c>
      <c r="J9116" s="487" t="s">
        <v>754</v>
      </c>
    </row>
    <row r="9117" spans="1:10" ht="15" x14ac:dyDescent="0.2">
      <c r="A9117" s="486" t="s">
        <v>753</v>
      </c>
      <c r="B9117" s="487" t="s">
        <v>752</v>
      </c>
      <c r="C9117" s="488" t="s">
        <v>28246</v>
      </c>
      <c r="D9117" s="489" t="s">
        <v>28247</v>
      </c>
      <c r="E9117" s="487" t="s">
        <v>28248</v>
      </c>
      <c r="F9117" s="490">
        <v>176651</v>
      </c>
      <c r="G9117" s="489">
        <v>1611.93</v>
      </c>
      <c r="H9117" s="489">
        <v>109.58975</v>
      </c>
      <c r="I9117" s="487" t="s">
        <v>1499</v>
      </c>
      <c r="J9117" s="487" t="s">
        <v>754</v>
      </c>
    </row>
    <row r="9118" spans="1:10" ht="15" x14ac:dyDescent="0.2">
      <c r="A9118" s="486" t="s">
        <v>753</v>
      </c>
      <c r="B9118" s="487" t="s">
        <v>752</v>
      </c>
      <c r="C9118" s="488" t="s">
        <v>28249</v>
      </c>
      <c r="D9118" s="489" t="s">
        <v>28250</v>
      </c>
      <c r="E9118" s="487" t="s">
        <v>28251</v>
      </c>
      <c r="F9118" s="490">
        <v>5000</v>
      </c>
      <c r="G9118" s="489">
        <v>89.92</v>
      </c>
      <c r="H9118" s="489">
        <v>55.604979999999998</v>
      </c>
      <c r="I9118" s="487" t="s">
        <v>1499</v>
      </c>
      <c r="J9118" s="487" t="s">
        <v>754</v>
      </c>
    </row>
    <row r="9119" spans="1:10" ht="15" x14ac:dyDescent="0.2">
      <c r="A9119" s="486" t="s">
        <v>753</v>
      </c>
      <c r="B9119" s="487" t="s">
        <v>752</v>
      </c>
      <c r="C9119" s="488" t="s">
        <v>28252</v>
      </c>
      <c r="D9119" s="489" t="s">
        <v>28253</v>
      </c>
      <c r="E9119" s="487" t="s">
        <v>28254</v>
      </c>
      <c r="F9119" s="490">
        <v>3000</v>
      </c>
      <c r="G9119" s="489">
        <v>120.21</v>
      </c>
      <c r="H9119" s="489">
        <v>24.956330000000001</v>
      </c>
      <c r="I9119" s="487" t="s">
        <v>1499</v>
      </c>
      <c r="J9119" s="487" t="s">
        <v>754</v>
      </c>
    </row>
    <row r="9120" spans="1:10" ht="15" x14ac:dyDescent="0.2">
      <c r="A9120" s="486" t="s">
        <v>753</v>
      </c>
      <c r="B9120" s="487" t="s">
        <v>752</v>
      </c>
      <c r="C9120" s="488" t="s">
        <v>28255</v>
      </c>
      <c r="D9120" s="489" t="s">
        <v>28256</v>
      </c>
      <c r="E9120" s="487" t="s">
        <v>28257</v>
      </c>
      <c r="F9120" s="490">
        <v>0</v>
      </c>
      <c r="G9120" s="489">
        <v>0</v>
      </c>
      <c r="H9120" s="489">
        <v>0</v>
      </c>
      <c r="I9120" s="487" t="s">
        <v>2465</v>
      </c>
      <c r="J9120" s="487" t="s">
        <v>754</v>
      </c>
    </row>
    <row r="9121" spans="1:10" ht="15" x14ac:dyDescent="0.2">
      <c r="A9121" s="486" t="s">
        <v>753</v>
      </c>
      <c r="B9121" s="487" t="s">
        <v>752</v>
      </c>
      <c r="C9121" s="488" t="s">
        <v>28258</v>
      </c>
      <c r="D9121" s="489" t="s">
        <v>28259</v>
      </c>
      <c r="E9121" s="487" t="s">
        <v>28260</v>
      </c>
      <c r="F9121" s="490">
        <v>2463</v>
      </c>
      <c r="G9121" s="489">
        <v>95.62</v>
      </c>
      <c r="H9121" s="489">
        <v>25.758209999999998</v>
      </c>
      <c r="I9121" s="487" t="s">
        <v>1499</v>
      </c>
      <c r="J9121" s="487" t="s">
        <v>754</v>
      </c>
    </row>
    <row r="9122" spans="1:10" ht="15" x14ac:dyDescent="0.2">
      <c r="A9122" s="486" t="s">
        <v>753</v>
      </c>
      <c r="B9122" s="487" t="s">
        <v>752</v>
      </c>
      <c r="C9122" s="488" t="s">
        <v>28261</v>
      </c>
      <c r="D9122" s="489" t="s">
        <v>28262</v>
      </c>
      <c r="E9122" s="487" t="s">
        <v>28263</v>
      </c>
      <c r="F9122" s="490">
        <v>0</v>
      </c>
      <c r="G9122" s="489">
        <v>20.14</v>
      </c>
      <c r="H9122" s="489">
        <v>0</v>
      </c>
      <c r="I9122" s="487" t="s">
        <v>1593</v>
      </c>
      <c r="J9122" s="487" t="s">
        <v>754</v>
      </c>
    </row>
    <row r="9123" spans="1:10" ht="15" x14ac:dyDescent="0.2">
      <c r="A9123" s="486" t="s">
        <v>753</v>
      </c>
      <c r="B9123" s="487" t="s">
        <v>752</v>
      </c>
      <c r="C9123" s="488" t="s">
        <v>28264</v>
      </c>
      <c r="D9123" s="489" t="s">
        <v>28265</v>
      </c>
      <c r="E9123" s="487" t="s">
        <v>28266</v>
      </c>
      <c r="F9123" s="490">
        <v>0</v>
      </c>
      <c r="G9123" s="489">
        <v>62.65</v>
      </c>
      <c r="H9123" s="489">
        <v>0</v>
      </c>
      <c r="I9123" s="487" t="s">
        <v>1593</v>
      </c>
      <c r="J9123" s="487" t="s">
        <v>754</v>
      </c>
    </row>
    <row r="9124" spans="1:10" ht="15" x14ac:dyDescent="0.2">
      <c r="A9124" s="486" t="s">
        <v>753</v>
      </c>
      <c r="B9124" s="487" t="s">
        <v>752</v>
      </c>
      <c r="C9124" s="488" t="s">
        <v>28267</v>
      </c>
      <c r="D9124" s="489" t="s">
        <v>28268</v>
      </c>
      <c r="E9124" s="487" t="s">
        <v>28269</v>
      </c>
      <c r="F9124" s="490">
        <v>804</v>
      </c>
      <c r="G9124" s="489">
        <v>74.83</v>
      </c>
      <c r="H9124" s="489">
        <v>10.744350000000001</v>
      </c>
      <c r="I9124" s="487" t="s">
        <v>1499</v>
      </c>
      <c r="J9124" s="487" t="s">
        <v>754</v>
      </c>
    </row>
    <row r="9125" spans="1:10" ht="15" x14ac:dyDescent="0.2">
      <c r="A9125" s="486" t="s">
        <v>753</v>
      </c>
      <c r="B9125" s="487" t="s">
        <v>752</v>
      </c>
      <c r="C9125" s="488" t="s">
        <v>28270</v>
      </c>
      <c r="D9125" s="489" t="s">
        <v>28271</v>
      </c>
      <c r="E9125" s="487" t="s">
        <v>28272</v>
      </c>
      <c r="F9125" s="490">
        <v>0</v>
      </c>
      <c r="G9125" s="489">
        <v>0</v>
      </c>
      <c r="H9125" s="489">
        <v>0</v>
      </c>
      <c r="I9125" s="487" t="s">
        <v>2465</v>
      </c>
      <c r="J9125" s="487" t="s">
        <v>754</v>
      </c>
    </row>
    <row r="9126" spans="1:10" ht="15" x14ac:dyDescent="0.2">
      <c r="A9126" s="486" t="s">
        <v>753</v>
      </c>
      <c r="B9126" s="487" t="s">
        <v>752</v>
      </c>
      <c r="C9126" s="488" t="s">
        <v>28273</v>
      </c>
      <c r="D9126" s="489" t="s">
        <v>28274</v>
      </c>
      <c r="E9126" s="487" t="s">
        <v>28275</v>
      </c>
      <c r="F9126" s="490">
        <v>7000</v>
      </c>
      <c r="G9126" s="489">
        <v>61.08</v>
      </c>
      <c r="H9126" s="489">
        <v>114.60380000000001</v>
      </c>
      <c r="I9126" s="487" t="s">
        <v>1499</v>
      </c>
      <c r="J9126" s="487" t="s">
        <v>754</v>
      </c>
    </row>
    <row r="9127" spans="1:10" ht="15" x14ac:dyDescent="0.2">
      <c r="A9127" s="486" t="s">
        <v>753</v>
      </c>
      <c r="B9127" s="487" t="s">
        <v>752</v>
      </c>
      <c r="C9127" s="488" t="s">
        <v>28276</v>
      </c>
      <c r="D9127" s="489" t="s">
        <v>28277</v>
      </c>
      <c r="E9127" s="487" t="s">
        <v>28278</v>
      </c>
      <c r="F9127" s="490">
        <v>0</v>
      </c>
      <c r="G9127" s="489">
        <v>0</v>
      </c>
      <c r="H9127" s="489">
        <v>0</v>
      </c>
      <c r="I9127" s="487" t="s">
        <v>2465</v>
      </c>
      <c r="J9127" s="487" t="s">
        <v>754</v>
      </c>
    </row>
    <row r="9128" spans="1:10" ht="15" x14ac:dyDescent="0.2">
      <c r="A9128" s="486" t="s">
        <v>753</v>
      </c>
      <c r="B9128" s="487" t="s">
        <v>752</v>
      </c>
      <c r="C9128" s="488" t="s">
        <v>28279</v>
      </c>
      <c r="D9128" s="489" t="s">
        <v>28280</v>
      </c>
      <c r="E9128" s="487" t="s">
        <v>28281</v>
      </c>
      <c r="F9128" s="490">
        <v>0</v>
      </c>
      <c r="G9128" s="489">
        <v>0</v>
      </c>
      <c r="H9128" s="489">
        <v>0</v>
      </c>
      <c r="I9128" s="487" t="s">
        <v>2465</v>
      </c>
      <c r="J9128" s="487" t="s">
        <v>754</v>
      </c>
    </row>
    <row r="9129" spans="1:10" ht="15" x14ac:dyDescent="0.2">
      <c r="A9129" s="486" t="s">
        <v>753</v>
      </c>
      <c r="B9129" s="487" t="s">
        <v>752</v>
      </c>
      <c r="C9129" s="488" t="s">
        <v>28282</v>
      </c>
      <c r="D9129" s="489" t="s">
        <v>28283</v>
      </c>
      <c r="E9129" s="487" t="s">
        <v>28284</v>
      </c>
      <c r="F9129" s="490">
        <v>0</v>
      </c>
      <c r="G9129" s="489">
        <v>0</v>
      </c>
      <c r="H9129" s="489">
        <v>0</v>
      </c>
      <c r="I9129" s="487" t="s">
        <v>2465</v>
      </c>
      <c r="J9129" s="487" t="s">
        <v>754</v>
      </c>
    </row>
    <row r="9130" spans="1:10" ht="15" x14ac:dyDescent="0.2">
      <c r="A9130" s="486" t="s">
        <v>753</v>
      </c>
      <c r="B9130" s="487" t="s">
        <v>752</v>
      </c>
      <c r="C9130" s="488" t="s">
        <v>28285</v>
      </c>
      <c r="D9130" s="489" t="s">
        <v>28286</v>
      </c>
      <c r="E9130" s="487" t="s">
        <v>28287</v>
      </c>
      <c r="F9130" s="490">
        <v>0</v>
      </c>
      <c r="G9130" s="489">
        <v>0</v>
      </c>
      <c r="H9130" s="489">
        <v>0</v>
      </c>
      <c r="I9130" s="487" t="s">
        <v>2465</v>
      </c>
      <c r="J9130" s="487" t="s">
        <v>754</v>
      </c>
    </row>
    <row r="9131" spans="1:10" ht="15" x14ac:dyDescent="0.2">
      <c r="A9131" s="486" t="s">
        <v>753</v>
      </c>
      <c r="B9131" s="487" t="s">
        <v>752</v>
      </c>
      <c r="C9131" s="488" t="s">
        <v>28288</v>
      </c>
      <c r="D9131" s="489" t="s">
        <v>28289</v>
      </c>
      <c r="E9131" s="487" t="s">
        <v>28290</v>
      </c>
      <c r="F9131" s="490">
        <v>0</v>
      </c>
      <c r="G9131" s="489">
        <v>0</v>
      </c>
      <c r="H9131" s="489">
        <v>0</v>
      </c>
      <c r="I9131" s="487" t="s">
        <v>2465</v>
      </c>
      <c r="J9131" s="487" t="s">
        <v>754</v>
      </c>
    </row>
    <row r="9132" spans="1:10" ht="15" x14ac:dyDescent="0.2">
      <c r="A9132" s="486" t="s">
        <v>753</v>
      </c>
      <c r="B9132" s="487" t="s">
        <v>752</v>
      </c>
      <c r="C9132" s="488" t="s">
        <v>28291</v>
      </c>
      <c r="D9132" s="489" t="s">
        <v>28292</v>
      </c>
      <c r="E9132" s="487" t="s">
        <v>28293</v>
      </c>
      <c r="F9132" s="490">
        <v>5576</v>
      </c>
      <c r="G9132" s="489">
        <v>225.91</v>
      </c>
      <c r="H9132" s="489">
        <v>24.682400000000001</v>
      </c>
      <c r="I9132" s="487" t="s">
        <v>1499</v>
      </c>
      <c r="J9132" s="487" t="s">
        <v>754</v>
      </c>
    </row>
    <row r="9133" spans="1:10" ht="15" x14ac:dyDescent="0.2">
      <c r="A9133" s="486" t="s">
        <v>753</v>
      </c>
      <c r="B9133" s="487" t="s">
        <v>752</v>
      </c>
      <c r="C9133" s="488" t="s">
        <v>28294</v>
      </c>
      <c r="D9133" s="489" t="s">
        <v>28295</v>
      </c>
      <c r="E9133" s="487" t="s">
        <v>1263</v>
      </c>
      <c r="F9133" s="490">
        <v>4327</v>
      </c>
      <c r="G9133" s="489">
        <v>158.13999999999999</v>
      </c>
      <c r="H9133" s="489">
        <v>27.361830000000001</v>
      </c>
      <c r="I9133" s="487" t="s">
        <v>1499</v>
      </c>
      <c r="J9133" s="487" t="s">
        <v>754</v>
      </c>
    </row>
    <row r="9134" spans="1:10" ht="15" x14ac:dyDescent="0.2">
      <c r="A9134" s="486" t="s">
        <v>753</v>
      </c>
      <c r="B9134" s="487" t="s">
        <v>752</v>
      </c>
      <c r="C9134" s="488" t="s">
        <v>28296</v>
      </c>
      <c r="D9134" s="489" t="s">
        <v>28297</v>
      </c>
      <c r="E9134" s="487" t="s">
        <v>28298</v>
      </c>
      <c r="F9134" s="490">
        <v>13000</v>
      </c>
      <c r="G9134" s="489">
        <v>331.19</v>
      </c>
      <c r="H9134" s="489">
        <v>39.252389999999998</v>
      </c>
      <c r="I9134" s="487" t="s">
        <v>1499</v>
      </c>
      <c r="J9134" s="487" t="s">
        <v>754</v>
      </c>
    </row>
    <row r="9135" spans="1:10" ht="15" x14ac:dyDescent="0.2">
      <c r="A9135" s="486" t="s">
        <v>753</v>
      </c>
      <c r="B9135" s="487" t="s">
        <v>752</v>
      </c>
      <c r="C9135" s="488" t="s">
        <v>28299</v>
      </c>
      <c r="D9135" s="489" t="s">
        <v>28300</v>
      </c>
      <c r="E9135" s="487" t="s">
        <v>28301</v>
      </c>
      <c r="F9135" s="490">
        <v>17407</v>
      </c>
      <c r="G9135" s="489">
        <v>436.95</v>
      </c>
      <c r="H9135" s="489">
        <v>39.837510000000002</v>
      </c>
      <c r="I9135" s="487" t="s">
        <v>2465</v>
      </c>
      <c r="J9135" s="487" t="s">
        <v>754</v>
      </c>
    </row>
    <row r="9136" spans="1:10" ht="15" x14ac:dyDescent="0.2">
      <c r="A9136" s="486" t="s">
        <v>753</v>
      </c>
      <c r="B9136" s="487" t="s">
        <v>752</v>
      </c>
      <c r="C9136" s="488" t="s">
        <v>28302</v>
      </c>
      <c r="D9136" s="489" t="s">
        <v>28303</v>
      </c>
      <c r="E9136" s="487" t="s">
        <v>28304</v>
      </c>
      <c r="F9136" s="490">
        <v>10409</v>
      </c>
      <c r="G9136" s="489">
        <v>171.67</v>
      </c>
      <c r="H9136" s="489">
        <v>60.633769999999998</v>
      </c>
      <c r="I9136" s="487" t="s">
        <v>1499</v>
      </c>
      <c r="J9136" s="487" t="s">
        <v>754</v>
      </c>
    </row>
    <row r="9137" spans="1:10" ht="15" x14ac:dyDescent="0.2">
      <c r="A9137" s="486" t="s">
        <v>753</v>
      </c>
      <c r="B9137" s="487" t="s">
        <v>752</v>
      </c>
      <c r="C9137" s="488" t="s">
        <v>28305</v>
      </c>
      <c r="D9137" s="489" t="s">
        <v>28306</v>
      </c>
      <c r="E9137" s="487" t="s">
        <v>28307</v>
      </c>
      <c r="F9137" s="490">
        <v>0</v>
      </c>
      <c r="G9137" s="489">
        <v>0</v>
      </c>
      <c r="H9137" s="489">
        <v>0</v>
      </c>
      <c r="I9137" s="487" t="s">
        <v>2465</v>
      </c>
      <c r="J9137" s="487" t="s">
        <v>754</v>
      </c>
    </row>
    <row r="9138" spans="1:10" ht="15" x14ac:dyDescent="0.2">
      <c r="A9138" s="486" t="s">
        <v>753</v>
      </c>
      <c r="B9138" s="487" t="s">
        <v>752</v>
      </c>
      <c r="C9138" s="488" t="s">
        <v>28308</v>
      </c>
      <c r="D9138" s="489" t="s">
        <v>28309</v>
      </c>
      <c r="E9138" s="487" t="s">
        <v>28310</v>
      </c>
      <c r="F9138" s="490">
        <v>33029</v>
      </c>
      <c r="G9138" s="489">
        <v>868.73</v>
      </c>
      <c r="H9138" s="489">
        <v>38.019869999999997</v>
      </c>
      <c r="I9138" s="487" t="s">
        <v>1499</v>
      </c>
      <c r="J9138" s="487" t="s">
        <v>754</v>
      </c>
    </row>
    <row r="9139" spans="1:10" ht="15" x14ac:dyDescent="0.2">
      <c r="A9139" s="486" t="s">
        <v>753</v>
      </c>
      <c r="B9139" s="487" t="s">
        <v>752</v>
      </c>
      <c r="C9139" s="488" t="s">
        <v>28311</v>
      </c>
      <c r="D9139" s="489" t="s">
        <v>28312</v>
      </c>
      <c r="E9139" s="487" t="s">
        <v>28313</v>
      </c>
      <c r="F9139" s="490">
        <v>58000</v>
      </c>
      <c r="G9139" s="489">
        <v>1287.83</v>
      </c>
      <c r="H9139" s="489">
        <v>45.036999999999999</v>
      </c>
      <c r="I9139" s="487" t="s">
        <v>1499</v>
      </c>
      <c r="J9139" s="487" t="s">
        <v>754</v>
      </c>
    </row>
    <row r="9140" spans="1:10" ht="15" x14ac:dyDescent="0.2">
      <c r="A9140" s="486" t="s">
        <v>753</v>
      </c>
      <c r="B9140" s="487" t="s">
        <v>752</v>
      </c>
      <c r="C9140" s="488" t="s">
        <v>28314</v>
      </c>
      <c r="D9140" s="489" t="s">
        <v>28315</v>
      </c>
      <c r="E9140" s="487" t="s">
        <v>28316</v>
      </c>
      <c r="F9140" s="490">
        <v>6750</v>
      </c>
      <c r="G9140" s="489">
        <v>165.56</v>
      </c>
      <c r="H9140" s="489">
        <v>40.770719999999997</v>
      </c>
      <c r="I9140" s="487" t="s">
        <v>1499</v>
      </c>
      <c r="J9140" s="487" t="s">
        <v>754</v>
      </c>
    </row>
    <row r="9141" spans="1:10" ht="15" x14ac:dyDescent="0.2">
      <c r="A9141" s="486" t="s">
        <v>753</v>
      </c>
      <c r="B9141" s="487" t="s">
        <v>752</v>
      </c>
      <c r="C9141" s="488" t="s">
        <v>28317</v>
      </c>
      <c r="D9141" s="489" t="s">
        <v>28318</v>
      </c>
      <c r="E9141" s="487" t="s">
        <v>15658</v>
      </c>
      <c r="F9141" s="490">
        <v>12116</v>
      </c>
      <c r="G9141" s="489">
        <v>288.33999999999997</v>
      </c>
      <c r="H9141" s="489">
        <v>42.019840000000002</v>
      </c>
      <c r="I9141" s="487" t="s">
        <v>1499</v>
      </c>
      <c r="J9141" s="487" t="s">
        <v>754</v>
      </c>
    </row>
    <row r="9142" spans="1:10" ht="15" x14ac:dyDescent="0.2">
      <c r="A9142" s="486" t="s">
        <v>753</v>
      </c>
      <c r="B9142" s="487" t="s">
        <v>752</v>
      </c>
      <c r="C9142" s="488" t="s">
        <v>28319</v>
      </c>
      <c r="D9142" s="489" t="s">
        <v>28320</v>
      </c>
      <c r="E9142" s="487" t="s">
        <v>28321</v>
      </c>
      <c r="F9142" s="490">
        <v>5788</v>
      </c>
      <c r="G9142" s="489">
        <v>49.55</v>
      </c>
      <c r="H9142" s="489">
        <v>116.8113</v>
      </c>
      <c r="I9142" s="487" t="s">
        <v>1499</v>
      </c>
      <c r="J9142" s="487" t="s">
        <v>754</v>
      </c>
    </row>
    <row r="9143" spans="1:10" ht="15" x14ac:dyDescent="0.2">
      <c r="A9143" s="486" t="s">
        <v>753</v>
      </c>
      <c r="B9143" s="487" t="s">
        <v>752</v>
      </c>
      <c r="C9143" s="488" t="s">
        <v>28322</v>
      </c>
      <c r="D9143" s="489" t="s">
        <v>28323</v>
      </c>
      <c r="E9143" s="487" t="s">
        <v>3331</v>
      </c>
      <c r="F9143" s="490">
        <v>26106</v>
      </c>
      <c r="G9143" s="489">
        <v>420.27</v>
      </c>
      <c r="H9143" s="489">
        <v>62.11721</v>
      </c>
      <c r="I9143" s="487" t="s">
        <v>1499</v>
      </c>
      <c r="J9143" s="487" t="s">
        <v>754</v>
      </c>
    </row>
    <row r="9144" spans="1:10" ht="15" x14ac:dyDescent="0.2">
      <c r="A9144" s="486" t="s">
        <v>753</v>
      </c>
      <c r="B9144" s="487" t="s">
        <v>752</v>
      </c>
      <c r="C9144" s="488" t="s">
        <v>28324</v>
      </c>
      <c r="D9144" s="489" t="s">
        <v>28325</v>
      </c>
      <c r="E9144" s="487" t="s">
        <v>28326</v>
      </c>
      <c r="F9144" s="490">
        <v>0</v>
      </c>
      <c r="G9144" s="489">
        <v>0</v>
      </c>
      <c r="H9144" s="489">
        <v>0</v>
      </c>
      <c r="I9144" s="487" t="s">
        <v>2465</v>
      </c>
      <c r="J9144" s="487" t="s">
        <v>754</v>
      </c>
    </row>
    <row r="9145" spans="1:10" ht="15" x14ac:dyDescent="0.2">
      <c r="A9145" s="486" t="s">
        <v>753</v>
      </c>
      <c r="B9145" s="487" t="s">
        <v>752</v>
      </c>
      <c r="C9145" s="488" t="s">
        <v>28327</v>
      </c>
      <c r="D9145" s="489" t="s">
        <v>28328</v>
      </c>
      <c r="E9145" s="487" t="s">
        <v>28329</v>
      </c>
      <c r="F9145" s="490">
        <v>20000</v>
      </c>
      <c r="G9145" s="489">
        <v>552.67999999999995</v>
      </c>
      <c r="H9145" s="489">
        <v>36.187309999999997</v>
      </c>
      <c r="I9145" s="487" t="s">
        <v>1499</v>
      </c>
      <c r="J9145" s="487" t="s">
        <v>754</v>
      </c>
    </row>
    <row r="9146" spans="1:10" ht="15" x14ac:dyDescent="0.2">
      <c r="A9146" s="486" t="s">
        <v>753</v>
      </c>
      <c r="B9146" s="487" t="s">
        <v>752</v>
      </c>
      <c r="C9146" s="488" t="s">
        <v>28330</v>
      </c>
      <c r="D9146" s="489" t="s">
        <v>28331</v>
      </c>
      <c r="E9146" s="487" t="s">
        <v>28332</v>
      </c>
      <c r="F9146" s="490">
        <v>19684</v>
      </c>
      <c r="G9146" s="489">
        <v>285.75</v>
      </c>
      <c r="H9146" s="489">
        <v>68.885390000000001</v>
      </c>
      <c r="I9146" s="487" t="s">
        <v>1499</v>
      </c>
      <c r="J9146" s="487" t="s">
        <v>754</v>
      </c>
    </row>
    <row r="9147" spans="1:10" ht="15" x14ac:dyDescent="0.2">
      <c r="A9147" s="486" t="s">
        <v>753</v>
      </c>
      <c r="B9147" s="487" t="s">
        <v>752</v>
      </c>
      <c r="C9147" s="488" t="s">
        <v>28333</v>
      </c>
      <c r="D9147" s="489" t="s">
        <v>28334</v>
      </c>
      <c r="E9147" s="487" t="s">
        <v>28335</v>
      </c>
      <c r="F9147" s="490">
        <v>0</v>
      </c>
      <c r="G9147" s="489">
        <v>0</v>
      </c>
      <c r="H9147" s="489">
        <v>0</v>
      </c>
      <c r="I9147" s="487" t="s">
        <v>2465</v>
      </c>
      <c r="J9147" s="487" t="s">
        <v>754</v>
      </c>
    </row>
    <row r="9148" spans="1:10" ht="15" x14ac:dyDescent="0.2">
      <c r="A9148" s="486" t="s">
        <v>753</v>
      </c>
      <c r="B9148" s="487" t="s">
        <v>752</v>
      </c>
      <c r="C9148" s="488" t="s">
        <v>28336</v>
      </c>
      <c r="D9148" s="489" t="s">
        <v>28337</v>
      </c>
      <c r="E9148" s="487" t="s">
        <v>28338</v>
      </c>
      <c r="F9148" s="490">
        <v>7500</v>
      </c>
      <c r="G9148" s="489">
        <v>306.54000000000002</v>
      </c>
      <c r="H9148" s="489">
        <v>24.466629999999999</v>
      </c>
      <c r="I9148" s="487" t="s">
        <v>1499</v>
      </c>
      <c r="J9148" s="487" t="s">
        <v>754</v>
      </c>
    </row>
    <row r="9149" spans="1:10" ht="15" x14ac:dyDescent="0.2">
      <c r="A9149" s="486" t="s">
        <v>753</v>
      </c>
      <c r="B9149" s="487" t="s">
        <v>752</v>
      </c>
      <c r="C9149" s="488" t="s">
        <v>28339</v>
      </c>
      <c r="D9149" s="489" t="s">
        <v>28340</v>
      </c>
      <c r="E9149" s="487" t="s">
        <v>28341</v>
      </c>
      <c r="F9149" s="490">
        <v>0</v>
      </c>
      <c r="G9149" s="489">
        <v>0</v>
      </c>
      <c r="H9149" s="489">
        <v>0</v>
      </c>
      <c r="I9149" s="487" t="s">
        <v>2465</v>
      </c>
      <c r="J9149" s="487" t="s">
        <v>754</v>
      </c>
    </row>
    <row r="9150" spans="1:10" ht="15" x14ac:dyDescent="0.2">
      <c r="A9150" s="486" t="s">
        <v>753</v>
      </c>
      <c r="B9150" s="487" t="s">
        <v>752</v>
      </c>
      <c r="C9150" s="488" t="s">
        <v>28342</v>
      </c>
      <c r="D9150" s="489" t="s">
        <v>28343</v>
      </c>
      <c r="E9150" s="487" t="s">
        <v>28344</v>
      </c>
      <c r="F9150" s="490">
        <v>26897</v>
      </c>
      <c r="G9150" s="489">
        <v>467.45</v>
      </c>
      <c r="H9150" s="489">
        <v>57.539839999999998</v>
      </c>
      <c r="I9150" s="487" t="s">
        <v>1499</v>
      </c>
      <c r="J9150" s="487" t="s">
        <v>754</v>
      </c>
    </row>
    <row r="9151" spans="1:10" ht="15" x14ac:dyDescent="0.2">
      <c r="A9151" s="486" t="s">
        <v>753</v>
      </c>
      <c r="B9151" s="487" t="s">
        <v>752</v>
      </c>
      <c r="C9151" s="488" t="s">
        <v>28345</v>
      </c>
      <c r="D9151" s="489" t="s">
        <v>28346</v>
      </c>
      <c r="E9151" s="487" t="s">
        <v>28347</v>
      </c>
      <c r="F9151" s="490">
        <v>10258</v>
      </c>
      <c r="G9151" s="489">
        <v>256.32</v>
      </c>
      <c r="H9151" s="489">
        <v>40.020290000000003</v>
      </c>
      <c r="I9151" s="487" t="s">
        <v>1499</v>
      </c>
      <c r="J9151" s="487" t="s">
        <v>754</v>
      </c>
    </row>
    <row r="9152" spans="1:10" ht="15" x14ac:dyDescent="0.2">
      <c r="A9152" s="486" t="s">
        <v>753</v>
      </c>
      <c r="B9152" s="487" t="s">
        <v>752</v>
      </c>
      <c r="C9152" s="488" t="s">
        <v>28348</v>
      </c>
      <c r="D9152" s="489" t="s">
        <v>28349</v>
      </c>
      <c r="E9152" s="487" t="s">
        <v>28350</v>
      </c>
      <c r="F9152" s="490">
        <v>4200</v>
      </c>
      <c r="G9152" s="489">
        <v>135.87</v>
      </c>
      <c r="H9152" s="489">
        <v>30.911899999999999</v>
      </c>
      <c r="I9152" s="487" t="s">
        <v>1499</v>
      </c>
      <c r="J9152" s="487" t="s">
        <v>754</v>
      </c>
    </row>
    <row r="9153" spans="1:10" ht="15" x14ac:dyDescent="0.2">
      <c r="A9153" s="486" t="s">
        <v>753</v>
      </c>
      <c r="B9153" s="487" t="s">
        <v>752</v>
      </c>
      <c r="C9153" s="488" t="s">
        <v>28351</v>
      </c>
      <c r="D9153" s="489" t="s">
        <v>28352</v>
      </c>
      <c r="E9153" s="487" t="s">
        <v>28353</v>
      </c>
      <c r="F9153" s="490">
        <v>15783</v>
      </c>
      <c r="G9153" s="489">
        <v>374.72</v>
      </c>
      <c r="H9153" s="489">
        <v>42.119450000000001</v>
      </c>
      <c r="I9153" s="487" t="s">
        <v>1499</v>
      </c>
      <c r="J9153" s="487" t="s">
        <v>754</v>
      </c>
    </row>
    <row r="9154" spans="1:10" ht="15" x14ac:dyDescent="0.2">
      <c r="A9154" s="486" t="s">
        <v>753</v>
      </c>
      <c r="B9154" s="487" t="s">
        <v>752</v>
      </c>
      <c r="C9154" s="488" t="s">
        <v>28354</v>
      </c>
      <c r="D9154" s="489" t="s">
        <v>28355</v>
      </c>
      <c r="E9154" s="487" t="s">
        <v>28356</v>
      </c>
      <c r="F9154" s="490">
        <v>0</v>
      </c>
      <c r="G9154" s="489">
        <v>0</v>
      </c>
      <c r="H9154" s="489">
        <v>0</v>
      </c>
      <c r="I9154" s="487" t="s">
        <v>2465</v>
      </c>
      <c r="J9154" s="487" t="s">
        <v>754</v>
      </c>
    </row>
    <row r="9155" spans="1:10" ht="15" x14ac:dyDescent="0.2">
      <c r="A9155" s="486" t="s">
        <v>753</v>
      </c>
      <c r="B9155" s="487" t="s">
        <v>752</v>
      </c>
      <c r="C9155" s="488" t="s">
        <v>28357</v>
      </c>
      <c r="D9155" s="489" t="s">
        <v>28358</v>
      </c>
      <c r="E9155" s="487" t="s">
        <v>28359</v>
      </c>
      <c r="F9155" s="490">
        <v>99000</v>
      </c>
      <c r="G9155" s="489">
        <v>909.44</v>
      </c>
      <c r="H9155" s="489">
        <v>108.8582</v>
      </c>
      <c r="I9155" s="487" t="s">
        <v>1499</v>
      </c>
      <c r="J9155" s="487" t="s">
        <v>754</v>
      </c>
    </row>
    <row r="9156" spans="1:10" ht="15" x14ac:dyDescent="0.2">
      <c r="A9156" s="486" t="s">
        <v>753</v>
      </c>
      <c r="B9156" s="487" t="s">
        <v>752</v>
      </c>
      <c r="C9156" s="488" t="s">
        <v>28360</v>
      </c>
      <c r="D9156" s="489" t="s">
        <v>28361</v>
      </c>
      <c r="E9156" s="487" t="s">
        <v>28362</v>
      </c>
      <c r="F9156" s="490">
        <v>0</v>
      </c>
      <c r="G9156" s="489">
        <v>0</v>
      </c>
      <c r="H9156" s="489">
        <v>0</v>
      </c>
      <c r="I9156" s="487" t="s">
        <v>2465</v>
      </c>
      <c r="J9156" s="487" t="s">
        <v>754</v>
      </c>
    </row>
    <row r="9157" spans="1:10" ht="15" x14ac:dyDescent="0.2">
      <c r="A9157" s="486" t="s">
        <v>753</v>
      </c>
      <c r="B9157" s="487" t="s">
        <v>752</v>
      </c>
      <c r="C9157" s="488" t="s">
        <v>28363</v>
      </c>
      <c r="D9157" s="489" t="s">
        <v>28364</v>
      </c>
      <c r="E9157" s="487" t="s">
        <v>28365</v>
      </c>
      <c r="F9157" s="490">
        <v>4623</v>
      </c>
      <c r="G9157" s="489">
        <v>135.02000000000001</v>
      </c>
      <c r="H9157" s="489">
        <v>34.239370000000001</v>
      </c>
      <c r="I9157" s="487" t="s">
        <v>1499</v>
      </c>
      <c r="J9157" s="487" t="s">
        <v>754</v>
      </c>
    </row>
    <row r="9158" spans="1:10" ht="15" x14ac:dyDescent="0.2">
      <c r="A9158" s="486" t="s">
        <v>753</v>
      </c>
      <c r="B9158" s="487" t="s">
        <v>752</v>
      </c>
      <c r="C9158" s="488" t="s">
        <v>28366</v>
      </c>
      <c r="D9158" s="489" t="s">
        <v>28367</v>
      </c>
      <c r="E9158" s="487" t="s">
        <v>28368</v>
      </c>
      <c r="F9158" s="490">
        <v>0</v>
      </c>
      <c r="G9158" s="489">
        <v>0</v>
      </c>
      <c r="H9158" s="489">
        <v>0</v>
      </c>
      <c r="I9158" s="487" t="s">
        <v>2465</v>
      </c>
      <c r="J9158" s="487" t="s">
        <v>754</v>
      </c>
    </row>
    <row r="9159" spans="1:10" ht="15" x14ac:dyDescent="0.2">
      <c r="A9159" s="486" t="s">
        <v>753</v>
      </c>
      <c r="B9159" s="487" t="s">
        <v>752</v>
      </c>
      <c r="C9159" s="488" t="s">
        <v>28369</v>
      </c>
      <c r="D9159" s="489" t="s">
        <v>28370</v>
      </c>
      <c r="E9159" s="487" t="s">
        <v>28371</v>
      </c>
      <c r="F9159" s="490">
        <v>555624</v>
      </c>
      <c r="G9159" s="489">
        <v>3540.24</v>
      </c>
      <c r="H9159" s="489">
        <v>156.94529</v>
      </c>
      <c r="I9159" s="487" t="s">
        <v>1499</v>
      </c>
      <c r="J9159" s="487" t="s">
        <v>754</v>
      </c>
    </row>
    <row r="9160" spans="1:10" ht="15" x14ac:dyDescent="0.2">
      <c r="A9160" s="486" t="s">
        <v>753</v>
      </c>
      <c r="B9160" s="487" t="s">
        <v>752</v>
      </c>
      <c r="C9160" s="488" t="s">
        <v>28372</v>
      </c>
      <c r="D9160" s="489" t="s">
        <v>28373</v>
      </c>
      <c r="E9160" s="487" t="s">
        <v>28374</v>
      </c>
      <c r="F9160" s="490">
        <v>44200</v>
      </c>
      <c r="G9160" s="489">
        <v>1319.18</v>
      </c>
      <c r="H9160" s="489">
        <v>33.505659999999999</v>
      </c>
      <c r="I9160" s="487" t="s">
        <v>1499</v>
      </c>
      <c r="J9160" s="487" t="s">
        <v>754</v>
      </c>
    </row>
    <row r="9161" spans="1:10" ht="15" x14ac:dyDescent="0.2">
      <c r="A9161" s="486" t="s">
        <v>753</v>
      </c>
      <c r="B9161" s="487" t="s">
        <v>752</v>
      </c>
      <c r="C9161" s="488" t="s">
        <v>28375</v>
      </c>
      <c r="D9161" s="489" t="s">
        <v>28376</v>
      </c>
      <c r="E9161" s="487" t="s">
        <v>28377</v>
      </c>
      <c r="F9161" s="490">
        <v>20978</v>
      </c>
      <c r="G9161" s="489">
        <v>432.81</v>
      </c>
      <c r="H9161" s="489">
        <v>48.46931</v>
      </c>
      <c r="I9161" s="487" t="s">
        <v>1499</v>
      </c>
      <c r="J9161" s="487" t="s">
        <v>754</v>
      </c>
    </row>
    <row r="9162" spans="1:10" ht="15" x14ac:dyDescent="0.2">
      <c r="A9162" s="486" t="s">
        <v>753</v>
      </c>
      <c r="B9162" s="487" t="s">
        <v>752</v>
      </c>
      <c r="C9162" s="488" t="s">
        <v>28378</v>
      </c>
      <c r="D9162" s="489" t="s">
        <v>28379</v>
      </c>
      <c r="E9162" s="487" t="s">
        <v>28380</v>
      </c>
      <c r="F9162" s="490">
        <v>15795</v>
      </c>
      <c r="G9162" s="489">
        <v>383.56</v>
      </c>
      <c r="H9162" s="489">
        <v>41.18</v>
      </c>
      <c r="I9162" s="487" t="s">
        <v>1499</v>
      </c>
      <c r="J9162" s="487" t="s">
        <v>754</v>
      </c>
    </row>
    <row r="9163" spans="1:10" ht="15" x14ac:dyDescent="0.2">
      <c r="A9163" s="486" t="s">
        <v>1378</v>
      </c>
      <c r="B9163" s="487" t="s">
        <v>1377</v>
      </c>
      <c r="C9163" s="488" t="s">
        <v>28381</v>
      </c>
      <c r="D9163" s="489" t="s">
        <v>28382</v>
      </c>
      <c r="E9163" s="487" t="s">
        <v>28383</v>
      </c>
      <c r="F9163" s="490">
        <v>0</v>
      </c>
      <c r="G9163" s="489">
        <v>51.7</v>
      </c>
      <c r="H9163" s="489">
        <v>0</v>
      </c>
      <c r="I9163" s="487" t="s">
        <v>1593</v>
      </c>
      <c r="J9163" s="487" t="s">
        <v>1379</v>
      </c>
    </row>
    <row r="9164" spans="1:10" ht="15" x14ac:dyDescent="0.2">
      <c r="A9164" s="486" t="s">
        <v>1378</v>
      </c>
      <c r="B9164" s="487" t="s">
        <v>1377</v>
      </c>
      <c r="C9164" s="488" t="s">
        <v>28384</v>
      </c>
      <c r="D9164" s="489" t="s">
        <v>28385</v>
      </c>
      <c r="E9164" s="487" t="s">
        <v>28386</v>
      </c>
      <c r="F9164" s="490">
        <v>18310</v>
      </c>
      <c r="G9164" s="489">
        <v>316.16000000000003</v>
      </c>
      <c r="H9164" s="489">
        <v>57.913710000000002</v>
      </c>
      <c r="I9164" s="487" t="s">
        <v>1499</v>
      </c>
      <c r="J9164" s="487" t="s">
        <v>1379</v>
      </c>
    </row>
    <row r="9165" spans="1:10" ht="15" x14ac:dyDescent="0.2">
      <c r="A9165" s="486" t="s">
        <v>1378</v>
      </c>
      <c r="B9165" s="487" t="s">
        <v>1377</v>
      </c>
      <c r="C9165" s="488" t="s">
        <v>28387</v>
      </c>
      <c r="D9165" s="489" t="s">
        <v>28388</v>
      </c>
      <c r="E9165" s="487" t="s">
        <v>28389</v>
      </c>
      <c r="F9165" s="490">
        <v>0</v>
      </c>
      <c r="G9165" s="489">
        <v>57.52</v>
      </c>
      <c r="H9165" s="489">
        <v>0</v>
      </c>
      <c r="I9165" s="487" t="s">
        <v>1593</v>
      </c>
      <c r="J9165" s="487" t="s">
        <v>1379</v>
      </c>
    </row>
    <row r="9166" spans="1:10" ht="15" x14ac:dyDescent="0.2">
      <c r="A9166" s="486" t="s">
        <v>1378</v>
      </c>
      <c r="B9166" s="487" t="s">
        <v>1377</v>
      </c>
      <c r="C9166" s="488" t="s">
        <v>28390</v>
      </c>
      <c r="D9166" s="489" t="s">
        <v>28391</v>
      </c>
      <c r="E9166" s="487" t="s">
        <v>28392</v>
      </c>
      <c r="F9166" s="490">
        <v>10270</v>
      </c>
      <c r="G9166" s="489">
        <v>235</v>
      </c>
      <c r="H9166" s="489">
        <v>43.702129999999997</v>
      </c>
      <c r="I9166" s="487" t="s">
        <v>1499</v>
      </c>
      <c r="J9166" s="487" t="s">
        <v>1379</v>
      </c>
    </row>
    <row r="9167" spans="1:10" ht="15" x14ac:dyDescent="0.2">
      <c r="A9167" s="486" t="s">
        <v>1378</v>
      </c>
      <c r="B9167" s="487" t="s">
        <v>1377</v>
      </c>
      <c r="C9167" s="488" t="s">
        <v>28393</v>
      </c>
      <c r="D9167" s="489" t="s">
        <v>28394</v>
      </c>
      <c r="E9167" s="487" t="s">
        <v>9201</v>
      </c>
      <c r="F9167" s="490">
        <v>45000</v>
      </c>
      <c r="G9167" s="489">
        <v>354.99</v>
      </c>
      <c r="H9167" s="489">
        <v>126.76412999999999</v>
      </c>
      <c r="I9167" s="487" t="s">
        <v>1499</v>
      </c>
      <c r="J9167" s="487" t="s">
        <v>1379</v>
      </c>
    </row>
    <row r="9168" spans="1:10" ht="15" x14ac:dyDescent="0.2">
      <c r="A9168" s="486" t="s">
        <v>1378</v>
      </c>
      <c r="B9168" s="487" t="s">
        <v>1377</v>
      </c>
      <c r="C9168" s="488" t="s">
        <v>28395</v>
      </c>
      <c r="D9168" s="489" t="s">
        <v>28396</v>
      </c>
      <c r="E9168" s="487" t="s">
        <v>28397</v>
      </c>
      <c r="F9168" s="490">
        <v>28663</v>
      </c>
      <c r="G9168" s="489">
        <v>779.83</v>
      </c>
      <c r="H9168" s="489">
        <v>36.755450000000003</v>
      </c>
      <c r="I9168" s="487" t="s">
        <v>1499</v>
      </c>
      <c r="J9168" s="487" t="s">
        <v>1379</v>
      </c>
    </row>
    <row r="9169" spans="1:10" ht="15" x14ac:dyDescent="0.2">
      <c r="A9169" s="486" t="s">
        <v>1378</v>
      </c>
      <c r="B9169" s="487" t="s">
        <v>1377</v>
      </c>
      <c r="C9169" s="488" t="s">
        <v>28398</v>
      </c>
      <c r="D9169" s="489" t="s">
        <v>28399</v>
      </c>
      <c r="E9169" s="487" t="s">
        <v>28400</v>
      </c>
      <c r="F9169" s="490">
        <v>31250</v>
      </c>
      <c r="G9169" s="489">
        <v>435.65</v>
      </c>
      <c r="H9169" s="489">
        <v>71.731890000000007</v>
      </c>
      <c r="I9169" s="487" t="s">
        <v>1499</v>
      </c>
      <c r="J9169" s="487" t="s">
        <v>1379</v>
      </c>
    </row>
    <row r="9170" spans="1:10" ht="15" x14ac:dyDescent="0.2">
      <c r="A9170" s="486" t="s">
        <v>1378</v>
      </c>
      <c r="B9170" s="487" t="s">
        <v>1377</v>
      </c>
      <c r="C9170" s="488" t="s">
        <v>28401</v>
      </c>
      <c r="D9170" s="489" t="s">
        <v>28402</v>
      </c>
      <c r="E9170" s="487" t="s">
        <v>28403</v>
      </c>
      <c r="F9170" s="490">
        <v>56800</v>
      </c>
      <c r="G9170" s="489">
        <v>1261.8900000000001</v>
      </c>
      <c r="H9170" s="489">
        <v>45.011850000000003</v>
      </c>
      <c r="I9170" s="487" t="s">
        <v>1499</v>
      </c>
      <c r="J9170" s="487" t="s">
        <v>1379</v>
      </c>
    </row>
    <row r="9171" spans="1:10" ht="15" x14ac:dyDescent="0.2">
      <c r="A9171" s="486" t="s">
        <v>1378</v>
      </c>
      <c r="B9171" s="487" t="s">
        <v>1377</v>
      </c>
      <c r="C9171" s="488" t="s">
        <v>28404</v>
      </c>
      <c r="D9171" s="489" t="s">
        <v>28405</v>
      </c>
      <c r="E9171" s="487" t="s">
        <v>28406</v>
      </c>
      <c r="F9171" s="490">
        <v>15245</v>
      </c>
      <c r="G9171" s="489">
        <v>229.65</v>
      </c>
      <c r="H9171" s="489">
        <v>66.383629999999997</v>
      </c>
      <c r="I9171" s="487" t="s">
        <v>1499</v>
      </c>
      <c r="J9171" s="487" t="s">
        <v>1379</v>
      </c>
    </row>
    <row r="9172" spans="1:10" ht="15" x14ac:dyDescent="0.2">
      <c r="A9172" s="486" t="s">
        <v>1378</v>
      </c>
      <c r="B9172" s="487" t="s">
        <v>1377</v>
      </c>
      <c r="C9172" s="488" t="s">
        <v>28407</v>
      </c>
      <c r="D9172" s="489" t="s">
        <v>28408</v>
      </c>
      <c r="E9172" s="487" t="s">
        <v>28409</v>
      </c>
      <c r="F9172" s="490">
        <v>4100</v>
      </c>
      <c r="G9172" s="489">
        <v>73.19</v>
      </c>
      <c r="H9172" s="489">
        <v>56.01858</v>
      </c>
      <c r="I9172" s="487" t="s">
        <v>1499</v>
      </c>
      <c r="J9172" s="487" t="s">
        <v>1379</v>
      </c>
    </row>
    <row r="9173" spans="1:10" ht="15" x14ac:dyDescent="0.2">
      <c r="A9173" s="486" t="s">
        <v>1378</v>
      </c>
      <c r="B9173" s="487" t="s">
        <v>1377</v>
      </c>
      <c r="C9173" s="488" t="s">
        <v>28410</v>
      </c>
      <c r="D9173" s="489" t="s">
        <v>28411</v>
      </c>
      <c r="E9173" s="487" t="s">
        <v>28412</v>
      </c>
      <c r="F9173" s="490">
        <v>5500</v>
      </c>
      <c r="G9173" s="489">
        <v>162.13999999999999</v>
      </c>
      <c r="H9173" s="489">
        <v>33.921300000000002</v>
      </c>
      <c r="I9173" s="487" t="s">
        <v>1499</v>
      </c>
      <c r="J9173" s="487" t="s">
        <v>1379</v>
      </c>
    </row>
    <row r="9174" spans="1:10" ht="15" x14ac:dyDescent="0.2">
      <c r="A9174" s="486" t="s">
        <v>1378</v>
      </c>
      <c r="B9174" s="487" t="s">
        <v>1377</v>
      </c>
      <c r="C9174" s="488" t="s">
        <v>28413</v>
      </c>
      <c r="D9174" s="489" t="s">
        <v>28414</v>
      </c>
      <c r="E9174" s="487" t="s">
        <v>28415</v>
      </c>
      <c r="F9174" s="490">
        <v>405011</v>
      </c>
      <c r="G9174" s="489">
        <v>2547.69</v>
      </c>
      <c r="H9174" s="489">
        <v>158.97184999999999</v>
      </c>
      <c r="I9174" s="487" t="s">
        <v>1499</v>
      </c>
      <c r="J9174" s="487" t="s">
        <v>1379</v>
      </c>
    </row>
    <row r="9175" spans="1:10" ht="15" x14ac:dyDescent="0.2">
      <c r="A9175" s="486" t="s">
        <v>1378</v>
      </c>
      <c r="B9175" s="487" t="s">
        <v>1377</v>
      </c>
      <c r="C9175" s="488" t="s">
        <v>28416</v>
      </c>
      <c r="D9175" s="489" t="s">
        <v>28417</v>
      </c>
      <c r="E9175" s="487" t="s">
        <v>1825</v>
      </c>
      <c r="F9175" s="490">
        <v>9587</v>
      </c>
      <c r="G9175" s="489">
        <v>136.07</v>
      </c>
      <c r="H9175" s="489">
        <v>70.456379999999996</v>
      </c>
      <c r="I9175" s="487" t="s">
        <v>1499</v>
      </c>
      <c r="J9175" s="487" t="s">
        <v>1379</v>
      </c>
    </row>
    <row r="9176" spans="1:10" ht="15" x14ac:dyDescent="0.2">
      <c r="A9176" s="486" t="s">
        <v>1378</v>
      </c>
      <c r="B9176" s="487" t="s">
        <v>1377</v>
      </c>
      <c r="C9176" s="488" t="s">
        <v>28418</v>
      </c>
      <c r="D9176" s="489" t="s">
        <v>28419</v>
      </c>
      <c r="E9176" s="487" t="s">
        <v>28420</v>
      </c>
      <c r="F9176" s="490">
        <v>621240</v>
      </c>
      <c r="G9176" s="489">
        <v>14707.69</v>
      </c>
      <c r="H9176" s="489">
        <v>42.239130000000003</v>
      </c>
      <c r="I9176" s="487" t="s">
        <v>1499</v>
      </c>
      <c r="J9176" s="487" t="s">
        <v>1379</v>
      </c>
    </row>
    <row r="9177" spans="1:10" ht="15" x14ac:dyDescent="0.2">
      <c r="A9177" s="486" t="s">
        <v>1378</v>
      </c>
      <c r="B9177" s="487" t="s">
        <v>1377</v>
      </c>
      <c r="C9177" s="488" t="s">
        <v>28421</v>
      </c>
      <c r="D9177" s="489" t="s">
        <v>28422</v>
      </c>
      <c r="E9177" s="487" t="s">
        <v>28423</v>
      </c>
      <c r="F9177" s="490">
        <v>31322</v>
      </c>
      <c r="G9177" s="489">
        <v>429.58</v>
      </c>
      <c r="H9177" s="489">
        <v>72.913079999999994</v>
      </c>
      <c r="I9177" s="487" t="s">
        <v>1499</v>
      </c>
      <c r="J9177" s="487" t="s">
        <v>1379</v>
      </c>
    </row>
    <row r="9178" spans="1:10" ht="15" x14ac:dyDescent="0.2">
      <c r="A9178" s="486" t="s">
        <v>1378</v>
      </c>
      <c r="B9178" s="487" t="s">
        <v>1377</v>
      </c>
      <c r="C9178" s="488" t="s">
        <v>28424</v>
      </c>
      <c r="D9178" s="489" t="s">
        <v>28425</v>
      </c>
      <c r="E9178" s="487" t="s">
        <v>28426</v>
      </c>
      <c r="F9178" s="490">
        <v>2753</v>
      </c>
      <c r="G9178" s="489">
        <v>64.66</v>
      </c>
      <c r="H9178" s="489">
        <v>42.576549999999997</v>
      </c>
      <c r="I9178" s="487" t="s">
        <v>1499</v>
      </c>
      <c r="J9178" s="487" t="s">
        <v>1379</v>
      </c>
    </row>
    <row r="9179" spans="1:10" ht="15" x14ac:dyDescent="0.2">
      <c r="A9179" s="486" t="s">
        <v>1378</v>
      </c>
      <c r="B9179" s="487" t="s">
        <v>1377</v>
      </c>
      <c r="C9179" s="488" t="s">
        <v>28427</v>
      </c>
      <c r="D9179" s="489" t="s">
        <v>28428</v>
      </c>
      <c r="E9179" s="487" t="s">
        <v>28429</v>
      </c>
      <c r="F9179" s="490">
        <v>13000</v>
      </c>
      <c r="G9179" s="489">
        <v>272.2</v>
      </c>
      <c r="H9179" s="489">
        <v>47.759</v>
      </c>
      <c r="I9179" s="487" t="s">
        <v>1499</v>
      </c>
      <c r="J9179" s="487" t="s">
        <v>1379</v>
      </c>
    </row>
    <row r="9180" spans="1:10" ht="15" x14ac:dyDescent="0.2">
      <c r="A9180" s="486" t="s">
        <v>1378</v>
      </c>
      <c r="B9180" s="487" t="s">
        <v>1377</v>
      </c>
      <c r="C9180" s="488" t="s">
        <v>28430</v>
      </c>
      <c r="D9180" s="489" t="s">
        <v>28431</v>
      </c>
      <c r="E9180" s="487" t="s">
        <v>28432</v>
      </c>
      <c r="F9180" s="490">
        <v>8300</v>
      </c>
      <c r="G9180" s="489">
        <v>272.93</v>
      </c>
      <c r="H9180" s="489">
        <v>30.410730000000001</v>
      </c>
      <c r="I9180" s="487" t="s">
        <v>1499</v>
      </c>
      <c r="J9180" s="487" t="s">
        <v>1379</v>
      </c>
    </row>
    <row r="9181" spans="1:10" ht="15" x14ac:dyDescent="0.2">
      <c r="A9181" s="486" t="s">
        <v>1378</v>
      </c>
      <c r="B9181" s="487" t="s">
        <v>1377</v>
      </c>
      <c r="C9181" s="488" t="s">
        <v>28433</v>
      </c>
      <c r="D9181" s="489" t="s">
        <v>28434</v>
      </c>
      <c r="E9181" s="487" t="s">
        <v>28435</v>
      </c>
      <c r="F9181" s="490">
        <v>134547</v>
      </c>
      <c r="G9181" s="489">
        <v>877.28</v>
      </c>
      <c r="H9181" s="489">
        <v>153.36837</v>
      </c>
      <c r="I9181" s="487" t="s">
        <v>1499</v>
      </c>
      <c r="J9181" s="487" t="s">
        <v>1379</v>
      </c>
    </row>
    <row r="9182" spans="1:10" ht="15" x14ac:dyDescent="0.2">
      <c r="A9182" s="486" t="s">
        <v>1378</v>
      </c>
      <c r="B9182" s="487" t="s">
        <v>1377</v>
      </c>
      <c r="C9182" s="488" t="s">
        <v>28436</v>
      </c>
      <c r="D9182" s="489" t="s">
        <v>28437</v>
      </c>
      <c r="E9182" s="487" t="s">
        <v>28438</v>
      </c>
      <c r="F9182" s="490">
        <v>12603</v>
      </c>
      <c r="G9182" s="489">
        <v>169.09</v>
      </c>
      <c r="H9182" s="489">
        <v>74.534270000000006</v>
      </c>
      <c r="I9182" s="487" t="s">
        <v>1499</v>
      </c>
      <c r="J9182" s="487" t="s">
        <v>1379</v>
      </c>
    </row>
    <row r="9183" spans="1:10" ht="15" x14ac:dyDescent="0.2">
      <c r="A9183" s="486" t="s">
        <v>1378</v>
      </c>
      <c r="B9183" s="487" t="s">
        <v>1377</v>
      </c>
      <c r="C9183" s="488" t="s">
        <v>28439</v>
      </c>
      <c r="D9183" s="489" t="s">
        <v>28440</v>
      </c>
      <c r="E9183" s="487" t="s">
        <v>28441</v>
      </c>
      <c r="F9183" s="490">
        <v>14839</v>
      </c>
      <c r="G9183" s="489">
        <v>140.55000000000001</v>
      </c>
      <c r="H9183" s="489">
        <v>105.57809</v>
      </c>
      <c r="I9183" s="487" t="s">
        <v>1499</v>
      </c>
      <c r="J9183" s="487" t="s">
        <v>1379</v>
      </c>
    </row>
    <row r="9184" spans="1:10" ht="15" x14ac:dyDescent="0.2">
      <c r="A9184" s="486" t="s">
        <v>1378</v>
      </c>
      <c r="B9184" s="487" t="s">
        <v>1377</v>
      </c>
      <c r="C9184" s="488" t="s">
        <v>28442</v>
      </c>
      <c r="D9184" s="489" t="s">
        <v>28443</v>
      </c>
      <c r="E9184" s="487" t="s">
        <v>28444</v>
      </c>
      <c r="F9184" s="490">
        <v>7871</v>
      </c>
      <c r="G9184" s="489">
        <v>123.06</v>
      </c>
      <c r="H9184" s="489">
        <v>63.96067</v>
      </c>
      <c r="I9184" s="487" t="s">
        <v>1499</v>
      </c>
      <c r="J9184" s="487" t="s">
        <v>1379</v>
      </c>
    </row>
    <row r="9185" spans="1:10" ht="15" x14ac:dyDescent="0.2">
      <c r="A9185" s="486" t="s">
        <v>1378</v>
      </c>
      <c r="B9185" s="487" t="s">
        <v>1377</v>
      </c>
      <c r="C9185" s="488" t="s">
        <v>28445</v>
      </c>
      <c r="D9185" s="489" t="s">
        <v>28446</v>
      </c>
      <c r="E9185" s="487" t="s">
        <v>28447</v>
      </c>
      <c r="F9185" s="490">
        <v>200</v>
      </c>
      <c r="G9185" s="489">
        <v>49.45</v>
      </c>
      <c r="H9185" s="489">
        <v>4.0444899999999997</v>
      </c>
      <c r="I9185" s="487" t="s">
        <v>1499</v>
      </c>
      <c r="J9185" s="487" t="s">
        <v>1379</v>
      </c>
    </row>
    <row r="9186" spans="1:10" ht="15" x14ac:dyDescent="0.2">
      <c r="A9186" s="486" t="s">
        <v>1378</v>
      </c>
      <c r="B9186" s="487" t="s">
        <v>1377</v>
      </c>
      <c r="C9186" s="488" t="s">
        <v>28448</v>
      </c>
      <c r="D9186" s="489" t="s">
        <v>28449</v>
      </c>
      <c r="E9186" s="487" t="s">
        <v>28450</v>
      </c>
      <c r="F9186" s="490">
        <v>3300</v>
      </c>
      <c r="G9186" s="489">
        <v>88.58</v>
      </c>
      <c r="H9186" s="489">
        <v>37.254460000000002</v>
      </c>
      <c r="I9186" s="487" t="s">
        <v>1499</v>
      </c>
      <c r="J9186" s="487" t="s">
        <v>1379</v>
      </c>
    </row>
    <row r="9187" spans="1:10" ht="15" x14ac:dyDescent="0.2">
      <c r="A9187" s="486" t="s">
        <v>1378</v>
      </c>
      <c r="B9187" s="487" t="s">
        <v>1377</v>
      </c>
      <c r="C9187" s="488" t="s">
        <v>28451</v>
      </c>
      <c r="D9187" s="489" t="s">
        <v>28452</v>
      </c>
      <c r="E9187" s="487" t="s">
        <v>28453</v>
      </c>
      <c r="F9187" s="490">
        <v>1300</v>
      </c>
      <c r="G9187" s="489">
        <v>96.47</v>
      </c>
      <c r="H9187" s="489">
        <v>13.47569</v>
      </c>
      <c r="I9187" s="487" t="s">
        <v>1499</v>
      </c>
      <c r="J9187" s="487" t="s">
        <v>1379</v>
      </c>
    </row>
    <row r="9188" spans="1:10" ht="15" x14ac:dyDescent="0.2">
      <c r="A9188" s="486" t="s">
        <v>1378</v>
      </c>
      <c r="B9188" s="487" t="s">
        <v>1377</v>
      </c>
      <c r="C9188" s="488" t="s">
        <v>28454</v>
      </c>
      <c r="D9188" s="489" t="s">
        <v>28455</v>
      </c>
      <c r="E9188" s="487" t="s">
        <v>28456</v>
      </c>
      <c r="F9188" s="490">
        <v>15741</v>
      </c>
      <c r="G9188" s="489">
        <v>298.72000000000003</v>
      </c>
      <c r="H9188" s="489">
        <v>52.694830000000003</v>
      </c>
      <c r="I9188" s="487" t="s">
        <v>1499</v>
      </c>
      <c r="J9188" s="487" t="s">
        <v>1379</v>
      </c>
    </row>
    <row r="9189" spans="1:10" ht="15" x14ac:dyDescent="0.2">
      <c r="A9189" s="486" t="s">
        <v>1378</v>
      </c>
      <c r="B9189" s="487" t="s">
        <v>1377</v>
      </c>
      <c r="C9189" s="488" t="s">
        <v>28457</v>
      </c>
      <c r="D9189" s="489" t="s">
        <v>28458</v>
      </c>
      <c r="E9189" s="487" t="s">
        <v>28459</v>
      </c>
      <c r="F9189" s="490">
        <v>1780</v>
      </c>
      <c r="G9189" s="489">
        <v>57.98</v>
      </c>
      <c r="H9189" s="489">
        <v>30.700240000000001</v>
      </c>
      <c r="I9189" s="487" t="s">
        <v>1499</v>
      </c>
      <c r="J9189" s="487" t="s">
        <v>1379</v>
      </c>
    </row>
    <row r="9190" spans="1:10" ht="15" x14ac:dyDescent="0.2">
      <c r="A9190" s="486" t="s">
        <v>1378</v>
      </c>
      <c r="B9190" s="487" t="s">
        <v>1377</v>
      </c>
      <c r="C9190" s="488" t="s">
        <v>28460</v>
      </c>
      <c r="D9190" s="489" t="s">
        <v>28461</v>
      </c>
      <c r="E9190" s="487" t="s">
        <v>28462</v>
      </c>
      <c r="F9190" s="490">
        <v>108525</v>
      </c>
      <c r="G9190" s="489">
        <v>955.91</v>
      </c>
      <c r="H9190" s="489">
        <v>113.53055999999999</v>
      </c>
      <c r="I9190" s="487" t="s">
        <v>1499</v>
      </c>
      <c r="J9190" s="487" t="s">
        <v>1379</v>
      </c>
    </row>
    <row r="9191" spans="1:10" ht="15" x14ac:dyDescent="0.2">
      <c r="A9191" s="486" t="s">
        <v>1378</v>
      </c>
      <c r="B9191" s="487" t="s">
        <v>1377</v>
      </c>
      <c r="C9191" s="488" t="s">
        <v>28463</v>
      </c>
      <c r="D9191" s="489" t="s">
        <v>28464</v>
      </c>
      <c r="E9191" s="487" t="s">
        <v>28465</v>
      </c>
      <c r="F9191" s="490">
        <v>4939</v>
      </c>
      <c r="G9191" s="489">
        <v>60.13</v>
      </c>
      <c r="H9191" s="489">
        <v>82.1387</v>
      </c>
      <c r="I9191" s="487" t="s">
        <v>1499</v>
      </c>
      <c r="J9191" s="487" t="s">
        <v>1379</v>
      </c>
    </row>
    <row r="9192" spans="1:10" ht="15" x14ac:dyDescent="0.2">
      <c r="A9192" s="486" t="s">
        <v>1378</v>
      </c>
      <c r="B9192" s="487" t="s">
        <v>1377</v>
      </c>
      <c r="C9192" s="488" t="s">
        <v>28466</v>
      </c>
      <c r="D9192" s="489" t="s">
        <v>28467</v>
      </c>
      <c r="E9192" s="487" t="s">
        <v>28468</v>
      </c>
      <c r="F9192" s="490">
        <v>10500</v>
      </c>
      <c r="G9192" s="489">
        <v>146.83000000000001</v>
      </c>
      <c r="H9192" s="489">
        <v>71.511269999999996</v>
      </c>
      <c r="I9192" s="487" t="s">
        <v>1499</v>
      </c>
      <c r="J9192" s="487" t="s">
        <v>1379</v>
      </c>
    </row>
    <row r="9193" spans="1:10" ht="15" x14ac:dyDescent="0.2">
      <c r="A9193" s="486" t="s">
        <v>1378</v>
      </c>
      <c r="B9193" s="487" t="s">
        <v>1377</v>
      </c>
      <c r="C9193" s="488" t="s">
        <v>28469</v>
      </c>
      <c r="D9193" s="489" t="s">
        <v>28470</v>
      </c>
      <c r="E9193" s="487" t="s">
        <v>28471</v>
      </c>
      <c r="F9193" s="490">
        <v>25000</v>
      </c>
      <c r="G9193" s="489">
        <v>283.36</v>
      </c>
      <c r="H9193" s="489">
        <v>88.226990000000001</v>
      </c>
      <c r="I9193" s="487" t="s">
        <v>1499</v>
      </c>
      <c r="J9193" s="487" t="s">
        <v>1379</v>
      </c>
    </row>
    <row r="9194" spans="1:10" ht="15" x14ac:dyDescent="0.2">
      <c r="A9194" s="486" t="s">
        <v>1378</v>
      </c>
      <c r="B9194" s="487" t="s">
        <v>1377</v>
      </c>
      <c r="C9194" s="488" t="s">
        <v>28472</v>
      </c>
      <c r="D9194" s="489" t="s">
        <v>28473</v>
      </c>
      <c r="E9194" s="487" t="s">
        <v>28474</v>
      </c>
      <c r="F9194" s="490">
        <v>36870</v>
      </c>
      <c r="G9194" s="489">
        <v>494.98</v>
      </c>
      <c r="H9194" s="489">
        <v>74.487859999999998</v>
      </c>
      <c r="I9194" s="487" t="s">
        <v>1499</v>
      </c>
      <c r="J9194" s="487" t="s">
        <v>1379</v>
      </c>
    </row>
    <row r="9195" spans="1:10" ht="15" x14ac:dyDescent="0.2">
      <c r="A9195" s="486" t="s">
        <v>1378</v>
      </c>
      <c r="B9195" s="487" t="s">
        <v>1377</v>
      </c>
      <c r="C9195" s="488" t="s">
        <v>28475</v>
      </c>
      <c r="D9195" s="489" t="s">
        <v>28476</v>
      </c>
      <c r="E9195" s="487" t="s">
        <v>28477</v>
      </c>
      <c r="F9195" s="490">
        <v>16715</v>
      </c>
      <c r="G9195" s="489">
        <v>148.97</v>
      </c>
      <c r="H9195" s="489">
        <v>112.2038</v>
      </c>
      <c r="I9195" s="487" t="s">
        <v>1499</v>
      </c>
      <c r="J9195" s="487" t="s">
        <v>1379</v>
      </c>
    </row>
    <row r="9196" spans="1:10" ht="15" x14ac:dyDescent="0.2">
      <c r="A9196" s="486" t="s">
        <v>1378</v>
      </c>
      <c r="B9196" s="487" t="s">
        <v>1377</v>
      </c>
      <c r="C9196" s="488" t="s">
        <v>28478</v>
      </c>
      <c r="D9196" s="489" t="s">
        <v>28479</v>
      </c>
      <c r="E9196" s="487" t="s">
        <v>28480</v>
      </c>
      <c r="F9196" s="490">
        <v>21179</v>
      </c>
      <c r="G9196" s="489">
        <v>284.82</v>
      </c>
      <c r="H9196" s="489">
        <v>74.35924</v>
      </c>
      <c r="I9196" s="487" t="s">
        <v>1499</v>
      </c>
      <c r="J9196" s="487" t="s">
        <v>1379</v>
      </c>
    </row>
    <row r="9197" spans="1:10" ht="15" x14ac:dyDescent="0.2">
      <c r="A9197" s="486" t="s">
        <v>1378</v>
      </c>
      <c r="B9197" s="487" t="s">
        <v>1377</v>
      </c>
      <c r="C9197" s="488" t="s">
        <v>28481</v>
      </c>
      <c r="D9197" s="489" t="s">
        <v>28482</v>
      </c>
      <c r="E9197" s="487" t="s">
        <v>28483</v>
      </c>
      <c r="F9197" s="490">
        <v>16012</v>
      </c>
      <c r="G9197" s="489">
        <v>385.3</v>
      </c>
      <c r="H9197" s="489">
        <v>41.557229999999997</v>
      </c>
      <c r="I9197" s="487" t="s">
        <v>1499</v>
      </c>
      <c r="J9197" s="487" t="s">
        <v>1379</v>
      </c>
    </row>
    <row r="9198" spans="1:10" ht="15" x14ac:dyDescent="0.2">
      <c r="A9198" s="486" t="s">
        <v>1378</v>
      </c>
      <c r="B9198" s="487" t="s">
        <v>1377</v>
      </c>
      <c r="C9198" s="488" t="s">
        <v>28484</v>
      </c>
      <c r="D9198" s="489" t="s">
        <v>28485</v>
      </c>
      <c r="E9198" s="487" t="s">
        <v>28486</v>
      </c>
      <c r="F9198" s="490">
        <v>32928</v>
      </c>
      <c r="G9198" s="489">
        <v>964.08</v>
      </c>
      <c r="H9198" s="489">
        <v>34.15484</v>
      </c>
      <c r="I9198" s="487" t="s">
        <v>1499</v>
      </c>
      <c r="J9198" s="487" t="s">
        <v>1379</v>
      </c>
    </row>
    <row r="9199" spans="1:10" ht="15" x14ac:dyDescent="0.2">
      <c r="A9199" s="486" t="s">
        <v>1378</v>
      </c>
      <c r="B9199" s="487" t="s">
        <v>1377</v>
      </c>
      <c r="C9199" s="488" t="s">
        <v>28487</v>
      </c>
      <c r="D9199" s="489" t="s">
        <v>28488</v>
      </c>
      <c r="E9199" s="487" t="s">
        <v>28489</v>
      </c>
      <c r="F9199" s="490">
        <v>15250</v>
      </c>
      <c r="G9199" s="489">
        <v>159.24</v>
      </c>
      <c r="H9199" s="489">
        <v>95.767399999999995</v>
      </c>
      <c r="I9199" s="487" t="s">
        <v>1499</v>
      </c>
      <c r="J9199" s="487" t="s">
        <v>1379</v>
      </c>
    </row>
    <row r="9200" spans="1:10" ht="15" x14ac:dyDescent="0.2">
      <c r="A9200" s="486" t="s">
        <v>1378</v>
      </c>
      <c r="B9200" s="487" t="s">
        <v>1377</v>
      </c>
      <c r="C9200" s="488" t="s">
        <v>28490</v>
      </c>
      <c r="D9200" s="489" t="s">
        <v>28491</v>
      </c>
      <c r="E9200" s="487" t="s">
        <v>28492</v>
      </c>
      <c r="F9200" s="490">
        <v>11210</v>
      </c>
      <c r="G9200" s="489">
        <v>84.34</v>
      </c>
      <c r="H9200" s="489">
        <v>132.91439</v>
      </c>
      <c r="I9200" s="487" t="s">
        <v>1499</v>
      </c>
      <c r="J9200" s="487" t="s">
        <v>1379</v>
      </c>
    </row>
    <row r="9201" spans="1:10" ht="15" x14ac:dyDescent="0.2">
      <c r="A9201" s="486" t="s">
        <v>1378</v>
      </c>
      <c r="B9201" s="487" t="s">
        <v>1377</v>
      </c>
      <c r="C9201" s="488" t="s">
        <v>28493</v>
      </c>
      <c r="D9201" s="489" t="s">
        <v>28494</v>
      </c>
      <c r="E9201" s="487" t="s">
        <v>28495</v>
      </c>
      <c r="F9201" s="490">
        <v>6900</v>
      </c>
      <c r="G9201" s="489">
        <v>86.09</v>
      </c>
      <c r="H9201" s="489">
        <v>80.148679999999999</v>
      </c>
      <c r="I9201" s="487" t="s">
        <v>1499</v>
      </c>
      <c r="J9201" s="487" t="s">
        <v>1379</v>
      </c>
    </row>
    <row r="9202" spans="1:10" ht="15" x14ac:dyDescent="0.2">
      <c r="A9202" s="486" t="s">
        <v>1378</v>
      </c>
      <c r="B9202" s="487" t="s">
        <v>1377</v>
      </c>
      <c r="C9202" s="488" t="s">
        <v>28496</v>
      </c>
      <c r="D9202" s="489" t="s">
        <v>28497</v>
      </c>
      <c r="E9202" s="487" t="s">
        <v>28498</v>
      </c>
      <c r="F9202" s="490">
        <v>9640</v>
      </c>
      <c r="G9202" s="489">
        <v>89.73</v>
      </c>
      <c r="H9202" s="489">
        <v>107.43340999999999</v>
      </c>
      <c r="I9202" s="487" t="s">
        <v>1499</v>
      </c>
      <c r="J9202" s="487" t="s">
        <v>1379</v>
      </c>
    </row>
    <row r="9203" spans="1:10" ht="15" x14ac:dyDescent="0.2">
      <c r="A9203" s="486" t="s">
        <v>1378</v>
      </c>
      <c r="B9203" s="487" t="s">
        <v>1377</v>
      </c>
      <c r="C9203" s="488" t="s">
        <v>28499</v>
      </c>
      <c r="D9203" s="489" t="s">
        <v>28500</v>
      </c>
      <c r="E9203" s="487" t="s">
        <v>22473</v>
      </c>
      <c r="F9203" s="490">
        <v>5800</v>
      </c>
      <c r="G9203" s="489">
        <v>122.37</v>
      </c>
      <c r="H9203" s="489">
        <v>47.397239999999996</v>
      </c>
      <c r="I9203" s="487" t="s">
        <v>1499</v>
      </c>
      <c r="J9203" s="487" t="s">
        <v>1379</v>
      </c>
    </row>
    <row r="9204" spans="1:10" ht="15" x14ac:dyDescent="0.2">
      <c r="A9204" s="486" t="s">
        <v>1378</v>
      </c>
      <c r="B9204" s="487" t="s">
        <v>1377</v>
      </c>
      <c r="C9204" s="488" t="s">
        <v>28501</v>
      </c>
      <c r="D9204" s="489" t="s">
        <v>28502</v>
      </c>
      <c r="E9204" s="487" t="s">
        <v>28503</v>
      </c>
      <c r="F9204" s="490">
        <v>1561365</v>
      </c>
      <c r="G9204" s="489">
        <v>8078.67</v>
      </c>
      <c r="H9204" s="489">
        <v>193.27006</v>
      </c>
      <c r="I9204" s="487" t="s">
        <v>1499</v>
      </c>
      <c r="J9204" s="487" t="s">
        <v>1379</v>
      </c>
    </row>
    <row r="9205" spans="1:10" ht="15" x14ac:dyDescent="0.2">
      <c r="A9205" s="486" t="s">
        <v>1378</v>
      </c>
      <c r="B9205" s="487" t="s">
        <v>1377</v>
      </c>
      <c r="C9205" s="488" t="s">
        <v>28504</v>
      </c>
      <c r="D9205" s="489" t="s">
        <v>28505</v>
      </c>
      <c r="E9205" s="487" t="s">
        <v>28506</v>
      </c>
      <c r="F9205" s="490">
        <v>336</v>
      </c>
      <c r="G9205" s="489">
        <v>69.84</v>
      </c>
      <c r="H9205" s="489">
        <v>4.8109999999999999</v>
      </c>
      <c r="I9205" s="487" t="s">
        <v>1499</v>
      </c>
      <c r="J9205" s="487" t="s">
        <v>1379</v>
      </c>
    </row>
    <row r="9206" spans="1:10" ht="15" x14ac:dyDescent="0.2">
      <c r="A9206" s="486" t="s">
        <v>1378</v>
      </c>
      <c r="B9206" s="487" t="s">
        <v>1377</v>
      </c>
      <c r="C9206" s="488" t="s">
        <v>28507</v>
      </c>
      <c r="D9206" s="489" t="s">
        <v>28508</v>
      </c>
      <c r="E9206" s="487" t="s">
        <v>28509</v>
      </c>
      <c r="F9206" s="490">
        <v>7600</v>
      </c>
      <c r="G9206" s="489">
        <v>131.4</v>
      </c>
      <c r="H9206" s="489">
        <v>57.838659999999997</v>
      </c>
      <c r="I9206" s="487" t="s">
        <v>1499</v>
      </c>
      <c r="J9206" s="487" t="s">
        <v>1379</v>
      </c>
    </row>
    <row r="9207" spans="1:10" ht="15" x14ac:dyDescent="0.2">
      <c r="A9207" s="486" t="s">
        <v>1378</v>
      </c>
      <c r="B9207" s="487" t="s">
        <v>1377</v>
      </c>
      <c r="C9207" s="488" t="s">
        <v>28510</v>
      </c>
      <c r="D9207" s="489" t="s">
        <v>28511</v>
      </c>
      <c r="E9207" s="487" t="s">
        <v>28512</v>
      </c>
      <c r="F9207" s="490">
        <v>6250</v>
      </c>
      <c r="G9207" s="489">
        <v>217.09</v>
      </c>
      <c r="H9207" s="489">
        <v>28.789899999999999</v>
      </c>
      <c r="I9207" s="487" t="s">
        <v>1499</v>
      </c>
      <c r="J9207" s="487" t="s">
        <v>1379</v>
      </c>
    </row>
    <row r="9208" spans="1:10" ht="15" x14ac:dyDescent="0.2">
      <c r="A9208" s="486" t="s">
        <v>1378</v>
      </c>
      <c r="B9208" s="487" t="s">
        <v>1377</v>
      </c>
      <c r="C9208" s="488" t="s">
        <v>28513</v>
      </c>
      <c r="D9208" s="489" t="s">
        <v>28514</v>
      </c>
      <c r="E9208" s="487" t="s">
        <v>28515</v>
      </c>
      <c r="F9208" s="490">
        <v>8383</v>
      </c>
      <c r="G9208" s="489">
        <v>146.82</v>
      </c>
      <c r="H9208" s="489">
        <v>57.09713</v>
      </c>
      <c r="I9208" s="487" t="s">
        <v>1499</v>
      </c>
      <c r="J9208" s="487" t="s">
        <v>1379</v>
      </c>
    </row>
    <row r="9209" spans="1:10" ht="15" x14ac:dyDescent="0.2">
      <c r="A9209" s="486" t="s">
        <v>1378</v>
      </c>
      <c r="B9209" s="487" t="s">
        <v>1377</v>
      </c>
      <c r="C9209" s="488" t="s">
        <v>28516</v>
      </c>
      <c r="D9209" s="489" t="s">
        <v>28517</v>
      </c>
      <c r="E9209" s="487" t="s">
        <v>15244</v>
      </c>
      <c r="F9209" s="490">
        <v>0</v>
      </c>
      <c r="G9209" s="489">
        <v>75.94</v>
      </c>
      <c r="H9209" s="489">
        <v>0</v>
      </c>
      <c r="I9209" s="487" t="s">
        <v>1593</v>
      </c>
      <c r="J9209" s="487" t="s">
        <v>1379</v>
      </c>
    </row>
    <row r="9210" spans="1:10" ht="15" x14ac:dyDescent="0.2">
      <c r="A9210" s="486" t="s">
        <v>1378</v>
      </c>
      <c r="B9210" s="487" t="s">
        <v>1377</v>
      </c>
      <c r="C9210" s="488" t="s">
        <v>28518</v>
      </c>
      <c r="D9210" s="489" t="s">
        <v>28519</v>
      </c>
      <c r="E9210" s="487" t="s">
        <v>28520</v>
      </c>
      <c r="F9210" s="490">
        <v>22481</v>
      </c>
      <c r="G9210" s="489">
        <v>308.14999999999998</v>
      </c>
      <c r="H9210" s="489">
        <v>72.954729999999998</v>
      </c>
      <c r="I9210" s="487" t="s">
        <v>1499</v>
      </c>
      <c r="J9210" s="487" t="s">
        <v>1379</v>
      </c>
    </row>
    <row r="9211" spans="1:10" ht="15" x14ac:dyDescent="0.2">
      <c r="A9211" s="486" t="s">
        <v>1378</v>
      </c>
      <c r="B9211" s="487" t="s">
        <v>1377</v>
      </c>
      <c r="C9211" s="488" t="s">
        <v>28521</v>
      </c>
      <c r="D9211" s="489" t="s">
        <v>28522</v>
      </c>
      <c r="E9211" s="487" t="s">
        <v>28523</v>
      </c>
      <c r="F9211" s="490">
        <v>9027</v>
      </c>
      <c r="G9211" s="489">
        <v>265.69</v>
      </c>
      <c r="H9211" s="489">
        <v>33.97569</v>
      </c>
      <c r="I9211" s="487" t="s">
        <v>1499</v>
      </c>
      <c r="J9211" s="487" t="s">
        <v>1379</v>
      </c>
    </row>
    <row r="9212" spans="1:10" ht="15" x14ac:dyDescent="0.2">
      <c r="A9212" s="486" t="s">
        <v>1378</v>
      </c>
      <c r="B9212" s="487" t="s">
        <v>1377</v>
      </c>
      <c r="C9212" s="488" t="s">
        <v>28524</v>
      </c>
      <c r="D9212" s="489" t="s">
        <v>28525</v>
      </c>
      <c r="E9212" s="487" t="s">
        <v>28526</v>
      </c>
      <c r="F9212" s="490">
        <v>20696</v>
      </c>
      <c r="G9212" s="489">
        <v>418.62</v>
      </c>
      <c r="H9212" s="489">
        <v>49.438630000000003</v>
      </c>
      <c r="I9212" s="487" t="s">
        <v>1499</v>
      </c>
      <c r="J9212" s="487" t="s">
        <v>1379</v>
      </c>
    </row>
    <row r="9213" spans="1:10" ht="15" x14ac:dyDescent="0.2">
      <c r="A9213" s="486" t="s">
        <v>1378</v>
      </c>
      <c r="B9213" s="487" t="s">
        <v>1377</v>
      </c>
      <c r="C9213" s="488" t="s">
        <v>28527</v>
      </c>
      <c r="D9213" s="489" t="s">
        <v>28528</v>
      </c>
      <c r="E9213" s="487" t="s">
        <v>28529</v>
      </c>
      <c r="F9213" s="490">
        <v>30400</v>
      </c>
      <c r="G9213" s="489">
        <v>452.47</v>
      </c>
      <c r="H9213" s="489">
        <v>67.186769999999996</v>
      </c>
      <c r="I9213" s="487" t="s">
        <v>1499</v>
      </c>
      <c r="J9213" s="487" t="s">
        <v>1379</v>
      </c>
    </row>
    <row r="9214" spans="1:10" ht="15" x14ac:dyDescent="0.2">
      <c r="A9214" s="486" t="s">
        <v>1378</v>
      </c>
      <c r="B9214" s="487" t="s">
        <v>1377</v>
      </c>
      <c r="C9214" s="488" t="s">
        <v>28530</v>
      </c>
      <c r="D9214" s="489" t="s">
        <v>28531</v>
      </c>
      <c r="E9214" s="487" t="s">
        <v>28532</v>
      </c>
      <c r="F9214" s="490">
        <v>16800</v>
      </c>
      <c r="G9214" s="489">
        <v>159.76</v>
      </c>
      <c r="H9214" s="489">
        <v>105.15774</v>
      </c>
      <c r="I9214" s="487" t="s">
        <v>1499</v>
      </c>
      <c r="J9214" s="487" t="s">
        <v>1379</v>
      </c>
    </row>
    <row r="9215" spans="1:10" ht="15" x14ac:dyDescent="0.2">
      <c r="A9215" s="486" t="s">
        <v>1378</v>
      </c>
      <c r="B9215" s="487" t="s">
        <v>1377</v>
      </c>
      <c r="C9215" s="488" t="s">
        <v>28533</v>
      </c>
      <c r="D9215" s="489" t="s">
        <v>28534</v>
      </c>
      <c r="E9215" s="487" t="s">
        <v>28535</v>
      </c>
      <c r="F9215" s="490">
        <v>304</v>
      </c>
      <c r="G9215" s="489">
        <v>8.67</v>
      </c>
      <c r="H9215" s="489">
        <v>35.06344</v>
      </c>
      <c r="I9215" s="487" t="s">
        <v>1499</v>
      </c>
      <c r="J9215" s="487" t="s">
        <v>1379</v>
      </c>
    </row>
    <row r="9216" spans="1:10" ht="15" x14ac:dyDescent="0.2">
      <c r="A9216" s="486" t="s">
        <v>1378</v>
      </c>
      <c r="B9216" s="487" t="s">
        <v>1377</v>
      </c>
      <c r="C9216" s="488" t="s">
        <v>28536</v>
      </c>
      <c r="D9216" s="489" t="s">
        <v>28537</v>
      </c>
      <c r="E9216" s="487" t="s">
        <v>18524</v>
      </c>
      <c r="F9216" s="490">
        <v>6000</v>
      </c>
      <c r="G9216" s="489">
        <v>170.02</v>
      </c>
      <c r="H9216" s="489">
        <v>35.289969999999997</v>
      </c>
      <c r="I9216" s="487" t="s">
        <v>1499</v>
      </c>
      <c r="J9216" s="487" t="s">
        <v>1379</v>
      </c>
    </row>
    <row r="9217" spans="1:10" ht="15" x14ac:dyDescent="0.2">
      <c r="A9217" s="486" t="s">
        <v>1378</v>
      </c>
      <c r="B9217" s="487" t="s">
        <v>1377</v>
      </c>
      <c r="C9217" s="488" t="s">
        <v>28538</v>
      </c>
      <c r="D9217" s="489" t="s">
        <v>28539</v>
      </c>
      <c r="E9217" s="487" t="s">
        <v>28540</v>
      </c>
      <c r="F9217" s="490">
        <v>48895</v>
      </c>
      <c r="G9217" s="489">
        <v>780.8</v>
      </c>
      <c r="H9217" s="489">
        <v>62.621670000000002</v>
      </c>
      <c r="I9217" s="487" t="s">
        <v>1499</v>
      </c>
      <c r="J9217" s="487" t="s">
        <v>1379</v>
      </c>
    </row>
    <row r="9218" spans="1:10" ht="15" x14ac:dyDescent="0.2">
      <c r="A9218" s="486" t="s">
        <v>1378</v>
      </c>
      <c r="B9218" s="487" t="s">
        <v>1377</v>
      </c>
      <c r="C9218" s="488" t="s">
        <v>28541</v>
      </c>
      <c r="D9218" s="489" t="s">
        <v>28542</v>
      </c>
      <c r="E9218" s="487" t="s">
        <v>28543</v>
      </c>
      <c r="F9218" s="490">
        <v>77032</v>
      </c>
      <c r="G9218" s="489">
        <v>704.76</v>
      </c>
      <c r="H9218" s="489">
        <v>109.30246</v>
      </c>
      <c r="I9218" s="487" t="s">
        <v>1499</v>
      </c>
      <c r="J9218" s="487" t="s">
        <v>1379</v>
      </c>
    </row>
    <row r="9219" spans="1:10" ht="15" x14ac:dyDescent="0.2">
      <c r="A9219" s="486" t="s">
        <v>1378</v>
      </c>
      <c r="B9219" s="487" t="s">
        <v>1377</v>
      </c>
      <c r="C9219" s="488" t="s">
        <v>28544</v>
      </c>
      <c r="D9219" s="489" t="s">
        <v>28545</v>
      </c>
      <c r="E9219" s="487" t="s">
        <v>28546</v>
      </c>
      <c r="F9219" s="490">
        <v>18140</v>
      </c>
      <c r="G9219" s="489">
        <v>461.99</v>
      </c>
      <c r="H9219" s="489">
        <v>39.264919999999996</v>
      </c>
      <c r="I9219" s="487" t="s">
        <v>1499</v>
      </c>
      <c r="J9219" s="487" t="s">
        <v>1379</v>
      </c>
    </row>
    <row r="9220" spans="1:10" ht="15" x14ac:dyDescent="0.2">
      <c r="A9220" s="486" t="s">
        <v>1378</v>
      </c>
      <c r="B9220" s="487" t="s">
        <v>1377</v>
      </c>
      <c r="C9220" s="488" t="s">
        <v>28547</v>
      </c>
      <c r="D9220" s="489" t="s">
        <v>28548</v>
      </c>
      <c r="E9220" s="487" t="s">
        <v>28549</v>
      </c>
      <c r="F9220" s="490">
        <v>6347</v>
      </c>
      <c r="G9220" s="489">
        <v>105.18</v>
      </c>
      <c r="H9220" s="489">
        <v>60.344169999999998</v>
      </c>
      <c r="I9220" s="487" t="s">
        <v>1499</v>
      </c>
      <c r="J9220" s="487" t="s">
        <v>1379</v>
      </c>
    </row>
    <row r="9221" spans="1:10" ht="15" x14ac:dyDescent="0.2">
      <c r="A9221" s="486" t="s">
        <v>1378</v>
      </c>
      <c r="B9221" s="487" t="s">
        <v>1377</v>
      </c>
      <c r="C9221" s="488" t="s">
        <v>28550</v>
      </c>
      <c r="D9221" s="489" t="s">
        <v>28551</v>
      </c>
      <c r="E9221" s="487" t="s">
        <v>28552</v>
      </c>
      <c r="F9221" s="490">
        <v>190250</v>
      </c>
      <c r="G9221" s="489">
        <v>1475.19</v>
      </c>
      <c r="H9221" s="489">
        <v>128.96644000000001</v>
      </c>
      <c r="I9221" s="487" t="s">
        <v>1499</v>
      </c>
      <c r="J9221" s="487" t="s">
        <v>1379</v>
      </c>
    </row>
    <row r="9222" spans="1:10" ht="15" x14ac:dyDescent="0.2">
      <c r="A9222" s="486" t="s">
        <v>1378</v>
      </c>
      <c r="B9222" s="487" t="s">
        <v>1377</v>
      </c>
      <c r="C9222" s="488" t="s">
        <v>28553</v>
      </c>
      <c r="D9222" s="489" t="s">
        <v>28554</v>
      </c>
      <c r="E9222" s="487" t="s">
        <v>28555</v>
      </c>
      <c r="F9222" s="490">
        <v>11139</v>
      </c>
      <c r="G9222" s="489">
        <v>102.87</v>
      </c>
      <c r="H9222" s="489">
        <v>108.28230000000001</v>
      </c>
      <c r="I9222" s="487" t="s">
        <v>1499</v>
      </c>
      <c r="J9222" s="487" t="s">
        <v>1379</v>
      </c>
    </row>
    <row r="9223" spans="1:10" ht="15" x14ac:dyDescent="0.2">
      <c r="A9223" s="486" t="s">
        <v>1378</v>
      </c>
      <c r="B9223" s="487" t="s">
        <v>1377</v>
      </c>
      <c r="C9223" s="488" t="s">
        <v>28556</v>
      </c>
      <c r="D9223" s="489" t="s">
        <v>28557</v>
      </c>
      <c r="E9223" s="487" t="s">
        <v>28558</v>
      </c>
      <c r="F9223" s="490">
        <v>0</v>
      </c>
      <c r="G9223" s="489">
        <v>19.21</v>
      </c>
      <c r="H9223" s="489">
        <v>0</v>
      </c>
      <c r="I9223" s="487" t="s">
        <v>1593</v>
      </c>
      <c r="J9223" s="487" t="s">
        <v>1379</v>
      </c>
    </row>
    <row r="9224" spans="1:10" ht="15" x14ac:dyDescent="0.2">
      <c r="A9224" s="486" t="s">
        <v>1378</v>
      </c>
      <c r="B9224" s="487" t="s">
        <v>1377</v>
      </c>
      <c r="C9224" s="488" t="s">
        <v>28559</v>
      </c>
      <c r="D9224" s="489" t="s">
        <v>28560</v>
      </c>
      <c r="E9224" s="487" t="s">
        <v>28561</v>
      </c>
      <c r="F9224" s="490">
        <v>11271</v>
      </c>
      <c r="G9224" s="489">
        <v>113.79</v>
      </c>
      <c r="H9224" s="489">
        <v>99.050880000000006</v>
      </c>
      <c r="I9224" s="487" t="s">
        <v>1499</v>
      </c>
      <c r="J9224" s="487" t="s">
        <v>1379</v>
      </c>
    </row>
    <row r="9225" spans="1:10" ht="15" x14ac:dyDescent="0.2">
      <c r="A9225" s="486" t="s">
        <v>1378</v>
      </c>
      <c r="B9225" s="487" t="s">
        <v>1377</v>
      </c>
      <c r="C9225" s="488" t="s">
        <v>28562</v>
      </c>
      <c r="D9225" s="489" t="s">
        <v>28563</v>
      </c>
      <c r="E9225" s="487" t="s">
        <v>28564</v>
      </c>
      <c r="F9225" s="490">
        <v>0</v>
      </c>
      <c r="G9225" s="489">
        <v>65.63</v>
      </c>
      <c r="H9225" s="489">
        <v>0</v>
      </c>
      <c r="I9225" s="487" t="s">
        <v>1593</v>
      </c>
      <c r="J9225" s="487" t="s">
        <v>1379</v>
      </c>
    </row>
    <row r="9226" spans="1:10" ht="15" x14ac:dyDescent="0.2">
      <c r="A9226" s="486" t="s">
        <v>1378</v>
      </c>
      <c r="B9226" s="487" t="s">
        <v>1377</v>
      </c>
      <c r="C9226" s="488" t="s">
        <v>28565</v>
      </c>
      <c r="D9226" s="489" t="s">
        <v>28566</v>
      </c>
      <c r="E9226" s="487" t="s">
        <v>28567</v>
      </c>
      <c r="F9226" s="490">
        <v>10097</v>
      </c>
      <c r="G9226" s="489">
        <v>106.18</v>
      </c>
      <c r="H9226" s="489">
        <v>95.093239999999994</v>
      </c>
      <c r="I9226" s="487" t="s">
        <v>1499</v>
      </c>
      <c r="J9226" s="487" t="s">
        <v>1379</v>
      </c>
    </row>
    <row r="9227" spans="1:10" ht="15" x14ac:dyDescent="0.2">
      <c r="A9227" s="486" t="s">
        <v>1378</v>
      </c>
      <c r="B9227" s="487" t="s">
        <v>1377</v>
      </c>
      <c r="C9227" s="488" t="s">
        <v>28568</v>
      </c>
      <c r="D9227" s="489" t="s">
        <v>28569</v>
      </c>
      <c r="E9227" s="487" t="s">
        <v>28570</v>
      </c>
      <c r="F9227" s="490">
        <v>366828</v>
      </c>
      <c r="G9227" s="489">
        <v>2292.7600000000002</v>
      </c>
      <c r="H9227" s="489">
        <v>159.99406999999999</v>
      </c>
      <c r="I9227" s="487" t="s">
        <v>1499</v>
      </c>
      <c r="J9227" s="487" t="s">
        <v>1379</v>
      </c>
    </row>
    <row r="9228" spans="1:10" ht="15" x14ac:dyDescent="0.2">
      <c r="A9228" s="486" t="s">
        <v>1378</v>
      </c>
      <c r="B9228" s="487" t="s">
        <v>1377</v>
      </c>
      <c r="C9228" s="488" t="s">
        <v>28571</v>
      </c>
      <c r="D9228" s="489" t="s">
        <v>28572</v>
      </c>
      <c r="E9228" s="487" t="s">
        <v>4600</v>
      </c>
      <c r="F9228" s="490">
        <v>39265</v>
      </c>
      <c r="G9228" s="489">
        <v>436.25</v>
      </c>
      <c r="H9228" s="489">
        <v>90.00573</v>
      </c>
      <c r="I9228" s="487" t="s">
        <v>1499</v>
      </c>
      <c r="J9228" s="487" t="s">
        <v>1379</v>
      </c>
    </row>
    <row r="9229" spans="1:10" ht="15" x14ac:dyDescent="0.2">
      <c r="A9229" s="486" t="s">
        <v>1378</v>
      </c>
      <c r="B9229" s="487" t="s">
        <v>1377</v>
      </c>
      <c r="C9229" s="488" t="s">
        <v>28573</v>
      </c>
      <c r="D9229" s="489" t="s">
        <v>28574</v>
      </c>
      <c r="E9229" s="487" t="s">
        <v>28575</v>
      </c>
      <c r="F9229" s="490">
        <v>1006971</v>
      </c>
      <c r="G9229" s="489">
        <v>5814.88</v>
      </c>
      <c r="H9229" s="489">
        <v>173.17142000000001</v>
      </c>
      <c r="I9229" s="487" t="s">
        <v>1499</v>
      </c>
      <c r="J9229" s="487" t="s">
        <v>1379</v>
      </c>
    </row>
    <row r="9230" spans="1:10" ht="15" x14ac:dyDescent="0.2">
      <c r="A9230" s="486" t="s">
        <v>1378</v>
      </c>
      <c r="B9230" s="487" t="s">
        <v>1377</v>
      </c>
      <c r="C9230" s="488" t="s">
        <v>28576</v>
      </c>
      <c r="D9230" s="489" t="s">
        <v>28577</v>
      </c>
      <c r="E9230" s="487" t="s">
        <v>28578</v>
      </c>
      <c r="F9230" s="490">
        <v>4072</v>
      </c>
      <c r="G9230" s="489">
        <v>65.63</v>
      </c>
      <c r="H9230" s="489">
        <v>62.044800000000002</v>
      </c>
      <c r="I9230" s="487" t="s">
        <v>1499</v>
      </c>
      <c r="J9230" s="487" t="s">
        <v>1379</v>
      </c>
    </row>
    <row r="9231" spans="1:10" ht="15" x14ac:dyDescent="0.2">
      <c r="A9231" s="486" t="s">
        <v>1378</v>
      </c>
      <c r="B9231" s="487" t="s">
        <v>1377</v>
      </c>
      <c r="C9231" s="488" t="s">
        <v>28579</v>
      </c>
      <c r="D9231" s="489" t="s">
        <v>28580</v>
      </c>
      <c r="E9231" s="487" t="s">
        <v>28581</v>
      </c>
      <c r="F9231" s="490">
        <v>11082</v>
      </c>
      <c r="G9231" s="489">
        <v>136.47999999999999</v>
      </c>
      <c r="H9231" s="489">
        <v>81.198710000000005</v>
      </c>
      <c r="I9231" s="487" t="s">
        <v>1499</v>
      </c>
      <c r="J9231" s="487" t="s">
        <v>1379</v>
      </c>
    </row>
    <row r="9232" spans="1:10" ht="15" x14ac:dyDescent="0.2">
      <c r="A9232" s="486" t="s">
        <v>1378</v>
      </c>
      <c r="B9232" s="487" t="s">
        <v>1377</v>
      </c>
      <c r="C9232" s="488" t="s">
        <v>28582</v>
      </c>
      <c r="D9232" s="489" t="s">
        <v>28583</v>
      </c>
      <c r="E9232" s="487" t="s">
        <v>28584</v>
      </c>
      <c r="F9232" s="490">
        <v>12620</v>
      </c>
      <c r="G9232" s="489">
        <v>349.18</v>
      </c>
      <c r="H9232" s="489">
        <v>36.141820000000003</v>
      </c>
      <c r="I9232" s="487" t="s">
        <v>1499</v>
      </c>
      <c r="J9232" s="487" t="s">
        <v>1379</v>
      </c>
    </row>
    <row r="9233" spans="1:10" ht="15" x14ac:dyDescent="0.2">
      <c r="A9233" s="486" t="s">
        <v>1378</v>
      </c>
      <c r="B9233" s="487" t="s">
        <v>1377</v>
      </c>
      <c r="C9233" s="488" t="s">
        <v>28585</v>
      </c>
      <c r="D9233" s="489" t="s">
        <v>28586</v>
      </c>
      <c r="E9233" s="487" t="s">
        <v>28587</v>
      </c>
      <c r="F9233" s="490">
        <v>4412</v>
      </c>
      <c r="G9233" s="489">
        <v>91.91</v>
      </c>
      <c r="H9233" s="489">
        <v>48.003480000000003</v>
      </c>
      <c r="I9233" s="487" t="s">
        <v>1499</v>
      </c>
      <c r="J9233" s="487" t="s">
        <v>1379</v>
      </c>
    </row>
    <row r="9234" spans="1:10" ht="15" x14ac:dyDescent="0.2">
      <c r="A9234" s="486" t="s">
        <v>1378</v>
      </c>
      <c r="B9234" s="487" t="s">
        <v>1377</v>
      </c>
      <c r="C9234" s="488" t="s">
        <v>28588</v>
      </c>
      <c r="D9234" s="489" t="s">
        <v>28589</v>
      </c>
      <c r="E9234" s="487" t="s">
        <v>28590</v>
      </c>
      <c r="F9234" s="490">
        <v>254900</v>
      </c>
      <c r="G9234" s="489">
        <v>1909.54</v>
      </c>
      <c r="H9234" s="489">
        <v>133.48765</v>
      </c>
      <c r="I9234" s="487" t="s">
        <v>1499</v>
      </c>
      <c r="J9234" s="487" t="s">
        <v>1379</v>
      </c>
    </row>
    <row r="9235" spans="1:10" ht="15" x14ac:dyDescent="0.2">
      <c r="A9235" s="486" t="s">
        <v>1378</v>
      </c>
      <c r="B9235" s="487" t="s">
        <v>1377</v>
      </c>
      <c r="C9235" s="488" t="s">
        <v>28591</v>
      </c>
      <c r="D9235" s="489" t="s">
        <v>28592</v>
      </c>
      <c r="E9235" s="487" t="s">
        <v>28593</v>
      </c>
      <c r="F9235" s="490">
        <v>1463</v>
      </c>
      <c r="G9235" s="489">
        <v>56.5</v>
      </c>
      <c r="H9235" s="489">
        <v>25.893809999999998</v>
      </c>
      <c r="I9235" s="487" t="s">
        <v>1499</v>
      </c>
      <c r="J9235" s="487" t="s">
        <v>1379</v>
      </c>
    </row>
    <row r="9236" spans="1:10" ht="15" x14ac:dyDescent="0.2">
      <c r="A9236" s="486" t="s">
        <v>1378</v>
      </c>
      <c r="B9236" s="487" t="s">
        <v>1377</v>
      </c>
      <c r="C9236" s="488" t="s">
        <v>28594</v>
      </c>
      <c r="D9236" s="489" t="s">
        <v>28595</v>
      </c>
      <c r="E9236" s="487" t="s">
        <v>28596</v>
      </c>
      <c r="F9236" s="490">
        <v>18046</v>
      </c>
      <c r="G9236" s="489">
        <v>303.12</v>
      </c>
      <c r="H9236" s="489">
        <v>59.534179999999999</v>
      </c>
      <c r="I9236" s="487" t="s">
        <v>1499</v>
      </c>
      <c r="J9236" s="487" t="s">
        <v>1379</v>
      </c>
    </row>
    <row r="9237" spans="1:10" ht="15" x14ac:dyDescent="0.2">
      <c r="A9237" s="486" t="s">
        <v>1378</v>
      </c>
      <c r="B9237" s="487" t="s">
        <v>1377</v>
      </c>
      <c r="C9237" s="488" t="s">
        <v>28597</v>
      </c>
      <c r="D9237" s="489" t="s">
        <v>28598</v>
      </c>
      <c r="E9237" s="487" t="s">
        <v>28599</v>
      </c>
      <c r="F9237" s="490">
        <v>21000</v>
      </c>
      <c r="G9237" s="489">
        <v>443.76</v>
      </c>
      <c r="H9237" s="489">
        <v>47.322879999999998</v>
      </c>
      <c r="I9237" s="487" t="s">
        <v>1499</v>
      </c>
      <c r="J9237" s="487" t="s">
        <v>1379</v>
      </c>
    </row>
    <row r="9238" spans="1:10" ht="15" x14ac:dyDescent="0.2">
      <c r="A9238" s="486" t="s">
        <v>1378</v>
      </c>
      <c r="B9238" s="487" t="s">
        <v>1377</v>
      </c>
      <c r="C9238" s="488" t="s">
        <v>28600</v>
      </c>
      <c r="D9238" s="489" t="s">
        <v>28601</v>
      </c>
      <c r="E9238" s="487" t="s">
        <v>28602</v>
      </c>
      <c r="F9238" s="490">
        <v>8570</v>
      </c>
      <c r="G9238" s="489">
        <v>92.61</v>
      </c>
      <c r="H9238" s="489">
        <v>92.538600000000002</v>
      </c>
      <c r="I9238" s="487" t="s">
        <v>1499</v>
      </c>
      <c r="J9238" s="487" t="s">
        <v>1379</v>
      </c>
    </row>
    <row r="9239" spans="1:10" ht="15" x14ac:dyDescent="0.2">
      <c r="A9239" s="486" t="s">
        <v>1378</v>
      </c>
      <c r="B9239" s="487" t="s">
        <v>1377</v>
      </c>
      <c r="C9239" s="488" t="s">
        <v>28603</v>
      </c>
      <c r="D9239" s="489" t="s">
        <v>28604</v>
      </c>
      <c r="E9239" s="487" t="s">
        <v>28605</v>
      </c>
      <c r="F9239" s="490">
        <v>8509</v>
      </c>
      <c r="G9239" s="489">
        <v>96.97</v>
      </c>
      <c r="H9239" s="489">
        <v>87.74879</v>
      </c>
      <c r="I9239" s="487" t="s">
        <v>1499</v>
      </c>
      <c r="J9239" s="487" t="s">
        <v>1379</v>
      </c>
    </row>
    <row r="9240" spans="1:10" ht="15" x14ac:dyDescent="0.2">
      <c r="A9240" s="486" t="s">
        <v>1378</v>
      </c>
      <c r="B9240" s="487" t="s">
        <v>1377</v>
      </c>
      <c r="C9240" s="488" t="s">
        <v>28606</v>
      </c>
      <c r="D9240" s="489" t="s">
        <v>28607</v>
      </c>
      <c r="E9240" s="487" t="s">
        <v>6714</v>
      </c>
      <c r="F9240" s="490">
        <v>71010</v>
      </c>
      <c r="G9240" s="489">
        <v>947.17</v>
      </c>
      <c r="H9240" s="489">
        <v>74.970699999999994</v>
      </c>
      <c r="I9240" s="487" t="s">
        <v>1499</v>
      </c>
      <c r="J9240" s="487" t="s">
        <v>1379</v>
      </c>
    </row>
    <row r="9241" spans="1:10" ht="15" x14ac:dyDescent="0.2">
      <c r="A9241" s="486" t="s">
        <v>1378</v>
      </c>
      <c r="B9241" s="487" t="s">
        <v>1377</v>
      </c>
      <c r="C9241" s="488" t="s">
        <v>28608</v>
      </c>
      <c r="D9241" s="489" t="s">
        <v>28609</v>
      </c>
      <c r="E9241" s="487" t="s">
        <v>28610</v>
      </c>
      <c r="F9241" s="490">
        <v>24397</v>
      </c>
      <c r="G9241" s="489">
        <v>231.5</v>
      </c>
      <c r="H9241" s="489">
        <v>105.38661</v>
      </c>
      <c r="I9241" s="487" t="s">
        <v>1499</v>
      </c>
      <c r="J9241" s="487" t="s">
        <v>1379</v>
      </c>
    </row>
    <row r="9242" spans="1:10" ht="15" x14ac:dyDescent="0.2">
      <c r="A9242" s="486" t="s">
        <v>1378</v>
      </c>
      <c r="B9242" s="487" t="s">
        <v>1377</v>
      </c>
      <c r="C9242" s="488" t="s">
        <v>28611</v>
      </c>
      <c r="D9242" s="489" t="s">
        <v>28612</v>
      </c>
      <c r="E9242" s="487" t="s">
        <v>28613</v>
      </c>
      <c r="F9242" s="490">
        <v>13007</v>
      </c>
      <c r="G9242" s="489">
        <v>173.92</v>
      </c>
      <c r="H9242" s="489">
        <v>74.787260000000003</v>
      </c>
      <c r="I9242" s="487" t="s">
        <v>1499</v>
      </c>
      <c r="J9242" s="487" t="s">
        <v>1379</v>
      </c>
    </row>
    <row r="9243" spans="1:10" ht="15" x14ac:dyDescent="0.2">
      <c r="A9243" s="486" t="s">
        <v>1378</v>
      </c>
      <c r="B9243" s="487" t="s">
        <v>1377</v>
      </c>
      <c r="C9243" s="488" t="s">
        <v>28614</v>
      </c>
      <c r="D9243" s="489" t="s">
        <v>28615</v>
      </c>
      <c r="E9243" s="487" t="s">
        <v>28616</v>
      </c>
      <c r="F9243" s="490">
        <v>7000</v>
      </c>
      <c r="G9243" s="489">
        <v>128.71</v>
      </c>
      <c r="H9243" s="489">
        <v>54.385829999999999</v>
      </c>
      <c r="I9243" s="487" t="s">
        <v>1499</v>
      </c>
      <c r="J9243" s="487" t="s">
        <v>1379</v>
      </c>
    </row>
    <row r="9244" spans="1:10" ht="15" x14ac:dyDescent="0.2">
      <c r="A9244" s="486" t="s">
        <v>1378</v>
      </c>
      <c r="B9244" s="487" t="s">
        <v>1377</v>
      </c>
      <c r="C9244" s="488" t="s">
        <v>28617</v>
      </c>
      <c r="D9244" s="489" t="s">
        <v>28618</v>
      </c>
      <c r="E9244" s="487" t="s">
        <v>28619</v>
      </c>
      <c r="F9244" s="490">
        <v>1800</v>
      </c>
      <c r="G9244" s="489">
        <v>100.4</v>
      </c>
      <c r="H9244" s="489">
        <v>17.928290000000001</v>
      </c>
      <c r="I9244" s="487" t="s">
        <v>1499</v>
      </c>
      <c r="J9244" s="487" t="s">
        <v>1379</v>
      </c>
    </row>
    <row r="9245" spans="1:10" ht="15" x14ac:dyDescent="0.2">
      <c r="A9245" s="486" t="s">
        <v>1378</v>
      </c>
      <c r="B9245" s="487" t="s">
        <v>1377</v>
      </c>
      <c r="C9245" s="488" t="s">
        <v>28620</v>
      </c>
      <c r="D9245" s="489" t="s">
        <v>28621</v>
      </c>
      <c r="E9245" s="487" t="s">
        <v>28622</v>
      </c>
      <c r="F9245" s="490">
        <v>20000</v>
      </c>
      <c r="G9245" s="489">
        <v>292.58999999999997</v>
      </c>
      <c r="H9245" s="489">
        <v>68.355040000000002</v>
      </c>
      <c r="I9245" s="487" t="s">
        <v>1499</v>
      </c>
      <c r="J9245" s="487" t="s">
        <v>1379</v>
      </c>
    </row>
    <row r="9246" spans="1:10" ht="15" x14ac:dyDescent="0.2">
      <c r="A9246" s="486" t="s">
        <v>1378</v>
      </c>
      <c r="B9246" s="487" t="s">
        <v>1377</v>
      </c>
      <c r="C9246" s="488" t="s">
        <v>28623</v>
      </c>
      <c r="D9246" s="489" t="s">
        <v>28624</v>
      </c>
      <c r="E9246" s="487" t="s">
        <v>28625</v>
      </c>
      <c r="F9246" s="490">
        <v>16275</v>
      </c>
      <c r="G9246" s="489">
        <v>170.09</v>
      </c>
      <c r="H9246" s="489">
        <v>95.684640000000002</v>
      </c>
      <c r="I9246" s="487" t="s">
        <v>1499</v>
      </c>
      <c r="J9246" s="487" t="s">
        <v>1379</v>
      </c>
    </row>
    <row r="9247" spans="1:10" ht="15" x14ac:dyDescent="0.2">
      <c r="A9247" s="486" t="s">
        <v>1378</v>
      </c>
      <c r="B9247" s="487" t="s">
        <v>1377</v>
      </c>
      <c r="C9247" s="488" t="s">
        <v>28626</v>
      </c>
      <c r="D9247" s="489" t="s">
        <v>28627</v>
      </c>
      <c r="E9247" s="487" t="s">
        <v>28628</v>
      </c>
      <c r="F9247" s="490">
        <v>62327</v>
      </c>
      <c r="G9247" s="489">
        <v>581.25</v>
      </c>
      <c r="H9247" s="489">
        <v>107.22924999999999</v>
      </c>
      <c r="I9247" s="487" t="s">
        <v>1499</v>
      </c>
      <c r="J9247" s="487" t="s">
        <v>1379</v>
      </c>
    </row>
    <row r="9248" spans="1:10" ht="15" x14ac:dyDescent="0.2">
      <c r="A9248" s="486" t="s">
        <v>1378</v>
      </c>
      <c r="B9248" s="487" t="s">
        <v>1377</v>
      </c>
      <c r="C9248" s="488" t="s">
        <v>28629</v>
      </c>
      <c r="D9248" s="489" t="s">
        <v>28630</v>
      </c>
      <c r="E9248" s="487" t="s">
        <v>28631</v>
      </c>
      <c r="F9248" s="490">
        <v>2180</v>
      </c>
      <c r="G9248" s="489">
        <v>96.14</v>
      </c>
      <c r="H9248" s="489">
        <v>22.675270000000001</v>
      </c>
      <c r="I9248" s="487" t="s">
        <v>1499</v>
      </c>
      <c r="J9248" s="487" t="s">
        <v>1379</v>
      </c>
    </row>
    <row r="9249" spans="1:10" ht="15" x14ac:dyDescent="0.2">
      <c r="A9249" s="486" t="s">
        <v>1378</v>
      </c>
      <c r="B9249" s="487" t="s">
        <v>1377</v>
      </c>
      <c r="C9249" s="488" t="s">
        <v>28632</v>
      </c>
      <c r="D9249" s="489" t="s">
        <v>28633</v>
      </c>
      <c r="E9249" s="487" t="s">
        <v>28634</v>
      </c>
      <c r="F9249" s="490">
        <v>10500</v>
      </c>
      <c r="G9249" s="489">
        <v>220.74</v>
      </c>
      <c r="H9249" s="489">
        <v>47.567270000000001</v>
      </c>
      <c r="I9249" s="487" t="s">
        <v>1499</v>
      </c>
      <c r="J9249" s="487" t="s">
        <v>1379</v>
      </c>
    </row>
    <row r="9250" spans="1:10" ht="15" x14ac:dyDescent="0.2">
      <c r="A9250" s="486" t="s">
        <v>1378</v>
      </c>
      <c r="B9250" s="487" t="s">
        <v>1377</v>
      </c>
      <c r="C9250" s="488" t="s">
        <v>28635</v>
      </c>
      <c r="D9250" s="489" t="s">
        <v>28636</v>
      </c>
      <c r="E9250" s="487" t="s">
        <v>28637</v>
      </c>
      <c r="F9250" s="490">
        <v>55404</v>
      </c>
      <c r="G9250" s="489">
        <v>533.92999999999995</v>
      </c>
      <c r="H9250" s="489">
        <v>103.76640999999999</v>
      </c>
      <c r="I9250" s="487" t="s">
        <v>1499</v>
      </c>
      <c r="J9250" s="487" t="s">
        <v>1379</v>
      </c>
    </row>
    <row r="9251" spans="1:10" ht="15" x14ac:dyDescent="0.2">
      <c r="A9251" s="486" t="s">
        <v>1378</v>
      </c>
      <c r="B9251" s="487" t="s">
        <v>1377</v>
      </c>
      <c r="C9251" s="488" t="s">
        <v>28638</v>
      </c>
      <c r="D9251" s="489" t="s">
        <v>28639</v>
      </c>
      <c r="E9251" s="487" t="s">
        <v>28640</v>
      </c>
      <c r="F9251" s="490">
        <v>10040</v>
      </c>
      <c r="G9251" s="489">
        <v>327.27999999999997</v>
      </c>
      <c r="H9251" s="489">
        <v>30.677099999999999</v>
      </c>
      <c r="I9251" s="487" t="s">
        <v>1499</v>
      </c>
      <c r="J9251" s="487" t="s">
        <v>1379</v>
      </c>
    </row>
    <row r="9252" spans="1:10" ht="15" x14ac:dyDescent="0.2">
      <c r="A9252" s="486" t="s">
        <v>1378</v>
      </c>
      <c r="B9252" s="487" t="s">
        <v>1377</v>
      </c>
      <c r="C9252" s="488" t="s">
        <v>28641</v>
      </c>
      <c r="D9252" s="489" t="s">
        <v>28642</v>
      </c>
      <c r="E9252" s="487" t="s">
        <v>28643</v>
      </c>
      <c r="F9252" s="490">
        <v>500</v>
      </c>
      <c r="G9252" s="489">
        <v>60.69</v>
      </c>
      <c r="H9252" s="489">
        <v>8.2385900000000003</v>
      </c>
      <c r="I9252" s="487" t="s">
        <v>1499</v>
      </c>
      <c r="J9252" s="487" t="s">
        <v>1379</v>
      </c>
    </row>
    <row r="9253" spans="1:10" ht="15" x14ac:dyDescent="0.2">
      <c r="A9253" s="486" t="s">
        <v>1378</v>
      </c>
      <c r="B9253" s="487" t="s">
        <v>1377</v>
      </c>
      <c r="C9253" s="488" t="s">
        <v>28644</v>
      </c>
      <c r="D9253" s="489" t="s">
        <v>28645</v>
      </c>
      <c r="E9253" s="487" t="s">
        <v>28646</v>
      </c>
      <c r="F9253" s="490">
        <v>20477</v>
      </c>
      <c r="G9253" s="489">
        <v>227.06</v>
      </c>
      <c r="H9253" s="489">
        <v>90.183210000000003</v>
      </c>
      <c r="I9253" s="487" t="s">
        <v>1499</v>
      </c>
      <c r="J9253" s="487" t="s">
        <v>1379</v>
      </c>
    </row>
    <row r="9254" spans="1:10" ht="15" x14ac:dyDescent="0.2">
      <c r="A9254" s="486" t="s">
        <v>1378</v>
      </c>
      <c r="B9254" s="487" t="s">
        <v>1377</v>
      </c>
      <c r="C9254" s="488" t="s">
        <v>28647</v>
      </c>
      <c r="D9254" s="489" t="s">
        <v>28648</v>
      </c>
      <c r="E9254" s="487" t="s">
        <v>28649</v>
      </c>
      <c r="F9254" s="490">
        <v>11760</v>
      </c>
      <c r="G9254" s="489">
        <v>274.32</v>
      </c>
      <c r="H9254" s="489">
        <v>42.869639999999997</v>
      </c>
      <c r="I9254" s="487" t="s">
        <v>1499</v>
      </c>
      <c r="J9254" s="487" t="s">
        <v>1379</v>
      </c>
    </row>
    <row r="9255" spans="1:10" ht="15" x14ac:dyDescent="0.2">
      <c r="A9255" s="486" t="s">
        <v>764</v>
      </c>
      <c r="B9255" s="487" t="s">
        <v>763</v>
      </c>
      <c r="C9255" s="488" t="s">
        <v>28650</v>
      </c>
      <c r="D9255" s="489" t="s">
        <v>28651</v>
      </c>
      <c r="E9255" s="487" t="s">
        <v>28652</v>
      </c>
      <c r="F9255" s="490">
        <v>58115</v>
      </c>
      <c r="G9255" s="489">
        <v>3594</v>
      </c>
      <c r="H9255" s="489">
        <v>16.170010000000001</v>
      </c>
      <c r="I9255" s="487" t="s">
        <v>1499</v>
      </c>
      <c r="J9255" s="487" t="s">
        <v>765</v>
      </c>
    </row>
    <row r="9256" spans="1:10" ht="15" x14ac:dyDescent="0.2">
      <c r="A9256" s="486" t="s">
        <v>826</v>
      </c>
      <c r="B9256" s="487" t="s">
        <v>825</v>
      </c>
      <c r="C9256" s="488" t="s">
        <v>28653</v>
      </c>
      <c r="D9256" s="489" t="s">
        <v>28654</v>
      </c>
      <c r="E9256" s="487" t="s">
        <v>13703</v>
      </c>
      <c r="F9256" s="490">
        <v>49051</v>
      </c>
      <c r="G9256" s="489">
        <v>631.80999999999995</v>
      </c>
      <c r="H9256" s="489">
        <v>77.635679999999994</v>
      </c>
      <c r="I9256" s="487" t="s">
        <v>1499</v>
      </c>
      <c r="J9256" s="487" t="s">
        <v>827</v>
      </c>
    </row>
    <row r="9257" spans="1:10" ht="15" x14ac:dyDescent="0.2">
      <c r="A9257" s="486" t="s">
        <v>826</v>
      </c>
      <c r="B9257" s="487" t="s">
        <v>825</v>
      </c>
      <c r="C9257" s="488" t="s">
        <v>28655</v>
      </c>
      <c r="D9257" s="489" t="s">
        <v>28656</v>
      </c>
      <c r="E9257" s="487" t="s">
        <v>28657</v>
      </c>
      <c r="F9257" s="490">
        <v>5677</v>
      </c>
      <c r="G9257" s="489">
        <v>155.53</v>
      </c>
      <c r="H9257" s="489">
        <v>36.500999999999998</v>
      </c>
      <c r="I9257" s="487" t="s">
        <v>1499</v>
      </c>
      <c r="J9257" s="487" t="s">
        <v>827</v>
      </c>
    </row>
    <row r="9258" spans="1:10" ht="15" x14ac:dyDescent="0.2">
      <c r="A9258" s="486" t="s">
        <v>826</v>
      </c>
      <c r="B9258" s="487" t="s">
        <v>825</v>
      </c>
      <c r="C9258" s="488" t="s">
        <v>28658</v>
      </c>
      <c r="D9258" s="489" t="s">
        <v>28659</v>
      </c>
      <c r="E9258" s="487" t="s">
        <v>6921</v>
      </c>
      <c r="F9258" s="490">
        <v>596727</v>
      </c>
      <c r="G9258" s="489">
        <v>7599.64</v>
      </c>
      <c r="H9258" s="489">
        <v>78.520430000000005</v>
      </c>
      <c r="I9258" s="487" t="s">
        <v>1499</v>
      </c>
      <c r="J9258" s="487" t="s">
        <v>827</v>
      </c>
    </row>
    <row r="9259" spans="1:10" ht="15" x14ac:dyDescent="0.2">
      <c r="A9259" s="486" t="s">
        <v>826</v>
      </c>
      <c r="B9259" s="487" t="s">
        <v>825</v>
      </c>
      <c r="C9259" s="488" t="s">
        <v>28660</v>
      </c>
      <c r="D9259" s="489" t="s">
        <v>28661</v>
      </c>
      <c r="E9259" s="487" t="s">
        <v>2375</v>
      </c>
      <c r="F9259" s="490">
        <v>28421</v>
      </c>
      <c r="G9259" s="489">
        <v>488.24</v>
      </c>
      <c r="H9259" s="489">
        <v>58.211129999999997</v>
      </c>
      <c r="I9259" s="487" t="s">
        <v>1499</v>
      </c>
      <c r="J9259" s="487" t="s">
        <v>827</v>
      </c>
    </row>
    <row r="9260" spans="1:10" ht="15" x14ac:dyDescent="0.2">
      <c r="A9260" s="486" t="s">
        <v>826</v>
      </c>
      <c r="B9260" s="487" t="s">
        <v>825</v>
      </c>
      <c r="C9260" s="488" t="s">
        <v>28662</v>
      </c>
      <c r="D9260" s="489" t="s">
        <v>28663</v>
      </c>
      <c r="E9260" s="487" t="s">
        <v>28664</v>
      </c>
      <c r="F9260" s="490">
        <v>10750</v>
      </c>
      <c r="G9260" s="489">
        <v>156.41</v>
      </c>
      <c r="H9260" s="489">
        <v>68.729619999999997</v>
      </c>
      <c r="I9260" s="487" t="s">
        <v>1499</v>
      </c>
      <c r="J9260" s="487" t="s">
        <v>827</v>
      </c>
    </row>
    <row r="9261" spans="1:10" ht="15" x14ac:dyDescent="0.2">
      <c r="A9261" s="486" t="s">
        <v>826</v>
      </c>
      <c r="B9261" s="487" t="s">
        <v>825</v>
      </c>
      <c r="C9261" s="488" t="s">
        <v>28665</v>
      </c>
      <c r="D9261" s="489" t="s">
        <v>28666</v>
      </c>
      <c r="E9261" s="487" t="s">
        <v>28667</v>
      </c>
      <c r="F9261" s="490">
        <v>162700</v>
      </c>
      <c r="G9261" s="489">
        <v>2622.48</v>
      </c>
      <c r="H9261" s="489">
        <v>62.040509999999998</v>
      </c>
      <c r="I9261" s="487" t="s">
        <v>1499</v>
      </c>
      <c r="J9261" s="487" t="s">
        <v>827</v>
      </c>
    </row>
    <row r="9262" spans="1:10" ht="15" x14ac:dyDescent="0.2">
      <c r="A9262" s="486" t="s">
        <v>826</v>
      </c>
      <c r="B9262" s="487" t="s">
        <v>825</v>
      </c>
      <c r="C9262" s="488" t="s">
        <v>28668</v>
      </c>
      <c r="D9262" s="489" t="s">
        <v>28669</v>
      </c>
      <c r="E9262" s="487" t="s">
        <v>28670</v>
      </c>
      <c r="F9262" s="490">
        <v>141416</v>
      </c>
      <c r="G9262" s="489">
        <v>1335.74</v>
      </c>
      <c r="H9262" s="489">
        <v>105.87090000000001</v>
      </c>
      <c r="I9262" s="487" t="s">
        <v>1499</v>
      </c>
      <c r="J9262" s="487" t="s">
        <v>827</v>
      </c>
    </row>
    <row r="9263" spans="1:10" ht="15" x14ac:dyDescent="0.2">
      <c r="A9263" s="486" t="s">
        <v>826</v>
      </c>
      <c r="B9263" s="487" t="s">
        <v>825</v>
      </c>
      <c r="C9263" s="488" t="s">
        <v>28671</v>
      </c>
      <c r="D9263" s="489" t="s">
        <v>28672</v>
      </c>
      <c r="E9263" s="487" t="s">
        <v>28673</v>
      </c>
      <c r="F9263" s="490">
        <v>157565</v>
      </c>
      <c r="G9263" s="489">
        <v>1385.72</v>
      </c>
      <c r="H9263" s="489">
        <v>113.70623000000001</v>
      </c>
      <c r="I9263" s="487" t="s">
        <v>1499</v>
      </c>
      <c r="J9263" s="487" t="s">
        <v>827</v>
      </c>
    </row>
    <row r="9264" spans="1:10" ht="15" x14ac:dyDescent="0.2">
      <c r="A9264" s="486" t="s">
        <v>826</v>
      </c>
      <c r="B9264" s="487" t="s">
        <v>825</v>
      </c>
      <c r="C9264" s="488" t="s">
        <v>28674</v>
      </c>
      <c r="D9264" s="489" t="s">
        <v>28675</v>
      </c>
      <c r="E9264" s="487" t="s">
        <v>28676</v>
      </c>
      <c r="F9264" s="490">
        <v>17398</v>
      </c>
      <c r="G9264" s="489">
        <v>284.69</v>
      </c>
      <c r="H9264" s="489">
        <v>61.112090000000002</v>
      </c>
      <c r="I9264" s="487" t="s">
        <v>1499</v>
      </c>
      <c r="J9264" s="487" t="s">
        <v>827</v>
      </c>
    </row>
    <row r="9265" spans="1:10" ht="15" x14ac:dyDescent="0.2">
      <c r="A9265" s="486" t="s">
        <v>826</v>
      </c>
      <c r="B9265" s="487" t="s">
        <v>825</v>
      </c>
      <c r="C9265" s="488" t="s">
        <v>28677</v>
      </c>
      <c r="D9265" s="489" t="s">
        <v>28678</v>
      </c>
      <c r="E9265" s="487" t="s">
        <v>28679</v>
      </c>
      <c r="F9265" s="490">
        <v>87820</v>
      </c>
      <c r="G9265" s="489">
        <v>1256.55</v>
      </c>
      <c r="H9265" s="489">
        <v>69.889780000000002</v>
      </c>
      <c r="I9265" s="487" t="s">
        <v>1499</v>
      </c>
      <c r="J9265" s="487" t="s">
        <v>827</v>
      </c>
    </row>
    <row r="9266" spans="1:10" ht="15" x14ac:dyDescent="0.2">
      <c r="A9266" s="486" t="s">
        <v>826</v>
      </c>
      <c r="B9266" s="487" t="s">
        <v>825</v>
      </c>
      <c r="C9266" s="488" t="s">
        <v>28680</v>
      </c>
      <c r="D9266" s="489" t="s">
        <v>28681</v>
      </c>
      <c r="E9266" s="487" t="s">
        <v>28682</v>
      </c>
      <c r="F9266" s="490">
        <v>18000</v>
      </c>
      <c r="G9266" s="489">
        <v>310.66000000000003</v>
      </c>
      <c r="H9266" s="489">
        <v>57.941160000000004</v>
      </c>
      <c r="I9266" s="487" t="s">
        <v>1499</v>
      </c>
      <c r="J9266" s="487" t="s">
        <v>827</v>
      </c>
    </row>
    <row r="9267" spans="1:10" ht="15" x14ac:dyDescent="0.2">
      <c r="A9267" s="486" t="s">
        <v>826</v>
      </c>
      <c r="B9267" s="487" t="s">
        <v>825</v>
      </c>
      <c r="C9267" s="488" t="s">
        <v>28683</v>
      </c>
      <c r="D9267" s="489" t="s">
        <v>28684</v>
      </c>
      <c r="E9267" s="487" t="s">
        <v>6373</v>
      </c>
      <c r="F9267" s="490">
        <v>105362</v>
      </c>
      <c r="G9267" s="489">
        <v>911.79</v>
      </c>
      <c r="H9267" s="489">
        <v>115.55512</v>
      </c>
      <c r="I9267" s="487" t="s">
        <v>1499</v>
      </c>
      <c r="J9267" s="487" t="s">
        <v>827</v>
      </c>
    </row>
    <row r="9268" spans="1:10" ht="15" x14ac:dyDescent="0.2">
      <c r="A9268" s="486" t="s">
        <v>826</v>
      </c>
      <c r="B9268" s="487" t="s">
        <v>825</v>
      </c>
      <c r="C9268" s="488" t="s">
        <v>28685</v>
      </c>
      <c r="D9268" s="489" t="s">
        <v>28686</v>
      </c>
      <c r="E9268" s="487" t="s">
        <v>28687</v>
      </c>
      <c r="F9268" s="490">
        <v>25375</v>
      </c>
      <c r="G9268" s="489">
        <v>515.67999999999995</v>
      </c>
      <c r="H9268" s="489">
        <v>49.206870000000002</v>
      </c>
      <c r="I9268" s="487" t="s">
        <v>1499</v>
      </c>
      <c r="J9268" s="487" t="s">
        <v>827</v>
      </c>
    </row>
    <row r="9269" spans="1:10" ht="15" x14ac:dyDescent="0.2">
      <c r="A9269" s="486" t="s">
        <v>826</v>
      </c>
      <c r="B9269" s="487" t="s">
        <v>825</v>
      </c>
      <c r="C9269" s="488" t="s">
        <v>28688</v>
      </c>
      <c r="D9269" s="489" t="s">
        <v>28689</v>
      </c>
      <c r="E9269" s="487" t="s">
        <v>28690</v>
      </c>
      <c r="F9269" s="490">
        <v>96248</v>
      </c>
      <c r="G9269" s="489">
        <v>2216.17</v>
      </c>
      <c r="H9269" s="489">
        <v>43.429879999999997</v>
      </c>
      <c r="I9269" s="487" t="s">
        <v>1499</v>
      </c>
      <c r="J9269" s="487" t="s">
        <v>827</v>
      </c>
    </row>
    <row r="9270" spans="1:10" ht="15" x14ac:dyDescent="0.2">
      <c r="A9270" s="486" t="s">
        <v>826</v>
      </c>
      <c r="B9270" s="487" t="s">
        <v>825</v>
      </c>
      <c r="C9270" s="488" t="s">
        <v>28691</v>
      </c>
      <c r="D9270" s="489" t="s">
        <v>28692</v>
      </c>
      <c r="E9270" s="487" t="s">
        <v>28693</v>
      </c>
      <c r="F9270" s="490">
        <v>17898</v>
      </c>
      <c r="G9270" s="489">
        <v>376.81</v>
      </c>
      <c r="H9270" s="489">
        <v>47.498739999999998</v>
      </c>
      <c r="I9270" s="487" t="s">
        <v>1499</v>
      </c>
      <c r="J9270" s="487" t="s">
        <v>827</v>
      </c>
    </row>
    <row r="9271" spans="1:10" ht="15" x14ac:dyDescent="0.2">
      <c r="A9271" s="486" t="s">
        <v>826</v>
      </c>
      <c r="B9271" s="487" t="s">
        <v>825</v>
      </c>
      <c r="C9271" s="488" t="s">
        <v>28694</v>
      </c>
      <c r="D9271" s="489" t="s">
        <v>28695</v>
      </c>
      <c r="E9271" s="487" t="s">
        <v>10056</v>
      </c>
      <c r="F9271" s="490">
        <v>124550</v>
      </c>
      <c r="G9271" s="489">
        <v>1885.52</v>
      </c>
      <c r="H9271" s="489">
        <v>66.056049999999999</v>
      </c>
      <c r="I9271" s="487" t="s">
        <v>1499</v>
      </c>
      <c r="J9271" s="487" t="s">
        <v>827</v>
      </c>
    </row>
    <row r="9272" spans="1:10" ht="15" x14ac:dyDescent="0.2">
      <c r="A9272" s="486" t="s">
        <v>826</v>
      </c>
      <c r="B9272" s="487" t="s">
        <v>825</v>
      </c>
      <c r="C9272" s="488" t="s">
        <v>28696</v>
      </c>
      <c r="D9272" s="489" t="s">
        <v>28697</v>
      </c>
      <c r="E9272" s="487" t="s">
        <v>28698</v>
      </c>
      <c r="F9272" s="490">
        <v>215251</v>
      </c>
      <c r="G9272" s="489">
        <v>1988.03</v>
      </c>
      <c r="H9272" s="489">
        <v>108.27352</v>
      </c>
      <c r="I9272" s="487" t="s">
        <v>1499</v>
      </c>
      <c r="J9272" s="487" t="s">
        <v>827</v>
      </c>
    </row>
    <row r="9273" spans="1:10" ht="15" x14ac:dyDescent="0.2">
      <c r="A9273" s="486" t="s">
        <v>826</v>
      </c>
      <c r="B9273" s="487" t="s">
        <v>825</v>
      </c>
      <c r="C9273" s="488" t="s">
        <v>28699</v>
      </c>
      <c r="D9273" s="489" t="s">
        <v>28700</v>
      </c>
      <c r="E9273" s="487" t="s">
        <v>28701</v>
      </c>
      <c r="F9273" s="490">
        <v>15581</v>
      </c>
      <c r="G9273" s="489">
        <v>402</v>
      </c>
      <c r="H9273" s="489">
        <v>38.758710000000001</v>
      </c>
      <c r="I9273" s="487" t="s">
        <v>1499</v>
      </c>
      <c r="J9273" s="487" t="s">
        <v>827</v>
      </c>
    </row>
    <row r="9274" spans="1:10" ht="15" x14ac:dyDescent="0.2">
      <c r="A9274" s="486" t="s">
        <v>826</v>
      </c>
      <c r="B9274" s="487" t="s">
        <v>825</v>
      </c>
      <c r="C9274" s="488" t="s">
        <v>28702</v>
      </c>
      <c r="D9274" s="489" t="s">
        <v>28703</v>
      </c>
      <c r="E9274" s="487" t="s">
        <v>28704</v>
      </c>
      <c r="F9274" s="490">
        <v>72725</v>
      </c>
      <c r="G9274" s="489">
        <v>1295.27</v>
      </c>
      <c r="H9274" s="489">
        <v>56.146590000000003</v>
      </c>
      <c r="I9274" s="487" t="s">
        <v>1499</v>
      </c>
      <c r="J9274" s="487" t="s">
        <v>827</v>
      </c>
    </row>
    <row r="9275" spans="1:10" ht="15" x14ac:dyDescent="0.2">
      <c r="A9275" s="486" t="s">
        <v>826</v>
      </c>
      <c r="B9275" s="487" t="s">
        <v>825</v>
      </c>
      <c r="C9275" s="488" t="s">
        <v>28705</v>
      </c>
      <c r="D9275" s="489" t="s">
        <v>28706</v>
      </c>
      <c r="E9275" s="487" t="s">
        <v>28707</v>
      </c>
      <c r="F9275" s="490">
        <v>5500</v>
      </c>
      <c r="G9275" s="489">
        <v>184.73</v>
      </c>
      <c r="H9275" s="489">
        <v>29.77318</v>
      </c>
      <c r="I9275" s="487" t="s">
        <v>1499</v>
      </c>
      <c r="J9275" s="487" t="s">
        <v>827</v>
      </c>
    </row>
    <row r="9276" spans="1:10" ht="15" x14ac:dyDescent="0.2">
      <c r="A9276" s="486" t="s">
        <v>826</v>
      </c>
      <c r="B9276" s="487" t="s">
        <v>825</v>
      </c>
      <c r="C9276" s="488" t="s">
        <v>28708</v>
      </c>
      <c r="D9276" s="489" t="s">
        <v>28709</v>
      </c>
      <c r="E9276" s="487" t="s">
        <v>28710</v>
      </c>
      <c r="F9276" s="490">
        <v>28995</v>
      </c>
      <c r="G9276" s="489">
        <v>715.4</v>
      </c>
      <c r="H9276" s="489">
        <v>40.529769999999999</v>
      </c>
      <c r="I9276" s="487" t="s">
        <v>1499</v>
      </c>
      <c r="J9276" s="487" t="s">
        <v>827</v>
      </c>
    </row>
    <row r="9277" spans="1:10" ht="15" x14ac:dyDescent="0.2">
      <c r="A9277" s="486" t="s">
        <v>826</v>
      </c>
      <c r="B9277" s="487" t="s">
        <v>825</v>
      </c>
      <c r="C9277" s="488" t="s">
        <v>28711</v>
      </c>
      <c r="D9277" s="489" t="s">
        <v>28712</v>
      </c>
      <c r="E9277" s="487" t="s">
        <v>28713</v>
      </c>
      <c r="F9277" s="490">
        <v>108112</v>
      </c>
      <c r="G9277" s="489">
        <v>1656.4</v>
      </c>
      <c r="H9277" s="489">
        <v>65.269260000000003</v>
      </c>
      <c r="I9277" s="487" t="s">
        <v>1499</v>
      </c>
      <c r="J9277" s="487" t="s">
        <v>827</v>
      </c>
    </row>
    <row r="9278" spans="1:10" ht="15" x14ac:dyDescent="0.2">
      <c r="A9278" s="486" t="s">
        <v>826</v>
      </c>
      <c r="B9278" s="487" t="s">
        <v>825</v>
      </c>
      <c r="C9278" s="488" t="s">
        <v>28714</v>
      </c>
      <c r="D9278" s="489" t="s">
        <v>28715</v>
      </c>
      <c r="E9278" s="487" t="s">
        <v>28716</v>
      </c>
      <c r="F9278" s="490">
        <v>0</v>
      </c>
      <c r="G9278" s="489">
        <v>107.31</v>
      </c>
      <c r="H9278" s="489">
        <v>0</v>
      </c>
      <c r="I9278" s="487" t="s">
        <v>1593</v>
      </c>
      <c r="J9278" s="487" t="s">
        <v>827</v>
      </c>
    </row>
    <row r="9279" spans="1:10" ht="15" x14ac:dyDescent="0.2">
      <c r="A9279" s="486" t="s">
        <v>826</v>
      </c>
      <c r="B9279" s="487" t="s">
        <v>825</v>
      </c>
      <c r="C9279" s="488" t="s">
        <v>28717</v>
      </c>
      <c r="D9279" s="489" t="s">
        <v>28718</v>
      </c>
      <c r="E9279" s="487" t="s">
        <v>28719</v>
      </c>
      <c r="F9279" s="490">
        <v>387125</v>
      </c>
      <c r="G9279" s="489">
        <v>3746.05</v>
      </c>
      <c r="H9279" s="489">
        <v>103.34219</v>
      </c>
      <c r="I9279" s="487" t="s">
        <v>1499</v>
      </c>
      <c r="J9279" s="487" t="s">
        <v>827</v>
      </c>
    </row>
    <row r="9280" spans="1:10" ht="15" x14ac:dyDescent="0.2">
      <c r="A9280" s="486" t="s">
        <v>1001</v>
      </c>
      <c r="B9280" s="487" t="s">
        <v>1000</v>
      </c>
      <c r="C9280" s="488" t="s">
        <v>28720</v>
      </c>
      <c r="D9280" s="489" t="s">
        <v>28721</v>
      </c>
      <c r="E9280" s="487" t="s">
        <v>28722</v>
      </c>
      <c r="F9280" s="490">
        <v>52800</v>
      </c>
      <c r="G9280" s="489">
        <v>979.37</v>
      </c>
      <c r="H9280" s="489">
        <v>53.912210000000002</v>
      </c>
      <c r="I9280" s="487" t="s">
        <v>1499</v>
      </c>
      <c r="J9280" s="487" t="s">
        <v>1002</v>
      </c>
    </row>
    <row r="9281" spans="1:10" ht="15" x14ac:dyDescent="0.2">
      <c r="A9281" s="486" t="s">
        <v>1001</v>
      </c>
      <c r="B9281" s="487" t="s">
        <v>1000</v>
      </c>
      <c r="C9281" s="488" t="s">
        <v>28723</v>
      </c>
      <c r="D9281" s="489" t="s">
        <v>28724</v>
      </c>
      <c r="E9281" s="487" t="s">
        <v>28725</v>
      </c>
      <c r="F9281" s="490">
        <v>22653</v>
      </c>
      <c r="G9281" s="489">
        <v>577.53</v>
      </c>
      <c r="H9281" s="489">
        <v>39.223939999999999</v>
      </c>
      <c r="I9281" s="487" t="s">
        <v>1499</v>
      </c>
      <c r="J9281" s="487" t="s">
        <v>1002</v>
      </c>
    </row>
    <row r="9282" spans="1:10" ht="15" x14ac:dyDescent="0.2">
      <c r="A9282" s="486" t="s">
        <v>1001</v>
      </c>
      <c r="B9282" s="487" t="s">
        <v>1000</v>
      </c>
      <c r="C9282" s="488" t="s">
        <v>28726</v>
      </c>
      <c r="D9282" s="489" t="s">
        <v>28727</v>
      </c>
      <c r="E9282" s="487" t="s">
        <v>28728</v>
      </c>
      <c r="F9282" s="490">
        <v>42266</v>
      </c>
      <c r="G9282" s="489">
        <v>1326.02</v>
      </c>
      <c r="H9282" s="489">
        <v>31.87433</v>
      </c>
      <c r="I9282" s="487" t="s">
        <v>1499</v>
      </c>
      <c r="J9282" s="487" t="s">
        <v>1002</v>
      </c>
    </row>
    <row r="9283" spans="1:10" ht="15" x14ac:dyDescent="0.2">
      <c r="A9283" s="486" t="s">
        <v>1001</v>
      </c>
      <c r="B9283" s="487" t="s">
        <v>1000</v>
      </c>
      <c r="C9283" s="488" t="s">
        <v>28729</v>
      </c>
      <c r="D9283" s="489" t="s">
        <v>28730</v>
      </c>
      <c r="E9283" s="487" t="s">
        <v>2815</v>
      </c>
      <c r="F9283" s="490">
        <v>18722</v>
      </c>
      <c r="G9283" s="489">
        <v>304.97000000000003</v>
      </c>
      <c r="H9283" s="489">
        <v>61.38964</v>
      </c>
      <c r="I9283" s="487" t="s">
        <v>1499</v>
      </c>
      <c r="J9283" s="487" t="s">
        <v>1002</v>
      </c>
    </row>
    <row r="9284" spans="1:10" ht="15" x14ac:dyDescent="0.2">
      <c r="A9284" s="486" t="s">
        <v>1001</v>
      </c>
      <c r="B9284" s="487" t="s">
        <v>1000</v>
      </c>
      <c r="C9284" s="488" t="s">
        <v>28731</v>
      </c>
      <c r="D9284" s="489" t="s">
        <v>28732</v>
      </c>
      <c r="E9284" s="487" t="s">
        <v>15796</v>
      </c>
      <c r="F9284" s="490">
        <v>127010</v>
      </c>
      <c r="G9284" s="489">
        <v>1733.2</v>
      </c>
      <c r="H9284" s="489">
        <v>73.280640000000005</v>
      </c>
      <c r="I9284" s="487" t="s">
        <v>1499</v>
      </c>
      <c r="J9284" s="487" t="s">
        <v>1002</v>
      </c>
    </row>
    <row r="9285" spans="1:10" ht="15" x14ac:dyDescent="0.2">
      <c r="A9285" s="486" t="s">
        <v>1001</v>
      </c>
      <c r="B9285" s="487" t="s">
        <v>1000</v>
      </c>
      <c r="C9285" s="488" t="s">
        <v>28733</v>
      </c>
      <c r="D9285" s="489" t="s">
        <v>28734</v>
      </c>
      <c r="E9285" s="487" t="s">
        <v>28735</v>
      </c>
      <c r="F9285" s="490">
        <v>78183</v>
      </c>
      <c r="G9285" s="489">
        <v>1081.01</v>
      </c>
      <c r="H9285" s="489">
        <v>72.324029999999993</v>
      </c>
      <c r="I9285" s="487" t="s">
        <v>1499</v>
      </c>
      <c r="J9285" s="487" t="s">
        <v>1002</v>
      </c>
    </row>
    <row r="9286" spans="1:10" ht="15" x14ac:dyDescent="0.2">
      <c r="A9286" s="486" t="s">
        <v>1001</v>
      </c>
      <c r="B9286" s="487" t="s">
        <v>1000</v>
      </c>
      <c r="C9286" s="488" t="s">
        <v>28736</v>
      </c>
      <c r="D9286" s="489" t="s">
        <v>28737</v>
      </c>
      <c r="E9286" s="487" t="s">
        <v>11779</v>
      </c>
      <c r="F9286" s="490">
        <v>18500</v>
      </c>
      <c r="G9286" s="489">
        <v>357.28</v>
      </c>
      <c r="H9286" s="489">
        <v>51.780119999999997</v>
      </c>
      <c r="I9286" s="487" t="s">
        <v>1499</v>
      </c>
      <c r="J9286" s="487" t="s">
        <v>1002</v>
      </c>
    </row>
    <row r="9287" spans="1:10" ht="15" x14ac:dyDescent="0.2">
      <c r="A9287" s="486" t="s">
        <v>1001</v>
      </c>
      <c r="B9287" s="487" t="s">
        <v>1000</v>
      </c>
      <c r="C9287" s="488" t="s">
        <v>28738</v>
      </c>
      <c r="D9287" s="489" t="s">
        <v>28739</v>
      </c>
      <c r="E9287" s="487" t="s">
        <v>28740</v>
      </c>
      <c r="F9287" s="490">
        <v>12500</v>
      </c>
      <c r="G9287" s="489">
        <v>444.45</v>
      </c>
      <c r="H9287" s="489">
        <v>28.124649999999999</v>
      </c>
      <c r="I9287" s="487" t="s">
        <v>1499</v>
      </c>
      <c r="J9287" s="487" t="s">
        <v>1002</v>
      </c>
    </row>
    <row r="9288" spans="1:10" ht="15" x14ac:dyDescent="0.2">
      <c r="A9288" s="486" t="s">
        <v>1001</v>
      </c>
      <c r="B9288" s="487" t="s">
        <v>1000</v>
      </c>
      <c r="C9288" s="488" t="s">
        <v>28741</v>
      </c>
      <c r="D9288" s="489" t="s">
        <v>28742</v>
      </c>
      <c r="E9288" s="487" t="s">
        <v>8661</v>
      </c>
      <c r="F9288" s="490">
        <v>13280</v>
      </c>
      <c r="G9288" s="489">
        <v>461.94</v>
      </c>
      <c r="H9288" s="489">
        <v>28.74832</v>
      </c>
      <c r="I9288" s="487" t="s">
        <v>1499</v>
      </c>
      <c r="J9288" s="487" t="s">
        <v>1002</v>
      </c>
    </row>
    <row r="9289" spans="1:10" ht="15" x14ac:dyDescent="0.2">
      <c r="A9289" s="486" t="s">
        <v>1001</v>
      </c>
      <c r="B9289" s="487" t="s">
        <v>1000</v>
      </c>
      <c r="C9289" s="488" t="s">
        <v>28743</v>
      </c>
      <c r="D9289" s="489" t="s">
        <v>28744</v>
      </c>
      <c r="E9289" s="487" t="s">
        <v>28745</v>
      </c>
      <c r="F9289" s="490">
        <v>14500</v>
      </c>
      <c r="G9289" s="489">
        <v>233.6</v>
      </c>
      <c r="H9289" s="489">
        <v>62.071919999999999</v>
      </c>
      <c r="I9289" s="487" t="s">
        <v>1499</v>
      </c>
      <c r="J9289" s="487" t="s">
        <v>1002</v>
      </c>
    </row>
    <row r="9290" spans="1:10" ht="15" x14ac:dyDescent="0.2">
      <c r="A9290" s="486" t="s">
        <v>1001</v>
      </c>
      <c r="B9290" s="487" t="s">
        <v>1000</v>
      </c>
      <c r="C9290" s="488" t="s">
        <v>28746</v>
      </c>
      <c r="D9290" s="489" t="s">
        <v>28747</v>
      </c>
      <c r="E9290" s="487" t="s">
        <v>28748</v>
      </c>
      <c r="F9290" s="490">
        <v>18606</v>
      </c>
      <c r="G9290" s="489">
        <v>924.81</v>
      </c>
      <c r="H9290" s="489">
        <v>20.118729999999999</v>
      </c>
      <c r="I9290" s="487" t="s">
        <v>1499</v>
      </c>
      <c r="J9290" s="487" t="s">
        <v>1002</v>
      </c>
    </row>
    <row r="9291" spans="1:10" ht="15" x14ac:dyDescent="0.2">
      <c r="A9291" s="486" t="s">
        <v>1001</v>
      </c>
      <c r="B9291" s="487" t="s">
        <v>1000</v>
      </c>
      <c r="C9291" s="488" t="s">
        <v>28749</v>
      </c>
      <c r="D9291" s="489" t="s">
        <v>28750</v>
      </c>
      <c r="E9291" s="487" t="s">
        <v>28751</v>
      </c>
      <c r="F9291" s="490">
        <v>20500</v>
      </c>
      <c r="G9291" s="489">
        <v>454.77</v>
      </c>
      <c r="H9291" s="489">
        <v>45.077730000000003</v>
      </c>
      <c r="I9291" s="487" t="s">
        <v>1499</v>
      </c>
      <c r="J9291" s="487" t="s">
        <v>1002</v>
      </c>
    </row>
    <row r="9292" spans="1:10" ht="15" x14ac:dyDescent="0.2">
      <c r="A9292" s="486" t="s">
        <v>1001</v>
      </c>
      <c r="B9292" s="487" t="s">
        <v>1000</v>
      </c>
      <c r="C9292" s="488" t="s">
        <v>28752</v>
      </c>
      <c r="D9292" s="489" t="s">
        <v>28753</v>
      </c>
      <c r="E9292" s="487" t="s">
        <v>28754</v>
      </c>
      <c r="F9292" s="490">
        <v>7700</v>
      </c>
      <c r="G9292" s="489">
        <v>331.21</v>
      </c>
      <c r="H9292" s="489">
        <v>23.248090000000001</v>
      </c>
      <c r="I9292" s="487" t="s">
        <v>1499</v>
      </c>
      <c r="J9292" s="487" t="s">
        <v>1002</v>
      </c>
    </row>
    <row r="9293" spans="1:10" ht="15" x14ac:dyDescent="0.2">
      <c r="A9293" s="486" t="s">
        <v>1116</v>
      </c>
      <c r="B9293" s="487" t="s">
        <v>1115</v>
      </c>
      <c r="C9293" s="488" t="s">
        <v>28755</v>
      </c>
      <c r="D9293" s="489" t="s">
        <v>28756</v>
      </c>
      <c r="E9293" s="487" t="s">
        <v>28757</v>
      </c>
      <c r="F9293" s="490">
        <v>623148</v>
      </c>
      <c r="G9293" s="489">
        <v>11286.6</v>
      </c>
      <c r="H9293" s="489">
        <v>55.211309999999997</v>
      </c>
      <c r="I9293" s="487" t="s">
        <v>1499</v>
      </c>
      <c r="J9293" s="487" t="s">
        <v>1117</v>
      </c>
    </row>
    <row r="9294" spans="1:10" ht="15" x14ac:dyDescent="0.2">
      <c r="A9294" s="486" t="s">
        <v>1116</v>
      </c>
      <c r="B9294" s="487" t="s">
        <v>1115</v>
      </c>
      <c r="C9294" s="488" t="s">
        <v>28758</v>
      </c>
      <c r="D9294" s="489" t="s">
        <v>28759</v>
      </c>
      <c r="E9294" s="487" t="s">
        <v>28760</v>
      </c>
      <c r="F9294" s="490">
        <v>48997</v>
      </c>
      <c r="G9294" s="489">
        <v>1482.2</v>
      </c>
      <c r="H9294" s="489">
        <v>33.056939999999997</v>
      </c>
      <c r="I9294" s="487" t="s">
        <v>1499</v>
      </c>
      <c r="J9294" s="487" t="s">
        <v>1117</v>
      </c>
    </row>
    <row r="9295" spans="1:10" ht="15" x14ac:dyDescent="0.2">
      <c r="A9295" s="486" t="s">
        <v>1261</v>
      </c>
      <c r="B9295" s="487" t="s">
        <v>1260</v>
      </c>
      <c r="C9295" s="488" t="s">
        <v>28761</v>
      </c>
      <c r="D9295" s="489" t="s">
        <v>28762</v>
      </c>
      <c r="E9295" s="487" t="s">
        <v>28763</v>
      </c>
      <c r="F9295" s="490">
        <v>117580</v>
      </c>
      <c r="G9295" s="489">
        <v>1672.5</v>
      </c>
      <c r="H9295" s="489">
        <v>70.301940000000002</v>
      </c>
      <c r="I9295" s="487" t="s">
        <v>1499</v>
      </c>
      <c r="J9295" s="487" t="s">
        <v>1262</v>
      </c>
    </row>
    <row r="9296" spans="1:10" ht="15" x14ac:dyDescent="0.2">
      <c r="A9296" s="486" t="s">
        <v>1261</v>
      </c>
      <c r="B9296" s="487" t="s">
        <v>1260</v>
      </c>
      <c r="C9296" s="488" t="s">
        <v>28764</v>
      </c>
      <c r="D9296" s="489" t="s">
        <v>28765</v>
      </c>
      <c r="E9296" s="487" t="s">
        <v>28766</v>
      </c>
      <c r="F9296" s="490">
        <v>107000</v>
      </c>
      <c r="G9296" s="489">
        <v>2117.8000000000002</v>
      </c>
      <c r="H9296" s="489">
        <v>50.52413</v>
      </c>
      <c r="I9296" s="487" t="s">
        <v>1499</v>
      </c>
      <c r="J9296" s="487" t="s">
        <v>1262</v>
      </c>
    </row>
    <row r="9297" spans="1:10" ht="15" x14ac:dyDescent="0.2">
      <c r="A9297" s="486" t="s">
        <v>1261</v>
      </c>
      <c r="B9297" s="487" t="s">
        <v>1260</v>
      </c>
      <c r="C9297" s="488" t="s">
        <v>28767</v>
      </c>
      <c r="D9297" s="489" t="s">
        <v>28768</v>
      </c>
      <c r="E9297" s="487" t="s">
        <v>11867</v>
      </c>
      <c r="F9297" s="490">
        <v>170142.09</v>
      </c>
      <c r="G9297" s="489">
        <v>2435.6</v>
      </c>
      <c r="H9297" s="489">
        <v>69.856340000000003</v>
      </c>
      <c r="I9297" s="487" t="s">
        <v>1499</v>
      </c>
      <c r="J9297" s="487" t="s">
        <v>1262</v>
      </c>
    </row>
    <row r="9298" spans="1:10" ht="15" x14ac:dyDescent="0.2">
      <c r="A9298" s="486" t="s">
        <v>1261</v>
      </c>
      <c r="B9298" s="487" t="s">
        <v>1260</v>
      </c>
      <c r="C9298" s="488" t="s">
        <v>28769</v>
      </c>
      <c r="D9298" s="489" t="s">
        <v>28770</v>
      </c>
      <c r="E9298" s="487" t="s">
        <v>28771</v>
      </c>
      <c r="F9298" s="490">
        <v>551061</v>
      </c>
      <c r="G9298" s="489">
        <v>8439.7999999999993</v>
      </c>
      <c r="H9298" s="489">
        <v>65.293130000000005</v>
      </c>
      <c r="I9298" s="487" t="s">
        <v>1499</v>
      </c>
      <c r="J9298" s="487" t="s">
        <v>1262</v>
      </c>
    </row>
    <row r="9299" spans="1:10" ht="15" x14ac:dyDescent="0.2">
      <c r="A9299" s="486" t="s">
        <v>1281</v>
      </c>
      <c r="B9299" s="487" t="s">
        <v>1280</v>
      </c>
      <c r="C9299" s="488" t="s">
        <v>28772</v>
      </c>
      <c r="D9299" s="489" t="s">
        <v>28773</v>
      </c>
      <c r="E9299" s="487" t="s">
        <v>28774</v>
      </c>
      <c r="F9299" s="490">
        <v>46500</v>
      </c>
      <c r="G9299" s="489">
        <v>1359.1</v>
      </c>
      <c r="H9299" s="489">
        <v>34.213819999999998</v>
      </c>
      <c r="I9299" s="487" t="s">
        <v>1499</v>
      </c>
      <c r="J9299" s="487" t="s">
        <v>1282</v>
      </c>
    </row>
    <row r="9300" spans="1:10" ht="15" x14ac:dyDescent="0.2">
      <c r="A9300" s="486" t="s">
        <v>1281</v>
      </c>
      <c r="B9300" s="487" t="s">
        <v>1280</v>
      </c>
      <c r="C9300" s="488" t="s">
        <v>28775</v>
      </c>
      <c r="D9300" s="489" t="s">
        <v>28776</v>
      </c>
      <c r="E9300" s="487" t="s">
        <v>28777</v>
      </c>
      <c r="F9300" s="490">
        <v>142109.15</v>
      </c>
      <c r="G9300" s="489">
        <v>2016.8</v>
      </c>
      <c r="H9300" s="489">
        <v>70.462689999999995</v>
      </c>
      <c r="I9300" s="487" t="s">
        <v>1499</v>
      </c>
      <c r="J9300" s="487" t="s">
        <v>1282</v>
      </c>
    </row>
    <row r="9301" spans="1:10" ht="15" x14ac:dyDescent="0.2">
      <c r="A9301" s="486" t="s">
        <v>1281</v>
      </c>
      <c r="B9301" s="487" t="s">
        <v>1280</v>
      </c>
      <c r="C9301" s="488" t="s">
        <v>28778</v>
      </c>
      <c r="D9301" s="489" t="s">
        <v>28779</v>
      </c>
      <c r="E9301" s="487" t="s">
        <v>28780</v>
      </c>
      <c r="F9301" s="490">
        <v>90000</v>
      </c>
      <c r="G9301" s="489">
        <v>3933.6</v>
      </c>
      <c r="H9301" s="489">
        <v>22.879799999999999</v>
      </c>
      <c r="I9301" s="487" t="s">
        <v>1499</v>
      </c>
      <c r="J9301" s="487" t="s">
        <v>1282</v>
      </c>
    </row>
    <row r="9302" spans="1:10" ht="15" x14ac:dyDescent="0.2">
      <c r="A9302" s="486" t="s">
        <v>1281</v>
      </c>
      <c r="B9302" s="487" t="s">
        <v>1280</v>
      </c>
      <c r="C9302" s="488" t="s">
        <v>28781</v>
      </c>
      <c r="D9302" s="489" t="s">
        <v>28782</v>
      </c>
      <c r="E9302" s="487" t="s">
        <v>28783</v>
      </c>
      <c r="F9302" s="490">
        <v>187511</v>
      </c>
      <c r="G9302" s="489">
        <v>5332.8</v>
      </c>
      <c r="H9302" s="489">
        <v>35.161830000000002</v>
      </c>
      <c r="I9302" s="487" t="s">
        <v>1499</v>
      </c>
      <c r="J9302" s="487" t="s">
        <v>1282</v>
      </c>
    </row>
    <row r="9303" spans="1:10" ht="15" x14ac:dyDescent="0.2">
      <c r="A9303" s="486" t="s">
        <v>1281</v>
      </c>
      <c r="B9303" s="487" t="s">
        <v>1280</v>
      </c>
      <c r="C9303" s="488" t="s">
        <v>28784</v>
      </c>
      <c r="D9303" s="489" t="s">
        <v>28785</v>
      </c>
      <c r="E9303" s="487" t="s">
        <v>28786</v>
      </c>
      <c r="F9303" s="490">
        <v>34272</v>
      </c>
      <c r="G9303" s="489">
        <v>969.6</v>
      </c>
      <c r="H9303" s="489">
        <v>35.346530000000001</v>
      </c>
      <c r="I9303" s="487" t="s">
        <v>1499</v>
      </c>
      <c r="J9303" s="487" t="s">
        <v>1282</v>
      </c>
    </row>
    <row r="9304" spans="1:10" ht="15" x14ac:dyDescent="0.2">
      <c r="A9304" s="486" t="s">
        <v>1281</v>
      </c>
      <c r="B9304" s="487" t="s">
        <v>1280</v>
      </c>
      <c r="C9304" s="488" t="s">
        <v>28787</v>
      </c>
      <c r="D9304" s="489" t="s">
        <v>28788</v>
      </c>
      <c r="E9304" s="487" t="s">
        <v>28789</v>
      </c>
      <c r="F9304" s="490">
        <v>21500</v>
      </c>
      <c r="G9304" s="489">
        <v>407.1</v>
      </c>
      <c r="H9304" s="489">
        <v>52.812579999999997</v>
      </c>
      <c r="I9304" s="487" t="s">
        <v>1499</v>
      </c>
      <c r="J9304" s="487" t="s">
        <v>1282</v>
      </c>
    </row>
    <row r="9305" spans="1:10" ht="15" x14ac:dyDescent="0.2">
      <c r="A9305" s="486" t="s">
        <v>1281</v>
      </c>
      <c r="B9305" s="487" t="s">
        <v>1280</v>
      </c>
      <c r="C9305" s="488" t="s">
        <v>28790</v>
      </c>
      <c r="D9305" s="489" t="s">
        <v>28791</v>
      </c>
      <c r="E9305" s="487" t="s">
        <v>9693</v>
      </c>
      <c r="F9305" s="490">
        <v>15600</v>
      </c>
      <c r="G9305" s="489">
        <v>183.7</v>
      </c>
      <c r="H9305" s="489">
        <v>84.92107</v>
      </c>
      <c r="I9305" s="487" t="s">
        <v>1499</v>
      </c>
      <c r="J9305" s="487" t="s">
        <v>1282</v>
      </c>
    </row>
    <row r="9306" spans="1:10" ht="15" x14ac:dyDescent="0.2">
      <c r="A9306" s="486" t="s">
        <v>1281</v>
      </c>
      <c r="B9306" s="487" t="s">
        <v>1280</v>
      </c>
      <c r="C9306" s="488" t="s">
        <v>28792</v>
      </c>
      <c r="D9306" s="489" t="s">
        <v>28793</v>
      </c>
      <c r="E9306" s="487" t="s">
        <v>28794</v>
      </c>
      <c r="F9306" s="490">
        <v>57400</v>
      </c>
      <c r="G9306" s="489">
        <v>1670.7</v>
      </c>
      <c r="H9306" s="489">
        <v>34.356859999999998</v>
      </c>
      <c r="I9306" s="487" t="s">
        <v>1499</v>
      </c>
      <c r="J9306" s="487" t="s">
        <v>1282</v>
      </c>
    </row>
    <row r="9307" spans="1:10" ht="15" x14ac:dyDescent="0.2">
      <c r="A9307" s="486" t="s">
        <v>1281</v>
      </c>
      <c r="B9307" s="487" t="s">
        <v>1280</v>
      </c>
      <c r="C9307" s="488" t="s">
        <v>28795</v>
      </c>
      <c r="D9307" s="489" t="s">
        <v>28796</v>
      </c>
      <c r="E9307" s="487" t="s">
        <v>28797</v>
      </c>
      <c r="F9307" s="490">
        <v>35000</v>
      </c>
      <c r="G9307" s="489">
        <v>1171.5999999999999</v>
      </c>
      <c r="H9307" s="489">
        <v>29.87368</v>
      </c>
      <c r="I9307" s="487" t="s">
        <v>1499</v>
      </c>
      <c r="J9307" s="487" t="s">
        <v>1282</v>
      </c>
    </row>
    <row r="9308" spans="1:10" ht="15" x14ac:dyDescent="0.2">
      <c r="A9308" s="486" t="s">
        <v>1281</v>
      </c>
      <c r="B9308" s="487" t="s">
        <v>1280</v>
      </c>
      <c r="C9308" s="488" t="s">
        <v>28798</v>
      </c>
      <c r="D9308" s="489" t="s">
        <v>28799</v>
      </c>
      <c r="E9308" s="487" t="s">
        <v>28800</v>
      </c>
      <c r="F9308" s="490">
        <v>83500</v>
      </c>
      <c r="G9308" s="489">
        <v>2572.9</v>
      </c>
      <c r="H9308" s="489">
        <v>32.453650000000003</v>
      </c>
      <c r="I9308" s="487" t="s">
        <v>1499</v>
      </c>
      <c r="J9308" s="487" t="s">
        <v>1282</v>
      </c>
    </row>
    <row r="9309" spans="1:10" ht="15" x14ac:dyDescent="0.2">
      <c r="A9309" s="486" t="s">
        <v>1281</v>
      </c>
      <c r="B9309" s="487" t="s">
        <v>1280</v>
      </c>
      <c r="C9309" s="488" t="s">
        <v>28801</v>
      </c>
      <c r="D9309" s="489" t="s">
        <v>28802</v>
      </c>
      <c r="E9309" s="487" t="s">
        <v>28803</v>
      </c>
      <c r="F9309" s="490">
        <v>32795</v>
      </c>
      <c r="G9309" s="489">
        <v>458.5</v>
      </c>
      <c r="H9309" s="489">
        <v>71.526719999999997</v>
      </c>
      <c r="I9309" s="487" t="s">
        <v>1499</v>
      </c>
      <c r="J9309" s="487" t="s">
        <v>1282</v>
      </c>
    </row>
    <row r="9310" spans="1:10" ht="15" x14ac:dyDescent="0.2">
      <c r="A9310" s="486" t="s">
        <v>1281</v>
      </c>
      <c r="B9310" s="487" t="s">
        <v>1280</v>
      </c>
      <c r="C9310" s="488" t="s">
        <v>28804</v>
      </c>
      <c r="D9310" s="489" t="s">
        <v>28805</v>
      </c>
      <c r="E9310" s="487" t="s">
        <v>28806</v>
      </c>
      <c r="F9310" s="490">
        <v>33315</v>
      </c>
      <c r="G9310" s="489">
        <v>2067.6999999999998</v>
      </c>
      <c r="H9310" s="489">
        <v>16.112110000000001</v>
      </c>
      <c r="I9310" s="487" t="s">
        <v>1499</v>
      </c>
      <c r="J9310" s="487" t="s">
        <v>1282</v>
      </c>
    </row>
    <row r="9311" spans="1:10" ht="15" x14ac:dyDescent="0.2">
      <c r="A9311" s="486" t="s">
        <v>1281</v>
      </c>
      <c r="B9311" s="487" t="s">
        <v>1280</v>
      </c>
      <c r="C9311" s="488" t="s">
        <v>28807</v>
      </c>
      <c r="D9311" s="489" t="s">
        <v>28808</v>
      </c>
      <c r="E9311" s="487" t="s">
        <v>28809</v>
      </c>
      <c r="F9311" s="490">
        <v>124339</v>
      </c>
      <c r="G9311" s="489">
        <v>1973.9</v>
      </c>
      <c r="H9311" s="489">
        <v>62.991540000000001</v>
      </c>
      <c r="I9311" s="487" t="s">
        <v>1499</v>
      </c>
      <c r="J9311" s="487" t="s">
        <v>1282</v>
      </c>
    </row>
    <row r="9312" spans="1:10" ht="15" x14ac:dyDescent="0.2">
      <c r="A9312" s="486" t="s">
        <v>1281</v>
      </c>
      <c r="B9312" s="487" t="s">
        <v>1280</v>
      </c>
      <c r="C9312" s="488" t="s">
        <v>28810</v>
      </c>
      <c r="D9312" s="489" t="s">
        <v>28811</v>
      </c>
      <c r="E9312" s="487" t="s">
        <v>28812</v>
      </c>
      <c r="F9312" s="490">
        <v>96222</v>
      </c>
      <c r="G9312" s="489">
        <v>1284.7</v>
      </c>
      <c r="H9312" s="489">
        <v>74.898420000000002</v>
      </c>
      <c r="I9312" s="487" t="s">
        <v>1499</v>
      </c>
      <c r="J9312" s="487" t="s">
        <v>1282</v>
      </c>
    </row>
    <row r="9313" spans="1:10" ht="15" x14ac:dyDescent="0.2">
      <c r="A9313" s="486" t="s">
        <v>1281</v>
      </c>
      <c r="B9313" s="487" t="s">
        <v>1280</v>
      </c>
      <c r="C9313" s="488" t="s">
        <v>28813</v>
      </c>
      <c r="D9313" s="489" t="s">
        <v>28814</v>
      </c>
      <c r="E9313" s="487" t="s">
        <v>28815</v>
      </c>
      <c r="F9313" s="490">
        <v>34000</v>
      </c>
      <c r="G9313" s="489">
        <v>344.1</v>
      </c>
      <c r="H9313" s="489">
        <v>98.808490000000006</v>
      </c>
      <c r="I9313" s="487" t="s">
        <v>1499</v>
      </c>
      <c r="J9313" s="487" t="s">
        <v>1282</v>
      </c>
    </row>
    <row r="9314" spans="1:10" ht="15" x14ac:dyDescent="0.2">
      <c r="A9314" s="486" t="s">
        <v>1281</v>
      </c>
      <c r="B9314" s="487" t="s">
        <v>1280</v>
      </c>
      <c r="C9314" s="488" t="s">
        <v>28816</v>
      </c>
      <c r="D9314" s="489" t="s">
        <v>28817</v>
      </c>
      <c r="E9314" s="487" t="s">
        <v>28818</v>
      </c>
      <c r="F9314" s="490">
        <v>56986</v>
      </c>
      <c r="G9314" s="489">
        <v>5220.7</v>
      </c>
      <c r="H9314" s="489">
        <v>10.91539</v>
      </c>
      <c r="I9314" s="487" t="s">
        <v>1499</v>
      </c>
      <c r="J9314" s="487" t="s">
        <v>1282</v>
      </c>
    </row>
    <row r="9315" spans="1:10" ht="15" x14ac:dyDescent="0.2">
      <c r="A9315" s="486" t="s">
        <v>1281</v>
      </c>
      <c r="B9315" s="487" t="s">
        <v>1280</v>
      </c>
      <c r="C9315" s="488" t="s">
        <v>28819</v>
      </c>
      <c r="D9315" s="489" t="s">
        <v>28820</v>
      </c>
      <c r="E9315" s="487" t="s">
        <v>1280</v>
      </c>
      <c r="F9315" s="490">
        <v>25000</v>
      </c>
      <c r="G9315" s="489">
        <v>337.2</v>
      </c>
      <c r="H9315" s="489">
        <v>74.139979999999994</v>
      </c>
      <c r="I9315" s="487" t="s">
        <v>1499</v>
      </c>
      <c r="J9315" s="487" t="s">
        <v>1282</v>
      </c>
    </row>
    <row r="9316" spans="1:10" ht="15" x14ac:dyDescent="0.2">
      <c r="A9316" s="486" t="s">
        <v>1281</v>
      </c>
      <c r="B9316" s="487" t="s">
        <v>1280</v>
      </c>
      <c r="C9316" s="488" t="s">
        <v>28821</v>
      </c>
      <c r="D9316" s="489" t="s">
        <v>28822</v>
      </c>
      <c r="E9316" s="487" t="s">
        <v>28823</v>
      </c>
      <c r="F9316" s="490">
        <v>66000</v>
      </c>
      <c r="G9316" s="489">
        <v>872.1</v>
      </c>
      <c r="H9316" s="489">
        <v>75.679389999999998</v>
      </c>
      <c r="I9316" s="487" t="s">
        <v>1499</v>
      </c>
      <c r="J9316" s="487" t="s">
        <v>1282</v>
      </c>
    </row>
    <row r="9317" spans="1:10" ht="15" x14ac:dyDescent="0.2">
      <c r="A9317" s="486" t="s">
        <v>1281</v>
      </c>
      <c r="B9317" s="487" t="s">
        <v>1280</v>
      </c>
      <c r="C9317" s="488" t="s">
        <v>28824</v>
      </c>
      <c r="D9317" s="489" t="s">
        <v>28825</v>
      </c>
      <c r="E9317" s="487" t="s">
        <v>28826</v>
      </c>
      <c r="F9317" s="490">
        <v>0</v>
      </c>
      <c r="G9317" s="489">
        <v>39.4</v>
      </c>
      <c r="H9317" s="489">
        <v>0</v>
      </c>
      <c r="I9317" s="487" t="s">
        <v>1593</v>
      </c>
      <c r="J9317" s="487" t="s">
        <v>1282</v>
      </c>
    </row>
    <row r="9318" spans="1:10" ht="15" x14ac:dyDescent="0.2">
      <c r="A9318" s="486" t="s">
        <v>1281</v>
      </c>
      <c r="B9318" s="487" t="s">
        <v>1280</v>
      </c>
      <c r="C9318" s="488" t="s">
        <v>28827</v>
      </c>
      <c r="D9318" s="489" t="s">
        <v>28828</v>
      </c>
      <c r="E9318" s="487" t="s">
        <v>28829</v>
      </c>
      <c r="F9318" s="490">
        <v>104250</v>
      </c>
      <c r="G9318" s="489">
        <v>4018</v>
      </c>
      <c r="H9318" s="489">
        <v>25.945740000000001</v>
      </c>
      <c r="I9318" s="487" t="s">
        <v>1499</v>
      </c>
      <c r="J9318" s="487" t="s">
        <v>1282</v>
      </c>
    </row>
    <row r="9319" spans="1:10" ht="15" x14ac:dyDescent="0.2">
      <c r="A9319" s="486" t="s">
        <v>1281</v>
      </c>
      <c r="B9319" s="487" t="s">
        <v>1280</v>
      </c>
      <c r="C9319" s="488" t="s">
        <v>28830</v>
      </c>
      <c r="D9319" s="489" t="s">
        <v>28831</v>
      </c>
      <c r="E9319" s="487" t="s">
        <v>28832</v>
      </c>
      <c r="F9319" s="490">
        <v>60948</v>
      </c>
      <c r="G9319" s="489">
        <v>2034.6</v>
      </c>
      <c r="H9319" s="489">
        <v>29.955770000000001</v>
      </c>
      <c r="I9319" s="487" t="s">
        <v>1499</v>
      </c>
      <c r="J9319" s="487" t="s">
        <v>1282</v>
      </c>
    </row>
    <row r="9320" spans="1:10" ht="15" x14ac:dyDescent="0.2">
      <c r="A9320" s="486" t="s">
        <v>1281</v>
      </c>
      <c r="B9320" s="487" t="s">
        <v>1280</v>
      </c>
      <c r="C9320" s="488" t="s">
        <v>28833</v>
      </c>
      <c r="D9320" s="489" t="s">
        <v>28834</v>
      </c>
      <c r="E9320" s="487" t="s">
        <v>28835</v>
      </c>
      <c r="F9320" s="490">
        <v>48598</v>
      </c>
      <c r="G9320" s="489">
        <v>1188.9000000000001</v>
      </c>
      <c r="H9320" s="489">
        <v>40.876440000000002</v>
      </c>
      <c r="I9320" s="487" t="s">
        <v>1499</v>
      </c>
      <c r="J9320" s="487" t="s">
        <v>1282</v>
      </c>
    </row>
    <row r="9321" spans="1:10" ht="15" x14ac:dyDescent="0.2">
      <c r="A9321" s="486" t="s">
        <v>1351</v>
      </c>
      <c r="B9321" s="487" t="s">
        <v>1350</v>
      </c>
      <c r="C9321" s="488" t="s">
        <v>28836</v>
      </c>
      <c r="D9321" s="489" t="s">
        <v>28837</v>
      </c>
      <c r="E9321" s="487" t="s">
        <v>28838</v>
      </c>
      <c r="F9321" s="490">
        <v>51000</v>
      </c>
      <c r="G9321" s="489">
        <v>590.6</v>
      </c>
      <c r="H9321" s="489">
        <v>86.352860000000007</v>
      </c>
      <c r="I9321" s="487" t="s">
        <v>1499</v>
      </c>
      <c r="J9321" s="487" t="s">
        <v>1352</v>
      </c>
    </row>
    <row r="9322" spans="1:10" ht="15" x14ac:dyDescent="0.2">
      <c r="A9322" s="486" t="s">
        <v>1351</v>
      </c>
      <c r="B9322" s="487" t="s">
        <v>1350</v>
      </c>
      <c r="C9322" s="488" t="s">
        <v>28839</v>
      </c>
      <c r="D9322" s="489" t="s">
        <v>28840</v>
      </c>
      <c r="E9322" s="487" t="s">
        <v>11579</v>
      </c>
      <c r="F9322" s="490">
        <v>95406</v>
      </c>
      <c r="G9322" s="489">
        <v>1780.8</v>
      </c>
      <c r="H9322" s="489">
        <v>53.574800000000003</v>
      </c>
      <c r="I9322" s="487" t="s">
        <v>1499</v>
      </c>
      <c r="J9322" s="487" t="s">
        <v>1352</v>
      </c>
    </row>
    <row r="9323" spans="1:10" ht="15" x14ac:dyDescent="0.2">
      <c r="A9323" s="486" t="s">
        <v>1351</v>
      </c>
      <c r="B9323" s="487" t="s">
        <v>1350</v>
      </c>
      <c r="C9323" s="488" t="s">
        <v>28841</v>
      </c>
      <c r="D9323" s="489" t="s">
        <v>28842</v>
      </c>
      <c r="E9323" s="487" t="s">
        <v>28843</v>
      </c>
      <c r="F9323" s="490">
        <v>19978</v>
      </c>
      <c r="G9323" s="489">
        <v>583.29999999999995</v>
      </c>
      <c r="H9323" s="489">
        <v>34.249960000000002</v>
      </c>
      <c r="I9323" s="487" t="s">
        <v>1499</v>
      </c>
      <c r="J9323" s="487" t="s">
        <v>1352</v>
      </c>
    </row>
    <row r="9324" spans="1:10" ht="15" x14ac:dyDescent="0.2">
      <c r="A9324" s="486" t="s">
        <v>1351</v>
      </c>
      <c r="B9324" s="487" t="s">
        <v>1350</v>
      </c>
      <c r="C9324" s="488" t="s">
        <v>28844</v>
      </c>
      <c r="D9324" s="489" t="s">
        <v>28845</v>
      </c>
      <c r="E9324" s="487" t="s">
        <v>28846</v>
      </c>
      <c r="F9324" s="490">
        <v>158486</v>
      </c>
      <c r="G9324" s="489">
        <v>1349.3</v>
      </c>
      <c r="H9324" s="489">
        <v>117.45793999999999</v>
      </c>
      <c r="I9324" s="487" t="s">
        <v>1499</v>
      </c>
      <c r="J9324" s="487" t="s">
        <v>1352</v>
      </c>
    </row>
    <row r="9325" spans="1:10" ht="15" x14ac:dyDescent="0.2">
      <c r="A9325" s="486" t="s">
        <v>1351</v>
      </c>
      <c r="B9325" s="487" t="s">
        <v>1350</v>
      </c>
      <c r="C9325" s="488" t="s">
        <v>28847</v>
      </c>
      <c r="D9325" s="489" t="s">
        <v>28848</v>
      </c>
      <c r="E9325" s="487" t="s">
        <v>28849</v>
      </c>
      <c r="F9325" s="490">
        <v>65104</v>
      </c>
      <c r="G9325" s="489">
        <v>666.4</v>
      </c>
      <c r="H9325" s="489">
        <v>97.695080000000004</v>
      </c>
      <c r="I9325" s="487" t="s">
        <v>1499</v>
      </c>
      <c r="J9325" s="487" t="s">
        <v>1352</v>
      </c>
    </row>
    <row r="9326" spans="1:10" ht="15" x14ac:dyDescent="0.2">
      <c r="A9326" s="486" t="s">
        <v>1351</v>
      </c>
      <c r="B9326" s="487" t="s">
        <v>1350</v>
      </c>
      <c r="C9326" s="488" t="s">
        <v>28850</v>
      </c>
      <c r="D9326" s="489" t="s">
        <v>28851</v>
      </c>
      <c r="E9326" s="487" t="s">
        <v>28852</v>
      </c>
      <c r="F9326" s="490">
        <v>597902</v>
      </c>
      <c r="G9326" s="489">
        <v>6413.7</v>
      </c>
      <c r="H9326" s="489">
        <v>93.222629999999995</v>
      </c>
      <c r="I9326" s="487" t="s">
        <v>1499</v>
      </c>
      <c r="J9326" s="487" t="s">
        <v>1352</v>
      </c>
    </row>
    <row r="9327" spans="1:10" ht="15" x14ac:dyDescent="0.2">
      <c r="A9327" s="486" t="s">
        <v>1351</v>
      </c>
      <c r="B9327" s="487" t="s">
        <v>1350</v>
      </c>
      <c r="C9327" s="488" t="s">
        <v>28853</v>
      </c>
      <c r="D9327" s="489" t="s">
        <v>28854</v>
      </c>
      <c r="E9327" s="487" t="s">
        <v>28855</v>
      </c>
      <c r="F9327" s="490">
        <v>7450</v>
      </c>
      <c r="G9327" s="489">
        <v>260.89999999999998</v>
      </c>
      <c r="H9327" s="489">
        <v>28.555</v>
      </c>
      <c r="I9327" s="487" t="s">
        <v>1499</v>
      </c>
      <c r="J9327" s="487" t="s">
        <v>1352</v>
      </c>
    </row>
    <row r="9328" spans="1:10" ht="15" x14ac:dyDescent="0.2">
      <c r="A9328" s="486" t="s">
        <v>1351</v>
      </c>
      <c r="B9328" s="487" t="s">
        <v>1350</v>
      </c>
      <c r="C9328" s="488" t="s">
        <v>28856</v>
      </c>
      <c r="D9328" s="489" t="s">
        <v>28857</v>
      </c>
      <c r="E9328" s="487" t="s">
        <v>28858</v>
      </c>
      <c r="F9328" s="490">
        <v>55000</v>
      </c>
      <c r="G9328" s="489">
        <v>611.6</v>
      </c>
      <c r="H9328" s="489">
        <v>89.928060000000002</v>
      </c>
      <c r="I9328" s="487" t="s">
        <v>1499</v>
      </c>
      <c r="J9328" s="487" t="s">
        <v>1352</v>
      </c>
    </row>
    <row r="9329" spans="1:10" ht="15" x14ac:dyDescent="0.2">
      <c r="A9329" s="486" t="s">
        <v>1351</v>
      </c>
      <c r="B9329" s="487" t="s">
        <v>1350</v>
      </c>
      <c r="C9329" s="488" t="s">
        <v>28859</v>
      </c>
      <c r="D9329" s="489" t="s">
        <v>28860</v>
      </c>
      <c r="E9329" s="487" t="s">
        <v>28861</v>
      </c>
      <c r="F9329" s="490">
        <v>87398.29</v>
      </c>
      <c r="G9329" s="489">
        <v>1184.0999999999999</v>
      </c>
      <c r="H9329" s="489">
        <v>73.809889999999996</v>
      </c>
      <c r="I9329" s="487" t="s">
        <v>1499</v>
      </c>
      <c r="J9329" s="487" t="s">
        <v>1352</v>
      </c>
    </row>
    <row r="9330" spans="1:10" ht="15" x14ac:dyDescent="0.2">
      <c r="A9330" s="486" t="s">
        <v>1351</v>
      </c>
      <c r="B9330" s="487" t="s">
        <v>1350</v>
      </c>
      <c r="C9330" s="488" t="s">
        <v>28862</v>
      </c>
      <c r="D9330" s="489" t="s">
        <v>28863</v>
      </c>
      <c r="E9330" s="487" t="s">
        <v>9705</v>
      </c>
      <c r="F9330" s="490">
        <v>124100</v>
      </c>
      <c r="G9330" s="489">
        <v>1343.5</v>
      </c>
      <c r="H9330" s="489">
        <v>92.370670000000004</v>
      </c>
      <c r="I9330" s="487" t="s">
        <v>1499</v>
      </c>
      <c r="J9330" s="487" t="s">
        <v>1352</v>
      </c>
    </row>
    <row r="9331" spans="1:10" ht="15" x14ac:dyDescent="0.2">
      <c r="A9331" s="486" t="s">
        <v>1351</v>
      </c>
      <c r="B9331" s="487" t="s">
        <v>1350</v>
      </c>
      <c r="C9331" s="488" t="s">
        <v>28864</v>
      </c>
      <c r="D9331" s="489" t="s">
        <v>28865</v>
      </c>
      <c r="E9331" s="487" t="s">
        <v>8539</v>
      </c>
      <c r="F9331" s="490">
        <v>1535300</v>
      </c>
      <c r="G9331" s="489">
        <v>18398.900000000001</v>
      </c>
      <c r="H9331" s="489">
        <v>83.445210000000003</v>
      </c>
      <c r="I9331" s="487" t="s">
        <v>1499</v>
      </c>
      <c r="J9331" s="487" t="s">
        <v>1352</v>
      </c>
    </row>
    <row r="9332" spans="1:10" ht="15" x14ac:dyDescent="0.2">
      <c r="A9332" s="486" t="s">
        <v>1351</v>
      </c>
      <c r="B9332" s="487" t="s">
        <v>1350</v>
      </c>
      <c r="C9332" s="488" t="s">
        <v>28866</v>
      </c>
      <c r="D9332" s="489" t="s">
        <v>28867</v>
      </c>
      <c r="E9332" s="487" t="s">
        <v>28868</v>
      </c>
      <c r="F9332" s="490">
        <v>85479</v>
      </c>
      <c r="G9332" s="489">
        <v>916.1</v>
      </c>
      <c r="H9332" s="489">
        <v>93.307500000000005</v>
      </c>
      <c r="I9332" s="487" t="s">
        <v>1499</v>
      </c>
      <c r="J9332" s="487" t="s">
        <v>1352</v>
      </c>
    </row>
    <row r="9333" spans="1:10" ht="15" x14ac:dyDescent="0.2">
      <c r="A9333" s="486" t="s">
        <v>1351</v>
      </c>
      <c r="B9333" s="487" t="s">
        <v>1350</v>
      </c>
      <c r="C9333" s="488" t="s">
        <v>28869</v>
      </c>
      <c r="D9333" s="489" t="s">
        <v>28870</v>
      </c>
      <c r="E9333" s="487" t="s">
        <v>28871</v>
      </c>
      <c r="F9333" s="490">
        <v>1236391</v>
      </c>
      <c r="G9333" s="489">
        <v>10122.299999999999</v>
      </c>
      <c r="H9333" s="489">
        <v>122.14525999999999</v>
      </c>
      <c r="I9333" s="487" t="s">
        <v>1499</v>
      </c>
      <c r="J9333" s="487" t="s">
        <v>1352</v>
      </c>
    </row>
    <row r="9334" spans="1:10" ht="15" x14ac:dyDescent="0.2">
      <c r="A9334" s="486" t="s">
        <v>1351</v>
      </c>
      <c r="B9334" s="487" t="s">
        <v>1350</v>
      </c>
      <c r="C9334" s="488" t="s">
        <v>28872</v>
      </c>
      <c r="D9334" s="489" t="s">
        <v>28873</v>
      </c>
      <c r="E9334" s="487" t="s">
        <v>12264</v>
      </c>
      <c r="F9334" s="490">
        <v>21538</v>
      </c>
      <c r="G9334" s="489">
        <v>436.8</v>
      </c>
      <c r="H9334" s="489">
        <v>49.308610000000002</v>
      </c>
      <c r="I9334" s="487" t="s">
        <v>1499</v>
      </c>
      <c r="J9334" s="487" t="s">
        <v>1352</v>
      </c>
    </row>
    <row r="9335" spans="1:10" ht="15" x14ac:dyDescent="0.2">
      <c r="A9335" s="486" t="s">
        <v>1351</v>
      </c>
      <c r="B9335" s="487" t="s">
        <v>1350</v>
      </c>
      <c r="C9335" s="488" t="s">
        <v>28874</v>
      </c>
      <c r="D9335" s="489" t="s">
        <v>28875</v>
      </c>
      <c r="E9335" s="487" t="s">
        <v>28876</v>
      </c>
      <c r="F9335" s="490">
        <v>9000</v>
      </c>
      <c r="G9335" s="489">
        <v>180.4</v>
      </c>
      <c r="H9335" s="489">
        <v>49.889139999999998</v>
      </c>
      <c r="I9335" s="487" t="s">
        <v>1499</v>
      </c>
      <c r="J9335" s="487" t="s">
        <v>1352</v>
      </c>
    </row>
    <row r="9336" spans="1:10" ht="15" x14ac:dyDescent="0.2">
      <c r="A9336" s="486" t="s">
        <v>1351</v>
      </c>
      <c r="B9336" s="487" t="s">
        <v>1350</v>
      </c>
      <c r="C9336" s="488" t="s">
        <v>28877</v>
      </c>
      <c r="D9336" s="489" t="s">
        <v>28878</v>
      </c>
      <c r="E9336" s="487" t="s">
        <v>28879</v>
      </c>
      <c r="F9336" s="490">
        <v>464890</v>
      </c>
      <c r="G9336" s="489">
        <v>7979.5</v>
      </c>
      <c r="H9336" s="489">
        <v>58.260539999999999</v>
      </c>
      <c r="I9336" s="487" t="s">
        <v>1499</v>
      </c>
      <c r="J9336" s="487" t="s">
        <v>1352</v>
      </c>
    </row>
    <row r="9337" spans="1:10" ht="15" x14ac:dyDescent="0.2">
      <c r="A9337" s="486" t="s">
        <v>1351</v>
      </c>
      <c r="B9337" s="487" t="s">
        <v>1350</v>
      </c>
      <c r="C9337" s="488" t="s">
        <v>28880</v>
      </c>
      <c r="D9337" s="489" t="s">
        <v>28881</v>
      </c>
      <c r="E9337" s="487" t="s">
        <v>28882</v>
      </c>
      <c r="F9337" s="490">
        <v>1000</v>
      </c>
      <c r="G9337" s="489">
        <v>198.2</v>
      </c>
      <c r="H9337" s="489">
        <v>5.0454100000000004</v>
      </c>
      <c r="I9337" s="487" t="s">
        <v>1499</v>
      </c>
      <c r="J9337" s="487" t="s">
        <v>1352</v>
      </c>
    </row>
    <row r="9338" spans="1:10" ht="15" x14ac:dyDescent="0.2">
      <c r="A9338" s="486" t="s">
        <v>1351</v>
      </c>
      <c r="B9338" s="487" t="s">
        <v>1350</v>
      </c>
      <c r="C9338" s="488" t="s">
        <v>28883</v>
      </c>
      <c r="D9338" s="489" t="s">
        <v>28884</v>
      </c>
      <c r="E9338" s="487" t="s">
        <v>28885</v>
      </c>
      <c r="F9338" s="490">
        <v>15155</v>
      </c>
      <c r="G9338" s="489">
        <v>371</v>
      </c>
      <c r="H9338" s="489">
        <v>40.849060000000001</v>
      </c>
      <c r="I9338" s="487" t="s">
        <v>1499</v>
      </c>
      <c r="J9338" s="487" t="s">
        <v>1352</v>
      </c>
    </row>
    <row r="9339" spans="1:10" ht="15" x14ac:dyDescent="0.2">
      <c r="A9339" s="486" t="s">
        <v>1351</v>
      </c>
      <c r="B9339" s="487" t="s">
        <v>1350</v>
      </c>
      <c r="C9339" s="488" t="s">
        <v>28886</v>
      </c>
      <c r="D9339" s="489" t="s">
        <v>28887</v>
      </c>
      <c r="E9339" s="487" t="s">
        <v>28888</v>
      </c>
      <c r="F9339" s="490">
        <v>44000</v>
      </c>
      <c r="G9339" s="489">
        <v>416.2</v>
      </c>
      <c r="H9339" s="489">
        <v>105.7184</v>
      </c>
      <c r="I9339" s="487" t="s">
        <v>1499</v>
      </c>
      <c r="J9339" s="487" t="s">
        <v>1352</v>
      </c>
    </row>
    <row r="9340" spans="1:10" ht="15" x14ac:dyDescent="0.2">
      <c r="A9340" s="486" t="s">
        <v>1351</v>
      </c>
      <c r="B9340" s="487" t="s">
        <v>1350</v>
      </c>
      <c r="C9340" s="488" t="s">
        <v>28889</v>
      </c>
      <c r="D9340" s="489" t="s">
        <v>28890</v>
      </c>
      <c r="E9340" s="487" t="s">
        <v>28891</v>
      </c>
      <c r="F9340" s="490">
        <v>283199</v>
      </c>
      <c r="G9340" s="489">
        <v>3536.1</v>
      </c>
      <c r="H9340" s="489">
        <v>80.087950000000006</v>
      </c>
      <c r="I9340" s="487" t="s">
        <v>1499</v>
      </c>
      <c r="J9340" s="487" t="s">
        <v>1352</v>
      </c>
    </row>
    <row r="9341" spans="1:10" ht="15" x14ac:dyDescent="0.2">
      <c r="A9341" s="486" t="s">
        <v>1351</v>
      </c>
      <c r="B9341" s="487" t="s">
        <v>1350</v>
      </c>
      <c r="C9341" s="488" t="s">
        <v>28892</v>
      </c>
      <c r="D9341" s="489" t="s">
        <v>28893</v>
      </c>
      <c r="E9341" s="487" t="s">
        <v>28894</v>
      </c>
      <c r="F9341" s="490">
        <v>128751</v>
      </c>
      <c r="G9341" s="489">
        <v>1757</v>
      </c>
      <c r="H9341" s="489">
        <v>73.278880000000001</v>
      </c>
      <c r="I9341" s="487" t="s">
        <v>1499</v>
      </c>
      <c r="J9341" s="487" t="s">
        <v>1352</v>
      </c>
    </row>
    <row r="9342" spans="1:10" ht="15" x14ac:dyDescent="0.2">
      <c r="A9342" s="486" t="s">
        <v>1052</v>
      </c>
      <c r="B9342" s="487" t="s">
        <v>1051</v>
      </c>
      <c r="C9342" s="488" t="s">
        <v>28895</v>
      </c>
      <c r="D9342" s="489" t="s">
        <v>28896</v>
      </c>
      <c r="E9342" s="487" t="s">
        <v>28897</v>
      </c>
      <c r="F9342" s="490">
        <v>28351</v>
      </c>
      <c r="G9342" s="489">
        <v>827.03</v>
      </c>
      <c r="H9342" s="489">
        <v>34.280500000000004</v>
      </c>
      <c r="I9342" s="487" t="s">
        <v>1499</v>
      </c>
      <c r="J9342" s="487" t="s">
        <v>1053</v>
      </c>
    </row>
    <row r="9343" spans="1:10" ht="15" x14ac:dyDescent="0.2">
      <c r="A9343" s="486" t="s">
        <v>1052</v>
      </c>
      <c r="B9343" s="487" t="s">
        <v>1051</v>
      </c>
      <c r="C9343" s="488" t="s">
        <v>28898</v>
      </c>
      <c r="D9343" s="489" t="s">
        <v>28899</v>
      </c>
      <c r="E9343" s="487" t="s">
        <v>28900</v>
      </c>
      <c r="F9343" s="490">
        <v>44100</v>
      </c>
      <c r="G9343" s="489">
        <v>863.18</v>
      </c>
      <c r="H9343" s="489">
        <v>51.090159999999997</v>
      </c>
      <c r="I9343" s="487" t="s">
        <v>1499</v>
      </c>
      <c r="J9343" s="487" t="s">
        <v>1053</v>
      </c>
    </row>
    <row r="9344" spans="1:10" ht="15" x14ac:dyDescent="0.2">
      <c r="A9344" s="486" t="s">
        <v>1052</v>
      </c>
      <c r="B9344" s="487" t="s">
        <v>1051</v>
      </c>
      <c r="C9344" s="488" t="s">
        <v>28901</v>
      </c>
      <c r="D9344" s="489" t="s">
        <v>28902</v>
      </c>
      <c r="E9344" s="487" t="s">
        <v>25262</v>
      </c>
      <c r="F9344" s="490">
        <v>2200</v>
      </c>
      <c r="G9344" s="489">
        <v>79.489999999999995</v>
      </c>
      <c r="H9344" s="489">
        <v>27.676439999999999</v>
      </c>
      <c r="I9344" s="487" t="s">
        <v>1499</v>
      </c>
      <c r="J9344" s="487" t="s">
        <v>1053</v>
      </c>
    </row>
    <row r="9345" spans="1:10" ht="15" x14ac:dyDescent="0.2">
      <c r="A9345" s="486" t="s">
        <v>1052</v>
      </c>
      <c r="B9345" s="487" t="s">
        <v>1051</v>
      </c>
      <c r="C9345" s="488" t="s">
        <v>28903</v>
      </c>
      <c r="D9345" s="489" t="s">
        <v>28904</v>
      </c>
      <c r="E9345" s="487" t="s">
        <v>28905</v>
      </c>
      <c r="F9345" s="490">
        <v>220940</v>
      </c>
      <c r="G9345" s="489">
        <v>2792.24</v>
      </c>
      <c r="H9345" s="489">
        <v>79.126440000000002</v>
      </c>
      <c r="I9345" s="487" t="s">
        <v>1499</v>
      </c>
      <c r="J9345" s="487" t="s">
        <v>1053</v>
      </c>
    </row>
    <row r="9346" spans="1:10" ht="15" x14ac:dyDescent="0.2">
      <c r="A9346" s="486" t="s">
        <v>1052</v>
      </c>
      <c r="B9346" s="487" t="s">
        <v>1051</v>
      </c>
      <c r="C9346" s="488" t="s">
        <v>28906</v>
      </c>
      <c r="D9346" s="489" t="s">
        <v>28907</v>
      </c>
      <c r="E9346" s="487" t="s">
        <v>28908</v>
      </c>
      <c r="F9346" s="490">
        <v>19250</v>
      </c>
      <c r="G9346" s="489">
        <v>508</v>
      </c>
      <c r="H9346" s="489">
        <v>37.893700000000003</v>
      </c>
      <c r="I9346" s="487" t="s">
        <v>1499</v>
      </c>
      <c r="J9346" s="487" t="s">
        <v>1053</v>
      </c>
    </row>
    <row r="9347" spans="1:10" ht="15" x14ac:dyDescent="0.2">
      <c r="A9347" s="486" t="s">
        <v>1052</v>
      </c>
      <c r="B9347" s="487" t="s">
        <v>1051</v>
      </c>
      <c r="C9347" s="488" t="s">
        <v>28909</v>
      </c>
      <c r="D9347" s="489" t="s">
        <v>28910</v>
      </c>
      <c r="E9347" s="487" t="s">
        <v>28911</v>
      </c>
      <c r="F9347" s="490">
        <v>69302</v>
      </c>
      <c r="G9347" s="489">
        <v>550.23</v>
      </c>
      <c r="H9347" s="489">
        <v>125.95097</v>
      </c>
      <c r="I9347" s="487" t="s">
        <v>1499</v>
      </c>
      <c r="J9347" s="487" t="s">
        <v>1053</v>
      </c>
    </row>
    <row r="9348" spans="1:10" ht="15" x14ac:dyDescent="0.2">
      <c r="A9348" s="486" t="s">
        <v>1052</v>
      </c>
      <c r="B9348" s="487" t="s">
        <v>1051</v>
      </c>
      <c r="C9348" s="488" t="s">
        <v>28912</v>
      </c>
      <c r="D9348" s="489" t="s">
        <v>28913</v>
      </c>
      <c r="E9348" s="487" t="s">
        <v>28914</v>
      </c>
      <c r="F9348" s="490">
        <v>15000</v>
      </c>
      <c r="G9348" s="489">
        <v>129.07</v>
      </c>
      <c r="H9348" s="489">
        <v>116.21601</v>
      </c>
      <c r="I9348" s="487" t="s">
        <v>1499</v>
      </c>
      <c r="J9348" s="487" t="s">
        <v>1053</v>
      </c>
    </row>
    <row r="9349" spans="1:10" ht="15" x14ac:dyDescent="0.2">
      <c r="A9349" s="486" t="s">
        <v>1052</v>
      </c>
      <c r="B9349" s="487" t="s">
        <v>1051</v>
      </c>
      <c r="C9349" s="488" t="s">
        <v>28915</v>
      </c>
      <c r="D9349" s="489" t="s">
        <v>28916</v>
      </c>
      <c r="E9349" s="487" t="s">
        <v>28917</v>
      </c>
      <c r="F9349" s="490">
        <v>800</v>
      </c>
      <c r="G9349" s="489">
        <v>50.37</v>
      </c>
      <c r="H9349" s="489">
        <v>15.88247</v>
      </c>
      <c r="I9349" s="487" t="s">
        <v>2465</v>
      </c>
      <c r="J9349" s="487" t="s">
        <v>1053</v>
      </c>
    </row>
    <row r="9350" spans="1:10" ht="15" x14ac:dyDescent="0.2">
      <c r="A9350" s="486" t="s">
        <v>1052</v>
      </c>
      <c r="B9350" s="487" t="s">
        <v>1051</v>
      </c>
      <c r="C9350" s="488" t="s">
        <v>28918</v>
      </c>
      <c r="D9350" s="489" t="s">
        <v>28919</v>
      </c>
      <c r="E9350" s="487" t="s">
        <v>3533</v>
      </c>
      <c r="F9350" s="490">
        <v>0</v>
      </c>
      <c r="G9350" s="489">
        <v>84.47</v>
      </c>
      <c r="H9350" s="489">
        <v>0</v>
      </c>
      <c r="I9350" s="487" t="s">
        <v>1593</v>
      </c>
      <c r="J9350" s="487" t="s">
        <v>1053</v>
      </c>
    </row>
    <row r="9351" spans="1:10" ht="15" x14ac:dyDescent="0.2">
      <c r="A9351" s="486" t="s">
        <v>1052</v>
      </c>
      <c r="B9351" s="487" t="s">
        <v>1051</v>
      </c>
      <c r="C9351" s="488" t="s">
        <v>28920</v>
      </c>
      <c r="D9351" s="489" t="s">
        <v>28921</v>
      </c>
      <c r="E9351" s="487" t="s">
        <v>2866</v>
      </c>
      <c r="F9351" s="490">
        <v>293908.37</v>
      </c>
      <c r="G9351" s="489">
        <v>2504.66</v>
      </c>
      <c r="H9351" s="489">
        <v>117.34462000000001</v>
      </c>
      <c r="I9351" s="487" t="s">
        <v>1499</v>
      </c>
      <c r="J9351" s="487" t="s">
        <v>1053</v>
      </c>
    </row>
    <row r="9352" spans="1:10" ht="15" x14ac:dyDescent="0.2">
      <c r="A9352" s="486" t="s">
        <v>1052</v>
      </c>
      <c r="B9352" s="487" t="s">
        <v>1051</v>
      </c>
      <c r="C9352" s="488" t="s">
        <v>28922</v>
      </c>
      <c r="D9352" s="489" t="s">
        <v>28923</v>
      </c>
      <c r="E9352" s="487" t="s">
        <v>28924</v>
      </c>
      <c r="F9352" s="490">
        <v>18250</v>
      </c>
      <c r="G9352" s="489">
        <v>338.39</v>
      </c>
      <c r="H9352" s="489">
        <v>53.931849999999997</v>
      </c>
      <c r="I9352" s="487" t="s">
        <v>1499</v>
      </c>
      <c r="J9352" s="487" t="s">
        <v>1053</v>
      </c>
    </row>
    <row r="9353" spans="1:10" ht="15" x14ac:dyDescent="0.2">
      <c r="A9353" s="486" t="s">
        <v>1052</v>
      </c>
      <c r="B9353" s="487" t="s">
        <v>1051</v>
      </c>
      <c r="C9353" s="488" t="s">
        <v>28925</v>
      </c>
      <c r="D9353" s="489" t="s">
        <v>28926</v>
      </c>
      <c r="E9353" s="487" t="s">
        <v>28927</v>
      </c>
      <c r="F9353" s="490">
        <v>38032</v>
      </c>
      <c r="G9353" s="489">
        <v>472.46</v>
      </c>
      <c r="H9353" s="489">
        <v>80.497820000000004</v>
      </c>
      <c r="I9353" s="487" t="s">
        <v>1499</v>
      </c>
      <c r="J9353" s="487" t="s">
        <v>1053</v>
      </c>
    </row>
    <row r="9354" spans="1:10" ht="15" x14ac:dyDescent="0.2">
      <c r="A9354" s="486" t="s">
        <v>1052</v>
      </c>
      <c r="B9354" s="487" t="s">
        <v>1051</v>
      </c>
      <c r="C9354" s="488" t="s">
        <v>28928</v>
      </c>
      <c r="D9354" s="489" t="s">
        <v>28929</v>
      </c>
      <c r="E9354" s="487" t="s">
        <v>28930</v>
      </c>
      <c r="F9354" s="490">
        <v>32119.5</v>
      </c>
      <c r="G9354" s="489">
        <v>875.8</v>
      </c>
      <c r="H9354" s="489">
        <v>36.674469999999999</v>
      </c>
      <c r="I9354" s="487" t="s">
        <v>1499</v>
      </c>
      <c r="J9354" s="487" t="s">
        <v>1053</v>
      </c>
    </row>
    <row r="9355" spans="1:10" ht="15" x14ac:dyDescent="0.2">
      <c r="A9355" s="486" t="s">
        <v>1052</v>
      </c>
      <c r="B9355" s="487" t="s">
        <v>1051</v>
      </c>
      <c r="C9355" s="488" t="s">
        <v>28931</v>
      </c>
      <c r="D9355" s="489" t="s">
        <v>28932</v>
      </c>
      <c r="E9355" s="487" t="s">
        <v>28933</v>
      </c>
      <c r="F9355" s="490">
        <v>65000</v>
      </c>
      <c r="G9355" s="489">
        <v>671.89</v>
      </c>
      <c r="H9355" s="489">
        <v>96.74203</v>
      </c>
      <c r="I9355" s="487" t="s">
        <v>1499</v>
      </c>
      <c r="J9355" s="487" t="s">
        <v>1053</v>
      </c>
    </row>
    <row r="9356" spans="1:10" ht="15" x14ac:dyDescent="0.2">
      <c r="A9356" s="486" t="s">
        <v>1052</v>
      </c>
      <c r="B9356" s="487" t="s">
        <v>1051</v>
      </c>
      <c r="C9356" s="488" t="s">
        <v>28934</v>
      </c>
      <c r="D9356" s="489" t="s">
        <v>28935</v>
      </c>
      <c r="E9356" s="487" t="s">
        <v>28936</v>
      </c>
      <c r="F9356" s="490">
        <v>0</v>
      </c>
      <c r="G9356" s="489">
        <v>54.39</v>
      </c>
      <c r="H9356" s="489">
        <v>0</v>
      </c>
      <c r="I9356" s="487" t="s">
        <v>1593</v>
      </c>
      <c r="J9356" s="487" t="s">
        <v>1053</v>
      </c>
    </row>
    <row r="9357" spans="1:10" ht="15" x14ac:dyDescent="0.2">
      <c r="A9357" s="486" t="s">
        <v>1052</v>
      </c>
      <c r="B9357" s="487" t="s">
        <v>1051</v>
      </c>
      <c r="C9357" s="488" t="s">
        <v>28937</v>
      </c>
      <c r="D9357" s="489" t="s">
        <v>28938</v>
      </c>
      <c r="E9357" s="487" t="s">
        <v>22466</v>
      </c>
      <c r="F9357" s="490">
        <v>21665</v>
      </c>
      <c r="G9357" s="489">
        <v>798.88</v>
      </c>
      <c r="H9357" s="489">
        <v>27.119219999999999</v>
      </c>
      <c r="I9357" s="487" t="s">
        <v>1499</v>
      </c>
      <c r="J9357" s="487" t="s">
        <v>1053</v>
      </c>
    </row>
    <row r="9358" spans="1:10" ht="15" x14ac:dyDescent="0.2">
      <c r="A9358" s="486" t="s">
        <v>1052</v>
      </c>
      <c r="B9358" s="487" t="s">
        <v>1051</v>
      </c>
      <c r="C9358" s="488" t="s">
        <v>28939</v>
      </c>
      <c r="D9358" s="489" t="s">
        <v>28940</v>
      </c>
      <c r="E9358" s="487" t="s">
        <v>28941</v>
      </c>
      <c r="F9358" s="490">
        <v>105531.72</v>
      </c>
      <c r="G9358" s="489">
        <v>1063.04</v>
      </c>
      <c r="H9358" s="489">
        <v>99.273520000000005</v>
      </c>
      <c r="I9358" s="487" t="s">
        <v>1499</v>
      </c>
      <c r="J9358" s="487" t="s">
        <v>1053</v>
      </c>
    </row>
    <row r="9359" spans="1:10" ht="15" x14ac:dyDescent="0.2">
      <c r="A9359" s="486" t="s">
        <v>1052</v>
      </c>
      <c r="B9359" s="487" t="s">
        <v>1051</v>
      </c>
      <c r="C9359" s="488" t="s">
        <v>28942</v>
      </c>
      <c r="D9359" s="489" t="s">
        <v>28943</v>
      </c>
      <c r="E9359" s="487" t="s">
        <v>28944</v>
      </c>
      <c r="F9359" s="490">
        <v>41356.69</v>
      </c>
      <c r="G9359" s="489">
        <v>2378.5300000000002</v>
      </c>
      <c r="H9359" s="489">
        <v>17.387499999999999</v>
      </c>
      <c r="I9359" s="487" t="s">
        <v>1499</v>
      </c>
      <c r="J9359" s="487" t="s">
        <v>1053</v>
      </c>
    </row>
    <row r="9360" spans="1:10" ht="15" x14ac:dyDescent="0.2">
      <c r="A9360" s="486" t="s">
        <v>1052</v>
      </c>
      <c r="B9360" s="487" t="s">
        <v>1051</v>
      </c>
      <c r="C9360" s="488" t="s">
        <v>28945</v>
      </c>
      <c r="D9360" s="489" t="s">
        <v>28946</v>
      </c>
      <c r="E9360" s="487" t="s">
        <v>28947</v>
      </c>
      <c r="F9360" s="490">
        <v>12583</v>
      </c>
      <c r="G9360" s="489">
        <v>147.1</v>
      </c>
      <c r="H9360" s="489">
        <v>85.540450000000007</v>
      </c>
      <c r="I9360" s="487" t="s">
        <v>1499</v>
      </c>
      <c r="J9360" s="487" t="s">
        <v>1053</v>
      </c>
    </row>
    <row r="9361" spans="1:10" ht="15" x14ac:dyDescent="0.2">
      <c r="A9361" s="486" t="s">
        <v>1052</v>
      </c>
      <c r="B9361" s="487" t="s">
        <v>1051</v>
      </c>
      <c r="C9361" s="488" t="s">
        <v>28948</v>
      </c>
      <c r="D9361" s="489" t="s">
        <v>28949</v>
      </c>
      <c r="E9361" s="487" t="s">
        <v>28950</v>
      </c>
      <c r="F9361" s="490">
        <v>0</v>
      </c>
      <c r="G9361" s="489">
        <v>15.19</v>
      </c>
      <c r="H9361" s="489">
        <v>0</v>
      </c>
      <c r="I9361" s="487" t="s">
        <v>1593</v>
      </c>
      <c r="J9361" s="487" t="s">
        <v>1053</v>
      </c>
    </row>
    <row r="9362" spans="1:10" ht="15" x14ac:dyDescent="0.2">
      <c r="A9362" s="486" t="s">
        <v>1052</v>
      </c>
      <c r="B9362" s="487" t="s">
        <v>1051</v>
      </c>
      <c r="C9362" s="488" t="s">
        <v>28951</v>
      </c>
      <c r="D9362" s="489" t="s">
        <v>28952</v>
      </c>
      <c r="E9362" s="487" t="s">
        <v>28953</v>
      </c>
      <c r="F9362" s="490">
        <v>37000</v>
      </c>
      <c r="G9362" s="489">
        <v>683.94</v>
      </c>
      <c r="H9362" s="489">
        <v>54.098309999999998</v>
      </c>
      <c r="I9362" s="487" t="s">
        <v>1499</v>
      </c>
      <c r="J9362" s="487" t="s">
        <v>1053</v>
      </c>
    </row>
    <row r="9363" spans="1:10" ht="15" x14ac:dyDescent="0.2">
      <c r="A9363" s="486" t="s">
        <v>1052</v>
      </c>
      <c r="B9363" s="487" t="s">
        <v>1051</v>
      </c>
      <c r="C9363" s="488" t="s">
        <v>28954</v>
      </c>
      <c r="D9363" s="489" t="s">
        <v>28955</v>
      </c>
      <c r="E9363" s="487" t="s">
        <v>28956</v>
      </c>
      <c r="F9363" s="490">
        <v>7350</v>
      </c>
      <c r="G9363" s="489">
        <v>121.32</v>
      </c>
      <c r="H9363" s="489">
        <v>60.583579999999998</v>
      </c>
      <c r="I9363" s="487" t="s">
        <v>1499</v>
      </c>
      <c r="J9363" s="487" t="s">
        <v>1053</v>
      </c>
    </row>
    <row r="9364" spans="1:10" ht="15" x14ac:dyDescent="0.2">
      <c r="A9364" s="486" t="s">
        <v>1052</v>
      </c>
      <c r="B9364" s="487" t="s">
        <v>1051</v>
      </c>
      <c r="C9364" s="488" t="s">
        <v>28957</v>
      </c>
      <c r="D9364" s="489" t="s">
        <v>28958</v>
      </c>
      <c r="E9364" s="487" t="s">
        <v>28959</v>
      </c>
      <c r="F9364" s="490">
        <v>0</v>
      </c>
      <c r="G9364" s="489">
        <v>0</v>
      </c>
      <c r="H9364" s="489">
        <v>0</v>
      </c>
      <c r="I9364" s="487" t="s">
        <v>2465</v>
      </c>
      <c r="J9364" s="487" t="s">
        <v>1053</v>
      </c>
    </row>
    <row r="9365" spans="1:10" ht="15" x14ac:dyDescent="0.2">
      <c r="A9365" s="486" t="s">
        <v>1052</v>
      </c>
      <c r="B9365" s="487" t="s">
        <v>1051</v>
      </c>
      <c r="C9365" s="488" t="s">
        <v>28960</v>
      </c>
      <c r="D9365" s="489" t="s">
        <v>28961</v>
      </c>
      <c r="E9365" s="487" t="s">
        <v>6142</v>
      </c>
      <c r="F9365" s="490">
        <v>14210</v>
      </c>
      <c r="G9365" s="489">
        <v>351.27</v>
      </c>
      <c r="H9365" s="489">
        <v>40.453209999999999</v>
      </c>
      <c r="I9365" s="487" t="s">
        <v>1499</v>
      </c>
      <c r="J9365" s="487" t="s">
        <v>1053</v>
      </c>
    </row>
    <row r="9366" spans="1:10" ht="15" x14ac:dyDescent="0.2">
      <c r="A9366" s="486" t="s">
        <v>1052</v>
      </c>
      <c r="B9366" s="487" t="s">
        <v>1051</v>
      </c>
      <c r="C9366" s="488" t="s">
        <v>28962</v>
      </c>
      <c r="D9366" s="489" t="s">
        <v>28963</v>
      </c>
      <c r="E9366" s="487" t="s">
        <v>28964</v>
      </c>
      <c r="F9366" s="490">
        <v>20000</v>
      </c>
      <c r="G9366" s="489">
        <v>502.35</v>
      </c>
      <c r="H9366" s="489">
        <v>39.81288</v>
      </c>
      <c r="I9366" s="487" t="s">
        <v>1499</v>
      </c>
      <c r="J9366" s="487" t="s">
        <v>1053</v>
      </c>
    </row>
    <row r="9367" spans="1:10" ht="15" x14ac:dyDescent="0.2">
      <c r="A9367" s="486" t="s">
        <v>1052</v>
      </c>
      <c r="B9367" s="487" t="s">
        <v>1051</v>
      </c>
      <c r="C9367" s="488" t="s">
        <v>28965</v>
      </c>
      <c r="D9367" s="489" t="s">
        <v>28966</v>
      </c>
      <c r="E9367" s="487" t="s">
        <v>28967</v>
      </c>
      <c r="F9367" s="490">
        <v>15000</v>
      </c>
      <c r="G9367" s="489">
        <v>256.27</v>
      </c>
      <c r="H9367" s="489">
        <v>58.532020000000003</v>
      </c>
      <c r="I9367" s="487" t="s">
        <v>2465</v>
      </c>
      <c r="J9367" s="487" t="s">
        <v>1053</v>
      </c>
    </row>
    <row r="9368" spans="1:10" ht="15" x14ac:dyDescent="0.2">
      <c r="A9368" s="486" t="s">
        <v>1052</v>
      </c>
      <c r="B9368" s="487" t="s">
        <v>1051</v>
      </c>
      <c r="C9368" s="488" t="s">
        <v>28968</v>
      </c>
      <c r="D9368" s="489" t="s">
        <v>28969</v>
      </c>
      <c r="E9368" s="487" t="s">
        <v>28970</v>
      </c>
      <c r="F9368" s="490">
        <v>6500</v>
      </c>
      <c r="G9368" s="489">
        <v>194.14</v>
      </c>
      <c r="H9368" s="489">
        <v>33.480989999999998</v>
      </c>
      <c r="I9368" s="487" t="s">
        <v>1499</v>
      </c>
      <c r="J9368" s="487" t="s">
        <v>1053</v>
      </c>
    </row>
    <row r="9369" spans="1:10" ht="15" x14ac:dyDescent="0.2">
      <c r="A9369" s="486" t="s">
        <v>1052</v>
      </c>
      <c r="B9369" s="487" t="s">
        <v>1051</v>
      </c>
      <c r="C9369" s="488" t="s">
        <v>28971</v>
      </c>
      <c r="D9369" s="489" t="s">
        <v>28972</v>
      </c>
      <c r="E9369" s="487" t="s">
        <v>28973</v>
      </c>
      <c r="F9369" s="490">
        <v>115974.1</v>
      </c>
      <c r="G9369" s="489">
        <v>2894.43</v>
      </c>
      <c r="H9369" s="489">
        <v>40.06803</v>
      </c>
      <c r="I9369" s="487" t="s">
        <v>1499</v>
      </c>
      <c r="J9369" s="487" t="s">
        <v>1053</v>
      </c>
    </row>
    <row r="9370" spans="1:10" ht="15" x14ac:dyDescent="0.2">
      <c r="A9370" s="486" t="s">
        <v>1052</v>
      </c>
      <c r="B9370" s="487" t="s">
        <v>1051</v>
      </c>
      <c r="C9370" s="488" t="s">
        <v>28974</v>
      </c>
      <c r="D9370" s="489" t="s">
        <v>28975</v>
      </c>
      <c r="E9370" s="487" t="s">
        <v>28976</v>
      </c>
      <c r="F9370" s="490">
        <v>0</v>
      </c>
      <c r="G9370" s="489">
        <v>0</v>
      </c>
      <c r="H9370" s="489">
        <v>0</v>
      </c>
      <c r="I9370" s="487" t="s">
        <v>2465</v>
      </c>
      <c r="J9370" s="487" t="s">
        <v>1053</v>
      </c>
    </row>
    <row r="9371" spans="1:10" ht="15" x14ac:dyDescent="0.2">
      <c r="A9371" s="486" t="s">
        <v>1052</v>
      </c>
      <c r="B9371" s="487" t="s">
        <v>1051</v>
      </c>
      <c r="C9371" s="488" t="s">
        <v>28977</v>
      </c>
      <c r="D9371" s="489" t="s">
        <v>28978</v>
      </c>
      <c r="E9371" s="487" t="s">
        <v>28979</v>
      </c>
      <c r="F9371" s="490">
        <v>19715</v>
      </c>
      <c r="G9371" s="489">
        <v>222.85</v>
      </c>
      <c r="H9371" s="489">
        <v>88.467579999999998</v>
      </c>
      <c r="I9371" s="487" t="s">
        <v>1499</v>
      </c>
      <c r="J9371" s="487" t="s">
        <v>1053</v>
      </c>
    </row>
    <row r="9372" spans="1:10" ht="15" x14ac:dyDescent="0.2">
      <c r="A9372" s="486" t="s">
        <v>1052</v>
      </c>
      <c r="B9372" s="487" t="s">
        <v>1051</v>
      </c>
      <c r="C9372" s="488" t="s">
        <v>28980</v>
      </c>
      <c r="D9372" s="489" t="s">
        <v>28981</v>
      </c>
      <c r="E9372" s="487" t="s">
        <v>28982</v>
      </c>
      <c r="F9372" s="490">
        <v>10000</v>
      </c>
      <c r="G9372" s="489">
        <v>164.55</v>
      </c>
      <c r="H9372" s="489">
        <v>60.771799999999999</v>
      </c>
      <c r="I9372" s="487" t="s">
        <v>1499</v>
      </c>
      <c r="J9372" s="487" t="s">
        <v>1053</v>
      </c>
    </row>
    <row r="9373" spans="1:10" ht="15" x14ac:dyDescent="0.2">
      <c r="A9373" s="486" t="s">
        <v>1052</v>
      </c>
      <c r="B9373" s="487" t="s">
        <v>1051</v>
      </c>
      <c r="C9373" s="488" t="s">
        <v>28983</v>
      </c>
      <c r="D9373" s="489" t="s">
        <v>28984</v>
      </c>
      <c r="E9373" s="487" t="s">
        <v>28985</v>
      </c>
      <c r="F9373" s="490">
        <v>89460.05</v>
      </c>
      <c r="G9373" s="489">
        <v>1250.67</v>
      </c>
      <c r="H9373" s="489">
        <v>71.529700000000005</v>
      </c>
      <c r="I9373" s="487" t="s">
        <v>1499</v>
      </c>
      <c r="J9373" s="487" t="s">
        <v>1053</v>
      </c>
    </row>
    <row r="9374" spans="1:10" ht="15" x14ac:dyDescent="0.2">
      <c r="A9374" s="486" t="s">
        <v>1052</v>
      </c>
      <c r="B9374" s="487" t="s">
        <v>1051</v>
      </c>
      <c r="C9374" s="488" t="s">
        <v>28986</v>
      </c>
      <c r="D9374" s="489" t="s">
        <v>28987</v>
      </c>
      <c r="E9374" s="487" t="s">
        <v>28988</v>
      </c>
      <c r="F9374" s="490">
        <v>3000</v>
      </c>
      <c r="G9374" s="489">
        <v>63.7</v>
      </c>
      <c r="H9374" s="489">
        <v>47.095759999999999</v>
      </c>
      <c r="I9374" s="487" t="s">
        <v>1499</v>
      </c>
      <c r="J9374" s="487" t="s">
        <v>1053</v>
      </c>
    </row>
    <row r="9375" spans="1:10" ht="15" x14ac:dyDescent="0.2">
      <c r="A9375" s="486" t="s">
        <v>1140</v>
      </c>
      <c r="B9375" s="487" t="s">
        <v>1139</v>
      </c>
      <c r="C9375" s="488" t="s">
        <v>28989</v>
      </c>
      <c r="D9375" s="489" t="s">
        <v>28990</v>
      </c>
      <c r="E9375" s="487" t="s">
        <v>28991</v>
      </c>
      <c r="F9375" s="490">
        <v>11380</v>
      </c>
      <c r="G9375" s="489">
        <v>131.91</v>
      </c>
      <c r="H9375" s="489">
        <v>86.270939999999996</v>
      </c>
      <c r="I9375" s="487" t="s">
        <v>1499</v>
      </c>
      <c r="J9375" s="487" t="s">
        <v>1141</v>
      </c>
    </row>
    <row r="9376" spans="1:10" ht="15" x14ac:dyDescent="0.2">
      <c r="A9376" s="486" t="s">
        <v>1140</v>
      </c>
      <c r="B9376" s="487" t="s">
        <v>1139</v>
      </c>
      <c r="C9376" s="488" t="s">
        <v>28992</v>
      </c>
      <c r="D9376" s="489" t="s">
        <v>28993</v>
      </c>
      <c r="E9376" s="487" t="s">
        <v>28994</v>
      </c>
      <c r="F9376" s="490">
        <v>56700</v>
      </c>
      <c r="G9376" s="489">
        <v>1048.54</v>
      </c>
      <c r="H9376" s="489">
        <v>54.075189999999999</v>
      </c>
      <c r="I9376" s="487" t="s">
        <v>1499</v>
      </c>
      <c r="J9376" s="487" t="s">
        <v>1141</v>
      </c>
    </row>
    <row r="9377" spans="1:10" ht="15" x14ac:dyDescent="0.2">
      <c r="A9377" s="486" t="s">
        <v>1140</v>
      </c>
      <c r="B9377" s="487" t="s">
        <v>1139</v>
      </c>
      <c r="C9377" s="488" t="s">
        <v>28995</v>
      </c>
      <c r="D9377" s="489" t="s">
        <v>28996</v>
      </c>
      <c r="E9377" s="487" t="s">
        <v>28997</v>
      </c>
      <c r="F9377" s="490">
        <v>8574</v>
      </c>
      <c r="G9377" s="489">
        <v>171.91</v>
      </c>
      <c r="H9377" s="489">
        <v>49.874929999999999</v>
      </c>
      <c r="I9377" s="487" t="s">
        <v>1499</v>
      </c>
      <c r="J9377" s="487" t="s">
        <v>1141</v>
      </c>
    </row>
    <row r="9378" spans="1:10" ht="15" x14ac:dyDescent="0.2">
      <c r="A9378" s="486" t="s">
        <v>1140</v>
      </c>
      <c r="B9378" s="487" t="s">
        <v>1139</v>
      </c>
      <c r="C9378" s="488" t="s">
        <v>28998</v>
      </c>
      <c r="D9378" s="489" t="s">
        <v>28999</v>
      </c>
      <c r="E9378" s="487" t="s">
        <v>29000</v>
      </c>
      <c r="F9378" s="490">
        <v>0</v>
      </c>
      <c r="G9378" s="489">
        <v>148.1</v>
      </c>
      <c r="H9378" s="489">
        <v>0</v>
      </c>
      <c r="I9378" s="487" t="s">
        <v>1593</v>
      </c>
      <c r="J9378" s="487" t="s">
        <v>1141</v>
      </c>
    </row>
    <row r="9379" spans="1:10" ht="15" x14ac:dyDescent="0.2">
      <c r="A9379" s="486" t="s">
        <v>1140</v>
      </c>
      <c r="B9379" s="487" t="s">
        <v>1139</v>
      </c>
      <c r="C9379" s="488" t="s">
        <v>29001</v>
      </c>
      <c r="D9379" s="489" t="s">
        <v>29002</v>
      </c>
      <c r="E9379" s="487" t="s">
        <v>29003</v>
      </c>
      <c r="F9379" s="490">
        <v>22147.07</v>
      </c>
      <c r="G9379" s="489">
        <v>302.68</v>
      </c>
      <c r="H9379" s="489">
        <v>73.169920000000005</v>
      </c>
      <c r="I9379" s="487" t="s">
        <v>1499</v>
      </c>
      <c r="J9379" s="487" t="s">
        <v>1141</v>
      </c>
    </row>
    <row r="9380" spans="1:10" ht="15" x14ac:dyDescent="0.2">
      <c r="A9380" s="486" t="s">
        <v>1140</v>
      </c>
      <c r="B9380" s="487" t="s">
        <v>1139</v>
      </c>
      <c r="C9380" s="488" t="s">
        <v>29004</v>
      </c>
      <c r="D9380" s="489" t="s">
        <v>29005</v>
      </c>
      <c r="E9380" s="487" t="s">
        <v>29006</v>
      </c>
      <c r="F9380" s="490">
        <v>36807</v>
      </c>
      <c r="G9380" s="489">
        <v>467.42</v>
      </c>
      <c r="H9380" s="489">
        <v>78.74503</v>
      </c>
      <c r="I9380" s="487" t="s">
        <v>1499</v>
      </c>
      <c r="J9380" s="487" t="s">
        <v>1141</v>
      </c>
    </row>
    <row r="9381" spans="1:10" ht="15" x14ac:dyDescent="0.2">
      <c r="A9381" s="486" t="s">
        <v>1140</v>
      </c>
      <c r="B9381" s="487" t="s">
        <v>1139</v>
      </c>
      <c r="C9381" s="488" t="s">
        <v>29007</v>
      </c>
      <c r="D9381" s="489" t="s">
        <v>29008</v>
      </c>
      <c r="E9381" s="487" t="s">
        <v>29009</v>
      </c>
      <c r="F9381" s="490">
        <v>2640</v>
      </c>
      <c r="G9381" s="489">
        <v>96.98</v>
      </c>
      <c r="H9381" s="489">
        <v>27.222110000000001</v>
      </c>
      <c r="I9381" s="487" t="s">
        <v>1499</v>
      </c>
      <c r="J9381" s="487" t="s">
        <v>1141</v>
      </c>
    </row>
    <row r="9382" spans="1:10" ht="15" x14ac:dyDescent="0.2">
      <c r="A9382" s="486" t="s">
        <v>1140</v>
      </c>
      <c r="B9382" s="487" t="s">
        <v>1139</v>
      </c>
      <c r="C9382" s="488" t="s">
        <v>29010</v>
      </c>
      <c r="D9382" s="489" t="s">
        <v>29011</v>
      </c>
      <c r="E9382" s="487" t="s">
        <v>19113</v>
      </c>
      <c r="F9382" s="490">
        <v>96702</v>
      </c>
      <c r="G9382" s="489">
        <v>2028.85</v>
      </c>
      <c r="H9382" s="489">
        <v>47.663449999999997</v>
      </c>
      <c r="I9382" s="487" t="s">
        <v>1499</v>
      </c>
      <c r="J9382" s="487" t="s">
        <v>1141</v>
      </c>
    </row>
    <row r="9383" spans="1:10" ht="15" x14ac:dyDescent="0.2">
      <c r="A9383" s="486" t="s">
        <v>1140</v>
      </c>
      <c r="B9383" s="487" t="s">
        <v>1139</v>
      </c>
      <c r="C9383" s="488" t="s">
        <v>29012</v>
      </c>
      <c r="D9383" s="489" t="s">
        <v>29013</v>
      </c>
      <c r="E9383" s="487" t="s">
        <v>29014</v>
      </c>
      <c r="F9383" s="490">
        <v>6880.17</v>
      </c>
      <c r="G9383" s="489">
        <v>161.09</v>
      </c>
      <c r="H9383" s="489">
        <v>42.710099999999997</v>
      </c>
      <c r="I9383" s="487" t="s">
        <v>1499</v>
      </c>
      <c r="J9383" s="487" t="s">
        <v>1141</v>
      </c>
    </row>
    <row r="9384" spans="1:10" ht="15" x14ac:dyDescent="0.2">
      <c r="A9384" s="486" t="s">
        <v>1140</v>
      </c>
      <c r="B9384" s="487" t="s">
        <v>1139</v>
      </c>
      <c r="C9384" s="488" t="s">
        <v>29015</v>
      </c>
      <c r="D9384" s="489" t="s">
        <v>29016</v>
      </c>
      <c r="E9384" s="487" t="s">
        <v>29017</v>
      </c>
      <c r="F9384" s="490">
        <v>20670</v>
      </c>
      <c r="G9384" s="489">
        <v>1071.22</v>
      </c>
      <c r="H9384" s="489">
        <v>19.295760000000001</v>
      </c>
      <c r="I9384" s="487" t="s">
        <v>1499</v>
      </c>
      <c r="J9384" s="487" t="s">
        <v>1141</v>
      </c>
    </row>
    <row r="9385" spans="1:10" ht="15" x14ac:dyDescent="0.2">
      <c r="A9385" s="486" t="s">
        <v>1140</v>
      </c>
      <c r="B9385" s="487" t="s">
        <v>1139</v>
      </c>
      <c r="C9385" s="488" t="s">
        <v>29018</v>
      </c>
      <c r="D9385" s="489" t="s">
        <v>29019</v>
      </c>
      <c r="E9385" s="487" t="s">
        <v>29020</v>
      </c>
      <c r="F9385" s="490">
        <v>77850</v>
      </c>
      <c r="G9385" s="489">
        <v>2109.3200000000002</v>
      </c>
      <c r="H9385" s="489">
        <v>36.907629999999997</v>
      </c>
      <c r="I9385" s="487" t="s">
        <v>1499</v>
      </c>
      <c r="J9385" s="487" t="s">
        <v>1141</v>
      </c>
    </row>
    <row r="9386" spans="1:10" ht="15" x14ac:dyDescent="0.2">
      <c r="A9386" s="486" t="s">
        <v>1140</v>
      </c>
      <c r="B9386" s="487" t="s">
        <v>1139</v>
      </c>
      <c r="C9386" s="488" t="s">
        <v>29021</v>
      </c>
      <c r="D9386" s="489" t="s">
        <v>29022</v>
      </c>
      <c r="E9386" s="487" t="s">
        <v>29023</v>
      </c>
      <c r="F9386" s="490">
        <v>310</v>
      </c>
      <c r="G9386" s="489">
        <v>69.930000000000007</v>
      </c>
      <c r="H9386" s="489">
        <v>4.4329999999999998</v>
      </c>
      <c r="I9386" s="487" t="s">
        <v>1499</v>
      </c>
      <c r="J9386" s="487" t="s">
        <v>1141</v>
      </c>
    </row>
    <row r="9387" spans="1:10" ht="15" x14ac:dyDescent="0.2">
      <c r="A9387" s="486" t="s">
        <v>1140</v>
      </c>
      <c r="B9387" s="487" t="s">
        <v>1139</v>
      </c>
      <c r="C9387" s="488" t="s">
        <v>29024</v>
      </c>
      <c r="D9387" s="489" t="s">
        <v>29025</v>
      </c>
      <c r="E9387" s="487" t="s">
        <v>29026</v>
      </c>
      <c r="F9387" s="490">
        <v>0</v>
      </c>
      <c r="G9387" s="489">
        <v>21.96</v>
      </c>
      <c r="H9387" s="489">
        <v>0</v>
      </c>
      <c r="I9387" s="487" t="s">
        <v>1593</v>
      </c>
      <c r="J9387" s="487" t="s">
        <v>1141</v>
      </c>
    </row>
    <row r="9388" spans="1:10" ht="15" x14ac:dyDescent="0.2">
      <c r="A9388" s="486" t="s">
        <v>1140</v>
      </c>
      <c r="B9388" s="487" t="s">
        <v>1139</v>
      </c>
      <c r="C9388" s="488" t="s">
        <v>29027</v>
      </c>
      <c r="D9388" s="489" t="s">
        <v>29028</v>
      </c>
      <c r="E9388" s="487" t="s">
        <v>29029</v>
      </c>
      <c r="F9388" s="490">
        <v>0</v>
      </c>
      <c r="G9388" s="489">
        <v>7.75</v>
      </c>
      <c r="H9388" s="489">
        <v>0</v>
      </c>
      <c r="I9388" s="487" t="s">
        <v>1593</v>
      </c>
      <c r="J9388" s="487" t="s">
        <v>1141</v>
      </c>
    </row>
    <row r="9389" spans="1:10" ht="15" x14ac:dyDescent="0.2">
      <c r="A9389" s="486" t="s">
        <v>1140</v>
      </c>
      <c r="B9389" s="487" t="s">
        <v>1139</v>
      </c>
      <c r="C9389" s="488" t="s">
        <v>29030</v>
      </c>
      <c r="D9389" s="489" t="s">
        <v>29031</v>
      </c>
      <c r="E9389" s="487" t="s">
        <v>29032</v>
      </c>
      <c r="F9389" s="490">
        <v>119087</v>
      </c>
      <c r="G9389" s="489">
        <v>1820.19</v>
      </c>
      <c r="H9389" s="489">
        <v>65.42559</v>
      </c>
      <c r="I9389" s="487" t="s">
        <v>1499</v>
      </c>
      <c r="J9389" s="487" t="s">
        <v>1141</v>
      </c>
    </row>
    <row r="9390" spans="1:10" ht="15" x14ac:dyDescent="0.2">
      <c r="A9390" s="486" t="s">
        <v>1140</v>
      </c>
      <c r="B9390" s="487" t="s">
        <v>1139</v>
      </c>
      <c r="C9390" s="488" t="s">
        <v>29033</v>
      </c>
      <c r="D9390" s="489" t="s">
        <v>29034</v>
      </c>
      <c r="E9390" s="487" t="s">
        <v>29035</v>
      </c>
      <c r="F9390" s="490">
        <v>10000</v>
      </c>
      <c r="G9390" s="489">
        <v>107.75</v>
      </c>
      <c r="H9390" s="489">
        <v>92.807419999999993</v>
      </c>
      <c r="I9390" s="487" t="s">
        <v>1499</v>
      </c>
      <c r="J9390" s="487" t="s">
        <v>1141</v>
      </c>
    </row>
    <row r="9391" spans="1:10" ht="15" x14ac:dyDescent="0.2">
      <c r="A9391" s="486" t="s">
        <v>1140</v>
      </c>
      <c r="B9391" s="487" t="s">
        <v>1139</v>
      </c>
      <c r="C9391" s="488" t="s">
        <v>29036</v>
      </c>
      <c r="D9391" s="489" t="s">
        <v>29037</v>
      </c>
      <c r="E9391" s="487" t="s">
        <v>29038</v>
      </c>
      <c r="F9391" s="490">
        <v>12766</v>
      </c>
      <c r="G9391" s="489">
        <v>176.08</v>
      </c>
      <c r="H9391" s="489">
        <v>72.501140000000007</v>
      </c>
      <c r="I9391" s="487" t="s">
        <v>1499</v>
      </c>
      <c r="J9391" s="487" t="s">
        <v>1141</v>
      </c>
    </row>
    <row r="9392" spans="1:10" ht="15" x14ac:dyDescent="0.2">
      <c r="A9392" s="486" t="s">
        <v>1140</v>
      </c>
      <c r="B9392" s="487" t="s">
        <v>1139</v>
      </c>
      <c r="C9392" s="488" t="s">
        <v>29039</v>
      </c>
      <c r="D9392" s="489" t="s">
        <v>29040</v>
      </c>
      <c r="E9392" s="487" t="s">
        <v>29041</v>
      </c>
      <c r="F9392" s="490">
        <v>14700</v>
      </c>
      <c r="G9392" s="489">
        <v>221.19</v>
      </c>
      <c r="H9392" s="489">
        <v>66.458699999999993</v>
      </c>
      <c r="I9392" s="487" t="s">
        <v>1499</v>
      </c>
      <c r="J9392" s="487" t="s">
        <v>1141</v>
      </c>
    </row>
    <row r="9393" spans="1:10" ht="15" x14ac:dyDescent="0.2">
      <c r="A9393" s="486" t="s">
        <v>1140</v>
      </c>
      <c r="B9393" s="487" t="s">
        <v>1139</v>
      </c>
      <c r="C9393" s="488" t="s">
        <v>29042</v>
      </c>
      <c r="D9393" s="489" t="s">
        <v>29043</v>
      </c>
      <c r="E9393" s="487" t="s">
        <v>29044</v>
      </c>
      <c r="F9393" s="490">
        <v>15313.92</v>
      </c>
      <c r="G9393" s="489">
        <v>188.73</v>
      </c>
      <c r="H9393" s="489">
        <v>81.141949999999994</v>
      </c>
      <c r="I9393" s="487" t="s">
        <v>1499</v>
      </c>
      <c r="J9393" s="487" t="s">
        <v>1141</v>
      </c>
    </row>
    <row r="9394" spans="1:10" ht="15" x14ac:dyDescent="0.2">
      <c r="A9394" s="486" t="s">
        <v>1140</v>
      </c>
      <c r="B9394" s="487" t="s">
        <v>1139</v>
      </c>
      <c r="C9394" s="488" t="s">
        <v>29045</v>
      </c>
      <c r="D9394" s="489" t="s">
        <v>29046</v>
      </c>
      <c r="E9394" s="487" t="s">
        <v>29047</v>
      </c>
      <c r="F9394" s="490">
        <v>0</v>
      </c>
      <c r="G9394" s="489">
        <v>28.84</v>
      </c>
      <c r="H9394" s="489">
        <v>0</v>
      </c>
      <c r="I9394" s="487" t="s">
        <v>1593</v>
      </c>
      <c r="J9394" s="487" t="s">
        <v>1141</v>
      </c>
    </row>
    <row r="9395" spans="1:10" ht="15" x14ac:dyDescent="0.2">
      <c r="A9395" s="486" t="s">
        <v>1140</v>
      </c>
      <c r="B9395" s="487" t="s">
        <v>1139</v>
      </c>
      <c r="C9395" s="488" t="s">
        <v>29048</v>
      </c>
      <c r="D9395" s="489" t="s">
        <v>29049</v>
      </c>
      <c r="E9395" s="487" t="s">
        <v>29050</v>
      </c>
      <c r="F9395" s="490">
        <v>0</v>
      </c>
      <c r="G9395" s="489">
        <v>249.17</v>
      </c>
      <c r="H9395" s="489">
        <v>0</v>
      </c>
      <c r="I9395" s="487" t="s">
        <v>1593</v>
      </c>
      <c r="J9395" s="487" t="s">
        <v>1141</v>
      </c>
    </row>
    <row r="9396" spans="1:10" ht="15" x14ac:dyDescent="0.2">
      <c r="A9396" s="486" t="s">
        <v>1140</v>
      </c>
      <c r="B9396" s="487" t="s">
        <v>1139</v>
      </c>
      <c r="C9396" s="488" t="s">
        <v>29051</v>
      </c>
      <c r="D9396" s="489" t="s">
        <v>29052</v>
      </c>
      <c r="E9396" s="487" t="s">
        <v>29053</v>
      </c>
      <c r="F9396" s="490">
        <v>150000</v>
      </c>
      <c r="G9396" s="489">
        <v>1522.86</v>
      </c>
      <c r="H9396" s="489">
        <v>98.49888</v>
      </c>
      <c r="I9396" s="487" t="s">
        <v>1499</v>
      </c>
      <c r="J9396" s="487" t="s">
        <v>1141</v>
      </c>
    </row>
    <row r="9397" spans="1:10" ht="15" x14ac:dyDescent="0.2">
      <c r="A9397" s="486" t="s">
        <v>1140</v>
      </c>
      <c r="B9397" s="487" t="s">
        <v>1139</v>
      </c>
      <c r="C9397" s="488" t="s">
        <v>29054</v>
      </c>
      <c r="D9397" s="489" t="s">
        <v>29055</v>
      </c>
      <c r="E9397" s="487" t="s">
        <v>4254</v>
      </c>
      <c r="F9397" s="490">
        <v>13125</v>
      </c>
      <c r="G9397" s="489">
        <v>218.01</v>
      </c>
      <c r="H9397" s="489">
        <v>60.203659999999999</v>
      </c>
      <c r="I9397" s="487" t="s">
        <v>1499</v>
      </c>
      <c r="J9397" s="487" t="s">
        <v>1141</v>
      </c>
    </row>
    <row r="9398" spans="1:10" ht="15" x14ac:dyDescent="0.2">
      <c r="A9398" s="486" t="s">
        <v>1140</v>
      </c>
      <c r="B9398" s="487" t="s">
        <v>1139</v>
      </c>
      <c r="C9398" s="488" t="s">
        <v>29056</v>
      </c>
      <c r="D9398" s="489" t="s">
        <v>29057</v>
      </c>
      <c r="E9398" s="487" t="s">
        <v>29058</v>
      </c>
      <c r="F9398" s="490">
        <v>11497</v>
      </c>
      <c r="G9398" s="489">
        <v>229.39</v>
      </c>
      <c r="H9398" s="489">
        <v>50.119880000000002</v>
      </c>
      <c r="I9398" s="487" t="s">
        <v>1499</v>
      </c>
      <c r="J9398" s="487" t="s">
        <v>1141</v>
      </c>
    </row>
    <row r="9399" spans="1:10" ht="15" x14ac:dyDescent="0.2">
      <c r="A9399" s="486" t="s">
        <v>1140</v>
      </c>
      <c r="B9399" s="487" t="s">
        <v>1139</v>
      </c>
      <c r="C9399" s="488" t="s">
        <v>29059</v>
      </c>
      <c r="D9399" s="489" t="s">
        <v>29060</v>
      </c>
      <c r="E9399" s="487" t="s">
        <v>29061</v>
      </c>
      <c r="F9399" s="490">
        <v>27240</v>
      </c>
      <c r="G9399" s="489">
        <v>598.49</v>
      </c>
      <c r="H9399" s="489">
        <v>45.514539999999997</v>
      </c>
      <c r="I9399" s="487" t="s">
        <v>1499</v>
      </c>
      <c r="J9399" s="487" t="s">
        <v>1141</v>
      </c>
    </row>
    <row r="9400" spans="1:10" ht="15" x14ac:dyDescent="0.2">
      <c r="A9400" s="486" t="s">
        <v>1140</v>
      </c>
      <c r="B9400" s="487" t="s">
        <v>1139</v>
      </c>
      <c r="C9400" s="488" t="s">
        <v>29062</v>
      </c>
      <c r="D9400" s="489" t="s">
        <v>29063</v>
      </c>
      <c r="E9400" s="487" t="s">
        <v>29064</v>
      </c>
      <c r="F9400" s="490">
        <v>18020</v>
      </c>
      <c r="G9400" s="489">
        <v>226.53</v>
      </c>
      <c r="H9400" s="489">
        <v>79.547960000000003</v>
      </c>
      <c r="I9400" s="487" t="s">
        <v>1499</v>
      </c>
      <c r="J9400" s="487" t="s">
        <v>1141</v>
      </c>
    </row>
    <row r="9401" spans="1:10" ht="15" x14ac:dyDescent="0.2">
      <c r="A9401" s="486" t="s">
        <v>1140</v>
      </c>
      <c r="B9401" s="487" t="s">
        <v>1139</v>
      </c>
      <c r="C9401" s="488" t="s">
        <v>29065</v>
      </c>
      <c r="D9401" s="489" t="s">
        <v>29066</v>
      </c>
      <c r="E9401" s="487" t="s">
        <v>29067</v>
      </c>
      <c r="F9401" s="490">
        <v>18408</v>
      </c>
      <c r="G9401" s="489">
        <v>169.75</v>
      </c>
      <c r="H9401" s="489">
        <v>108.44183</v>
      </c>
      <c r="I9401" s="487" t="s">
        <v>1499</v>
      </c>
      <c r="J9401" s="487" t="s">
        <v>1141</v>
      </c>
    </row>
    <row r="9402" spans="1:10" ht="15" x14ac:dyDescent="0.2">
      <c r="A9402" s="486" t="s">
        <v>1140</v>
      </c>
      <c r="B9402" s="487" t="s">
        <v>1139</v>
      </c>
      <c r="C9402" s="488" t="s">
        <v>29068</v>
      </c>
      <c r="D9402" s="489" t="s">
        <v>29069</v>
      </c>
      <c r="E9402" s="487" t="s">
        <v>29070</v>
      </c>
      <c r="F9402" s="490">
        <v>91881</v>
      </c>
      <c r="G9402" s="489">
        <v>698.53</v>
      </c>
      <c r="H9402" s="489">
        <v>131.53478999999999</v>
      </c>
      <c r="I9402" s="487" t="s">
        <v>1499</v>
      </c>
      <c r="J9402" s="487" t="s">
        <v>1141</v>
      </c>
    </row>
    <row r="9403" spans="1:10" ht="15" x14ac:dyDescent="0.2">
      <c r="A9403" s="486" t="s">
        <v>1140</v>
      </c>
      <c r="B9403" s="487" t="s">
        <v>1139</v>
      </c>
      <c r="C9403" s="488" t="s">
        <v>29071</v>
      </c>
      <c r="D9403" s="489" t="s">
        <v>29072</v>
      </c>
      <c r="E9403" s="487" t="s">
        <v>29073</v>
      </c>
      <c r="F9403" s="490">
        <v>27099.599999999999</v>
      </c>
      <c r="G9403" s="489">
        <v>344.28</v>
      </c>
      <c r="H9403" s="489">
        <v>78.713840000000005</v>
      </c>
      <c r="I9403" s="487" t="s">
        <v>1499</v>
      </c>
      <c r="J9403" s="487" t="s">
        <v>1141</v>
      </c>
    </row>
    <row r="9404" spans="1:10" ht="15" x14ac:dyDescent="0.2">
      <c r="A9404" s="486" t="s">
        <v>1140</v>
      </c>
      <c r="B9404" s="487" t="s">
        <v>1139</v>
      </c>
      <c r="C9404" s="488" t="s">
        <v>29074</v>
      </c>
      <c r="D9404" s="489" t="s">
        <v>29075</v>
      </c>
      <c r="E9404" s="487" t="s">
        <v>29076</v>
      </c>
      <c r="F9404" s="490">
        <v>0</v>
      </c>
      <c r="G9404" s="489">
        <v>8.3000000000000007</v>
      </c>
      <c r="H9404" s="489">
        <v>0</v>
      </c>
      <c r="I9404" s="487" t="s">
        <v>1593</v>
      </c>
      <c r="J9404" s="487" t="s">
        <v>1141</v>
      </c>
    </row>
    <row r="9405" spans="1:10" ht="15" x14ac:dyDescent="0.2">
      <c r="A9405" s="486" t="s">
        <v>1140</v>
      </c>
      <c r="B9405" s="487" t="s">
        <v>1139</v>
      </c>
      <c r="C9405" s="488" t="s">
        <v>29077</v>
      </c>
      <c r="D9405" s="489" t="s">
        <v>29078</v>
      </c>
      <c r="E9405" s="487" t="s">
        <v>29079</v>
      </c>
      <c r="F9405" s="490">
        <v>10210</v>
      </c>
      <c r="G9405" s="489">
        <v>97.52</v>
      </c>
      <c r="H9405" s="489">
        <v>104.69647000000001</v>
      </c>
      <c r="I9405" s="487" t="s">
        <v>1499</v>
      </c>
      <c r="J9405" s="487" t="s">
        <v>1141</v>
      </c>
    </row>
    <row r="9406" spans="1:10" ht="15" x14ac:dyDescent="0.2">
      <c r="A9406" s="486" t="s">
        <v>1140</v>
      </c>
      <c r="B9406" s="487" t="s">
        <v>1139</v>
      </c>
      <c r="C9406" s="488" t="s">
        <v>29080</v>
      </c>
      <c r="D9406" s="489" t="s">
        <v>29081</v>
      </c>
      <c r="E9406" s="487" t="s">
        <v>29082</v>
      </c>
      <c r="F9406" s="490">
        <v>72028</v>
      </c>
      <c r="G9406" s="489">
        <v>528.49</v>
      </c>
      <c r="H9406" s="489">
        <v>136.29019</v>
      </c>
      <c r="I9406" s="487" t="s">
        <v>1499</v>
      </c>
      <c r="J9406" s="487" t="s">
        <v>1141</v>
      </c>
    </row>
    <row r="9407" spans="1:10" ht="15" x14ac:dyDescent="0.2">
      <c r="A9407" s="486" t="s">
        <v>1140</v>
      </c>
      <c r="B9407" s="487" t="s">
        <v>1139</v>
      </c>
      <c r="C9407" s="488" t="s">
        <v>29083</v>
      </c>
      <c r="D9407" s="489" t="s">
        <v>29084</v>
      </c>
      <c r="E9407" s="487" t="s">
        <v>16696</v>
      </c>
      <c r="F9407" s="490">
        <v>17100</v>
      </c>
      <c r="G9407" s="489">
        <v>209.72</v>
      </c>
      <c r="H9407" s="489">
        <v>81.537289999999999</v>
      </c>
      <c r="I9407" s="487" t="s">
        <v>1499</v>
      </c>
      <c r="J9407" s="487" t="s">
        <v>1141</v>
      </c>
    </row>
    <row r="9408" spans="1:10" ht="15" x14ac:dyDescent="0.2">
      <c r="A9408" s="486" t="s">
        <v>1140</v>
      </c>
      <c r="B9408" s="487" t="s">
        <v>1139</v>
      </c>
      <c r="C9408" s="488" t="s">
        <v>29085</v>
      </c>
      <c r="D9408" s="489" t="s">
        <v>29086</v>
      </c>
      <c r="E9408" s="487" t="s">
        <v>29087</v>
      </c>
      <c r="F9408" s="490">
        <v>0</v>
      </c>
      <c r="G9408" s="489">
        <v>25.06</v>
      </c>
      <c r="H9408" s="489">
        <v>0</v>
      </c>
      <c r="I9408" s="487" t="s">
        <v>1593</v>
      </c>
      <c r="J9408" s="487" t="s">
        <v>1141</v>
      </c>
    </row>
    <row r="9409" spans="1:10" ht="15" x14ac:dyDescent="0.2">
      <c r="A9409" s="486" t="s">
        <v>1140</v>
      </c>
      <c r="B9409" s="487" t="s">
        <v>1139</v>
      </c>
      <c r="C9409" s="488" t="s">
        <v>29088</v>
      </c>
      <c r="D9409" s="489" t="s">
        <v>29089</v>
      </c>
      <c r="E9409" s="487" t="s">
        <v>29090</v>
      </c>
      <c r="F9409" s="490">
        <v>500</v>
      </c>
      <c r="G9409" s="489">
        <v>39.770000000000003</v>
      </c>
      <c r="H9409" s="489">
        <v>12.572290000000001</v>
      </c>
      <c r="I9409" s="487" t="s">
        <v>1499</v>
      </c>
      <c r="J9409" s="487" t="s">
        <v>1141</v>
      </c>
    </row>
    <row r="9410" spans="1:10" ht="15" x14ac:dyDescent="0.2">
      <c r="A9410" s="486" t="s">
        <v>1140</v>
      </c>
      <c r="B9410" s="487" t="s">
        <v>1139</v>
      </c>
      <c r="C9410" s="488" t="s">
        <v>29091</v>
      </c>
      <c r="D9410" s="489" t="s">
        <v>29092</v>
      </c>
      <c r="E9410" s="487" t="s">
        <v>29093</v>
      </c>
      <c r="F9410" s="490">
        <v>17477</v>
      </c>
      <c r="G9410" s="489">
        <v>195.95</v>
      </c>
      <c r="H9410" s="489">
        <v>89.191119999999998</v>
      </c>
      <c r="I9410" s="487" t="s">
        <v>1499</v>
      </c>
      <c r="J9410" s="487" t="s">
        <v>1141</v>
      </c>
    </row>
    <row r="9411" spans="1:10" ht="15" x14ac:dyDescent="0.2">
      <c r="A9411" s="486" t="s">
        <v>1140</v>
      </c>
      <c r="B9411" s="487" t="s">
        <v>1139</v>
      </c>
      <c r="C9411" s="488" t="s">
        <v>29094</v>
      </c>
      <c r="D9411" s="489" t="s">
        <v>29095</v>
      </c>
      <c r="E9411" s="487" t="s">
        <v>29096</v>
      </c>
      <c r="F9411" s="490">
        <v>9090</v>
      </c>
      <c r="G9411" s="489">
        <v>127.61</v>
      </c>
      <c r="H9411" s="489">
        <v>71.232659999999996</v>
      </c>
      <c r="I9411" s="487" t="s">
        <v>1499</v>
      </c>
      <c r="J9411" s="487" t="s">
        <v>1141</v>
      </c>
    </row>
    <row r="9412" spans="1:10" ht="15" x14ac:dyDescent="0.2">
      <c r="A9412" s="486" t="s">
        <v>1140</v>
      </c>
      <c r="B9412" s="487" t="s">
        <v>1139</v>
      </c>
      <c r="C9412" s="488" t="s">
        <v>29097</v>
      </c>
      <c r="D9412" s="489" t="s">
        <v>29098</v>
      </c>
      <c r="E9412" s="487" t="s">
        <v>29099</v>
      </c>
      <c r="F9412" s="490">
        <v>9000</v>
      </c>
      <c r="G9412" s="489">
        <v>153.31</v>
      </c>
      <c r="H9412" s="489">
        <v>58.704590000000003</v>
      </c>
      <c r="I9412" s="487" t="s">
        <v>1499</v>
      </c>
      <c r="J9412" s="487" t="s">
        <v>1141</v>
      </c>
    </row>
    <row r="9413" spans="1:10" ht="15" x14ac:dyDescent="0.2">
      <c r="A9413" s="486" t="s">
        <v>1140</v>
      </c>
      <c r="B9413" s="487" t="s">
        <v>1139</v>
      </c>
      <c r="C9413" s="488" t="s">
        <v>29100</v>
      </c>
      <c r="D9413" s="489" t="s">
        <v>29101</v>
      </c>
      <c r="E9413" s="487" t="s">
        <v>29102</v>
      </c>
      <c r="F9413" s="490">
        <v>107500</v>
      </c>
      <c r="G9413" s="489">
        <v>1003.43</v>
      </c>
      <c r="H9413" s="489">
        <v>107.13254000000001</v>
      </c>
      <c r="I9413" s="487" t="s">
        <v>1499</v>
      </c>
      <c r="J9413" s="487" t="s">
        <v>1141</v>
      </c>
    </row>
    <row r="9414" spans="1:10" ht="15" x14ac:dyDescent="0.2">
      <c r="A9414" s="486" t="s">
        <v>1140</v>
      </c>
      <c r="B9414" s="487" t="s">
        <v>1139</v>
      </c>
      <c r="C9414" s="488" t="s">
        <v>29103</v>
      </c>
      <c r="D9414" s="489" t="s">
        <v>29104</v>
      </c>
      <c r="E9414" s="487" t="s">
        <v>29105</v>
      </c>
      <c r="F9414" s="490">
        <v>42800</v>
      </c>
      <c r="G9414" s="489">
        <v>539.08000000000004</v>
      </c>
      <c r="H9414" s="489">
        <v>79.39452</v>
      </c>
      <c r="I9414" s="487" t="s">
        <v>1499</v>
      </c>
      <c r="J9414" s="487" t="s">
        <v>1141</v>
      </c>
    </row>
    <row r="9415" spans="1:10" ht="15" x14ac:dyDescent="0.2">
      <c r="A9415" s="486" t="s">
        <v>1252</v>
      </c>
      <c r="B9415" s="487" t="s">
        <v>1251</v>
      </c>
      <c r="C9415" s="488" t="s">
        <v>29106</v>
      </c>
      <c r="D9415" s="489" t="s">
        <v>29107</v>
      </c>
      <c r="E9415" s="487" t="s">
        <v>29108</v>
      </c>
      <c r="F9415" s="490">
        <v>4000</v>
      </c>
      <c r="G9415" s="489">
        <v>58.863599999999998</v>
      </c>
      <c r="H9415" s="489">
        <v>67.953710000000001</v>
      </c>
      <c r="I9415" s="487" t="s">
        <v>1499</v>
      </c>
      <c r="J9415" s="487" t="s">
        <v>1253</v>
      </c>
    </row>
    <row r="9416" spans="1:10" ht="15" x14ac:dyDescent="0.2">
      <c r="A9416" s="486" t="s">
        <v>1252</v>
      </c>
      <c r="B9416" s="487" t="s">
        <v>1251</v>
      </c>
      <c r="C9416" s="488" t="s">
        <v>29109</v>
      </c>
      <c r="D9416" s="489" t="s">
        <v>29110</v>
      </c>
      <c r="E9416" s="487" t="s">
        <v>29111</v>
      </c>
      <c r="F9416" s="490">
        <v>410120</v>
      </c>
      <c r="G9416" s="489">
        <v>2427.16561</v>
      </c>
      <c r="H9416" s="489">
        <v>168.97075000000001</v>
      </c>
      <c r="I9416" s="487" t="s">
        <v>1499</v>
      </c>
      <c r="J9416" s="487" t="s">
        <v>1253</v>
      </c>
    </row>
    <row r="9417" spans="1:10" ht="15" x14ac:dyDescent="0.2">
      <c r="A9417" s="486" t="s">
        <v>1252</v>
      </c>
      <c r="B9417" s="487" t="s">
        <v>1251</v>
      </c>
      <c r="C9417" s="488" t="s">
        <v>29112</v>
      </c>
      <c r="D9417" s="489" t="s">
        <v>29113</v>
      </c>
      <c r="E9417" s="487" t="s">
        <v>29114</v>
      </c>
      <c r="F9417" s="490">
        <v>13880</v>
      </c>
      <c r="G9417" s="489">
        <v>303.56963999999999</v>
      </c>
      <c r="H9417" s="489">
        <v>45.722619999999999</v>
      </c>
      <c r="I9417" s="487" t="s">
        <v>1499</v>
      </c>
      <c r="J9417" s="487" t="s">
        <v>1253</v>
      </c>
    </row>
    <row r="9418" spans="1:10" ht="15" x14ac:dyDescent="0.2">
      <c r="A9418" s="486" t="s">
        <v>1252</v>
      </c>
      <c r="B9418" s="487" t="s">
        <v>1251</v>
      </c>
      <c r="C9418" s="488" t="s">
        <v>29115</v>
      </c>
      <c r="D9418" s="489" t="s">
        <v>29116</v>
      </c>
      <c r="E9418" s="487" t="s">
        <v>29117</v>
      </c>
      <c r="F9418" s="490">
        <v>6352.5</v>
      </c>
      <c r="G9418" s="489">
        <v>107.86385</v>
      </c>
      <c r="H9418" s="489">
        <v>58.893689999999999</v>
      </c>
      <c r="I9418" s="487" t="s">
        <v>1499</v>
      </c>
      <c r="J9418" s="487" t="s">
        <v>1253</v>
      </c>
    </row>
    <row r="9419" spans="1:10" ht="15" x14ac:dyDescent="0.2">
      <c r="A9419" s="486" t="s">
        <v>1252</v>
      </c>
      <c r="B9419" s="487" t="s">
        <v>1251</v>
      </c>
      <c r="C9419" s="488" t="s">
        <v>29118</v>
      </c>
      <c r="D9419" s="489" t="s">
        <v>29119</v>
      </c>
      <c r="E9419" s="487" t="s">
        <v>29120</v>
      </c>
      <c r="F9419" s="490">
        <v>9400</v>
      </c>
      <c r="G9419" s="489">
        <v>272.50265000000002</v>
      </c>
      <c r="H9419" s="489">
        <v>34.495080000000002</v>
      </c>
      <c r="I9419" s="487" t="s">
        <v>1499</v>
      </c>
      <c r="J9419" s="487" t="s">
        <v>1253</v>
      </c>
    </row>
    <row r="9420" spans="1:10" ht="15" x14ac:dyDescent="0.2">
      <c r="A9420" s="486" t="s">
        <v>1252</v>
      </c>
      <c r="B9420" s="487" t="s">
        <v>1251</v>
      </c>
      <c r="C9420" s="488" t="s">
        <v>29121</v>
      </c>
      <c r="D9420" s="489" t="s">
        <v>29122</v>
      </c>
      <c r="E9420" s="487" t="s">
        <v>29123</v>
      </c>
      <c r="F9420" s="490">
        <v>0</v>
      </c>
      <c r="G9420" s="489">
        <v>28.2864</v>
      </c>
      <c r="H9420" s="489">
        <v>0</v>
      </c>
      <c r="I9420" s="487" t="s">
        <v>1593</v>
      </c>
      <c r="J9420" s="487" t="s">
        <v>1253</v>
      </c>
    </row>
    <row r="9421" spans="1:10" ht="15" x14ac:dyDescent="0.2">
      <c r="A9421" s="486" t="s">
        <v>1252</v>
      </c>
      <c r="B9421" s="487" t="s">
        <v>1251</v>
      </c>
      <c r="C9421" s="488" t="s">
        <v>29124</v>
      </c>
      <c r="D9421" s="489" t="s">
        <v>29125</v>
      </c>
      <c r="E9421" s="487" t="s">
        <v>29126</v>
      </c>
      <c r="F9421" s="490">
        <v>17610</v>
      </c>
      <c r="G9421" s="489">
        <v>111.4524</v>
      </c>
      <c r="H9421" s="489">
        <v>158.00467</v>
      </c>
      <c r="I9421" s="487" t="s">
        <v>1499</v>
      </c>
      <c r="J9421" s="487" t="s">
        <v>1253</v>
      </c>
    </row>
    <row r="9422" spans="1:10" ht="15" x14ac:dyDescent="0.2">
      <c r="A9422" s="486" t="s">
        <v>1252</v>
      </c>
      <c r="B9422" s="487" t="s">
        <v>1251</v>
      </c>
      <c r="C9422" s="488" t="s">
        <v>29127</v>
      </c>
      <c r="D9422" s="489" t="s">
        <v>29128</v>
      </c>
      <c r="E9422" s="487" t="s">
        <v>29129</v>
      </c>
      <c r="F9422" s="490">
        <v>0</v>
      </c>
      <c r="G9422" s="489">
        <v>73.295419999999993</v>
      </c>
      <c r="H9422" s="489">
        <v>0</v>
      </c>
      <c r="I9422" s="487" t="s">
        <v>1593</v>
      </c>
      <c r="J9422" s="487" t="s">
        <v>1253</v>
      </c>
    </row>
    <row r="9423" spans="1:10" ht="15" x14ac:dyDescent="0.2">
      <c r="A9423" s="486" t="s">
        <v>1252</v>
      </c>
      <c r="B9423" s="487" t="s">
        <v>1251</v>
      </c>
      <c r="C9423" s="488" t="s">
        <v>29130</v>
      </c>
      <c r="D9423" s="489" t="s">
        <v>29131</v>
      </c>
      <c r="E9423" s="487" t="s">
        <v>29132</v>
      </c>
      <c r="F9423" s="490">
        <v>1000</v>
      </c>
      <c r="G9423" s="489">
        <v>66.627480000000006</v>
      </c>
      <c r="H9423" s="489">
        <v>15.00882</v>
      </c>
      <c r="I9423" s="487" t="s">
        <v>1499</v>
      </c>
      <c r="J9423" s="487" t="s">
        <v>1253</v>
      </c>
    </row>
    <row r="9424" spans="1:10" ht="15" x14ac:dyDescent="0.2">
      <c r="A9424" s="486" t="s">
        <v>1252</v>
      </c>
      <c r="B9424" s="487" t="s">
        <v>1251</v>
      </c>
      <c r="C9424" s="488" t="s">
        <v>29133</v>
      </c>
      <c r="D9424" s="489" t="s">
        <v>29134</v>
      </c>
      <c r="E9424" s="487" t="s">
        <v>29135</v>
      </c>
      <c r="F9424" s="490">
        <v>25100</v>
      </c>
      <c r="G9424" s="489">
        <v>298.45963999999998</v>
      </c>
      <c r="H9424" s="489">
        <v>84.098470000000006</v>
      </c>
      <c r="I9424" s="487" t="s">
        <v>1499</v>
      </c>
      <c r="J9424" s="487" t="s">
        <v>1253</v>
      </c>
    </row>
    <row r="9425" spans="1:10" ht="15" x14ac:dyDescent="0.2">
      <c r="A9425" s="486" t="s">
        <v>1252</v>
      </c>
      <c r="B9425" s="487" t="s">
        <v>1251</v>
      </c>
      <c r="C9425" s="488" t="s">
        <v>29136</v>
      </c>
      <c r="D9425" s="489" t="s">
        <v>29137</v>
      </c>
      <c r="E9425" s="487" t="s">
        <v>29138</v>
      </c>
      <c r="F9425" s="490">
        <v>130995</v>
      </c>
      <c r="G9425" s="489">
        <v>1523.2931699999999</v>
      </c>
      <c r="H9425" s="489">
        <v>85.994609999999994</v>
      </c>
      <c r="I9425" s="487" t="s">
        <v>1499</v>
      </c>
      <c r="J9425" s="487" t="s">
        <v>1253</v>
      </c>
    </row>
    <row r="9426" spans="1:10" ht="15" x14ac:dyDescent="0.2">
      <c r="A9426" s="486" t="s">
        <v>1252</v>
      </c>
      <c r="B9426" s="487" t="s">
        <v>1251</v>
      </c>
      <c r="C9426" s="488" t="s">
        <v>29139</v>
      </c>
      <c r="D9426" s="489" t="s">
        <v>29140</v>
      </c>
      <c r="E9426" s="487" t="s">
        <v>29141</v>
      </c>
      <c r="F9426" s="490">
        <v>374326</v>
      </c>
      <c r="G9426" s="489">
        <v>2679.62428</v>
      </c>
      <c r="H9426" s="489">
        <v>139.69345999999999</v>
      </c>
      <c r="I9426" s="487" t="s">
        <v>1499</v>
      </c>
      <c r="J9426" s="487" t="s">
        <v>1253</v>
      </c>
    </row>
    <row r="9427" spans="1:10" ht="15" x14ac:dyDescent="0.2">
      <c r="A9427" s="486" t="s">
        <v>1252</v>
      </c>
      <c r="B9427" s="487" t="s">
        <v>1251</v>
      </c>
      <c r="C9427" s="488" t="s">
        <v>29142</v>
      </c>
      <c r="D9427" s="489" t="s">
        <v>29143</v>
      </c>
      <c r="E9427" s="487" t="s">
        <v>29144</v>
      </c>
      <c r="F9427" s="490">
        <v>0</v>
      </c>
      <c r="G9427" s="489">
        <v>18.824400000000001</v>
      </c>
      <c r="H9427" s="489">
        <v>0</v>
      </c>
      <c r="I9427" s="487" t="s">
        <v>1593</v>
      </c>
      <c r="J9427" s="487" t="s">
        <v>1253</v>
      </c>
    </row>
    <row r="9428" spans="1:10" ht="15" x14ac:dyDescent="0.2">
      <c r="A9428" s="486" t="s">
        <v>1252</v>
      </c>
      <c r="B9428" s="487" t="s">
        <v>1251</v>
      </c>
      <c r="C9428" s="488" t="s">
        <v>29145</v>
      </c>
      <c r="D9428" s="489" t="s">
        <v>29146</v>
      </c>
      <c r="E9428" s="487" t="s">
        <v>29147</v>
      </c>
      <c r="F9428" s="490">
        <v>7500</v>
      </c>
      <c r="G9428" s="489">
        <v>147.40799999999999</v>
      </c>
      <c r="H9428" s="489">
        <v>50.879190000000001</v>
      </c>
      <c r="I9428" s="487" t="s">
        <v>1499</v>
      </c>
      <c r="J9428" s="487" t="s">
        <v>1253</v>
      </c>
    </row>
    <row r="9429" spans="1:10" ht="15" x14ac:dyDescent="0.2">
      <c r="A9429" s="486" t="s">
        <v>1252</v>
      </c>
      <c r="B9429" s="487" t="s">
        <v>1251</v>
      </c>
      <c r="C9429" s="488" t="s">
        <v>29148</v>
      </c>
      <c r="D9429" s="489" t="s">
        <v>29149</v>
      </c>
      <c r="E9429" s="487" t="s">
        <v>29150</v>
      </c>
      <c r="F9429" s="490">
        <v>112500</v>
      </c>
      <c r="G9429" s="489">
        <v>1202.12913</v>
      </c>
      <c r="H9429" s="489">
        <v>93.583960000000005</v>
      </c>
      <c r="I9429" s="487" t="s">
        <v>1499</v>
      </c>
      <c r="J9429" s="487" t="s">
        <v>1253</v>
      </c>
    </row>
    <row r="9430" spans="1:10" ht="15" x14ac:dyDescent="0.2">
      <c r="A9430" s="486" t="s">
        <v>1252</v>
      </c>
      <c r="B9430" s="487" t="s">
        <v>1251</v>
      </c>
      <c r="C9430" s="488" t="s">
        <v>29151</v>
      </c>
      <c r="D9430" s="489" t="s">
        <v>29152</v>
      </c>
      <c r="E9430" s="487" t="s">
        <v>29153</v>
      </c>
      <c r="F9430" s="490">
        <v>24309</v>
      </c>
      <c r="G9430" s="489">
        <v>560.45005000000003</v>
      </c>
      <c r="H9430" s="489">
        <v>43.374070000000003</v>
      </c>
      <c r="I9430" s="487" t="s">
        <v>1499</v>
      </c>
      <c r="J9430" s="487" t="s">
        <v>1253</v>
      </c>
    </row>
    <row r="9431" spans="1:10" ht="15" x14ac:dyDescent="0.2">
      <c r="A9431" s="486" t="s">
        <v>1252</v>
      </c>
      <c r="B9431" s="487" t="s">
        <v>1251</v>
      </c>
      <c r="C9431" s="488" t="s">
        <v>29154</v>
      </c>
      <c r="D9431" s="489" t="s">
        <v>29155</v>
      </c>
      <c r="E9431" s="487" t="s">
        <v>29156</v>
      </c>
      <c r="F9431" s="490">
        <v>2850</v>
      </c>
      <c r="G9431" s="489">
        <v>67.927199999999999</v>
      </c>
      <c r="H9431" s="489">
        <v>41.956679999999999</v>
      </c>
      <c r="I9431" s="487" t="s">
        <v>1499</v>
      </c>
      <c r="J9431" s="487" t="s">
        <v>1253</v>
      </c>
    </row>
    <row r="9432" spans="1:10" ht="15" x14ac:dyDescent="0.2">
      <c r="A9432" s="486" t="s">
        <v>1252</v>
      </c>
      <c r="B9432" s="487" t="s">
        <v>1251</v>
      </c>
      <c r="C9432" s="488" t="s">
        <v>29157</v>
      </c>
      <c r="D9432" s="489" t="s">
        <v>29158</v>
      </c>
      <c r="E9432" s="487" t="s">
        <v>29159</v>
      </c>
      <c r="F9432" s="490">
        <v>37046</v>
      </c>
      <c r="G9432" s="489">
        <v>579.94038999999998</v>
      </c>
      <c r="H9432" s="489">
        <v>63.878979999999999</v>
      </c>
      <c r="I9432" s="487" t="s">
        <v>1499</v>
      </c>
      <c r="J9432" s="487" t="s">
        <v>1253</v>
      </c>
    </row>
    <row r="9433" spans="1:10" ht="15" x14ac:dyDescent="0.2">
      <c r="A9433" s="486" t="s">
        <v>1252</v>
      </c>
      <c r="B9433" s="487" t="s">
        <v>1251</v>
      </c>
      <c r="C9433" s="488" t="s">
        <v>29160</v>
      </c>
      <c r="D9433" s="489" t="s">
        <v>29161</v>
      </c>
      <c r="E9433" s="487" t="s">
        <v>29162</v>
      </c>
      <c r="F9433" s="490">
        <v>4918</v>
      </c>
      <c r="G9433" s="489">
        <v>104.77493</v>
      </c>
      <c r="H9433" s="489">
        <v>46.93871</v>
      </c>
      <c r="I9433" s="487" t="s">
        <v>1499</v>
      </c>
      <c r="J9433" s="487" t="s">
        <v>1253</v>
      </c>
    </row>
    <row r="9434" spans="1:10" ht="15" x14ac:dyDescent="0.2">
      <c r="A9434" s="486" t="s">
        <v>1252</v>
      </c>
      <c r="B9434" s="487" t="s">
        <v>1251</v>
      </c>
      <c r="C9434" s="488" t="s">
        <v>29163</v>
      </c>
      <c r="D9434" s="489" t="s">
        <v>29164</v>
      </c>
      <c r="E9434" s="487" t="s">
        <v>29165</v>
      </c>
      <c r="F9434" s="490">
        <v>0</v>
      </c>
      <c r="G9434" s="489">
        <v>39.341999999999999</v>
      </c>
      <c r="H9434" s="489">
        <v>0</v>
      </c>
      <c r="I9434" s="487" t="s">
        <v>1593</v>
      </c>
      <c r="J9434" s="487" t="s">
        <v>1253</v>
      </c>
    </row>
    <row r="9435" spans="1:10" ht="15" x14ac:dyDescent="0.2">
      <c r="A9435" s="486" t="s">
        <v>1252</v>
      </c>
      <c r="B9435" s="487" t="s">
        <v>1251</v>
      </c>
      <c r="C9435" s="488" t="s">
        <v>29166</v>
      </c>
      <c r="D9435" s="489" t="s">
        <v>29167</v>
      </c>
      <c r="E9435" s="487" t="s">
        <v>29168</v>
      </c>
      <c r="F9435" s="490">
        <v>0</v>
      </c>
      <c r="G9435" s="489">
        <v>5.8985900000000004</v>
      </c>
      <c r="H9435" s="489">
        <v>0</v>
      </c>
      <c r="I9435" s="487" t="s">
        <v>1593</v>
      </c>
      <c r="J9435" s="487" t="s">
        <v>1253</v>
      </c>
    </row>
    <row r="9436" spans="1:10" ht="15" x14ac:dyDescent="0.2">
      <c r="A9436" s="486" t="s">
        <v>1252</v>
      </c>
      <c r="B9436" s="487" t="s">
        <v>1251</v>
      </c>
      <c r="C9436" s="488" t="s">
        <v>29169</v>
      </c>
      <c r="D9436" s="489" t="s">
        <v>29170</v>
      </c>
      <c r="E9436" s="487" t="s">
        <v>29171</v>
      </c>
      <c r="F9436" s="490">
        <v>3000</v>
      </c>
      <c r="G9436" s="489">
        <v>92.018249999999995</v>
      </c>
      <c r="H9436" s="489">
        <v>32.602229999999999</v>
      </c>
      <c r="I9436" s="487" t="s">
        <v>1499</v>
      </c>
      <c r="J9436" s="487" t="s">
        <v>1253</v>
      </c>
    </row>
    <row r="9437" spans="1:10" ht="15" x14ac:dyDescent="0.2">
      <c r="A9437" s="486" t="s">
        <v>1252</v>
      </c>
      <c r="B9437" s="487" t="s">
        <v>1251</v>
      </c>
      <c r="C9437" s="488" t="s">
        <v>29172</v>
      </c>
      <c r="D9437" s="489" t="s">
        <v>29173</v>
      </c>
      <c r="E9437" s="487" t="s">
        <v>10871</v>
      </c>
      <c r="F9437" s="490">
        <v>10300</v>
      </c>
      <c r="G9437" s="489">
        <v>229.98218</v>
      </c>
      <c r="H9437" s="489">
        <v>44.786079999999998</v>
      </c>
      <c r="I9437" s="487" t="s">
        <v>1499</v>
      </c>
      <c r="J9437" s="487" t="s">
        <v>1253</v>
      </c>
    </row>
    <row r="9438" spans="1:10" ht="15" x14ac:dyDescent="0.2">
      <c r="A9438" s="486" t="s">
        <v>1252</v>
      </c>
      <c r="B9438" s="487" t="s">
        <v>1251</v>
      </c>
      <c r="C9438" s="488" t="s">
        <v>29174</v>
      </c>
      <c r="D9438" s="489" t="s">
        <v>29175</v>
      </c>
      <c r="E9438" s="487" t="s">
        <v>29176</v>
      </c>
      <c r="F9438" s="490">
        <v>1050</v>
      </c>
      <c r="G9438" s="489">
        <v>76.440870000000004</v>
      </c>
      <c r="H9438" s="489">
        <v>13.73611</v>
      </c>
      <c r="I9438" s="487" t="s">
        <v>1499</v>
      </c>
      <c r="J9438" s="487" t="s">
        <v>1253</v>
      </c>
    </row>
    <row r="9439" spans="1:10" ht="15" x14ac:dyDescent="0.2">
      <c r="A9439" s="486" t="s">
        <v>1252</v>
      </c>
      <c r="B9439" s="487" t="s">
        <v>1251</v>
      </c>
      <c r="C9439" s="488" t="s">
        <v>29177</v>
      </c>
      <c r="D9439" s="489" t="s">
        <v>29178</v>
      </c>
      <c r="E9439" s="487" t="s">
        <v>29179</v>
      </c>
      <c r="F9439" s="490">
        <v>42000</v>
      </c>
      <c r="G9439" s="489">
        <v>659.13572999999997</v>
      </c>
      <c r="H9439" s="489">
        <v>63.719799999999999</v>
      </c>
      <c r="I9439" s="487" t="s">
        <v>1499</v>
      </c>
      <c r="J9439" s="487" t="s">
        <v>1253</v>
      </c>
    </row>
    <row r="9440" spans="1:10" ht="15" x14ac:dyDescent="0.2">
      <c r="A9440" s="486" t="s">
        <v>1252</v>
      </c>
      <c r="B9440" s="487" t="s">
        <v>1251</v>
      </c>
      <c r="C9440" s="488" t="s">
        <v>29180</v>
      </c>
      <c r="D9440" s="489" t="s">
        <v>29181</v>
      </c>
      <c r="E9440" s="487" t="s">
        <v>29182</v>
      </c>
      <c r="F9440" s="490">
        <v>25000</v>
      </c>
      <c r="G9440" s="489">
        <v>284.74162999999999</v>
      </c>
      <c r="H9440" s="489">
        <v>87.79889</v>
      </c>
      <c r="I9440" s="487" t="s">
        <v>1499</v>
      </c>
      <c r="J9440" s="487" t="s">
        <v>1253</v>
      </c>
    </row>
    <row r="9441" spans="1:10" ht="15" x14ac:dyDescent="0.2">
      <c r="A9441" s="486" t="s">
        <v>1252</v>
      </c>
      <c r="B9441" s="487" t="s">
        <v>1251</v>
      </c>
      <c r="C9441" s="488" t="s">
        <v>29183</v>
      </c>
      <c r="D9441" s="489" t="s">
        <v>29184</v>
      </c>
      <c r="E9441" s="487" t="s">
        <v>29185</v>
      </c>
      <c r="F9441" s="490">
        <v>5148</v>
      </c>
      <c r="G9441" s="489">
        <v>99.396199999999993</v>
      </c>
      <c r="H9441" s="489">
        <v>51.792720000000003</v>
      </c>
      <c r="I9441" s="487" t="s">
        <v>1499</v>
      </c>
      <c r="J9441" s="487" t="s">
        <v>1253</v>
      </c>
    </row>
    <row r="9442" spans="1:10" ht="15" x14ac:dyDescent="0.2">
      <c r="A9442" s="486" t="s">
        <v>1252</v>
      </c>
      <c r="B9442" s="487" t="s">
        <v>1251</v>
      </c>
      <c r="C9442" s="488" t="s">
        <v>29186</v>
      </c>
      <c r="D9442" s="489" t="s">
        <v>29187</v>
      </c>
      <c r="E9442" s="487" t="s">
        <v>29188</v>
      </c>
      <c r="F9442" s="490">
        <v>0</v>
      </c>
      <c r="G9442" s="489">
        <v>66.233999999999995</v>
      </c>
      <c r="H9442" s="489">
        <v>0</v>
      </c>
      <c r="I9442" s="487" t="s">
        <v>1593</v>
      </c>
      <c r="J9442" s="487" t="s">
        <v>1253</v>
      </c>
    </row>
    <row r="9443" spans="1:10" ht="15" x14ac:dyDescent="0.2">
      <c r="A9443" s="486" t="s">
        <v>1252</v>
      </c>
      <c r="B9443" s="487" t="s">
        <v>1251</v>
      </c>
      <c r="C9443" s="488" t="s">
        <v>29189</v>
      </c>
      <c r="D9443" s="489" t="s">
        <v>29190</v>
      </c>
      <c r="E9443" s="487" t="s">
        <v>29191</v>
      </c>
      <c r="F9443" s="490">
        <v>0</v>
      </c>
      <c r="G9443" s="489">
        <v>10.956</v>
      </c>
      <c r="H9443" s="489">
        <v>0</v>
      </c>
      <c r="I9443" s="487" t="s">
        <v>1593</v>
      </c>
      <c r="J9443" s="487" t="s">
        <v>1253</v>
      </c>
    </row>
    <row r="9444" spans="1:10" ht="15" x14ac:dyDescent="0.2">
      <c r="A9444" s="486" t="s">
        <v>1252</v>
      </c>
      <c r="B9444" s="487" t="s">
        <v>1251</v>
      </c>
      <c r="C9444" s="488" t="s">
        <v>29192</v>
      </c>
      <c r="D9444" s="489" t="s">
        <v>29193</v>
      </c>
      <c r="E9444" s="487" t="s">
        <v>29194</v>
      </c>
      <c r="F9444" s="490">
        <v>7669</v>
      </c>
      <c r="G9444" s="489">
        <v>104.7792</v>
      </c>
      <c r="H9444" s="489">
        <v>73.192009999999996</v>
      </c>
      <c r="I9444" s="487" t="s">
        <v>1499</v>
      </c>
      <c r="J9444" s="487" t="s">
        <v>1253</v>
      </c>
    </row>
    <row r="9445" spans="1:10" ht="15" x14ac:dyDescent="0.2">
      <c r="A9445" s="486" t="s">
        <v>1252</v>
      </c>
      <c r="B9445" s="487" t="s">
        <v>1251</v>
      </c>
      <c r="C9445" s="488" t="s">
        <v>29195</v>
      </c>
      <c r="D9445" s="489" t="s">
        <v>29196</v>
      </c>
      <c r="E9445" s="487" t="s">
        <v>29197</v>
      </c>
      <c r="F9445" s="490">
        <v>2310</v>
      </c>
      <c r="G9445" s="489">
        <v>83.163049999999998</v>
      </c>
      <c r="H9445" s="489">
        <v>27.776759999999999</v>
      </c>
      <c r="I9445" s="487" t="s">
        <v>1499</v>
      </c>
      <c r="J9445" s="487" t="s">
        <v>1253</v>
      </c>
    </row>
    <row r="9446" spans="1:10" ht="15" x14ac:dyDescent="0.2">
      <c r="A9446" s="486" t="s">
        <v>1252</v>
      </c>
      <c r="B9446" s="487" t="s">
        <v>1251</v>
      </c>
      <c r="C9446" s="488" t="s">
        <v>29198</v>
      </c>
      <c r="D9446" s="489" t="s">
        <v>29199</v>
      </c>
      <c r="E9446" s="487" t="s">
        <v>29200</v>
      </c>
      <c r="F9446" s="490">
        <v>75000</v>
      </c>
      <c r="G9446" s="489">
        <v>577.91405999999995</v>
      </c>
      <c r="H9446" s="489">
        <v>129.77708000000001</v>
      </c>
      <c r="I9446" s="487" t="s">
        <v>1499</v>
      </c>
      <c r="J9446" s="487" t="s">
        <v>1253</v>
      </c>
    </row>
    <row r="9447" spans="1:10" ht="15" x14ac:dyDescent="0.2">
      <c r="A9447" s="486" t="s">
        <v>1252</v>
      </c>
      <c r="B9447" s="487" t="s">
        <v>1251</v>
      </c>
      <c r="C9447" s="488" t="s">
        <v>29201</v>
      </c>
      <c r="D9447" s="489" t="s">
        <v>29202</v>
      </c>
      <c r="E9447" s="487" t="s">
        <v>29203</v>
      </c>
      <c r="F9447" s="490">
        <v>3800</v>
      </c>
      <c r="G9447" s="489">
        <v>116.63160000000001</v>
      </c>
      <c r="H9447" s="489">
        <v>32.581220000000002</v>
      </c>
      <c r="I9447" s="487" t="s">
        <v>1499</v>
      </c>
      <c r="J9447" s="487" t="s">
        <v>1253</v>
      </c>
    </row>
    <row r="9448" spans="1:10" ht="15" x14ac:dyDescent="0.2">
      <c r="A9448" s="486" t="s">
        <v>1252</v>
      </c>
      <c r="B9448" s="487" t="s">
        <v>1251</v>
      </c>
      <c r="C9448" s="488" t="s">
        <v>29204</v>
      </c>
      <c r="D9448" s="489" t="s">
        <v>29205</v>
      </c>
      <c r="E9448" s="487" t="s">
        <v>2390</v>
      </c>
      <c r="F9448" s="490">
        <v>15666</v>
      </c>
      <c r="G9448" s="489">
        <v>132.36412999999999</v>
      </c>
      <c r="H9448" s="489">
        <v>118.35533</v>
      </c>
      <c r="I9448" s="487" t="s">
        <v>1499</v>
      </c>
      <c r="J9448" s="487" t="s">
        <v>1253</v>
      </c>
    </row>
    <row r="9449" spans="1:10" ht="15" x14ac:dyDescent="0.2">
      <c r="A9449" s="486" t="s">
        <v>1252</v>
      </c>
      <c r="B9449" s="487" t="s">
        <v>1251</v>
      </c>
      <c r="C9449" s="488" t="s">
        <v>29206</v>
      </c>
      <c r="D9449" s="489" t="s">
        <v>29207</v>
      </c>
      <c r="E9449" s="487" t="s">
        <v>29208</v>
      </c>
      <c r="F9449" s="490">
        <v>22000</v>
      </c>
      <c r="G9449" s="489">
        <v>423.98505</v>
      </c>
      <c r="H9449" s="489">
        <v>51.888620000000003</v>
      </c>
      <c r="I9449" s="487" t="s">
        <v>1499</v>
      </c>
      <c r="J9449" s="487" t="s">
        <v>1253</v>
      </c>
    </row>
    <row r="9450" spans="1:10" ht="15" x14ac:dyDescent="0.2">
      <c r="A9450" s="486" t="s">
        <v>1252</v>
      </c>
      <c r="B9450" s="487" t="s">
        <v>1251</v>
      </c>
      <c r="C9450" s="488" t="s">
        <v>29209</v>
      </c>
      <c r="D9450" s="489" t="s">
        <v>29210</v>
      </c>
      <c r="E9450" s="487" t="s">
        <v>25006</v>
      </c>
      <c r="F9450" s="490">
        <v>0</v>
      </c>
      <c r="G9450" s="489">
        <v>33.0672</v>
      </c>
      <c r="H9450" s="489">
        <v>0</v>
      </c>
      <c r="I9450" s="487" t="s">
        <v>1593</v>
      </c>
      <c r="J9450" s="487" t="s">
        <v>1253</v>
      </c>
    </row>
    <row r="9451" spans="1:10" ht="15" x14ac:dyDescent="0.2">
      <c r="A9451" s="486" t="s">
        <v>1252</v>
      </c>
      <c r="B9451" s="487" t="s">
        <v>1251</v>
      </c>
      <c r="C9451" s="488" t="s">
        <v>29211</v>
      </c>
      <c r="D9451" s="489" t="s">
        <v>29212</v>
      </c>
      <c r="E9451" s="487" t="s">
        <v>29213</v>
      </c>
      <c r="F9451" s="490">
        <v>17643</v>
      </c>
      <c r="G9451" s="489">
        <v>233.1636</v>
      </c>
      <c r="H9451" s="489">
        <v>75.667900000000003</v>
      </c>
      <c r="I9451" s="487" t="s">
        <v>1499</v>
      </c>
      <c r="J9451" s="487" t="s">
        <v>1253</v>
      </c>
    </row>
    <row r="9452" spans="1:10" ht="15" x14ac:dyDescent="0.2">
      <c r="A9452" s="486" t="s">
        <v>1252</v>
      </c>
      <c r="B9452" s="487" t="s">
        <v>1251</v>
      </c>
      <c r="C9452" s="488" t="s">
        <v>29214</v>
      </c>
      <c r="D9452" s="489" t="s">
        <v>29215</v>
      </c>
      <c r="E9452" s="487" t="s">
        <v>29216</v>
      </c>
      <c r="F9452" s="490">
        <v>38000</v>
      </c>
      <c r="G9452" s="489">
        <v>510.04831999999999</v>
      </c>
      <c r="H9452" s="489">
        <v>74.502750000000006</v>
      </c>
      <c r="I9452" s="487" t="s">
        <v>1499</v>
      </c>
      <c r="J9452" s="487" t="s">
        <v>1253</v>
      </c>
    </row>
    <row r="9453" spans="1:10" ht="15" x14ac:dyDescent="0.2">
      <c r="A9453" s="486" t="s">
        <v>1252</v>
      </c>
      <c r="B9453" s="487" t="s">
        <v>1251</v>
      </c>
      <c r="C9453" s="488" t="s">
        <v>29217</v>
      </c>
      <c r="D9453" s="489" t="s">
        <v>29218</v>
      </c>
      <c r="E9453" s="487" t="s">
        <v>29219</v>
      </c>
      <c r="F9453" s="490">
        <v>7200</v>
      </c>
      <c r="G9453" s="489">
        <v>182.99316999999999</v>
      </c>
      <c r="H9453" s="489">
        <v>39.345730000000003</v>
      </c>
      <c r="I9453" s="487" t="s">
        <v>1499</v>
      </c>
      <c r="J9453" s="487" t="s">
        <v>1253</v>
      </c>
    </row>
    <row r="9454" spans="1:10" ht="15" x14ac:dyDescent="0.2">
      <c r="A9454" s="486" t="s">
        <v>1252</v>
      </c>
      <c r="B9454" s="487" t="s">
        <v>1251</v>
      </c>
      <c r="C9454" s="488" t="s">
        <v>29220</v>
      </c>
      <c r="D9454" s="489" t="s">
        <v>29221</v>
      </c>
      <c r="E9454" s="487" t="s">
        <v>29222</v>
      </c>
      <c r="F9454" s="490">
        <v>20297.400000000001</v>
      </c>
      <c r="G9454" s="489">
        <v>240.82853</v>
      </c>
      <c r="H9454" s="489">
        <v>84.281540000000007</v>
      </c>
      <c r="I9454" s="487" t="s">
        <v>1499</v>
      </c>
      <c r="J9454" s="487" t="s">
        <v>1253</v>
      </c>
    </row>
    <row r="9455" spans="1:10" ht="15" x14ac:dyDescent="0.2">
      <c r="A9455" s="486" t="s">
        <v>1252</v>
      </c>
      <c r="B9455" s="487" t="s">
        <v>1251</v>
      </c>
      <c r="C9455" s="488" t="s">
        <v>29223</v>
      </c>
      <c r="D9455" s="489" t="s">
        <v>29224</v>
      </c>
      <c r="E9455" s="487" t="s">
        <v>29225</v>
      </c>
      <c r="F9455" s="490">
        <v>147711</v>
      </c>
      <c r="G9455" s="489">
        <v>1202.1585399999999</v>
      </c>
      <c r="H9455" s="489">
        <v>122.87148000000001</v>
      </c>
      <c r="I9455" s="487" t="s">
        <v>1499</v>
      </c>
      <c r="J9455" s="487" t="s">
        <v>1253</v>
      </c>
    </row>
    <row r="9456" spans="1:10" ht="15" x14ac:dyDescent="0.2">
      <c r="A9456" s="486" t="s">
        <v>1252</v>
      </c>
      <c r="B9456" s="487" t="s">
        <v>1251</v>
      </c>
      <c r="C9456" s="488" t="s">
        <v>29226</v>
      </c>
      <c r="D9456" s="489" t="s">
        <v>29227</v>
      </c>
      <c r="E9456" s="487" t="s">
        <v>29228</v>
      </c>
      <c r="F9456" s="490">
        <v>8000</v>
      </c>
      <c r="G9456" s="489">
        <v>111.7512</v>
      </c>
      <c r="H9456" s="489">
        <v>71.587599999999995</v>
      </c>
      <c r="I9456" s="487" t="s">
        <v>1499</v>
      </c>
      <c r="J9456" s="487" t="s">
        <v>1253</v>
      </c>
    </row>
    <row r="9457" spans="1:10" ht="15" x14ac:dyDescent="0.2">
      <c r="A9457" s="486" t="s">
        <v>1252</v>
      </c>
      <c r="B9457" s="487" t="s">
        <v>1251</v>
      </c>
      <c r="C9457" s="488" t="s">
        <v>29229</v>
      </c>
      <c r="D9457" s="489" t="s">
        <v>29230</v>
      </c>
      <c r="E9457" s="487" t="s">
        <v>29231</v>
      </c>
      <c r="F9457" s="490">
        <v>0</v>
      </c>
      <c r="G9457" s="489">
        <v>7.1711999999999998</v>
      </c>
      <c r="H9457" s="489">
        <v>0</v>
      </c>
      <c r="I9457" s="487" t="s">
        <v>1593</v>
      </c>
      <c r="J9457" s="487" t="s">
        <v>1253</v>
      </c>
    </row>
    <row r="9458" spans="1:10" ht="15" x14ac:dyDescent="0.2">
      <c r="A9458" s="486" t="s">
        <v>1252</v>
      </c>
      <c r="B9458" s="487" t="s">
        <v>1251</v>
      </c>
      <c r="C9458" s="488" t="s">
        <v>29232</v>
      </c>
      <c r="D9458" s="489" t="s">
        <v>29233</v>
      </c>
      <c r="E9458" s="487" t="s">
        <v>18248</v>
      </c>
      <c r="F9458" s="490">
        <v>0</v>
      </c>
      <c r="G9458" s="489">
        <v>109.01007</v>
      </c>
      <c r="H9458" s="489">
        <v>0</v>
      </c>
      <c r="I9458" s="487" t="s">
        <v>1593</v>
      </c>
      <c r="J9458" s="487" t="s">
        <v>1253</v>
      </c>
    </row>
    <row r="9459" spans="1:10" ht="15" x14ac:dyDescent="0.2">
      <c r="A9459" s="486" t="s">
        <v>1252</v>
      </c>
      <c r="B9459" s="487" t="s">
        <v>1251</v>
      </c>
      <c r="C9459" s="488" t="s">
        <v>29234</v>
      </c>
      <c r="D9459" s="489" t="s">
        <v>29235</v>
      </c>
      <c r="E9459" s="487" t="s">
        <v>29236</v>
      </c>
      <c r="F9459" s="490">
        <v>0</v>
      </c>
      <c r="G9459" s="489">
        <v>52.954830000000001</v>
      </c>
      <c r="H9459" s="489">
        <v>0</v>
      </c>
      <c r="I9459" s="487" t="s">
        <v>1593</v>
      </c>
      <c r="J9459" s="487" t="s">
        <v>1253</v>
      </c>
    </row>
    <row r="9460" spans="1:10" ht="15" x14ac:dyDescent="0.2">
      <c r="A9460" s="486" t="s">
        <v>1252</v>
      </c>
      <c r="B9460" s="487" t="s">
        <v>1251</v>
      </c>
      <c r="C9460" s="488" t="s">
        <v>29237</v>
      </c>
      <c r="D9460" s="489" t="s">
        <v>29238</v>
      </c>
      <c r="E9460" s="487" t="s">
        <v>29239</v>
      </c>
      <c r="F9460" s="490">
        <v>38172</v>
      </c>
      <c r="G9460" s="489">
        <v>391.12034</v>
      </c>
      <c r="H9460" s="489">
        <v>97.596559999999997</v>
      </c>
      <c r="I9460" s="487" t="s">
        <v>1499</v>
      </c>
      <c r="J9460" s="487" t="s">
        <v>1253</v>
      </c>
    </row>
    <row r="9461" spans="1:10" ht="15" x14ac:dyDescent="0.2">
      <c r="A9461" s="486" t="s">
        <v>1252</v>
      </c>
      <c r="B9461" s="487" t="s">
        <v>1251</v>
      </c>
      <c r="C9461" s="488" t="s">
        <v>29240</v>
      </c>
      <c r="D9461" s="489" t="s">
        <v>29241</v>
      </c>
      <c r="E9461" s="487" t="s">
        <v>29242</v>
      </c>
      <c r="F9461" s="490">
        <v>88935</v>
      </c>
      <c r="G9461" s="489">
        <v>1152.75136</v>
      </c>
      <c r="H9461" s="489">
        <v>77.150199999999998</v>
      </c>
      <c r="I9461" s="487" t="s">
        <v>1499</v>
      </c>
      <c r="J9461" s="487" t="s">
        <v>1253</v>
      </c>
    </row>
    <row r="9462" spans="1:10" ht="15" x14ac:dyDescent="0.2">
      <c r="A9462" s="486" t="s">
        <v>1252</v>
      </c>
      <c r="B9462" s="487" t="s">
        <v>1251</v>
      </c>
      <c r="C9462" s="488" t="s">
        <v>29243</v>
      </c>
      <c r="D9462" s="489" t="s">
        <v>29244</v>
      </c>
      <c r="E9462" s="487" t="s">
        <v>29245</v>
      </c>
      <c r="F9462" s="490">
        <v>29000</v>
      </c>
      <c r="G9462" s="489">
        <v>524.69280000000003</v>
      </c>
      <c r="H9462" s="489">
        <v>55.270440000000001</v>
      </c>
      <c r="I9462" s="487" t="s">
        <v>1499</v>
      </c>
      <c r="J9462" s="487" t="s">
        <v>1253</v>
      </c>
    </row>
    <row r="9463" spans="1:10" ht="15" x14ac:dyDescent="0.2">
      <c r="A9463" s="486" t="s">
        <v>1252</v>
      </c>
      <c r="B9463" s="487" t="s">
        <v>1251</v>
      </c>
      <c r="C9463" s="488" t="s">
        <v>29246</v>
      </c>
      <c r="D9463" s="489" t="s">
        <v>29247</v>
      </c>
      <c r="E9463" s="487" t="s">
        <v>29248</v>
      </c>
      <c r="F9463" s="490">
        <v>7087</v>
      </c>
      <c r="G9463" s="489">
        <v>138.83878999999999</v>
      </c>
      <c r="H9463" s="489">
        <v>51.044809999999998</v>
      </c>
      <c r="I9463" s="487" t="s">
        <v>1499</v>
      </c>
      <c r="J9463" s="487" t="s">
        <v>1253</v>
      </c>
    </row>
    <row r="9464" spans="1:10" ht="15" x14ac:dyDescent="0.2">
      <c r="A9464" s="486" t="s">
        <v>1252</v>
      </c>
      <c r="B9464" s="487" t="s">
        <v>1251</v>
      </c>
      <c r="C9464" s="488" t="s">
        <v>29249</v>
      </c>
      <c r="D9464" s="489" t="s">
        <v>29250</v>
      </c>
      <c r="E9464" s="487" t="s">
        <v>10701</v>
      </c>
      <c r="F9464" s="490">
        <v>4000</v>
      </c>
      <c r="G9464" s="489">
        <v>92.628</v>
      </c>
      <c r="H9464" s="489">
        <v>43.183489999999999</v>
      </c>
      <c r="I9464" s="487" t="s">
        <v>1499</v>
      </c>
      <c r="J9464" s="487" t="s">
        <v>1253</v>
      </c>
    </row>
    <row r="9465" spans="1:10" ht="15" x14ac:dyDescent="0.2">
      <c r="A9465" s="486" t="s">
        <v>1252</v>
      </c>
      <c r="B9465" s="487" t="s">
        <v>1251</v>
      </c>
      <c r="C9465" s="488" t="s">
        <v>29251</v>
      </c>
      <c r="D9465" s="489" t="s">
        <v>29252</v>
      </c>
      <c r="E9465" s="487" t="s">
        <v>29253</v>
      </c>
      <c r="F9465" s="490">
        <v>16000</v>
      </c>
      <c r="G9465" s="489">
        <v>289.54822999999999</v>
      </c>
      <c r="H9465" s="489">
        <v>55.258499999999998</v>
      </c>
      <c r="I9465" s="487" t="s">
        <v>1499</v>
      </c>
      <c r="J9465" s="487" t="s">
        <v>1253</v>
      </c>
    </row>
    <row r="9466" spans="1:10" ht="15" x14ac:dyDescent="0.2">
      <c r="A9466" s="486" t="s">
        <v>1252</v>
      </c>
      <c r="B9466" s="487" t="s">
        <v>1251</v>
      </c>
      <c r="C9466" s="488" t="s">
        <v>29254</v>
      </c>
      <c r="D9466" s="489" t="s">
        <v>29255</v>
      </c>
      <c r="E9466" s="487" t="s">
        <v>29256</v>
      </c>
      <c r="F9466" s="490">
        <v>15680</v>
      </c>
      <c r="G9466" s="489">
        <v>161.14064999999999</v>
      </c>
      <c r="H9466" s="489">
        <v>97.306299999999993</v>
      </c>
      <c r="I9466" s="487" t="s">
        <v>1499</v>
      </c>
      <c r="J9466" s="487" t="s">
        <v>1253</v>
      </c>
    </row>
    <row r="9467" spans="1:10" ht="15" x14ac:dyDescent="0.2">
      <c r="A9467" s="486" t="s">
        <v>1252</v>
      </c>
      <c r="B9467" s="487" t="s">
        <v>1251</v>
      </c>
      <c r="C9467" s="488" t="s">
        <v>29257</v>
      </c>
      <c r="D9467" s="489" t="s">
        <v>29258</v>
      </c>
      <c r="E9467" s="487" t="s">
        <v>29259</v>
      </c>
      <c r="F9467" s="490">
        <v>23101.7</v>
      </c>
      <c r="G9467" s="489">
        <v>442.66678000000002</v>
      </c>
      <c r="H9467" s="489">
        <v>52.187559999999998</v>
      </c>
      <c r="I9467" s="487" t="s">
        <v>1499</v>
      </c>
      <c r="J9467" s="487" t="s">
        <v>1253</v>
      </c>
    </row>
    <row r="9468" spans="1:10" ht="15" x14ac:dyDescent="0.2">
      <c r="A9468" s="486" t="s">
        <v>1252</v>
      </c>
      <c r="B9468" s="487" t="s">
        <v>1251</v>
      </c>
      <c r="C9468" s="488" t="s">
        <v>29260</v>
      </c>
      <c r="D9468" s="489" t="s">
        <v>29261</v>
      </c>
      <c r="E9468" s="487" t="s">
        <v>29262</v>
      </c>
      <c r="F9468" s="490">
        <v>148027</v>
      </c>
      <c r="G9468" s="489">
        <v>1151.97642</v>
      </c>
      <c r="H9468" s="489">
        <v>128.49829</v>
      </c>
      <c r="I9468" s="487" t="s">
        <v>1499</v>
      </c>
      <c r="J9468" s="487" t="s">
        <v>1253</v>
      </c>
    </row>
    <row r="9469" spans="1:10" ht="15" x14ac:dyDescent="0.2">
      <c r="A9469" s="486" t="s">
        <v>1252</v>
      </c>
      <c r="B9469" s="487" t="s">
        <v>1251</v>
      </c>
      <c r="C9469" s="488" t="s">
        <v>29263</v>
      </c>
      <c r="D9469" s="489" t="s">
        <v>29264</v>
      </c>
      <c r="E9469" s="487" t="s">
        <v>29265</v>
      </c>
      <c r="F9469" s="490">
        <v>7000</v>
      </c>
      <c r="G9469" s="489">
        <v>226.39080000000001</v>
      </c>
      <c r="H9469" s="489">
        <v>30.919979999999999</v>
      </c>
      <c r="I9469" s="487" t="s">
        <v>1499</v>
      </c>
      <c r="J9469" s="487" t="s">
        <v>1253</v>
      </c>
    </row>
    <row r="9470" spans="1:10" ht="15" x14ac:dyDescent="0.2">
      <c r="A9470" s="486" t="s">
        <v>1252</v>
      </c>
      <c r="B9470" s="487" t="s">
        <v>1251</v>
      </c>
      <c r="C9470" s="488" t="s">
        <v>29266</v>
      </c>
      <c r="D9470" s="489" t="s">
        <v>29267</v>
      </c>
      <c r="E9470" s="487" t="s">
        <v>29268</v>
      </c>
      <c r="F9470" s="490">
        <v>16450</v>
      </c>
      <c r="G9470" s="489">
        <v>337.74360000000001</v>
      </c>
      <c r="H9470" s="489">
        <v>48.705590000000001</v>
      </c>
      <c r="I9470" s="487" t="s">
        <v>1499</v>
      </c>
      <c r="J9470" s="487" t="s">
        <v>1253</v>
      </c>
    </row>
    <row r="9471" spans="1:10" ht="15" x14ac:dyDescent="0.2">
      <c r="A9471" s="486" t="s">
        <v>1252</v>
      </c>
      <c r="B9471" s="487" t="s">
        <v>1251</v>
      </c>
      <c r="C9471" s="488" t="s">
        <v>29269</v>
      </c>
      <c r="D9471" s="489" t="s">
        <v>29270</v>
      </c>
      <c r="E9471" s="487" t="s">
        <v>29271</v>
      </c>
      <c r="F9471" s="490">
        <v>21950</v>
      </c>
      <c r="G9471" s="489">
        <v>327.3852</v>
      </c>
      <c r="H9471" s="489">
        <v>67.046400000000006</v>
      </c>
      <c r="I9471" s="487" t="s">
        <v>1499</v>
      </c>
      <c r="J9471" s="487" t="s">
        <v>1253</v>
      </c>
    </row>
    <row r="9472" spans="1:10" ht="15" x14ac:dyDescent="0.2">
      <c r="A9472" s="486" t="s">
        <v>1252</v>
      </c>
      <c r="B9472" s="487" t="s">
        <v>1251</v>
      </c>
      <c r="C9472" s="488" t="s">
        <v>29272</v>
      </c>
      <c r="D9472" s="489" t="s">
        <v>29273</v>
      </c>
      <c r="E9472" s="487" t="s">
        <v>29274</v>
      </c>
      <c r="F9472" s="490">
        <v>48000</v>
      </c>
      <c r="G9472" s="489">
        <v>1021.11016</v>
      </c>
      <c r="H9472" s="489">
        <v>47.007660000000001</v>
      </c>
      <c r="I9472" s="487" t="s">
        <v>1499</v>
      </c>
      <c r="J9472" s="487" t="s">
        <v>1253</v>
      </c>
    </row>
    <row r="9473" spans="1:10" ht="15" x14ac:dyDescent="0.2">
      <c r="A9473" s="486" t="s">
        <v>1252</v>
      </c>
      <c r="B9473" s="487" t="s">
        <v>1251</v>
      </c>
      <c r="C9473" s="488" t="s">
        <v>29275</v>
      </c>
      <c r="D9473" s="489" t="s">
        <v>29276</v>
      </c>
      <c r="E9473" s="487" t="s">
        <v>29277</v>
      </c>
      <c r="F9473" s="490">
        <v>25470</v>
      </c>
      <c r="G9473" s="489">
        <v>350.30423000000002</v>
      </c>
      <c r="H9473" s="489">
        <v>72.70823</v>
      </c>
      <c r="I9473" s="487" t="s">
        <v>1499</v>
      </c>
      <c r="J9473" s="487" t="s">
        <v>1253</v>
      </c>
    </row>
    <row r="9474" spans="1:10" ht="15" x14ac:dyDescent="0.2">
      <c r="A9474" s="486" t="s">
        <v>1252</v>
      </c>
      <c r="B9474" s="487" t="s">
        <v>1251</v>
      </c>
      <c r="C9474" s="488" t="s">
        <v>29278</v>
      </c>
      <c r="D9474" s="489" t="s">
        <v>29279</v>
      </c>
      <c r="E9474" s="487" t="s">
        <v>29280</v>
      </c>
      <c r="F9474" s="490">
        <v>0</v>
      </c>
      <c r="G9474" s="489">
        <v>135.00237999999999</v>
      </c>
      <c r="H9474" s="489">
        <v>0</v>
      </c>
      <c r="I9474" s="487" t="s">
        <v>1593</v>
      </c>
      <c r="J9474" s="487" t="s">
        <v>1253</v>
      </c>
    </row>
    <row r="9475" spans="1:10" ht="15" x14ac:dyDescent="0.2">
      <c r="A9475" s="486" t="s">
        <v>1252</v>
      </c>
      <c r="B9475" s="487" t="s">
        <v>1251</v>
      </c>
      <c r="C9475" s="488" t="s">
        <v>29281</v>
      </c>
      <c r="D9475" s="489" t="s">
        <v>29282</v>
      </c>
      <c r="E9475" s="487" t="s">
        <v>29283</v>
      </c>
      <c r="F9475" s="490">
        <v>50000</v>
      </c>
      <c r="G9475" s="489">
        <v>555.60924</v>
      </c>
      <c r="H9475" s="489">
        <v>89.991299999999995</v>
      </c>
      <c r="I9475" s="487" t="s">
        <v>1499</v>
      </c>
      <c r="J9475" s="487" t="s">
        <v>1253</v>
      </c>
    </row>
    <row r="9476" spans="1:10" ht="15" x14ac:dyDescent="0.2">
      <c r="A9476" s="486" t="s">
        <v>1252</v>
      </c>
      <c r="B9476" s="487" t="s">
        <v>1251</v>
      </c>
      <c r="C9476" s="488" t="s">
        <v>29284</v>
      </c>
      <c r="D9476" s="489" t="s">
        <v>29285</v>
      </c>
      <c r="E9476" s="487" t="s">
        <v>29286</v>
      </c>
      <c r="F9476" s="490">
        <v>7090</v>
      </c>
      <c r="G9476" s="489">
        <v>135.42363</v>
      </c>
      <c r="H9476" s="489">
        <v>52.354230000000001</v>
      </c>
      <c r="I9476" s="487" t="s">
        <v>1499</v>
      </c>
      <c r="J9476" s="487" t="s">
        <v>1253</v>
      </c>
    </row>
    <row r="9477" spans="1:10" ht="15" x14ac:dyDescent="0.2">
      <c r="A9477" s="486" t="s">
        <v>1252</v>
      </c>
      <c r="B9477" s="487" t="s">
        <v>1251</v>
      </c>
      <c r="C9477" s="488" t="s">
        <v>29287</v>
      </c>
      <c r="D9477" s="489" t="s">
        <v>29288</v>
      </c>
      <c r="E9477" s="487" t="s">
        <v>29289</v>
      </c>
      <c r="F9477" s="490">
        <v>12763</v>
      </c>
      <c r="G9477" s="489">
        <v>234.77019999999999</v>
      </c>
      <c r="H9477" s="489">
        <v>54.363799999999998</v>
      </c>
      <c r="I9477" s="487" t="s">
        <v>1499</v>
      </c>
      <c r="J9477" s="487" t="s">
        <v>1253</v>
      </c>
    </row>
    <row r="9478" spans="1:10" ht="15" x14ac:dyDescent="0.2">
      <c r="A9478" s="486" t="s">
        <v>1252</v>
      </c>
      <c r="B9478" s="487" t="s">
        <v>1251</v>
      </c>
      <c r="C9478" s="488" t="s">
        <v>29290</v>
      </c>
      <c r="D9478" s="489" t="s">
        <v>29291</v>
      </c>
      <c r="E9478" s="487" t="s">
        <v>29292</v>
      </c>
      <c r="F9478" s="490">
        <v>5400</v>
      </c>
      <c r="G9478" s="489">
        <v>102.85213</v>
      </c>
      <c r="H9478" s="489">
        <v>52.502560000000003</v>
      </c>
      <c r="I9478" s="487" t="s">
        <v>1499</v>
      </c>
      <c r="J9478" s="487" t="s">
        <v>1253</v>
      </c>
    </row>
    <row r="9479" spans="1:10" ht="15" x14ac:dyDescent="0.2">
      <c r="A9479" s="486" t="s">
        <v>1252</v>
      </c>
      <c r="B9479" s="487" t="s">
        <v>1251</v>
      </c>
      <c r="C9479" s="488" t="s">
        <v>29293</v>
      </c>
      <c r="D9479" s="489" t="s">
        <v>29294</v>
      </c>
      <c r="E9479" s="487" t="s">
        <v>29295</v>
      </c>
      <c r="F9479" s="490">
        <v>4373</v>
      </c>
      <c r="G9479" s="489">
        <v>184.74454</v>
      </c>
      <c r="H9479" s="489">
        <v>23.67052</v>
      </c>
      <c r="I9479" s="487" t="s">
        <v>1499</v>
      </c>
      <c r="J9479" s="487" t="s">
        <v>1253</v>
      </c>
    </row>
    <row r="9480" spans="1:10" ht="15" x14ac:dyDescent="0.2">
      <c r="A9480" s="486" t="s">
        <v>1252</v>
      </c>
      <c r="B9480" s="487" t="s">
        <v>1251</v>
      </c>
      <c r="C9480" s="488" t="s">
        <v>29296</v>
      </c>
      <c r="D9480" s="489" t="s">
        <v>29297</v>
      </c>
      <c r="E9480" s="487" t="s">
        <v>29298</v>
      </c>
      <c r="F9480" s="490">
        <v>0</v>
      </c>
      <c r="G9480" s="489">
        <v>68.524799999999999</v>
      </c>
      <c r="H9480" s="489">
        <v>0</v>
      </c>
      <c r="I9480" s="487" t="s">
        <v>1593</v>
      </c>
      <c r="J9480" s="487" t="s">
        <v>1253</v>
      </c>
    </row>
    <row r="9481" spans="1:10" ht="15" x14ac:dyDescent="0.2">
      <c r="A9481" s="486" t="s">
        <v>1252</v>
      </c>
      <c r="B9481" s="487" t="s">
        <v>1251</v>
      </c>
      <c r="C9481" s="488" t="s">
        <v>29299</v>
      </c>
      <c r="D9481" s="489" t="s">
        <v>29300</v>
      </c>
      <c r="E9481" s="487" t="s">
        <v>29301</v>
      </c>
      <c r="F9481" s="490">
        <v>4500</v>
      </c>
      <c r="G9481" s="489">
        <v>82.269599999999997</v>
      </c>
      <c r="H9481" s="489">
        <v>54.698210000000003</v>
      </c>
      <c r="I9481" s="487" t="s">
        <v>1499</v>
      </c>
      <c r="J9481" s="487" t="s">
        <v>1253</v>
      </c>
    </row>
    <row r="9482" spans="1:10" ht="15" x14ac:dyDescent="0.2">
      <c r="A9482" s="486" t="s">
        <v>1252</v>
      </c>
      <c r="B9482" s="487" t="s">
        <v>1251</v>
      </c>
      <c r="C9482" s="488" t="s">
        <v>29302</v>
      </c>
      <c r="D9482" s="489" t="s">
        <v>29303</v>
      </c>
      <c r="E9482" s="487" t="s">
        <v>29304</v>
      </c>
      <c r="F9482" s="490">
        <v>2500</v>
      </c>
      <c r="G9482" s="489">
        <v>100.3968</v>
      </c>
      <c r="H9482" s="489">
        <v>24.90119</v>
      </c>
      <c r="I9482" s="487" t="s">
        <v>1499</v>
      </c>
      <c r="J9482" s="487" t="s">
        <v>1253</v>
      </c>
    </row>
    <row r="9483" spans="1:10" ht="15" x14ac:dyDescent="0.2">
      <c r="A9483" s="486" t="s">
        <v>1252</v>
      </c>
      <c r="B9483" s="487" t="s">
        <v>1251</v>
      </c>
      <c r="C9483" s="488" t="s">
        <v>29305</v>
      </c>
      <c r="D9483" s="489" t="s">
        <v>29306</v>
      </c>
      <c r="E9483" s="487" t="s">
        <v>29307</v>
      </c>
      <c r="F9483" s="490">
        <v>18560</v>
      </c>
      <c r="G9483" s="489">
        <v>314.34732000000002</v>
      </c>
      <c r="H9483" s="489">
        <v>59.042969999999997</v>
      </c>
      <c r="I9483" s="487" t="s">
        <v>1499</v>
      </c>
      <c r="J9483" s="487" t="s">
        <v>1253</v>
      </c>
    </row>
    <row r="9484" spans="1:10" ht="15" x14ac:dyDescent="0.2">
      <c r="A9484" s="486" t="s">
        <v>1252</v>
      </c>
      <c r="B9484" s="487" t="s">
        <v>1251</v>
      </c>
      <c r="C9484" s="488" t="s">
        <v>29308</v>
      </c>
      <c r="D9484" s="489" t="s">
        <v>29309</v>
      </c>
      <c r="E9484" s="487" t="s">
        <v>23004</v>
      </c>
      <c r="F9484" s="490">
        <v>32300</v>
      </c>
      <c r="G9484" s="489">
        <v>1258.8793900000001</v>
      </c>
      <c r="H9484" s="489">
        <v>25.65774</v>
      </c>
      <c r="I9484" s="487" t="s">
        <v>1499</v>
      </c>
      <c r="J9484" s="487" t="s">
        <v>1253</v>
      </c>
    </row>
    <row r="9485" spans="1:10" ht="15" x14ac:dyDescent="0.2">
      <c r="A9485" s="486" t="s">
        <v>1252</v>
      </c>
      <c r="B9485" s="487" t="s">
        <v>1251</v>
      </c>
      <c r="C9485" s="488" t="s">
        <v>29310</v>
      </c>
      <c r="D9485" s="489" t="s">
        <v>29311</v>
      </c>
      <c r="E9485" s="487" t="s">
        <v>7020</v>
      </c>
      <c r="F9485" s="490">
        <v>0</v>
      </c>
      <c r="G9485" s="489">
        <v>17.43</v>
      </c>
      <c r="H9485" s="489">
        <v>0</v>
      </c>
      <c r="I9485" s="487" t="s">
        <v>1593</v>
      </c>
      <c r="J9485" s="487" t="s">
        <v>1253</v>
      </c>
    </row>
    <row r="9486" spans="1:10" ht="15" x14ac:dyDescent="0.2">
      <c r="A9486" s="486" t="s">
        <v>1252</v>
      </c>
      <c r="B9486" s="487" t="s">
        <v>1251</v>
      </c>
      <c r="C9486" s="488" t="s">
        <v>29312</v>
      </c>
      <c r="D9486" s="489" t="s">
        <v>29313</v>
      </c>
      <c r="E9486" s="487" t="s">
        <v>29314</v>
      </c>
      <c r="F9486" s="490">
        <v>13304</v>
      </c>
      <c r="G9486" s="489">
        <v>124.5</v>
      </c>
      <c r="H9486" s="489">
        <v>106.85944000000001</v>
      </c>
      <c r="I9486" s="487" t="s">
        <v>1499</v>
      </c>
      <c r="J9486" s="487" t="s">
        <v>1253</v>
      </c>
    </row>
    <row r="9487" spans="1:10" ht="15" x14ac:dyDescent="0.2">
      <c r="A9487" s="486" t="s">
        <v>1252</v>
      </c>
      <c r="B9487" s="487" t="s">
        <v>1251</v>
      </c>
      <c r="C9487" s="488" t="s">
        <v>29315</v>
      </c>
      <c r="D9487" s="489" t="s">
        <v>29316</v>
      </c>
      <c r="E9487" s="487" t="s">
        <v>29317</v>
      </c>
      <c r="F9487" s="490">
        <v>17000</v>
      </c>
      <c r="G9487" s="489">
        <v>166.4316</v>
      </c>
      <c r="H9487" s="489">
        <v>102.14406</v>
      </c>
      <c r="I9487" s="487" t="s">
        <v>1499</v>
      </c>
      <c r="J9487" s="487" t="s">
        <v>1253</v>
      </c>
    </row>
    <row r="9488" spans="1:10" ht="15" x14ac:dyDescent="0.2">
      <c r="A9488" s="486" t="s">
        <v>1252</v>
      </c>
      <c r="B9488" s="487" t="s">
        <v>1251</v>
      </c>
      <c r="C9488" s="488" t="s">
        <v>29318</v>
      </c>
      <c r="D9488" s="489" t="s">
        <v>29319</v>
      </c>
      <c r="E9488" s="487" t="s">
        <v>29320</v>
      </c>
      <c r="F9488" s="490">
        <v>84000</v>
      </c>
      <c r="G9488" s="489">
        <v>677.87760000000003</v>
      </c>
      <c r="H9488" s="489">
        <v>123.91618</v>
      </c>
      <c r="I9488" s="487" t="s">
        <v>1499</v>
      </c>
      <c r="J9488" s="487" t="s">
        <v>1253</v>
      </c>
    </row>
    <row r="9489" spans="1:10" ht="15" x14ac:dyDescent="0.2">
      <c r="A9489" s="486" t="s">
        <v>1252</v>
      </c>
      <c r="B9489" s="487" t="s">
        <v>1251</v>
      </c>
      <c r="C9489" s="488" t="s">
        <v>29321</v>
      </c>
      <c r="D9489" s="489" t="s">
        <v>29322</v>
      </c>
      <c r="E9489" s="487" t="s">
        <v>29323</v>
      </c>
      <c r="F9489" s="490">
        <v>17500</v>
      </c>
      <c r="G9489" s="489">
        <v>389.73480000000001</v>
      </c>
      <c r="H9489" s="489">
        <v>44.902329999999999</v>
      </c>
      <c r="I9489" s="487" t="s">
        <v>1499</v>
      </c>
      <c r="J9489" s="487" t="s">
        <v>1253</v>
      </c>
    </row>
    <row r="9490" spans="1:10" ht="15" x14ac:dyDescent="0.2">
      <c r="A9490" s="486" t="s">
        <v>1252</v>
      </c>
      <c r="B9490" s="487" t="s">
        <v>1251</v>
      </c>
      <c r="C9490" s="488" t="s">
        <v>29324</v>
      </c>
      <c r="D9490" s="489" t="s">
        <v>29325</v>
      </c>
      <c r="E9490" s="487" t="s">
        <v>29326</v>
      </c>
      <c r="F9490" s="490">
        <v>385000</v>
      </c>
      <c r="G9490" s="489">
        <v>2555.9919300000001</v>
      </c>
      <c r="H9490" s="489">
        <v>150.62645000000001</v>
      </c>
      <c r="I9490" s="487" t="s">
        <v>1499</v>
      </c>
      <c r="J9490" s="487" t="s">
        <v>1253</v>
      </c>
    </row>
    <row r="9491" spans="1:10" ht="15" x14ac:dyDescent="0.2">
      <c r="A9491" s="486" t="s">
        <v>1252</v>
      </c>
      <c r="B9491" s="487" t="s">
        <v>1251</v>
      </c>
      <c r="C9491" s="488" t="s">
        <v>29327</v>
      </c>
      <c r="D9491" s="489" t="s">
        <v>29328</v>
      </c>
      <c r="E9491" s="487" t="s">
        <v>29329</v>
      </c>
      <c r="F9491" s="490">
        <v>6500</v>
      </c>
      <c r="G9491" s="489">
        <v>124.5996</v>
      </c>
      <c r="H9491" s="489">
        <v>52.167099999999998</v>
      </c>
      <c r="I9491" s="487" t="s">
        <v>1499</v>
      </c>
      <c r="J9491" s="487" t="s">
        <v>1253</v>
      </c>
    </row>
    <row r="9492" spans="1:10" ht="15" x14ac:dyDescent="0.2">
      <c r="A9492" s="486" t="s">
        <v>1252</v>
      </c>
      <c r="B9492" s="487" t="s">
        <v>1251</v>
      </c>
      <c r="C9492" s="488" t="s">
        <v>29330</v>
      </c>
      <c r="D9492" s="489" t="s">
        <v>29331</v>
      </c>
      <c r="E9492" s="487" t="s">
        <v>29332</v>
      </c>
      <c r="F9492" s="490">
        <v>80000</v>
      </c>
      <c r="G9492" s="489">
        <v>622.38385000000005</v>
      </c>
      <c r="H9492" s="489">
        <v>128.53804</v>
      </c>
      <c r="I9492" s="487" t="s">
        <v>1499</v>
      </c>
      <c r="J9492" s="487" t="s">
        <v>1253</v>
      </c>
    </row>
    <row r="9493" spans="1:10" ht="15" x14ac:dyDescent="0.2">
      <c r="A9493" s="486" t="s">
        <v>1252</v>
      </c>
      <c r="B9493" s="487" t="s">
        <v>1251</v>
      </c>
      <c r="C9493" s="488" t="s">
        <v>29333</v>
      </c>
      <c r="D9493" s="489" t="s">
        <v>29334</v>
      </c>
      <c r="E9493" s="487" t="s">
        <v>11522</v>
      </c>
      <c r="F9493" s="490">
        <v>442062</v>
      </c>
      <c r="G9493" s="489">
        <v>3217.1006200000002</v>
      </c>
      <c r="H9493" s="489">
        <v>137.41005999999999</v>
      </c>
      <c r="I9493" s="487" t="s">
        <v>1499</v>
      </c>
      <c r="J9493" s="487" t="s">
        <v>1253</v>
      </c>
    </row>
    <row r="9494" spans="1:10" ht="15" x14ac:dyDescent="0.2">
      <c r="A9494" s="486" t="s">
        <v>1252</v>
      </c>
      <c r="B9494" s="487" t="s">
        <v>1251</v>
      </c>
      <c r="C9494" s="488" t="s">
        <v>29335</v>
      </c>
      <c r="D9494" s="489" t="s">
        <v>29336</v>
      </c>
      <c r="E9494" s="487" t="s">
        <v>20236</v>
      </c>
      <c r="F9494" s="490">
        <v>31000</v>
      </c>
      <c r="G9494" s="489">
        <v>576.87334999999996</v>
      </c>
      <c r="H9494" s="489">
        <v>53.737969999999997</v>
      </c>
      <c r="I9494" s="487" t="s">
        <v>1499</v>
      </c>
      <c r="J9494" s="487" t="s">
        <v>1253</v>
      </c>
    </row>
    <row r="9495" spans="1:10" ht="15" x14ac:dyDescent="0.2">
      <c r="A9495" s="486" t="s">
        <v>1252</v>
      </c>
      <c r="B9495" s="487" t="s">
        <v>1251</v>
      </c>
      <c r="C9495" s="488" t="s">
        <v>29337</v>
      </c>
      <c r="D9495" s="489" t="s">
        <v>29338</v>
      </c>
      <c r="E9495" s="487" t="s">
        <v>29339</v>
      </c>
      <c r="F9495" s="490">
        <v>0</v>
      </c>
      <c r="G9495" s="489">
        <v>3.8843999999999999</v>
      </c>
      <c r="H9495" s="489">
        <v>0</v>
      </c>
      <c r="I9495" s="487" t="s">
        <v>1593</v>
      </c>
      <c r="J9495" s="487" t="s">
        <v>1253</v>
      </c>
    </row>
    <row r="9496" spans="1:10" ht="15" x14ac:dyDescent="0.2">
      <c r="A9496" s="486" t="s">
        <v>1252</v>
      </c>
      <c r="B9496" s="487" t="s">
        <v>1251</v>
      </c>
      <c r="C9496" s="488" t="s">
        <v>29340</v>
      </c>
      <c r="D9496" s="489" t="s">
        <v>29341</v>
      </c>
      <c r="E9496" s="487" t="s">
        <v>29342</v>
      </c>
      <c r="F9496" s="490">
        <v>777980</v>
      </c>
      <c r="G9496" s="489">
        <v>14552.55</v>
      </c>
      <c r="H9496" s="489">
        <v>53.460050000000003</v>
      </c>
      <c r="I9496" s="487" t="s">
        <v>1499</v>
      </c>
      <c r="J9496" s="487" t="s">
        <v>1253</v>
      </c>
    </row>
    <row r="9497" spans="1:10" ht="15" x14ac:dyDescent="0.2">
      <c r="A9497" s="486" t="s">
        <v>1252</v>
      </c>
      <c r="B9497" s="487" t="s">
        <v>1251</v>
      </c>
      <c r="C9497" s="488" t="s">
        <v>29343</v>
      </c>
      <c r="D9497" s="489" t="s">
        <v>29344</v>
      </c>
      <c r="E9497" s="487" t="s">
        <v>29345</v>
      </c>
      <c r="F9497" s="490">
        <v>7700</v>
      </c>
      <c r="G9497" s="489">
        <v>216.15189000000001</v>
      </c>
      <c r="H9497" s="489">
        <v>35.623100000000001</v>
      </c>
      <c r="I9497" s="487" t="s">
        <v>1499</v>
      </c>
      <c r="J9497" s="487" t="s">
        <v>1253</v>
      </c>
    </row>
    <row r="9498" spans="1:10" ht="15" x14ac:dyDescent="0.2">
      <c r="A9498" s="486" t="s">
        <v>1252</v>
      </c>
      <c r="B9498" s="487" t="s">
        <v>1251</v>
      </c>
      <c r="C9498" s="488" t="s">
        <v>29346</v>
      </c>
      <c r="D9498" s="489" t="s">
        <v>29347</v>
      </c>
      <c r="E9498" s="487" t="s">
        <v>29348</v>
      </c>
      <c r="F9498" s="490">
        <v>302751</v>
      </c>
      <c r="G9498" s="489">
        <v>2116.1805199999999</v>
      </c>
      <c r="H9498" s="489">
        <v>143.06483</v>
      </c>
      <c r="I9498" s="487" t="s">
        <v>1499</v>
      </c>
      <c r="J9498" s="487" t="s">
        <v>1253</v>
      </c>
    </row>
    <row r="9499" spans="1:10" ht="15" x14ac:dyDescent="0.2">
      <c r="A9499" s="486" t="s">
        <v>1252</v>
      </c>
      <c r="B9499" s="487" t="s">
        <v>1251</v>
      </c>
      <c r="C9499" s="488" t="s">
        <v>29349</v>
      </c>
      <c r="D9499" s="489" t="s">
        <v>29350</v>
      </c>
      <c r="E9499" s="487" t="s">
        <v>29351</v>
      </c>
      <c r="F9499" s="490">
        <v>2600</v>
      </c>
      <c r="G9499" s="489">
        <v>60.624029999999998</v>
      </c>
      <c r="H9499" s="489">
        <v>42.887279999999997</v>
      </c>
      <c r="I9499" s="487" t="s">
        <v>1499</v>
      </c>
      <c r="J9499" s="487" t="s">
        <v>1253</v>
      </c>
    </row>
    <row r="9500" spans="1:10" ht="15" x14ac:dyDescent="0.2">
      <c r="A9500" s="486" t="s">
        <v>1252</v>
      </c>
      <c r="B9500" s="487" t="s">
        <v>1251</v>
      </c>
      <c r="C9500" s="488" t="s">
        <v>29352</v>
      </c>
      <c r="D9500" s="489" t="s">
        <v>29353</v>
      </c>
      <c r="E9500" s="487" t="s">
        <v>29354</v>
      </c>
      <c r="F9500" s="490">
        <v>100000</v>
      </c>
      <c r="G9500" s="489">
        <v>1700.96722</v>
      </c>
      <c r="H9500" s="489">
        <v>58.790080000000003</v>
      </c>
      <c r="I9500" s="487" t="s">
        <v>1499</v>
      </c>
      <c r="J9500" s="487" t="s">
        <v>1253</v>
      </c>
    </row>
    <row r="9501" spans="1:10" ht="15" x14ac:dyDescent="0.2">
      <c r="A9501" s="486" t="s">
        <v>1252</v>
      </c>
      <c r="B9501" s="487" t="s">
        <v>1251</v>
      </c>
      <c r="C9501" s="488" t="s">
        <v>29355</v>
      </c>
      <c r="D9501" s="489" t="s">
        <v>29356</v>
      </c>
      <c r="E9501" s="487" t="s">
        <v>29357</v>
      </c>
      <c r="F9501" s="490">
        <v>4400</v>
      </c>
      <c r="G9501" s="489">
        <v>254.77680000000001</v>
      </c>
      <c r="H9501" s="489">
        <v>17.270019999999999</v>
      </c>
      <c r="I9501" s="487" t="s">
        <v>1499</v>
      </c>
      <c r="J9501" s="487" t="s">
        <v>1253</v>
      </c>
    </row>
    <row r="9502" spans="1:10" ht="15" x14ac:dyDescent="0.2">
      <c r="A9502" s="486" t="s">
        <v>1252</v>
      </c>
      <c r="B9502" s="487" t="s">
        <v>1251</v>
      </c>
      <c r="C9502" s="488" t="s">
        <v>29358</v>
      </c>
      <c r="D9502" s="489" t="s">
        <v>29359</v>
      </c>
      <c r="E9502" s="487" t="s">
        <v>29360</v>
      </c>
      <c r="F9502" s="490">
        <v>0</v>
      </c>
      <c r="G9502" s="489">
        <v>16.2348</v>
      </c>
      <c r="H9502" s="489">
        <v>0</v>
      </c>
      <c r="I9502" s="487" t="s">
        <v>1593</v>
      </c>
      <c r="J9502" s="487" t="s">
        <v>1253</v>
      </c>
    </row>
    <row r="9503" spans="1:10" ht="15" x14ac:dyDescent="0.2">
      <c r="A9503" s="486" t="s">
        <v>1252</v>
      </c>
      <c r="B9503" s="487" t="s">
        <v>1251</v>
      </c>
      <c r="C9503" s="488" t="s">
        <v>29361</v>
      </c>
      <c r="D9503" s="489" t="s">
        <v>29362</v>
      </c>
      <c r="E9503" s="487" t="s">
        <v>29363</v>
      </c>
      <c r="F9503" s="490">
        <v>37500</v>
      </c>
      <c r="G9503" s="489">
        <v>877.69988999999998</v>
      </c>
      <c r="H9503" s="489">
        <v>42.72531</v>
      </c>
      <c r="I9503" s="487" t="s">
        <v>1499</v>
      </c>
      <c r="J9503" s="487" t="s">
        <v>1253</v>
      </c>
    </row>
    <row r="9504" spans="1:10" ht="15" x14ac:dyDescent="0.2">
      <c r="A9504" s="486" t="s">
        <v>1252</v>
      </c>
      <c r="B9504" s="487" t="s">
        <v>1251</v>
      </c>
      <c r="C9504" s="488" t="s">
        <v>29364</v>
      </c>
      <c r="D9504" s="489" t="s">
        <v>29365</v>
      </c>
      <c r="E9504" s="487" t="s">
        <v>29366</v>
      </c>
      <c r="F9504" s="490">
        <v>38203</v>
      </c>
      <c r="G9504" s="489">
        <v>562.70565999999997</v>
      </c>
      <c r="H9504" s="489">
        <v>67.891620000000003</v>
      </c>
      <c r="I9504" s="487" t="s">
        <v>1499</v>
      </c>
      <c r="J9504" s="487" t="s">
        <v>1253</v>
      </c>
    </row>
    <row r="9505" spans="1:10" ht="15" x14ac:dyDescent="0.2">
      <c r="A9505" s="486" t="s">
        <v>1252</v>
      </c>
      <c r="B9505" s="487" t="s">
        <v>1251</v>
      </c>
      <c r="C9505" s="488" t="s">
        <v>29367</v>
      </c>
      <c r="D9505" s="489" t="s">
        <v>29368</v>
      </c>
      <c r="E9505" s="487" t="s">
        <v>29369</v>
      </c>
      <c r="F9505" s="490">
        <v>9867</v>
      </c>
      <c r="G9505" s="489">
        <v>114.23693</v>
      </c>
      <c r="H9505" s="489">
        <v>86.37312</v>
      </c>
      <c r="I9505" s="487" t="s">
        <v>1499</v>
      </c>
      <c r="J9505" s="487" t="s">
        <v>1253</v>
      </c>
    </row>
    <row r="9506" spans="1:10" ht="15" x14ac:dyDescent="0.2">
      <c r="A9506" s="486" t="s">
        <v>1252</v>
      </c>
      <c r="B9506" s="487" t="s">
        <v>1251</v>
      </c>
      <c r="C9506" s="488" t="s">
        <v>29370</v>
      </c>
      <c r="D9506" s="489" t="s">
        <v>29371</v>
      </c>
      <c r="E9506" s="487" t="s">
        <v>29372</v>
      </c>
      <c r="F9506" s="490">
        <v>12925</v>
      </c>
      <c r="G9506" s="489">
        <v>355.21600999999998</v>
      </c>
      <c r="H9506" s="489">
        <v>36.386310000000002</v>
      </c>
      <c r="I9506" s="487" t="s">
        <v>1499</v>
      </c>
      <c r="J9506" s="487" t="s">
        <v>1253</v>
      </c>
    </row>
    <row r="9507" spans="1:10" ht="15" x14ac:dyDescent="0.2">
      <c r="A9507" s="486" t="s">
        <v>1252</v>
      </c>
      <c r="B9507" s="487" t="s">
        <v>1251</v>
      </c>
      <c r="C9507" s="488" t="s">
        <v>29373</v>
      </c>
      <c r="D9507" s="489" t="s">
        <v>29374</v>
      </c>
      <c r="E9507" s="487" t="s">
        <v>29375</v>
      </c>
      <c r="F9507" s="490">
        <v>0</v>
      </c>
      <c r="G9507" s="489">
        <v>29.382000000000001</v>
      </c>
      <c r="H9507" s="489">
        <v>0</v>
      </c>
      <c r="I9507" s="487" t="s">
        <v>1593</v>
      </c>
      <c r="J9507" s="487" t="s">
        <v>1253</v>
      </c>
    </row>
    <row r="9508" spans="1:10" ht="15" x14ac:dyDescent="0.2">
      <c r="A9508" s="486" t="s">
        <v>1252</v>
      </c>
      <c r="B9508" s="487" t="s">
        <v>1251</v>
      </c>
      <c r="C9508" s="488" t="s">
        <v>29376</v>
      </c>
      <c r="D9508" s="489" t="s">
        <v>29377</v>
      </c>
      <c r="E9508" s="487" t="s">
        <v>22628</v>
      </c>
      <c r="F9508" s="490">
        <v>11295</v>
      </c>
      <c r="G9508" s="489">
        <v>186.51646</v>
      </c>
      <c r="H9508" s="489">
        <v>60.557659999999998</v>
      </c>
      <c r="I9508" s="487" t="s">
        <v>1499</v>
      </c>
      <c r="J9508" s="487" t="s">
        <v>1253</v>
      </c>
    </row>
    <row r="9509" spans="1:10" ht="15" x14ac:dyDescent="0.2">
      <c r="A9509" s="486" t="s">
        <v>1252</v>
      </c>
      <c r="B9509" s="487" t="s">
        <v>1251</v>
      </c>
      <c r="C9509" s="488" t="s">
        <v>29378</v>
      </c>
      <c r="D9509" s="489" t="s">
        <v>29379</v>
      </c>
      <c r="E9509" s="487" t="s">
        <v>29380</v>
      </c>
      <c r="F9509" s="490">
        <v>0</v>
      </c>
      <c r="G9509" s="489">
        <v>5.4779999999999998</v>
      </c>
      <c r="H9509" s="489">
        <v>0</v>
      </c>
      <c r="I9509" s="487" t="s">
        <v>1593</v>
      </c>
      <c r="J9509" s="487" t="s">
        <v>1253</v>
      </c>
    </row>
    <row r="9510" spans="1:10" ht="15" x14ac:dyDescent="0.2">
      <c r="A9510" s="486" t="s">
        <v>1252</v>
      </c>
      <c r="B9510" s="487" t="s">
        <v>1251</v>
      </c>
      <c r="C9510" s="488" t="s">
        <v>29381</v>
      </c>
      <c r="D9510" s="489" t="s">
        <v>29382</v>
      </c>
      <c r="E9510" s="487" t="s">
        <v>29383</v>
      </c>
      <c r="F9510" s="490">
        <v>200000</v>
      </c>
      <c r="G9510" s="489">
        <v>939.86860000000001</v>
      </c>
      <c r="H9510" s="489">
        <v>212.79570000000001</v>
      </c>
      <c r="I9510" s="487" t="s">
        <v>1499</v>
      </c>
      <c r="J9510" s="487" t="s">
        <v>1253</v>
      </c>
    </row>
    <row r="9511" spans="1:10" ht="15" x14ac:dyDescent="0.2">
      <c r="A9511" s="486" t="s">
        <v>1252</v>
      </c>
      <c r="B9511" s="487" t="s">
        <v>1251</v>
      </c>
      <c r="C9511" s="488" t="s">
        <v>29384</v>
      </c>
      <c r="D9511" s="489" t="s">
        <v>29385</v>
      </c>
      <c r="E9511" s="487" t="s">
        <v>29386</v>
      </c>
      <c r="F9511" s="490">
        <v>300000</v>
      </c>
      <c r="G9511" s="489">
        <v>3126.7691300000001</v>
      </c>
      <c r="H9511" s="489">
        <v>95.945679999999996</v>
      </c>
      <c r="I9511" s="487" t="s">
        <v>1499</v>
      </c>
      <c r="J9511" s="487" t="s">
        <v>1253</v>
      </c>
    </row>
    <row r="9512" spans="1:10" ht="15" x14ac:dyDescent="0.2">
      <c r="A9512" s="486" t="s">
        <v>1252</v>
      </c>
      <c r="B9512" s="487" t="s">
        <v>1251</v>
      </c>
      <c r="C9512" s="488" t="s">
        <v>29387</v>
      </c>
      <c r="D9512" s="489" t="s">
        <v>29388</v>
      </c>
      <c r="E9512" s="487" t="s">
        <v>29389</v>
      </c>
      <c r="F9512" s="490">
        <v>0</v>
      </c>
      <c r="G9512" s="489">
        <v>55.078800000000001</v>
      </c>
      <c r="H9512" s="489">
        <v>0</v>
      </c>
      <c r="I9512" s="487" t="s">
        <v>1593</v>
      </c>
      <c r="J9512" s="487" t="s">
        <v>1253</v>
      </c>
    </row>
    <row r="9513" spans="1:10" ht="15" x14ac:dyDescent="0.2">
      <c r="A9513" s="486" t="s">
        <v>1252</v>
      </c>
      <c r="B9513" s="487" t="s">
        <v>1251</v>
      </c>
      <c r="C9513" s="488" t="s">
        <v>29390</v>
      </c>
      <c r="D9513" s="489" t="s">
        <v>29391</v>
      </c>
      <c r="E9513" s="487" t="s">
        <v>29392</v>
      </c>
      <c r="F9513" s="490">
        <v>0</v>
      </c>
      <c r="G9513" s="489">
        <v>74.046199999999999</v>
      </c>
      <c r="H9513" s="489">
        <v>0</v>
      </c>
      <c r="I9513" s="487" t="s">
        <v>1593</v>
      </c>
      <c r="J9513" s="487" t="s">
        <v>1253</v>
      </c>
    </row>
    <row r="9514" spans="1:10" ht="15" x14ac:dyDescent="0.2">
      <c r="A9514" s="486" t="s">
        <v>1252</v>
      </c>
      <c r="B9514" s="487" t="s">
        <v>1251</v>
      </c>
      <c r="C9514" s="488" t="s">
        <v>29393</v>
      </c>
      <c r="D9514" s="489" t="s">
        <v>29394</v>
      </c>
      <c r="E9514" s="487" t="s">
        <v>29395</v>
      </c>
      <c r="F9514" s="490">
        <v>7763.04</v>
      </c>
      <c r="G9514" s="489">
        <v>180.95613</v>
      </c>
      <c r="H9514" s="489">
        <v>42.900120000000001</v>
      </c>
      <c r="I9514" s="487" t="s">
        <v>1499</v>
      </c>
      <c r="J9514" s="487" t="s">
        <v>1253</v>
      </c>
    </row>
    <row r="9515" spans="1:10" ht="15" x14ac:dyDescent="0.2">
      <c r="A9515" s="486" t="s">
        <v>1252</v>
      </c>
      <c r="B9515" s="487" t="s">
        <v>1251</v>
      </c>
      <c r="C9515" s="488" t="s">
        <v>29396</v>
      </c>
      <c r="D9515" s="489" t="s">
        <v>29397</v>
      </c>
      <c r="E9515" s="487" t="s">
        <v>1650</v>
      </c>
      <c r="F9515" s="490">
        <v>0</v>
      </c>
      <c r="G9515" s="489">
        <v>101.68733</v>
      </c>
      <c r="H9515" s="489">
        <v>0</v>
      </c>
      <c r="I9515" s="487" t="s">
        <v>1593</v>
      </c>
      <c r="J9515" s="487" t="s">
        <v>1253</v>
      </c>
    </row>
    <row r="9516" spans="1:10" ht="15" x14ac:dyDescent="0.2">
      <c r="A9516" s="486" t="s">
        <v>1252</v>
      </c>
      <c r="B9516" s="487" t="s">
        <v>1251</v>
      </c>
      <c r="C9516" s="488" t="s">
        <v>29398</v>
      </c>
      <c r="D9516" s="489" t="s">
        <v>29399</v>
      </c>
      <c r="E9516" s="487" t="s">
        <v>29400</v>
      </c>
      <c r="F9516" s="490">
        <v>46000</v>
      </c>
      <c r="G9516" s="489">
        <v>505.46212000000003</v>
      </c>
      <c r="H9516" s="489">
        <v>91.005830000000003</v>
      </c>
      <c r="I9516" s="487" t="s">
        <v>1499</v>
      </c>
      <c r="J9516" s="487" t="s">
        <v>1253</v>
      </c>
    </row>
    <row r="9517" spans="1:10" ht="15" x14ac:dyDescent="0.2">
      <c r="A9517" s="486" t="s">
        <v>1252</v>
      </c>
      <c r="B9517" s="487" t="s">
        <v>1251</v>
      </c>
      <c r="C9517" s="488" t="s">
        <v>29401</v>
      </c>
      <c r="D9517" s="489" t="s">
        <v>29402</v>
      </c>
      <c r="E9517" s="487" t="s">
        <v>29403</v>
      </c>
      <c r="F9517" s="490">
        <v>8000</v>
      </c>
      <c r="G9517" s="489">
        <v>85.954800000000006</v>
      </c>
      <c r="H9517" s="489">
        <v>93.07217</v>
      </c>
      <c r="I9517" s="487" t="s">
        <v>1499</v>
      </c>
      <c r="J9517" s="487" t="s">
        <v>1253</v>
      </c>
    </row>
    <row r="9518" spans="1:10" ht="15" x14ac:dyDescent="0.2">
      <c r="A9518" s="486" t="s">
        <v>1252</v>
      </c>
      <c r="B9518" s="487" t="s">
        <v>1251</v>
      </c>
      <c r="C9518" s="488" t="s">
        <v>29404</v>
      </c>
      <c r="D9518" s="489" t="s">
        <v>29405</v>
      </c>
      <c r="E9518" s="487" t="s">
        <v>29406</v>
      </c>
      <c r="F9518" s="490">
        <v>3811</v>
      </c>
      <c r="G9518" s="489">
        <v>133.96199999999999</v>
      </c>
      <c r="H9518" s="489">
        <v>28.448370000000001</v>
      </c>
      <c r="I9518" s="487" t="s">
        <v>1499</v>
      </c>
      <c r="J9518" s="487" t="s">
        <v>1253</v>
      </c>
    </row>
    <row r="9519" spans="1:10" ht="15" x14ac:dyDescent="0.2">
      <c r="A9519" s="486" t="s">
        <v>1252</v>
      </c>
      <c r="B9519" s="487" t="s">
        <v>1251</v>
      </c>
      <c r="C9519" s="488" t="s">
        <v>29407</v>
      </c>
      <c r="D9519" s="489" t="s">
        <v>29408</v>
      </c>
      <c r="E9519" s="487" t="s">
        <v>29409</v>
      </c>
      <c r="F9519" s="490">
        <v>28413</v>
      </c>
      <c r="G9519" s="489">
        <v>644.46182999999996</v>
      </c>
      <c r="H9519" s="489">
        <v>44.087949999999999</v>
      </c>
      <c r="I9519" s="487" t="s">
        <v>1499</v>
      </c>
      <c r="J9519" s="487" t="s">
        <v>1253</v>
      </c>
    </row>
    <row r="9520" spans="1:10" ht="15" x14ac:dyDescent="0.2">
      <c r="A9520" s="486" t="s">
        <v>1252</v>
      </c>
      <c r="B9520" s="487" t="s">
        <v>1251</v>
      </c>
      <c r="C9520" s="488" t="s">
        <v>29410</v>
      </c>
      <c r="D9520" s="489" t="s">
        <v>29411</v>
      </c>
      <c r="E9520" s="487" t="s">
        <v>29412</v>
      </c>
      <c r="F9520" s="490">
        <v>0</v>
      </c>
      <c r="G9520" s="489">
        <v>44.317729999999997</v>
      </c>
      <c r="H9520" s="489">
        <v>0</v>
      </c>
      <c r="I9520" s="487" t="s">
        <v>1593</v>
      </c>
      <c r="J9520" s="487" t="s">
        <v>1253</v>
      </c>
    </row>
    <row r="9521" spans="1:10" ht="15" x14ac:dyDescent="0.2">
      <c r="A9521" s="486" t="s">
        <v>1252</v>
      </c>
      <c r="B9521" s="487" t="s">
        <v>1251</v>
      </c>
      <c r="C9521" s="488" t="s">
        <v>29413</v>
      </c>
      <c r="D9521" s="489" t="s">
        <v>29414</v>
      </c>
      <c r="E9521" s="487" t="s">
        <v>29415</v>
      </c>
      <c r="F9521" s="490">
        <v>27386</v>
      </c>
      <c r="G9521" s="489">
        <v>980.12518</v>
      </c>
      <c r="H9521" s="489">
        <v>27.941330000000001</v>
      </c>
      <c r="I9521" s="487" t="s">
        <v>1499</v>
      </c>
      <c r="J9521" s="487" t="s">
        <v>1253</v>
      </c>
    </row>
    <row r="9522" spans="1:10" ht="15" x14ac:dyDescent="0.2">
      <c r="A9522" s="486" t="s">
        <v>1252</v>
      </c>
      <c r="B9522" s="487" t="s">
        <v>1251</v>
      </c>
      <c r="C9522" s="488" t="s">
        <v>29416</v>
      </c>
      <c r="D9522" s="489" t="s">
        <v>29417</v>
      </c>
      <c r="E9522" s="487" t="s">
        <v>29418</v>
      </c>
      <c r="F9522" s="490">
        <v>10200</v>
      </c>
      <c r="G9522" s="489">
        <v>181.36733000000001</v>
      </c>
      <c r="H9522" s="489">
        <v>56.239460000000001</v>
      </c>
      <c r="I9522" s="487" t="s">
        <v>1499</v>
      </c>
      <c r="J9522" s="487" t="s">
        <v>1253</v>
      </c>
    </row>
    <row r="9523" spans="1:10" ht="15" x14ac:dyDescent="0.2">
      <c r="A9523" s="486" t="s">
        <v>1345</v>
      </c>
      <c r="B9523" s="487" t="s">
        <v>1344</v>
      </c>
      <c r="C9523" s="488" t="s">
        <v>29419</v>
      </c>
      <c r="D9523" s="489" t="s">
        <v>29420</v>
      </c>
      <c r="E9523" s="487" t="s">
        <v>29421</v>
      </c>
      <c r="F9523" s="490">
        <v>0</v>
      </c>
      <c r="G9523" s="489">
        <v>0</v>
      </c>
      <c r="H9523" s="489">
        <v>0</v>
      </c>
      <c r="I9523" s="487" t="s">
        <v>2465</v>
      </c>
      <c r="J9523" s="487" t="s">
        <v>1346</v>
      </c>
    </row>
    <row r="9524" spans="1:10" ht="15" x14ac:dyDescent="0.2">
      <c r="A9524" s="486" t="s">
        <v>1345</v>
      </c>
      <c r="B9524" s="487" t="s">
        <v>1344</v>
      </c>
      <c r="C9524" s="488" t="s">
        <v>29422</v>
      </c>
      <c r="D9524" s="489" t="s">
        <v>29423</v>
      </c>
      <c r="E9524" s="487" t="s">
        <v>29424</v>
      </c>
      <c r="F9524" s="490">
        <v>4042.69</v>
      </c>
      <c r="G9524" s="489">
        <v>115.77</v>
      </c>
      <c r="H9524" s="489">
        <v>34.920009999999998</v>
      </c>
      <c r="I9524" s="487" t="s">
        <v>1499</v>
      </c>
      <c r="J9524" s="487" t="s">
        <v>1346</v>
      </c>
    </row>
    <row r="9525" spans="1:10" ht="15" x14ac:dyDescent="0.2">
      <c r="A9525" s="486" t="s">
        <v>1345</v>
      </c>
      <c r="B9525" s="487" t="s">
        <v>1344</v>
      </c>
      <c r="C9525" s="488" t="s">
        <v>29425</v>
      </c>
      <c r="D9525" s="489" t="s">
        <v>29426</v>
      </c>
      <c r="E9525" s="487" t="s">
        <v>29427</v>
      </c>
      <c r="F9525" s="490">
        <v>19438</v>
      </c>
      <c r="G9525" s="489">
        <v>321.928</v>
      </c>
      <c r="H9525" s="489">
        <v>60.379959999999997</v>
      </c>
      <c r="I9525" s="487" t="s">
        <v>1499</v>
      </c>
      <c r="J9525" s="487" t="s">
        <v>1346</v>
      </c>
    </row>
    <row r="9526" spans="1:10" ht="15" x14ac:dyDescent="0.2">
      <c r="A9526" s="486" t="s">
        <v>1345</v>
      </c>
      <c r="B9526" s="487" t="s">
        <v>1344</v>
      </c>
      <c r="C9526" s="488" t="s">
        <v>29428</v>
      </c>
      <c r="D9526" s="489" t="s">
        <v>29429</v>
      </c>
      <c r="E9526" s="487" t="s">
        <v>29430</v>
      </c>
      <c r="F9526" s="490">
        <v>71500</v>
      </c>
      <c r="G9526" s="489">
        <v>973.85</v>
      </c>
      <c r="H9526" s="489">
        <v>73.419929999999994</v>
      </c>
      <c r="I9526" s="487" t="s">
        <v>2465</v>
      </c>
      <c r="J9526" s="487" t="s">
        <v>1346</v>
      </c>
    </row>
    <row r="9527" spans="1:10" ht="15" x14ac:dyDescent="0.2">
      <c r="A9527" s="486" t="s">
        <v>1345</v>
      </c>
      <c r="B9527" s="487" t="s">
        <v>1344</v>
      </c>
      <c r="C9527" s="488" t="s">
        <v>29431</v>
      </c>
      <c r="D9527" s="489" t="s">
        <v>29432</v>
      </c>
      <c r="E9527" s="487" t="s">
        <v>29433</v>
      </c>
      <c r="F9527" s="490">
        <v>19295</v>
      </c>
      <c r="G9527" s="489">
        <v>345.91</v>
      </c>
      <c r="H9527" s="489">
        <v>55.780410000000003</v>
      </c>
      <c r="I9527" s="487" t="s">
        <v>2465</v>
      </c>
      <c r="J9527" s="487" t="s">
        <v>1346</v>
      </c>
    </row>
    <row r="9528" spans="1:10" ht="15" x14ac:dyDescent="0.2">
      <c r="A9528" s="486" t="s">
        <v>1345</v>
      </c>
      <c r="B9528" s="487" t="s">
        <v>1344</v>
      </c>
      <c r="C9528" s="488" t="s">
        <v>29434</v>
      </c>
      <c r="D9528" s="489" t="s">
        <v>29435</v>
      </c>
      <c r="E9528" s="487" t="s">
        <v>29436</v>
      </c>
      <c r="F9528" s="490">
        <v>170000</v>
      </c>
      <c r="G9528" s="489">
        <v>2918.2739999999999</v>
      </c>
      <c r="H9528" s="489">
        <v>58.253610000000002</v>
      </c>
      <c r="I9528" s="487" t="s">
        <v>1499</v>
      </c>
      <c r="J9528" s="487" t="s">
        <v>1346</v>
      </c>
    </row>
    <row r="9529" spans="1:10" ht="15" x14ac:dyDescent="0.2">
      <c r="A9529" s="486" t="s">
        <v>1345</v>
      </c>
      <c r="B9529" s="487" t="s">
        <v>1344</v>
      </c>
      <c r="C9529" s="488" t="s">
        <v>29437</v>
      </c>
      <c r="D9529" s="489" t="s">
        <v>29438</v>
      </c>
      <c r="E9529" s="487" t="s">
        <v>29439</v>
      </c>
      <c r="F9529" s="490">
        <v>0</v>
      </c>
      <c r="G9529" s="489">
        <v>0</v>
      </c>
      <c r="H9529" s="489">
        <v>0</v>
      </c>
      <c r="I9529" s="487" t="s">
        <v>2465</v>
      </c>
      <c r="J9529" s="487" t="s">
        <v>1346</v>
      </c>
    </row>
    <row r="9530" spans="1:10" ht="15" x14ac:dyDescent="0.2">
      <c r="A9530" s="486" t="s">
        <v>1345</v>
      </c>
      <c r="B9530" s="487" t="s">
        <v>1344</v>
      </c>
      <c r="C9530" s="488" t="s">
        <v>29440</v>
      </c>
      <c r="D9530" s="489" t="s">
        <v>29441</v>
      </c>
      <c r="E9530" s="487" t="s">
        <v>29442</v>
      </c>
      <c r="F9530" s="490">
        <v>20000</v>
      </c>
      <c r="G9530" s="489">
        <v>314.17</v>
      </c>
      <c r="H9530" s="489">
        <v>63.659799999999997</v>
      </c>
      <c r="I9530" s="487" t="s">
        <v>1499</v>
      </c>
      <c r="J9530" s="487" t="s">
        <v>1346</v>
      </c>
    </row>
    <row r="9531" spans="1:10" ht="15" x14ac:dyDescent="0.2">
      <c r="A9531" s="486" t="s">
        <v>1345</v>
      </c>
      <c r="B9531" s="487" t="s">
        <v>1344</v>
      </c>
      <c r="C9531" s="488" t="s">
        <v>29443</v>
      </c>
      <c r="D9531" s="489" t="s">
        <v>29444</v>
      </c>
      <c r="E9531" s="487" t="s">
        <v>29445</v>
      </c>
      <c r="F9531" s="490">
        <v>45000</v>
      </c>
      <c r="G9531" s="489">
        <v>989.52</v>
      </c>
      <c r="H9531" s="489">
        <v>45.476590000000002</v>
      </c>
      <c r="I9531" s="487" t="s">
        <v>1499</v>
      </c>
      <c r="J9531" s="487" t="s">
        <v>1346</v>
      </c>
    </row>
    <row r="9532" spans="1:10" ht="15" x14ac:dyDescent="0.2">
      <c r="A9532" s="486" t="s">
        <v>1345</v>
      </c>
      <c r="B9532" s="487" t="s">
        <v>1344</v>
      </c>
      <c r="C9532" s="488" t="s">
        <v>29446</v>
      </c>
      <c r="D9532" s="489" t="s">
        <v>29447</v>
      </c>
      <c r="E9532" s="487" t="s">
        <v>29448</v>
      </c>
      <c r="F9532" s="490">
        <v>0</v>
      </c>
      <c r="G9532" s="489">
        <v>18.16</v>
      </c>
      <c r="H9532" s="489">
        <v>0</v>
      </c>
      <c r="I9532" s="487" t="s">
        <v>1593</v>
      </c>
      <c r="J9532" s="487" t="s">
        <v>1346</v>
      </c>
    </row>
    <row r="9533" spans="1:10" ht="15" x14ac:dyDescent="0.2">
      <c r="A9533" s="486" t="s">
        <v>1345</v>
      </c>
      <c r="B9533" s="487" t="s">
        <v>1344</v>
      </c>
      <c r="C9533" s="488" t="s">
        <v>29449</v>
      </c>
      <c r="D9533" s="489" t="s">
        <v>29450</v>
      </c>
      <c r="E9533" s="487" t="s">
        <v>29451</v>
      </c>
      <c r="F9533" s="490">
        <v>73736</v>
      </c>
      <c r="G9533" s="489">
        <v>1617.36</v>
      </c>
      <c r="H9533" s="489">
        <v>45.590339999999998</v>
      </c>
      <c r="I9533" s="487" t="s">
        <v>1499</v>
      </c>
      <c r="J9533" s="487" t="s">
        <v>1346</v>
      </c>
    </row>
    <row r="9534" spans="1:10" ht="15" x14ac:dyDescent="0.2">
      <c r="A9534" s="486" t="s">
        <v>1345</v>
      </c>
      <c r="B9534" s="487" t="s">
        <v>1344</v>
      </c>
      <c r="C9534" s="488" t="s">
        <v>29452</v>
      </c>
      <c r="D9534" s="489" t="s">
        <v>29453</v>
      </c>
      <c r="E9534" s="487" t="s">
        <v>29454</v>
      </c>
      <c r="F9534" s="490">
        <v>18169.68</v>
      </c>
      <c r="G9534" s="489">
        <v>330.44</v>
      </c>
      <c r="H9534" s="489">
        <v>54.986319999999999</v>
      </c>
      <c r="I9534" s="487" t="s">
        <v>2465</v>
      </c>
      <c r="J9534" s="487" t="s">
        <v>1346</v>
      </c>
    </row>
    <row r="9535" spans="1:10" ht="15" x14ac:dyDescent="0.2">
      <c r="A9535" s="486" t="s">
        <v>1345</v>
      </c>
      <c r="B9535" s="487" t="s">
        <v>1344</v>
      </c>
      <c r="C9535" s="488" t="s">
        <v>29455</v>
      </c>
      <c r="D9535" s="489" t="s">
        <v>29456</v>
      </c>
      <c r="E9535" s="487" t="s">
        <v>4081</v>
      </c>
      <c r="F9535" s="490">
        <v>16950</v>
      </c>
      <c r="G9535" s="489">
        <v>1042.4739999999999</v>
      </c>
      <c r="H9535" s="489">
        <v>16.259399999999999</v>
      </c>
      <c r="I9535" s="487" t="s">
        <v>1499</v>
      </c>
      <c r="J9535" s="487" t="s">
        <v>1346</v>
      </c>
    </row>
    <row r="9536" spans="1:10" ht="15" x14ac:dyDescent="0.2">
      <c r="A9536" s="486" t="s">
        <v>1345</v>
      </c>
      <c r="B9536" s="487" t="s">
        <v>1344</v>
      </c>
      <c r="C9536" s="488" t="s">
        <v>29457</v>
      </c>
      <c r="D9536" s="489" t="s">
        <v>29458</v>
      </c>
      <c r="E9536" s="487" t="s">
        <v>29459</v>
      </c>
      <c r="F9536" s="490">
        <v>0</v>
      </c>
      <c r="G9536" s="489">
        <v>0</v>
      </c>
      <c r="H9536" s="489">
        <v>0</v>
      </c>
      <c r="I9536" s="487" t="s">
        <v>2465</v>
      </c>
      <c r="J9536" s="487" t="s">
        <v>1346</v>
      </c>
    </row>
    <row r="9537" spans="1:10" ht="15" x14ac:dyDescent="0.2">
      <c r="A9537" s="486" t="s">
        <v>1345</v>
      </c>
      <c r="B9537" s="487" t="s">
        <v>1344</v>
      </c>
      <c r="C9537" s="488" t="s">
        <v>29460</v>
      </c>
      <c r="D9537" s="489" t="s">
        <v>29461</v>
      </c>
      <c r="E9537" s="487" t="s">
        <v>29462</v>
      </c>
      <c r="F9537" s="490">
        <v>291815</v>
      </c>
      <c r="G9537" s="489">
        <v>10476.022000000001</v>
      </c>
      <c r="H9537" s="489">
        <v>27.855519999999999</v>
      </c>
      <c r="I9537" s="487" t="s">
        <v>1499</v>
      </c>
      <c r="J9537" s="487" t="s">
        <v>1346</v>
      </c>
    </row>
    <row r="9538" spans="1:10" ht="15" x14ac:dyDescent="0.2">
      <c r="A9538" s="486" t="s">
        <v>1345</v>
      </c>
      <c r="B9538" s="487" t="s">
        <v>1344</v>
      </c>
      <c r="C9538" s="488" t="s">
        <v>29463</v>
      </c>
      <c r="D9538" s="489" t="s">
        <v>29464</v>
      </c>
      <c r="E9538" s="487" t="s">
        <v>29465</v>
      </c>
      <c r="F9538" s="490">
        <v>30100</v>
      </c>
      <c r="G9538" s="489">
        <v>1034.43</v>
      </c>
      <c r="H9538" s="489">
        <v>29.09815</v>
      </c>
      <c r="I9538" s="487" t="s">
        <v>1499</v>
      </c>
      <c r="J9538" s="487" t="s">
        <v>1346</v>
      </c>
    </row>
    <row r="9539" spans="1:10" ht="15" x14ac:dyDescent="0.2">
      <c r="A9539" s="486" t="s">
        <v>1345</v>
      </c>
      <c r="B9539" s="487" t="s">
        <v>1344</v>
      </c>
      <c r="C9539" s="488" t="s">
        <v>29466</v>
      </c>
      <c r="D9539" s="489" t="s">
        <v>29467</v>
      </c>
      <c r="E9539" s="487" t="s">
        <v>29468</v>
      </c>
      <c r="F9539" s="490">
        <v>45000</v>
      </c>
      <c r="G9539" s="489">
        <v>532.92999999999995</v>
      </c>
      <c r="H9539" s="489">
        <v>84.438860000000005</v>
      </c>
      <c r="I9539" s="487" t="s">
        <v>1499</v>
      </c>
      <c r="J9539" s="487" t="s">
        <v>1346</v>
      </c>
    </row>
    <row r="9540" spans="1:10" ht="15" x14ac:dyDescent="0.2">
      <c r="A9540" s="486" t="s">
        <v>1345</v>
      </c>
      <c r="B9540" s="487" t="s">
        <v>1344</v>
      </c>
      <c r="C9540" s="488" t="s">
        <v>29469</v>
      </c>
      <c r="D9540" s="489" t="s">
        <v>29470</v>
      </c>
      <c r="E9540" s="487" t="s">
        <v>29471</v>
      </c>
      <c r="F9540" s="490">
        <v>10750</v>
      </c>
      <c r="G9540" s="489">
        <v>226.25</v>
      </c>
      <c r="H9540" s="489">
        <v>47.513809999999999</v>
      </c>
      <c r="I9540" s="487" t="s">
        <v>1499</v>
      </c>
      <c r="J9540" s="487" t="s">
        <v>1346</v>
      </c>
    </row>
    <row r="9541" spans="1:10" ht="15" x14ac:dyDescent="0.2">
      <c r="A9541" s="486" t="s">
        <v>1345</v>
      </c>
      <c r="B9541" s="487" t="s">
        <v>1344</v>
      </c>
      <c r="C9541" s="488" t="s">
        <v>29472</v>
      </c>
      <c r="D9541" s="489" t="s">
        <v>29473</v>
      </c>
      <c r="E9541" s="487" t="s">
        <v>29474</v>
      </c>
      <c r="F9541" s="490">
        <v>0</v>
      </c>
      <c r="G9541" s="489">
        <v>0</v>
      </c>
      <c r="H9541" s="489">
        <v>0</v>
      </c>
      <c r="I9541" s="487" t="s">
        <v>2465</v>
      </c>
      <c r="J9541" s="487" t="s">
        <v>1346</v>
      </c>
    </row>
    <row r="9542" spans="1:10" ht="15" x14ac:dyDescent="0.2">
      <c r="A9542" s="486" t="s">
        <v>1345</v>
      </c>
      <c r="B9542" s="487" t="s">
        <v>1344</v>
      </c>
      <c r="C9542" s="488" t="s">
        <v>29475</v>
      </c>
      <c r="D9542" s="489" t="s">
        <v>29476</v>
      </c>
      <c r="E9542" s="487" t="s">
        <v>29477</v>
      </c>
      <c r="F9542" s="490">
        <v>8200</v>
      </c>
      <c r="G9542" s="489">
        <v>204.49</v>
      </c>
      <c r="H9542" s="489">
        <v>40.099760000000003</v>
      </c>
      <c r="I9542" s="487" t="s">
        <v>2465</v>
      </c>
      <c r="J9542" s="487" t="s">
        <v>1346</v>
      </c>
    </row>
    <row r="9543" spans="1:10" ht="15" x14ac:dyDescent="0.2">
      <c r="A9543" s="486" t="s">
        <v>1345</v>
      </c>
      <c r="B9543" s="487" t="s">
        <v>1344</v>
      </c>
      <c r="C9543" s="488" t="s">
        <v>29478</v>
      </c>
      <c r="D9543" s="489" t="s">
        <v>29479</v>
      </c>
      <c r="E9543" s="487" t="s">
        <v>29480</v>
      </c>
      <c r="F9543" s="490">
        <v>38974</v>
      </c>
      <c r="G9543" s="489">
        <v>1075.44</v>
      </c>
      <c r="H9543" s="489">
        <v>36.240049999999997</v>
      </c>
      <c r="I9543" s="487" t="s">
        <v>1499</v>
      </c>
      <c r="J9543" s="487" t="s">
        <v>1346</v>
      </c>
    </row>
    <row r="9544" spans="1:10" ht="15" x14ac:dyDescent="0.2">
      <c r="A9544" s="486" t="s">
        <v>1345</v>
      </c>
      <c r="B9544" s="487" t="s">
        <v>1344</v>
      </c>
      <c r="C9544" s="488" t="s">
        <v>29481</v>
      </c>
      <c r="D9544" s="489" t="s">
        <v>29482</v>
      </c>
      <c r="E9544" s="487" t="s">
        <v>29483</v>
      </c>
      <c r="F9544" s="490">
        <v>23000</v>
      </c>
      <c r="G9544" s="489">
        <v>593.51</v>
      </c>
      <c r="H9544" s="489">
        <v>38.752510000000001</v>
      </c>
      <c r="I9544" s="487" t="s">
        <v>1499</v>
      </c>
      <c r="J9544" s="487" t="s">
        <v>1346</v>
      </c>
    </row>
    <row r="9545" spans="1:10" ht="15" x14ac:dyDescent="0.2">
      <c r="A9545" s="486" t="s">
        <v>1345</v>
      </c>
      <c r="B9545" s="487" t="s">
        <v>1344</v>
      </c>
      <c r="C9545" s="488" t="s">
        <v>29484</v>
      </c>
      <c r="D9545" s="489" t="s">
        <v>29485</v>
      </c>
      <c r="E9545" s="487" t="s">
        <v>29486</v>
      </c>
      <c r="F9545" s="490">
        <v>497094</v>
      </c>
      <c r="G9545" s="489">
        <v>17647.253000000001</v>
      </c>
      <c r="H9545" s="489">
        <v>28.16835</v>
      </c>
      <c r="I9545" s="487" t="s">
        <v>1499</v>
      </c>
      <c r="J9545" s="487" t="s">
        <v>1346</v>
      </c>
    </row>
    <row r="9546" spans="1:10" ht="15" x14ac:dyDescent="0.2">
      <c r="A9546" s="486" t="s">
        <v>1345</v>
      </c>
      <c r="B9546" s="487" t="s">
        <v>1344</v>
      </c>
      <c r="C9546" s="488" t="s">
        <v>29487</v>
      </c>
      <c r="D9546" s="489" t="s">
        <v>29488</v>
      </c>
      <c r="E9546" s="487" t="s">
        <v>29489</v>
      </c>
      <c r="F9546" s="490">
        <v>0</v>
      </c>
      <c r="G9546" s="489">
        <v>0</v>
      </c>
      <c r="H9546" s="489">
        <v>0</v>
      </c>
      <c r="I9546" s="487" t="s">
        <v>2465</v>
      </c>
      <c r="J9546" s="487" t="s">
        <v>1346</v>
      </c>
    </row>
    <row r="9547" spans="1:10" ht="15" x14ac:dyDescent="0.2">
      <c r="A9547" s="486" t="s">
        <v>1345</v>
      </c>
      <c r="B9547" s="487" t="s">
        <v>1344</v>
      </c>
      <c r="C9547" s="488" t="s">
        <v>29490</v>
      </c>
      <c r="D9547" s="489" t="s">
        <v>29491</v>
      </c>
      <c r="E9547" s="487" t="s">
        <v>29492</v>
      </c>
      <c r="F9547" s="490">
        <v>10046</v>
      </c>
      <c r="G9547" s="489">
        <v>440.52</v>
      </c>
      <c r="H9547" s="489">
        <v>22.804870000000001</v>
      </c>
      <c r="I9547" s="487" t="s">
        <v>1499</v>
      </c>
      <c r="J9547" s="487" t="s">
        <v>1346</v>
      </c>
    </row>
    <row r="9548" spans="1:10" ht="15" x14ac:dyDescent="0.2">
      <c r="A9548" s="486" t="s">
        <v>1345</v>
      </c>
      <c r="B9548" s="487" t="s">
        <v>1344</v>
      </c>
      <c r="C9548" s="488" t="s">
        <v>29493</v>
      </c>
      <c r="D9548" s="489" t="s">
        <v>29494</v>
      </c>
      <c r="E9548" s="487" t="s">
        <v>29495</v>
      </c>
      <c r="F9548" s="490">
        <v>23886</v>
      </c>
      <c r="G9548" s="489">
        <v>461.79</v>
      </c>
      <c r="H9548" s="489">
        <v>51.724809999999998</v>
      </c>
      <c r="I9548" s="487" t="s">
        <v>2465</v>
      </c>
      <c r="J9548" s="487" t="s">
        <v>1346</v>
      </c>
    </row>
    <row r="9549" spans="1:10" ht="15" x14ac:dyDescent="0.2">
      <c r="A9549" s="486" t="s">
        <v>1345</v>
      </c>
      <c r="B9549" s="487" t="s">
        <v>1344</v>
      </c>
      <c r="C9549" s="488" t="s">
        <v>29496</v>
      </c>
      <c r="D9549" s="489" t="s">
        <v>29497</v>
      </c>
      <c r="E9549" s="487" t="s">
        <v>29498</v>
      </c>
      <c r="F9549" s="490">
        <v>0</v>
      </c>
      <c r="G9549" s="489">
        <v>0</v>
      </c>
      <c r="H9549" s="489">
        <v>0</v>
      </c>
      <c r="I9549" s="487" t="s">
        <v>2465</v>
      </c>
      <c r="J9549" s="487" t="s">
        <v>1346</v>
      </c>
    </row>
    <row r="9550" spans="1:10" ht="15" x14ac:dyDescent="0.2">
      <c r="A9550" s="486" t="s">
        <v>1345</v>
      </c>
      <c r="B9550" s="487" t="s">
        <v>1344</v>
      </c>
      <c r="C9550" s="488" t="s">
        <v>29499</v>
      </c>
      <c r="D9550" s="489" t="s">
        <v>29500</v>
      </c>
      <c r="E9550" s="487" t="s">
        <v>1344</v>
      </c>
      <c r="F9550" s="490">
        <v>690140.28</v>
      </c>
      <c r="G9550" s="489">
        <v>13395.582</v>
      </c>
      <c r="H9550" s="489">
        <v>51.51999</v>
      </c>
      <c r="I9550" s="487" t="s">
        <v>1499</v>
      </c>
      <c r="J9550" s="487" t="s">
        <v>1346</v>
      </c>
    </row>
    <row r="9551" spans="1:10" ht="15" x14ac:dyDescent="0.2">
      <c r="A9551" s="486" t="s">
        <v>1345</v>
      </c>
      <c r="B9551" s="487" t="s">
        <v>1344</v>
      </c>
      <c r="C9551" s="488" t="s">
        <v>29501</v>
      </c>
      <c r="D9551" s="489" t="s">
        <v>29502</v>
      </c>
      <c r="E9551" s="487" t="s">
        <v>29503</v>
      </c>
      <c r="F9551" s="490">
        <v>0</v>
      </c>
      <c r="G9551" s="489">
        <v>0</v>
      </c>
      <c r="H9551" s="489">
        <v>0</v>
      </c>
      <c r="I9551" s="487" t="s">
        <v>2465</v>
      </c>
      <c r="J9551" s="487" t="s">
        <v>1346</v>
      </c>
    </row>
    <row r="9552" spans="1:10" ht="15" x14ac:dyDescent="0.2">
      <c r="A9552" s="486" t="s">
        <v>1345</v>
      </c>
      <c r="B9552" s="487" t="s">
        <v>1344</v>
      </c>
      <c r="C9552" s="488" t="s">
        <v>29504</v>
      </c>
      <c r="D9552" s="489" t="s">
        <v>29505</v>
      </c>
      <c r="E9552" s="487" t="s">
        <v>29506</v>
      </c>
      <c r="F9552" s="490">
        <v>14050.64</v>
      </c>
      <c r="G9552" s="489">
        <v>192.31</v>
      </c>
      <c r="H9552" s="489">
        <v>73.062449999999998</v>
      </c>
      <c r="I9552" s="487" t="s">
        <v>1499</v>
      </c>
      <c r="J9552" s="487" t="s">
        <v>1346</v>
      </c>
    </row>
    <row r="9553" spans="1:10" ht="15" x14ac:dyDescent="0.2">
      <c r="A9553" s="486" t="s">
        <v>1345</v>
      </c>
      <c r="B9553" s="487" t="s">
        <v>1344</v>
      </c>
      <c r="C9553" s="488" t="s">
        <v>29507</v>
      </c>
      <c r="D9553" s="489" t="s">
        <v>29508</v>
      </c>
      <c r="E9553" s="487" t="s">
        <v>29509</v>
      </c>
      <c r="F9553" s="490">
        <v>342925</v>
      </c>
      <c r="G9553" s="489">
        <v>3631.12</v>
      </c>
      <c r="H9553" s="489">
        <v>94.440560000000005</v>
      </c>
      <c r="I9553" s="487" t="s">
        <v>1499</v>
      </c>
      <c r="J9553" s="487" t="s">
        <v>1346</v>
      </c>
    </row>
    <row r="9554" spans="1:10" ht="15" x14ac:dyDescent="0.2">
      <c r="A9554" s="486" t="s">
        <v>1345</v>
      </c>
      <c r="B9554" s="487" t="s">
        <v>1344</v>
      </c>
      <c r="C9554" s="488" t="s">
        <v>29510</v>
      </c>
      <c r="D9554" s="489" t="s">
        <v>29511</v>
      </c>
      <c r="E9554" s="487" t="s">
        <v>29512</v>
      </c>
      <c r="F9554" s="490">
        <v>39949</v>
      </c>
      <c r="G9554" s="489">
        <v>820.00599999999997</v>
      </c>
      <c r="H9554" s="489">
        <v>48.717939999999999</v>
      </c>
      <c r="I9554" s="487" t="s">
        <v>1499</v>
      </c>
      <c r="J9554" s="487" t="s">
        <v>1346</v>
      </c>
    </row>
    <row r="9555" spans="1:10" ht="15" x14ac:dyDescent="0.2">
      <c r="A9555" s="486" t="s">
        <v>1345</v>
      </c>
      <c r="B9555" s="487" t="s">
        <v>1344</v>
      </c>
      <c r="C9555" s="488" t="s">
        <v>29513</v>
      </c>
      <c r="D9555" s="489" t="s">
        <v>29514</v>
      </c>
      <c r="E9555" s="487" t="s">
        <v>29515</v>
      </c>
      <c r="F9555" s="490">
        <v>0</v>
      </c>
      <c r="G9555" s="489">
        <v>0</v>
      </c>
      <c r="H9555" s="489">
        <v>0</v>
      </c>
      <c r="I9555" s="487" t="s">
        <v>2465</v>
      </c>
      <c r="J9555" s="487" t="s">
        <v>1346</v>
      </c>
    </row>
    <row r="9556" spans="1:10" ht="15" x14ac:dyDescent="0.2">
      <c r="A9556" s="486" t="s">
        <v>1345</v>
      </c>
      <c r="B9556" s="487" t="s">
        <v>1344</v>
      </c>
      <c r="C9556" s="488" t="s">
        <v>29516</v>
      </c>
      <c r="D9556" s="489" t="s">
        <v>29517</v>
      </c>
      <c r="E9556" s="487" t="s">
        <v>29518</v>
      </c>
      <c r="F9556" s="490">
        <v>0</v>
      </c>
      <c r="G9556" s="489">
        <v>0</v>
      </c>
      <c r="H9556" s="489">
        <v>0</v>
      </c>
      <c r="I9556" s="487" t="s">
        <v>2465</v>
      </c>
      <c r="J9556" s="487" t="s">
        <v>1346</v>
      </c>
    </row>
    <row r="9557" spans="1:10" ht="15" x14ac:dyDescent="0.2">
      <c r="A9557" s="486" t="s">
        <v>1345</v>
      </c>
      <c r="B9557" s="487" t="s">
        <v>1344</v>
      </c>
      <c r="C9557" s="488" t="s">
        <v>29519</v>
      </c>
      <c r="D9557" s="489" t="s">
        <v>29520</v>
      </c>
      <c r="E9557" s="487" t="s">
        <v>29521</v>
      </c>
      <c r="F9557" s="490">
        <v>0</v>
      </c>
      <c r="G9557" s="489">
        <v>0</v>
      </c>
      <c r="H9557" s="489">
        <v>0</v>
      </c>
      <c r="I9557" s="487" t="s">
        <v>2465</v>
      </c>
      <c r="J9557" s="487" t="s">
        <v>1346</v>
      </c>
    </row>
    <row r="9558" spans="1:10" ht="15" x14ac:dyDescent="0.2">
      <c r="A9558" s="486" t="s">
        <v>319</v>
      </c>
      <c r="B9558" s="487" t="s">
        <v>318</v>
      </c>
      <c r="C9558" s="488" t="s">
        <v>29522</v>
      </c>
      <c r="D9558" s="489" t="s">
        <v>29523</v>
      </c>
      <c r="E9558" s="487" t="s">
        <v>29524</v>
      </c>
      <c r="F9558" s="490">
        <v>0</v>
      </c>
      <c r="G9558" s="489">
        <v>21</v>
      </c>
      <c r="H9558" s="489">
        <v>0</v>
      </c>
      <c r="I9558" s="487" t="s">
        <v>1593</v>
      </c>
      <c r="J9558" s="487" t="s">
        <v>320</v>
      </c>
    </row>
    <row r="9559" spans="1:10" ht="15" x14ac:dyDescent="0.2">
      <c r="A9559" s="486" t="s">
        <v>319</v>
      </c>
      <c r="B9559" s="487" t="s">
        <v>318</v>
      </c>
      <c r="C9559" s="488" t="s">
        <v>29525</v>
      </c>
      <c r="D9559" s="489" t="s">
        <v>29526</v>
      </c>
      <c r="E9559" s="487" t="s">
        <v>29527</v>
      </c>
      <c r="F9559" s="490">
        <v>382752</v>
      </c>
      <c r="G9559" s="489">
        <v>6876</v>
      </c>
      <c r="H9559" s="489">
        <v>55.664920000000002</v>
      </c>
      <c r="I9559" s="487" t="s">
        <v>1499</v>
      </c>
      <c r="J9559" s="487" t="s">
        <v>320</v>
      </c>
    </row>
    <row r="9560" spans="1:10" ht="15" x14ac:dyDescent="0.2">
      <c r="A9560" s="486" t="s">
        <v>319</v>
      </c>
      <c r="B9560" s="487" t="s">
        <v>318</v>
      </c>
      <c r="C9560" s="488" t="s">
        <v>29528</v>
      </c>
      <c r="D9560" s="489" t="s">
        <v>29529</v>
      </c>
      <c r="E9560" s="487" t="s">
        <v>29530</v>
      </c>
      <c r="F9560" s="490">
        <v>102700</v>
      </c>
      <c r="G9560" s="489">
        <v>2893.4</v>
      </c>
      <c r="H9560" s="489">
        <v>35.494570000000003</v>
      </c>
      <c r="I9560" s="487" t="s">
        <v>1499</v>
      </c>
      <c r="J9560" s="487" t="s">
        <v>320</v>
      </c>
    </row>
    <row r="9561" spans="1:10" ht="15" x14ac:dyDescent="0.2">
      <c r="A9561" s="486" t="s">
        <v>341</v>
      </c>
      <c r="B9561" s="487" t="s">
        <v>340</v>
      </c>
      <c r="C9561" s="488" t="s">
        <v>29531</v>
      </c>
      <c r="D9561" s="489" t="s">
        <v>29532</v>
      </c>
      <c r="E9561" s="487" t="s">
        <v>29533</v>
      </c>
      <c r="F9561" s="490">
        <v>156676</v>
      </c>
      <c r="G9561" s="489">
        <v>1986</v>
      </c>
      <c r="H9561" s="489">
        <v>78.890230000000003</v>
      </c>
      <c r="I9561" s="487" t="s">
        <v>1499</v>
      </c>
      <c r="J9561" s="487" t="s">
        <v>342</v>
      </c>
    </row>
    <row r="9562" spans="1:10" ht="15" x14ac:dyDescent="0.2">
      <c r="A9562" s="486" t="s">
        <v>341</v>
      </c>
      <c r="B9562" s="487" t="s">
        <v>340</v>
      </c>
      <c r="C9562" s="488" t="s">
        <v>29534</v>
      </c>
      <c r="D9562" s="489" t="s">
        <v>29535</v>
      </c>
      <c r="E9562" s="487" t="s">
        <v>29536</v>
      </c>
      <c r="F9562" s="490">
        <v>121909</v>
      </c>
      <c r="G9562" s="489">
        <v>5439</v>
      </c>
      <c r="H9562" s="489">
        <v>22.41386</v>
      </c>
      <c r="I9562" s="487" t="s">
        <v>1499</v>
      </c>
      <c r="J9562" s="487" t="s">
        <v>342</v>
      </c>
    </row>
    <row r="9563" spans="1:10" ht="15" x14ac:dyDescent="0.2">
      <c r="A9563" s="486" t="s">
        <v>341</v>
      </c>
      <c r="B9563" s="487" t="s">
        <v>340</v>
      </c>
      <c r="C9563" s="488" t="s">
        <v>29537</v>
      </c>
      <c r="D9563" s="489" t="s">
        <v>29538</v>
      </c>
      <c r="E9563" s="487" t="s">
        <v>29539</v>
      </c>
      <c r="F9563" s="490">
        <v>455103</v>
      </c>
      <c r="G9563" s="489">
        <v>4219</v>
      </c>
      <c r="H9563" s="489">
        <v>107.86987000000001</v>
      </c>
      <c r="I9563" s="487" t="s">
        <v>1499</v>
      </c>
      <c r="J9563" s="487" t="s">
        <v>342</v>
      </c>
    </row>
    <row r="9564" spans="1:10" ht="15" x14ac:dyDescent="0.2">
      <c r="A9564" s="486" t="s">
        <v>341</v>
      </c>
      <c r="B9564" s="487" t="s">
        <v>340</v>
      </c>
      <c r="C9564" s="488" t="s">
        <v>29540</v>
      </c>
      <c r="D9564" s="489" t="s">
        <v>29541</v>
      </c>
      <c r="E9564" s="487" t="s">
        <v>29542</v>
      </c>
      <c r="F9564" s="490">
        <v>211737</v>
      </c>
      <c r="G9564" s="489">
        <v>1724</v>
      </c>
      <c r="H9564" s="489">
        <v>122.81729</v>
      </c>
      <c r="I9564" s="487" t="s">
        <v>1499</v>
      </c>
      <c r="J9564" s="487" t="s">
        <v>342</v>
      </c>
    </row>
    <row r="9565" spans="1:10" ht="15" x14ac:dyDescent="0.2">
      <c r="A9565" s="486" t="s">
        <v>341</v>
      </c>
      <c r="B9565" s="487" t="s">
        <v>340</v>
      </c>
      <c r="C9565" s="488" t="s">
        <v>29543</v>
      </c>
      <c r="D9565" s="489" t="s">
        <v>29544</v>
      </c>
      <c r="E9565" s="487" t="s">
        <v>29545</v>
      </c>
      <c r="F9565" s="490">
        <v>195203</v>
      </c>
      <c r="G9565" s="489">
        <v>2522</v>
      </c>
      <c r="H9565" s="489">
        <v>77.400080000000003</v>
      </c>
      <c r="I9565" s="487" t="s">
        <v>1499</v>
      </c>
      <c r="J9565" s="487" t="s">
        <v>342</v>
      </c>
    </row>
    <row r="9566" spans="1:10" ht="15" x14ac:dyDescent="0.2">
      <c r="A9566" s="486" t="s">
        <v>341</v>
      </c>
      <c r="B9566" s="487" t="s">
        <v>340</v>
      </c>
      <c r="C9566" s="488" t="s">
        <v>29546</v>
      </c>
      <c r="D9566" s="489" t="s">
        <v>29547</v>
      </c>
      <c r="E9566" s="487" t="s">
        <v>29548</v>
      </c>
      <c r="F9566" s="490">
        <v>159189</v>
      </c>
      <c r="G9566" s="489">
        <v>3521</v>
      </c>
      <c r="H9566" s="489">
        <v>45.211300000000001</v>
      </c>
      <c r="I9566" s="487" t="s">
        <v>1499</v>
      </c>
      <c r="J9566" s="487" t="s">
        <v>342</v>
      </c>
    </row>
    <row r="9567" spans="1:10" ht="15" x14ac:dyDescent="0.2">
      <c r="A9567" s="486" t="s">
        <v>341</v>
      </c>
      <c r="B9567" s="487" t="s">
        <v>340</v>
      </c>
      <c r="C9567" s="488" t="s">
        <v>29549</v>
      </c>
      <c r="D9567" s="489" t="s">
        <v>29550</v>
      </c>
      <c r="E9567" s="487" t="s">
        <v>29551</v>
      </c>
      <c r="F9567" s="490">
        <v>1054043</v>
      </c>
      <c r="G9567" s="489">
        <v>7564</v>
      </c>
      <c r="H9567" s="489">
        <v>139.34995000000001</v>
      </c>
      <c r="I9567" s="487" t="s">
        <v>1499</v>
      </c>
      <c r="J9567" s="487" t="s">
        <v>342</v>
      </c>
    </row>
    <row r="9568" spans="1:10" ht="15" x14ac:dyDescent="0.2">
      <c r="A9568" s="486" t="s">
        <v>341</v>
      </c>
      <c r="B9568" s="487" t="s">
        <v>340</v>
      </c>
      <c r="C9568" s="488" t="s">
        <v>29552</v>
      </c>
      <c r="D9568" s="489" t="s">
        <v>29553</v>
      </c>
      <c r="E9568" s="487" t="s">
        <v>29554</v>
      </c>
      <c r="F9568" s="490">
        <v>3100</v>
      </c>
      <c r="G9568" s="489">
        <v>140</v>
      </c>
      <c r="H9568" s="489">
        <v>22.142859999999999</v>
      </c>
      <c r="I9568" s="487" t="s">
        <v>1499</v>
      </c>
      <c r="J9568" s="487" t="s">
        <v>342</v>
      </c>
    </row>
    <row r="9569" spans="1:10" ht="15" x14ac:dyDescent="0.2">
      <c r="A9569" s="486" t="s">
        <v>341</v>
      </c>
      <c r="B9569" s="487" t="s">
        <v>340</v>
      </c>
      <c r="C9569" s="488" t="s">
        <v>29555</v>
      </c>
      <c r="D9569" s="489" t="s">
        <v>29556</v>
      </c>
      <c r="E9569" s="487" t="s">
        <v>1945</v>
      </c>
      <c r="F9569" s="490">
        <v>17820</v>
      </c>
      <c r="G9569" s="489">
        <v>142</v>
      </c>
      <c r="H9569" s="489">
        <v>125.49296</v>
      </c>
      <c r="I9569" s="487" t="s">
        <v>1499</v>
      </c>
      <c r="J9569" s="487" t="s">
        <v>342</v>
      </c>
    </row>
    <row r="9570" spans="1:10" ht="15" x14ac:dyDescent="0.2">
      <c r="A9570" s="486" t="s">
        <v>341</v>
      </c>
      <c r="B9570" s="487" t="s">
        <v>340</v>
      </c>
      <c r="C9570" s="488" t="s">
        <v>29557</v>
      </c>
      <c r="D9570" s="489" t="s">
        <v>29558</v>
      </c>
      <c r="E9570" s="487" t="s">
        <v>29559</v>
      </c>
      <c r="F9570" s="490">
        <v>21000</v>
      </c>
      <c r="G9570" s="489">
        <v>480</v>
      </c>
      <c r="H9570" s="489">
        <v>43.75</v>
      </c>
      <c r="I9570" s="487" t="s">
        <v>1499</v>
      </c>
      <c r="J9570" s="487" t="s">
        <v>342</v>
      </c>
    </row>
    <row r="9571" spans="1:10" ht="15" x14ac:dyDescent="0.2">
      <c r="A9571" s="486" t="s">
        <v>341</v>
      </c>
      <c r="B9571" s="487" t="s">
        <v>340</v>
      </c>
      <c r="C9571" s="488" t="s">
        <v>29560</v>
      </c>
      <c r="D9571" s="489" t="s">
        <v>29561</v>
      </c>
      <c r="E9571" s="487" t="s">
        <v>29562</v>
      </c>
      <c r="F9571" s="490">
        <v>287219</v>
      </c>
      <c r="G9571" s="489">
        <v>2918</v>
      </c>
      <c r="H9571" s="489">
        <v>98.430090000000007</v>
      </c>
      <c r="I9571" s="487" t="s">
        <v>1499</v>
      </c>
      <c r="J9571" s="487" t="s">
        <v>342</v>
      </c>
    </row>
    <row r="9572" spans="1:10" ht="15" x14ac:dyDescent="0.2">
      <c r="A9572" s="486" t="s">
        <v>341</v>
      </c>
      <c r="B9572" s="487" t="s">
        <v>340</v>
      </c>
      <c r="C9572" s="488" t="s">
        <v>29563</v>
      </c>
      <c r="D9572" s="489" t="s">
        <v>29564</v>
      </c>
      <c r="E9572" s="487" t="s">
        <v>29565</v>
      </c>
      <c r="F9572" s="490">
        <v>193000</v>
      </c>
      <c r="G9572" s="489">
        <v>5055</v>
      </c>
      <c r="H9572" s="489">
        <v>38.180019999999999</v>
      </c>
      <c r="I9572" s="487" t="s">
        <v>1499</v>
      </c>
      <c r="J9572" s="487" t="s">
        <v>342</v>
      </c>
    </row>
    <row r="9573" spans="1:10" ht="15" x14ac:dyDescent="0.2">
      <c r="A9573" s="486" t="s">
        <v>341</v>
      </c>
      <c r="B9573" s="487" t="s">
        <v>340</v>
      </c>
      <c r="C9573" s="488" t="s">
        <v>29566</v>
      </c>
      <c r="D9573" s="489" t="s">
        <v>29567</v>
      </c>
      <c r="E9573" s="487" t="s">
        <v>29568</v>
      </c>
      <c r="F9573" s="490">
        <v>93184</v>
      </c>
      <c r="G9573" s="489">
        <v>2477</v>
      </c>
      <c r="H9573" s="489">
        <v>37.619700000000002</v>
      </c>
      <c r="I9573" s="487" t="s">
        <v>1499</v>
      </c>
      <c r="J9573" s="487" t="s">
        <v>342</v>
      </c>
    </row>
    <row r="9574" spans="1:10" ht="15" x14ac:dyDescent="0.2">
      <c r="A9574" s="486" t="s">
        <v>341</v>
      </c>
      <c r="B9574" s="487" t="s">
        <v>340</v>
      </c>
      <c r="C9574" s="488" t="s">
        <v>29569</v>
      </c>
      <c r="D9574" s="489" t="s">
        <v>29570</v>
      </c>
      <c r="E9574" s="487" t="s">
        <v>29571</v>
      </c>
      <c r="F9574" s="490">
        <v>62000</v>
      </c>
      <c r="G9574" s="489">
        <v>980</v>
      </c>
      <c r="H9574" s="489">
        <v>63.265309999999999</v>
      </c>
      <c r="I9574" s="487" t="s">
        <v>1499</v>
      </c>
      <c r="J9574" s="487" t="s">
        <v>342</v>
      </c>
    </row>
    <row r="9575" spans="1:10" ht="15" x14ac:dyDescent="0.2">
      <c r="A9575" s="486" t="s">
        <v>341</v>
      </c>
      <c r="B9575" s="487" t="s">
        <v>340</v>
      </c>
      <c r="C9575" s="488" t="s">
        <v>29572</v>
      </c>
      <c r="D9575" s="489" t="s">
        <v>29573</v>
      </c>
      <c r="E9575" s="487" t="s">
        <v>23303</v>
      </c>
      <c r="F9575" s="490">
        <v>23000</v>
      </c>
      <c r="G9575" s="489">
        <v>499</v>
      </c>
      <c r="H9575" s="489">
        <v>46.092179999999999</v>
      </c>
      <c r="I9575" s="487" t="s">
        <v>1499</v>
      </c>
      <c r="J9575" s="487" t="s">
        <v>342</v>
      </c>
    </row>
    <row r="9576" spans="1:10" ht="15" x14ac:dyDescent="0.2">
      <c r="A9576" s="486" t="s">
        <v>341</v>
      </c>
      <c r="B9576" s="487" t="s">
        <v>340</v>
      </c>
      <c r="C9576" s="488" t="s">
        <v>29574</v>
      </c>
      <c r="D9576" s="489" t="s">
        <v>29575</v>
      </c>
      <c r="E9576" s="487" t="s">
        <v>12110</v>
      </c>
      <c r="F9576" s="490">
        <v>0</v>
      </c>
      <c r="G9576" s="489">
        <v>55</v>
      </c>
      <c r="H9576" s="489">
        <v>0</v>
      </c>
      <c r="I9576" s="487" t="s">
        <v>1593</v>
      </c>
      <c r="J9576" s="487" t="s">
        <v>342</v>
      </c>
    </row>
    <row r="9577" spans="1:10" ht="15" x14ac:dyDescent="0.2">
      <c r="A9577" s="486" t="s">
        <v>341</v>
      </c>
      <c r="B9577" s="487" t="s">
        <v>340</v>
      </c>
      <c r="C9577" s="488" t="s">
        <v>29576</v>
      </c>
      <c r="D9577" s="489" t="s">
        <v>29577</v>
      </c>
      <c r="E9577" s="487" t="s">
        <v>3666</v>
      </c>
      <c r="F9577" s="490">
        <v>18000</v>
      </c>
      <c r="G9577" s="489">
        <v>496</v>
      </c>
      <c r="H9577" s="489">
        <v>36.290320000000001</v>
      </c>
      <c r="I9577" s="487" t="s">
        <v>1499</v>
      </c>
      <c r="J9577" s="487" t="s">
        <v>342</v>
      </c>
    </row>
    <row r="9578" spans="1:10" ht="15" x14ac:dyDescent="0.2">
      <c r="A9578" s="486" t="s">
        <v>341</v>
      </c>
      <c r="B9578" s="487" t="s">
        <v>340</v>
      </c>
      <c r="C9578" s="488" t="s">
        <v>29578</v>
      </c>
      <c r="D9578" s="489" t="s">
        <v>29579</v>
      </c>
      <c r="E9578" s="487" t="s">
        <v>29580</v>
      </c>
      <c r="F9578" s="490">
        <v>1621543</v>
      </c>
      <c r="G9578" s="489">
        <v>10563</v>
      </c>
      <c r="H9578" s="489">
        <v>153.51159999999999</v>
      </c>
      <c r="I9578" s="487" t="s">
        <v>1499</v>
      </c>
      <c r="J9578" s="487" t="s">
        <v>342</v>
      </c>
    </row>
    <row r="9579" spans="1:10" ht="15" x14ac:dyDescent="0.2">
      <c r="A9579" s="486" t="s">
        <v>341</v>
      </c>
      <c r="B9579" s="487" t="s">
        <v>340</v>
      </c>
      <c r="C9579" s="488" t="s">
        <v>29581</v>
      </c>
      <c r="D9579" s="489" t="s">
        <v>29582</v>
      </c>
      <c r="E9579" s="487" t="s">
        <v>29583</v>
      </c>
      <c r="F9579" s="490">
        <v>13000</v>
      </c>
      <c r="G9579" s="489">
        <v>189</v>
      </c>
      <c r="H9579" s="489">
        <v>68.783069999999995</v>
      </c>
      <c r="I9579" s="487" t="s">
        <v>1499</v>
      </c>
      <c r="J9579" s="487" t="s">
        <v>342</v>
      </c>
    </row>
    <row r="9580" spans="1:10" ht="15" x14ac:dyDescent="0.2">
      <c r="A9580" s="486" t="s">
        <v>341</v>
      </c>
      <c r="B9580" s="487" t="s">
        <v>340</v>
      </c>
      <c r="C9580" s="488" t="s">
        <v>29584</v>
      </c>
      <c r="D9580" s="489" t="s">
        <v>29585</v>
      </c>
      <c r="E9580" s="487" t="s">
        <v>29586</v>
      </c>
      <c r="F9580" s="490">
        <v>0</v>
      </c>
      <c r="G9580" s="489">
        <v>66</v>
      </c>
      <c r="H9580" s="489">
        <v>0</v>
      </c>
      <c r="I9580" s="487" t="s">
        <v>1593</v>
      </c>
      <c r="J9580" s="487" t="s">
        <v>342</v>
      </c>
    </row>
    <row r="9581" spans="1:10" ht="15" x14ac:dyDescent="0.2">
      <c r="A9581" s="486" t="s">
        <v>341</v>
      </c>
      <c r="B9581" s="487" t="s">
        <v>340</v>
      </c>
      <c r="C9581" s="488" t="s">
        <v>29587</v>
      </c>
      <c r="D9581" s="489" t="s">
        <v>29588</v>
      </c>
      <c r="E9581" s="487" t="s">
        <v>29589</v>
      </c>
      <c r="F9581" s="490">
        <v>87200</v>
      </c>
      <c r="G9581" s="489">
        <v>2442</v>
      </c>
      <c r="H9581" s="489">
        <v>35.708440000000003</v>
      </c>
      <c r="I9581" s="487" t="s">
        <v>1499</v>
      </c>
      <c r="J9581" s="487" t="s">
        <v>342</v>
      </c>
    </row>
    <row r="9582" spans="1:10" ht="15" x14ac:dyDescent="0.2">
      <c r="A9582" s="486" t="s">
        <v>341</v>
      </c>
      <c r="B9582" s="487" t="s">
        <v>340</v>
      </c>
      <c r="C9582" s="488" t="s">
        <v>29590</v>
      </c>
      <c r="D9582" s="489" t="s">
        <v>29591</v>
      </c>
      <c r="E9582" s="487" t="s">
        <v>29592</v>
      </c>
      <c r="F9582" s="490">
        <v>79155</v>
      </c>
      <c r="G9582" s="489">
        <v>2861</v>
      </c>
      <c r="H9582" s="489">
        <v>27.666899999999998</v>
      </c>
      <c r="I9582" s="487" t="s">
        <v>1499</v>
      </c>
      <c r="J9582" s="487" t="s">
        <v>342</v>
      </c>
    </row>
    <row r="9583" spans="1:10" ht="15" x14ac:dyDescent="0.2">
      <c r="A9583" s="486" t="s">
        <v>341</v>
      </c>
      <c r="B9583" s="487" t="s">
        <v>340</v>
      </c>
      <c r="C9583" s="488" t="s">
        <v>29593</v>
      </c>
      <c r="D9583" s="489" t="s">
        <v>29594</v>
      </c>
      <c r="E9583" s="487" t="s">
        <v>29595</v>
      </c>
      <c r="F9583" s="490">
        <v>4000</v>
      </c>
      <c r="G9583" s="489">
        <v>123</v>
      </c>
      <c r="H9583" s="489">
        <v>32.520330000000001</v>
      </c>
      <c r="I9583" s="487" t="s">
        <v>1499</v>
      </c>
      <c r="J9583" s="487" t="s">
        <v>342</v>
      </c>
    </row>
    <row r="9584" spans="1:10" ht="15" x14ac:dyDescent="0.2">
      <c r="A9584" s="486" t="s">
        <v>341</v>
      </c>
      <c r="B9584" s="487" t="s">
        <v>340</v>
      </c>
      <c r="C9584" s="488" t="s">
        <v>29596</v>
      </c>
      <c r="D9584" s="489" t="s">
        <v>29597</v>
      </c>
      <c r="E9584" s="487" t="s">
        <v>29598</v>
      </c>
      <c r="F9584" s="490">
        <v>0</v>
      </c>
      <c r="G9584" s="489">
        <v>92</v>
      </c>
      <c r="H9584" s="489">
        <v>0</v>
      </c>
      <c r="I9584" s="487" t="s">
        <v>1593</v>
      </c>
      <c r="J9584" s="487" t="s">
        <v>342</v>
      </c>
    </row>
    <row r="9585" spans="1:10" ht="15" x14ac:dyDescent="0.2">
      <c r="A9585" s="486" t="s">
        <v>341</v>
      </c>
      <c r="B9585" s="487" t="s">
        <v>340</v>
      </c>
      <c r="C9585" s="488" t="s">
        <v>29599</v>
      </c>
      <c r="D9585" s="489" t="s">
        <v>29600</v>
      </c>
      <c r="E9585" s="487" t="s">
        <v>29601</v>
      </c>
      <c r="F9585" s="490">
        <v>786000</v>
      </c>
      <c r="G9585" s="489">
        <v>6290</v>
      </c>
      <c r="H9585" s="489">
        <v>124.96025</v>
      </c>
      <c r="I9585" s="487" t="s">
        <v>1499</v>
      </c>
      <c r="J9585" s="487" t="s">
        <v>342</v>
      </c>
    </row>
    <row r="9586" spans="1:10" ht="15" x14ac:dyDescent="0.2">
      <c r="A9586" s="486" t="s">
        <v>341</v>
      </c>
      <c r="B9586" s="487" t="s">
        <v>340</v>
      </c>
      <c r="C9586" s="488" t="s">
        <v>29602</v>
      </c>
      <c r="D9586" s="489" t="s">
        <v>29603</v>
      </c>
      <c r="E9586" s="487" t="s">
        <v>29604</v>
      </c>
      <c r="F9586" s="490">
        <v>40775</v>
      </c>
      <c r="G9586" s="489">
        <v>298</v>
      </c>
      <c r="H9586" s="489">
        <v>136.82885999999999</v>
      </c>
      <c r="I9586" s="487" t="s">
        <v>1499</v>
      </c>
      <c r="J9586" s="487" t="s">
        <v>342</v>
      </c>
    </row>
    <row r="9587" spans="1:10" ht="15" x14ac:dyDescent="0.2">
      <c r="A9587" s="486" t="s">
        <v>341</v>
      </c>
      <c r="B9587" s="487" t="s">
        <v>340</v>
      </c>
      <c r="C9587" s="488" t="s">
        <v>29605</v>
      </c>
      <c r="D9587" s="489" t="s">
        <v>29606</v>
      </c>
      <c r="E9587" s="487" t="s">
        <v>1620</v>
      </c>
      <c r="F9587" s="490">
        <v>0</v>
      </c>
      <c r="G9587" s="489">
        <v>35</v>
      </c>
      <c r="H9587" s="489">
        <v>0</v>
      </c>
      <c r="I9587" s="487" t="s">
        <v>1593</v>
      </c>
      <c r="J9587" s="487" t="s">
        <v>342</v>
      </c>
    </row>
    <row r="9588" spans="1:10" ht="15" x14ac:dyDescent="0.2">
      <c r="A9588" s="486" t="s">
        <v>341</v>
      </c>
      <c r="B9588" s="487" t="s">
        <v>340</v>
      </c>
      <c r="C9588" s="488" t="s">
        <v>29607</v>
      </c>
      <c r="D9588" s="489" t="s">
        <v>29608</v>
      </c>
      <c r="E9588" s="487" t="s">
        <v>29609</v>
      </c>
      <c r="F9588" s="490">
        <v>137867</v>
      </c>
      <c r="G9588" s="489">
        <v>1420</v>
      </c>
      <c r="H9588" s="489">
        <v>97.089439999999996</v>
      </c>
      <c r="I9588" s="487" t="s">
        <v>1499</v>
      </c>
      <c r="J9588" s="487" t="s">
        <v>342</v>
      </c>
    </row>
    <row r="9589" spans="1:10" ht="15" x14ac:dyDescent="0.2">
      <c r="A9589" s="486" t="s">
        <v>341</v>
      </c>
      <c r="B9589" s="487" t="s">
        <v>340</v>
      </c>
      <c r="C9589" s="488" t="s">
        <v>29610</v>
      </c>
      <c r="D9589" s="489" t="s">
        <v>29611</v>
      </c>
      <c r="E9589" s="487" t="s">
        <v>29612</v>
      </c>
      <c r="F9589" s="490">
        <v>550</v>
      </c>
      <c r="G9589" s="489">
        <v>96</v>
      </c>
      <c r="H9589" s="489">
        <v>5.7291699999999999</v>
      </c>
      <c r="I9589" s="487" t="s">
        <v>1499</v>
      </c>
      <c r="J9589" s="487" t="s">
        <v>342</v>
      </c>
    </row>
    <row r="9590" spans="1:10" ht="15" x14ac:dyDescent="0.2">
      <c r="A9590" s="486" t="s">
        <v>341</v>
      </c>
      <c r="B9590" s="487" t="s">
        <v>340</v>
      </c>
      <c r="C9590" s="488" t="s">
        <v>29613</v>
      </c>
      <c r="D9590" s="489" t="s">
        <v>29614</v>
      </c>
      <c r="E9590" s="487" t="s">
        <v>29615</v>
      </c>
      <c r="F9590" s="490">
        <v>111238</v>
      </c>
      <c r="G9590" s="489">
        <v>2185</v>
      </c>
      <c r="H9590" s="489">
        <v>50.909840000000003</v>
      </c>
      <c r="I9590" s="487" t="s">
        <v>1499</v>
      </c>
      <c r="J9590" s="487" t="s">
        <v>342</v>
      </c>
    </row>
    <row r="9591" spans="1:10" ht="15" x14ac:dyDescent="0.2">
      <c r="A9591" s="486" t="s">
        <v>644</v>
      </c>
      <c r="B9591" s="487" t="s">
        <v>643</v>
      </c>
      <c r="C9591" s="488" t="s">
        <v>29616</v>
      </c>
      <c r="D9591" s="489" t="s">
        <v>29617</v>
      </c>
      <c r="E9591" s="487" t="s">
        <v>29618</v>
      </c>
      <c r="F9591" s="490">
        <v>6219</v>
      </c>
      <c r="G9591" s="489">
        <v>104.2</v>
      </c>
      <c r="H9591" s="489">
        <v>59.683300000000003</v>
      </c>
      <c r="I9591" s="487" t="s">
        <v>1499</v>
      </c>
      <c r="J9591" s="487" t="s">
        <v>645</v>
      </c>
    </row>
    <row r="9592" spans="1:10" ht="15" x14ac:dyDescent="0.2">
      <c r="A9592" s="486" t="s">
        <v>644</v>
      </c>
      <c r="B9592" s="487" t="s">
        <v>643</v>
      </c>
      <c r="C9592" s="488" t="s">
        <v>29619</v>
      </c>
      <c r="D9592" s="489" t="s">
        <v>29620</v>
      </c>
      <c r="E9592" s="487" t="s">
        <v>29621</v>
      </c>
      <c r="F9592" s="490">
        <v>2548.5</v>
      </c>
      <c r="G9592" s="489">
        <v>60.9</v>
      </c>
      <c r="H9592" s="489">
        <v>41.847290000000001</v>
      </c>
      <c r="I9592" s="487" t="s">
        <v>1499</v>
      </c>
      <c r="J9592" s="487" t="s">
        <v>645</v>
      </c>
    </row>
    <row r="9593" spans="1:10" ht="15" x14ac:dyDescent="0.2">
      <c r="A9593" s="486" t="s">
        <v>644</v>
      </c>
      <c r="B9593" s="487" t="s">
        <v>643</v>
      </c>
      <c r="C9593" s="488" t="s">
        <v>29622</v>
      </c>
      <c r="D9593" s="489" t="s">
        <v>29623</v>
      </c>
      <c r="E9593" s="487" t="s">
        <v>29624</v>
      </c>
      <c r="F9593" s="490">
        <v>6787</v>
      </c>
      <c r="G9593" s="489">
        <v>160.1</v>
      </c>
      <c r="H9593" s="489">
        <v>42.392249999999997</v>
      </c>
      <c r="I9593" s="487" t="s">
        <v>1499</v>
      </c>
      <c r="J9593" s="487" t="s">
        <v>645</v>
      </c>
    </row>
    <row r="9594" spans="1:10" ht="15" x14ac:dyDescent="0.2">
      <c r="A9594" s="486" t="s">
        <v>644</v>
      </c>
      <c r="B9594" s="487" t="s">
        <v>643</v>
      </c>
      <c r="C9594" s="488" t="s">
        <v>29625</v>
      </c>
      <c r="D9594" s="489" t="s">
        <v>29626</v>
      </c>
      <c r="E9594" s="487" t="s">
        <v>29627</v>
      </c>
      <c r="F9594" s="490">
        <v>0</v>
      </c>
      <c r="G9594" s="489">
        <v>83.5</v>
      </c>
      <c r="H9594" s="489">
        <v>0</v>
      </c>
      <c r="I9594" s="487" t="s">
        <v>1593</v>
      </c>
      <c r="J9594" s="487" t="s">
        <v>645</v>
      </c>
    </row>
    <row r="9595" spans="1:10" ht="15" x14ac:dyDescent="0.2">
      <c r="A9595" s="486" t="s">
        <v>644</v>
      </c>
      <c r="B9595" s="487" t="s">
        <v>643</v>
      </c>
      <c r="C9595" s="488" t="s">
        <v>29628</v>
      </c>
      <c r="D9595" s="489" t="s">
        <v>29629</v>
      </c>
      <c r="E9595" s="487" t="s">
        <v>29630</v>
      </c>
      <c r="F9595" s="490">
        <v>74661</v>
      </c>
      <c r="G9595" s="489">
        <v>911</v>
      </c>
      <c r="H9595" s="489">
        <v>81.954989999999995</v>
      </c>
      <c r="I9595" s="487" t="s">
        <v>1499</v>
      </c>
      <c r="J9595" s="487" t="s">
        <v>645</v>
      </c>
    </row>
    <row r="9596" spans="1:10" ht="15" x14ac:dyDescent="0.2">
      <c r="A9596" s="486" t="s">
        <v>644</v>
      </c>
      <c r="B9596" s="487" t="s">
        <v>643</v>
      </c>
      <c r="C9596" s="488" t="s">
        <v>29631</v>
      </c>
      <c r="D9596" s="489" t="s">
        <v>29632</v>
      </c>
      <c r="E9596" s="487" t="s">
        <v>29633</v>
      </c>
      <c r="F9596" s="490">
        <v>76000</v>
      </c>
      <c r="G9596" s="489">
        <v>1809.5</v>
      </c>
      <c r="H9596" s="489">
        <v>42.000549999999997</v>
      </c>
      <c r="I9596" s="487" t="s">
        <v>1499</v>
      </c>
      <c r="J9596" s="487" t="s">
        <v>645</v>
      </c>
    </row>
    <row r="9597" spans="1:10" ht="15" x14ac:dyDescent="0.2">
      <c r="A9597" s="486" t="s">
        <v>644</v>
      </c>
      <c r="B9597" s="487" t="s">
        <v>643</v>
      </c>
      <c r="C9597" s="488" t="s">
        <v>29634</v>
      </c>
      <c r="D9597" s="489" t="s">
        <v>29635</v>
      </c>
      <c r="E9597" s="487" t="s">
        <v>29636</v>
      </c>
      <c r="F9597" s="490">
        <v>50639</v>
      </c>
      <c r="G9597" s="489">
        <v>487.2</v>
      </c>
      <c r="H9597" s="489">
        <v>103.93883</v>
      </c>
      <c r="I9597" s="487" t="s">
        <v>1499</v>
      </c>
      <c r="J9597" s="487" t="s">
        <v>645</v>
      </c>
    </row>
    <row r="9598" spans="1:10" ht="15" x14ac:dyDescent="0.2">
      <c r="A9598" s="486" t="s">
        <v>644</v>
      </c>
      <c r="B9598" s="487" t="s">
        <v>643</v>
      </c>
      <c r="C9598" s="488" t="s">
        <v>29637</v>
      </c>
      <c r="D9598" s="489" t="s">
        <v>29638</v>
      </c>
      <c r="E9598" s="487" t="s">
        <v>574</v>
      </c>
      <c r="F9598" s="490">
        <v>33678</v>
      </c>
      <c r="G9598" s="489">
        <v>393.2</v>
      </c>
      <c r="H9598" s="489">
        <v>85.651070000000004</v>
      </c>
      <c r="I9598" s="487" t="s">
        <v>1499</v>
      </c>
      <c r="J9598" s="487" t="s">
        <v>645</v>
      </c>
    </row>
    <row r="9599" spans="1:10" ht="15" x14ac:dyDescent="0.2">
      <c r="A9599" s="486" t="s">
        <v>644</v>
      </c>
      <c r="B9599" s="487" t="s">
        <v>643</v>
      </c>
      <c r="C9599" s="488" t="s">
        <v>29639</v>
      </c>
      <c r="D9599" s="489" t="s">
        <v>29640</v>
      </c>
      <c r="E9599" s="487" t="s">
        <v>643</v>
      </c>
      <c r="F9599" s="490">
        <v>970760</v>
      </c>
      <c r="G9599" s="489">
        <v>12517.4</v>
      </c>
      <c r="H9599" s="489">
        <v>77.552850000000007</v>
      </c>
      <c r="I9599" s="487" t="s">
        <v>1499</v>
      </c>
      <c r="J9599" s="487" t="s">
        <v>645</v>
      </c>
    </row>
    <row r="9600" spans="1:10" ht="15" x14ac:dyDescent="0.2">
      <c r="A9600" s="486" t="s">
        <v>644</v>
      </c>
      <c r="B9600" s="487" t="s">
        <v>643</v>
      </c>
      <c r="C9600" s="488" t="s">
        <v>29641</v>
      </c>
      <c r="D9600" s="489" t="s">
        <v>29642</v>
      </c>
      <c r="E9600" s="487" t="s">
        <v>29643</v>
      </c>
      <c r="F9600" s="490">
        <v>65592</v>
      </c>
      <c r="G9600" s="489">
        <v>1093.2</v>
      </c>
      <c r="H9600" s="489">
        <v>60</v>
      </c>
      <c r="I9600" s="487" t="s">
        <v>1499</v>
      </c>
      <c r="J9600" s="487" t="s">
        <v>645</v>
      </c>
    </row>
    <row r="9601" spans="1:10" ht="15" x14ac:dyDescent="0.2">
      <c r="A9601" s="486" t="s">
        <v>644</v>
      </c>
      <c r="B9601" s="487" t="s">
        <v>643</v>
      </c>
      <c r="C9601" s="488" t="s">
        <v>29644</v>
      </c>
      <c r="D9601" s="489" t="s">
        <v>29645</v>
      </c>
      <c r="E9601" s="487" t="s">
        <v>29646</v>
      </c>
      <c r="F9601" s="490">
        <v>19358</v>
      </c>
      <c r="G9601" s="489">
        <v>228.6</v>
      </c>
      <c r="H9601" s="489">
        <v>84.680660000000003</v>
      </c>
      <c r="I9601" s="487" t="s">
        <v>1499</v>
      </c>
      <c r="J9601" s="487" t="s">
        <v>645</v>
      </c>
    </row>
    <row r="9602" spans="1:10" ht="15" x14ac:dyDescent="0.2">
      <c r="A9602" s="486" t="s">
        <v>644</v>
      </c>
      <c r="B9602" s="487" t="s">
        <v>643</v>
      </c>
      <c r="C9602" s="488" t="s">
        <v>29647</v>
      </c>
      <c r="D9602" s="489" t="s">
        <v>29648</v>
      </c>
      <c r="E9602" s="487" t="s">
        <v>2375</v>
      </c>
      <c r="F9602" s="490">
        <v>17500</v>
      </c>
      <c r="G9602" s="489">
        <v>248.1</v>
      </c>
      <c r="H9602" s="489">
        <v>70.536069999999995</v>
      </c>
      <c r="I9602" s="487" t="s">
        <v>1499</v>
      </c>
      <c r="J9602" s="487" t="s">
        <v>645</v>
      </c>
    </row>
    <row r="9603" spans="1:10" ht="15" x14ac:dyDescent="0.2">
      <c r="A9603" s="486" t="s">
        <v>644</v>
      </c>
      <c r="B9603" s="487" t="s">
        <v>643</v>
      </c>
      <c r="C9603" s="488" t="s">
        <v>29649</v>
      </c>
      <c r="D9603" s="489" t="s">
        <v>29650</v>
      </c>
      <c r="E9603" s="487" t="s">
        <v>10919</v>
      </c>
      <c r="F9603" s="490">
        <v>30855</v>
      </c>
      <c r="G9603" s="489">
        <v>1069.5</v>
      </c>
      <c r="H9603" s="489">
        <v>28.849930000000001</v>
      </c>
      <c r="I9603" s="487" t="s">
        <v>1499</v>
      </c>
      <c r="J9603" s="487" t="s">
        <v>645</v>
      </c>
    </row>
    <row r="9604" spans="1:10" ht="15" x14ac:dyDescent="0.2">
      <c r="A9604" s="486" t="s">
        <v>644</v>
      </c>
      <c r="B9604" s="487" t="s">
        <v>643</v>
      </c>
      <c r="C9604" s="488" t="s">
        <v>29651</v>
      </c>
      <c r="D9604" s="489" t="s">
        <v>29652</v>
      </c>
      <c r="E9604" s="487" t="s">
        <v>29653</v>
      </c>
      <c r="F9604" s="490">
        <v>10325</v>
      </c>
      <c r="G9604" s="489">
        <v>253.9</v>
      </c>
      <c r="H9604" s="489">
        <v>40.665619999999997</v>
      </c>
      <c r="I9604" s="487" t="s">
        <v>1499</v>
      </c>
      <c r="J9604" s="487" t="s">
        <v>645</v>
      </c>
    </row>
    <row r="9605" spans="1:10" ht="15" x14ac:dyDescent="0.2">
      <c r="A9605" s="486" t="s">
        <v>644</v>
      </c>
      <c r="B9605" s="487" t="s">
        <v>643</v>
      </c>
      <c r="C9605" s="488" t="s">
        <v>29654</v>
      </c>
      <c r="D9605" s="489" t="s">
        <v>29655</v>
      </c>
      <c r="E9605" s="487" t="s">
        <v>29656</v>
      </c>
      <c r="F9605" s="490">
        <v>23730</v>
      </c>
      <c r="G9605" s="489">
        <v>358.9</v>
      </c>
      <c r="H9605" s="489">
        <v>66.118700000000004</v>
      </c>
      <c r="I9605" s="487" t="s">
        <v>1499</v>
      </c>
      <c r="J9605" s="487" t="s">
        <v>645</v>
      </c>
    </row>
    <row r="9606" spans="1:10" ht="15" x14ac:dyDescent="0.2">
      <c r="A9606" s="486" t="s">
        <v>644</v>
      </c>
      <c r="B9606" s="487" t="s">
        <v>643</v>
      </c>
      <c r="C9606" s="488" t="s">
        <v>29657</v>
      </c>
      <c r="D9606" s="489" t="s">
        <v>29658</v>
      </c>
      <c r="E9606" s="487" t="s">
        <v>29659</v>
      </c>
      <c r="F9606" s="490">
        <v>0</v>
      </c>
      <c r="G9606" s="489">
        <v>61</v>
      </c>
      <c r="H9606" s="489">
        <v>0</v>
      </c>
      <c r="I9606" s="487" t="s">
        <v>1593</v>
      </c>
      <c r="J9606" s="487" t="s">
        <v>645</v>
      </c>
    </row>
    <row r="9607" spans="1:10" ht="15" x14ac:dyDescent="0.2">
      <c r="A9607" s="486" t="s">
        <v>644</v>
      </c>
      <c r="B9607" s="487" t="s">
        <v>643</v>
      </c>
      <c r="C9607" s="488" t="s">
        <v>29660</v>
      </c>
      <c r="D9607" s="489" t="s">
        <v>29661</v>
      </c>
      <c r="E9607" s="487" t="s">
        <v>29662</v>
      </c>
      <c r="F9607" s="490">
        <v>82120</v>
      </c>
      <c r="G9607" s="489">
        <v>1178.0999999999999</v>
      </c>
      <c r="H9607" s="489">
        <v>69.705460000000002</v>
      </c>
      <c r="I9607" s="487" t="s">
        <v>1499</v>
      </c>
      <c r="J9607" s="487" t="s">
        <v>645</v>
      </c>
    </row>
    <row r="9608" spans="1:10" ht="15" x14ac:dyDescent="0.2">
      <c r="A9608" s="486" t="s">
        <v>644</v>
      </c>
      <c r="B9608" s="487" t="s">
        <v>643</v>
      </c>
      <c r="C9608" s="488" t="s">
        <v>29663</v>
      </c>
      <c r="D9608" s="489" t="s">
        <v>29664</v>
      </c>
      <c r="E9608" s="487" t="s">
        <v>12090</v>
      </c>
      <c r="F9608" s="490">
        <v>1297</v>
      </c>
      <c r="G9608" s="489">
        <v>121.7</v>
      </c>
      <c r="H9608" s="489">
        <v>10.657349999999999</v>
      </c>
      <c r="I9608" s="487" t="s">
        <v>1499</v>
      </c>
      <c r="J9608" s="487" t="s">
        <v>645</v>
      </c>
    </row>
    <row r="9609" spans="1:10" ht="15" x14ac:dyDescent="0.2">
      <c r="A9609" s="486" t="s">
        <v>644</v>
      </c>
      <c r="B9609" s="487" t="s">
        <v>643</v>
      </c>
      <c r="C9609" s="488" t="s">
        <v>29665</v>
      </c>
      <c r="D9609" s="489" t="s">
        <v>29666</v>
      </c>
      <c r="E9609" s="487" t="s">
        <v>29667</v>
      </c>
      <c r="F9609" s="490">
        <v>4000</v>
      </c>
      <c r="G9609" s="489">
        <v>139.9</v>
      </c>
      <c r="H9609" s="489">
        <v>28.591850000000001</v>
      </c>
      <c r="I9609" s="487" t="s">
        <v>1499</v>
      </c>
      <c r="J9609" s="487" t="s">
        <v>645</v>
      </c>
    </row>
    <row r="9610" spans="1:10" ht="15" x14ac:dyDescent="0.2">
      <c r="A9610" s="486" t="s">
        <v>644</v>
      </c>
      <c r="B9610" s="487" t="s">
        <v>643</v>
      </c>
      <c r="C9610" s="488" t="s">
        <v>29668</v>
      </c>
      <c r="D9610" s="489" t="s">
        <v>29669</v>
      </c>
      <c r="E9610" s="487" t="s">
        <v>29670</v>
      </c>
      <c r="F9610" s="490">
        <v>206199</v>
      </c>
      <c r="G9610" s="489">
        <v>2527.6999999999998</v>
      </c>
      <c r="H9610" s="489">
        <v>81.575739999999996</v>
      </c>
      <c r="I9610" s="487" t="s">
        <v>1499</v>
      </c>
      <c r="J9610" s="487" t="s">
        <v>645</v>
      </c>
    </row>
    <row r="9611" spans="1:10" ht="15" x14ac:dyDescent="0.2">
      <c r="A9611" s="486" t="s">
        <v>644</v>
      </c>
      <c r="B9611" s="487" t="s">
        <v>643</v>
      </c>
      <c r="C9611" s="488" t="s">
        <v>29671</v>
      </c>
      <c r="D9611" s="489" t="s">
        <v>29672</v>
      </c>
      <c r="E9611" s="487" t="s">
        <v>29673</v>
      </c>
      <c r="F9611" s="490">
        <v>3105</v>
      </c>
      <c r="G9611" s="489">
        <v>143</v>
      </c>
      <c r="H9611" s="489">
        <v>21.713290000000001</v>
      </c>
      <c r="I9611" s="487" t="s">
        <v>1499</v>
      </c>
      <c r="J9611" s="487" t="s">
        <v>645</v>
      </c>
    </row>
    <row r="9612" spans="1:10" ht="15" x14ac:dyDescent="0.2">
      <c r="A9612" s="486" t="s">
        <v>644</v>
      </c>
      <c r="B9612" s="487" t="s">
        <v>643</v>
      </c>
      <c r="C9612" s="488" t="s">
        <v>29674</v>
      </c>
      <c r="D9612" s="489" t="s">
        <v>29675</v>
      </c>
      <c r="E9612" s="487" t="s">
        <v>29676</v>
      </c>
      <c r="F9612" s="490">
        <v>5000</v>
      </c>
      <c r="G9612" s="489">
        <v>184.8</v>
      </c>
      <c r="H9612" s="489">
        <v>27.056280000000001</v>
      </c>
      <c r="I9612" s="487" t="s">
        <v>1499</v>
      </c>
      <c r="J9612" s="487" t="s">
        <v>645</v>
      </c>
    </row>
    <row r="9613" spans="1:10" ht="15" x14ac:dyDescent="0.2">
      <c r="A9613" s="486" t="s">
        <v>644</v>
      </c>
      <c r="B9613" s="487" t="s">
        <v>643</v>
      </c>
      <c r="C9613" s="488" t="s">
        <v>29677</v>
      </c>
      <c r="D9613" s="489" t="s">
        <v>29678</v>
      </c>
      <c r="E9613" s="487" t="s">
        <v>29679</v>
      </c>
      <c r="F9613" s="490">
        <v>91500</v>
      </c>
      <c r="G9613" s="489">
        <v>1379.6</v>
      </c>
      <c r="H9613" s="489">
        <v>66.323570000000004</v>
      </c>
      <c r="I9613" s="487" t="s">
        <v>1499</v>
      </c>
      <c r="J9613" s="487" t="s">
        <v>645</v>
      </c>
    </row>
    <row r="9614" spans="1:10" ht="15" x14ac:dyDescent="0.2">
      <c r="A9614" s="486" t="s">
        <v>644</v>
      </c>
      <c r="B9614" s="487" t="s">
        <v>643</v>
      </c>
      <c r="C9614" s="488" t="s">
        <v>29680</v>
      </c>
      <c r="D9614" s="489" t="s">
        <v>29681</v>
      </c>
      <c r="E9614" s="487" t="s">
        <v>14794</v>
      </c>
      <c r="F9614" s="490">
        <v>69231</v>
      </c>
      <c r="G9614" s="489">
        <v>1110.8</v>
      </c>
      <c r="H9614" s="489">
        <v>62.32535</v>
      </c>
      <c r="I9614" s="487" t="s">
        <v>1499</v>
      </c>
      <c r="J9614" s="487" t="s">
        <v>645</v>
      </c>
    </row>
    <row r="9615" spans="1:10" ht="15" x14ac:dyDescent="0.2">
      <c r="A9615" s="486" t="s">
        <v>644</v>
      </c>
      <c r="B9615" s="487" t="s">
        <v>643</v>
      </c>
      <c r="C9615" s="488" t="s">
        <v>29682</v>
      </c>
      <c r="D9615" s="489" t="s">
        <v>29683</v>
      </c>
      <c r="E9615" s="487" t="s">
        <v>29684</v>
      </c>
      <c r="F9615" s="490">
        <v>47238</v>
      </c>
      <c r="G9615" s="489">
        <v>567.70000000000005</v>
      </c>
      <c r="H9615" s="489">
        <v>83.209440000000001</v>
      </c>
      <c r="I9615" s="487" t="s">
        <v>1499</v>
      </c>
      <c r="J9615" s="487" t="s">
        <v>645</v>
      </c>
    </row>
    <row r="9616" spans="1:10" ht="15" x14ac:dyDescent="0.2">
      <c r="A9616" s="486" t="s">
        <v>644</v>
      </c>
      <c r="B9616" s="487" t="s">
        <v>643</v>
      </c>
      <c r="C9616" s="488" t="s">
        <v>29685</v>
      </c>
      <c r="D9616" s="489" t="s">
        <v>29686</v>
      </c>
      <c r="E9616" s="487" t="s">
        <v>29687</v>
      </c>
      <c r="F9616" s="490">
        <v>46874</v>
      </c>
      <c r="G9616" s="489">
        <v>886.1</v>
      </c>
      <c r="H9616" s="489">
        <v>52.89922</v>
      </c>
      <c r="I9616" s="487" t="s">
        <v>1499</v>
      </c>
      <c r="J9616" s="487" t="s">
        <v>645</v>
      </c>
    </row>
    <row r="9617" spans="1:10" ht="15" x14ac:dyDescent="0.2">
      <c r="A9617" s="486" t="s">
        <v>644</v>
      </c>
      <c r="B9617" s="487" t="s">
        <v>643</v>
      </c>
      <c r="C9617" s="488" t="s">
        <v>29688</v>
      </c>
      <c r="D9617" s="489" t="s">
        <v>29689</v>
      </c>
      <c r="E9617" s="487" t="s">
        <v>29690</v>
      </c>
      <c r="F9617" s="490">
        <v>19200</v>
      </c>
      <c r="G9617" s="489">
        <v>371.7</v>
      </c>
      <c r="H9617" s="489">
        <v>51.654559999999996</v>
      </c>
      <c r="I9617" s="487" t="s">
        <v>1499</v>
      </c>
      <c r="J9617" s="487" t="s">
        <v>645</v>
      </c>
    </row>
    <row r="9618" spans="1:10" ht="15" x14ac:dyDescent="0.2">
      <c r="A9618" s="486" t="s">
        <v>644</v>
      </c>
      <c r="B9618" s="487" t="s">
        <v>643</v>
      </c>
      <c r="C9618" s="488" t="s">
        <v>29691</v>
      </c>
      <c r="D9618" s="489" t="s">
        <v>29692</v>
      </c>
      <c r="E9618" s="487" t="s">
        <v>29693</v>
      </c>
      <c r="F9618" s="490">
        <v>62000</v>
      </c>
      <c r="G9618" s="489">
        <v>784.3</v>
      </c>
      <c r="H9618" s="489">
        <v>79.051379999999995</v>
      </c>
      <c r="I9618" s="487" t="s">
        <v>1499</v>
      </c>
      <c r="J9618" s="487" t="s">
        <v>645</v>
      </c>
    </row>
    <row r="9619" spans="1:10" ht="15" x14ac:dyDescent="0.2">
      <c r="A9619" s="486" t="s">
        <v>644</v>
      </c>
      <c r="B9619" s="487" t="s">
        <v>643</v>
      </c>
      <c r="C9619" s="488" t="s">
        <v>29694</v>
      </c>
      <c r="D9619" s="489" t="s">
        <v>29695</v>
      </c>
      <c r="E9619" s="487" t="s">
        <v>29696</v>
      </c>
      <c r="F9619" s="490">
        <v>10500</v>
      </c>
      <c r="G9619" s="489">
        <v>178.3</v>
      </c>
      <c r="H9619" s="489">
        <v>58.889510000000001</v>
      </c>
      <c r="I9619" s="487" t="s">
        <v>1499</v>
      </c>
      <c r="J9619" s="487" t="s">
        <v>645</v>
      </c>
    </row>
    <row r="9620" spans="1:10" ht="15" x14ac:dyDescent="0.2">
      <c r="A9620" s="486" t="s">
        <v>644</v>
      </c>
      <c r="B9620" s="487" t="s">
        <v>643</v>
      </c>
      <c r="C9620" s="488" t="s">
        <v>29697</v>
      </c>
      <c r="D9620" s="489" t="s">
        <v>29698</v>
      </c>
      <c r="E9620" s="487" t="s">
        <v>27673</v>
      </c>
      <c r="F9620" s="490">
        <v>76423</v>
      </c>
      <c r="G9620" s="489">
        <v>446</v>
      </c>
      <c r="H9620" s="489">
        <v>171.35202000000001</v>
      </c>
      <c r="I9620" s="487" t="s">
        <v>1499</v>
      </c>
      <c r="J9620" s="487" t="s">
        <v>645</v>
      </c>
    </row>
    <row r="9621" spans="1:10" ht="15" x14ac:dyDescent="0.2">
      <c r="A9621" s="486" t="s">
        <v>644</v>
      </c>
      <c r="B9621" s="487" t="s">
        <v>643</v>
      </c>
      <c r="C9621" s="488" t="s">
        <v>29699</v>
      </c>
      <c r="D9621" s="489" t="s">
        <v>29700</v>
      </c>
      <c r="E9621" s="487" t="s">
        <v>29701</v>
      </c>
      <c r="F9621" s="490">
        <v>99000</v>
      </c>
      <c r="G9621" s="489">
        <v>580.79999999999995</v>
      </c>
      <c r="H9621" s="489">
        <v>170.45455000000001</v>
      </c>
      <c r="I9621" s="487" t="s">
        <v>1499</v>
      </c>
      <c r="J9621" s="487" t="s">
        <v>645</v>
      </c>
    </row>
    <row r="9622" spans="1:10" ht="15" x14ac:dyDescent="0.2">
      <c r="A9622" s="486" t="s">
        <v>644</v>
      </c>
      <c r="B9622" s="487" t="s">
        <v>643</v>
      </c>
      <c r="C9622" s="488" t="s">
        <v>29702</v>
      </c>
      <c r="D9622" s="489" t="s">
        <v>29703</v>
      </c>
      <c r="E9622" s="487" t="s">
        <v>29704</v>
      </c>
      <c r="F9622" s="490">
        <v>57316.95</v>
      </c>
      <c r="G9622" s="489">
        <v>776.5</v>
      </c>
      <c r="H9622" s="489">
        <v>73.814490000000006</v>
      </c>
      <c r="I9622" s="487" t="s">
        <v>1499</v>
      </c>
      <c r="J9622" s="487" t="s">
        <v>645</v>
      </c>
    </row>
    <row r="9623" spans="1:10" ht="15" x14ac:dyDescent="0.2">
      <c r="A9623" s="486" t="s">
        <v>644</v>
      </c>
      <c r="B9623" s="487" t="s">
        <v>643</v>
      </c>
      <c r="C9623" s="488" t="s">
        <v>29705</v>
      </c>
      <c r="D9623" s="489" t="s">
        <v>29706</v>
      </c>
      <c r="E9623" s="487" t="s">
        <v>29707</v>
      </c>
      <c r="F9623" s="490">
        <v>0</v>
      </c>
      <c r="G9623" s="489">
        <v>45.2</v>
      </c>
      <c r="H9623" s="489">
        <v>0</v>
      </c>
      <c r="I9623" s="487" t="s">
        <v>1593</v>
      </c>
      <c r="J9623" s="487" t="s">
        <v>645</v>
      </c>
    </row>
    <row r="9624" spans="1:10" ht="15" x14ac:dyDescent="0.2">
      <c r="A9624" s="486" t="s">
        <v>644</v>
      </c>
      <c r="B9624" s="487" t="s">
        <v>643</v>
      </c>
      <c r="C9624" s="488" t="s">
        <v>29708</v>
      </c>
      <c r="D9624" s="489" t="s">
        <v>29709</v>
      </c>
      <c r="E9624" s="487" t="s">
        <v>29710</v>
      </c>
      <c r="F9624" s="490">
        <v>91017</v>
      </c>
      <c r="G9624" s="489">
        <v>1074.8</v>
      </c>
      <c r="H9624" s="489">
        <v>84.682730000000006</v>
      </c>
      <c r="I9624" s="487" t="s">
        <v>1499</v>
      </c>
      <c r="J9624" s="487" t="s">
        <v>645</v>
      </c>
    </row>
    <row r="9625" spans="1:10" ht="15" x14ac:dyDescent="0.2">
      <c r="A9625" s="486" t="s">
        <v>644</v>
      </c>
      <c r="B9625" s="487" t="s">
        <v>643</v>
      </c>
      <c r="C9625" s="488" t="s">
        <v>29711</v>
      </c>
      <c r="D9625" s="489" t="s">
        <v>29712</v>
      </c>
      <c r="E9625" s="487" t="s">
        <v>29713</v>
      </c>
      <c r="F9625" s="490">
        <v>20000</v>
      </c>
      <c r="G9625" s="489">
        <v>435.6</v>
      </c>
      <c r="H9625" s="489">
        <v>45.913679999999999</v>
      </c>
      <c r="I9625" s="487" t="s">
        <v>1499</v>
      </c>
      <c r="J9625" s="487" t="s">
        <v>645</v>
      </c>
    </row>
    <row r="9626" spans="1:10" ht="15" x14ac:dyDescent="0.2">
      <c r="A9626" s="486" t="s">
        <v>644</v>
      </c>
      <c r="B9626" s="487" t="s">
        <v>643</v>
      </c>
      <c r="C9626" s="488" t="s">
        <v>29714</v>
      </c>
      <c r="D9626" s="489" t="s">
        <v>29715</v>
      </c>
      <c r="E9626" s="487" t="s">
        <v>29716</v>
      </c>
      <c r="F9626" s="490">
        <v>62000</v>
      </c>
      <c r="G9626" s="489">
        <v>875.6</v>
      </c>
      <c r="H9626" s="489">
        <v>70.808589999999995</v>
      </c>
      <c r="I9626" s="487" t="s">
        <v>1499</v>
      </c>
      <c r="J9626" s="487" t="s">
        <v>645</v>
      </c>
    </row>
    <row r="9627" spans="1:10" ht="15" x14ac:dyDescent="0.2">
      <c r="A9627" s="486" t="s">
        <v>644</v>
      </c>
      <c r="B9627" s="487" t="s">
        <v>643</v>
      </c>
      <c r="C9627" s="488" t="s">
        <v>29717</v>
      </c>
      <c r="D9627" s="489" t="s">
        <v>29718</v>
      </c>
      <c r="E9627" s="487" t="s">
        <v>29719</v>
      </c>
      <c r="F9627" s="490">
        <v>25000</v>
      </c>
      <c r="G9627" s="489">
        <v>372.3</v>
      </c>
      <c r="H9627" s="489">
        <v>67.150149999999996</v>
      </c>
      <c r="I9627" s="487" t="s">
        <v>1499</v>
      </c>
      <c r="J9627" s="487" t="s">
        <v>645</v>
      </c>
    </row>
    <row r="9628" spans="1:10" ht="15" x14ac:dyDescent="0.2">
      <c r="A9628" s="486" t="s">
        <v>644</v>
      </c>
      <c r="B9628" s="487" t="s">
        <v>643</v>
      </c>
      <c r="C9628" s="488" t="s">
        <v>29720</v>
      </c>
      <c r="D9628" s="489" t="s">
        <v>29721</v>
      </c>
      <c r="E9628" s="487" t="s">
        <v>12790</v>
      </c>
      <c r="F9628" s="490">
        <v>0</v>
      </c>
      <c r="G9628" s="489">
        <v>61.3</v>
      </c>
      <c r="H9628" s="489">
        <v>0</v>
      </c>
      <c r="I9628" s="487" t="s">
        <v>1593</v>
      </c>
      <c r="J9628" s="487" t="s">
        <v>645</v>
      </c>
    </row>
    <row r="9629" spans="1:10" ht="15" x14ac:dyDescent="0.2">
      <c r="A9629" s="486" t="s">
        <v>644</v>
      </c>
      <c r="B9629" s="487" t="s">
        <v>643</v>
      </c>
      <c r="C9629" s="488" t="s">
        <v>29722</v>
      </c>
      <c r="D9629" s="489" t="s">
        <v>29723</v>
      </c>
      <c r="E9629" s="487" t="s">
        <v>29724</v>
      </c>
      <c r="F9629" s="490">
        <v>386250</v>
      </c>
      <c r="G9629" s="489">
        <v>2393.8000000000002</v>
      </c>
      <c r="H9629" s="489">
        <v>161.35433</v>
      </c>
      <c r="I9629" s="487" t="s">
        <v>1499</v>
      </c>
      <c r="J9629" s="487" t="s">
        <v>645</v>
      </c>
    </row>
    <row r="9630" spans="1:10" ht="15" x14ac:dyDescent="0.2">
      <c r="A9630" s="486" t="s">
        <v>644</v>
      </c>
      <c r="B9630" s="487" t="s">
        <v>643</v>
      </c>
      <c r="C9630" s="488" t="s">
        <v>29725</v>
      </c>
      <c r="D9630" s="489" t="s">
        <v>29726</v>
      </c>
      <c r="E9630" s="487" t="s">
        <v>29727</v>
      </c>
      <c r="F9630" s="490">
        <v>34200</v>
      </c>
      <c r="G9630" s="489">
        <v>519.4</v>
      </c>
      <c r="H9630" s="489">
        <v>65.845209999999994</v>
      </c>
      <c r="I9630" s="487" t="s">
        <v>1499</v>
      </c>
      <c r="J9630" s="487" t="s">
        <v>645</v>
      </c>
    </row>
    <row r="9631" spans="1:10" ht="15" x14ac:dyDescent="0.2">
      <c r="A9631" s="486" t="s">
        <v>644</v>
      </c>
      <c r="B9631" s="487" t="s">
        <v>643</v>
      </c>
      <c r="C9631" s="488" t="s">
        <v>29728</v>
      </c>
      <c r="D9631" s="489" t="s">
        <v>29729</v>
      </c>
      <c r="E9631" s="487" t="s">
        <v>29730</v>
      </c>
      <c r="F9631" s="490">
        <v>57446</v>
      </c>
      <c r="G9631" s="489">
        <v>655.4</v>
      </c>
      <c r="H9631" s="489">
        <v>87.650289999999998</v>
      </c>
      <c r="I9631" s="487" t="s">
        <v>1499</v>
      </c>
      <c r="J9631" s="487" t="s">
        <v>645</v>
      </c>
    </row>
    <row r="9632" spans="1:10" ht="15" x14ac:dyDescent="0.2">
      <c r="A9632" s="486" t="s">
        <v>644</v>
      </c>
      <c r="B9632" s="487" t="s">
        <v>643</v>
      </c>
      <c r="C9632" s="488" t="s">
        <v>29731</v>
      </c>
      <c r="D9632" s="489" t="s">
        <v>29732</v>
      </c>
      <c r="E9632" s="487" t="s">
        <v>29733</v>
      </c>
      <c r="F9632" s="490">
        <v>30000</v>
      </c>
      <c r="G9632" s="489">
        <v>346.9</v>
      </c>
      <c r="H9632" s="489">
        <v>86.480249999999998</v>
      </c>
      <c r="I9632" s="487" t="s">
        <v>1499</v>
      </c>
      <c r="J9632" s="487" t="s">
        <v>645</v>
      </c>
    </row>
    <row r="9633" spans="1:10" ht="15" x14ac:dyDescent="0.2">
      <c r="A9633" s="486" t="s">
        <v>644</v>
      </c>
      <c r="B9633" s="487" t="s">
        <v>643</v>
      </c>
      <c r="C9633" s="488" t="s">
        <v>29734</v>
      </c>
      <c r="D9633" s="489" t="s">
        <v>29735</v>
      </c>
      <c r="E9633" s="487" t="s">
        <v>3091</v>
      </c>
      <c r="F9633" s="490">
        <v>89336</v>
      </c>
      <c r="G9633" s="489">
        <v>1157.4000000000001</v>
      </c>
      <c r="H9633" s="489">
        <v>77.186800000000005</v>
      </c>
      <c r="I9633" s="487" t="s">
        <v>1499</v>
      </c>
      <c r="J9633" s="487" t="s">
        <v>645</v>
      </c>
    </row>
    <row r="9634" spans="1:10" ht="15" x14ac:dyDescent="0.2">
      <c r="A9634" s="486" t="s">
        <v>644</v>
      </c>
      <c r="B9634" s="487" t="s">
        <v>643</v>
      </c>
      <c r="C9634" s="488" t="s">
        <v>29736</v>
      </c>
      <c r="D9634" s="489" t="s">
        <v>29737</v>
      </c>
      <c r="E9634" s="487" t="s">
        <v>29738</v>
      </c>
      <c r="F9634" s="490">
        <v>159488</v>
      </c>
      <c r="G9634" s="489">
        <v>1405.8</v>
      </c>
      <c r="H9634" s="489">
        <v>113.44999</v>
      </c>
      <c r="I9634" s="487" t="s">
        <v>1499</v>
      </c>
      <c r="J9634" s="487" t="s">
        <v>645</v>
      </c>
    </row>
    <row r="9635" spans="1:10" ht="15" x14ac:dyDescent="0.2">
      <c r="A9635" s="486" t="s">
        <v>644</v>
      </c>
      <c r="B9635" s="487" t="s">
        <v>643</v>
      </c>
      <c r="C9635" s="488" t="s">
        <v>29739</v>
      </c>
      <c r="D9635" s="489" t="s">
        <v>29740</v>
      </c>
      <c r="E9635" s="487" t="s">
        <v>29741</v>
      </c>
      <c r="F9635" s="490">
        <v>120000</v>
      </c>
      <c r="G9635" s="489">
        <v>1154</v>
      </c>
      <c r="H9635" s="489">
        <v>103.98614000000001</v>
      </c>
      <c r="I9635" s="487" t="s">
        <v>1499</v>
      </c>
      <c r="J9635" s="487" t="s">
        <v>645</v>
      </c>
    </row>
    <row r="9636" spans="1:10" ht="15" x14ac:dyDescent="0.2">
      <c r="A9636" s="486" t="s">
        <v>644</v>
      </c>
      <c r="B9636" s="487" t="s">
        <v>643</v>
      </c>
      <c r="C9636" s="488" t="s">
        <v>29742</v>
      </c>
      <c r="D9636" s="489" t="s">
        <v>29743</v>
      </c>
      <c r="E9636" s="487" t="s">
        <v>29744</v>
      </c>
      <c r="F9636" s="490">
        <v>44335</v>
      </c>
      <c r="G9636" s="489">
        <v>823.9</v>
      </c>
      <c r="H9636" s="489">
        <v>53.811140000000002</v>
      </c>
      <c r="I9636" s="487" t="s">
        <v>1499</v>
      </c>
      <c r="J9636" s="487" t="s">
        <v>645</v>
      </c>
    </row>
    <row r="9637" spans="1:10" ht="15" x14ac:dyDescent="0.2">
      <c r="A9637" s="486" t="s">
        <v>644</v>
      </c>
      <c r="B9637" s="487" t="s">
        <v>643</v>
      </c>
      <c r="C9637" s="488" t="s">
        <v>29745</v>
      </c>
      <c r="D9637" s="489" t="s">
        <v>29746</v>
      </c>
      <c r="E9637" s="487" t="s">
        <v>29747</v>
      </c>
      <c r="F9637" s="490">
        <v>718344</v>
      </c>
      <c r="G9637" s="489">
        <v>4727.5</v>
      </c>
      <c r="H9637" s="489">
        <v>151.95008000000001</v>
      </c>
      <c r="I9637" s="487" t="s">
        <v>1499</v>
      </c>
      <c r="J9637" s="487" t="s">
        <v>645</v>
      </c>
    </row>
    <row r="9638" spans="1:10" ht="15" x14ac:dyDescent="0.2">
      <c r="A9638" s="486" t="s">
        <v>644</v>
      </c>
      <c r="B9638" s="487" t="s">
        <v>643</v>
      </c>
      <c r="C9638" s="488" t="s">
        <v>29748</v>
      </c>
      <c r="D9638" s="489" t="s">
        <v>29749</v>
      </c>
      <c r="E9638" s="487" t="s">
        <v>29750</v>
      </c>
      <c r="F9638" s="490">
        <v>52872</v>
      </c>
      <c r="G9638" s="489">
        <v>693.4</v>
      </c>
      <c r="H9638" s="489">
        <v>76.250360000000001</v>
      </c>
      <c r="I9638" s="487" t="s">
        <v>1499</v>
      </c>
      <c r="J9638" s="487" t="s">
        <v>645</v>
      </c>
    </row>
    <row r="9639" spans="1:10" ht="15" x14ac:dyDescent="0.2">
      <c r="A9639" s="486" t="s">
        <v>644</v>
      </c>
      <c r="B9639" s="487" t="s">
        <v>643</v>
      </c>
      <c r="C9639" s="488" t="s">
        <v>29751</v>
      </c>
      <c r="D9639" s="489" t="s">
        <v>29752</v>
      </c>
      <c r="E9639" s="487" t="s">
        <v>15976</v>
      </c>
      <c r="F9639" s="490">
        <v>30599</v>
      </c>
      <c r="G9639" s="489">
        <v>284.2</v>
      </c>
      <c r="H9639" s="489">
        <v>107.66714</v>
      </c>
      <c r="I9639" s="487" t="s">
        <v>1499</v>
      </c>
      <c r="J9639" s="487" t="s">
        <v>645</v>
      </c>
    </row>
    <row r="9640" spans="1:10" ht="15" x14ac:dyDescent="0.2">
      <c r="A9640" s="486" t="s">
        <v>644</v>
      </c>
      <c r="B9640" s="487" t="s">
        <v>643</v>
      </c>
      <c r="C9640" s="488" t="s">
        <v>29753</v>
      </c>
      <c r="D9640" s="489" t="s">
        <v>29754</v>
      </c>
      <c r="E9640" s="487" t="s">
        <v>29755</v>
      </c>
      <c r="F9640" s="490">
        <v>257647</v>
      </c>
      <c r="G9640" s="489">
        <v>2852.3</v>
      </c>
      <c r="H9640" s="489">
        <v>90.329560000000001</v>
      </c>
      <c r="I9640" s="487" t="s">
        <v>1499</v>
      </c>
      <c r="J9640" s="487" t="s">
        <v>645</v>
      </c>
    </row>
    <row r="9641" spans="1:10" ht="15" x14ac:dyDescent="0.2">
      <c r="A9641" s="486" t="s">
        <v>644</v>
      </c>
      <c r="B9641" s="487" t="s">
        <v>643</v>
      </c>
      <c r="C9641" s="488" t="s">
        <v>29756</v>
      </c>
      <c r="D9641" s="489" t="s">
        <v>29757</v>
      </c>
      <c r="E9641" s="487" t="s">
        <v>29758</v>
      </c>
      <c r="F9641" s="490">
        <v>26500</v>
      </c>
      <c r="G9641" s="489">
        <v>455.9</v>
      </c>
      <c r="H9641" s="489">
        <v>58.126779999999997</v>
      </c>
      <c r="I9641" s="487" t="s">
        <v>1499</v>
      </c>
      <c r="J9641" s="487" t="s">
        <v>645</v>
      </c>
    </row>
    <row r="9642" spans="1:10" ht="15" x14ac:dyDescent="0.2">
      <c r="A9642" s="486" t="s">
        <v>644</v>
      </c>
      <c r="B9642" s="487" t="s">
        <v>643</v>
      </c>
      <c r="C9642" s="488" t="s">
        <v>29759</v>
      </c>
      <c r="D9642" s="489" t="s">
        <v>29760</v>
      </c>
      <c r="E9642" s="487" t="s">
        <v>29761</v>
      </c>
      <c r="F9642" s="490">
        <v>1500</v>
      </c>
      <c r="G9642" s="489">
        <v>51.6</v>
      </c>
      <c r="H9642" s="489">
        <v>29.069769999999998</v>
      </c>
      <c r="I9642" s="487" t="s">
        <v>1499</v>
      </c>
      <c r="J9642" s="487" t="s">
        <v>645</v>
      </c>
    </row>
    <row r="9643" spans="1:10" ht="15" x14ac:dyDescent="0.2">
      <c r="A9643" s="486" t="s">
        <v>644</v>
      </c>
      <c r="B9643" s="487" t="s">
        <v>643</v>
      </c>
      <c r="C9643" s="488" t="s">
        <v>29762</v>
      </c>
      <c r="D9643" s="489" t="s">
        <v>29763</v>
      </c>
      <c r="E9643" s="487" t="s">
        <v>17035</v>
      </c>
      <c r="F9643" s="490">
        <v>15850</v>
      </c>
      <c r="G9643" s="489">
        <v>371.8</v>
      </c>
      <c r="H9643" s="489">
        <v>42.630450000000003</v>
      </c>
      <c r="I9643" s="487" t="s">
        <v>1499</v>
      </c>
      <c r="J9643" s="487" t="s">
        <v>645</v>
      </c>
    </row>
    <row r="9644" spans="1:10" ht="15" x14ac:dyDescent="0.2">
      <c r="A9644" s="486" t="s">
        <v>644</v>
      </c>
      <c r="B9644" s="487" t="s">
        <v>643</v>
      </c>
      <c r="C9644" s="488" t="s">
        <v>29764</v>
      </c>
      <c r="D9644" s="489" t="s">
        <v>29765</v>
      </c>
      <c r="E9644" s="487" t="s">
        <v>1263</v>
      </c>
      <c r="F9644" s="490">
        <v>6080.4</v>
      </c>
      <c r="G9644" s="489">
        <v>145.30000000000001</v>
      </c>
      <c r="H9644" s="489">
        <v>41.847209999999997</v>
      </c>
      <c r="I9644" s="487" t="s">
        <v>1499</v>
      </c>
      <c r="J9644" s="487" t="s">
        <v>645</v>
      </c>
    </row>
    <row r="9645" spans="1:10" ht="15" x14ac:dyDescent="0.2">
      <c r="A9645" s="486" t="s">
        <v>644</v>
      </c>
      <c r="B9645" s="487" t="s">
        <v>643</v>
      </c>
      <c r="C9645" s="488" t="s">
        <v>29766</v>
      </c>
      <c r="D9645" s="489" t="s">
        <v>29767</v>
      </c>
      <c r="E9645" s="487" t="s">
        <v>29768</v>
      </c>
      <c r="F9645" s="490">
        <v>115740</v>
      </c>
      <c r="G9645" s="489">
        <v>1150</v>
      </c>
      <c r="H9645" s="489">
        <v>100.64348</v>
      </c>
      <c r="I9645" s="487" t="s">
        <v>1499</v>
      </c>
      <c r="J9645" s="487" t="s">
        <v>645</v>
      </c>
    </row>
    <row r="9646" spans="1:10" ht="15" x14ac:dyDescent="0.2">
      <c r="A9646" s="486" t="s">
        <v>644</v>
      </c>
      <c r="B9646" s="487" t="s">
        <v>643</v>
      </c>
      <c r="C9646" s="488" t="s">
        <v>29769</v>
      </c>
      <c r="D9646" s="489" t="s">
        <v>29770</v>
      </c>
      <c r="E9646" s="487" t="s">
        <v>29771</v>
      </c>
      <c r="F9646" s="490">
        <v>20475</v>
      </c>
      <c r="G9646" s="489">
        <v>319.5</v>
      </c>
      <c r="H9646" s="489">
        <v>64.084509999999995</v>
      </c>
      <c r="I9646" s="487" t="s">
        <v>1499</v>
      </c>
      <c r="J9646" s="487" t="s">
        <v>645</v>
      </c>
    </row>
    <row r="9647" spans="1:10" ht="15" x14ac:dyDescent="0.2">
      <c r="A9647" s="486" t="s">
        <v>644</v>
      </c>
      <c r="B9647" s="487" t="s">
        <v>643</v>
      </c>
      <c r="C9647" s="488" t="s">
        <v>29772</v>
      </c>
      <c r="D9647" s="489" t="s">
        <v>29773</v>
      </c>
      <c r="E9647" s="487" t="s">
        <v>29774</v>
      </c>
      <c r="F9647" s="490">
        <v>4000</v>
      </c>
      <c r="G9647" s="489">
        <v>163.4</v>
      </c>
      <c r="H9647" s="489">
        <v>24.479800000000001</v>
      </c>
      <c r="I9647" s="487" t="s">
        <v>1499</v>
      </c>
      <c r="J9647" s="487" t="s">
        <v>645</v>
      </c>
    </row>
    <row r="9648" spans="1:10" ht="15" x14ac:dyDescent="0.2">
      <c r="A9648" s="486" t="s">
        <v>644</v>
      </c>
      <c r="B9648" s="487" t="s">
        <v>643</v>
      </c>
      <c r="C9648" s="488" t="s">
        <v>29775</v>
      </c>
      <c r="D9648" s="489" t="s">
        <v>29776</v>
      </c>
      <c r="E9648" s="487" t="s">
        <v>29777</v>
      </c>
      <c r="F9648" s="490">
        <v>0</v>
      </c>
      <c r="G9648" s="489">
        <v>15.1</v>
      </c>
      <c r="H9648" s="489">
        <v>0</v>
      </c>
      <c r="I9648" s="487" t="s">
        <v>1593</v>
      </c>
      <c r="J9648" s="487" t="s">
        <v>645</v>
      </c>
    </row>
    <row r="9649" spans="1:10" ht="15" x14ac:dyDescent="0.2">
      <c r="A9649" s="486" t="s">
        <v>644</v>
      </c>
      <c r="B9649" s="487" t="s">
        <v>643</v>
      </c>
      <c r="C9649" s="488" t="s">
        <v>29778</v>
      </c>
      <c r="D9649" s="489" t="s">
        <v>29779</v>
      </c>
      <c r="E9649" s="487" t="s">
        <v>11254</v>
      </c>
      <c r="F9649" s="490">
        <v>23791</v>
      </c>
      <c r="G9649" s="489">
        <v>240.9</v>
      </c>
      <c r="H9649" s="489">
        <v>98.75882</v>
      </c>
      <c r="I9649" s="487" t="s">
        <v>1499</v>
      </c>
      <c r="J9649" s="487" t="s">
        <v>645</v>
      </c>
    </row>
    <row r="9650" spans="1:10" ht="15" x14ac:dyDescent="0.2">
      <c r="A9650" s="486" t="s">
        <v>644</v>
      </c>
      <c r="B9650" s="487" t="s">
        <v>643</v>
      </c>
      <c r="C9650" s="488" t="s">
        <v>29780</v>
      </c>
      <c r="D9650" s="489" t="s">
        <v>29781</v>
      </c>
      <c r="E9650" s="487" t="s">
        <v>29782</v>
      </c>
      <c r="F9650" s="490">
        <v>48004.480000000003</v>
      </c>
      <c r="G9650" s="489">
        <v>487.9</v>
      </c>
      <c r="H9650" s="489">
        <v>98.39</v>
      </c>
      <c r="I9650" s="487" t="s">
        <v>1499</v>
      </c>
      <c r="J9650" s="487" t="s">
        <v>645</v>
      </c>
    </row>
    <row r="9651" spans="1:10" ht="15" x14ac:dyDescent="0.2">
      <c r="A9651" s="486" t="s">
        <v>644</v>
      </c>
      <c r="B9651" s="487" t="s">
        <v>643</v>
      </c>
      <c r="C9651" s="488" t="s">
        <v>29783</v>
      </c>
      <c r="D9651" s="489" t="s">
        <v>29784</v>
      </c>
      <c r="E9651" s="487" t="s">
        <v>29785</v>
      </c>
      <c r="F9651" s="490">
        <v>2500</v>
      </c>
      <c r="G9651" s="489">
        <v>161.19999999999999</v>
      </c>
      <c r="H9651" s="489">
        <v>15.50868</v>
      </c>
      <c r="I9651" s="487" t="s">
        <v>1499</v>
      </c>
      <c r="J9651" s="487" t="s">
        <v>645</v>
      </c>
    </row>
    <row r="9652" spans="1:10" ht="15" x14ac:dyDescent="0.2">
      <c r="A9652" s="486" t="s">
        <v>644</v>
      </c>
      <c r="B9652" s="487" t="s">
        <v>643</v>
      </c>
      <c r="C9652" s="488" t="s">
        <v>29786</v>
      </c>
      <c r="D9652" s="489" t="s">
        <v>29787</v>
      </c>
      <c r="E9652" s="487" t="s">
        <v>29788</v>
      </c>
      <c r="F9652" s="490">
        <v>0</v>
      </c>
      <c r="G9652" s="489">
        <v>217.3</v>
      </c>
      <c r="H9652" s="489">
        <v>0</v>
      </c>
      <c r="I9652" s="487" t="s">
        <v>1593</v>
      </c>
      <c r="J9652" s="487" t="s">
        <v>645</v>
      </c>
    </row>
    <row r="9653" spans="1:10" ht="15" x14ac:dyDescent="0.2">
      <c r="A9653" s="486" t="s">
        <v>644</v>
      </c>
      <c r="B9653" s="487" t="s">
        <v>643</v>
      </c>
      <c r="C9653" s="488" t="s">
        <v>29789</v>
      </c>
      <c r="D9653" s="489" t="s">
        <v>29790</v>
      </c>
      <c r="E9653" s="487" t="s">
        <v>29791</v>
      </c>
      <c r="F9653" s="490">
        <v>168595</v>
      </c>
      <c r="G9653" s="489">
        <v>2194.6</v>
      </c>
      <c r="H9653" s="489">
        <v>76.822659999999999</v>
      </c>
      <c r="I9653" s="487" t="s">
        <v>1499</v>
      </c>
      <c r="J9653" s="487" t="s">
        <v>645</v>
      </c>
    </row>
    <row r="9654" spans="1:10" ht="15" x14ac:dyDescent="0.2">
      <c r="A9654" s="486" t="s">
        <v>644</v>
      </c>
      <c r="B9654" s="487" t="s">
        <v>643</v>
      </c>
      <c r="C9654" s="488" t="s">
        <v>29792</v>
      </c>
      <c r="D9654" s="489" t="s">
        <v>29793</v>
      </c>
      <c r="E9654" s="487" t="s">
        <v>29794</v>
      </c>
      <c r="F9654" s="490">
        <v>141473</v>
      </c>
      <c r="G9654" s="489">
        <v>995.2</v>
      </c>
      <c r="H9654" s="489">
        <v>142.15535</v>
      </c>
      <c r="I9654" s="487" t="s">
        <v>1499</v>
      </c>
      <c r="J9654" s="487" t="s">
        <v>645</v>
      </c>
    </row>
    <row r="9655" spans="1:10" ht="15" x14ac:dyDescent="0.2">
      <c r="A9655" s="486" t="s">
        <v>644</v>
      </c>
      <c r="B9655" s="487" t="s">
        <v>643</v>
      </c>
      <c r="C9655" s="488" t="s">
        <v>29795</v>
      </c>
      <c r="D9655" s="489" t="s">
        <v>29796</v>
      </c>
      <c r="E9655" s="487" t="s">
        <v>29797</v>
      </c>
      <c r="F9655" s="490">
        <v>74482.7</v>
      </c>
      <c r="G9655" s="489">
        <v>712.5</v>
      </c>
      <c r="H9655" s="489">
        <v>104.53712</v>
      </c>
      <c r="I9655" s="487" t="s">
        <v>1499</v>
      </c>
      <c r="J9655" s="487" t="s">
        <v>645</v>
      </c>
    </row>
    <row r="9656" spans="1:10" ht="15" x14ac:dyDescent="0.2">
      <c r="A9656" s="486" t="s">
        <v>644</v>
      </c>
      <c r="B9656" s="487" t="s">
        <v>643</v>
      </c>
      <c r="C9656" s="488" t="s">
        <v>29798</v>
      </c>
      <c r="D9656" s="489" t="s">
        <v>29799</v>
      </c>
      <c r="E9656" s="487" t="s">
        <v>29800</v>
      </c>
      <c r="F9656" s="490">
        <v>89000</v>
      </c>
      <c r="G9656" s="489">
        <v>831.1</v>
      </c>
      <c r="H9656" s="489">
        <v>107.08699</v>
      </c>
      <c r="I9656" s="487" t="s">
        <v>1499</v>
      </c>
      <c r="J9656" s="487" t="s">
        <v>645</v>
      </c>
    </row>
    <row r="9657" spans="1:10" ht="15" x14ac:dyDescent="0.2">
      <c r="A9657" s="486" t="s">
        <v>644</v>
      </c>
      <c r="B9657" s="487" t="s">
        <v>643</v>
      </c>
      <c r="C9657" s="488" t="s">
        <v>29801</v>
      </c>
      <c r="D9657" s="489" t="s">
        <v>29802</v>
      </c>
      <c r="E9657" s="487" t="s">
        <v>29803</v>
      </c>
      <c r="F9657" s="490">
        <v>2000</v>
      </c>
      <c r="G9657" s="489">
        <v>103.7</v>
      </c>
      <c r="H9657" s="489">
        <v>19.2864</v>
      </c>
      <c r="I9657" s="487" t="s">
        <v>1499</v>
      </c>
      <c r="J9657" s="487" t="s">
        <v>645</v>
      </c>
    </row>
    <row r="9658" spans="1:10" ht="15" x14ac:dyDescent="0.2">
      <c r="A9658" s="486" t="s">
        <v>886</v>
      </c>
      <c r="B9658" s="487" t="s">
        <v>885</v>
      </c>
      <c r="C9658" s="488" t="s">
        <v>29804</v>
      </c>
      <c r="D9658" s="489" t="s">
        <v>29805</v>
      </c>
      <c r="E9658" s="487" t="s">
        <v>29806</v>
      </c>
      <c r="F9658" s="490">
        <v>42066</v>
      </c>
      <c r="G9658" s="489">
        <v>344.81700000000001</v>
      </c>
      <c r="H9658" s="489">
        <v>121.99515</v>
      </c>
      <c r="I9658" s="487" t="s">
        <v>1499</v>
      </c>
      <c r="J9658" s="487" t="s">
        <v>887</v>
      </c>
    </row>
    <row r="9659" spans="1:10" ht="15" x14ac:dyDescent="0.2">
      <c r="A9659" s="486" t="s">
        <v>886</v>
      </c>
      <c r="B9659" s="487" t="s">
        <v>885</v>
      </c>
      <c r="C9659" s="488" t="s">
        <v>29807</v>
      </c>
      <c r="D9659" s="489" t="s">
        <v>29808</v>
      </c>
      <c r="E9659" s="487" t="s">
        <v>23170</v>
      </c>
      <c r="F9659" s="490">
        <v>135166.25</v>
      </c>
      <c r="G9659" s="489">
        <v>1174.932</v>
      </c>
      <c r="H9659" s="489">
        <v>115.04176</v>
      </c>
      <c r="I9659" s="487" t="s">
        <v>1499</v>
      </c>
      <c r="J9659" s="487" t="s">
        <v>887</v>
      </c>
    </row>
    <row r="9660" spans="1:10" ht="15" x14ac:dyDescent="0.2">
      <c r="A9660" s="486" t="s">
        <v>886</v>
      </c>
      <c r="B9660" s="487" t="s">
        <v>885</v>
      </c>
      <c r="C9660" s="488" t="s">
        <v>29809</v>
      </c>
      <c r="D9660" s="489" t="s">
        <v>29810</v>
      </c>
      <c r="E9660" s="487" t="s">
        <v>29811</v>
      </c>
      <c r="F9660" s="490">
        <v>14660</v>
      </c>
      <c r="G9660" s="489">
        <v>148.5</v>
      </c>
      <c r="H9660" s="489">
        <v>98.72054</v>
      </c>
      <c r="I9660" s="487" t="s">
        <v>1499</v>
      </c>
      <c r="J9660" s="487" t="s">
        <v>887</v>
      </c>
    </row>
    <row r="9661" spans="1:10" ht="15" x14ac:dyDescent="0.2">
      <c r="A9661" s="486" t="s">
        <v>886</v>
      </c>
      <c r="B9661" s="487" t="s">
        <v>885</v>
      </c>
      <c r="C9661" s="488" t="s">
        <v>29812</v>
      </c>
      <c r="D9661" s="489" t="s">
        <v>29813</v>
      </c>
      <c r="E9661" s="487" t="s">
        <v>29814</v>
      </c>
      <c r="F9661" s="490">
        <v>533816</v>
      </c>
      <c r="G9661" s="489">
        <v>4570.2790000000005</v>
      </c>
      <c r="H9661" s="489">
        <v>116.80162</v>
      </c>
      <c r="I9661" s="487" t="s">
        <v>1499</v>
      </c>
      <c r="J9661" s="487" t="s">
        <v>887</v>
      </c>
    </row>
    <row r="9662" spans="1:10" ht="15" x14ac:dyDescent="0.2">
      <c r="A9662" s="486" t="s">
        <v>886</v>
      </c>
      <c r="B9662" s="487" t="s">
        <v>885</v>
      </c>
      <c r="C9662" s="488" t="s">
        <v>29815</v>
      </c>
      <c r="D9662" s="489" t="s">
        <v>29816</v>
      </c>
      <c r="E9662" s="487" t="s">
        <v>29817</v>
      </c>
      <c r="F9662" s="490">
        <v>39250</v>
      </c>
      <c r="G9662" s="489">
        <v>414.88400000000001</v>
      </c>
      <c r="H9662" s="489">
        <v>94.604759999999999</v>
      </c>
      <c r="I9662" s="487" t="s">
        <v>1499</v>
      </c>
      <c r="J9662" s="487" t="s">
        <v>887</v>
      </c>
    </row>
    <row r="9663" spans="1:10" ht="15" x14ac:dyDescent="0.2">
      <c r="A9663" s="486" t="s">
        <v>886</v>
      </c>
      <c r="B9663" s="487" t="s">
        <v>885</v>
      </c>
      <c r="C9663" s="488" t="s">
        <v>29818</v>
      </c>
      <c r="D9663" s="489" t="s">
        <v>29819</v>
      </c>
      <c r="E9663" s="487" t="s">
        <v>29820</v>
      </c>
      <c r="F9663" s="490">
        <v>183931</v>
      </c>
      <c r="G9663" s="489">
        <v>2339.4499999999998</v>
      </c>
      <c r="H9663" s="489">
        <v>78.621470000000002</v>
      </c>
      <c r="I9663" s="487" t="s">
        <v>1499</v>
      </c>
      <c r="J9663" s="487" t="s">
        <v>887</v>
      </c>
    </row>
    <row r="9664" spans="1:10" ht="15" x14ac:dyDescent="0.2">
      <c r="A9664" s="486" t="s">
        <v>886</v>
      </c>
      <c r="B9664" s="487" t="s">
        <v>885</v>
      </c>
      <c r="C9664" s="488" t="s">
        <v>29821</v>
      </c>
      <c r="D9664" s="489" t="s">
        <v>29822</v>
      </c>
      <c r="E9664" s="487" t="s">
        <v>29823</v>
      </c>
      <c r="F9664" s="490">
        <v>19288.5</v>
      </c>
      <c r="G9664" s="489">
        <v>476.012</v>
      </c>
      <c r="H9664" s="489">
        <v>40.521039999999999</v>
      </c>
      <c r="I9664" s="487" t="s">
        <v>1499</v>
      </c>
      <c r="J9664" s="487" t="s">
        <v>887</v>
      </c>
    </row>
    <row r="9665" spans="1:10" ht="15" x14ac:dyDescent="0.2">
      <c r="A9665" s="486" t="s">
        <v>886</v>
      </c>
      <c r="B9665" s="487" t="s">
        <v>885</v>
      </c>
      <c r="C9665" s="488" t="s">
        <v>29824</v>
      </c>
      <c r="D9665" s="489" t="s">
        <v>29825</v>
      </c>
      <c r="E9665" s="487" t="s">
        <v>29826</v>
      </c>
      <c r="F9665" s="490">
        <v>36039.800000000003</v>
      </c>
      <c r="G9665" s="489">
        <v>2074.84735</v>
      </c>
      <c r="H9665" s="489">
        <v>17.369859999999999</v>
      </c>
      <c r="I9665" s="487" t="s">
        <v>1499</v>
      </c>
      <c r="J9665" s="487" t="s">
        <v>887</v>
      </c>
    </row>
    <row r="9666" spans="1:10" ht="15" x14ac:dyDescent="0.2">
      <c r="A9666" s="486" t="s">
        <v>886</v>
      </c>
      <c r="B9666" s="487" t="s">
        <v>885</v>
      </c>
      <c r="C9666" s="488" t="s">
        <v>29827</v>
      </c>
      <c r="D9666" s="489" t="s">
        <v>29828</v>
      </c>
      <c r="E9666" s="487" t="s">
        <v>29829</v>
      </c>
      <c r="F9666" s="490">
        <v>82050</v>
      </c>
      <c r="G9666" s="489">
        <v>865.52499999999998</v>
      </c>
      <c r="H9666" s="489">
        <v>94.79795</v>
      </c>
      <c r="I9666" s="487" t="s">
        <v>1499</v>
      </c>
      <c r="J9666" s="487" t="s">
        <v>887</v>
      </c>
    </row>
    <row r="9667" spans="1:10" ht="15" x14ac:dyDescent="0.2">
      <c r="A9667" s="486" t="s">
        <v>886</v>
      </c>
      <c r="B9667" s="487" t="s">
        <v>885</v>
      </c>
      <c r="C9667" s="488" t="s">
        <v>29830</v>
      </c>
      <c r="D9667" s="489" t="s">
        <v>29831</v>
      </c>
      <c r="E9667" s="487" t="s">
        <v>29832</v>
      </c>
      <c r="F9667" s="490">
        <v>373220</v>
      </c>
      <c r="G9667" s="489">
        <v>2732.1790000000001</v>
      </c>
      <c r="H9667" s="489">
        <v>136.60158999999999</v>
      </c>
      <c r="I9667" s="487" t="s">
        <v>1499</v>
      </c>
      <c r="J9667" s="487" t="s">
        <v>887</v>
      </c>
    </row>
    <row r="9668" spans="1:10" ht="15" x14ac:dyDescent="0.2">
      <c r="A9668" s="486" t="s">
        <v>886</v>
      </c>
      <c r="B9668" s="487" t="s">
        <v>885</v>
      </c>
      <c r="C9668" s="488" t="s">
        <v>29833</v>
      </c>
      <c r="D9668" s="489" t="s">
        <v>29834</v>
      </c>
      <c r="E9668" s="487" t="s">
        <v>29835</v>
      </c>
      <c r="F9668" s="490">
        <v>65000</v>
      </c>
      <c r="G9668" s="489">
        <v>772.54600000000005</v>
      </c>
      <c r="H9668" s="489">
        <v>84.137379999999993</v>
      </c>
      <c r="I9668" s="487" t="s">
        <v>1499</v>
      </c>
      <c r="J9668" s="487" t="s">
        <v>887</v>
      </c>
    </row>
    <row r="9669" spans="1:10" ht="15" x14ac:dyDescent="0.2">
      <c r="A9669" s="486" t="s">
        <v>886</v>
      </c>
      <c r="B9669" s="487" t="s">
        <v>885</v>
      </c>
      <c r="C9669" s="488" t="s">
        <v>29836</v>
      </c>
      <c r="D9669" s="489" t="s">
        <v>29837</v>
      </c>
      <c r="E9669" s="487" t="s">
        <v>29838</v>
      </c>
      <c r="F9669" s="490">
        <v>39070</v>
      </c>
      <c r="G9669" s="489">
        <v>562.21699999999998</v>
      </c>
      <c r="H9669" s="489">
        <v>69.492739999999998</v>
      </c>
      <c r="I9669" s="487" t="s">
        <v>1499</v>
      </c>
      <c r="J9669" s="487" t="s">
        <v>887</v>
      </c>
    </row>
    <row r="9670" spans="1:10" ht="15" x14ac:dyDescent="0.2">
      <c r="A9670" s="486" t="s">
        <v>886</v>
      </c>
      <c r="B9670" s="487" t="s">
        <v>885</v>
      </c>
      <c r="C9670" s="488" t="s">
        <v>29839</v>
      </c>
      <c r="D9670" s="489" t="s">
        <v>29840</v>
      </c>
      <c r="E9670" s="487" t="s">
        <v>29841</v>
      </c>
      <c r="F9670" s="490">
        <v>401537</v>
      </c>
      <c r="G9670" s="489">
        <v>8977.6990000000005</v>
      </c>
      <c r="H9670" s="489">
        <v>44.726050000000001</v>
      </c>
      <c r="I9670" s="487" t="s">
        <v>1499</v>
      </c>
      <c r="J9670" s="487" t="s">
        <v>887</v>
      </c>
    </row>
    <row r="9671" spans="1:10" ht="15" x14ac:dyDescent="0.2">
      <c r="A9671" s="486" t="s">
        <v>886</v>
      </c>
      <c r="B9671" s="487" t="s">
        <v>885</v>
      </c>
      <c r="C9671" s="488" t="s">
        <v>29842</v>
      </c>
      <c r="D9671" s="489" t="s">
        <v>29843</v>
      </c>
      <c r="E9671" s="487" t="s">
        <v>29844</v>
      </c>
      <c r="F9671" s="490">
        <v>57500</v>
      </c>
      <c r="G9671" s="489">
        <v>1108.4390000000001</v>
      </c>
      <c r="H9671" s="489">
        <v>51.874749999999999</v>
      </c>
      <c r="I9671" s="487" t="s">
        <v>1499</v>
      </c>
      <c r="J9671" s="487" t="s">
        <v>887</v>
      </c>
    </row>
    <row r="9672" spans="1:10" ht="15" x14ac:dyDescent="0.2">
      <c r="A9672" s="486" t="s">
        <v>886</v>
      </c>
      <c r="B9672" s="487" t="s">
        <v>885</v>
      </c>
      <c r="C9672" s="488" t="s">
        <v>29845</v>
      </c>
      <c r="D9672" s="489" t="s">
        <v>29846</v>
      </c>
      <c r="E9672" s="487" t="s">
        <v>28173</v>
      </c>
      <c r="F9672" s="490">
        <v>7375</v>
      </c>
      <c r="G9672" s="489">
        <v>130.779</v>
      </c>
      <c r="H9672" s="489">
        <v>56.392850000000003</v>
      </c>
      <c r="I9672" s="487" t="s">
        <v>1499</v>
      </c>
      <c r="J9672" s="487" t="s">
        <v>887</v>
      </c>
    </row>
    <row r="9673" spans="1:10" ht="15" x14ac:dyDescent="0.2">
      <c r="A9673" s="486" t="s">
        <v>886</v>
      </c>
      <c r="B9673" s="487" t="s">
        <v>885</v>
      </c>
      <c r="C9673" s="488" t="s">
        <v>29847</v>
      </c>
      <c r="D9673" s="489" t="s">
        <v>29848</v>
      </c>
      <c r="E9673" s="487" t="s">
        <v>29849</v>
      </c>
      <c r="F9673" s="490">
        <v>299128</v>
      </c>
      <c r="G9673" s="489">
        <v>2595.54</v>
      </c>
      <c r="H9673" s="489">
        <v>115.24692</v>
      </c>
      <c r="I9673" s="487" t="s">
        <v>1499</v>
      </c>
      <c r="J9673" s="487" t="s">
        <v>887</v>
      </c>
    </row>
    <row r="9674" spans="1:10" ht="15" x14ac:dyDescent="0.2">
      <c r="A9674" s="486" t="s">
        <v>886</v>
      </c>
      <c r="B9674" s="487" t="s">
        <v>885</v>
      </c>
      <c r="C9674" s="488" t="s">
        <v>29850</v>
      </c>
      <c r="D9674" s="489" t="s">
        <v>29851</v>
      </c>
      <c r="E9674" s="487" t="s">
        <v>29852</v>
      </c>
      <c r="F9674" s="490">
        <v>122000</v>
      </c>
      <c r="G9674" s="489">
        <v>1451.6010000000001</v>
      </c>
      <c r="H9674" s="489">
        <v>84.04513</v>
      </c>
      <c r="I9674" s="487" t="s">
        <v>1499</v>
      </c>
      <c r="J9674" s="487" t="s">
        <v>887</v>
      </c>
    </row>
    <row r="9675" spans="1:10" ht="15" x14ac:dyDescent="0.2">
      <c r="A9675" s="486" t="s">
        <v>886</v>
      </c>
      <c r="B9675" s="487" t="s">
        <v>885</v>
      </c>
      <c r="C9675" s="488" t="s">
        <v>29853</v>
      </c>
      <c r="D9675" s="489" t="s">
        <v>29854</v>
      </c>
      <c r="E9675" s="487" t="s">
        <v>29855</v>
      </c>
      <c r="F9675" s="490">
        <v>63980</v>
      </c>
      <c r="G9675" s="489">
        <v>929.93399999999997</v>
      </c>
      <c r="H9675" s="489">
        <v>68.800579999999997</v>
      </c>
      <c r="I9675" s="487" t="s">
        <v>1499</v>
      </c>
      <c r="J9675" s="487" t="s">
        <v>887</v>
      </c>
    </row>
    <row r="9676" spans="1:10" ht="15" x14ac:dyDescent="0.2">
      <c r="A9676" s="486" t="s">
        <v>886</v>
      </c>
      <c r="B9676" s="487" t="s">
        <v>885</v>
      </c>
      <c r="C9676" s="488" t="s">
        <v>29856</v>
      </c>
      <c r="D9676" s="489" t="s">
        <v>29857</v>
      </c>
      <c r="E9676" s="487" t="s">
        <v>29858</v>
      </c>
      <c r="F9676" s="490">
        <v>26325</v>
      </c>
      <c r="G9676" s="489">
        <v>314.79000000000002</v>
      </c>
      <c r="H9676" s="489">
        <v>83.627179999999996</v>
      </c>
      <c r="I9676" s="487" t="s">
        <v>1499</v>
      </c>
      <c r="J9676" s="487" t="s">
        <v>887</v>
      </c>
    </row>
    <row r="9677" spans="1:10" ht="15" x14ac:dyDescent="0.2">
      <c r="A9677" s="486" t="s">
        <v>886</v>
      </c>
      <c r="B9677" s="487" t="s">
        <v>885</v>
      </c>
      <c r="C9677" s="488" t="s">
        <v>29859</v>
      </c>
      <c r="D9677" s="489" t="s">
        <v>29860</v>
      </c>
      <c r="E9677" s="487" t="s">
        <v>6376</v>
      </c>
      <c r="F9677" s="490">
        <v>41521.120000000003</v>
      </c>
      <c r="G9677" s="489">
        <v>637.38800000000003</v>
      </c>
      <c r="H9677" s="489">
        <v>65.142610000000005</v>
      </c>
      <c r="I9677" s="487" t="s">
        <v>1499</v>
      </c>
      <c r="J9677" s="487" t="s">
        <v>887</v>
      </c>
    </row>
    <row r="9678" spans="1:10" ht="15" x14ac:dyDescent="0.2">
      <c r="A9678" s="486" t="s">
        <v>886</v>
      </c>
      <c r="B9678" s="487" t="s">
        <v>885</v>
      </c>
      <c r="C9678" s="488" t="s">
        <v>29861</v>
      </c>
      <c r="D9678" s="489" t="s">
        <v>29862</v>
      </c>
      <c r="E9678" s="487" t="s">
        <v>29863</v>
      </c>
      <c r="F9678" s="490">
        <v>75317</v>
      </c>
      <c r="G9678" s="489">
        <v>986.04200000000003</v>
      </c>
      <c r="H9678" s="489">
        <v>76.383160000000004</v>
      </c>
      <c r="I9678" s="487" t="s">
        <v>1499</v>
      </c>
      <c r="J9678" s="487" t="s">
        <v>887</v>
      </c>
    </row>
    <row r="9679" spans="1:10" ht="15" x14ac:dyDescent="0.2">
      <c r="A9679" s="486" t="s">
        <v>886</v>
      </c>
      <c r="B9679" s="487" t="s">
        <v>885</v>
      </c>
      <c r="C9679" s="488" t="s">
        <v>29864</v>
      </c>
      <c r="D9679" s="489" t="s">
        <v>29865</v>
      </c>
      <c r="E9679" s="487" t="s">
        <v>29866</v>
      </c>
      <c r="F9679" s="490">
        <v>542528</v>
      </c>
      <c r="G9679" s="489">
        <v>4871.6170000000002</v>
      </c>
      <c r="H9679" s="489">
        <v>111.36508000000001</v>
      </c>
      <c r="I9679" s="487" t="s">
        <v>1499</v>
      </c>
      <c r="J9679" s="487" t="s">
        <v>887</v>
      </c>
    </row>
    <row r="9680" spans="1:10" ht="15" x14ac:dyDescent="0.2">
      <c r="A9680" s="486" t="s">
        <v>886</v>
      </c>
      <c r="B9680" s="487" t="s">
        <v>885</v>
      </c>
      <c r="C9680" s="488" t="s">
        <v>29867</v>
      </c>
      <c r="D9680" s="489" t="s">
        <v>29868</v>
      </c>
      <c r="E9680" s="487" t="s">
        <v>29869</v>
      </c>
      <c r="F9680" s="490">
        <v>428170</v>
      </c>
      <c r="G9680" s="489">
        <v>2572.8380000000002</v>
      </c>
      <c r="H9680" s="489">
        <v>166.41934000000001</v>
      </c>
      <c r="I9680" s="487" t="s">
        <v>1499</v>
      </c>
      <c r="J9680" s="487" t="s">
        <v>887</v>
      </c>
    </row>
    <row r="9681" spans="1:10" ht="15" x14ac:dyDescent="0.2">
      <c r="A9681" s="486" t="s">
        <v>886</v>
      </c>
      <c r="B9681" s="487" t="s">
        <v>885</v>
      </c>
      <c r="C9681" s="488" t="s">
        <v>29870</v>
      </c>
      <c r="D9681" s="489" t="s">
        <v>29871</v>
      </c>
      <c r="E9681" s="487" t="s">
        <v>29872</v>
      </c>
      <c r="F9681" s="490">
        <v>316500</v>
      </c>
      <c r="G9681" s="489">
        <v>3355.7080000000001</v>
      </c>
      <c r="H9681" s="489">
        <v>94.316909999999993</v>
      </c>
      <c r="I9681" s="487" t="s">
        <v>1499</v>
      </c>
      <c r="J9681" s="487" t="s">
        <v>887</v>
      </c>
    </row>
    <row r="9682" spans="1:10" ht="15" x14ac:dyDescent="0.2">
      <c r="A9682" s="486" t="s">
        <v>886</v>
      </c>
      <c r="B9682" s="487" t="s">
        <v>885</v>
      </c>
      <c r="C9682" s="488" t="s">
        <v>29873</v>
      </c>
      <c r="D9682" s="489" t="s">
        <v>29874</v>
      </c>
      <c r="E9682" s="487" t="s">
        <v>29875</v>
      </c>
      <c r="F9682" s="490">
        <v>76942.320000000007</v>
      </c>
      <c r="G9682" s="489">
        <v>1183.6310000000001</v>
      </c>
      <c r="H9682" s="489">
        <v>65.005330000000001</v>
      </c>
      <c r="I9682" s="487" t="s">
        <v>1499</v>
      </c>
      <c r="J9682" s="487" t="s">
        <v>887</v>
      </c>
    </row>
    <row r="9683" spans="1:10" ht="15" x14ac:dyDescent="0.2">
      <c r="A9683" s="486" t="s">
        <v>886</v>
      </c>
      <c r="B9683" s="487" t="s">
        <v>885</v>
      </c>
      <c r="C9683" s="488" t="s">
        <v>29876</v>
      </c>
      <c r="D9683" s="489" t="s">
        <v>29877</v>
      </c>
      <c r="E9683" s="487" t="s">
        <v>29878</v>
      </c>
      <c r="F9683" s="490">
        <v>244900.1</v>
      </c>
      <c r="G9683" s="489">
        <v>1442.2719999999999</v>
      </c>
      <c r="H9683" s="489">
        <v>169.80160000000001</v>
      </c>
      <c r="I9683" s="487" t="s">
        <v>1499</v>
      </c>
      <c r="J9683" s="487" t="s">
        <v>887</v>
      </c>
    </row>
    <row r="9684" spans="1:10" ht="15" x14ac:dyDescent="0.2">
      <c r="A9684" s="486" t="s">
        <v>886</v>
      </c>
      <c r="B9684" s="487" t="s">
        <v>885</v>
      </c>
      <c r="C9684" s="488" t="s">
        <v>29879</v>
      </c>
      <c r="D9684" s="489" t="s">
        <v>29880</v>
      </c>
      <c r="E9684" s="487" t="s">
        <v>29881</v>
      </c>
      <c r="F9684" s="490">
        <v>95538.38</v>
      </c>
      <c r="G9684" s="489">
        <v>1011.903</v>
      </c>
      <c r="H9684" s="489">
        <v>94.414559999999994</v>
      </c>
      <c r="I9684" s="487" t="s">
        <v>1499</v>
      </c>
      <c r="J9684" s="487" t="s">
        <v>887</v>
      </c>
    </row>
    <row r="9685" spans="1:10" ht="15" x14ac:dyDescent="0.2">
      <c r="A9685" s="486" t="s">
        <v>886</v>
      </c>
      <c r="B9685" s="487" t="s">
        <v>885</v>
      </c>
      <c r="C9685" s="488" t="s">
        <v>29882</v>
      </c>
      <c r="D9685" s="489" t="s">
        <v>29883</v>
      </c>
      <c r="E9685" s="487" t="s">
        <v>29884</v>
      </c>
      <c r="F9685" s="490">
        <v>47320.74</v>
      </c>
      <c r="G9685" s="489">
        <v>1122.8579999999999</v>
      </c>
      <c r="H9685" s="489">
        <v>42.143120000000003</v>
      </c>
      <c r="I9685" s="487" t="s">
        <v>1499</v>
      </c>
      <c r="J9685" s="487" t="s">
        <v>887</v>
      </c>
    </row>
    <row r="9686" spans="1:10" ht="15" x14ac:dyDescent="0.2">
      <c r="A9686" s="486" t="s">
        <v>886</v>
      </c>
      <c r="B9686" s="487" t="s">
        <v>885</v>
      </c>
      <c r="C9686" s="488" t="s">
        <v>29885</v>
      </c>
      <c r="D9686" s="489" t="s">
        <v>29886</v>
      </c>
      <c r="E9686" s="487" t="s">
        <v>29887</v>
      </c>
      <c r="F9686" s="490">
        <v>162448</v>
      </c>
      <c r="G9686" s="489">
        <v>2220.41</v>
      </c>
      <c r="H9686" s="489">
        <v>73.161259999999999</v>
      </c>
      <c r="I9686" s="487" t="s">
        <v>1499</v>
      </c>
      <c r="J9686" s="487" t="s">
        <v>887</v>
      </c>
    </row>
    <row r="9687" spans="1:10" ht="15" x14ac:dyDescent="0.2">
      <c r="A9687" s="486" t="s">
        <v>886</v>
      </c>
      <c r="B9687" s="487" t="s">
        <v>885</v>
      </c>
      <c r="C9687" s="488" t="s">
        <v>29888</v>
      </c>
      <c r="D9687" s="489" t="s">
        <v>29889</v>
      </c>
      <c r="E9687" s="487" t="s">
        <v>29890</v>
      </c>
      <c r="F9687" s="490">
        <v>81590</v>
      </c>
      <c r="G9687" s="489">
        <v>1307.758</v>
      </c>
      <c r="H9687" s="489">
        <v>62.389220000000002</v>
      </c>
      <c r="I9687" s="487" t="s">
        <v>1499</v>
      </c>
      <c r="J9687" s="487" t="s">
        <v>887</v>
      </c>
    </row>
    <row r="9688" spans="1:10" ht="15" x14ac:dyDescent="0.2">
      <c r="A9688" s="486" t="s">
        <v>886</v>
      </c>
      <c r="B9688" s="487" t="s">
        <v>885</v>
      </c>
      <c r="C9688" s="488" t="s">
        <v>29891</v>
      </c>
      <c r="D9688" s="489" t="s">
        <v>29892</v>
      </c>
      <c r="E9688" s="487" t="s">
        <v>29893</v>
      </c>
      <c r="F9688" s="490">
        <v>4156</v>
      </c>
      <c r="G9688" s="489">
        <v>106.821</v>
      </c>
      <c r="H9688" s="489">
        <v>38.906210000000002</v>
      </c>
      <c r="I9688" s="487" t="s">
        <v>1499</v>
      </c>
      <c r="J9688" s="487" t="s">
        <v>887</v>
      </c>
    </row>
    <row r="9689" spans="1:10" ht="15" x14ac:dyDescent="0.2">
      <c r="A9689" s="486" t="s">
        <v>886</v>
      </c>
      <c r="B9689" s="487" t="s">
        <v>885</v>
      </c>
      <c r="C9689" s="488" t="s">
        <v>29894</v>
      </c>
      <c r="D9689" s="489" t="s">
        <v>29895</v>
      </c>
      <c r="E9689" s="487" t="s">
        <v>11562</v>
      </c>
      <c r="F9689" s="490">
        <v>17073.32</v>
      </c>
      <c r="G9689" s="489">
        <v>271.81900000000002</v>
      </c>
      <c r="H9689" s="489">
        <v>62.811360000000001</v>
      </c>
      <c r="I9689" s="487" t="s">
        <v>1499</v>
      </c>
      <c r="J9689" s="487" t="s">
        <v>887</v>
      </c>
    </row>
    <row r="9690" spans="1:10" ht="15" x14ac:dyDescent="0.2">
      <c r="A9690" s="486" t="s">
        <v>992</v>
      </c>
      <c r="B9690" s="487" t="s">
        <v>991</v>
      </c>
      <c r="C9690" s="488" t="s">
        <v>29896</v>
      </c>
      <c r="D9690" s="489" t="s">
        <v>29897</v>
      </c>
      <c r="E9690" s="487" t="s">
        <v>29898</v>
      </c>
      <c r="F9690" s="490">
        <v>15022</v>
      </c>
      <c r="G9690" s="489">
        <v>327.2</v>
      </c>
      <c r="H9690" s="489">
        <v>45.910760000000003</v>
      </c>
      <c r="I9690" s="487" t="s">
        <v>1499</v>
      </c>
      <c r="J9690" s="487" t="s">
        <v>993</v>
      </c>
    </row>
    <row r="9691" spans="1:10" ht="15" x14ac:dyDescent="0.2">
      <c r="A9691" s="486" t="s">
        <v>992</v>
      </c>
      <c r="B9691" s="487" t="s">
        <v>991</v>
      </c>
      <c r="C9691" s="488" t="s">
        <v>29899</v>
      </c>
      <c r="D9691" s="489" t="s">
        <v>29900</v>
      </c>
      <c r="E9691" s="487" t="s">
        <v>29901</v>
      </c>
      <c r="F9691" s="490">
        <v>130532</v>
      </c>
      <c r="G9691" s="489">
        <v>1484.2</v>
      </c>
      <c r="H9691" s="489">
        <v>87.947720000000004</v>
      </c>
      <c r="I9691" s="487" t="s">
        <v>1499</v>
      </c>
      <c r="J9691" s="487" t="s">
        <v>993</v>
      </c>
    </row>
    <row r="9692" spans="1:10" ht="15" x14ac:dyDescent="0.2">
      <c r="A9692" s="486" t="s">
        <v>992</v>
      </c>
      <c r="B9692" s="487" t="s">
        <v>991</v>
      </c>
      <c r="C9692" s="488" t="s">
        <v>29902</v>
      </c>
      <c r="D9692" s="489" t="s">
        <v>29903</v>
      </c>
      <c r="E9692" s="487" t="s">
        <v>29904</v>
      </c>
      <c r="F9692" s="490">
        <v>117867</v>
      </c>
      <c r="G9692" s="489">
        <v>766</v>
      </c>
      <c r="H9692" s="489">
        <v>153.87336999999999</v>
      </c>
      <c r="I9692" s="487" t="s">
        <v>1499</v>
      </c>
      <c r="J9692" s="487" t="s">
        <v>993</v>
      </c>
    </row>
    <row r="9693" spans="1:10" ht="15" x14ac:dyDescent="0.2">
      <c r="A9693" s="486" t="s">
        <v>992</v>
      </c>
      <c r="B9693" s="487" t="s">
        <v>991</v>
      </c>
      <c r="C9693" s="488" t="s">
        <v>29905</v>
      </c>
      <c r="D9693" s="489" t="s">
        <v>29906</v>
      </c>
      <c r="E9693" s="487" t="s">
        <v>29907</v>
      </c>
      <c r="F9693" s="490">
        <v>86000</v>
      </c>
      <c r="G9693" s="489">
        <v>771.9</v>
      </c>
      <c r="H9693" s="489">
        <v>111.4134</v>
      </c>
      <c r="I9693" s="487" t="s">
        <v>1499</v>
      </c>
      <c r="J9693" s="487" t="s">
        <v>993</v>
      </c>
    </row>
    <row r="9694" spans="1:10" ht="15" x14ac:dyDescent="0.2">
      <c r="A9694" s="486" t="s">
        <v>992</v>
      </c>
      <c r="B9694" s="487" t="s">
        <v>991</v>
      </c>
      <c r="C9694" s="488" t="s">
        <v>29908</v>
      </c>
      <c r="D9694" s="489" t="s">
        <v>29909</v>
      </c>
      <c r="E9694" s="487" t="s">
        <v>29910</v>
      </c>
      <c r="F9694" s="490">
        <v>79508</v>
      </c>
      <c r="G9694" s="489">
        <v>870.6</v>
      </c>
      <c r="H9694" s="489">
        <v>91.325519999999997</v>
      </c>
      <c r="I9694" s="487" t="s">
        <v>1499</v>
      </c>
      <c r="J9694" s="487" t="s">
        <v>993</v>
      </c>
    </row>
    <row r="9695" spans="1:10" ht="15" x14ac:dyDescent="0.2">
      <c r="A9695" s="486" t="s">
        <v>992</v>
      </c>
      <c r="B9695" s="487" t="s">
        <v>991</v>
      </c>
      <c r="C9695" s="488" t="s">
        <v>29911</v>
      </c>
      <c r="D9695" s="489" t="s">
        <v>29912</v>
      </c>
      <c r="E9695" s="487" t="s">
        <v>29913</v>
      </c>
      <c r="F9695" s="490">
        <v>50000</v>
      </c>
      <c r="G9695" s="489">
        <v>718.6</v>
      </c>
      <c r="H9695" s="489">
        <v>69.579740000000001</v>
      </c>
      <c r="I9695" s="487" t="s">
        <v>1499</v>
      </c>
      <c r="J9695" s="487" t="s">
        <v>993</v>
      </c>
    </row>
    <row r="9696" spans="1:10" ht="15" x14ac:dyDescent="0.2">
      <c r="A9696" s="486" t="s">
        <v>992</v>
      </c>
      <c r="B9696" s="487" t="s">
        <v>991</v>
      </c>
      <c r="C9696" s="488" t="s">
        <v>29914</v>
      </c>
      <c r="D9696" s="489" t="s">
        <v>29915</v>
      </c>
      <c r="E9696" s="487" t="s">
        <v>29916</v>
      </c>
      <c r="F9696" s="490">
        <v>1198306</v>
      </c>
      <c r="G9696" s="489">
        <v>12998.3</v>
      </c>
      <c r="H9696" s="489">
        <v>92.189440000000005</v>
      </c>
      <c r="I9696" s="487" t="s">
        <v>1499</v>
      </c>
      <c r="J9696" s="487" t="s">
        <v>993</v>
      </c>
    </row>
    <row r="9697" spans="1:10" ht="15" x14ac:dyDescent="0.2">
      <c r="A9697" s="486" t="s">
        <v>992</v>
      </c>
      <c r="B9697" s="487" t="s">
        <v>991</v>
      </c>
      <c r="C9697" s="488" t="s">
        <v>29917</v>
      </c>
      <c r="D9697" s="489" t="s">
        <v>29918</v>
      </c>
      <c r="E9697" s="487" t="s">
        <v>29919</v>
      </c>
      <c r="F9697" s="490">
        <v>288060</v>
      </c>
      <c r="G9697" s="489">
        <v>1718.9</v>
      </c>
      <c r="H9697" s="489">
        <v>167.58392000000001</v>
      </c>
      <c r="I9697" s="487" t="s">
        <v>1499</v>
      </c>
      <c r="J9697" s="487" t="s">
        <v>993</v>
      </c>
    </row>
    <row r="9698" spans="1:10" ht="15" x14ac:dyDescent="0.2">
      <c r="A9698" s="486" t="s">
        <v>992</v>
      </c>
      <c r="B9698" s="487" t="s">
        <v>991</v>
      </c>
      <c r="C9698" s="488" t="s">
        <v>29920</v>
      </c>
      <c r="D9698" s="489" t="s">
        <v>29921</v>
      </c>
      <c r="E9698" s="487" t="s">
        <v>29922</v>
      </c>
      <c r="F9698" s="490">
        <v>1305042</v>
      </c>
      <c r="G9698" s="489">
        <v>12057.4</v>
      </c>
      <c r="H9698" s="489">
        <v>108.23577</v>
      </c>
      <c r="I9698" s="487" t="s">
        <v>1499</v>
      </c>
      <c r="J9698" s="487" t="s">
        <v>993</v>
      </c>
    </row>
    <row r="9699" spans="1:10" ht="15" x14ac:dyDescent="0.2">
      <c r="A9699" s="486" t="s">
        <v>992</v>
      </c>
      <c r="B9699" s="487" t="s">
        <v>991</v>
      </c>
      <c r="C9699" s="488" t="s">
        <v>29923</v>
      </c>
      <c r="D9699" s="489" t="s">
        <v>29924</v>
      </c>
      <c r="E9699" s="487" t="s">
        <v>29925</v>
      </c>
      <c r="F9699" s="490">
        <v>12000</v>
      </c>
      <c r="G9699" s="489">
        <v>156.6</v>
      </c>
      <c r="H9699" s="489">
        <v>76.628349999999998</v>
      </c>
      <c r="I9699" s="487" t="s">
        <v>1499</v>
      </c>
      <c r="J9699" s="487" t="s">
        <v>993</v>
      </c>
    </row>
    <row r="9700" spans="1:10" ht="15" x14ac:dyDescent="0.2">
      <c r="A9700" s="486" t="s">
        <v>992</v>
      </c>
      <c r="B9700" s="487" t="s">
        <v>991</v>
      </c>
      <c r="C9700" s="488" t="s">
        <v>29926</v>
      </c>
      <c r="D9700" s="489" t="s">
        <v>29927</v>
      </c>
      <c r="E9700" s="487" t="s">
        <v>29928</v>
      </c>
      <c r="F9700" s="490">
        <v>339577</v>
      </c>
      <c r="G9700" s="489">
        <v>4028.6</v>
      </c>
      <c r="H9700" s="489">
        <v>84.291569999999993</v>
      </c>
      <c r="I9700" s="487" t="s">
        <v>1499</v>
      </c>
      <c r="J9700" s="487" t="s">
        <v>993</v>
      </c>
    </row>
    <row r="9701" spans="1:10" ht="15" x14ac:dyDescent="0.2">
      <c r="A9701" s="486" t="s">
        <v>992</v>
      </c>
      <c r="B9701" s="487" t="s">
        <v>991</v>
      </c>
      <c r="C9701" s="488" t="s">
        <v>29929</v>
      </c>
      <c r="D9701" s="489" t="s">
        <v>29930</v>
      </c>
      <c r="E9701" s="487" t="s">
        <v>29931</v>
      </c>
      <c r="F9701" s="490">
        <v>922344</v>
      </c>
      <c r="G9701" s="489">
        <v>12683.5</v>
      </c>
      <c r="H9701" s="489">
        <v>72.719989999999996</v>
      </c>
      <c r="I9701" s="487" t="s">
        <v>1499</v>
      </c>
      <c r="J9701" s="487" t="s">
        <v>993</v>
      </c>
    </row>
    <row r="9702" spans="1:10" ht="15" x14ac:dyDescent="0.2">
      <c r="A9702" s="486" t="s">
        <v>992</v>
      </c>
      <c r="B9702" s="487" t="s">
        <v>991</v>
      </c>
      <c r="C9702" s="488" t="s">
        <v>29932</v>
      </c>
      <c r="D9702" s="489" t="s">
        <v>29933</v>
      </c>
      <c r="E9702" s="487" t="s">
        <v>29934</v>
      </c>
      <c r="F9702" s="490">
        <v>82300</v>
      </c>
      <c r="G9702" s="489">
        <v>726.3</v>
      </c>
      <c r="H9702" s="489">
        <v>113.31406</v>
      </c>
      <c r="I9702" s="487" t="s">
        <v>1499</v>
      </c>
      <c r="J9702" s="487" t="s">
        <v>993</v>
      </c>
    </row>
    <row r="9703" spans="1:10" ht="15" x14ac:dyDescent="0.2">
      <c r="A9703" s="486" t="s">
        <v>992</v>
      </c>
      <c r="B9703" s="487" t="s">
        <v>991</v>
      </c>
      <c r="C9703" s="488" t="s">
        <v>29935</v>
      </c>
      <c r="D9703" s="489" t="s">
        <v>29936</v>
      </c>
      <c r="E9703" s="487" t="s">
        <v>29937</v>
      </c>
      <c r="F9703" s="490">
        <v>331861</v>
      </c>
      <c r="G9703" s="489">
        <v>3350.6</v>
      </c>
      <c r="H9703" s="489">
        <v>99.045249999999996</v>
      </c>
      <c r="I9703" s="487" t="s">
        <v>1499</v>
      </c>
      <c r="J9703" s="487" t="s">
        <v>993</v>
      </c>
    </row>
    <row r="9704" spans="1:10" ht="15" x14ac:dyDescent="0.2">
      <c r="A9704" s="486" t="s">
        <v>992</v>
      </c>
      <c r="B9704" s="487" t="s">
        <v>991</v>
      </c>
      <c r="C9704" s="488" t="s">
        <v>29938</v>
      </c>
      <c r="D9704" s="489" t="s">
        <v>29939</v>
      </c>
      <c r="E9704" s="487" t="s">
        <v>29940</v>
      </c>
      <c r="F9704" s="490">
        <v>290668</v>
      </c>
      <c r="G9704" s="489">
        <v>2878.1</v>
      </c>
      <c r="H9704" s="489">
        <v>100.99302</v>
      </c>
      <c r="I9704" s="487" t="s">
        <v>1499</v>
      </c>
      <c r="J9704" s="487" t="s">
        <v>993</v>
      </c>
    </row>
    <row r="9705" spans="1:10" ht="15" x14ac:dyDescent="0.2">
      <c r="A9705" s="486" t="s">
        <v>992</v>
      </c>
      <c r="B9705" s="487" t="s">
        <v>991</v>
      </c>
      <c r="C9705" s="488" t="s">
        <v>29941</v>
      </c>
      <c r="D9705" s="489" t="s">
        <v>29942</v>
      </c>
      <c r="E9705" s="487" t="s">
        <v>29943</v>
      </c>
      <c r="F9705" s="490">
        <v>93811</v>
      </c>
      <c r="G9705" s="489">
        <v>1827.2</v>
      </c>
      <c r="H9705" s="489">
        <v>51.3414</v>
      </c>
      <c r="I9705" s="487" t="s">
        <v>1499</v>
      </c>
      <c r="J9705" s="487" t="s">
        <v>993</v>
      </c>
    </row>
    <row r="9706" spans="1:10" ht="15" x14ac:dyDescent="0.2">
      <c r="A9706" s="486" t="s">
        <v>992</v>
      </c>
      <c r="B9706" s="487" t="s">
        <v>991</v>
      </c>
      <c r="C9706" s="488" t="s">
        <v>29944</v>
      </c>
      <c r="D9706" s="489" t="s">
        <v>29945</v>
      </c>
      <c r="E9706" s="487" t="s">
        <v>29946</v>
      </c>
      <c r="F9706" s="490">
        <v>300</v>
      </c>
      <c r="G9706" s="489">
        <v>44.8</v>
      </c>
      <c r="H9706" s="489">
        <v>6.6964300000000003</v>
      </c>
      <c r="I9706" s="487" t="s">
        <v>1499</v>
      </c>
      <c r="J9706" s="487" t="s">
        <v>993</v>
      </c>
    </row>
    <row r="9707" spans="1:10" ht="15" x14ac:dyDescent="0.2">
      <c r="A9707" s="486" t="s">
        <v>992</v>
      </c>
      <c r="B9707" s="487" t="s">
        <v>991</v>
      </c>
      <c r="C9707" s="488" t="s">
        <v>29947</v>
      </c>
      <c r="D9707" s="489" t="s">
        <v>29948</v>
      </c>
      <c r="E9707" s="487" t="s">
        <v>29949</v>
      </c>
      <c r="F9707" s="490">
        <v>8805</v>
      </c>
      <c r="G9707" s="489">
        <v>137.6</v>
      </c>
      <c r="H9707" s="489">
        <v>63.989829999999998</v>
      </c>
      <c r="I9707" s="487" t="s">
        <v>1499</v>
      </c>
      <c r="J9707" s="487" t="s">
        <v>993</v>
      </c>
    </row>
    <row r="9708" spans="1:10" ht="15" x14ac:dyDescent="0.2">
      <c r="A9708" s="486" t="s">
        <v>992</v>
      </c>
      <c r="B9708" s="487" t="s">
        <v>991</v>
      </c>
      <c r="C9708" s="488" t="s">
        <v>29950</v>
      </c>
      <c r="D9708" s="489" t="s">
        <v>29951</v>
      </c>
      <c r="E9708" s="487" t="s">
        <v>29952</v>
      </c>
      <c r="F9708" s="490">
        <v>14500</v>
      </c>
      <c r="G9708" s="489">
        <v>145.19999999999999</v>
      </c>
      <c r="H9708" s="489">
        <v>99.862260000000006</v>
      </c>
      <c r="I9708" s="487" t="s">
        <v>1499</v>
      </c>
      <c r="J9708" s="487" t="s">
        <v>993</v>
      </c>
    </row>
    <row r="9709" spans="1:10" ht="15" x14ac:dyDescent="0.2">
      <c r="A9709" s="486" t="s">
        <v>992</v>
      </c>
      <c r="B9709" s="487" t="s">
        <v>991</v>
      </c>
      <c r="C9709" s="488" t="s">
        <v>29953</v>
      </c>
      <c r="D9709" s="489" t="s">
        <v>29954</v>
      </c>
      <c r="E9709" s="487" t="s">
        <v>29955</v>
      </c>
      <c r="F9709" s="490">
        <v>170000</v>
      </c>
      <c r="G9709" s="489">
        <v>1972</v>
      </c>
      <c r="H9709" s="489">
        <v>86.206900000000005</v>
      </c>
      <c r="I9709" s="487" t="s">
        <v>1499</v>
      </c>
      <c r="J9709" s="487" t="s">
        <v>993</v>
      </c>
    </row>
    <row r="9710" spans="1:10" ht="15" x14ac:dyDescent="0.2">
      <c r="A9710" s="486" t="s">
        <v>992</v>
      </c>
      <c r="B9710" s="487" t="s">
        <v>991</v>
      </c>
      <c r="C9710" s="488" t="s">
        <v>29956</v>
      </c>
      <c r="D9710" s="489" t="s">
        <v>29957</v>
      </c>
      <c r="E9710" s="487" t="s">
        <v>29958</v>
      </c>
      <c r="F9710" s="490">
        <v>94686</v>
      </c>
      <c r="G9710" s="489">
        <v>664.3</v>
      </c>
      <c r="H9710" s="489">
        <v>142.535</v>
      </c>
      <c r="I9710" s="487" t="s">
        <v>1499</v>
      </c>
      <c r="J9710" s="487" t="s">
        <v>993</v>
      </c>
    </row>
    <row r="9711" spans="1:10" ht="15" x14ac:dyDescent="0.2">
      <c r="A9711" s="486" t="s">
        <v>992</v>
      </c>
      <c r="B9711" s="487" t="s">
        <v>991</v>
      </c>
      <c r="C9711" s="488" t="s">
        <v>29959</v>
      </c>
      <c r="D9711" s="489" t="s">
        <v>29960</v>
      </c>
      <c r="E9711" s="487" t="s">
        <v>29961</v>
      </c>
      <c r="F9711" s="490">
        <v>11000</v>
      </c>
      <c r="G9711" s="489">
        <v>169.7</v>
      </c>
      <c r="H9711" s="489">
        <v>64.820269999999994</v>
      </c>
      <c r="I9711" s="487" t="s">
        <v>1499</v>
      </c>
      <c r="J9711" s="487" t="s">
        <v>993</v>
      </c>
    </row>
    <row r="9712" spans="1:10" ht="15" x14ac:dyDescent="0.2">
      <c r="A9712" s="486" t="s">
        <v>992</v>
      </c>
      <c r="B9712" s="487" t="s">
        <v>991</v>
      </c>
      <c r="C9712" s="488" t="s">
        <v>29962</v>
      </c>
      <c r="D9712" s="489" t="s">
        <v>29963</v>
      </c>
      <c r="E9712" s="487" t="s">
        <v>29964</v>
      </c>
      <c r="F9712" s="490">
        <v>103636</v>
      </c>
      <c r="G9712" s="489">
        <v>971.7</v>
      </c>
      <c r="H9712" s="489">
        <v>106.65432</v>
      </c>
      <c r="I9712" s="487" t="s">
        <v>1499</v>
      </c>
      <c r="J9712" s="487" t="s">
        <v>993</v>
      </c>
    </row>
    <row r="9713" spans="1:10" ht="15" x14ac:dyDescent="0.2">
      <c r="A9713" s="486" t="s">
        <v>992</v>
      </c>
      <c r="B9713" s="487" t="s">
        <v>991</v>
      </c>
      <c r="C9713" s="488" t="s">
        <v>29965</v>
      </c>
      <c r="D9713" s="489" t="s">
        <v>29966</v>
      </c>
      <c r="E9713" s="487" t="s">
        <v>15238</v>
      </c>
      <c r="F9713" s="490">
        <v>440000</v>
      </c>
      <c r="G9713" s="489">
        <v>5327.9</v>
      </c>
      <c r="H9713" s="489">
        <v>82.584130000000002</v>
      </c>
      <c r="I9713" s="487" t="s">
        <v>1499</v>
      </c>
      <c r="J9713" s="487" t="s">
        <v>993</v>
      </c>
    </row>
    <row r="9714" spans="1:10" ht="15" x14ac:dyDescent="0.2">
      <c r="A9714" s="486" t="s">
        <v>1270</v>
      </c>
      <c r="B9714" s="487" t="s">
        <v>1269</v>
      </c>
      <c r="C9714" s="488" t="s">
        <v>29967</v>
      </c>
      <c r="D9714" s="489" t="s">
        <v>29968</v>
      </c>
      <c r="E9714" s="487" t="s">
        <v>29969</v>
      </c>
      <c r="F9714" s="490">
        <v>13193.41</v>
      </c>
      <c r="G9714" s="489">
        <v>337.6</v>
      </c>
      <c r="H9714" s="489">
        <v>39.080010000000001</v>
      </c>
      <c r="I9714" s="487" t="s">
        <v>1499</v>
      </c>
      <c r="J9714" s="487" t="s">
        <v>1271</v>
      </c>
    </row>
    <row r="9715" spans="1:10" ht="15" x14ac:dyDescent="0.2">
      <c r="A9715" s="486" t="s">
        <v>1270</v>
      </c>
      <c r="B9715" s="487" t="s">
        <v>1269</v>
      </c>
      <c r="C9715" s="488" t="s">
        <v>29970</v>
      </c>
      <c r="D9715" s="489" t="s">
        <v>29971</v>
      </c>
      <c r="E9715" s="487" t="s">
        <v>29972</v>
      </c>
      <c r="F9715" s="490">
        <v>20774.689999999999</v>
      </c>
      <c r="G9715" s="489">
        <v>118.9</v>
      </c>
      <c r="H9715" s="489">
        <v>174.72405000000001</v>
      </c>
      <c r="I9715" s="487" t="s">
        <v>1499</v>
      </c>
      <c r="J9715" s="487" t="s">
        <v>1271</v>
      </c>
    </row>
    <row r="9716" spans="1:10" ht="15" x14ac:dyDescent="0.2">
      <c r="A9716" s="486" t="s">
        <v>1270</v>
      </c>
      <c r="B9716" s="487" t="s">
        <v>1269</v>
      </c>
      <c r="C9716" s="488" t="s">
        <v>29973</v>
      </c>
      <c r="D9716" s="489" t="s">
        <v>29974</v>
      </c>
      <c r="E9716" s="487" t="s">
        <v>29975</v>
      </c>
      <c r="F9716" s="490">
        <v>173000</v>
      </c>
      <c r="G9716" s="489">
        <v>1081.5</v>
      </c>
      <c r="H9716" s="489">
        <v>159.96301</v>
      </c>
      <c r="I9716" s="487" t="s">
        <v>1499</v>
      </c>
      <c r="J9716" s="487" t="s">
        <v>1271</v>
      </c>
    </row>
    <row r="9717" spans="1:10" ht="15" x14ac:dyDescent="0.2">
      <c r="A9717" s="486" t="s">
        <v>1270</v>
      </c>
      <c r="B9717" s="487" t="s">
        <v>1269</v>
      </c>
      <c r="C9717" s="488" t="s">
        <v>29976</v>
      </c>
      <c r="D9717" s="489" t="s">
        <v>29977</v>
      </c>
      <c r="E9717" s="487" t="s">
        <v>29978</v>
      </c>
      <c r="F9717" s="490">
        <v>171393</v>
      </c>
      <c r="G9717" s="489">
        <v>1495.6</v>
      </c>
      <c r="H9717" s="489">
        <v>114.59815</v>
      </c>
      <c r="I9717" s="487" t="s">
        <v>1499</v>
      </c>
      <c r="J9717" s="487" t="s">
        <v>1271</v>
      </c>
    </row>
    <row r="9718" spans="1:10" ht="15" x14ac:dyDescent="0.2">
      <c r="A9718" s="486" t="s">
        <v>1270</v>
      </c>
      <c r="B9718" s="487" t="s">
        <v>1269</v>
      </c>
      <c r="C9718" s="488" t="s">
        <v>29979</v>
      </c>
      <c r="D9718" s="489" t="s">
        <v>29980</v>
      </c>
      <c r="E9718" s="487" t="s">
        <v>11612</v>
      </c>
      <c r="F9718" s="490">
        <v>10135</v>
      </c>
      <c r="G9718" s="489">
        <v>123.7</v>
      </c>
      <c r="H9718" s="489">
        <v>81.932090000000002</v>
      </c>
      <c r="I9718" s="487" t="s">
        <v>1499</v>
      </c>
      <c r="J9718" s="487" t="s">
        <v>1271</v>
      </c>
    </row>
    <row r="9719" spans="1:10" ht="15" x14ac:dyDescent="0.2">
      <c r="A9719" s="486" t="s">
        <v>1270</v>
      </c>
      <c r="B9719" s="487" t="s">
        <v>1269</v>
      </c>
      <c r="C9719" s="488" t="s">
        <v>29981</v>
      </c>
      <c r="D9719" s="489" t="s">
        <v>29982</v>
      </c>
      <c r="E9719" s="487" t="s">
        <v>29983</v>
      </c>
      <c r="F9719" s="490">
        <v>1373734</v>
      </c>
      <c r="G9719" s="489">
        <v>8953</v>
      </c>
      <c r="H9719" s="489">
        <v>153.4384</v>
      </c>
      <c r="I9719" s="487" t="s">
        <v>1499</v>
      </c>
      <c r="J9719" s="487" t="s">
        <v>1271</v>
      </c>
    </row>
    <row r="9720" spans="1:10" ht="15" x14ac:dyDescent="0.2">
      <c r="A9720" s="486" t="s">
        <v>1270</v>
      </c>
      <c r="B9720" s="487" t="s">
        <v>1269</v>
      </c>
      <c r="C9720" s="488" t="s">
        <v>29984</v>
      </c>
      <c r="D9720" s="489" t="s">
        <v>29985</v>
      </c>
      <c r="E9720" s="487" t="s">
        <v>29986</v>
      </c>
      <c r="F9720" s="490">
        <v>721500</v>
      </c>
      <c r="G9720" s="489">
        <v>3157.5</v>
      </c>
      <c r="H9720" s="489">
        <v>228.50355999999999</v>
      </c>
      <c r="I9720" s="487" t="s">
        <v>1499</v>
      </c>
      <c r="J9720" s="487" t="s">
        <v>1271</v>
      </c>
    </row>
    <row r="9721" spans="1:10" ht="15" x14ac:dyDescent="0.2">
      <c r="A9721" s="486" t="s">
        <v>1270</v>
      </c>
      <c r="B9721" s="487" t="s">
        <v>1269</v>
      </c>
      <c r="C9721" s="488" t="s">
        <v>29987</v>
      </c>
      <c r="D9721" s="489" t="s">
        <v>29988</v>
      </c>
      <c r="E9721" s="487" t="s">
        <v>29989</v>
      </c>
      <c r="F9721" s="490">
        <v>0</v>
      </c>
      <c r="G9721" s="489">
        <v>51.8</v>
      </c>
      <c r="H9721" s="489">
        <v>0</v>
      </c>
      <c r="I9721" s="487" t="s">
        <v>1593</v>
      </c>
      <c r="J9721" s="487" t="s">
        <v>1271</v>
      </c>
    </row>
    <row r="9722" spans="1:10" ht="15" x14ac:dyDescent="0.2">
      <c r="A9722" s="486" t="s">
        <v>1270</v>
      </c>
      <c r="B9722" s="487" t="s">
        <v>1269</v>
      </c>
      <c r="C9722" s="488" t="s">
        <v>29990</v>
      </c>
      <c r="D9722" s="489" t="s">
        <v>29991</v>
      </c>
      <c r="E9722" s="487" t="s">
        <v>29992</v>
      </c>
      <c r="F9722" s="490">
        <v>29200</v>
      </c>
      <c r="G9722" s="489">
        <v>318.89999999999998</v>
      </c>
      <c r="H9722" s="489">
        <v>91.564750000000004</v>
      </c>
      <c r="I9722" s="487" t="s">
        <v>1499</v>
      </c>
      <c r="J9722" s="487" t="s">
        <v>1271</v>
      </c>
    </row>
    <row r="9723" spans="1:10" ht="15" x14ac:dyDescent="0.2">
      <c r="A9723" s="486" t="s">
        <v>1270</v>
      </c>
      <c r="B9723" s="487" t="s">
        <v>1269</v>
      </c>
      <c r="C9723" s="488" t="s">
        <v>29993</v>
      </c>
      <c r="D9723" s="489" t="s">
        <v>29994</v>
      </c>
      <c r="E9723" s="487" t="s">
        <v>29995</v>
      </c>
      <c r="F9723" s="490">
        <v>72704</v>
      </c>
      <c r="G9723" s="489">
        <v>433.5</v>
      </c>
      <c r="H9723" s="489">
        <v>167.71395999999999</v>
      </c>
      <c r="I9723" s="487" t="s">
        <v>1499</v>
      </c>
      <c r="J9723" s="487" t="s">
        <v>1271</v>
      </c>
    </row>
    <row r="9724" spans="1:10" ht="15" x14ac:dyDescent="0.2">
      <c r="A9724" s="486" t="s">
        <v>1270</v>
      </c>
      <c r="B9724" s="487" t="s">
        <v>1269</v>
      </c>
      <c r="C9724" s="488" t="s">
        <v>29996</v>
      </c>
      <c r="D9724" s="489" t="s">
        <v>29997</v>
      </c>
      <c r="E9724" s="487" t="s">
        <v>29998</v>
      </c>
      <c r="F9724" s="490">
        <v>13739</v>
      </c>
      <c r="G9724" s="489">
        <v>99.3</v>
      </c>
      <c r="H9724" s="489">
        <v>138.35851</v>
      </c>
      <c r="I9724" s="487" t="s">
        <v>1499</v>
      </c>
      <c r="J9724" s="487" t="s">
        <v>1271</v>
      </c>
    </row>
    <row r="9725" spans="1:10" ht="15" x14ac:dyDescent="0.2">
      <c r="A9725" s="486" t="s">
        <v>1270</v>
      </c>
      <c r="B9725" s="487" t="s">
        <v>1269</v>
      </c>
      <c r="C9725" s="488" t="s">
        <v>29999</v>
      </c>
      <c r="D9725" s="489" t="s">
        <v>30000</v>
      </c>
      <c r="E9725" s="487" t="s">
        <v>30001</v>
      </c>
      <c r="F9725" s="490">
        <v>1369964</v>
      </c>
      <c r="G9725" s="489">
        <v>7365.4</v>
      </c>
      <c r="H9725" s="489">
        <v>185.99995000000001</v>
      </c>
      <c r="I9725" s="487" t="s">
        <v>1499</v>
      </c>
      <c r="J9725" s="487" t="s">
        <v>1271</v>
      </c>
    </row>
    <row r="9726" spans="1:10" ht="15" x14ac:dyDescent="0.2">
      <c r="A9726" s="486" t="s">
        <v>1270</v>
      </c>
      <c r="B9726" s="487" t="s">
        <v>1269</v>
      </c>
      <c r="C9726" s="488" t="s">
        <v>30002</v>
      </c>
      <c r="D9726" s="489" t="s">
        <v>30003</v>
      </c>
      <c r="E9726" s="487" t="s">
        <v>28707</v>
      </c>
      <c r="F9726" s="490">
        <v>154394</v>
      </c>
      <c r="G9726" s="489">
        <v>1145.7</v>
      </c>
      <c r="H9726" s="489">
        <v>134.75953999999999</v>
      </c>
      <c r="I9726" s="487" t="s">
        <v>1499</v>
      </c>
      <c r="J9726" s="487" t="s">
        <v>1271</v>
      </c>
    </row>
    <row r="9727" spans="1:10" ht="15" x14ac:dyDescent="0.2">
      <c r="A9727" s="486" t="s">
        <v>1270</v>
      </c>
      <c r="B9727" s="487" t="s">
        <v>1269</v>
      </c>
      <c r="C9727" s="488" t="s">
        <v>30004</v>
      </c>
      <c r="D9727" s="489" t="s">
        <v>30005</v>
      </c>
      <c r="E9727" s="487" t="s">
        <v>30006</v>
      </c>
      <c r="F9727" s="490">
        <v>729705</v>
      </c>
      <c r="G9727" s="489">
        <v>3748.5</v>
      </c>
      <c r="H9727" s="489">
        <v>194.66587000000001</v>
      </c>
      <c r="I9727" s="487" t="s">
        <v>1499</v>
      </c>
      <c r="J9727" s="487" t="s">
        <v>1271</v>
      </c>
    </row>
    <row r="9728" spans="1:10" ht="15" x14ac:dyDescent="0.2">
      <c r="A9728" s="486" t="s">
        <v>1270</v>
      </c>
      <c r="B9728" s="487" t="s">
        <v>1269</v>
      </c>
      <c r="C9728" s="488" t="s">
        <v>30007</v>
      </c>
      <c r="D9728" s="489" t="s">
        <v>30008</v>
      </c>
      <c r="E9728" s="487" t="s">
        <v>30009</v>
      </c>
      <c r="F9728" s="490">
        <v>274577</v>
      </c>
      <c r="G9728" s="489">
        <v>3485.3</v>
      </c>
      <c r="H9728" s="489">
        <v>78.781450000000007</v>
      </c>
      <c r="I9728" s="487" t="s">
        <v>1499</v>
      </c>
      <c r="J9728" s="487" t="s">
        <v>1271</v>
      </c>
    </row>
    <row r="9729" spans="1:10" ht="15" x14ac:dyDescent="0.2">
      <c r="A9729" s="486" t="s">
        <v>1270</v>
      </c>
      <c r="B9729" s="487" t="s">
        <v>1269</v>
      </c>
      <c r="C9729" s="488" t="s">
        <v>30010</v>
      </c>
      <c r="D9729" s="489" t="s">
        <v>30011</v>
      </c>
      <c r="E9729" s="487" t="s">
        <v>30012</v>
      </c>
      <c r="F9729" s="490">
        <v>2156928</v>
      </c>
      <c r="G9729" s="489">
        <v>9984.2000000000007</v>
      </c>
      <c r="H9729" s="489">
        <v>216.03413</v>
      </c>
      <c r="I9729" s="487" t="s">
        <v>1499</v>
      </c>
      <c r="J9729" s="487" t="s">
        <v>1271</v>
      </c>
    </row>
    <row r="9730" spans="1:10" ht="15" x14ac:dyDescent="0.2">
      <c r="A9730" s="486" t="s">
        <v>1270</v>
      </c>
      <c r="B9730" s="487" t="s">
        <v>1269</v>
      </c>
      <c r="C9730" s="488" t="s">
        <v>30013</v>
      </c>
      <c r="D9730" s="489" t="s">
        <v>30014</v>
      </c>
      <c r="E9730" s="487" t="s">
        <v>30015</v>
      </c>
      <c r="F9730" s="490">
        <v>3525585</v>
      </c>
      <c r="G9730" s="489">
        <v>19439.5</v>
      </c>
      <c r="H9730" s="489">
        <v>181.36192</v>
      </c>
      <c r="I9730" s="487" t="s">
        <v>1499</v>
      </c>
      <c r="J9730" s="487" t="s">
        <v>1271</v>
      </c>
    </row>
    <row r="9731" spans="1:10" ht="15" x14ac:dyDescent="0.2">
      <c r="A9731" s="486" t="s">
        <v>1270</v>
      </c>
      <c r="B9731" s="487" t="s">
        <v>1269</v>
      </c>
      <c r="C9731" s="488" t="s">
        <v>30016</v>
      </c>
      <c r="D9731" s="489" t="s">
        <v>30017</v>
      </c>
      <c r="E9731" s="487" t="s">
        <v>30018</v>
      </c>
      <c r="F9731" s="490">
        <v>699100</v>
      </c>
      <c r="G9731" s="489">
        <v>7139.6</v>
      </c>
      <c r="H9731" s="489">
        <v>97.91865</v>
      </c>
      <c r="I9731" s="487" t="s">
        <v>1499</v>
      </c>
      <c r="J9731" s="487" t="s">
        <v>1271</v>
      </c>
    </row>
    <row r="9732" spans="1:10" ht="15" x14ac:dyDescent="0.2">
      <c r="A9732" s="486" t="s">
        <v>1270</v>
      </c>
      <c r="B9732" s="487" t="s">
        <v>1269</v>
      </c>
      <c r="C9732" s="488" t="s">
        <v>30019</v>
      </c>
      <c r="D9732" s="489" t="s">
        <v>30020</v>
      </c>
      <c r="E9732" s="487" t="s">
        <v>30021</v>
      </c>
      <c r="F9732" s="490">
        <v>1299395</v>
      </c>
      <c r="G9732" s="489">
        <v>8799.9</v>
      </c>
      <c r="H9732" s="489">
        <v>147.6602</v>
      </c>
      <c r="I9732" s="487" t="s">
        <v>1499</v>
      </c>
      <c r="J9732" s="487" t="s">
        <v>1271</v>
      </c>
    </row>
    <row r="9733" spans="1:10" ht="15" x14ac:dyDescent="0.2">
      <c r="A9733" s="486" t="s">
        <v>1270</v>
      </c>
      <c r="B9733" s="487" t="s">
        <v>1269</v>
      </c>
      <c r="C9733" s="488" t="s">
        <v>30022</v>
      </c>
      <c r="D9733" s="489" t="s">
        <v>30023</v>
      </c>
      <c r="E9733" s="487" t="s">
        <v>30024</v>
      </c>
      <c r="F9733" s="490">
        <v>133700</v>
      </c>
      <c r="G9733" s="489">
        <v>1337.5</v>
      </c>
      <c r="H9733" s="489">
        <v>99.962620000000001</v>
      </c>
      <c r="I9733" s="487" t="s">
        <v>1499</v>
      </c>
      <c r="J9733" s="487" t="s">
        <v>1271</v>
      </c>
    </row>
    <row r="9734" spans="1:10" ht="15" x14ac:dyDescent="0.2">
      <c r="A9734" s="486" t="s">
        <v>1390</v>
      </c>
      <c r="B9734" s="487" t="s">
        <v>1389</v>
      </c>
      <c r="C9734" s="488" t="s">
        <v>30025</v>
      </c>
      <c r="D9734" s="489" t="s">
        <v>30026</v>
      </c>
      <c r="E9734" s="487" t="s">
        <v>30027</v>
      </c>
      <c r="F9734" s="490">
        <v>56180</v>
      </c>
      <c r="G9734" s="489">
        <v>815.1</v>
      </c>
      <c r="H9734" s="489">
        <v>68.924059999999997</v>
      </c>
      <c r="I9734" s="487" t="s">
        <v>1499</v>
      </c>
      <c r="J9734" s="487" t="s">
        <v>1391</v>
      </c>
    </row>
    <row r="9735" spans="1:10" ht="15" x14ac:dyDescent="0.2">
      <c r="A9735" s="486" t="s">
        <v>1390</v>
      </c>
      <c r="B9735" s="487" t="s">
        <v>1389</v>
      </c>
      <c r="C9735" s="488" t="s">
        <v>30028</v>
      </c>
      <c r="D9735" s="489" t="s">
        <v>30029</v>
      </c>
      <c r="E9735" s="487" t="s">
        <v>30030</v>
      </c>
      <c r="F9735" s="490">
        <v>70345</v>
      </c>
      <c r="G9735" s="489">
        <v>1059.5</v>
      </c>
      <c r="H9735" s="489">
        <v>66.394530000000003</v>
      </c>
      <c r="I9735" s="487" t="s">
        <v>1499</v>
      </c>
      <c r="J9735" s="487" t="s">
        <v>1391</v>
      </c>
    </row>
    <row r="9736" spans="1:10" ht="15" x14ac:dyDescent="0.2">
      <c r="A9736" s="486" t="s">
        <v>1390</v>
      </c>
      <c r="B9736" s="487" t="s">
        <v>1389</v>
      </c>
      <c r="C9736" s="488" t="s">
        <v>30031</v>
      </c>
      <c r="D9736" s="489" t="s">
        <v>30032</v>
      </c>
      <c r="E9736" s="487" t="s">
        <v>30033</v>
      </c>
      <c r="F9736" s="490">
        <v>23000</v>
      </c>
      <c r="G9736" s="489">
        <v>271.97000000000003</v>
      </c>
      <c r="H9736" s="489">
        <v>84.568150000000003</v>
      </c>
      <c r="I9736" s="487" t="s">
        <v>1499</v>
      </c>
      <c r="J9736" s="487" t="s">
        <v>1391</v>
      </c>
    </row>
    <row r="9737" spans="1:10" ht="15" x14ac:dyDescent="0.2">
      <c r="A9737" s="486" t="s">
        <v>1390</v>
      </c>
      <c r="B9737" s="487" t="s">
        <v>1389</v>
      </c>
      <c r="C9737" s="488" t="s">
        <v>30034</v>
      </c>
      <c r="D9737" s="489" t="s">
        <v>30035</v>
      </c>
      <c r="E9737" s="487" t="s">
        <v>18127</v>
      </c>
      <c r="F9737" s="490">
        <v>22510</v>
      </c>
      <c r="G9737" s="489">
        <v>223.41</v>
      </c>
      <c r="H9737" s="489">
        <v>100.75646</v>
      </c>
      <c r="I9737" s="487" t="s">
        <v>1499</v>
      </c>
      <c r="J9737" s="487" t="s">
        <v>1391</v>
      </c>
    </row>
    <row r="9738" spans="1:10" ht="15" x14ac:dyDescent="0.2">
      <c r="A9738" s="486" t="s">
        <v>1390</v>
      </c>
      <c r="B9738" s="487" t="s">
        <v>1389</v>
      </c>
      <c r="C9738" s="488" t="s">
        <v>30036</v>
      </c>
      <c r="D9738" s="489" t="s">
        <v>30037</v>
      </c>
      <c r="E9738" s="487" t="s">
        <v>11724</v>
      </c>
      <c r="F9738" s="490">
        <v>7438</v>
      </c>
      <c r="G9738" s="489">
        <v>112.99</v>
      </c>
      <c r="H9738" s="489">
        <v>65.828829999999996</v>
      </c>
      <c r="I9738" s="487" t="s">
        <v>1499</v>
      </c>
      <c r="J9738" s="487" t="s">
        <v>1391</v>
      </c>
    </row>
    <row r="9739" spans="1:10" ht="15" x14ac:dyDescent="0.2">
      <c r="A9739" s="486" t="s">
        <v>1390</v>
      </c>
      <c r="B9739" s="487" t="s">
        <v>1389</v>
      </c>
      <c r="C9739" s="488" t="s">
        <v>30038</v>
      </c>
      <c r="D9739" s="489" t="s">
        <v>30039</v>
      </c>
      <c r="E9739" s="487" t="s">
        <v>30040</v>
      </c>
      <c r="F9739" s="490">
        <v>0</v>
      </c>
      <c r="G9739" s="489">
        <v>50.3</v>
      </c>
      <c r="H9739" s="489">
        <v>0</v>
      </c>
      <c r="I9739" s="487" t="s">
        <v>1593</v>
      </c>
      <c r="J9739" s="487" t="s">
        <v>1391</v>
      </c>
    </row>
    <row r="9740" spans="1:10" ht="15" x14ac:dyDescent="0.2">
      <c r="A9740" s="486" t="s">
        <v>1390</v>
      </c>
      <c r="B9740" s="487" t="s">
        <v>1389</v>
      </c>
      <c r="C9740" s="488" t="s">
        <v>30041</v>
      </c>
      <c r="D9740" s="489" t="s">
        <v>30042</v>
      </c>
      <c r="E9740" s="487" t="s">
        <v>30043</v>
      </c>
      <c r="F9740" s="490">
        <v>807242</v>
      </c>
      <c r="G9740" s="489">
        <v>4610.3100000000004</v>
      </c>
      <c r="H9740" s="489">
        <v>175.09495000000001</v>
      </c>
      <c r="I9740" s="487" t="s">
        <v>1499</v>
      </c>
      <c r="J9740" s="487" t="s">
        <v>1391</v>
      </c>
    </row>
    <row r="9741" spans="1:10" ht="15" x14ac:dyDescent="0.2">
      <c r="A9741" s="486" t="s">
        <v>1390</v>
      </c>
      <c r="B9741" s="487" t="s">
        <v>1389</v>
      </c>
      <c r="C9741" s="488" t="s">
        <v>30044</v>
      </c>
      <c r="D9741" s="489" t="s">
        <v>30045</v>
      </c>
      <c r="E9741" s="487" t="s">
        <v>28991</v>
      </c>
      <c r="F9741" s="490">
        <v>2450</v>
      </c>
      <c r="G9741" s="489">
        <v>82.46</v>
      </c>
      <c r="H9741" s="489">
        <v>29.711379999999998</v>
      </c>
      <c r="I9741" s="487" t="s">
        <v>1499</v>
      </c>
      <c r="J9741" s="487" t="s">
        <v>1391</v>
      </c>
    </row>
    <row r="9742" spans="1:10" ht="15" x14ac:dyDescent="0.2">
      <c r="A9742" s="486" t="s">
        <v>1390</v>
      </c>
      <c r="B9742" s="487" t="s">
        <v>1389</v>
      </c>
      <c r="C9742" s="488" t="s">
        <v>30046</v>
      </c>
      <c r="D9742" s="489" t="s">
        <v>30047</v>
      </c>
      <c r="E9742" s="487" t="s">
        <v>30048</v>
      </c>
      <c r="F9742" s="490">
        <v>39473.15</v>
      </c>
      <c r="G9742" s="489">
        <v>695.93</v>
      </c>
      <c r="H9742" s="489">
        <v>56.72</v>
      </c>
      <c r="I9742" s="487" t="s">
        <v>1499</v>
      </c>
      <c r="J9742" s="487" t="s">
        <v>1391</v>
      </c>
    </row>
    <row r="9743" spans="1:10" ht="15" x14ac:dyDescent="0.2">
      <c r="A9743" s="486" t="s">
        <v>1390</v>
      </c>
      <c r="B9743" s="487" t="s">
        <v>1389</v>
      </c>
      <c r="C9743" s="488" t="s">
        <v>30049</v>
      </c>
      <c r="D9743" s="489" t="s">
        <v>30050</v>
      </c>
      <c r="E9743" s="487" t="s">
        <v>30051</v>
      </c>
      <c r="F9743" s="490">
        <v>37510</v>
      </c>
      <c r="G9743" s="489">
        <v>487.61</v>
      </c>
      <c r="H9743" s="489">
        <v>76.926230000000004</v>
      </c>
      <c r="I9743" s="487" t="s">
        <v>1499</v>
      </c>
      <c r="J9743" s="487" t="s">
        <v>1391</v>
      </c>
    </row>
    <row r="9744" spans="1:10" ht="15" x14ac:dyDescent="0.2">
      <c r="A9744" s="486" t="s">
        <v>1390</v>
      </c>
      <c r="B9744" s="487" t="s">
        <v>1389</v>
      </c>
      <c r="C9744" s="488" t="s">
        <v>30052</v>
      </c>
      <c r="D9744" s="489" t="s">
        <v>30053</v>
      </c>
      <c r="E9744" s="487" t="s">
        <v>30054</v>
      </c>
      <c r="F9744" s="490">
        <v>14758.76</v>
      </c>
      <c r="G9744" s="489">
        <v>228.57</v>
      </c>
      <c r="H9744" s="489">
        <v>64.569980000000001</v>
      </c>
      <c r="I9744" s="487" t="s">
        <v>1499</v>
      </c>
      <c r="J9744" s="487" t="s">
        <v>1391</v>
      </c>
    </row>
    <row r="9745" spans="1:10" ht="15" x14ac:dyDescent="0.2">
      <c r="A9745" s="486" t="s">
        <v>1390</v>
      </c>
      <c r="B9745" s="487" t="s">
        <v>1389</v>
      </c>
      <c r="C9745" s="488" t="s">
        <v>30055</v>
      </c>
      <c r="D9745" s="489" t="s">
        <v>30056</v>
      </c>
      <c r="E9745" s="487" t="s">
        <v>30057</v>
      </c>
      <c r="F9745" s="490">
        <v>11520</v>
      </c>
      <c r="G9745" s="489">
        <v>214.11</v>
      </c>
      <c r="H9745" s="489">
        <v>53.804119999999998</v>
      </c>
      <c r="I9745" s="487" t="s">
        <v>1499</v>
      </c>
      <c r="J9745" s="487" t="s">
        <v>1391</v>
      </c>
    </row>
    <row r="9746" spans="1:10" ht="15" x14ac:dyDescent="0.2">
      <c r="A9746" s="486" t="s">
        <v>1390</v>
      </c>
      <c r="B9746" s="487" t="s">
        <v>1389</v>
      </c>
      <c r="C9746" s="488" t="s">
        <v>30058</v>
      </c>
      <c r="D9746" s="489" t="s">
        <v>30059</v>
      </c>
      <c r="E9746" s="487" t="s">
        <v>30060</v>
      </c>
      <c r="F9746" s="490">
        <v>19635.14</v>
      </c>
      <c r="G9746" s="489">
        <v>307.19</v>
      </c>
      <c r="H9746" s="489">
        <v>63.918550000000003</v>
      </c>
      <c r="I9746" s="487" t="s">
        <v>1499</v>
      </c>
      <c r="J9746" s="487" t="s">
        <v>1391</v>
      </c>
    </row>
    <row r="9747" spans="1:10" ht="15" x14ac:dyDescent="0.2">
      <c r="A9747" s="486" t="s">
        <v>1390</v>
      </c>
      <c r="B9747" s="487" t="s">
        <v>1389</v>
      </c>
      <c r="C9747" s="488" t="s">
        <v>30061</v>
      </c>
      <c r="D9747" s="489" t="s">
        <v>30062</v>
      </c>
      <c r="E9747" s="487" t="s">
        <v>30063</v>
      </c>
      <c r="F9747" s="490">
        <v>4400</v>
      </c>
      <c r="G9747" s="489">
        <v>69.510000000000005</v>
      </c>
      <c r="H9747" s="489">
        <v>63.300240000000002</v>
      </c>
      <c r="I9747" s="487" t="s">
        <v>1499</v>
      </c>
      <c r="J9747" s="487" t="s">
        <v>1391</v>
      </c>
    </row>
    <row r="9748" spans="1:10" ht="15" x14ac:dyDescent="0.2">
      <c r="A9748" s="486" t="s">
        <v>1390</v>
      </c>
      <c r="B9748" s="487" t="s">
        <v>1389</v>
      </c>
      <c r="C9748" s="488" t="s">
        <v>30064</v>
      </c>
      <c r="D9748" s="489" t="s">
        <v>30065</v>
      </c>
      <c r="E9748" s="487" t="s">
        <v>30066</v>
      </c>
      <c r="F9748" s="490">
        <v>5434</v>
      </c>
      <c r="G9748" s="489">
        <v>109.67</v>
      </c>
      <c r="H9748" s="489">
        <v>49.548650000000002</v>
      </c>
      <c r="I9748" s="487" t="s">
        <v>1499</v>
      </c>
      <c r="J9748" s="487" t="s">
        <v>1391</v>
      </c>
    </row>
    <row r="9749" spans="1:10" ht="15" x14ac:dyDescent="0.2">
      <c r="A9749" s="486" t="s">
        <v>1390</v>
      </c>
      <c r="B9749" s="487" t="s">
        <v>1389</v>
      </c>
      <c r="C9749" s="488" t="s">
        <v>30067</v>
      </c>
      <c r="D9749" s="489" t="s">
        <v>30068</v>
      </c>
      <c r="E9749" s="487" t="s">
        <v>30069</v>
      </c>
      <c r="F9749" s="490">
        <v>2000</v>
      </c>
      <c r="G9749" s="489">
        <v>83.33</v>
      </c>
      <c r="H9749" s="489">
        <v>24.000959999999999</v>
      </c>
      <c r="I9749" s="487" t="s">
        <v>1499</v>
      </c>
      <c r="J9749" s="487" t="s">
        <v>1391</v>
      </c>
    </row>
    <row r="9750" spans="1:10" ht="15" x14ac:dyDescent="0.2">
      <c r="A9750" s="486" t="s">
        <v>1390</v>
      </c>
      <c r="B9750" s="487" t="s">
        <v>1389</v>
      </c>
      <c r="C9750" s="488" t="s">
        <v>30070</v>
      </c>
      <c r="D9750" s="489" t="s">
        <v>30071</v>
      </c>
      <c r="E9750" s="487" t="s">
        <v>30072</v>
      </c>
      <c r="F9750" s="490">
        <v>8200</v>
      </c>
      <c r="G9750" s="489">
        <v>137.91999999999999</v>
      </c>
      <c r="H9750" s="489">
        <v>59.45476</v>
      </c>
      <c r="I9750" s="487" t="s">
        <v>1499</v>
      </c>
      <c r="J9750" s="487" t="s">
        <v>1391</v>
      </c>
    </row>
    <row r="9751" spans="1:10" ht="15" x14ac:dyDescent="0.2">
      <c r="A9751" s="486" t="s">
        <v>1390</v>
      </c>
      <c r="B9751" s="487" t="s">
        <v>1389</v>
      </c>
      <c r="C9751" s="488" t="s">
        <v>30073</v>
      </c>
      <c r="D9751" s="489" t="s">
        <v>30074</v>
      </c>
      <c r="E9751" s="487" t="s">
        <v>30075</v>
      </c>
      <c r="F9751" s="490">
        <v>0</v>
      </c>
      <c r="G9751" s="489">
        <v>16.350000000000001</v>
      </c>
      <c r="H9751" s="489">
        <v>0</v>
      </c>
      <c r="I9751" s="487" t="s">
        <v>1593</v>
      </c>
      <c r="J9751" s="487" t="s">
        <v>1391</v>
      </c>
    </row>
    <row r="9752" spans="1:10" ht="15" x14ac:dyDescent="0.2">
      <c r="A9752" s="486" t="s">
        <v>1390</v>
      </c>
      <c r="B9752" s="487" t="s">
        <v>1389</v>
      </c>
      <c r="C9752" s="488" t="s">
        <v>30076</v>
      </c>
      <c r="D9752" s="489" t="s">
        <v>30077</v>
      </c>
      <c r="E9752" s="487" t="s">
        <v>30078</v>
      </c>
      <c r="F9752" s="490">
        <v>20807.52</v>
      </c>
      <c r="G9752" s="489">
        <v>267.86</v>
      </c>
      <c r="H9752" s="489">
        <v>77.680580000000006</v>
      </c>
      <c r="I9752" s="487" t="s">
        <v>1499</v>
      </c>
      <c r="J9752" s="487" t="s">
        <v>1391</v>
      </c>
    </row>
    <row r="9753" spans="1:10" ht="15" x14ac:dyDescent="0.2">
      <c r="A9753" s="486" t="s">
        <v>1390</v>
      </c>
      <c r="B9753" s="487" t="s">
        <v>1389</v>
      </c>
      <c r="C9753" s="488" t="s">
        <v>30079</v>
      </c>
      <c r="D9753" s="489" t="s">
        <v>30080</v>
      </c>
      <c r="E9753" s="487" t="s">
        <v>30081</v>
      </c>
      <c r="F9753" s="490">
        <v>85000</v>
      </c>
      <c r="G9753" s="489">
        <v>1316.56</v>
      </c>
      <c r="H9753" s="489">
        <v>64.562190000000001</v>
      </c>
      <c r="I9753" s="487" t="s">
        <v>1499</v>
      </c>
      <c r="J9753" s="487" t="s">
        <v>1391</v>
      </c>
    </row>
    <row r="9754" spans="1:10" ht="15" x14ac:dyDescent="0.2">
      <c r="A9754" s="486" t="s">
        <v>1390</v>
      </c>
      <c r="B9754" s="487" t="s">
        <v>1389</v>
      </c>
      <c r="C9754" s="488" t="s">
        <v>30082</v>
      </c>
      <c r="D9754" s="489" t="s">
        <v>30083</v>
      </c>
      <c r="E9754" s="487" t="s">
        <v>29969</v>
      </c>
      <c r="F9754" s="490">
        <v>10000</v>
      </c>
      <c r="G9754" s="489">
        <v>280.87</v>
      </c>
      <c r="H9754" s="489">
        <v>35.603659999999998</v>
      </c>
      <c r="I9754" s="487" t="s">
        <v>1499</v>
      </c>
      <c r="J9754" s="487" t="s">
        <v>1391</v>
      </c>
    </row>
    <row r="9755" spans="1:10" ht="15" x14ac:dyDescent="0.2">
      <c r="A9755" s="486" t="s">
        <v>1390</v>
      </c>
      <c r="B9755" s="487" t="s">
        <v>1389</v>
      </c>
      <c r="C9755" s="488" t="s">
        <v>30084</v>
      </c>
      <c r="D9755" s="489" t="s">
        <v>30085</v>
      </c>
      <c r="E9755" s="487" t="s">
        <v>30086</v>
      </c>
      <c r="F9755" s="490">
        <v>1600</v>
      </c>
      <c r="G9755" s="489">
        <v>73.09</v>
      </c>
      <c r="H9755" s="489">
        <v>21.890820000000001</v>
      </c>
      <c r="I9755" s="487" t="s">
        <v>1499</v>
      </c>
      <c r="J9755" s="487" t="s">
        <v>1391</v>
      </c>
    </row>
    <row r="9756" spans="1:10" ht="15" x14ac:dyDescent="0.2">
      <c r="A9756" s="486" t="s">
        <v>1390</v>
      </c>
      <c r="B9756" s="487" t="s">
        <v>1389</v>
      </c>
      <c r="C9756" s="488" t="s">
        <v>30087</v>
      </c>
      <c r="D9756" s="489" t="s">
        <v>30088</v>
      </c>
      <c r="E9756" s="487" t="s">
        <v>30089</v>
      </c>
      <c r="F9756" s="490">
        <v>5707.03</v>
      </c>
      <c r="G9756" s="489">
        <v>186.75</v>
      </c>
      <c r="H9756" s="489">
        <v>30.559729999999998</v>
      </c>
      <c r="I9756" s="487" t="s">
        <v>1499</v>
      </c>
      <c r="J9756" s="487" t="s">
        <v>1391</v>
      </c>
    </row>
    <row r="9757" spans="1:10" ht="15" x14ac:dyDescent="0.2">
      <c r="A9757" s="486" t="s">
        <v>1390</v>
      </c>
      <c r="B9757" s="487" t="s">
        <v>1389</v>
      </c>
      <c r="C9757" s="488" t="s">
        <v>30090</v>
      </c>
      <c r="D9757" s="489" t="s">
        <v>30091</v>
      </c>
      <c r="E9757" s="487" t="s">
        <v>30092</v>
      </c>
      <c r="F9757" s="490">
        <v>237739</v>
      </c>
      <c r="G9757" s="489">
        <v>1778.29</v>
      </c>
      <c r="H9757" s="489">
        <v>133.68967000000001</v>
      </c>
      <c r="I9757" s="487" t="s">
        <v>1499</v>
      </c>
      <c r="J9757" s="487" t="s">
        <v>1391</v>
      </c>
    </row>
    <row r="9758" spans="1:10" ht="15" x14ac:dyDescent="0.2">
      <c r="A9758" s="486" t="s">
        <v>1390</v>
      </c>
      <c r="B9758" s="487" t="s">
        <v>1389</v>
      </c>
      <c r="C9758" s="488" t="s">
        <v>30093</v>
      </c>
      <c r="D9758" s="489" t="s">
        <v>30094</v>
      </c>
      <c r="E9758" s="487" t="s">
        <v>4894</v>
      </c>
      <c r="F9758" s="490">
        <v>1600</v>
      </c>
      <c r="G9758" s="489">
        <v>87.25</v>
      </c>
      <c r="H9758" s="489">
        <v>18.33811</v>
      </c>
      <c r="I9758" s="487" t="s">
        <v>1499</v>
      </c>
      <c r="J9758" s="487" t="s">
        <v>1391</v>
      </c>
    </row>
    <row r="9759" spans="1:10" ht="15" x14ac:dyDescent="0.2">
      <c r="A9759" s="486" t="s">
        <v>1390</v>
      </c>
      <c r="B9759" s="487" t="s">
        <v>1389</v>
      </c>
      <c r="C9759" s="488" t="s">
        <v>30095</v>
      </c>
      <c r="D9759" s="489" t="s">
        <v>30096</v>
      </c>
      <c r="E9759" s="487" t="s">
        <v>30097</v>
      </c>
      <c r="F9759" s="490">
        <v>1243874.3500000001</v>
      </c>
      <c r="G9759" s="489">
        <v>4177.72</v>
      </c>
      <c r="H9759" s="489">
        <v>297.74</v>
      </c>
      <c r="I9759" s="487" t="s">
        <v>1499</v>
      </c>
      <c r="J9759" s="487" t="s">
        <v>1391</v>
      </c>
    </row>
    <row r="9760" spans="1:10" ht="15" x14ac:dyDescent="0.2">
      <c r="A9760" s="486" t="s">
        <v>1390</v>
      </c>
      <c r="B9760" s="487" t="s">
        <v>1389</v>
      </c>
      <c r="C9760" s="488" t="s">
        <v>30098</v>
      </c>
      <c r="D9760" s="489" t="s">
        <v>30099</v>
      </c>
      <c r="E9760" s="487" t="s">
        <v>30100</v>
      </c>
      <c r="F9760" s="490">
        <v>49898</v>
      </c>
      <c r="G9760" s="489">
        <v>500.03</v>
      </c>
      <c r="H9760" s="489">
        <v>99.790009999999995</v>
      </c>
      <c r="I9760" s="487" t="s">
        <v>1499</v>
      </c>
      <c r="J9760" s="487" t="s">
        <v>1391</v>
      </c>
    </row>
    <row r="9761" spans="1:10" ht="15" x14ac:dyDescent="0.2">
      <c r="A9761" s="486" t="s">
        <v>1390</v>
      </c>
      <c r="B9761" s="487" t="s">
        <v>1389</v>
      </c>
      <c r="C9761" s="488" t="s">
        <v>30101</v>
      </c>
      <c r="D9761" s="489" t="s">
        <v>30102</v>
      </c>
      <c r="E9761" s="487" t="s">
        <v>30103</v>
      </c>
      <c r="F9761" s="490">
        <v>0</v>
      </c>
      <c r="G9761" s="489">
        <v>32.04</v>
      </c>
      <c r="H9761" s="489">
        <v>0</v>
      </c>
      <c r="I9761" s="487" t="s">
        <v>1593</v>
      </c>
      <c r="J9761" s="487" t="s">
        <v>1391</v>
      </c>
    </row>
    <row r="9762" spans="1:10" ht="15" x14ac:dyDescent="0.2">
      <c r="A9762" s="486" t="s">
        <v>1390</v>
      </c>
      <c r="B9762" s="487" t="s">
        <v>1389</v>
      </c>
      <c r="C9762" s="488" t="s">
        <v>30104</v>
      </c>
      <c r="D9762" s="489" t="s">
        <v>30105</v>
      </c>
      <c r="E9762" s="487" t="s">
        <v>30106</v>
      </c>
      <c r="F9762" s="490">
        <v>20152.810000000001</v>
      </c>
      <c r="G9762" s="489">
        <v>556.4</v>
      </c>
      <c r="H9762" s="489">
        <v>36.22</v>
      </c>
      <c r="I9762" s="487" t="s">
        <v>1499</v>
      </c>
      <c r="J9762" s="487" t="s">
        <v>1391</v>
      </c>
    </row>
    <row r="9763" spans="1:10" ht="15" x14ac:dyDescent="0.2">
      <c r="A9763" s="486" t="s">
        <v>1390</v>
      </c>
      <c r="B9763" s="487" t="s">
        <v>1389</v>
      </c>
      <c r="C9763" s="488" t="s">
        <v>30107</v>
      </c>
      <c r="D9763" s="489" t="s">
        <v>30108</v>
      </c>
      <c r="E9763" s="487" t="s">
        <v>30109</v>
      </c>
      <c r="F9763" s="490">
        <v>31492.77</v>
      </c>
      <c r="G9763" s="489">
        <v>651.35</v>
      </c>
      <c r="H9763" s="489">
        <v>48.35</v>
      </c>
      <c r="I9763" s="487" t="s">
        <v>1499</v>
      </c>
      <c r="J9763" s="487" t="s">
        <v>1391</v>
      </c>
    </row>
    <row r="9764" spans="1:10" ht="15" x14ac:dyDescent="0.2">
      <c r="A9764" s="486" t="s">
        <v>1390</v>
      </c>
      <c r="B9764" s="487" t="s">
        <v>1389</v>
      </c>
      <c r="C9764" s="488" t="s">
        <v>30110</v>
      </c>
      <c r="D9764" s="489" t="s">
        <v>30111</v>
      </c>
      <c r="E9764" s="487" t="s">
        <v>30112</v>
      </c>
      <c r="F9764" s="490">
        <v>30000</v>
      </c>
      <c r="G9764" s="489">
        <v>207.27</v>
      </c>
      <c r="H9764" s="489">
        <v>144.73875000000001</v>
      </c>
      <c r="I9764" s="487" t="s">
        <v>1499</v>
      </c>
      <c r="J9764" s="487" t="s">
        <v>1391</v>
      </c>
    </row>
    <row r="9765" spans="1:10" ht="15" x14ac:dyDescent="0.2">
      <c r="A9765" s="486" t="s">
        <v>1390</v>
      </c>
      <c r="B9765" s="487" t="s">
        <v>1389</v>
      </c>
      <c r="C9765" s="488" t="s">
        <v>30113</v>
      </c>
      <c r="D9765" s="489" t="s">
        <v>30114</v>
      </c>
      <c r="E9765" s="487" t="s">
        <v>30115</v>
      </c>
      <c r="F9765" s="490">
        <v>15977.21</v>
      </c>
      <c r="G9765" s="489">
        <v>390</v>
      </c>
      <c r="H9765" s="489">
        <v>40.967210000000001</v>
      </c>
      <c r="I9765" s="487" t="s">
        <v>1499</v>
      </c>
      <c r="J9765" s="487" t="s">
        <v>1391</v>
      </c>
    </row>
    <row r="9766" spans="1:10" ht="15" x14ac:dyDescent="0.2">
      <c r="A9766" s="486" t="s">
        <v>1390</v>
      </c>
      <c r="B9766" s="487" t="s">
        <v>1389</v>
      </c>
      <c r="C9766" s="488" t="s">
        <v>30116</v>
      </c>
      <c r="D9766" s="489" t="s">
        <v>30117</v>
      </c>
      <c r="E9766" s="487" t="s">
        <v>30118</v>
      </c>
      <c r="F9766" s="490">
        <v>18390</v>
      </c>
      <c r="G9766" s="489">
        <v>321.13</v>
      </c>
      <c r="H9766" s="489">
        <v>57.266530000000003</v>
      </c>
      <c r="I9766" s="487" t="s">
        <v>1499</v>
      </c>
      <c r="J9766" s="487" t="s">
        <v>1391</v>
      </c>
    </row>
    <row r="9767" spans="1:10" ht="15" x14ac:dyDescent="0.2">
      <c r="A9767" s="486" t="s">
        <v>1390</v>
      </c>
      <c r="B9767" s="487" t="s">
        <v>1389</v>
      </c>
      <c r="C9767" s="488" t="s">
        <v>30119</v>
      </c>
      <c r="D9767" s="489" t="s">
        <v>30120</v>
      </c>
      <c r="E9767" s="487" t="s">
        <v>30121</v>
      </c>
      <c r="F9767" s="490">
        <v>10787</v>
      </c>
      <c r="G9767" s="489">
        <v>277.76</v>
      </c>
      <c r="H9767" s="489">
        <v>38.83569</v>
      </c>
      <c r="I9767" s="487" t="s">
        <v>1499</v>
      </c>
      <c r="J9767" s="487" t="s">
        <v>1391</v>
      </c>
    </row>
    <row r="9768" spans="1:10" ht="15" x14ac:dyDescent="0.2">
      <c r="A9768" s="486" t="s">
        <v>1390</v>
      </c>
      <c r="B9768" s="487" t="s">
        <v>1389</v>
      </c>
      <c r="C9768" s="488" t="s">
        <v>30122</v>
      </c>
      <c r="D9768" s="489" t="s">
        <v>30123</v>
      </c>
      <c r="E9768" s="487" t="s">
        <v>30124</v>
      </c>
      <c r="F9768" s="490">
        <v>2711.76</v>
      </c>
      <c r="G9768" s="489">
        <v>108.89</v>
      </c>
      <c r="H9768" s="489">
        <v>24.903659999999999</v>
      </c>
      <c r="I9768" s="487" t="s">
        <v>1499</v>
      </c>
      <c r="J9768" s="487" t="s">
        <v>1391</v>
      </c>
    </row>
    <row r="9769" spans="1:10" ht="15" x14ac:dyDescent="0.2">
      <c r="A9769" s="486" t="s">
        <v>1390</v>
      </c>
      <c r="B9769" s="487" t="s">
        <v>1389</v>
      </c>
      <c r="C9769" s="488" t="s">
        <v>30125</v>
      </c>
      <c r="D9769" s="489" t="s">
        <v>30126</v>
      </c>
      <c r="E9769" s="487" t="s">
        <v>1936</v>
      </c>
      <c r="F9769" s="490">
        <v>76000</v>
      </c>
      <c r="G9769" s="489">
        <v>770.75</v>
      </c>
      <c r="H9769" s="489">
        <v>98.605249999999998</v>
      </c>
      <c r="I9769" s="487" t="s">
        <v>1499</v>
      </c>
      <c r="J9769" s="487" t="s">
        <v>1391</v>
      </c>
    </row>
    <row r="9770" spans="1:10" ht="15" x14ac:dyDescent="0.2">
      <c r="A9770" s="486" t="s">
        <v>1390</v>
      </c>
      <c r="B9770" s="487" t="s">
        <v>1389</v>
      </c>
      <c r="C9770" s="488" t="s">
        <v>30127</v>
      </c>
      <c r="D9770" s="489" t="s">
        <v>30128</v>
      </c>
      <c r="E9770" s="487" t="s">
        <v>30129</v>
      </c>
      <c r="F9770" s="490">
        <v>19115.849999999999</v>
      </c>
      <c r="G9770" s="489">
        <v>371.47</v>
      </c>
      <c r="H9770" s="489">
        <v>51.460009999999997</v>
      </c>
      <c r="I9770" s="487" t="s">
        <v>1499</v>
      </c>
      <c r="J9770" s="487" t="s">
        <v>1391</v>
      </c>
    </row>
    <row r="9771" spans="1:10" ht="15" x14ac:dyDescent="0.2">
      <c r="A9771" s="486" t="s">
        <v>1390</v>
      </c>
      <c r="B9771" s="487" t="s">
        <v>1389</v>
      </c>
      <c r="C9771" s="488" t="s">
        <v>30130</v>
      </c>
      <c r="D9771" s="489" t="s">
        <v>30131</v>
      </c>
      <c r="E9771" s="487" t="s">
        <v>30132</v>
      </c>
      <c r="F9771" s="490">
        <v>62039.18</v>
      </c>
      <c r="G9771" s="489">
        <v>1418.42</v>
      </c>
      <c r="H9771" s="489">
        <v>43.738230000000001</v>
      </c>
      <c r="I9771" s="487" t="s">
        <v>1499</v>
      </c>
      <c r="J9771" s="487" t="s">
        <v>1391</v>
      </c>
    </row>
    <row r="9772" spans="1:10" ht="15" x14ac:dyDescent="0.2">
      <c r="A9772" s="486" t="s">
        <v>1390</v>
      </c>
      <c r="B9772" s="487" t="s">
        <v>1389</v>
      </c>
      <c r="C9772" s="488" t="s">
        <v>30133</v>
      </c>
      <c r="D9772" s="489" t="s">
        <v>30134</v>
      </c>
      <c r="E9772" s="487" t="s">
        <v>30135</v>
      </c>
      <c r="F9772" s="490">
        <v>17825</v>
      </c>
      <c r="G9772" s="489">
        <v>122.35</v>
      </c>
      <c r="H9772" s="489">
        <v>145.68860000000001</v>
      </c>
      <c r="I9772" s="487" t="s">
        <v>1499</v>
      </c>
      <c r="J9772" s="487" t="s">
        <v>1391</v>
      </c>
    </row>
    <row r="9773" spans="1:10" ht="15" x14ac:dyDescent="0.2">
      <c r="A9773" s="486" t="s">
        <v>1390</v>
      </c>
      <c r="B9773" s="487" t="s">
        <v>1389</v>
      </c>
      <c r="C9773" s="488" t="s">
        <v>30136</v>
      </c>
      <c r="D9773" s="489" t="s">
        <v>30137</v>
      </c>
      <c r="E9773" s="487" t="s">
        <v>17091</v>
      </c>
      <c r="F9773" s="490">
        <v>33000</v>
      </c>
      <c r="G9773" s="489">
        <v>848.3</v>
      </c>
      <c r="H9773" s="489">
        <v>38.901330000000002</v>
      </c>
      <c r="I9773" s="487" t="s">
        <v>1499</v>
      </c>
      <c r="J9773" s="487" t="s">
        <v>1391</v>
      </c>
    </row>
    <row r="9774" spans="1:10" ht="15" x14ac:dyDescent="0.2">
      <c r="A9774" s="486" t="s">
        <v>1390</v>
      </c>
      <c r="B9774" s="487" t="s">
        <v>1389</v>
      </c>
      <c r="C9774" s="488" t="s">
        <v>30138</v>
      </c>
      <c r="D9774" s="489" t="s">
        <v>30139</v>
      </c>
      <c r="E9774" s="487" t="s">
        <v>30140</v>
      </c>
      <c r="F9774" s="490">
        <v>3770</v>
      </c>
      <c r="G9774" s="489">
        <v>64</v>
      </c>
      <c r="H9774" s="489">
        <v>58.90625</v>
      </c>
      <c r="I9774" s="487" t="s">
        <v>1499</v>
      </c>
      <c r="J9774" s="487" t="s">
        <v>1391</v>
      </c>
    </row>
    <row r="9775" spans="1:10" ht="15" x14ac:dyDescent="0.2">
      <c r="A9775" s="486" t="s">
        <v>1390</v>
      </c>
      <c r="B9775" s="487" t="s">
        <v>1389</v>
      </c>
      <c r="C9775" s="488" t="s">
        <v>30141</v>
      </c>
      <c r="D9775" s="489" t="s">
        <v>30142</v>
      </c>
      <c r="E9775" s="487" t="s">
        <v>5592</v>
      </c>
      <c r="F9775" s="490">
        <v>0</v>
      </c>
      <c r="G9775" s="489">
        <v>31.58</v>
      </c>
      <c r="H9775" s="489">
        <v>0</v>
      </c>
      <c r="I9775" s="487" t="s">
        <v>1593</v>
      </c>
      <c r="J9775" s="487" t="s">
        <v>1391</v>
      </c>
    </row>
    <row r="9776" spans="1:10" ht="15" x14ac:dyDescent="0.2">
      <c r="A9776" s="486" t="s">
        <v>1390</v>
      </c>
      <c r="B9776" s="487" t="s">
        <v>1389</v>
      </c>
      <c r="C9776" s="488" t="s">
        <v>30143</v>
      </c>
      <c r="D9776" s="489" t="s">
        <v>30144</v>
      </c>
      <c r="E9776" s="487" t="s">
        <v>30145</v>
      </c>
      <c r="F9776" s="490">
        <v>1744579</v>
      </c>
      <c r="G9776" s="489">
        <v>6705.02</v>
      </c>
      <c r="H9776" s="489">
        <v>260.18997999999999</v>
      </c>
      <c r="I9776" s="487" t="s">
        <v>1499</v>
      </c>
      <c r="J9776" s="487" t="s">
        <v>1391</v>
      </c>
    </row>
    <row r="9777" spans="1:10" ht="15" x14ac:dyDescent="0.2">
      <c r="A9777" s="486" t="s">
        <v>1390</v>
      </c>
      <c r="B9777" s="487" t="s">
        <v>1389</v>
      </c>
      <c r="C9777" s="488" t="s">
        <v>30146</v>
      </c>
      <c r="D9777" s="489" t="s">
        <v>30147</v>
      </c>
      <c r="E9777" s="487" t="s">
        <v>30148</v>
      </c>
      <c r="F9777" s="490">
        <v>6600</v>
      </c>
      <c r="G9777" s="489">
        <v>166.54</v>
      </c>
      <c r="H9777" s="489">
        <v>39.630119999999998</v>
      </c>
      <c r="I9777" s="487" t="s">
        <v>1499</v>
      </c>
      <c r="J9777" s="487" t="s">
        <v>1391</v>
      </c>
    </row>
    <row r="9778" spans="1:10" ht="15" x14ac:dyDescent="0.2">
      <c r="A9778" s="486" t="s">
        <v>1390</v>
      </c>
      <c r="B9778" s="487" t="s">
        <v>1389</v>
      </c>
      <c r="C9778" s="488" t="s">
        <v>30149</v>
      </c>
      <c r="D9778" s="489" t="s">
        <v>30150</v>
      </c>
      <c r="E9778" s="487" t="s">
        <v>30151</v>
      </c>
      <c r="F9778" s="490">
        <v>7750</v>
      </c>
      <c r="G9778" s="489">
        <v>365.8</v>
      </c>
      <c r="H9778" s="489">
        <v>21.186440000000001</v>
      </c>
      <c r="I9778" s="487" t="s">
        <v>1499</v>
      </c>
      <c r="J9778" s="487" t="s">
        <v>1391</v>
      </c>
    </row>
    <row r="9779" spans="1:10" ht="15" x14ac:dyDescent="0.2">
      <c r="A9779" s="486" t="s">
        <v>1390</v>
      </c>
      <c r="B9779" s="487" t="s">
        <v>1389</v>
      </c>
      <c r="C9779" s="488" t="s">
        <v>30152</v>
      </c>
      <c r="D9779" s="489" t="s">
        <v>30153</v>
      </c>
      <c r="E9779" s="487" t="s">
        <v>12081</v>
      </c>
      <c r="F9779" s="490">
        <v>9888</v>
      </c>
      <c r="G9779" s="489">
        <v>243.61</v>
      </c>
      <c r="H9779" s="489">
        <v>40.589469999999999</v>
      </c>
      <c r="I9779" s="487" t="s">
        <v>1499</v>
      </c>
      <c r="J9779" s="487" t="s">
        <v>1391</v>
      </c>
    </row>
    <row r="9780" spans="1:10" ht="15" x14ac:dyDescent="0.2">
      <c r="A9780" s="486" t="s">
        <v>1390</v>
      </c>
      <c r="B9780" s="487" t="s">
        <v>1389</v>
      </c>
      <c r="C9780" s="488" t="s">
        <v>30154</v>
      </c>
      <c r="D9780" s="489" t="s">
        <v>30155</v>
      </c>
      <c r="E9780" s="487" t="s">
        <v>30156</v>
      </c>
      <c r="F9780" s="490">
        <v>1450</v>
      </c>
      <c r="G9780" s="489">
        <v>89.32</v>
      </c>
      <c r="H9780" s="489">
        <v>16.23377</v>
      </c>
      <c r="I9780" s="487" t="s">
        <v>1499</v>
      </c>
      <c r="J9780" s="487" t="s">
        <v>1391</v>
      </c>
    </row>
    <row r="9781" spans="1:10" ht="15" x14ac:dyDescent="0.2">
      <c r="A9781" s="486" t="s">
        <v>1390</v>
      </c>
      <c r="B9781" s="487" t="s">
        <v>1389</v>
      </c>
      <c r="C9781" s="488" t="s">
        <v>30157</v>
      </c>
      <c r="D9781" s="489" t="s">
        <v>30158</v>
      </c>
      <c r="E9781" s="487" t="s">
        <v>30159</v>
      </c>
      <c r="F9781" s="490">
        <v>27898.49</v>
      </c>
      <c r="G9781" s="489">
        <v>566.89</v>
      </c>
      <c r="H9781" s="489">
        <v>49.213230000000003</v>
      </c>
      <c r="I9781" s="487" t="s">
        <v>1499</v>
      </c>
      <c r="J9781" s="487" t="s">
        <v>1391</v>
      </c>
    </row>
    <row r="9782" spans="1:10" ht="15" x14ac:dyDescent="0.2">
      <c r="A9782" s="486" t="s">
        <v>1390</v>
      </c>
      <c r="B9782" s="487" t="s">
        <v>1389</v>
      </c>
      <c r="C9782" s="488" t="s">
        <v>30160</v>
      </c>
      <c r="D9782" s="489" t="s">
        <v>30161</v>
      </c>
      <c r="E9782" s="487" t="s">
        <v>30162</v>
      </c>
      <c r="F9782" s="490">
        <v>17399</v>
      </c>
      <c r="G9782" s="489">
        <v>246.85</v>
      </c>
      <c r="H9782" s="489">
        <v>70.484099999999998</v>
      </c>
      <c r="I9782" s="487" t="s">
        <v>1499</v>
      </c>
      <c r="J9782" s="487" t="s">
        <v>1391</v>
      </c>
    </row>
    <row r="9783" spans="1:10" ht="15" x14ac:dyDescent="0.2">
      <c r="A9783" s="486" t="s">
        <v>1390</v>
      </c>
      <c r="B9783" s="487" t="s">
        <v>1389</v>
      </c>
      <c r="C9783" s="488" t="s">
        <v>30163</v>
      </c>
      <c r="D9783" s="489" t="s">
        <v>30164</v>
      </c>
      <c r="E9783" s="487" t="s">
        <v>30165</v>
      </c>
      <c r="F9783" s="490">
        <v>0</v>
      </c>
      <c r="G9783" s="489">
        <v>40.32</v>
      </c>
      <c r="H9783" s="489">
        <v>0</v>
      </c>
      <c r="I9783" s="487" t="s">
        <v>1593</v>
      </c>
      <c r="J9783" s="487" t="s">
        <v>1391</v>
      </c>
    </row>
    <row r="9784" spans="1:10" ht="15" x14ac:dyDescent="0.2">
      <c r="A9784" s="486" t="s">
        <v>1390</v>
      </c>
      <c r="B9784" s="487" t="s">
        <v>1389</v>
      </c>
      <c r="C9784" s="488" t="s">
        <v>30166</v>
      </c>
      <c r="D9784" s="489" t="s">
        <v>30167</v>
      </c>
      <c r="E9784" s="487" t="s">
        <v>30168</v>
      </c>
      <c r="F9784" s="490">
        <v>15400</v>
      </c>
      <c r="G9784" s="489">
        <v>241.44</v>
      </c>
      <c r="H9784" s="489">
        <v>63.78396</v>
      </c>
      <c r="I9784" s="487" t="s">
        <v>1499</v>
      </c>
      <c r="J9784" s="487" t="s">
        <v>1391</v>
      </c>
    </row>
    <row r="9785" spans="1:10" ht="15" x14ac:dyDescent="0.2">
      <c r="A9785" s="486" t="s">
        <v>1390</v>
      </c>
      <c r="B9785" s="487" t="s">
        <v>1389</v>
      </c>
      <c r="C9785" s="488" t="s">
        <v>30169</v>
      </c>
      <c r="D9785" s="489" t="s">
        <v>30170</v>
      </c>
      <c r="E9785" s="487" t="s">
        <v>30171</v>
      </c>
      <c r="F9785" s="490">
        <v>8049</v>
      </c>
      <c r="G9785" s="489">
        <v>208.95</v>
      </c>
      <c r="H9785" s="489">
        <v>38.521180000000001</v>
      </c>
      <c r="I9785" s="487" t="s">
        <v>1499</v>
      </c>
      <c r="J9785" s="487" t="s">
        <v>1391</v>
      </c>
    </row>
    <row r="9786" spans="1:10" ht="15" x14ac:dyDescent="0.2">
      <c r="A9786" s="486" t="s">
        <v>1390</v>
      </c>
      <c r="B9786" s="487" t="s">
        <v>1389</v>
      </c>
      <c r="C9786" s="488" t="s">
        <v>30172</v>
      </c>
      <c r="D9786" s="489" t="s">
        <v>30173</v>
      </c>
      <c r="E9786" s="487" t="s">
        <v>3367</v>
      </c>
      <c r="F9786" s="490">
        <v>4380925</v>
      </c>
      <c r="G9786" s="489">
        <v>13635.76</v>
      </c>
      <c r="H9786" s="489">
        <v>321.28206</v>
      </c>
      <c r="I9786" s="487" t="s">
        <v>1499</v>
      </c>
      <c r="J9786" s="487" t="s">
        <v>1391</v>
      </c>
    </row>
    <row r="9787" spans="1:10" ht="15" x14ac:dyDescent="0.2">
      <c r="A9787" s="486" t="s">
        <v>1390</v>
      </c>
      <c r="B9787" s="487" t="s">
        <v>1389</v>
      </c>
      <c r="C9787" s="488" t="s">
        <v>30174</v>
      </c>
      <c r="D9787" s="489" t="s">
        <v>30175</v>
      </c>
      <c r="E9787" s="487" t="s">
        <v>30176</v>
      </c>
      <c r="F9787" s="490">
        <v>12000</v>
      </c>
      <c r="G9787" s="489">
        <v>92.05</v>
      </c>
      <c r="H9787" s="489">
        <v>130.36393000000001</v>
      </c>
      <c r="I9787" s="487" t="s">
        <v>1499</v>
      </c>
      <c r="J9787" s="487" t="s">
        <v>1391</v>
      </c>
    </row>
    <row r="9788" spans="1:10" ht="15" x14ac:dyDescent="0.2">
      <c r="A9788" s="486" t="s">
        <v>1390</v>
      </c>
      <c r="B9788" s="487" t="s">
        <v>1389</v>
      </c>
      <c r="C9788" s="488" t="s">
        <v>30177</v>
      </c>
      <c r="D9788" s="489" t="s">
        <v>30178</v>
      </c>
      <c r="E9788" s="487" t="s">
        <v>30179</v>
      </c>
      <c r="F9788" s="490">
        <v>14858</v>
      </c>
      <c r="G9788" s="489">
        <v>183.93</v>
      </c>
      <c r="H9788" s="489">
        <v>80.780730000000005</v>
      </c>
      <c r="I9788" s="487" t="s">
        <v>1499</v>
      </c>
      <c r="J9788" s="487" t="s">
        <v>1391</v>
      </c>
    </row>
    <row r="9789" spans="1:10" ht="15" x14ac:dyDescent="0.2">
      <c r="A9789" s="486" t="s">
        <v>1390</v>
      </c>
      <c r="B9789" s="487" t="s">
        <v>1389</v>
      </c>
      <c r="C9789" s="488" t="s">
        <v>30180</v>
      </c>
      <c r="D9789" s="489" t="s">
        <v>30181</v>
      </c>
      <c r="E9789" s="487" t="s">
        <v>30182</v>
      </c>
      <c r="F9789" s="490">
        <v>11269.35</v>
      </c>
      <c r="G9789" s="489">
        <v>144.22</v>
      </c>
      <c r="H9789" s="489">
        <v>78.139989999999997</v>
      </c>
      <c r="I9789" s="487" t="s">
        <v>1499</v>
      </c>
      <c r="J9789" s="487" t="s">
        <v>1391</v>
      </c>
    </row>
    <row r="9790" spans="1:10" ht="15" x14ac:dyDescent="0.2">
      <c r="A9790" s="486" t="s">
        <v>1390</v>
      </c>
      <c r="B9790" s="487" t="s">
        <v>1389</v>
      </c>
      <c r="C9790" s="488" t="s">
        <v>30183</v>
      </c>
      <c r="D9790" s="489" t="s">
        <v>30184</v>
      </c>
      <c r="E9790" s="487" t="s">
        <v>30185</v>
      </c>
      <c r="F9790" s="490">
        <v>5169.92</v>
      </c>
      <c r="G9790" s="489">
        <v>92.32</v>
      </c>
      <c r="H9790" s="489">
        <v>56</v>
      </c>
      <c r="I9790" s="487" t="s">
        <v>1499</v>
      </c>
      <c r="J9790" s="487" t="s">
        <v>1391</v>
      </c>
    </row>
    <row r="9791" spans="1:10" ht="15" x14ac:dyDescent="0.2">
      <c r="A9791" s="486" t="s">
        <v>1390</v>
      </c>
      <c r="B9791" s="487" t="s">
        <v>1389</v>
      </c>
      <c r="C9791" s="488" t="s">
        <v>30186</v>
      </c>
      <c r="D9791" s="489" t="s">
        <v>30187</v>
      </c>
      <c r="E9791" s="487" t="s">
        <v>30188</v>
      </c>
      <c r="F9791" s="490">
        <v>36695.86</v>
      </c>
      <c r="G9791" s="489">
        <v>371.82</v>
      </c>
      <c r="H9791" s="489">
        <v>98.692539999999994</v>
      </c>
      <c r="I9791" s="487" t="s">
        <v>1499</v>
      </c>
      <c r="J9791" s="487" t="s">
        <v>1391</v>
      </c>
    </row>
    <row r="9792" spans="1:10" ht="15" x14ac:dyDescent="0.2">
      <c r="A9792" s="486" t="s">
        <v>1390</v>
      </c>
      <c r="B9792" s="487" t="s">
        <v>1389</v>
      </c>
      <c r="C9792" s="488" t="s">
        <v>30189</v>
      </c>
      <c r="D9792" s="489" t="s">
        <v>30190</v>
      </c>
      <c r="E9792" s="487" t="s">
        <v>30191</v>
      </c>
      <c r="F9792" s="490">
        <v>12700</v>
      </c>
      <c r="G9792" s="489">
        <v>173.91</v>
      </c>
      <c r="H9792" s="489">
        <v>73.02628</v>
      </c>
      <c r="I9792" s="487" t="s">
        <v>1499</v>
      </c>
      <c r="J9792" s="487" t="s">
        <v>1391</v>
      </c>
    </row>
    <row r="9793" spans="1:10" ht="15" x14ac:dyDescent="0.2">
      <c r="A9793" s="486" t="s">
        <v>1390</v>
      </c>
      <c r="B9793" s="487" t="s">
        <v>1389</v>
      </c>
      <c r="C9793" s="488" t="s">
        <v>30192</v>
      </c>
      <c r="D9793" s="489" t="s">
        <v>30193</v>
      </c>
      <c r="E9793" s="487" t="s">
        <v>30194</v>
      </c>
      <c r="F9793" s="490">
        <v>6200</v>
      </c>
      <c r="G9793" s="489">
        <v>91.22</v>
      </c>
      <c r="H9793" s="489">
        <v>67.967550000000003</v>
      </c>
      <c r="I9793" s="487" t="s">
        <v>1499</v>
      </c>
      <c r="J9793" s="487" t="s">
        <v>1391</v>
      </c>
    </row>
    <row r="9794" spans="1:10" ht="15" x14ac:dyDescent="0.2">
      <c r="A9794" s="486" t="s">
        <v>1390</v>
      </c>
      <c r="B9794" s="487" t="s">
        <v>1389</v>
      </c>
      <c r="C9794" s="488" t="s">
        <v>30195</v>
      </c>
      <c r="D9794" s="489" t="s">
        <v>30196</v>
      </c>
      <c r="E9794" s="487" t="s">
        <v>30197</v>
      </c>
      <c r="F9794" s="490">
        <v>5405</v>
      </c>
      <c r="G9794" s="489">
        <v>137.97999999999999</v>
      </c>
      <c r="H9794" s="489">
        <v>39.172339999999998</v>
      </c>
      <c r="I9794" s="487" t="s">
        <v>1499</v>
      </c>
      <c r="J9794" s="487" t="s">
        <v>1391</v>
      </c>
    </row>
    <row r="9795" spans="1:10" ht="15" x14ac:dyDescent="0.2">
      <c r="A9795" s="486" t="s">
        <v>1390</v>
      </c>
      <c r="B9795" s="487" t="s">
        <v>1389</v>
      </c>
      <c r="C9795" s="488" t="s">
        <v>30198</v>
      </c>
      <c r="D9795" s="489" t="s">
        <v>30199</v>
      </c>
      <c r="E9795" s="487" t="s">
        <v>30200</v>
      </c>
      <c r="F9795" s="490">
        <v>5000</v>
      </c>
      <c r="G9795" s="489">
        <v>156.62</v>
      </c>
      <c r="H9795" s="489">
        <v>31.924399999999999</v>
      </c>
      <c r="I9795" s="487" t="s">
        <v>1499</v>
      </c>
      <c r="J9795" s="487" t="s">
        <v>1391</v>
      </c>
    </row>
    <row r="9796" spans="1:10" ht="15" x14ac:dyDescent="0.2">
      <c r="A9796" s="486" t="s">
        <v>1390</v>
      </c>
      <c r="B9796" s="487" t="s">
        <v>1389</v>
      </c>
      <c r="C9796" s="488" t="s">
        <v>30201</v>
      </c>
      <c r="D9796" s="489" t="s">
        <v>30202</v>
      </c>
      <c r="E9796" s="487" t="s">
        <v>30203</v>
      </c>
      <c r="F9796" s="490">
        <v>20695</v>
      </c>
      <c r="G9796" s="489">
        <v>364.71</v>
      </c>
      <c r="H9796" s="489">
        <v>56.74371</v>
      </c>
      <c r="I9796" s="487" t="s">
        <v>1499</v>
      </c>
      <c r="J9796" s="487" t="s">
        <v>1391</v>
      </c>
    </row>
    <row r="9797" spans="1:10" ht="15" x14ac:dyDescent="0.2">
      <c r="A9797" s="486" t="s">
        <v>1390</v>
      </c>
      <c r="B9797" s="487" t="s">
        <v>1389</v>
      </c>
      <c r="C9797" s="488" t="s">
        <v>30204</v>
      </c>
      <c r="D9797" s="489" t="s">
        <v>30205</v>
      </c>
      <c r="E9797" s="487" t="s">
        <v>30206</v>
      </c>
      <c r="F9797" s="490">
        <v>82390</v>
      </c>
      <c r="G9797" s="489">
        <v>938.71</v>
      </c>
      <c r="H9797" s="489">
        <v>87.769390000000001</v>
      </c>
      <c r="I9797" s="487" t="s">
        <v>1499</v>
      </c>
      <c r="J9797" s="487" t="s">
        <v>1391</v>
      </c>
    </row>
    <row r="9798" spans="1:10" ht="15" x14ac:dyDescent="0.2">
      <c r="A9798" s="486" t="s">
        <v>1390</v>
      </c>
      <c r="B9798" s="487" t="s">
        <v>1389</v>
      </c>
      <c r="C9798" s="488" t="s">
        <v>30207</v>
      </c>
      <c r="D9798" s="489" t="s">
        <v>30208</v>
      </c>
      <c r="E9798" s="487" t="s">
        <v>30209</v>
      </c>
      <c r="F9798" s="490">
        <v>32753</v>
      </c>
      <c r="G9798" s="489">
        <v>386.75</v>
      </c>
      <c r="H9798" s="489">
        <v>84.687780000000004</v>
      </c>
      <c r="I9798" s="487" t="s">
        <v>1499</v>
      </c>
      <c r="J9798" s="487" t="s">
        <v>1391</v>
      </c>
    </row>
    <row r="9799" spans="1:10" ht="15" x14ac:dyDescent="0.2">
      <c r="A9799" s="486" t="s">
        <v>1390</v>
      </c>
      <c r="B9799" s="487" t="s">
        <v>1389</v>
      </c>
      <c r="C9799" s="488" t="s">
        <v>30210</v>
      </c>
      <c r="D9799" s="489" t="s">
        <v>30211</v>
      </c>
      <c r="E9799" s="487" t="s">
        <v>30212</v>
      </c>
      <c r="F9799" s="490">
        <v>16000</v>
      </c>
      <c r="G9799" s="489">
        <v>230.52</v>
      </c>
      <c r="H9799" s="489">
        <v>69.408289999999994</v>
      </c>
      <c r="I9799" s="487" t="s">
        <v>1499</v>
      </c>
      <c r="J9799" s="487" t="s">
        <v>1391</v>
      </c>
    </row>
    <row r="9800" spans="1:10" ht="15" x14ac:dyDescent="0.2">
      <c r="A9800" s="486" t="s">
        <v>1390</v>
      </c>
      <c r="B9800" s="487" t="s">
        <v>1389</v>
      </c>
      <c r="C9800" s="488" t="s">
        <v>30213</v>
      </c>
      <c r="D9800" s="489" t="s">
        <v>30214</v>
      </c>
      <c r="E9800" s="487" t="s">
        <v>30215</v>
      </c>
      <c r="F9800" s="490">
        <v>9000</v>
      </c>
      <c r="G9800" s="489">
        <v>128.35</v>
      </c>
      <c r="H9800" s="489">
        <v>70.120760000000004</v>
      </c>
      <c r="I9800" s="487" t="s">
        <v>1499</v>
      </c>
      <c r="J9800" s="487" t="s">
        <v>1391</v>
      </c>
    </row>
    <row r="9801" spans="1:10" ht="15" x14ac:dyDescent="0.2">
      <c r="A9801" s="486" t="s">
        <v>1390</v>
      </c>
      <c r="B9801" s="487" t="s">
        <v>1389</v>
      </c>
      <c r="C9801" s="488" t="s">
        <v>30216</v>
      </c>
      <c r="D9801" s="489" t="s">
        <v>30217</v>
      </c>
      <c r="E9801" s="487" t="s">
        <v>30218</v>
      </c>
      <c r="F9801" s="490">
        <v>3000</v>
      </c>
      <c r="G9801" s="489">
        <v>61.05</v>
      </c>
      <c r="H9801" s="489">
        <v>49.140050000000002</v>
      </c>
      <c r="I9801" s="487" t="s">
        <v>1499</v>
      </c>
      <c r="J9801" s="487" t="s">
        <v>1391</v>
      </c>
    </row>
    <row r="9802" spans="1:10" ht="15" x14ac:dyDescent="0.2">
      <c r="A9802" s="486" t="s">
        <v>1390</v>
      </c>
      <c r="B9802" s="487" t="s">
        <v>1389</v>
      </c>
      <c r="C9802" s="488" t="s">
        <v>30219</v>
      </c>
      <c r="D9802" s="489" t="s">
        <v>30220</v>
      </c>
      <c r="E9802" s="487" t="s">
        <v>30221</v>
      </c>
      <c r="F9802" s="490">
        <v>14000</v>
      </c>
      <c r="G9802" s="489">
        <v>367.51</v>
      </c>
      <c r="H9802" s="489">
        <v>38.094200000000001</v>
      </c>
      <c r="I9802" s="487" t="s">
        <v>1499</v>
      </c>
      <c r="J9802" s="487" t="s">
        <v>1391</v>
      </c>
    </row>
    <row r="9803" spans="1:10" ht="15" x14ac:dyDescent="0.2">
      <c r="A9803" s="486" t="s">
        <v>1390</v>
      </c>
      <c r="B9803" s="487" t="s">
        <v>1389</v>
      </c>
      <c r="C9803" s="488" t="s">
        <v>30222</v>
      </c>
      <c r="D9803" s="489" t="s">
        <v>30223</v>
      </c>
      <c r="E9803" s="487" t="s">
        <v>30224</v>
      </c>
      <c r="F9803" s="490">
        <v>1333847</v>
      </c>
      <c r="G9803" s="489">
        <v>4962.54</v>
      </c>
      <c r="H9803" s="489">
        <v>268.78312</v>
      </c>
      <c r="I9803" s="487" t="s">
        <v>1499</v>
      </c>
      <c r="J9803" s="487" t="s">
        <v>1391</v>
      </c>
    </row>
    <row r="9804" spans="1:10" ht="15" x14ac:dyDescent="0.2">
      <c r="A9804" s="486" t="s">
        <v>1390</v>
      </c>
      <c r="B9804" s="487" t="s">
        <v>1389</v>
      </c>
      <c r="C9804" s="488" t="s">
        <v>30225</v>
      </c>
      <c r="D9804" s="489" t="s">
        <v>30226</v>
      </c>
      <c r="E9804" s="487" t="s">
        <v>30227</v>
      </c>
      <c r="F9804" s="490">
        <v>15878</v>
      </c>
      <c r="G9804" s="489">
        <v>352.63</v>
      </c>
      <c r="H9804" s="489">
        <v>45.027369999999998</v>
      </c>
      <c r="I9804" s="487" t="s">
        <v>1499</v>
      </c>
      <c r="J9804" s="487" t="s">
        <v>1391</v>
      </c>
    </row>
    <row r="9805" spans="1:10" ht="15" x14ac:dyDescent="0.2">
      <c r="A9805" s="486" t="s">
        <v>1390</v>
      </c>
      <c r="B9805" s="487" t="s">
        <v>1389</v>
      </c>
      <c r="C9805" s="488" t="s">
        <v>30228</v>
      </c>
      <c r="D9805" s="489" t="s">
        <v>30229</v>
      </c>
      <c r="E9805" s="487" t="s">
        <v>30230</v>
      </c>
      <c r="F9805" s="490">
        <v>5210</v>
      </c>
      <c r="G9805" s="489">
        <v>83.33</v>
      </c>
      <c r="H9805" s="489">
        <v>62.522500000000001</v>
      </c>
      <c r="I9805" s="487" t="s">
        <v>1499</v>
      </c>
      <c r="J9805" s="487" t="s">
        <v>1391</v>
      </c>
    </row>
    <row r="9806" spans="1:10" ht="15" x14ac:dyDescent="0.2">
      <c r="A9806" s="486" t="s">
        <v>1390</v>
      </c>
      <c r="B9806" s="487" t="s">
        <v>1389</v>
      </c>
      <c r="C9806" s="488" t="s">
        <v>30231</v>
      </c>
      <c r="D9806" s="489" t="s">
        <v>30232</v>
      </c>
      <c r="E9806" s="487" t="s">
        <v>30233</v>
      </c>
      <c r="F9806" s="490">
        <v>407398</v>
      </c>
      <c r="G9806" s="489">
        <v>1676.23</v>
      </c>
      <c r="H9806" s="489">
        <v>243.04420999999999</v>
      </c>
      <c r="I9806" s="487" t="s">
        <v>1499</v>
      </c>
      <c r="J9806" s="487" t="s">
        <v>1391</v>
      </c>
    </row>
    <row r="9807" spans="1:10" ht="15" x14ac:dyDescent="0.2">
      <c r="A9807" s="486" t="s">
        <v>1390</v>
      </c>
      <c r="B9807" s="487" t="s">
        <v>1389</v>
      </c>
      <c r="C9807" s="488" t="s">
        <v>30234</v>
      </c>
      <c r="D9807" s="489" t="s">
        <v>30235</v>
      </c>
      <c r="E9807" s="487" t="s">
        <v>30236</v>
      </c>
      <c r="F9807" s="490">
        <v>17640</v>
      </c>
      <c r="G9807" s="489">
        <v>531.29</v>
      </c>
      <c r="H9807" s="489">
        <v>33.202210000000001</v>
      </c>
      <c r="I9807" s="487" t="s">
        <v>1499</v>
      </c>
      <c r="J9807" s="487" t="s">
        <v>1391</v>
      </c>
    </row>
    <row r="9808" spans="1:10" ht="15" x14ac:dyDescent="0.2">
      <c r="A9808" s="486" t="s">
        <v>1390</v>
      </c>
      <c r="B9808" s="487" t="s">
        <v>1389</v>
      </c>
      <c r="C9808" s="488" t="s">
        <v>30237</v>
      </c>
      <c r="D9808" s="489" t="s">
        <v>30238</v>
      </c>
      <c r="E9808" s="487" t="s">
        <v>30239</v>
      </c>
      <c r="F9808" s="490">
        <v>25500</v>
      </c>
      <c r="G9808" s="489">
        <v>261.33999999999997</v>
      </c>
      <c r="H9808" s="489">
        <v>97.574039999999997</v>
      </c>
      <c r="I9808" s="487" t="s">
        <v>1499</v>
      </c>
      <c r="J9808" s="487" t="s">
        <v>1391</v>
      </c>
    </row>
    <row r="9809" spans="1:10" ht="15" x14ac:dyDescent="0.2">
      <c r="A9809" s="486" t="s">
        <v>1390</v>
      </c>
      <c r="B9809" s="487" t="s">
        <v>1389</v>
      </c>
      <c r="C9809" s="488" t="s">
        <v>30240</v>
      </c>
      <c r="D9809" s="489" t="s">
        <v>30241</v>
      </c>
      <c r="E9809" s="487" t="s">
        <v>30242</v>
      </c>
      <c r="F9809" s="490">
        <v>1342264</v>
      </c>
      <c r="G9809" s="489">
        <v>6100.77</v>
      </c>
      <c r="H9809" s="489">
        <v>220.01551000000001</v>
      </c>
      <c r="I9809" s="487" t="s">
        <v>1499</v>
      </c>
      <c r="J9809" s="487" t="s">
        <v>1391</v>
      </c>
    </row>
    <row r="9810" spans="1:10" ht="15" x14ac:dyDescent="0.2">
      <c r="A9810" s="486" t="s">
        <v>1390</v>
      </c>
      <c r="B9810" s="487" t="s">
        <v>1389</v>
      </c>
      <c r="C9810" s="488" t="s">
        <v>30243</v>
      </c>
      <c r="D9810" s="489" t="s">
        <v>30244</v>
      </c>
      <c r="E9810" s="487" t="s">
        <v>30245</v>
      </c>
      <c r="F9810" s="490">
        <v>35640</v>
      </c>
      <c r="G9810" s="489">
        <v>726.76</v>
      </c>
      <c r="H9810" s="489">
        <v>49.039569999999998</v>
      </c>
      <c r="I9810" s="487" t="s">
        <v>1499</v>
      </c>
      <c r="J9810" s="487" t="s">
        <v>1391</v>
      </c>
    </row>
    <row r="9811" spans="1:10" ht="15" x14ac:dyDescent="0.2">
      <c r="A9811" s="486" t="s">
        <v>1390</v>
      </c>
      <c r="B9811" s="487" t="s">
        <v>1389</v>
      </c>
      <c r="C9811" s="488" t="s">
        <v>30246</v>
      </c>
      <c r="D9811" s="489" t="s">
        <v>30247</v>
      </c>
      <c r="E9811" s="487" t="s">
        <v>30248</v>
      </c>
      <c r="F9811" s="490">
        <v>13000</v>
      </c>
      <c r="G9811" s="489">
        <v>317.42</v>
      </c>
      <c r="H9811" s="489">
        <v>40.955199999999998</v>
      </c>
      <c r="I9811" s="487" t="s">
        <v>1499</v>
      </c>
      <c r="J9811" s="487" t="s">
        <v>1391</v>
      </c>
    </row>
    <row r="9812" spans="1:10" ht="15" x14ac:dyDescent="0.2">
      <c r="A9812" s="486" t="s">
        <v>1390</v>
      </c>
      <c r="B9812" s="487" t="s">
        <v>1389</v>
      </c>
      <c r="C9812" s="488" t="s">
        <v>30249</v>
      </c>
      <c r="D9812" s="489" t="s">
        <v>30250</v>
      </c>
      <c r="E9812" s="487" t="s">
        <v>30251</v>
      </c>
      <c r="F9812" s="490">
        <v>13424.41</v>
      </c>
      <c r="G9812" s="489">
        <v>256.73</v>
      </c>
      <c r="H9812" s="489">
        <v>52.289990000000003</v>
      </c>
      <c r="I9812" s="487" t="s">
        <v>1499</v>
      </c>
      <c r="J9812" s="487" t="s">
        <v>1391</v>
      </c>
    </row>
    <row r="9813" spans="1:10" ht="15" x14ac:dyDescent="0.2">
      <c r="A9813" s="486" t="s">
        <v>1390</v>
      </c>
      <c r="B9813" s="487" t="s">
        <v>1389</v>
      </c>
      <c r="C9813" s="488" t="s">
        <v>30252</v>
      </c>
      <c r="D9813" s="489" t="s">
        <v>30253</v>
      </c>
      <c r="E9813" s="487" t="s">
        <v>30254</v>
      </c>
      <c r="F9813" s="490">
        <v>20935</v>
      </c>
      <c r="G9813" s="489">
        <v>489.06</v>
      </c>
      <c r="H9813" s="489">
        <v>42.806609999999999</v>
      </c>
      <c r="I9813" s="487" t="s">
        <v>1499</v>
      </c>
      <c r="J9813" s="487" t="s">
        <v>1391</v>
      </c>
    </row>
    <row r="9814" spans="1:10" ht="15" x14ac:dyDescent="0.2">
      <c r="A9814" s="486" t="s">
        <v>1390</v>
      </c>
      <c r="B9814" s="487" t="s">
        <v>1389</v>
      </c>
      <c r="C9814" s="488" t="s">
        <v>30255</v>
      </c>
      <c r="D9814" s="489" t="s">
        <v>30256</v>
      </c>
      <c r="E9814" s="487" t="s">
        <v>30257</v>
      </c>
      <c r="F9814" s="490">
        <v>216565</v>
      </c>
      <c r="G9814" s="489">
        <v>1399.19</v>
      </c>
      <c r="H9814" s="489">
        <v>154.77884</v>
      </c>
      <c r="I9814" s="487" t="s">
        <v>1499</v>
      </c>
      <c r="J9814" s="487" t="s">
        <v>1391</v>
      </c>
    </row>
    <row r="9815" spans="1:10" ht="15" x14ac:dyDescent="0.2">
      <c r="A9815" s="486" t="s">
        <v>1390</v>
      </c>
      <c r="B9815" s="487" t="s">
        <v>1389</v>
      </c>
      <c r="C9815" s="488" t="s">
        <v>30258</v>
      </c>
      <c r="D9815" s="489" t="s">
        <v>30259</v>
      </c>
      <c r="E9815" s="487" t="s">
        <v>30260</v>
      </c>
      <c r="F9815" s="490">
        <v>4199</v>
      </c>
      <c r="G9815" s="489">
        <v>190.32</v>
      </c>
      <c r="H9815" s="489">
        <v>22.062840000000001</v>
      </c>
      <c r="I9815" s="487" t="s">
        <v>1499</v>
      </c>
      <c r="J9815" s="487" t="s">
        <v>1391</v>
      </c>
    </row>
    <row r="9816" spans="1:10" ht="15" x14ac:dyDescent="0.2">
      <c r="A9816" s="486" t="s">
        <v>1390</v>
      </c>
      <c r="B9816" s="487" t="s">
        <v>1389</v>
      </c>
      <c r="C9816" s="488" t="s">
        <v>30261</v>
      </c>
      <c r="D9816" s="489" t="s">
        <v>30262</v>
      </c>
      <c r="E9816" s="487" t="s">
        <v>30263</v>
      </c>
      <c r="F9816" s="490">
        <v>275000</v>
      </c>
      <c r="G9816" s="489">
        <v>2625.38</v>
      </c>
      <c r="H9816" s="489">
        <v>104.74674</v>
      </c>
      <c r="I9816" s="487" t="s">
        <v>1499</v>
      </c>
      <c r="J9816" s="487" t="s">
        <v>1391</v>
      </c>
    </row>
    <row r="9817" spans="1:10" ht="15" x14ac:dyDescent="0.2">
      <c r="A9817" s="486" t="s">
        <v>1390</v>
      </c>
      <c r="B9817" s="487" t="s">
        <v>1389</v>
      </c>
      <c r="C9817" s="488" t="s">
        <v>30264</v>
      </c>
      <c r="D9817" s="489" t="s">
        <v>30265</v>
      </c>
      <c r="E9817" s="487" t="s">
        <v>30266</v>
      </c>
      <c r="F9817" s="490">
        <v>0</v>
      </c>
      <c r="G9817" s="489">
        <v>57.31</v>
      </c>
      <c r="H9817" s="489">
        <v>0</v>
      </c>
      <c r="I9817" s="487" t="s">
        <v>1593</v>
      </c>
      <c r="J9817" s="487" t="s">
        <v>1391</v>
      </c>
    </row>
    <row r="9818" spans="1:10" ht="15" x14ac:dyDescent="0.2">
      <c r="A9818" s="486" t="s">
        <v>1390</v>
      </c>
      <c r="B9818" s="487" t="s">
        <v>1389</v>
      </c>
      <c r="C9818" s="488" t="s">
        <v>30267</v>
      </c>
      <c r="D9818" s="489" t="s">
        <v>30268</v>
      </c>
      <c r="E9818" s="487" t="s">
        <v>30269</v>
      </c>
      <c r="F9818" s="490">
        <v>15248.87</v>
      </c>
      <c r="G9818" s="489">
        <v>357.2</v>
      </c>
      <c r="H9818" s="489">
        <v>42.690010000000001</v>
      </c>
      <c r="I9818" s="487" t="s">
        <v>1499</v>
      </c>
      <c r="J9818" s="487" t="s">
        <v>1391</v>
      </c>
    </row>
    <row r="9819" spans="1:10" ht="15" x14ac:dyDescent="0.2">
      <c r="A9819" s="486" t="s">
        <v>1390</v>
      </c>
      <c r="B9819" s="487" t="s">
        <v>1389</v>
      </c>
      <c r="C9819" s="488" t="s">
        <v>30270</v>
      </c>
      <c r="D9819" s="489" t="s">
        <v>30271</v>
      </c>
      <c r="E9819" s="487" t="s">
        <v>30272</v>
      </c>
      <c r="F9819" s="490">
        <v>23500</v>
      </c>
      <c r="G9819" s="489">
        <v>285.33999999999997</v>
      </c>
      <c r="H9819" s="489">
        <v>82.357889999999998</v>
      </c>
      <c r="I9819" s="487" t="s">
        <v>1499</v>
      </c>
      <c r="J9819" s="487" t="s">
        <v>1391</v>
      </c>
    </row>
    <row r="9820" spans="1:10" ht="15" x14ac:dyDescent="0.2">
      <c r="A9820" s="486" t="s">
        <v>1390</v>
      </c>
      <c r="B9820" s="487" t="s">
        <v>1389</v>
      </c>
      <c r="C9820" s="488" t="s">
        <v>30273</v>
      </c>
      <c r="D9820" s="489" t="s">
        <v>30274</v>
      </c>
      <c r="E9820" s="487" t="s">
        <v>30275</v>
      </c>
      <c r="F9820" s="490">
        <v>1500</v>
      </c>
      <c r="G9820" s="489">
        <v>45.31</v>
      </c>
      <c r="H9820" s="489">
        <v>33.105269999999997</v>
      </c>
      <c r="I9820" s="487" t="s">
        <v>1499</v>
      </c>
      <c r="J9820" s="487" t="s">
        <v>1391</v>
      </c>
    </row>
    <row r="9821" spans="1:10" ht="15" x14ac:dyDescent="0.2">
      <c r="A9821" s="486" t="s">
        <v>1390</v>
      </c>
      <c r="B9821" s="487" t="s">
        <v>1389</v>
      </c>
      <c r="C9821" s="488" t="s">
        <v>30276</v>
      </c>
      <c r="D9821" s="489" t="s">
        <v>30277</v>
      </c>
      <c r="E9821" s="487" t="s">
        <v>30278</v>
      </c>
      <c r="F9821" s="490">
        <v>11350</v>
      </c>
      <c r="G9821" s="489">
        <v>144.41</v>
      </c>
      <c r="H9821" s="489">
        <v>78.595669999999998</v>
      </c>
      <c r="I9821" s="487" t="s">
        <v>1499</v>
      </c>
      <c r="J9821" s="487" t="s">
        <v>1391</v>
      </c>
    </row>
    <row r="9822" spans="1:10" ht="15" x14ac:dyDescent="0.2">
      <c r="A9822" s="486" t="s">
        <v>1390</v>
      </c>
      <c r="B9822" s="487" t="s">
        <v>1389</v>
      </c>
      <c r="C9822" s="488" t="s">
        <v>30279</v>
      </c>
      <c r="D9822" s="489" t="s">
        <v>30280</v>
      </c>
      <c r="E9822" s="487" t="s">
        <v>30281</v>
      </c>
      <c r="F9822" s="490">
        <v>3675</v>
      </c>
      <c r="G9822" s="489">
        <v>105.18</v>
      </c>
      <c r="H9822" s="489">
        <v>34.940100000000001</v>
      </c>
      <c r="I9822" s="487" t="s">
        <v>1499</v>
      </c>
      <c r="J9822" s="487" t="s">
        <v>1391</v>
      </c>
    </row>
    <row r="9823" spans="1:10" ht="15" x14ac:dyDescent="0.2">
      <c r="A9823" s="486" t="s">
        <v>1390</v>
      </c>
      <c r="B9823" s="487" t="s">
        <v>1389</v>
      </c>
      <c r="C9823" s="488" t="s">
        <v>30282</v>
      </c>
      <c r="D9823" s="489" t="s">
        <v>30283</v>
      </c>
      <c r="E9823" s="487" t="s">
        <v>26120</v>
      </c>
      <c r="F9823" s="490">
        <v>21000</v>
      </c>
      <c r="G9823" s="489">
        <v>337.87</v>
      </c>
      <c r="H9823" s="489">
        <v>62.15408</v>
      </c>
      <c r="I9823" s="487" t="s">
        <v>1499</v>
      </c>
      <c r="J9823" s="487" t="s">
        <v>1391</v>
      </c>
    </row>
    <row r="9824" spans="1:10" ht="15" x14ac:dyDescent="0.2">
      <c r="A9824" s="486" t="s">
        <v>1390</v>
      </c>
      <c r="B9824" s="487" t="s">
        <v>1389</v>
      </c>
      <c r="C9824" s="488" t="s">
        <v>30284</v>
      </c>
      <c r="D9824" s="489" t="s">
        <v>30285</v>
      </c>
      <c r="E9824" s="487" t="s">
        <v>30286</v>
      </c>
      <c r="F9824" s="490">
        <v>18460</v>
      </c>
      <c r="G9824" s="489">
        <v>255.7</v>
      </c>
      <c r="H9824" s="489">
        <v>72.193979999999996</v>
      </c>
      <c r="I9824" s="487" t="s">
        <v>1499</v>
      </c>
      <c r="J9824" s="487" t="s">
        <v>1391</v>
      </c>
    </row>
    <row r="9825" spans="1:10" ht="15" x14ac:dyDescent="0.2">
      <c r="A9825" s="486" t="s">
        <v>1390</v>
      </c>
      <c r="B9825" s="487" t="s">
        <v>1389</v>
      </c>
      <c r="C9825" s="488" t="s">
        <v>30287</v>
      </c>
      <c r="D9825" s="489" t="s">
        <v>30288</v>
      </c>
      <c r="E9825" s="487" t="s">
        <v>30289</v>
      </c>
      <c r="F9825" s="490">
        <v>8500</v>
      </c>
      <c r="G9825" s="489">
        <v>95.89</v>
      </c>
      <c r="H9825" s="489">
        <v>88.643240000000006</v>
      </c>
      <c r="I9825" s="487" t="s">
        <v>1499</v>
      </c>
      <c r="J9825" s="487" t="s">
        <v>1391</v>
      </c>
    </row>
    <row r="9826" spans="1:10" ht="15" x14ac:dyDescent="0.2">
      <c r="A9826" s="486" t="s">
        <v>1390</v>
      </c>
      <c r="B9826" s="487" t="s">
        <v>1389</v>
      </c>
      <c r="C9826" s="488" t="s">
        <v>30290</v>
      </c>
      <c r="D9826" s="489" t="s">
        <v>30291</v>
      </c>
      <c r="E9826" s="487" t="s">
        <v>30292</v>
      </c>
      <c r="F9826" s="490">
        <v>3500</v>
      </c>
      <c r="G9826" s="489">
        <v>74.930000000000007</v>
      </c>
      <c r="H9826" s="489">
        <v>46.710259999999998</v>
      </c>
      <c r="I9826" s="487" t="s">
        <v>1499</v>
      </c>
      <c r="J9826" s="487" t="s">
        <v>1391</v>
      </c>
    </row>
    <row r="9827" spans="1:10" ht="15" x14ac:dyDescent="0.2">
      <c r="A9827" s="486" t="s">
        <v>1390</v>
      </c>
      <c r="B9827" s="487" t="s">
        <v>1389</v>
      </c>
      <c r="C9827" s="488" t="s">
        <v>30293</v>
      </c>
      <c r="D9827" s="489" t="s">
        <v>30294</v>
      </c>
      <c r="E9827" s="487" t="s">
        <v>30295</v>
      </c>
      <c r="F9827" s="490">
        <v>4220.84</v>
      </c>
      <c r="G9827" s="489">
        <v>93.25</v>
      </c>
      <c r="H9827" s="489">
        <v>45.2637</v>
      </c>
      <c r="I9827" s="487" t="s">
        <v>1499</v>
      </c>
      <c r="J9827" s="487" t="s">
        <v>1391</v>
      </c>
    </row>
    <row r="9828" spans="1:10" ht="15" x14ac:dyDescent="0.2">
      <c r="A9828" s="486" t="s">
        <v>1390</v>
      </c>
      <c r="B9828" s="487" t="s">
        <v>1389</v>
      </c>
      <c r="C9828" s="488" t="s">
        <v>30296</v>
      </c>
      <c r="D9828" s="489" t="s">
        <v>30297</v>
      </c>
      <c r="E9828" s="487" t="s">
        <v>30298</v>
      </c>
      <c r="F9828" s="490">
        <v>20358.52</v>
      </c>
      <c r="G9828" s="489">
        <v>186.11</v>
      </c>
      <c r="H9828" s="489">
        <v>109.38972</v>
      </c>
      <c r="I9828" s="487" t="s">
        <v>1499</v>
      </c>
      <c r="J9828" s="487" t="s">
        <v>1391</v>
      </c>
    </row>
    <row r="9829" spans="1:10" ht="15" x14ac:dyDescent="0.2">
      <c r="A9829" s="486" t="s">
        <v>1390</v>
      </c>
      <c r="B9829" s="487" t="s">
        <v>1389</v>
      </c>
      <c r="C9829" s="488" t="s">
        <v>30299</v>
      </c>
      <c r="D9829" s="489" t="s">
        <v>30300</v>
      </c>
      <c r="E9829" s="487" t="s">
        <v>30301</v>
      </c>
      <c r="F9829" s="490">
        <v>19000</v>
      </c>
      <c r="G9829" s="489">
        <v>273.83</v>
      </c>
      <c r="H9829" s="489">
        <v>69.386120000000005</v>
      </c>
      <c r="I9829" s="487" t="s">
        <v>1499</v>
      </c>
      <c r="J9829" s="487" t="s">
        <v>1391</v>
      </c>
    </row>
    <row r="9830" spans="1:10" ht="15" x14ac:dyDescent="0.2">
      <c r="A9830" s="486" t="s">
        <v>1390</v>
      </c>
      <c r="B9830" s="487" t="s">
        <v>1389</v>
      </c>
      <c r="C9830" s="488" t="s">
        <v>30302</v>
      </c>
      <c r="D9830" s="489" t="s">
        <v>30303</v>
      </c>
      <c r="E9830" s="487" t="s">
        <v>30304</v>
      </c>
      <c r="F9830" s="490">
        <v>7273.6</v>
      </c>
      <c r="G9830" s="489">
        <v>113.65</v>
      </c>
      <c r="H9830" s="489">
        <v>64</v>
      </c>
      <c r="I9830" s="487" t="s">
        <v>1499</v>
      </c>
      <c r="J9830" s="487" t="s">
        <v>1391</v>
      </c>
    </row>
    <row r="9831" spans="1:10" ht="15" x14ac:dyDescent="0.2">
      <c r="A9831" s="486" t="s">
        <v>1390</v>
      </c>
      <c r="B9831" s="487" t="s">
        <v>1389</v>
      </c>
      <c r="C9831" s="488" t="s">
        <v>30305</v>
      </c>
      <c r="D9831" s="489" t="s">
        <v>30306</v>
      </c>
      <c r="E9831" s="487" t="s">
        <v>30307</v>
      </c>
      <c r="F9831" s="490">
        <v>0</v>
      </c>
      <c r="G9831" s="489">
        <v>44.06</v>
      </c>
      <c r="H9831" s="489">
        <v>0</v>
      </c>
      <c r="I9831" s="487" t="s">
        <v>1593</v>
      </c>
      <c r="J9831" s="487" t="s">
        <v>1391</v>
      </c>
    </row>
    <row r="9832" spans="1:10" ht="15" x14ac:dyDescent="0.2">
      <c r="A9832" s="486" t="s">
        <v>1390</v>
      </c>
      <c r="B9832" s="487" t="s">
        <v>1389</v>
      </c>
      <c r="C9832" s="488" t="s">
        <v>30308</v>
      </c>
      <c r="D9832" s="489" t="s">
        <v>30309</v>
      </c>
      <c r="E9832" s="487" t="s">
        <v>30310</v>
      </c>
      <c r="F9832" s="490">
        <v>2300</v>
      </c>
      <c r="G9832" s="489">
        <v>61.6</v>
      </c>
      <c r="H9832" s="489">
        <v>37.33766</v>
      </c>
      <c r="I9832" s="487" t="s">
        <v>1499</v>
      </c>
      <c r="J9832" s="487" t="s">
        <v>1391</v>
      </c>
    </row>
    <row r="9833" spans="1:10" ht="15" x14ac:dyDescent="0.2">
      <c r="A9833" s="486" t="s">
        <v>1390</v>
      </c>
      <c r="B9833" s="487" t="s">
        <v>1389</v>
      </c>
      <c r="C9833" s="488" t="s">
        <v>30311</v>
      </c>
      <c r="D9833" s="489" t="s">
        <v>30312</v>
      </c>
      <c r="E9833" s="487" t="s">
        <v>30313</v>
      </c>
      <c r="F9833" s="490">
        <v>25717</v>
      </c>
      <c r="G9833" s="489">
        <v>344.09</v>
      </c>
      <c r="H9833" s="489">
        <v>74.739170000000001</v>
      </c>
      <c r="I9833" s="487" t="s">
        <v>1499</v>
      </c>
      <c r="J9833" s="487" t="s">
        <v>1391</v>
      </c>
    </row>
    <row r="9834" spans="1:10" ht="15" x14ac:dyDescent="0.2">
      <c r="A9834" s="486" t="s">
        <v>1390</v>
      </c>
      <c r="B9834" s="487" t="s">
        <v>1389</v>
      </c>
      <c r="C9834" s="488" t="s">
        <v>30314</v>
      </c>
      <c r="D9834" s="489" t="s">
        <v>30315</v>
      </c>
      <c r="E9834" s="487" t="s">
        <v>11765</v>
      </c>
      <c r="F9834" s="490">
        <v>13520</v>
      </c>
      <c r="G9834" s="489">
        <v>144.72999999999999</v>
      </c>
      <c r="H9834" s="489">
        <v>93.415329999999997</v>
      </c>
      <c r="I9834" s="487" t="s">
        <v>1499</v>
      </c>
      <c r="J9834" s="487" t="s">
        <v>1391</v>
      </c>
    </row>
    <row r="9835" spans="1:10" ht="15" x14ac:dyDescent="0.2">
      <c r="A9835" s="486" t="s">
        <v>1390</v>
      </c>
      <c r="B9835" s="487" t="s">
        <v>1389</v>
      </c>
      <c r="C9835" s="488" t="s">
        <v>30316</v>
      </c>
      <c r="D9835" s="489" t="s">
        <v>30317</v>
      </c>
      <c r="E9835" s="487" t="s">
        <v>30318</v>
      </c>
      <c r="F9835" s="490">
        <v>9950</v>
      </c>
      <c r="G9835" s="489">
        <v>338.56</v>
      </c>
      <c r="H9835" s="489">
        <v>29.38918</v>
      </c>
      <c r="I9835" s="487" t="s">
        <v>1499</v>
      </c>
      <c r="J9835" s="487" t="s">
        <v>1391</v>
      </c>
    </row>
    <row r="9836" spans="1:10" ht="15" x14ac:dyDescent="0.2">
      <c r="A9836" s="486" t="s">
        <v>1390</v>
      </c>
      <c r="B9836" s="487" t="s">
        <v>1389</v>
      </c>
      <c r="C9836" s="488" t="s">
        <v>30319</v>
      </c>
      <c r="D9836" s="489" t="s">
        <v>30320</v>
      </c>
      <c r="E9836" s="487" t="s">
        <v>30321</v>
      </c>
      <c r="F9836" s="490">
        <v>31000</v>
      </c>
      <c r="G9836" s="489">
        <v>598.97</v>
      </c>
      <c r="H9836" s="489">
        <v>51.755510000000001</v>
      </c>
      <c r="I9836" s="487" t="s">
        <v>1499</v>
      </c>
      <c r="J9836" s="487" t="s">
        <v>1391</v>
      </c>
    </row>
    <row r="9837" spans="1:10" ht="15" x14ac:dyDescent="0.2">
      <c r="A9837" s="486" t="s">
        <v>1390</v>
      </c>
      <c r="B9837" s="487" t="s">
        <v>1389</v>
      </c>
      <c r="C9837" s="488" t="s">
        <v>30322</v>
      </c>
      <c r="D9837" s="489" t="s">
        <v>30323</v>
      </c>
      <c r="E9837" s="487" t="s">
        <v>30324</v>
      </c>
      <c r="F9837" s="490">
        <v>6144</v>
      </c>
      <c r="G9837" s="489">
        <v>106.89</v>
      </c>
      <c r="H9837" s="489">
        <v>57.479649999999999</v>
      </c>
      <c r="I9837" s="487" t="s">
        <v>1499</v>
      </c>
      <c r="J9837" s="487" t="s">
        <v>1391</v>
      </c>
    </row>
    <row r="9838" spans="1:10" ht="15" x14ac:dyDescent="0.2">
      <c r="A9838" s="486" t="s">
        <v>1390</v>
      </c>
      <c r="B9838" s="487" t="s">
        <v>1389</v>
      </c>
      <c r="C9838" s="488" t="s">
        <v>30325</v>
      </c>
      <c r="D9838" s="489" t="s">
        <v>30326</v>
      </c>
      <c r="E9838" s="487" t="s">
        <v>30327</v>
      </c>
      <c r="F9838" s="490">
        <v>15300</v>
      </c>
      <c r="G9838" s="489">
        <v>463.25</v>
      </c>
      <c r="H9838" s="489">
        <v>33.027520000000003</v>
      </c>
      <c r="I9838" s="487" t="s">
        <v>1499</v>
      </c>
      <c r="J9838" s="487" t="s">
        <v>1391</v>
      </c>
    </row>
    <row r="9839" spans="1:10" ht="15" x14ac:dyDescent="0.2">
      <c r="A9839" s="486" t="s">
        <v>1390</v>
      </c>
      <c r="B9839" s="487" t="s">
        <v>1389</v>
      </c>
      <c r="C9839" s="488" t="s">
        <v>30328</v>
      </c>
      <c r="D9839" s="489" t="s">
        <v>30329</v>
      </c>
      <c r="E9839" s="487" t="s">
        <v>30330</v>
      </c>
      <c r="F9839" s="490">
        <v>5155.42</v>
      </c>
      <c r="G9839" s="489">
        <v>138.03</v>
      </c>
      <c r="H9839" s="489">
        <v>37.35</v>
      </c>
      <c r="I9839" s="487" t="s">
        <v>1499</v>
      </c>
      <c r="J9839" s="487" t="s">
        <v>1391</v>
      </c>
    </row>
    <row r="9840" spans="1:10" ht="15" x14ac:dyDescent="0.2">
      <c r="A9840" s="486" t="s">
        <v>1390</v>
      </c>
      <c r="B9840" s="487" t="s">
        <v>1389</v>
      </c>
      <c r="C9840" s="488" t="s">
        <v>30331</v>
      </c>
      <c r="D9840" s="489" t="s">
        <v>30332</v>
      </c>
      <c r="E9840" s="487" t="s">
        <v>30333</v>
      </c>
      <c r="F9840" s="490">
        <v>23380</v>
      </c>
      <c r="G9840" s="489">
        <v>299.23</v>
      </c>
      <c r="H9840" s="489">
        <v>78.133880000000005</v>
      </c>
      <c r="I9840" s="487" t="s">
        <v>1499</v>
      </c>
      <c r="J9840" s="487" t="s">
        <v>1391</v>
      </c>
    </row>
    <row r="9841" spans="1:10" ht="15" x14ac:dyDescent="0.2">
      <c r="A9841" s="486" t="s">
        <v>1390</v>
      </c>
      <c r="B9841" s="487" t="s">
        <v>1389</v>
      </c>
      <c r="C9841" s="488" t="s">
        <v>30334</v>
      </c>
      <c r="D9841" s="489" t="s">
        <v>30335</v>
      </c>
      <c r="E9841" s="487" t="s">
        <v>30336</v>
      </c>
      <c r="F9841" s="490">
        <v>4866.3</v>
      </c>
      <c r="G9841" s="489">
        <v>324.42</v>
      </c>
      <c r="H9841" s="489">
        <v>15</v>
      </c>
      <c r="I9841" s="487" t="s">
        <v>1499</v>
      </c>
      <c r="J9841" s="487" t="s">
        <v>1391</v>
      </c>
    </row>
    <row r="9842" spans="1:10" ht="15" x14ac:dyDescent="0.2">
      <c r="A9842" s="486" t="s">
        <v>1390</v>
      </c>
      <c r="B9842" s="487" t="s">
        <v>1389</v>
      </c>
      <c r="C9842" s="488" t="s">
        <v>30337</v>
      </c>
      <c r="D9842" s="489" t="s">
        <v>30338</v>
      </c>
      <c r="E9842" s="487" t="s">
        <v>30339</v>
      </c>
      <c r="F9842" s="490">
        <v>2000</v>
      </c>
      <c r="G9842" s="489">
        <v>115.47</v>
      </c>
      <c r="H9842" s="489">
        <v>17.320519999999998</v>
      </c>
      <c r="I9842" s="487" t="s">
        <v>1499</v>
      </c>
      <c r="J9842" s="487" t="s">
        <v>1391</v>
      </c>
    </row>
    <row r="9843" spans="1:10" ht="15" x14ac:dyDescent="0.2">
      <c r="A9843" s="486" t="s">
        <v>1390</v>
      </c>
      <c r="B9843" s="487" t="s">
        <v>1389</v>
      </c>
      <c r="C9843" s="488" t="s">
        <v>30340</v>
      </c>
      <c r="D9843" s="489" t="s">
        <v>30341</v>
      </c>
      <c r="E9843" s="487" t="s">
        <v>30342</v>
      </c>
      <c r="F9843" s="490">
        <v>5800</v>
      </c>
      <c r="G9843" s="489">
        <v>154.58000000000001</v>
      </c>
      <c r="H9843" s="489">
        <v>37.52102</v>
      </c>
      <c r="I9843" s="487" t="s">
        <v>1499</v>
      </c>
      <c r="J9843" s="487" t="s">
        <v>1391</v>
      </c>
    </row>
    <row r="9844" spans="1:10" ht="15" x14ac:dyDescent="0.2">
      <c r="A9844" s="486" t="s">
        <v>1390</v>
      </c>
      <c r="B9844" s="487" t="s">
        <v>1389</v>
      </c>
      <c r="C9844" s="488" t="s">
        <v>30343</v>
      </c>
      <c r="D9844" s="489" t="s">
        <v>30344</v>
      </c>
      <c r="E9844" s="487" t="s">
        <v>30345</v>
      </c>
      <c r="F9844" s="490">
        <v>11780.18</v>
      </c>
      <c r="G9844" s="489">
        <v>285.58</v>
      </c>
      <c r="H9844" s="489">
        <v>41.250019999999999</v>
      </c>
      <c r="I9844" s="487" t="s">
        <v>1499</v>
      </c>
      <c r="J9844" s="487" t="s">
        <v>1391</v>
      </c>
    </row>
    <row r="9845" spans="1:10" ht="15" x14ac:dyDescent="0.2">
      <c r="A9845" s="486" t="s">
        <v>1390</v>
      </c>
      <c r="B9845" s="487" t="s">
        <v>1389</v>
      </c>
      <c r="C9845" s="488" t="s">
        <v>30346</v>
      </c>
      <c r="D9845" s="489" t="s">
        <v>30347</v>
      </c>
      <c r="E9845" s="487" t="s">
        <v>30348</v>
      </c>
      <c r="F9845" s="490">
        <v>21600</v>
      </c>
      <c r="G9845" s="489">
        <v>352.36</v>
      </c>
      <c r="H9845" s="489">
        <v>61.300939999999997</v>
      </c>
      <c r="I9845" s="487" t="s">
        <v>1499</v>
      </c>
      <c r="J9845" s="487" t="s">
        <v>1391</v>
      </c>
    </row>
    <row r="9846" spans="1:10" ht="15" x14ac:dyDescent="0.2">
      <c r="A9846" s="486" t="s">
        <v>1390</v>
      </c>
      <c r="B9846" s="487" t="s">
        <v>1389</v>
      </c>
      <c r="C9846" s="488" t="s">
        <v>30349</v>
      </c>
      <c r="D9846" s="489" t="s">
        <v>30350</v>
      </c>
      <c r="E9846" s="487" t="s">
        <v>20124</v>
      </c>
      <c r="F9846" s="490">
        <v>11750</v>
      </c>
      <c r="G9846" s="489">
        <v>479.26</v>
      </c>
      <c r="H9846" s="489">
        <v>24.516960000000001</v>
      </c>
      <c r="I9846" s="487" t="s">
        <v>1499</v>
      </c>
      <c r="J9846" s="487" t="s">
        <v>1391</v>
      </c>
    </row>
    <row r="9847" spans="1:10" ht="15" x14ac:dyDescent="0.2">
      <c r="A9847" s="486" t="s">
        <v>1390</v>
      </c>
      <c r="B9847" s="487" t="s">
        <v>1389</v>
      </c>
      <c r="C9847" s="488" t="s">
        <v>30351</v>
      </c>
      <c r="D9847" s="489" t="s">
        <v>30352</v>
      </c>
      <c r="E9847" s="487" t="s">
        <v>30353</v>
      </c>
      <c r="F9847" s="490">
        <v>13500</v>
      </c>
      <c r="G9847" s="489">
        <v>319.39999999999998</v>
      </c>
      <c r="H9847" s="489">
        <v>42.266750000000002</v>
      </c>
      <c r="I9847" s="487" t="s">
        <v>1499</v>
      </c>
      <c r="J9847" s="487" t="s">
        <v>1391</v>
      </c>
    </row>
    <row r="9848" spans="1:10" ht="15" x14ac:dyDescent="0.2">
      <c r="A9848" s="486" t="s">
        <v>1390</v>
      </c>
      <c r="B9848" s="487" t="s">
        <v>1389</v>
      </c>
      <c r="C9848" s="488" t="s">
        <v>30354</v>
      </c>
      <c r="D9848" s="489" t="s">
        <v>30355</v>
      </c>
      <c r="E9848" s="487" t="s">
        <v>30356</v>
      </c>
      <c r="F9848" s="490">
        <v>26248</v>
      </c>
      <c r="G9848" s="489">
        <v>1693.61</v>
      </c>
      <c r="H9848" s="489">
        <v>15.49826</v>
      </c>
      <c r="I9848" s="487" t="s">
        <v>1499</v>
      </c>
      <c r="J9848" s="487" t="s">
        <v>1391</v>
      </c>
    </row>
    <row r="9849" spans="1:10" ht="15" x14ac:dyDescent="0.2">
      <c r="A9849" s="486" t="s">
        <v>1390</v>
      </c>
      <c r="B9849" s="487" t="s">
        <v>1389</v>
      </c>
      <c r="C9849" s="488" t="s">
        <v>30357</v>
      </c>
      <c r="D9849" s="489" t="s">
        <v>30358</v>
      </c>
      <c r="E9849" s="487" t="s">
        <v>30359</v>
      </c>
      <c r="F9849" s="490">
        <v>18500</v>
      </c>
      <c r="G9849" s="489">
        <v>249.13</v>
      </c>
      <c r="H9849" s="489">
        <v>74.258420000000001</v>
      </c>
      <c r="I9849" s="487" t="s">
        <v>1499</v>
      </c>
      <c r="J9849" s="487" t="s">
        <v>1391</v>
      </c>
    </row>
    <row r="9850" spans="1:10" ht="15" x14ac:dyDescent="0.2">
      <c r="A9850" s="486" t="s">
        <v>1390</v>
      </c>
      <c r="B9850" s="487" t="s">
        <v>1389</v>
      </c>
      <c r="C9850" s="488" t="s">
        <v>30360</v>
      </c>
      <c r="D9850" s="489" t="s">
        <v>30361</v>
      </c>
      <c r="E9850" s="487" t="s">
        <v>8619</v>
      </c>
      <c r="F9850" s="490">
        <v>36750</v>
      </c>
      <c r="G9850" s="489">
        <v>715.25</v>
      </c>
      <c r="H9850" s="489">
        <v>51.38064</v>
      </c>
      <c r="I9850" s="487" t="s">
        <v>1499</v>
      </c>
      <c r="J9850" s="487" t="s">
        <v>1391</v>
      </c>
    </row>
    <row r="9851" spans="1:10" ht="15" x14ac:dyDescent="0.2">
      <c r="A9851" s="486" t="s">
        <v>1390</v>
      </c>
      <c r="B9851" s="487" t="s">
        <v>1389</v>
      </c>
      <c r="C9851" s="488" t="s">
        <v>30362</v>
      </c>
      <c r="D9851" s="489" t="s">
        <v>30363</v>
      </c>
      <c r="E9851" s="487" t="s">
        <v>30364</v>
      </c>
      <c r="F9851" s="490">
        <v>32150</v>
      </c>
      <c r="G9851" s="489">
        <v>165.67</v>
      </c>
      <c r="H9851" s="489">
        <v>194.06048000000001</v>
      </c>
      <c r="I9851" s="487" t="s">
        <v>1499</v>
      </c>
      <c r="J9851" s="487" t="s">
        <v>1391</v>
      </c>
    </row>
    <row r="9852" spans="1:10" ht="15" x14ac:dyDescent="0.2">
      <c r="A9852" s="486" t="s">
        <v>1390</v>
      </c>
      <c r="B9852" s="487" t="s">
        <v>1389</v>
      </c>
      <c r="C9852" s="488" t="s">
        <v>30365</v>
      </c>
      <c r="D9852" s="489" t="s">
        <v>30366</v>
      </c>
      <c r="E9852" s="487" t="s">
        <v>30367</v>
      </c>
      <c r="F9852" s="490">
        <v>25000</v>
      </c>
      <c r="G9852" s="489">
        <v>507.28</v>
      </c>
      <c r="H9852" s="489">
        <v>49.282449999999997</v>
      </c>
      <c r="I9852" s="487" t="s">
        <v>1499</v>
      </c>
      <c r="J9852" s="487" t="s">
        <v>1391</v>
      </c>
    </row>
    <row r="9853" spans="1:10" ht="15" x14ac:dyDescent="0.2">
      <c r="A9853" s="486" t="s">
        <v>1390</v>
      </c>
      <c r="B9853" s="487" t="s">
        <v>1389</v>
      </c>
      <c r="C9853" s="488" t="s">
        <v>30368</v>
      </c>
      <c r="D9853" s="489" t="s">
        <v>30369</v>
      </c>
      <c r="E9853" s="487" t="s">
        <v>30370</v>
      </c>
      <c r="F9853" s="490">
        <v>100000</v>
      </c>
      <c r="G9853" s="489">
        <v>954.27</v>
      </c>
      <c r="H9853" s="489">
        <v>104.79214</v>
      </c>
      <c r="I9853" s="487" t="s">
        <v>1499</v>
      </c>
      <c r="J9853" s="487" t="s">
        <v>1391</v>
      </c>
    </row>
    <row r="9854" spans="1:10" ht="15" x14ac:dyDescent="0.2">
      <c r="A9854" s="486" t="s">
        <v>1390</v>
      </c>
      <c r="B9854" s="487" t="s">
        <v>1389</v>
      </c>
      <c r="C9854" s="488" t="s">
        <v>30371</v>
      </c>
      <c r="D9854" s="489" t="s">
        <v>30372</v>
      </c>
      <c r="E9854" s="487" t="s">
        <v>30373</v>
      </c>
      <c r="F9854" s="490">
        <v>11317.88</v>
      </c>
      <c r="G9854" s="489">
        <v>233.07</v>
      </c>
      <c r="H9854" s="489">
        <v>48.56</v>
      </c>
      <c r="I9854" s="487" t="s">
        <v>1499</v>
      </c>
      <c r="J9854" s="487" t="s">
        <v>1391</v>
      </c>
    </row>
    <row r="9855" spans="1:10" ht="15" x14ac:dyDescent="0.2">
      <c r="A9855" s="486" t="s">
        <v>1390</v>
      </c>
      <c r="B9855" s="487" t="s">
        <v>1389</v>
      </c>
      <c r="C9855" s="488" t="s">
        <v>30374</v>
      </c>
      <c r="D9855" s="489" t="s">
        <v>30375</v>
      </c>
      <c r="E9855" s="487" t="s">
        <v>7169</v>
      </c>
      <c r="F9855" s="490">
        <v>14210</v>
      </c>
      <c r="G9855" s="489">
        <v>138.99</v>
      </c>
      <c r="H9855" s="489">
        <v>102.23757000000001</v>
      </c>
      <c r="I9855" s="487" t="s">
        <v>1499</v>
      </c>
      <c r="J9855" s="487" t="s">
        <v>1391</v>
      </c>
    </row>
    <row r="9856" spans="1:10" ht="15" x14ac:dyDescent="0.2">
      <c r="A9856" s="486" t="s">
        <v>1390</v>
      </c>
      <c r="B9856" s="487" t="s">
        <v>1389</v>
      </c>
      <c r="C9856" s="488" t="s">
        <v>30376</v>
      </c>
      <c r="D9856" s="489" t="s">
        <v>30377</v>
      </c>
      <c r="E9856" s="487" t="s">
        <v>30378</v>
      </c>
      <c r="F9856" s="490">
        <v>26140</v>
      </c>
      <c r="G9856" s="489">
        <v>370.77</v>
      </c>
      <c r="H9856" s="489">
        <v>70.501930000000002</v>
      </c>
      <c r="I9856" s="487" t="s">
        <v>1499</v>
      </c>
      <c r="J9856" s="487" t="s">
        <v>1391</v>
      </c>
    </row>
    <row r="9857" spans="1:10" ht="15" x14ac:dyDescent="0.2">
      <c r="A9857" s="486" t="s">
        <v>1390</v>
      </c>
      <c r="B9857" s="487" t="s">
        <v>1389</v>
      </c>
      <c r="C9857" s="488" t="s">
        <v>30379</v>
      </c>
      <c r="D9857" s="489" t="s">
        <v>30380</v>
      </c>
      <c r="E9857" s="487" t="s">
        <v>30381</v>
      </c>
      <c r="F9857" s="490">
        <v>54568.32</v>
      </c>
      <c r="G9857" s="489">
        <v>319.88</v>
      </c>
      <c r="H9857" s="489">
        <v>170.58996999999999</v>
      </c>
      <c r="I9857" s="487" t="s">
        <v>1499</v>
      </c>
      <c r="J9857" s="487" t="s">
        <v>1391</v>
      </c>
    </row>
    <row r="9858" spans="1:10" ht="15" x14ac:dyDescent="0.2">
      <c r="A9858" s="486" t="s">
        <v>1390</v>
      </c>
      <c r="B9858" s="487" t="s">
        <v>1389</v>
      </c>
      <c r="C9858" s="488" t="s">
        <v>30382</v>
      </c>
      <c r="D9858" s="489" t="s">
        <v>30383</v>
      </c>
      <c r="E9858" s="487" t="s">
        <v>30384</v>
      </c>
      <c r="F9858" s="490">
        <v>40158.35</v>
      </c>
      <c r="G9858" s="489">
        <v>505.11</v>
      </c>
      <c r="H9858" s="489">
        <v>79.504170000000002</v>
      </c>
      <c r="I9858" s="487" t="s">
        <v>1499</v>
      </c>
      <c r="J9858" s="487" t="s">
        <v>1391</v>
      </c>
    </row>
    <row r="9859" spans="1:10" ht="15" x14ac:dyDescent="0.2">
      <c r="A9859" s="486" t="s">
        <v>1390</v>
      </c>
      <c r="B9859" s="487" t="s">
        <v>1389</v>
      </c>
      <c r="C9859" s="488" t="s">
        <v>30385</v>
      </c>
      <c r="D9859" s="489" t="s">
        <v>30386</v>
      </c>
      <c r="E9859" s="487" t="s">
        <v>30387</v>
      </c>
      <c r="F9859" s="490">
        <v>79920</v>
      </c>
      <c r="G9859" s="489">
        <v>964.32</v>
      </c>
      <c r="H9859" s="489">
        <v>82.877049999999997</v>
      </c>
      <c r="I9859" s="487" t="s">
        <v>1499</v>
      </c>
      <c r="J9859" s="487" t="s">
        <v>1391</v>
      </c>
    </row>
    <row r="9860" spans="1:10" ht="15" x14ac:dyDescent="0.2">
      <c r="A9860" s="486" t="s">
        <v>1390</v>
      </c>
      <c r="B9860" s="487" t="s">
        <v>1389</v>
      </c>
      <c r="C9860" s="488" t="s">
        <v>30388</v>
      </c>
      <c r="D9860" s="489" t="s">
        <v>30389</v>
      </c>
      <c r="E9860" s="487" t="s">
        <v>30390</v>
      </c>
      <c r="F9860" s="490">
        <v>19324</v>
      </c>
      <c r="G9860" s="489">
        <v>181.13</v>
      </c>
      <c r="H9860" s="489">
        <v>106.68581</v>
      </c>
      <c r="I9860" s="487" t="s">
        <v>1499</v>
      </c>
      <c r="J9860" s="487" t="s">
        <v>1391</v>
      </c>
    </row>
    <row r="9861" spans="1:10" ht="15" x14ac:dyDescent="0.2">
      <c r="A9861" s="486" t="s">
        <v>1390</v>
      </c>
      <c r="B9861" s="487" t="s">
        <v>1389</v>
      </c>
      <c r="C9861" s="488" t="s">
        <v>30391</v>
      </c>
      <c r="D9861" s="489" t="s">
        <v>30392</v>
      </c>
      <c r="E9861" s="487" t="s">
        <v>30393</v>
      </c>
      <c r="F9861" s="490">
        <v>15528.94</v>
      </c>
      <c r="G9861" s="489">
        <v>257.39999999999998</v>
      </c>
      <c r="H9861" s="489">
        <v>60.329990000000002</v>
      </c>
      <c r="I9861" s="487" t="s">
        <v>1499</v>
      </c>
      <c r="J9861" s="487" t="s">
        <v>1391</v>
      </c>
    </row>
    <row r="9862" spans="1:10" ht="15" x14ac:dyDescent="0.2">
      <c r="A9862" s="486" t="s">
        <v>1390</v>
      </c>
      <c r="B9862" s="487" t="s">
        <v>1389</v>
      </c>
      <c r="C9862" s="488" t="s">
        <v>30394</v>
      </c>
      <c r="D9862" s="489" t="s">
        <v>30395</v>
      </c>
      <c r="E9862" s="487" t="s">
        <v>30396</v>
      </c>
      <c r="F9862" s="490">
        <v>370951</v>
      </c>
      <c r="G9862" s="489">
        <v>3979.67</v>
      </c>
      <c r="H9862" s="489">
        <v>93.211500000000001</v>
      </c>
      <c r="I9862" s="487" t="s">
        <v>1499</v>
      </c>
      <c r="J9862" s="487" t="s">
        <v>1391</v>
      </c>
    </row>
    <row r="9863" spans="1:10" ht="15" x14ac:dyDescent="0.2">
      <c r="A9863" s="486" t="s">
        <v>1390</v>
      </c>
      <c r="B9863" s="487" t="s">
        <v>1389</v>
      </c>
      <c r="C9863" s="488" t="s">
        <v>30397</v>
      </c>
      <c r="D9863" s="489" t="s">
        <v>30398</v>
      </c>
      <c r="E9863" s="487" t="s">
        <v>30399</v>
      </c>
      <c r="F9863" s="490">
        <v>16206</v>
      </c>
      <c r="G9863" s="489">
        <v>422.89</v>
      </c>
      <c r="H9863" s="489">
        <v>38.322020000000002</v>
      </c>
      <c r="I9863" s="487" t="s">
        <v>1499</v>
      </c>
      <c r="J9863" s="487" t="s">
        <v>1391</v>
      </c>
    </row>
    <row r="9864" spans="1:10" ht="15" x14ac:dyDescent="0.2">
      <c r="A9864" s="486" t="s">
        <v>1390</v>
      </c>
      <c r="B9864" s="487" t="s">
        <v>1389</v>
      </c>
      <c r="C9864" s="488" t="s">
        <v>30400</v>
      </c>
      <c r="D9864" s="489" t="s">
        <v>30401</v>
      </c>
      <c r="E9864" s="487" t="s">
        <v>8661</v>
      </c>
      <c r="F9864" s="490">
        <v>4179</v>
      </c>
      <c r="G9864" s="489">
        <v>152.4</v>
      </c>
      <c r="H9864" s="489">
        <v>27.42126</v>
      </c>
      <c r="I9864" s="487" t="s">
        <v>1499</v>
      </c>
      <c r="J9864" s="487" t="s">
        <v>1391</v>
      </c>
    </row>
    <row r="9865" spans="1:10" ht="15" x14ac:dyDescent="0.2">
      <c r="A9865" s="486" t="s">
        <v>1390</v>
      </c>
      <c r="B9865" s="487" t="s">
        <v>1389</v>
      </c>
      <c r="C9865" s="488" t="s">
        <v>30402</v>
      </c>
      <c r="D9865" s="489" t="s">
        <v>30403</v>
      </c>
      <c r="E9865" s="487" t="s">
        <v>30404</v>
      </c>
      <c r="F9865" s="490">
        <v>24750</v>
      </c>
      <c r="G9865" s="489">
        <v>311.99</v>
      </c>
      <c r="H9865" s="489">
        <v>79.329470000000001</v>
      </c>
      <c r="I9865" s="487" t="s">
        <v>1499</v>
      </c>
      <c r="J9865" s="487" t="s">
        <v>1391</v>
      </c>
    </row>
    <row r="9866" spans="1:10" ht="15" x14ac:dyDescent="0.2">
      <c r="A9866" s="486" t="s">
        <v>1390</v>
      </c>
      <c r="B9866" s="487" t="s">
        <v>1389</v>
      </c>
      <c r="C9866" s="488" t="s">
        <v>30405</v>
      </c>
      <c r="D9866" s="489" t="s">
        <v>30406</v>
      </c>
      <c r="E9866" s="487" t="s">
        <v>30407</v>
      </c>
      <c r="F9866" s="490">
        <v>3095</v>
      </c>
      <c r="G9866" s="489">
        <v>136.84</v>
      </c>
      <c r="H9866" s="489">
        <v>22.617660000000001</v>
      </c>
      <c r="I9866" s="487" t="s">
        <v>1499</v>
      </c>
      <c r="J9866" s="487" t="s">
        <v>1391</v>
      </c>
    </row>
    <row r="9867" spans="1:10" ht="15" x14ac:dyDescent="0.2">
      <c r="A9867" s="486" t="s">
        <v>1390</v>
      </c>
      <c r="B9867" s="487" t="s">
        <v>1389</v>
      </c>
      <c r="C9867" s="488" t="s">
        <v>30408</v>
      </c>
      <c r="D9867" s="489" t="s">
        <v>30409</v>
      </c>
      <c r="E9867" s="487" t="s">
        <v>30410</v>
      </c>
      <c r="F9867" s="490">
        <v>12000</v>
      </c>
      <c r="G9867" s="489">
        <v>184.73</v>
      </c>
      <c r="H9867" s="489">
        <v>64.959670000000003</v>
      </c>
      <c r="I9867" s="487" t="s">
        <v>1499</v>
      </c>
      <c r="J9867" s="487" t="s">
        <v>1391</v>
      </c>
    </row>
    <row r="9868" spans="1:10" ht="15" x14ac:dyDescent="0.2">
      <c r="A9868" s="486" t="s">
        <v>1390</v>
      </c>
      <c r="B9868" s="487" t="s">
        <v>1389</v>
      </c>
      <c r="C9868" s="488" t="s">
        <v>30411</v>
      </c>
      <c r="D9868" s="489" t="s">
        <v>30412</v>
      </c>
      <c r="E9868" s="487" t="s">
        <v>30413</v>
      </c>
      <c r="F9868" s="490">
        <v>9000</v>
      </c>
      <c r="G9868" s="489">
        <v>419.04</v>
      </c>
      <c r="H9868" s="489">
        <v>21.47766</v>
      </c>
      <c r="I9868" s="487" t="s">
        <v>1499</v>
      </c>
      <c r="J9868" s="487" t="s">
        <v>1391</v>
      </c>
    </row>
    <row r="9869" spans="1:10" ht="15" x14ac:dyDescent="0.2">
      <c r="A9869" s="486" t="s">
        <v>1390</v>
      </c>
      <c r="B9869" s="487" t="s">
        <v>1389</v>
      </c>
      <c r="C9869" s="488" t="s">
        <v>30414</v>
      </c>
      <c r="D9869" s="489" t="s">
        <v>30415</v>
      </c>
      <c r="E9869" s="487" t="s">
        <v>30416</v>
      </c>
      <c r="F9869" s="490">
        <v>12615</v>
      </c>
      <c r="G9869" s="489">
        <v>300</v>
      </c>
      <c r="H9869" s="489">
        <v>42.05</v>
      </c>
      <c r="I9869" s="487" t="s">
        <v>1499</v>
      </c>
      <c r="J9869" s="487" t="s">
        <v>1391</v>
      </c>
    </row>
    <row r="9870" spans="1:10" ht="15" x14ac:dyDescent="0.2">
      <c r="A9870" s="486" t="s">
        <v>1390</v>
      </c>
      <c r="B9870" s="487" t="s">
        <v>1389</v>
      </c>
      <c r="C9870" s="488" t="s">
        <v>30417</v>
      </c>
      <c r="D9870" s="489" t="s">
        <v>30418</v>
      </c>
      <c r="E9870" s="487" t="s">
        <v>3047</v>
      </c>
      <c r="F9870" s="490">
        <v>288026</v>
      </c>
      <c r="G9870" s="489">
        <v>1918.61</v>
      </c>
      <c r="H9870" s="489">
        <v>150.12222</v>
      </c>
      <c r="I9870" s="487" t="s">
        <v>1499</v>
      </c>
      <c r="J9870" s="487" t="s">
        <v>1391</v>
      </c>
    </row>
    <row r="9871" spans="1:10" ht="15" x14ac:dyDescent="0.2">
      <c r="A9871" s="486" t="s">
        <v>1390</v>
      </c>
      <c r="B9871" s="487" t="s">
        <v>1389</v>
      </c>
      <c r="C9871" s="488" t="s">
        <v>30419</v>
      </c>
      <c r="D9871" s="489" t="s">
        <v>30420</v>
      </c>
      <c r="E9871" s="487" t="s">
        <v>30421</v>
      </c>
      <c r="F9871" s="490">
        <v>67055</v>
      </c>
      <c r="G9871" s="489">
        <v>784.4</v>
      </c>
      <c r="H9871" s="489">
        <v>85.485720000000001</v>
      </c>
      <c r="I9871" s="487" t="s">
        <v>1499</v>
      </c>
      <c r="J9871" s="487" t="s">
        <v>1391</v>
      </c>
    </row>
    <row r="9872" spans="1:10" ht="15" x14ac:dyDescent="0.2">
      <c r="A9872" s="486" t="s">
        <v>1390</v>
      </c>
      <c r="B9872" s="487" t="s">
        <v>1389</v>
      </c>
      <c r="C9872" s="488" t="s">
        <v>30422</v>
      </c>
      <c r="D9872" s="489" t="s">
        <v>30423</v>
      </c>
      <c r="E9872" s="487" t="s">
        <v>30424</v>
      </c>
      <c r="F9872" s="490">
        <v>11650</v>
      </c>
      <c r="G9872" s="489">
        <v>228.33</v>
      </c>
      <c r="H9872" s="489">
        <v>51.022640000000003</v>
      </c>
      <c r="I9872" s="487" t="s">
        <v>1499</v>
      </c>
      <c r="J9872" s="487" t="s">
        <v>1391</v>
      </c>
    </row>
    <row r="9873" spans="1:10" ht="15" x14ac:dyDescent="0.2">
      <c r="A9873" s="486" t="s">
        <v>1390</v>
      </c>
      <c r="B9873" s="487" t="s">
        <v>1389</v>
      </c>
      <c r="C9873" s="488" t="s">
        <v>30425</v>
      </c>
      <c r="D9873" s="489" t="s">
        <v>30426</v>
      </c>
      <c r="E9873" s="487" t="s">
        <v>30427</v>
      </c>
      <c r="F9873" s="490">
        <v>65966</v>
      </c>
      <c r="G9873" s="489">
        <v>1585.14</v>
      </c>
      <c r="H9873" s="489">
        <v>41.615250000000003</v>
      </c>
      <c r="I9873" s="487" t="s">
        <v>1499</v>
      </c>
      <c r="J9873" s="487" t="s">
        <v>1391</v>
      </c>
    </row>
    <row r="9874" spans="1:10" ht="15" x14ac:dyDescent="0.2">
      <c r="A9874" s="486" t="s">
        <v>1390</v>
      </c>
      <c r="B9874" s="487" t="s">
        <v>1389</v>
      </c>
      <c r="C9874" s="488" t="s">
        <v>30428</v>
      </c>
      <c r="D9874" s="489" t="s">
        <v>30429</v>
      </c>
      <c r="E9874" s="487" t="s">
        <v>30430</v>
      </c>
      <c r="F9874" s="490">
        <v>30309</v>
      </c>
      <c r="G9874" s="489">
        <v>148.96</v>
      </c>
      <c r="H9874" s="489">
        <v>203.47073</v>
      </c>
      <c r="I9874" s="487" t="s">
        <v>1499</v>
      </c>
      <c r="J9874" s="487" t="s">
        <v>1391</v>
      </c>
    </row>
    <row r="9875" spans="1:10" ht="15" x14ac:dyDescent="0.2">
      <c r="A9875" s="486" t="s">
        <v>1390</v>
      </c>
      <c r="B9875" s="487" t="s">
        <v>1389</v>
      </c>
      <c r="C9875" s="488" t="s">
        <v>30431</v>
      </c>
      <c r="D9875" s="489" t="s">
        <v>30432</v>
      </c>
      <c r="E9875" s="487" t="s">
        <v>30433</v>
      </c>
      <c r="F9875" s="490">
        <v>572454</v>
      </c>
      <c r="G9875" s="489">
        <v>2345.75</v>
      </c>
      <c r="H9875" s="489">
        <v>244.03879000000001</v>
      </c>
      <c r="I9875" s="487" t="s">
        <v>1499</v>
      </c>
      <c r="J9875" s="487" t="s">
        <v>1391</v>
      </c>
    </row>
    <row r="9876" spans="1:10" ht="15" x14ac:dyDescent="0.2">
      <c r="A9876" s="486" t="s">
        <v>1390</v>
      </c>
      <c r="B9876" s="487" t="s">
        <v>1389</v>
      </c>
      <c r="C9876" s="488" t="s">
        <v>30434</v>
      </c>
      <c r="D9876" s="489" t="s">
        <v>30435</v>
      </c>
      <c r="E9876" s="487" t="s">
        <v>30436</v>
      </c>
      <c r="F9876" s="490">
        <v>9500</v>
      </c>
      <c r="G9876" s="489">
        <v>191.33</v>
      </c>
      <c r="H9876" s="489">
        <v>49.652430000000003</v>
      </c>
      <c r="I9876" s="487" t="s">
        <v>1499</v>
      </c>
      <c r="J9876" s="487" t="s">
        <v>1391</v>
      </c>
    </row>
    <row r="9877" spans="1:10" ht="15" x14ac:dyDescent="0.2">
      <c r="A9877" s="486" t="s">
        <v>1390</v>
      </c>
      <c r="B9877" s="487" t="s">
        <v>1389</v>
      </c>
      <c r="C9877" s="488" t="s">
        <v>30437</v>
      </c>
      <c r="D9877" s="489" t="s">
        <v>30438</v>
      </c>
      <c r="E9877" s="487" t="s">
        <v>12790</v>
      </c>
      <c r="F9877" s="490">
        <v>2000</v>
      </c>
      <c r="G9877" s="489">
        <v>58.82</v>
      </c>
      <c r="H9877" s="489">
        <v>34.002040000000001</v>
      </c>
      <c r="I9877" s="487" t="s">
        <v>1499</v>
      </c>
      <c r="J9877" s="487" t="s">
        <v>1391</v>
      </c>
    </row>
    <row r="9878" spans="1:10" ht="15" x14ac:dyDescent="0.2">
      <c r="A9878" s="486" t="s">
        <v>1390</v>
      </c>
      <c r="B9878" s="487" t="s">
        <v>1389</v>
      </c>
      <c r="C9878" s="488" t="s">
        <v>30439</v>
      </c>
      <c r="D9878" s="489" t="s">
        <v>30440</v>
      </c>
      <c r="E9878" s="487" t="s">
        <v>30441</v>
      </c>
      <c r="F9878" s="490">
        <v>80132</v>
      </c>
      <c r="G9878" s="489">
        <v>768.77</v>
      </c>
      <c r="H9878" s="489">
        <v>104.23403999999999</v>
      </c>
      <c r="I9878" s="487" t="s">
        <v>1499</v>
      </c>
      <c r="J9878" s="487" t="s">
        <v>1391</v>
      </c>
    </row>
    <row r="9879" spans="1:10" ht="15" x14ac:dyDescent="0.2">
      <c r="A9879" s="486" t="s">
        <v>1390</v>
      </c>
      <c r="B9879" s="487" t="s">
        <v>1389</v>
      </c>
      <c r="C9879" s="488" t="s">
        <v>30442</v>
      </c>
      <c r="D9879" s="489" t="s">
        <v>30443</v>
      </c>
      <c r="E9879" s="487" t="s">
        <v>30444</v>
      </c>
      <c r="F9879" s="490">
        <v>931251</v>
      </c>
      <c r="G9879" s="489">
        <v>3591.13</v>
      </c>
      <c r="H9879" s="489">
        <v>259.31977000000001</v>
      </c>
      <c r="I9879" s="487" t="s">
        <v>1499</v>
      </c>
      <c r="J9879" s="487" t="s">
        <v>1391</v>
      </c>
    </row>
    <row r="9880" spans="1:10" ht="15" x14ac:dyDescent="0.2">
      <c r="A9880" s="486" t="s">
        <v>1390</v>
      </c>
      <c r="B9880" s="487" t="s">
        <v>1389</v>
      </c>
      <c r="C9880" s="488" t="s">
        <v>30445</v>
      </c>
      <c r="D9880" s="489" t="s">
        <v>30446</v>
      </c>
      <c r="E9880" s="487" t="s">
        <v>4588</v>
      </c>
      <c r="F9880" s="490">
        <v>2980</v>
      </c>
      <c r="G9880" s="489">
        <v>83.85</v>
      </c>
      <c r="H9880" s="489">
        <v>35.539650000000002</v>
      </c>
      <c r="I9880" s="487" t="s">
        <v>1499</v>
      </c>
      <c r="J9880" s="487" t="s">
        <v>1391</v>
      </c>
    </row>
    <row r="9881" spans="1:10" ht="15" x14ac:dyDescent="0.2">
      <c r="A9881" s="486" t="s">
        <v>1390</v>
      </c>
      <c r="B9881" s="487" t="s">
        <v>1389</v>
      </c>
      <c r="C9881" s="488" t="s">
        <v>30447</v>
      </c>
      <c r="D9881" s="489" t="s">
        <v>30448</v>
      </c>
      <c r="E9881" s="487" t="s">
        <v>30449</v>
      </c>
      <c r="F9881" s="490">
        <v>4806</v>
      </c>
      <c r="G9881" s="489">
        <v>107.35</v>
      </c>
      <c r="H9881" s="489">
        <v>44.769449999999999</v>
      </c>
      <c r="I9881" s="487" t="s">
        <v>1499</v>
      </c>
      <c r="J9881" s="487" t="s">
        <v>1391</v>
      </c>
    </row>
    <row r="9882" spans="1:10" ht="15" x14ac:dyDescent="0.2">
      <c r="A9882" s="486" t="s">
        <v>1390</v>
      </c>
      <c r="B9882" s="487" t="s">
        <v>1389</v>
      </c>
      <c r="C9882" s="488" t="s">
        <v>30450</v>
      </c>
      <c r="D9882" s="489" t="s">
        <v>30451</v>
      </c>
      <c r="E9882" s="487" t="s">
        <v>30452</v>
      </c>
      <c r="F9882" s="490">
        <v>1192200</v>
      </c>
      <c r="G9882" s="489">
        <v>5963.43</v>
      </c>
      <c r="H9882" s="489">
        <v>199.91849999999999</v>
      </c>
      <c r="I9882" s="487" t="s">
        <v>1499</v>
      </c>
      <c r="J9882" s="487" t="s">
        <v>1391</v>
      </c>
    </row>
    <row r="9883" spans="1:10" ht="15" x14ac:dyDescent="0.2">
      <c r="A9883" s="486" t="s">
        <v>1390</v>
      </c>
      <c r="B9883" s="487" t="s">
        <v>1389</v>
      </c>
      <c r="C9883" s="488" t="s">
        <v>30453</v>
      </c>
      <c r="D9883" s="489" t="s">
        <v>30454</v>
      </c>
      <c r="E9883" s="487" t="s">
        <v>30455</v>
      </c>
      <c r="F9883" s="490">
        <v>285135</v>
      </c>
      <c r="G9883" s="489">
        <v>2980.9</v>
      </c>
      <c r="H9883" s="489">
        <v>95.653999999999996</v>
      </c>
      <c r="I9883" s="487" t="s">
        <v>1499</v>
      </c>
      <c r="J9883" s="487" t="s">
        <v>1391</v>
      </c>
    </row>
    <row r="9884" spans="1:10" ht="15" x14ac:dyDescent="0.2">
      <c r="A9884" s="486" t="s">
        <v>1390</v>
      </c>
      <c r="B9884" s="487" t="s">
        <v>1389</v>
      </c>
      <c r="C9884" s="488" t="s">
        <v>30456</v>
      </c>
      <c r="D9884" s="489" t="s">
        <v>30457</v>
      </c>
      <c r="E9884" s="487" t="s">
        <v>4257</v>
      </c>
      <c r="F9884" s="490">
        <v>213006.3</v>
      </c>
      <c r="G9884" s="489">
        <v>1278.57</v>
      </c>
      <c r="H9884" s="489">
        <v>166.59728999999999</v>
      </c>
      <c r="I9884" s="487" t="s">
        <v>1499</v>
      </c>
      <c r="J9884" s="487" t="s">
        <v>1391</v>
      </c>
    </row>
    <row r="9885" spans="1:10" ht="15" x14ac:dyDescent="0.2">
      <c r="A9885" s="486" t="s">
        <v>1390</v>
      </c>
      <c r="B9885" s="487" t="s">
        <v>1389</v>
      </c>
      <c r="C9885" s="488" t="s">
        <v>30458</v>
      </c>
      <c r="D9885" s="489" t="s">
        <v>30459</v>
      </c>
      <c r="E9885" s="487" t="s">
        <v>28570</v>
      </c>
      <c r="F9885" s="490">
        <v>20000</v>
      </c>
      <c r="G9885" s="489">
        <v>224.76</v>
      </c>
      <c r="H9885" s="489">
        <v>88.983800000000002</v>
      </c>
      <c r="I9885" s="487" t="s">
        <v>1499</v>
      </c>
      <c r="J9885" s="487" t="s">
        <v>1391</v>
      </c>
    </row>
    <row r="9886" spans="1:10" ht="15" x14ac:dyDescent="0.2">
      <c r="A9886" s="486" t="s">
        <v>1390</v>
      </c>
      <c r="B9886" s="487" t="s">
        <v>1389</v>
      </c>
      <c r="C9886" s="488" t="s">
        <v>30460</v>
      </c>
      <c r="D9886" s="489" t="s">
        <v>30461</v>
      </c>
      <c r="E9886" s="487" t="s">
        <v>30462</v>
      </c>
      <c r="F9886" s="490">
        <v>1350</v>
      </c>
      <c r="G9886" s="489">
        <v>58.98</v>
      </c>
      <c r="H9886" s="489">
        <v>22.889109999999999</v>
      </c>
      <c r="I9886" s="487" t="s">
        <v>1499</v>
      </c>
      <c r="J9886" s="487" t="s">
        <v>1391</v>
      </c>
    </row>
    <row r="9887" spans="1:10" ht="15" x14ac:dyDescent="0.2">
      <c r="A9887" s="486" t="s">
        <v>1390</v>
      </c>
      <c r="B9887" s="487" t="s">
        <v>1389</v>
      </c>
      <c r="C9887" s="488" t="s">
        <v>30463</v>
      </c>
      <c r="D9887" s="489" t="s">
        <v>30464</v>
      </c>
      <c r="E9887" s="487" t="s">
        <v>30465</v>
      </c>
      <c r="F9887" s="490">
        <v>17100</v>
      </c>
      <c r="G9887" s="489">
        <v>277.86</v>
      </c>
      <c r="H9887" s="489">
        <v>61.541780000000003</v>
      </c>
      <c r="I9887" s="487" t="s">
        <v>1499</v>
      </c>
      <c r="J9887" s="487" t="s">
        <v>1391</v>
      </c>
    </row>
    <row r="9888" spans="1:10" ht="15" x14ac:dyDescent="0.2">
      <c r="A9888" s="486" t="s">
        <v>1390</v>
      </c>
      <c r="B9888" s="487" t="s">
        <v>1389</v>
      </c>
      <c r="C9888" s="488" t="s">
        <v>30466</v>
      </c>
      <c r="D9888" s="489" t="s">
        <v>30467</v>
      </c>
      <c r="E9888" s="487" t="s">
        <v>30468</v>
      </c>
      <c r="F9888" s="490">
        <v>18053.900000000001</v>
      </c>
      <c r="G9888" s="489">
        <v>697.16</v>
      </c>
      <c r="H9888" s="489">
        <v>25.896350000000002</v>
      </c>
      <c r="I9888" s="487" t="s">
        <v>1499</v>
      </c>
      <c r="J9888" s="487" t="s">
        <v>1391</v>
      </c>
    </row>
    <row r="9889" spans="1:10" ht="15" x14ac:dyDescent="0.2">
      <c r="A9889" s="486" t="s">
        <v>1390</v>
      </c>
      <c r="B9889" s="487" t="s">
        <v>1389</v>
      </c>
      <c r="C9889" s="488" t="s">
        <v>30469</v>
      </c>
      <c r="D9889" s="489" t="s">
        <v>30470</v>
      </c>
      <c r="E9889" s="487" t="s">
        <v>30471</v>
      </c>
      <c r="F9889" s="490">
        <v>11000</v>
      </c>
      <c r="G9889" s="489">
        <v>185.41</v>
      </c>
      <c r="H9889" s="489">
        <v>59.327979999999997</v>
      </c>
      <c r="I9889" s="487" t="s">
        <v>1499</v>
      </c>
      <c r="J9889" s="487" t="s">
        <v>1391</v>
      </c>
    </row>
    <row r="9890" spans="1:10" ht="15" x14ac:dyDescent="0.2">
      <c r="A9890" s="486" t="s">
        <v>1390</v>
      </c>
      <c r="B9890" s="487" t="s">
        <v>1389</v>
      </c>
      <c r="C9890" s="488" t="s">
        <v>30472</v>
      </c>
      <c r="D9890" s="489" t="s">
        <v>30473</v>
      </c>
      <c r="E9890" s="487" t="s">
        <v>30474</v>
      </c>
      <c r="F9890" s="490">
        <v>31885</v>
      </c>
      <c r="G9890" s="489">
        <v>428.26</v>
      </c>
      <c r="H9890" s="489">
        <v>74.452439999999996</v>
      </c>
      <c r="I9890" s="487" t="s">
        <v>1499</v>
      </c>
      <c r="J9890" s="487" t="s">
        <v>1391</v>
      </c>
    </row>
    <row r="9891" spans="1:10" ht="15" x14ac:dyDescent="0.2">
      <c r="A9891" s="486" t="s">
        <v>1390</v>
      </c>
      <c r="B9891" s="487" t="s">
        <v>1389</v>
      </c>
      <c r="C9891" s="488" t="s">
        <v>30475</v>
      </c>
      <c r="D9891" s="489" t="s">
        <v>30476</v>
      </c>
      <c r="E9891" s="487" t="s">
        <v>30477</v>
      </c>
      <c r="F9891" s="490">
        <v>2970</v>
      </c>
      <c r="G9891" s="489">
        <v>75.959999999999994</v>
      </c>
      <c r="H9891" s="489">
        <v>39.099530000000001</v>
      </c>
      <c r="I9891" s="487" t="s">
        <v>1499</v>
      </c>
      <c r="J9891" s="487" t="s">
        <v>1391</v>
      </c>
    </row>
    <row r="9892" spans="1:10" ht="15" x14ac:dyDescent="0.2">
      <c r="A9892" s="486" t="s">
        <v>1390</v>
      </c>
      <c r="B9892" s="487" t="s">
        <v>1389</v>
      </c>
      <c r="C9892" s="488" t="s">
        <v>30478</v>
      </c>
      <c r="D9892" s="489" t="s">
        <v>30479</v>
      </c>
      <c r="E9892" s="487" t="s">
        <v>18569</v>
      </c>
      <c r="F9892" s="490">
        <v>6615</v>
      </c>
      <c r="G9892" s="489">
        <v>356.65</v>
      </c>
      <c r="H9892" s="489">
        <v>18.547599999999999</v>
      </c>
      <c r="I9892" s="487" t="s">
        <v>1499</v>
      </c>
      <c r="J9892" s="487" t="s">
        <v>1391</v>
      </c>
    </row>
    <row r="9893" spans="1:10" ht="15" x14ac:dyDescent="0.2">
      <c r="A9893" s="486" t="s">
        <v>1390</v>
      </c>
      <c r="B9893" s="487" t="s">
        <v>1389</v>
      </c>
      <c r="C9893" s="488" t="s">
        <v>30480</v>
      </c>
      <c r="D9893" s="489" t="s">
        <v>30481</v>
      </c>
      <c r="E9893" s="487" t="s">
        <v>30482</v>
      </c>
      <c r="F9893" s="490">
        <v>18657</v>
      </c>
      <c r="G9893" s="489">
        <v>174.49</v>
      </c>
      <c r="H9893" s="489">
        <v>106.92303</v>
      </c>
      <c r="I9893" s="487" t="s">
        <v>1499</v>
      </c>
      <c r="J9893" s="487" t="s">
        <v>1391</v>
      </c>
    </row>
    <row r="9894" spans="1:10" ht="15" x14ac:dyDescent="0.2">
      <c r="A9894" s="486" t="s">
        <v>1390</v>
      </c>
      <c r="B9894" s="487" t="s">
        <v>1389</v>
      </c>
      <c r="C9894" s="488" t="s">
        <v>30483</v>
      </c>
      <c r="D9894" s="489" t="s">
        <v>30484</v>
      </c>
      <c r="E9894" s="487" t="s">
        <v>30485</v>
      </c>
      <c r="F9894" s="490">
        <v>20555</v>
      </c>
      <c r="G9894" s="489">
        <v>687.7</v>
      </c>
      <c r="H9894" s="489">
        <v>29.889489999999999</v>
      </c>
      <c r="I9894" s="487" t="s">
        <v>1499</v>
      </c>
      <c r="J9894" s="487" t="s">
        <v>1391</v>
      </c>
    </row>
    <row r="9895" spans="1:10" ht="15" x14ac:dyDescent="0.2">
      <c r="A9895" s="486" t="s">
        <v>1390</v>
      </c>
      <c r="B9895" s="487" t="s">
        <v>1389</v>
      </c>
      <c r="C9895" s="488" t="s">
        <v>30486</v>
      </c>
      <c r="D9895" s="489" t="s">
        <v>30487</v>
      </c>
      <c r="E9895" s="487" t="s">
        <v>30488</v>
      </c>
      <c r="F9895" s="490">
        <v>16200</v>
      </c>
      <c r="G9895" s="489">
        <v>209.75</v>
      </c>
      <c r="H9895" s="489">
        <v>77.234800000000007</v>
      </c>
      <c r="I9895" s="487" t="s">
        <v>1499</v>
      </c>
      <c r="J9895" s="487" t="s">
        <v>1391</v>
      </c>
    </row>
    <row r="9896" spans="1:10" ht="15" x14ac:dyDescent="0.2">
      <c r="A9896" s="486" t="s">
        <v>1390</v>
      </c>
      <c r="B9896" s="487" t="s">
        <v>1389</v>
      </c>
      <c r="C9896" s="488" t="s">
        <v>30489</v>
      </c>
      <c r="D9896" s="489" t="s">
        <v>30490</v>
      </c>
      <c r="E9896" s="487" t="s">
        <v>30491</v>
      </c>
      <c r="F9896" s="490">
        <v>14433.52</v>
      </c>
      <c r="G9896" s="489">
        <v>218.16</v>
      </c>
      <c r="H9896" s="489">
        <v>66.160250000000005</v>
      </c>
      <c r="I9896" s="487" t="s">
        <v>1499</v>
      </c>
      <c r="J9896" s="487" t="s">
        <v>1391</v>
      </c>
    </row>
    <row r="9897" spans="1:10" ht="15" x14ac:dyDescent="0.2">
      <c r="A9897" s="486" t="s">
        <v>1390</v>
      </c>
      <c r="B9897" s="487" t="s">
        <v>1389</v>
      </c>
      <c r="C9897" s="488" t="s">
        <v>30492</v>
      </c>
      <c r="D9897" s="489" t="s">
        <v>30493</v>
      </c>
      <c r="E9897" s="487" t="s">
        <v>30494</v>
      </c>
      <c r="F9897" s="490">
        <v>0</v>
      </c>
      <c r="G9897" s="489">
        <v>67.86</v>
      </c>
      <c r="H9897" s="489">
        <v>0</v>
      </c>
      <c r="I9897" s="487" t="s">
        <v>1593</v>
      </c>
      <c r="J9897" s="487" t="s">
        <v>1391</v>
      </c>
    </row>
    <row r="9898" spans="1:10" ht="15" x14ac:dyDescent="0.2">
      <c r="A9898" s="486" t="s">
        <v>1390</v>
      </c>
      <c r="B9898" s="487" t="s">
        <v>1389</v>
      </c>
      <c r="C9898" s="488" t="s">
        <v>30495</v>
      </c>
      <c r="D9898" s="489" t="s">
        <v>30496</v>
      </c>
      <c r="E9898" s="487" t="s">
        <v>30497</v>
      </c>
      <c r="F9898" s="490">
        <v>0</v>
      </c>
      <c r="G9898" s="489">
        <v>57.98</v>
      </c>
      <c r="H9898" s="489">
        <v>0</v>
      </c>
      <c r="I9898" s="487" t="s">
        <v>1593</v>
      </c>
      <c r="J9898" s="487" t="s">
        <v>1391</v>
      </c>
    </row>
    <row r="9899" spans="1:10" ht="15" x14ac:dyDescent="0.2">
      <c r="A9899" s="486" t="s">
        <v>1390</v>
      </c>
      <c r="B9899" s="487" t="s">
        <v>1389</v>
      </c>
      <c r="C9899" s="488" t="s">
        <v>30498</v>
      </c>
      <c r="D9899" s="489" t="s">
        <v>30499</v>
      </c>
      <c r="E9899" s="487" t="s">
        <v>30500</v>
      </c>
      <c r="F9899" s="490">
        <v>19250</v>
      </c>
      <c r="G9899" s="489">
        <v>268.62</v>
      </c>
      <c r="H9899" s="489">
        <v>71.662570000000002</v>
      </c>
      <c r="I9899" s="487" t="s">
        <v>1499</v>
      </c>
      <c r="J9899" s="487" t="s">
        <v>1391</v>
      </c>
    </row>
    <row r="9900" spans="1:10" ht="15" x14ac:dyDescent="0.2">
      <c r="A9900" s="486" t="s">
        <v>1390</v>
      </c>
      <c r="B9900" s="487" t="s">
        <v>1389</v>
      </c>
      <c r="C9900" s="488" t="s">
        <v>30501</v>
      </c>
      <c r="D9900" s="489" t="s">
        <v>30502</v>
      </c>
      <c r="E9900" s="487" t="s">
        <v>30503</v>
      </c>
      <c r="F9900" s="490">
        <v>20000</v>
      </c>
      <c r="G9900" s="489">
        <v>252.86</v>
      </c>
      <c r="H9900" s="489">
        <v>79.095150000000004</v>
      </c>
      <c r="I9900" s="487" t="s">
        <v>1499</v>
      </c>
      <c r="J9900" s="487" t="s">
        <v>1391</v>
      </c>
    </row>
    <row r="9901" spans="1:10" ht="15" x14ac:dyDescent="0.2">
      <c r="A9901" s="486" t="s">
        <v>1390</v>
      </c>
      <c r="B9901" s="487" t="s">
        <v>1389</v>
      </c>
      <c r="C9901" s="488" t="s">
        <v>30504</v>
      </c>
      <c r="D9901" s="489" t="s">
        <v>30505</v>
      </c>
      <c r="E9901" s="487" t="s">
        <v>30506</v>
      </c>
      <c r="F9901" s="490">
        <v>4601.74</v>
      </c>
      <c r="G9901" s="489">
        <v>198.18</v>
      </c>
      <c r="H9901" s="489">
        <v>23.22</v>
      </c>
      <c r="I9901" s="487" t="s">
        <v>1499</v>
      </c>
      <c r="J9901" s="487" t="s">
        <v>1391</v>
      </c>
    </row>
    <row r="9902" spans="1:10" ht="15" x14ac:dyDescent="0.2">
      <c r="A9902" s="486" t="s">
        <v>1390</v>
      </c>
      <c r="B9902" s="487" t="s">
        <v>1389</v>
      </c>
      <c r="C9902" s="488" t="s">
        <v>30507</v>
      </c>
      <c r="D9902" s="489" t="s">
        <v>30508</v>
      </c>
      <c r="E9902" s="487" t="s">
        <v>30509</v>
      </c>
      <c r="F9902" s="490">
        <v>16050</v>
      </c>
      <c r="G9902" s="489">
        <v>230.72</v>
      </c>
      <c r="H9902" s="489">
        <v>69.564840000000004</v>
      </c>
      <c r="I9902" s="487" t="s">
        <v>1499</v>
      </c>
      <c r="J9902" s="487" t="s">
        <v>1391</v>
      </c>
    </row>
    <row r="9903" spans="1:10" ht="15" x14ac:dyDescent="0.2">
      <c r="A9903" s="486" t="s">
        <v>1390</v>
      </c>
      <c r="B9903" s="487" t="s">
        <v>1389</v>
      </c>
      <c r="C9903" s="488" t="s">
        <v>30510</v>
      </c>
      <c r="D9903" s="489" t="s">
        <v>30511</v>
      </c>
      <c r="E9903" s="487" t="s">
        <v>30512</v>
      </c>
      <c r="F9903" s="490">
        <v>3403</v>
      </c>
      <c r="G9903" s="489">
        <v>110.98</v>
      </c>
      <c r="H9903" s="489">
        <v>30.663180000000001</v>
      </c>
      <c r="I9903" s="487" t="s">
        <v>1499</v>
      </c>
      <c r="J9903" s="487" t="s">
        <v>1391</v>
      </c>
    </row>
    <row r="9904" spans="1:10" ht="15" x14ac:dyDescent="0.2">
      <c r="A9904" s="486" t="s">
        <v>1390</v>
      </c>
      <c r="B9904" s="487" t="s">
        <v>1389</v>
      </c>
      <c r="C9904" s="488" t="s">
        <v>30513</v>
      </c>
      <c r="D9904" s="489" t="s">
        <v>30514</v>
      </c>
      <c r="E9904" s="487" t="s">
        <v>30515</v>
      </c>
      <c r="F9904" s="490">
        <v>1550</v>
      </c>
      <c r="G9904" s="489">
        <v>69.5</v>
      </c>
      <c r="H9904" s="489">
        <v>22.302160000000001</v>
      </c>
      <c r="I9904" s="487" t="s">
        <v>1499</v>
      </c>
      <c r="J9904" s="487" t="s">
        <v>1391</v>
      </c>
    </row>
    <row r="9905" spans="1:10" ht="15" x14ac:dyDescent="0.2">
      <c r="A9905" s="486" t="s">
        <v>1390</v>
      </c>
      <c r="B9905" s="487" t="s">
        <v>1389</v>
      </c>
      <c r="C9905" s="488" t="s">
        <v>30516</v>
      </c>
      <c r="D9905" s="489" t="s">
        <v>30517</v>
      </c>
      <c r="E9905" s="487" t="s">
        <v>30518</v>
      </c>
      <c r="F9905" s="490">
        <v>162000</v>
      </c>
      <c r="G9905" s="489">
        <v>1587.41</v>
      </c>
      <c r="H9905" s="489">
        <v>102.05303000000001</v>
      </c>
      <c r="I9905" s="487" t="s">
        <v>1499</v>
      </c>
      <c r="J9905" s="487" t="s">
        <v>1391</v>
      </c>
    </row>
    <row r="9906" spans="1:10" ht="15" x14ac:dyDescent="0.2">
      <c r="A9906" s="486" t="s">
        <v>1390</v>
      </c>
      <c r="B9906" s="487" t="s">
        <v>1389</v>
      </c>
      <c r="C9906" s="488" t="s">
        <v>30519</v>
      </c>
      <c r="D9906" s="489" t="s">
        <v>30520</v>
      </c>
      <c r="E9906" s="487" t="s">
        <v>30521</v>
      </c>
      <c r="F9906" s="490">
        <v>21501</v>
      </c>
      <c r="G9906" s="489">
        <v>387.28</v>
      </c>
      <c r="H9906" s="489">
        <v>55.517969999999998</v>
      </c>
      <c r="I9906" s="487" t="s">
        <v>1499</v>
      </c>
      <c r="J9906" s="487" t="s">
        <v>1391</v>
      </c>
    </row>
    <row r="9907" spans="1:10" ht="15" x14ac:dyDescent="0.2">
      <c r="A9907" s="486" t="s">
        <v>1390</v>
      </c>
      <c r="B9907" s="487" t="s">
        <v>1389</v>
      </c>
      <c r="C9907" s="488" t="s">
        <v>30522</v>
      </c>
      <c r="D9907" s="489" t="s">
        <v>30523</v>
      </c>
      <c r="E9907" s="487" t="s">
        <v>30524</v>
      </c>
      <c r="F9907" s="490">
        <v>32065</v>
      </c>
      <c r="G9907" s="489">
        <v>605.48</v>
      </c>
      <c r="H9907" s="489">
        <v>52.957979999999999</v>
      </c>
      <c r="I9907" s="487" t="s">
        <v>1499</v>
      </c>
      <c r="J9907" s="487" t="s">
        <v>1391</v>
      </c>
    </row>
    <row r="9908" spans="1:10" ht="15" x14ac:dyDescent="0.2">
      <c r="A9908" s="486" t="s">
        <v>1390</v>
      </c>
      <c r="B9908" s="487" t="s">
        <v>1389</v>
      </c>
      <c r="C9908" s="488" t="s">
        <v>30525</v>
      </c>
      <c r="D9908" s="489" t="s">
        <v>30526</v>
      </c>
      <c r="E9908" s="487" t="s">
        <v>30527</v>
      </c>
      <c r="F9908" s="490">
        <v>15000</v>
      </c>
      <c r="G9908" s="489">
        <v>162.96</v>
      </c>
      <c r="H9908" s="489">
        <v>92.047129999999996</v>
      </c>
      <c r="I9908" s="487" t="s">
        <v>1499</v>
      </c>
      <c r="J9908" s="487" t="s">
        <v>1391</v>
      </c>
    </row>
    <row r="9909" spans="1:10" ht="15" x14ac:dyDescent="0.2">
      <c r="A9909" s="486" t="s">
        <v>1390</v>
      </c>
      <c r="B9909" s="487" t="s">
        <v>1389</v>
      </c>
      <c r="C9909" s="488" t="s">
        <v>30528</v>
      </c>
      <c r="D9909" s="489" t="s">
        <v>30529</v>
      </c>
      <c r="E9909" s="487" t="s">
        <v>30530</v>
      </c>
      <c r="F9909" s="490">
        <v>5046.29</v>
      </c>
      <c r="G9909" s="489">
        <v>86.35</v>
      </c>
      <c r="H9909" s="489">
        <v>58.439950000000003</v>
      </c>
      <c r="I9909" s="487" t="s">
        <v>1499</v>
      </c>
      <c r="J9909" s="487" t="s">
        <v>1391</v>
      </c>
    </row>
    <row r="9910" spans="1:10" ht="15" x14ac:dyDescent="0.2">
      <c r="A9910" s="486" t="s">
        <v>1390</v>
      </c>
      <c r="B9910" s="487" t="s">
        <v>1389</v>
      </c>
      <c r="C9910" s="488" t="s">
        <v>30531</v>
      </c>
      <c r="D9910" s="489" t="s">
        <v>30532</v>
      </c>
      <c r="E9910" s="487" t="s">
        <v>30533</v>
      </c>
      <c r="F9910" s="490">
        <v>399865</v>
      </c>
      <c r="G9910" s="489">
        <v>2529.67</v>
      </c>
      <c r="H9910" s="489">
        <v>158.07002</v>
      </c>
      <c r="I9910" s="487" t="s">
        <v>1499</v>
      </c>
      <c r="J9910" s="487" t="s">
        <v>1391</v>
      </c>
    </row>
    <row r="9911" spans="1:10" ht="15" x14ac:dyDescent="0.2">
      <c r="A9911" s="486" t="s">
        <v>1390</v>
      </c>
      <c r="B9911" s="487" t="s">
        <v>1389</v>
      </c>
      <c r="C9911" s="488" t="s">
        <v>30534</v>
      </c>
      <c r="D9911" s="489" t="s">
        <v>30535</v>
      </c>
      <c r="E9911" s="487" t="s">
        <v>30536</v>
      </c>
      <c r="F9911" s="490">
        <v>11500</v>
      </c>
      <c r="G9911" s="489">
        <v>152.9</v>
      </c>
      <c r="H9911" s="489">
        <v>75.212559999999996</v>
      </c>
      <c r="I9911" s="487" t="s">
        <v>1499</v>
      </c>
      <c r="J9911" s="487" t="s">
        <v>1391</v>
      </c>
    </row>
    <row r="9912" spans="1:10" ht="15" x14ac:dyDescent="0.2">
      <c r="A9912" s="486" t="s">
        <v>1390</v>
      </c>
      <c r="B9912" s="487" t="s">
        <v>1389</v>
      </c>
      <c r="C9912" s="488" t="s">
        <v>30537</v>
      </c>
      <c r="D9912" s="489" t="s">
        <v>30538</v>
      </c>
      <c r="E9912" s="487" t="s">
        <v>30539</v>
      </c>
      <c r="F9912" s="490">
        <v>81086.5</v>
      </c>
      <c r="G9912" s="489">
        <v>948.99</v>
      </c>
      <c r="H9912" s="489">
        <v>85.445049999999995</v>
      </c>
      <c r="I9912" s="487" t="s">
        <v>1499</v>
      </c>
      <c r="J9912" s="487" t="s">
        <v>1391</v>
      </c>
    </row>
    <row r="9913" spans="1:10" ht="15" x14ac:dyDescent="0.2">
      <c r="A9913" s="486" t="s">
        <v>1390</v>
      </c>
      <c r="B9913" s="487" t="s">
        <v>1389</v>
      </c>
      <c r="C9913" s="488" t="s">
        <v>30540</v>
      </c>
      <c r="D9913" s="489" t="s">
        <v>30541</v>
      </c>
      <c r="E9913" s="487" t="s">
        <v>30542</v>
      </c>
      <c r="F9913" s="490">
        <v>52500</v>
      </c>
      <c r="G9913" s="489">
        <v>1214.46</v>
      </c>
      <c r="H9913" s="489">
        <v>43.229089999999999</v>
      </c>
      <c r="I9913" s="487" t="s">
        <v>1499</v>
      </c>
      <c r="J9913" s="487" t="s">
        <v>1391</v>
      </c>
    </row>
    <row r="9914" spans="1:10" ht="15" x14ac:dyDescent="0.2">
      <c r="A9914" s="486" t="s">
        <v>1390</v>
      </c>
      <c r="B9914" s="487" t="s">
        <v>1389</v>
      </c>
      <c r="C9914" s="488" t="s">
        <v>30543</v>
      </c>
      <c r="D9914" s="489" t="s">
        <v>30544</v>
      </c>
      <c r="E9914" s="487" t="s">
        <v>30545</v>
      </c>
      <c r="F9914" s="490">
        <v>48970.879999999997</v>
      </c>
      <c r="G9914" s="489">
        <v>500.06</v>
      </c>
      <c r="H9914" s="489">
        <v>97.930009999999996</v>
      </c>
      <c r="I9914" s="487" t="s">
        <v>1499</v>
      </c>
      <c r="J9914" s="487" t="s">
        <v>1391</v>
      </c>
    </row>
    <row r="9915" spans="1:10" ht="15" x14ac:dyDescent="0.2">
      <c r="A9915" s="486" t="s">
        <v>1390</v>
      </c>
      <c r="B9915" s="487" t="s">
        <v>1389</v>
      </c>
      <c r="C9915" s="488" t="s">
        <v>30546</v>
      </c>
      <c r="D9915" s="489" t="s">
        <v>30547</v>
      </c>
      <c r="E9915" s="487" t="s">
        <v>30548</v>
      </c>
      <c r="F9915" s="490">
        <v>8967</v>
      </c>
      <c r="G9915" s="489">
        <v>75.45</v>
      </c>
      <c r="H9915" s="489">
        <v>118.84692</v>
      </c>
      <c r="I9915" s="487" t="s">
        <v>1499</v>
      </c>
      <c r="J9915" s="487" t="s">
        <v>1391</v>
      </c>
    </row>
    <row r="9916" spans="1:10" ht="15" x14ac:dyDescent="0.2">
      <c r="A9916" s="486" t="s">
        <v>1390</v>
      </c>
      <c r="B9916" s="487" t="s">
        <v>1389</v>
      </c>
      <c r="C9916" s="488" t="s">
        <v>30549</v>
      </c>
      <c r="D9916" s="489" t="s">
        <v>30550</v>
      </c>
      <c r="E9916" s="487" t="s">
        <v>30551</v>
      </c>
      <c r="F9916" s="490">
        <v>5943766</v>
      </c>
      <c r="G9916" s="489">
        <v>15553.49</v>
      </c>
      <c r="H9916" s="489">
        <v>382.14999</v>
      </c>
      <c r="I9916" s="487" t="s">
        <v>1499</v>
      </c>
      <c r="J9916" s="487" t="s">
        <v>1391</v>
      </c>
    </row>
    <row r="9917" spans="1:10" ht="15" x14ac:dyDescent="0.2">
      <c r="A9917" s="486" t="s">
        <v>1390</v>
      </c>
      <c r="B9917" s="487" t="s">
        <v>1389</v>
      </c>
      <c r="C9917" s="488" t="s">
        <v>30552</v>
      </c>
      <c r="D9917" s="489" t="s">
        <v>30553</v>
      </c>
      <c r="E9917" s="487" t="s">
        <v>30554</v>
      </c>
      <c r="F9917" s="490">
        <v>1300</v>
      </c>
      <c r="G9917" s="489">
        <v>136.75</v>
      </c>
      <c r="H9917" s="489">
        <v>9.5063999999999993</v>
      </c>
      <c r="I9917" s="487" t="s">
        <v>1499</v>
      </c>
      <c r="J9917" s="487" t="s">
        <v>1391</v>
      </c>
    </row>
    <row r="9918" spans="1:10" ht="15" x14ac:dyDescent="0.2">
      <c r="A9918" s="486" t="s">
        <v>1390</v>
      </c>
      <c r="B9918" s="487" t="s">
        <v>1389</v>
      </c>
      <c r="C9918" s="488" t="s">
        <v>30555</v>
      </c>
      <c r="D9918" s="489" t="s">
        <v>30556</v>
      </c>
      <c r="E9918" s="487" t="s">
        <v>30557</v>
      </c>
      <c r="F9918" s="490">
        <v>24000</v>
      </c>
      <c r="G9918" s="489">
        <v>182.13</v>
      </c>
      <c r="H9918" s="489">
        <v>131.77401</v>
      </c>
      <c r="I9918" s="487" t="s">
        <v>1499</v>
      </c>
      <c r="J9918" s="487" t="s">
        <v>1391</v>
      </c>
    </row>
    <row r="9919" spans="1:10" ht="15" x14ac:dyDescent="0.2">
      <c r="A9919" s="486" t="s">
        <v>1390</v>
      </c>
      <c r="B9919" s="487" t="s">
        <v>1389</v>
      </c>
      <c r="C9919" s="488" t="s">
        <v>30558</v>
      </c>
      <c r="D9919" s="489" t="s">
        <v>30559</v>
      </c>
      <c r="E9919" s="487" t="s">
        <v>30560</v>
      </c>
      <c r="F9919" s="490">
        <v>17000</v>
      </c>
      <c r="G9919" s="489">
        <v>294.91000000000003</v>
      </c>
      <c r="H9919" s="489">
        <v>57.644710000000003</v>
      </c>
      <c r="I9919" s="487" t="s">
        <v>1499</v>
      </c>
      <c r="J9919" s="487" t="s">
        <v>1391</v>
      </c>
    </row>
    <row r="9920" spans="1:10" ht="15" x14ac:dyDescent="0.2">
      <c r="A9920" s="486" t="s">
        <v>1390</v>
      </c>
      <c r="B9920" s="487" t="s">
        <v>1389</v>
      </c>
      <c r="C9920" s="488" t="s">
        <v>30561</v>
      </c>
      <c r="D9920" s="489" t="s">
        <v>30562</v>
      </c>
      <c r="E9920" s="487" t="s">
        <v>30563</v>
      </c>
      <c r="F9920" s="490">
        <v>23851</v>
      </c>
      <c r="G9920" s="489">
        <v>527</v>
      </c>
      <c r="H9920" s="489">
        <v>45.25806</v>
      </c>
      <c r="I9920" s="487" t="s">
        <v>1499</v>
      </c>
      <c r="J9920" s="487" t="s">
        <v>1391</v>
      </c>
    </row>
    <row r="9921" spans="1:10" ht="15" x14ac:dyDescent="0.2">
      <c r="A9921" s="486" t="s">
        <v>1390</v>
      </c>
      <c r="B9921" s="487" t="s">
        <v>1389</v>
      </c>
      <c r="C9921" s="488" t="s">
        <v>30564</v>
      </c>
      <c r="D9921" s="489" t="s">
        <v>30565</v>
      </c>
      <c r="E9921" s="487" t="s">
        <v>30566</v>
      </c>
      <c r="F9921" s="490">
        <v>15500</v>
      </c>
      <c r="G9921" s="489">
        <v>407.6</v>
      </c>
      <c r="H9921" s="489">
        <v>38.027479999999997</v>
      </c>
      <c r="I9921" s="487" t="s">
        <v>1499</v>
      </c>
      <c r="J9921" s="487" t="s">
        <v>1391</v>
      </c>
    </row>
    <row r="9922" spans="1:10" ht="15" x14ac:dyDescent="0.2">
      <c r="A9922" s="486" t="s">
        <v>1390</v>
      </c>
      <c r="B9922" s="487" t="s">
        <v>1389</v>
      </c>
      <c r="C9922" s="488" t="s">
        <v>30567</v>
      </c>
      <c r="D9922" s="489" t="s">
        <v>30568</v>
      </c>
      <c r="E9922" s="487" t="s">
        <v>30569</v>
      </c>
      <c r="F9922" s="490">
        <v>10000</v>
      </c>
      <c r="G9922" s="489">
        <v>331.74</v>
      </c>
      <c r="H9922" s="489">
        <v>30.144089999999998</v>
      </c>
      <c r="I9922" s="487" t="s">
        <v>1499</v>
      </c>
      <c r="J9922" s="487" t="s">
        <v>1391</v>
      </c>
    </row>
    <row r="9923" spans="1:10" ht="15" x14ac:dyDescent="0.2">
      <c r="A9923" s="486" t="s">
        <v>1390</v>
      </c>
      <c r="B9923" s="487" t="s">
        <v>1389</v>
      </c>
      <c r="C9923" s="488" t="s">
        <v>30570</v>
      </c>
      <c r="D9923" s="489" t="s">
        <v>30571</v>
      </c>
      <c r="E9923" s="487" t="s">
        <v>30572</v>
      </c>
      <c r="F9923" s="490">
        <v>0</v>
      </c>
      <c r="G9923" s="489">
        <v>38.22</v>
      </c>
      <c r="H9923" s="489">
        <v>0</v>
      </c>
      <c r="I9923" s="487" t="s">
        <v>1593</v>
      </c>
      <c r="J9923" s="487" t="s">
        <v>1391</v>
      </c>
    </row>
    <row r="9924" spans="1:10" ht="15" x14ac:dyDescent="0.2">
      <c r="A9924" s="486" t="s">
        <v>1390</v>
      </c>
      <c r="B9924" s="487" t="s">
        <v>1389</v>
      </c>
      <c r="C9924" s="488" t="s">
        <v>30573</v>
      </c>
      <c r="D9924" s="489" t="s">
        <v>30574</v>
      </c>
      <c r="E9924" s="487" t="s">
        <v>30575</v>
      </c>
      <c r="F9924" s="490">
        <v>94894</v>
      </c>
      <c r="G9924" s="489">
        <v>725.57</v>
      </c>
      <c r="H9924" s="489">
        <v>130.78545</v>
      </c>
      <c r="I9924" s="487" t="s">
        <v>1499</v>
      </c>
      <c r="J9924" s="487" t="s">
        <v>1391</v>
      </c>
    </row>
    <row r="9925" spans="1:10" ht="15" x14ac:dyDescent="0.2">
      <c r="A9925" s="486" t="s">
        <v>1390</v>
      </c>
      <c r="B9925" s="487" t="s">
        <v>1389</v>
      </c>
      <c r="C9925" s="488" t="s">
        <v>30576</v>
      </c>
      <c r="D9925" s="489" t="s">
        <v>30577</v>
      </c>
      <c r="E9925" s="487" t="s">
        <v>30578</v>
      </c>
      <c r="F9925" s="490">
        <v>50000</v>
      </c>
      <c r="G9925" s="489">
        <v>768.94</v>
      </c>
      <c r="H9925" s="489">
        <v>65.02458</v>
      </c>
      <c r="I9925" s="487" t="s">
        <v>1499</v>
      </c>
      <c r="J9925" s="487" t="s">
        <v>1391</v>
      </c>
    </row>
    <row r="9926" spans="1:10" ht="15" x14ac:dyDescent="0.2">
      <c r="A9926" s="486" t="s">
        <v>1390</v>
      </c>
      <c r="B9926" s="487" t="s">
        <v>1389</v>
      </c>
      <c r="C9926" s="488" t="s">
        <v>30579</v>
      </c>
      <c r="D9926" s="489" t="s">
        <v>30580</v>
      </c>
      <c r="E9926" s="487" t="s">
        <v>30581</v>
      </c>
      <c r="F9926" s="490">
        <v>500</v>
      </c>
      <c r="G9926" s="489">
        <v>70.23</v>
      </c>
      <c r="H9926" s="489">
        <v>7.1194600000000001</v>
      </c>
      <c r="I9926" s="487" t="s">
        <v>1499</v>
      </c>
      <c r="J9926" s="487" t="s">
        <v>1391</v>
      </c>
    </row>
    <row r="9927" spans="1:10" ht="15" x14ac:dyDescent="0.2">
      <c r="A9927" s="486" t="s">
        <v>1390</v>
      </c>
      <c r="B9927" s="487" t="s">
        <v>1389</v>
      </c>
      <c r="C9927" s="488" t="s">
        <v>30582</v>
      </c>
      <c r="D9927" s="489" t="s">
        <v>30583</v>
      </c>
      <c r="E9927" s="487" t="s">
        <v>30584</v>
      </c>
      <c r="F9927" s="490">
        <v>9888.82</v>
      </c>
      <c r="G9927" s="489">
        <v>232.35</v>
      </c>
      <c r="H9927" s="489">
        <v>42.560020000000002</v>
      </c>
      <c r="I9927" s="487" t="s">
        <v>1499</v>
      </c>
      <c r="J9927" s="487" t="s">
        <v>1391</v>
      </c>
    </row>
    <row r="9928" spans="1:10" ht="15" x14ac:dyDescent="0.2">
      <c r="A9928" s="486" t="s">
        <v>1390</v>
      </c>
      <c r="B9928" s="487" t="s">
        <v>1389</v>
      </c>
      <c r="C9928" s="488" t="s">
        <v>30585</v>
      </c>
      <c r="D9928" s="489" t="s">
        <v>30586</v>
      </c>
      <c r="E9928" s="487" t="s">
        <v>30587</v>
      </c>
      <c r="F9928" s="490">
        <v>5500</v>
      </c>
      <c r="G9928" s="489">
        <v>231.85</v>
      </c>
      <c r="H9928" s="489">
        <v>23.72223</v>
      </c>
      <c r="I9928" s="487" t="s">
        <v>1499</v>
      </c>
      <c r="J9928" s="487" t="s">
        <v>1391</v>
      </c>
    </row>
    <row r="9929" spans="1:10" ht="15" x14ac:dyDescent="0.2">
      <c r="A9929" s="486" t="s">
        <v>1390</v>
      </c>
      <c r="B9929" s="487" t="s">
        <v>1389</v>
      </c>
      <c r="C9929" s="488" t="s">
        <v>30588</v>
      </c>
      <c r="D9929" s="489" t="s">
        <v>30589</v>
      </c>
      <c r="E9929" s="487" t="s">
        <v>22571</v>
      </c>
      <c r="F9929" s="490">
        <v>35000</v>
      </c>
      <c r="G9929" s="489">
        <v>780.82</v>
      </c>
      <c r="H9929" s="489">
        <v>44.824669999999998</v>
      </c>
      <c r="I9929" s="487" t="s">
        <v>1499</v>
      </c>
      <c r="J9929" s="487" t="s">
        <v>1391</v>
      </c>
    </row>
    <row r="9930" spans="1:10" ht="15" x14ac:dyDescent="0.2">
      <c r="A9930" s="486" t="s">
        <v>1390</v>
      </c>
      <c r="B9930" s="487" t="s">
        <v>1389</v>
      </c>
      <c r="C9930" s="488" t="s">
        <v>30590</v>
      </c>
      <c r="D9930" s="489" t="s">
        <v>30591</v>
      </c>
      <c r="E9930" s="487" t="s">
        <v>30592</v>
      </c>
      <c r="F9930" s="490">
        <v>16043</v>
      </c>
      <c r="G9930" s="489">
        <v>1085.0899999999999</v>
      </c>
      <c r="H9930" s="489">
        <v>14.78495</v>
      </c>
      <c r="I9930" s="487" t="s">
        <v>1499</v>
      </c>
      <c r="J9930" s="487" t="s">
        <v>1391</v>
      </c>
    </row>
    <row r="9931" spans="1:10" ht="15" x14ac:dyDescent="0.2">
      <c r="A9931" s="486" t="s">
        <v>1390</v>
      </c>
      <c r="B9931" s="487" t="s">
        <v>1389</v>
      </c>
      <c r="C9931" s="488" t="s">
        <v>30593</v>
      </c>
      <c r="D9931" s="489" t="s">
        <v>30594</v>
      </c>
      <c r="E9931" s="487" t="s">
        <v>30595</v>
      </c>
      <c r="F9931" s="490">
        <v>4080</v>
      </c>
      <c r="G9931" s="489">
        <v>83.55</v>
      </c>
      <c r="H9931" s="489">
        <v>48.833030000000001</v>
      </c>
      <c r="I9931" s="487" t="s">
        <v>1499</v>
      </c>
      <c r="J9931" s="487" t="s">
        <v>1391</v>
      </c>
    </row>
    <row r="9932" spans="1:10" ht="15" x14ac:dyDescent="0.2">
      <c r="A9932" s="486" t="s">
        <v>1390</v>
      </c>
      <c r="B9932" s="487" t="s">
        <v>1389</v>
      </c>
      <c r="C9932" s="488" t="s">
        <v>30596</v>
      </c>
      <c r="D9932" s="489" t="s">
        <v>30597</v>
      </c>
      <c r="E9932" s="487" t="s">
        <v>30598</v>
      </c>
      <c r="F9932" s="490">
        <v>10000</v>
      </c>
      <c r="G9932" s="489">
        <v>280.10000000000002</v>
      </c>
      <c r="H9932" s="489">
        <v>35.701540000000001</v>
      </c>
      <c r="I9932" s="487" t="s">
        <v>1499</v>
      </c>
      <c r="J9932" s="487" t="s">
        <v>1391</v>
      </c>
    </row>
    <row r="9933" spans="1:10" ht="15" x14ac:dyDescent="0.2">
      <c r="A9933" s="486" t="s">
        <v>1390</v>
      </c>
      <c r="B9933" s="487" t="s">
        <v>1389</v>
      </c>
      <c r="C9933" s="488" t="s">
        <v>30599</v>
      </c>
      <c r="D9933" s="489" t="s">
        <v>30600</v>
      </c>
      <c r="E9933" s="487" t="s">
        <v>3752</v>
      </c>
      <c r="F9933" s="490">
        <v>6670</v>
      </c>
      <c r="G9933" s="489">
        <v>141.51</v>
      </c>
      <c r="H9933" s="489">
        <v>47.134480000000003</v>
      </c>
      <c r="I9933" s="487" t="s">
        <v>1499</v>
      </c>
      <c r="J9933" s="487" t="s">
        <v>1391</v>
      </c>
    </row>
    <row r="9934" spans="1:10" ht="15" x14ac:dyDescent="0.2">
      <c r="A9934" s="486" t="s">
        <v>1390</v>
      </c>
      <c r="B9934" s="487" t="s">
        <v>1389</v>
      </c>
      <c r="C9934" s="488" t="s">
        <v>30601</v>
      </c>
      <c r="D9934" s="489" t="s">
        <v>30602</v>
      </c>
      <c r="E9934" s="487" t="s">
        <v>7775</v>
      </c>
      <c r="F9934" s="490">
        <v>31302</v>
      </c>
      <c r="G9934" s="489">
        <v>683.73</v>
      </c>
      <c r="H9934" s="489">
        <v>45.781230000000001</v>
      </c>
      <c r="I9934" s="487" t="s">
        <v>1499</v>
      </c>
      <c r="J9934" s="487" t="s">
        <v>1391</v>
      </c>
    </row>
    <row r="9935" spans="1:10" ht="15" x14ac:dyDescent="0.2">
      <c r="A9935" s="486" t="s">
        <v>1390</v>
      </c>
      <c r="B9935" s="487" t="s">
        <v>1389</v>
      </c>
      <c r="C9935" s="488" t="s">
        <v>30603</v>
      </c>
      <c r="D9935" s="489" t="s">
        <v>30604</v>
      </c>
      <c r="E9935" s="487" t="s">
        <v>30605</v>
      </c>
      <c r="F9935" s="490">
        <v>32649</v>
      </c>
      <c r="G9935" s="489">
        <v>450.7</v>
      </c>
      <c r="H9935" s="489">
        <v>72.440650000000005</v>
      </c>
      <c r="I9935" s="487" t="s">
        <v>1499</v>
      </c>
      <c r="J9935" s="487" t="s">
        <v>1391</v>
      </c>
    </row>
    <row r="9936" spans="1:10" ht="15" x14ac:dyDescent="0.2">
      <c r="A9936" s="486" t="s">
        <v>1390</v>
      </c>
      <c r="B9936" s="487" t="s">
        <v>1389</v>
      </c>
      <c r="C9936" s="488" t="s">
        <v>30606</v>
      </c>
      <c r="D9936" s="489" t="s">
        <v>30607</v>
      </c>
      <c r="E9936" s="487" t="s">
        <v>30608</v>
      </c>
      <c r="F9936" s="490">
        <v>7012.23</v>
      </c>
      <c r="G9936" s="489">
        <v>252.42</v>
      </c>
      <c r="H9936" s="489">
        <v>27.780010000000001</v>
      </c>
      <c r="I9936" s="487" t="s">
        <v>1499</v>
      </c>
      <c r="J9936" s="487" t="s">
        <v>1391</v>
      </c>
    </row>
    <row r="9937" spans="1:10" ht="15" x14ac:dyDescent="0.2">
      <c r="A9937" s="486" t="s">
        <v>1390</v>
      </c>
      <c r="B9937" s="487" t="s">
        <v>1389</v>
      </c>
      <c r="C9937" s="488" t="s">
        <v>30609</v>
      </c>
      <c r="D9937" s="489" t="s">
        <v>30610</v>
      </c>
      <c r="E9937" s="487" t="s">
        <v>30611</v>
      </c>
      <c r="F9937" s="490">
        <v>2000</v>
      </c>
      <c r="G9937" s="489">
        <v>91.72</v>
      </c>
      <c r="H9937" s="489">
        <v>21.805489999999999</v>
      </c>
      <c r="I9937" s="487" t="s">
        <v>1499</v>
      </c>
      <c r="J9937" s="487" t="s">
        <v>1391</v>
      </c>
    </row>
    <row r="9938" spans="1:10" ht="15" x14ac:dyDescent="0.2">
      <c r="A9938" s="486" t="s">
        <v>1390</v>
      </c>
      <c r="B9938" s="487" t="s">
        <v>1389</v>
      </c>
      <c r="C9938" s="488" t="s">
        <v>30612</v>
      </c>
      <c r="D9938" s="489" t="s">
        <v>30613</v>
      </c>
      <c r="E9938" s="487" t="s">
        <v>20236</v>
      </c>
      <c r="F9938" s="490">
        <v>1000</v>
      </c>
      <c r="G9938" s="489">
        <v>90.11</v>
      </c>
      <c r="H9938" s="489">
        <v>11.09755</v>
      </c>
      <c r="I9938" s="487" t="s">
        <v>1499</v>
      </c>
      <c r="J9938" s="487" t="s">
        <v>1391</v>
      </c>
    </row>
    <row r="9939" spans="1:10" ht="15" x14ac:dyDescent="0.2">
      <c r="A9939" s="486" t="s">
        <v>1390</v>
      </c>
      <c r="B9939" s="487" t="s">
        <v>1389</v>
      </c>
      <c r="C9939" s="488" t="s">
        <v>30614</v>
      </c>
      <c r="D9939" s="489" t="s">
        <v>30615</v>
      </c>
      <c r="E9939" s="487" t="s">
        <v>30616</v>
      </c>
      <c r="F9939" s="490">
        <v>7082</v>
      </c>
      <c r="G9939" s="489">
        <v>98.1</v>
      </c>
      <c r="H9939" s="489">
        <v>72.191640000000007</v>
      </c>
      <c r="I9939" s="487" t="s">
        <v>1499</v>
      </c>
      <c r="J9939" s="487" t="s">
        <v>1391</v>
      </c>
    </row>
    <row r="9940" spans="1:10" ht="15" x14ac:dyDescent="0.2">
      <c r="A9940" s="486" t="s">
        <v>1390</v>
      </c>
      <c r="B9940" s="487" t="s">
        <v>1389</v>
      </c>
      <c r="C9940" s="488" t="s">
        <v>30617</v>
      </c>
      <c r="D9940" s="489" t="s">
        <v>30618</v>
      </c>
      <c r="E9940" s="487" t="s">
        <v>30619</v>
      </c>
      <c r="F9940" s="490">
        <v>0</v>
      </c>
      <c r="G9940" s="489">
        <v>33.32</v>
      </c>
      <c r="H9940" s="489">
        <v>0</v>
      </c>
      <c r="I9940" s="487" t="s">
        <v>1593</v>
      </c>
      <c r="J9940" s="487" t="s">
        <v>1391</v>
      </c>
    </row>
    <row r="9941" spans="1:10" ht="15" x14ac:dyDescent="0.2">
      <c r="A9941" s="486" t="s">
        <v>1390</v>
      </c>
      <c r="B9941" s="487" t="s">
        <v>1389</v>
      </c>
      <c r="C9941" s="488" t="s">
        <v>30620</v>
      </c>
      <c r="D9941" s="489" t="s">
        <v>30621</v>
      </c>
      <c r="E9941" s="487" t="s">
        <v>30622</v>
      </c>
      <c r="F9941" s="490">
        <v>18569.62</v>
      </c>
      <c r="G9941" s="489">
        <v>581.55999999999995</v>
      </c>
      <c r="H9941" s="489">
        <v>31.930700000000002</v>
      </c>
      <c r="I9941" s="487" t="s">
        <v>1499</v>
      </c>
      <c r="J9941" s="487" t="s">
        <v>1391</v>
      </c>
    </row>
    <row r="9942" spans="1:10" ht="15" x14ac:dyDescent="0.2">
      <c r="A9942" s="486" t="s">
        <v>1390</v>
      </c>
      <c r="B9942" s="487" t="s">
        <v>1389</v>
      </c>
      <c r="C9942" s="488" t="s">
        <v>30623</v>
      </c>
      <c r="D9942" s="489" t="s">
        <v>30624</v>
      </c>
      <c r="E9942" s="487" t="s">
        <v>30625</v>
      </c>
      <c r="F9942" s="490">
        <v>2700</v>
      </c>
      <c r="G9942" s="489">
        <v>138.62</v>
      </c>
      <c r="H9942" s="489">
        <v>19.477709999999998</v>
      </c>
      <c r="I9942" s="487" t="s">
        <v>1499</v>
      </c>
      <c r="J9942" s="487" t="s">
        <v>1391</v>
      </c>
    </row>
    <row r="9943" spans="1:10" ht="15" x14ac:dyDescent="0.2">
      <c r="A9943" s="486" t="s">
        <v>1390</v>
      </c>
      <c r="B9943" s="487" t="s">
        <v>1389</v>
      </c>
      <c r="C9943" s="488" t="s">
        <v>30626</v>
      </c>
      <c r="D9943" s="489" t="s">
        <v>30627</v>
      </c>
      <c r="E9943" s="487" t="s">
        <v>30628</v>
      </c>
      <c r="F9943" s="490">
        <v>18923</v>
      </c>
      <c r="G9943" s="489">
        <v>334.45</v>
      </c>
      <c r="H9943" s="489">
        <v>56.579459999999997</v>
      </c>
      <c r="I9943" s="487" t="s">
        <v>1499</v>
      </c>
      <c r="J9943" s="487" t="s">
        <v>1391</v>
      </c>
    </row>
    <row r="9944" spans="1:10" ht="15" x14ac:dyDescent="0.2">
      <c r="A9944" s="486" t="s">
        <v>1390</v>
      </c>
      <c r="B9944" s="487" t="s">
        <v>1389</v>
      </c>
      <c r="C9944" s="488" t="s">
        <v>30629</v>
      </c>
      <c r="D9944" s="489" t="s">
        <v>30630</v>
      </c>
      <c r="E9944" s="487" t="s">
        <v>30631</v>
      </c>
      <c r="F9944" s="490">
        <v>5500</v>
      </c>
      <c r="G9944" s="489">
        <v>110.95</v>
      </c>
      <c r="H9944" s="489">
        <v>49.57188</v>
      </c>
      <c r="I9944" s="487" t="s">
        <v>1499</v>
      </c>
      <c r="J9944" s="487" t="s">
        <v>1391</v>
      </c>
    </row>
    <row r="9945" spans="1:10" ht="15" x14ac:dyDescent="0.2">
      <c r="A9945" s="486" t="s">
        <v>1390</v>
      </c>
      <c r="B9945" s="487" t="s">
        <v>1389</v>
      </c>
      <c r="C9945" s="488" t="s">
        <v>30632</v>
      </c>
      <c r="D9945" s="489" t="s">
        <v>30633</v>
      </c>
      <c r="E9945" s="487" t="s">
        <v>30634</v>
      </c>
      <c r="F9945" s="490">
        <v>15832.04</v>
      </c>
      <c r="G9945" s="489">
        <v>165.85</v>
      </c>
      <c r="H9945" s="489">
        <v>95.459990000000005</v>
      </c>
      <c r="I9945" s="487" t="s">
        <v>1499</v>
      </c>
      <c r="J9945" s="487" t="s">
        <v>1391</v>
      </c>
    </row>
    <row r="9946" spans="1:10" ht="15" x14ac:dyDescent="0.2">
      <c r="A9946" s="486" t="s">
        <v>1390</v>
      </c>
      <c r="B9946" s="487" t="s">
        <v>1389</v>
      </c>
      <c r="C9946" s="488" t="s">
        <v>30635</v>
      </c>
      <c r="D9946" s="489" t="s">
        <v>30636</v>
      </c>
      <c r="E9946" s="487" t="s">
        <v>30637</v>
      </c>
      <c r="F9946" s="490">
        <v>0</v>
      </c>
      <c r="G9946" s="489">
        <v>57.09</v>
      </c>
      <c r="H9946" s="489">
        <v>0</v>
      </c>
      <c r="I9946" s="487" t="s">
        <v>1593</v>
      </c>
      <c r="J9946" s="487" t="s">
        <v>1391</v>
      </c>
    </row>
    <row r="9947" spans="1:10" ht="15" x14ac:dyDescent="0.2">
      <c r="A9947" s="486" t="s">
        <v>1390</v>
      </c>
      <c r="B9947" s="487" t="s">
        <v>1389</v>
      </c>
      <c r="C9947" s="488" t="s">
        <v>30638</v>
      </c>
      <c r="D9947" s="489" t="s">
        <v>30639</v>
      </c>
      <c r="E9947" s="487" t="s">
        <v>30640</v>
      </c>
      <c r="F9947" s="490">
        <v>577200</v>
      </c>
      <c r="G9947" s="489">
        <v>2847.25</v>
      </c>
      <c r="H9947" s="489">
        <v>202.72192000000001</v>
      </c>
      <c r="I9947" s="487" t="s">
        <v>1499</v>
      </c>
      <c r="J9947" s="487" t="s">
        <v>1391</v>
      </c>
    </row>
    <row r="9948" spans="1:10" ht="15" x14ac:dyDescent="0.2">
      <c r="A9948" s="486" t="s">
        <v>1390</v>
      </c>
      <c r="B9948" s="487" t="s">
        <v>1389</v>
      </c>
      <c r="C9948" s="488" t="s">
        <v>30641</v>
      </c>
      <c r="D9948" s="489" t="s">
        <v>30642</v>
      </c>
      <c r="E9948" s="487" t="s">
        <v>30643</v>
      </c>
      <c r="F9948" s="490">
        <v>7886</v>
      </c>
      <c r="G9948" s="489">
        <v>132.5</v>
      </c>
      <c r="H9948" s="489">
        <v>59.516979999999997</v>
      </c>
      <c r="I9948" s="487" t="s">
        <v>1499</v>
      </c>
      <c r="J9948" s="487" t="s">
        <v>1391</v>
      </c>
    </row>
    <row r="9949" spans="1:10" ht="15" x14ac:dyDescent="0.2">
      <c r="A9949" s="486" t="s">
        <v>1390</v>
      </c>
      <c r="B9949" s="487" t="s">
        <v>1389</v>
      </c>
      <c r="C9949" s="488" t="s">
        <v>30644</v>
      </c>
      <c r="D9949" s="489" t="s">
        <v>30645</v>
      </c>
      <c r="E9949" s="487" t="s">
        <v>30646</v>
      </c>
      <c r="F9949" s="490">
        <v>139239</v>
      </c>
      <c r="G9949" s="489">
        <v>959.08</v>
      </c>
      <c r="H9949" s="489">
        <v>145.17975999999999</v>
      </c>
      <c r="I9949" s="487" t="s">
        <v>1499</v>
      </c>
      <c r="J9949" s="487" t="s">
        <v>1391</v>
      </c>
    </row>
    <row r="9950" spans="1:10" ht="15" x14ac:dyDescent="0.2">
      <c r="A9950" s="486" t="s">
        <v>1390</v>
      </c>
      <c r="B9950" s="487" t="s">
        <v>1389</v>
      </c>
      <c r="C9950" s="488" t="s">
        <v>30647</v>
      </c>
      <c r="D9950" s="489" t="s">
        <v>30648</v>
      </c>
      <c r="E9950" s="487" t="s">
        <v>30649</v>
      </c>
      <c r="F9950" s="490">
        <v>12000</v>
      </c>
      <c r="G9950" s="489">
        <v>121.42</v>
      </c>
      <c r="H9950" s="489">
        <v>98.830510000000004</v>
      </c>
      <c r="I9950" s="487" t="s">
        <v>1499</v>
      </c>
      <c r="J9950" s="487" t="s">
        <v>1391</v>
      </c>
    </row>
    <row r="9951" spans="1:10" ht="15" x14ac:dyDescent="0.2">
      <c r="A9951" s="486" t="s">
        <v>1390</v>
      </c>
      <c r="B9951" s="487" t="s">
        <v>1389</v>
      </c>
      <c r="C9951" s="488" t="s">
        <v>30650</v>
      </c>
      <c r="D9951" s="489" t="s">
        <v>30651</v>
      </c>
      <c r="E9951" s="487" t="s">
        <v>30652</v>
      </c>
      <c r="F9951" s="490">
        <v>4946</v>
      </c>
      <c r="G9951" s="489">
        <v>67.12</v>
      </c>
      <c r="H9951" s="489">
        <v>73.688919999999996</v>
      </c>
      <c r="I9951" s="487" t="s">
        <v>1499</v>
      </c>
      <c r="J9951" s="487" t="s">
        <v>1391</v>
      </c>
    </row>
    <row r="9952" spans="1:10" ht="15" x14ac:dyDescent="0.2">
      <c r="A9952" s="486" t="s">
        <v>1390</v>
      </c>
      <c r="B9952" s="487" t="s">
        <v>1389</v>
      </c>
      <c r="C9952" s="488" t="s">
        <v>30653</v>
      </c>
      <c r="D9952" s="489" t="s">
        <v>30654</v>
      </c>
      <c r="E9952" s="487" t="s">
        <v>30655</v>
      </c>
      <c r="F9952" s="490">
        <v>3493338</v>
      </c>
      <c r="G9952" s="489">
        <v>11879.11</v>
      </c>
      <c r="H9952" s="489">
        <v>294.07405</v>
      </c>
      <c r="I9952" s="487" t="s">
        <v>1499</v>
      </c>
      <c r="J9952" s="487" t="s">
        <v>1391</v>
      </c>
    </row>
    <row r="9953" spans="1:10" ht="15" x14ac:dyDescent="0.2">
      <c r="A9953" s="486" t="s">
        <v>1390</v>
      </c>
      <c r="B9953" s="487" t="s">
        <v>1389</v>
      </c>
      <c r="C9953" s="488" t="s">
        <v>30656</v>
      </c>
      <c r="D9953" s="489" t="s">
        <v>30657</v>
      </c>
      <c r="E9953" s="487" t="s">
        <v>30658</v>
      </c>
      <c r="F9953" s="490">
        <v>36500</v>
      </c>
      <c r="G9953" s="489">
        <v>519.57000000000005</v>
      </c>
      <c r="H9953" s="489">
        <v>70.250399999999999</v>
      </c>
      <c r="I9953" s="487" t="s">
        <v>1499</v>
      </c>
      <c r="J9953" s="487" t="s">
        <v>1391</v>
      </c>
    </row>
    <row r="9954" spans="1:10" ht="15" x14ac:dyDescent="0.2">
      <c r="A9954" s="486" t="s">
        <v>1390</v>
      </c>
      <c r="B9954" s="487" t="s">
        <v>1389</v>
      </c>
      <c r="C9954" s="488" t="s">
        <v>30659</v>
      </c>
      <c r="D9954" s="489" t="s">
        <v>30660</v>
      </c>
      <c r="E9954" s="487" t="s">
        <v>30661</v>
      </c>
      <c r="F9954" s="490">
        <v>3265</v>
      </c>
      <c r="G9954" s="489">
        <v>90.76</v>
      </c>
      <c r="H9954" s="489">
        <v>35.973999999999997</v>
      </c>
      <c r="I9954" s="487" t="s">
        <v>1499</v>
      </c>
      <c r="J9954" s="487" t="s">
        <v>1391</v>
      </c>
    </row>
    <row r="9955" spans="1:10" ht="15" x14ac:dyDescent="0.2">
      <c r="A9955" s="486" t="s">
        <v>1390</v>
      </c>
      <c r="B9955" s="487" t="s">
        <v>1389</v>
      </c>
      <c r="C9955" s="488" t="s">
        <v>30662</v>
      </c>
      <c r="D9955" s="489" t="s">
        <v>30663</v>
      </c>
      <c r="E9955" s="487" t="s">
        <v>30664</v>
      </c>
      <c r="F9955" s="490">
        <v>6500</v>
      </c>
      <c r="G9955" s="489">
        <v>145.26</v>
      </c>
      <c r="H9955" s="489">
        <v>44.747349999999997</v>
      </c>
      <c r="I9955" s="487" t="s">
        <v>1499</v>
      </c>
      <c r="J9955" s="487" t="s">
        <v>1391</v>
      </c>
    </row>
    <row r="9956" spans="1:10" ht="15" x14ac:dyDescent="0.2">
      <c r="A9956" s="486" t="s">
        <v>1390</v>
      </c>
      <c r="B9956" s="487" t="s">
        <v>1389</v>
      </c>
      <c r="C9956" s="488" t="s">
        <v>30665</v>
      </c>
      <c r="D9956" s="489" t="s">
        <v>30666</v>
      </c>
      <c r="E9956" s="487" t="s">
        <v>30667</v>
      </c>
      <c r="F9956" s="490">
        <v>60038.09</v>
      </c>
      <c r="G9956" s="489">
        <v>565.65</v>
      </c>
      <c r="H9956" s="489">
        <v>106.14</v>
      </c>
      <c r="I9956" s="487" t="s">
        <v>1499</v>
      </c>
      <c r="J9956" s="487" t="s">
        <v>1391</v>
      </c>
    </row>
    <row r="9957" spans="1:10" ht="15" x14ac:dyDescent="0.2">
      <c r="A9957" s="486" t="s">
        <v>1390</v>
      </c>
      <c r="B9957" s="487" t="s">
        <v>1389</v>
      </c>
      <c r="C9957" s="488" t="s">
        <v>30668</v>
      </c>
      <c r="D9957" s="489" t="s">
        <v>30669</v>
      </c>
      <c r="E9957" s="487" t="s">
        <v>30670</v>
      </c>
      <c r="F9957" s="490">
        <v>1422450</v>
      </c>
      <c r="G9957" s="489">
        <v>6505.06</v>
      </c>
      <c r="H9957" s="489">
        <v>218.66824</v>
      </c>
      <c r="I9957" s="487" t="s">
        <v>1499</v>
      </c>
      <c r="J9957" s="487" t="s">
        <v>1391</v>
      </c>
    </row>
    <row r="9958" spans="1:10" ht="15" x14ac:dyDescent="0.2">
      <c r="A9958" s="486" t="s">
        <v>1390</v>
      </c>
      <c r="B9958" s="487" t="s">
        <v>1389</v>
      </c>
      <c r="C9958" s="488" t="s">
        <v>30671</v>
      </c>
      <c r="D9958" s="489" t="s">
        <v>30672</v>
      </c>
      <c r="E9958" s="487" t="s">
        <v>30673</v>
      </c>
      <c r="F9958" s="490">
        <v>8735.4599999999991</v>
      </c>
      <c r="G9958" s="489">
        <v>229.82</v>
      </c>
      <c r="H9958" s="489">
        <v>38.010010000000001</v>
      </c>
      <c r="I9958" s="487" t="s">
        <v>1499</v>
      </c>
      <c r="J9958" s="487" t="s">
        <v>1391</v>
      </c>
    </row>
    <row r="9959" spans="1:10" ht="15" x14ac:dyDescent="0.2">
      <c r="A9959" s="486" t="s">
        <v>1390</v>
      </c>
      <c r="B9959" s="487" t="s">
        <v>1389</v>
      </c>
      <c r="C9959" s="488" t="s">
        <v>30674</v>
      </c>
      <c r="D9959" s="489" t="s">
        <v>30675</v>
      </c>
      <c r="E9959" s="487" t="s">
        <v>11254</v>
      </c>
      <c r="F9959" s="490">
        <v>19760</v>
      </c>
      <c r="G9959" s="489">
        <v>103.25</v>
      </c>
      <c r="H9959" s="489">
        <v>191.38014999999999</v>
      </c>
      <c r="I9959" s="487" t="s">
        <v>1499</v>
      </c>
      <c r="J9959" s="487" t="s">
        <v>1391</v>
      </c>
    </row>
    <row r="9960" spans="1:10" ht="15" x14ac:dyDescent="0.2">
      <c r="A9960" s="486" t="s">
        <v>1390</v>
      </c>
      <c r="B9960" s="487" t="s">
        <v>1389</v>
      </c>
      <c r="C9960" s="488" t="s">
        <v>30676</v>
      </c>
      <c r="D9960" s="489" t="s">
        <v>30677</v>
      </c>
      <c r="E9960" s="487" t="s">
        <v>30678</v>
      </c>
      <c r="F9960" s="490">
        <v>5670</v>
      </c>
      <c r="G9960" s="489">
        <v>72.66</v>
      </c>
      <c r="H9960" s="489">
        <v>78.034679999999994</v>
      </c>
      <c r="I9960" s="487" t="s">
        <v>1499</v>
      </c>
      <c r="J9960" s="487" t="s">
        <v>1391</v>
      </c>
    </row>
    <row r="9961" spans="1:10" ht="15" x14ac:dyDescent="0.2">
      <c r="A9961" s="486" t="s">
        <v>1390</v>
      </c>
      <c r="B9961" s="487" t="s">
        <v>1389</v>
      </c>
      <c r="C9961" s="488" t="s">
        <v>30679</v>
      </c>
      <c r="D9961" s="489" t="s">
        <v>30680</v>
      </c>
      <c r="E9961" s="487" t="s">
        <v>29785</v>
      </c>
      <c r="F9961" s="490">
        <v>37406</v>
      </c>
      <c r="G9961" s="489">
        <v>513.54</v>
      </c>
      <c r="H9961" s="489">
        <v>72.839510000000004</v>
      </c>
      <c r="I9961" s="487" t="s">
        <v>1499</v>
      </c>
      <c r="J9961" s="487" t="s">
        <v>1391</v>
      </c>
    </row>
    <row r="9962" spans="1:10" ht="15" x14ac:dyDescent="0.2">
      <c r="A9962" s="486" t="s">
        <v>1390</v>
      </c>
      <c r="B9962" s="487" t="s">
        <v>1389</v>
      </c>
      <c r="C9962" s="488" t="s">
        <v>30681</v>
      </c>
      <c r="D9962" s="489" t="s">
        <v>30682</v>
      </c>
      <c r="E9962" s="487" t="s">
        <v>30683</v>
      </c>
      <c r="F9962" s="490">
        <v>17000</v>
      </c>
      <c r="G9962" s="489">
        <v>279.27</v>
      </c>
      <c r="H9962" s="489">
        <v>60.872990000000001</v>
      </c>
      <c r="I9962" s="487" t="s">
        <v>1499</v>
      </c>
      <c r="J9962" s="487" t="s">
        <v>1391</v>
      </c>
    </row>
    <row r="9963" spans="1:10" ht="15" x14ac:dyDescent="0.2">
      <c r="A9963" s="486" t="s">
        <v>1390</v>
      </c>
      <c r="B9963" s="487" t="s">
        <v>1389</v>
      </c>
      <c r="C9963" s="488" t="s">
        <v>30684</v>
      </c>
      <c r="D9963" s="489" t="s">
        <v>30685</v>
      </c>
      <c r="E9963" s="487" t="s">
        <v>3213</v>
      </c>
      <c r="F9963" s="490">
        <v>1579403</v>
      </c>
      <c r="G9963" s="489">
        <v>5526.72</v>
      </c>
      <c r="H9963" s="489">
        <v>285.77582999999998</v>
      </c>
      <c r="I9963" s="487" t="s">
        <v>1499</v>
      </c>
      <c r="J9963" s="487" t="s">
        <v>1391</v>
      </c>
    </row>
    <row r="9964" spans="1:10" ht="15" x14ac:dyDescent="0.2">
      <c r="A9964" s="486" t="s">
        <v>1390</v>
      </c>
      <c r="B9964" s="487" t="s">
        <v>1389</v>
      </c>
      <c r="C9964" s="488" t="s">
        <v>30686</v>
      </c>
      <c r="D9964" s="489" t="s">
        <v>30687</v>
      </c>
      <c r="E9964" s="487" t="s">
        <v>30688</v>
      </c>
      <c r="F9964" s="490">
        <v>45000</v>
      </c>
      <c r="G9964" s="489">
        <v>482.15</v>
      </c>
      <c r="H9964" s="489">
        <v>93.331950000000006</v>
      </c>
      <c r="I9964" s="487" t="s">
        <v>1499</v>
      </c>
      <c r="J9964" s="487" t="s">
        <v>1391</v>
      </c>
    </row>
    <row r="9965" spans="1:10" ht="15" x14ac:dyDescent="0.2">
      <c r="A9965" s="486" t="s">
        <v>1390</v>
      </c>
      <c r="B9965" s="487" t="s">
        <v>1389</v>
      </c>
      <c r="C9965" s="488" t="s">
        <v>30689</v>
      </c>
      <c r="D9965" s="489" t="s">
        <v>30690</v>
      </c>
      <c r="E9965" s="487" t="s">
        <v>30691</v>
      </c>
      <c r="F9965" s="490">
        <v>37448.5</v>
      </c>
      <c r="G9965" s="489">
        <v>716.54</v>
      </c>
      <c r="H9965" s="489">
        <v>52.26296</v>
      </c>
      <c r="I9965" s="487" t="s">
        <v>1499</v>
      </c>
      <c r="J9965" s="487" t="s">
        <v>1391</v>
      </c>
    </row>
    <row r="9966" spans="1:10" ht="15" x14ac:dyDescent="0.2">
      <c r="A9966" s="486" t="s">
        <v>1390</v>
      </c>
      <c r="B9966" s="487" t="s">
        <v>1389</v>
      </c>
      <c r="C9966" s="488" t="s">
        <v>30692</v>
      </c>
      <c r="D9966" s="489" t="s">
        <v>30693</v>
      </c>
      <c r="E9966" s="487" t="s">
        <v>30694</v>
      </c>
      <c r="F9966" s="490">
        <v>14125</v>
      </c>
      <c r="G9966" s="489">
        <v>274.77</v>
      </c>
      <c r="H9966" s="489">
        <v>51.40663</v>
      </c>
      <c r="I9966" s="487" t="s">
        <v>1499</v>
      </c>
      <c r="J9966" s="487" t="s">
        <v>1391</v>
      </c>
    </row>
    <row r="9967" spans="1:10" ht="15" x14ac:dyDescent="0.2">
      <c r="A9967" s="486" t="s">
        <v>1390</v>
      </c>
      <c r="B9967" s="487" t="s">
        <v>1389</v>
      </c>
      <c r="C9967" s="488" t="s">
        <v>30695</v>
      </c>
      <c r="D9967" s="489" t="s">
        <v>30696</v>
      </c>
      <c r="E9967" s="487" t="s">
        <v>30697</v>
      </c>
      <c r="F9967" s="490">
        <v>500</v>
      </c>
      <c r="G9967" s="489">
        <v>63.52</v>
      </c>
      <c r="H9967" s="489">
        <v>7.8715400000000004</v>
      </c>
      <c r="I9967" s="487" t="s">
        <v>1499</v>
      </c>
      <c r="J9967" s="487" t="s">
        <v>1391</v>
      </c>
    </row>
    <row r="9968" spans="1:10" ht="15" x14ac:dyDescent="0.2">
      <c r="A9968" s="486" t="s">
        <v>1390</v>
      </c>
      <c r="B9968" s="487" t="s">
        <v>1389</v>
      </c>
      <c r="C9968" s="488" t="s">
        <v>30698</v>
      </c>
      <c r="D9968" s="489" t="s">
        <v>30699</v>
      </c>
      <c r="E9968" s="487" t="s">
        <v>30700</v>
      </c>
      <c r="F9968" s="490">
        <v>247520</v>
      </c>
      <c r="G9968" s="489">
        <v>1586.57</v>
      </c>
      <c r="H9968" s="489">
        <v>156.0095</v>
      </c>
      <c r="I9968" s="487" t="s">
        <v>1499</v>
      </c>
      <c r="J9968" s="487" t="s">
        <v>1391</v>
      </c>
    </row>
    <row r="9969" spans="1:10" ht="15" x14ac:dyDescent="0.2">
      <c r="A9969" s="486" t="s">
        <v>1390</v>
      </c>
      <c r="B9969" s="487" t="s">
        <v>1389</v>
      </c>
      <c r="C9969" s="488" t="s">
        <v>30701</v>
      </c>
      <c r="D9969" s="489" t="s">
        <v>30702</v>
      </c>
      <c r="E9969" s="487" t="s">
        <v>27842</v>
      </c>
      <c r="F9969" s="490">
        <v>16000</v>
      </c>
      <c r="G9969" s="489">
        <v>163.54</v>
      </c>
      <c r="H9969" s="489">
        <v>97.835390000000004</v>
      </c>
      <c r="I9969" s="487" t="s">
        <v>1499</v>
      </c>
      <c r="J9969" s="487" t="s">
        <v>1391</v>
      </c>
    </row>
    <row r="9970" spans="1:10" ht="15" x14ac:dyDescent="0.2">
      <c r="A9970" s="486" t="s">
        <v>1390</v>
      </c>
      <c r="B9970" s="487" t="s">
        <v>1389</v>
      </c>
      <c r="C9970" s="488" t="s">
        <v>30703</v>
      </c>
      <c r="D9970" s="489" t="s">
        <v>30704</v>
      </c>
      <c r="E9970" s="487" t="s">
        <v>30705</v>
      </c>
      <c r="F9970" s="490">
        <v>28623.3</v>
      </c>
      <c r="G9970" s="489">
        <v>940.01</v>
      </c>
      <c r="H9970" s="489">
        <v>30.45</v>
      </c>
      <c r="I9970" s="487" t="s">
        <v>1499</v>
      </c>
      <c r="J9970" s="487" t="s">
        <v>1391</v>
      </c>
    </row>
    <row r="9971" spans="1:10" ht="15" x14ac:dyDescent="0.2">
      <c r="A9971" s="486" t="s">
        <v>1390</v>
      </c>
      <c r="B9971" s="487" t="s">
        <v>1389</v>
      </c>
      <c r="C9971" s="488" t="s">
        <v>30706</v>
      </c>
      <c r="D9971" s="489" t="s">
        <v>30707</v>
      </c>
      <c r="E9971" s="487" t="s">
        <v>1783</v>
      </c>
      <c r="F9971" s="490">
        <v>31835</v>
      </c>
      <c r="G9971" s="489">
        <v>583.39</v>
      </c>
      <c r="H9971" s="489">
        <v>54.568980000000003</v>
      </c>
      <c r="I9971" s="487" t="s">
        <v>1499</v>
      </c>
      <c r="J9971" s="487" t="s">
        <v>1391</v>
      </c>
    </row>
    <row r="9972" spans="1:10" ht="15" x14ac:dyDescent="0.2">
      <c r="A9972" s="486" t="s">
        <v>1390</v>
      </c>
      <c r="B9972" s="487" t="s">
        <v>1389</v>
      </c>
      <c r="C9972" s="488" t="s">
        <v>30708</v>
      </c>
      <c r="D9972" s="489" t="s">
        <v>30709</v>
      </c>
      <c r="E9972" s="487" t="s">
        <v>30710</v>
      </c>
      <c r="F9972" s="490">
        <v>11000</v>
      </c>
      <c r="G9972" s="489">
        <v>83.59</v>
      </c>
      <c r="H9972" s="489">
        <v>131.59469000000001</v>
      </c>
      <c r="I9972" s="487" t="s">
        <v>1499</v>
      </c>
      <c r="J9972" s="487" t="s">
        <v>1391</v>
      </c>
    </row>
    <row r="9973" spans="1:10" ht="15" x14ac:dyDescent="0.2">
      <c r="A9973" s="486" t="s">
        <v>1390</v>
      </c>
      <c r="B9973" s="487" t="s">
        <v>1389</v>
      </c>
      <c r="C9973" s="488" t="s">
        <v>30711</v>
      </c>
      <c r="D9973" s="489" t="s">
        <v>30712</v>
      </c>
      <c r="E9973" s="487" t="s">
        <v>30713</v>
      </c>
      <c r="F9973" s="490">
        <v>90914.880000000005</v>
      </c>
      <c r="G9973" s="489">
        <v>948.71</v>
      </c>
      <c r="H9973" s="489">
        <v>95.83</v>
      </c>
      <c r="I9973" s="487" t="s">
        <v>1499</v>
      </c>
      <c r="J9973" s="487" t="s">
        <v>1391</v>
      </c>
    </row>
    <row r="9974" spans="1:10" ht="15" x14ac:dyDescent="0.2">
      <c r="A9974" s="486" t="s">
        <v>1390</v>
      </c>
      <c r="B9974" s="487" t="s">
        <v>1389</v>
      </c>
      <c r="C9974" s="488" t="s">
        <v>30714</v>
      </c>
      <c r="D9974" s="489" t="s">
        <v>30715</v>
      </c>
      <c r="E9974" s="487" t="s">
        <v>23816</v>
      </c>
      <c r="F9974" s="490">
        <v>9500</v>
      </c>
      <c r="G9974" s="489">
        <v>155.19999999999999</v>
      </c>
      <c r="H9974" s="489">
        <v>61.21134</v>
      </c>
      <c r="I9974" s="487" t="s">
        <v>1499</v>
      </c>
      <c r="J9974" s="487" t="s">
        <v>1391</v>
      </c>
    </row>
    <row r="9975" spans="1:10" ht="15" x14ac:dyDescent="0.2">
      <c r="A9975" s="486" t="s">
        <v>1390</v>
      </c>
      <c r="B9975" s="487" t="s">
        <v>1389</v>
      </c>
      <c r="C9975" s="488" t="s">
        <v>30716</v>
      </c>
      <c r="D9975" s="489" t="s">
        <v>30717</v>
      </c>
      <c r="E9975" s="487" t="s">
        <v>22652</v>
      </c>
      <c r="F9975" s="490">
        <v>9059</v>
      </c>
      <c r="G9975" s="489">
        <v>240.98</v>
      </c>
      <c r="H9975" s="489">
        <v>37.592329999999997</v>
      </c>
      <c r="I9975" s="487" t="s">
        <v>1499</v>
      </c>
      <c r="J9975" s="487" t="s">
        <v>1391</v>
      </c>
    </row>
    <row r="9976" spans="1:10" ht="15" x14ac:dyDescent="0.2">
      <c r="A9976" s="486" t="s">
        <v>1390</v>
      </c>
      <c r="B9976" s="487" t="s">
        <v>1389</v>
      </c>
      <c r="C9976" s="488" t="s">
        <v>30718</v>
      </c>
      <c r="D9976" s="489" t="s">
        <v>30719</v>
      </c>
      <c r="E9976" s="487" t="s">
        <v>30720</v>
      </c>
      <c r="F9976" s="490">
        <v>1390589</v>
      </c>
      <c r="G9976" s="489">
        <v>4776.5200000000004</v>
      </c>
      <c r="H9976" s="489">
        <v>291.13015000000001</v>
      </c>
      <c r="I9976" s="487" t="s">
        <v>1499</v>
      </c>
      <c r="J9976" s="487" t="s">
        <v>1391</v>
      </c>
    </row>
    <row r="9977" spans="1:10" ht="15" x14ac:dyDescent="0.2">
      <c r="A9977" s="486" t="s">
        <v>1390</v>
      </c>
      <c r="B9977" s="487" t="s">
        <v>1389</v>
      </c>
      <c r="C9977" s="488" t="s">
        <v>30721</v>
      </c>
      <c r="D9977" s="489" t="s">
        <v>30722</v>
      </c>
      <c r="E9977" s="487" t="s">
        <v>30723</v>
      </c>
      <c r="F9977" s="490">
        <v>5071.49</v>
      </c>
      <c r="G9977" s="489">
        <v>133.11000000000001</v>
      </c>
      <c r="H9977" s="489">
        <v>38.099989999999998</v>
      </c>
      <c r="I9977" s="487" t="s">
        <v>1499</v>
      </c>
      <c r="J9977" s="487" t="s">
        <v>1391</v>
      </c>
    </row>
    <row r="9978" spans="1:10" ht="15" x14ac:dyDescent="0.2">
      <c r="A9978" s="486" t="s">
        <v>1390</v>
      </c>
      <c r="B9978" s="487" t="s">
        <v>1389</v>
      </c>
      <c r="C9978" s="488" t="s">
        <v>30724</v>
      </c>
      <c r="D9978" s="489" t="s">
        <v>30725</v>
      </c>
      <c r="E9978" s="487" t="s">
        <v>25138</v>
      </c>
      <c r="F9978" s="490">
        <v>11950</v>
      </c>
      <c r="G9978" s="489">
        <v>273.57</v>
      </c>
      <c r="H9978" s="489">
        <v>43.681690000000003</v>
      </c>
      <c r="I9978" s="487" t="s">
        <v>1499</v>
      </c>
      <c r="J9978" s="487" t="s">
        <v>1391</v>
      </c>
    </row>
    <row r="9979" spans="1:10" ht="15" x14ac:dyDescent="0.2">
      <c r="A9979" s="486" t="s">
        <v>1390</v>
      </c>
      <c r="B9979" s="487" t="s">
        <v>1389</v>
      </c>
      <c r="C9979" s="488" t="s">
        <v>30726</v>
      </c>
      <c r="D9979" s="489" t="s">
        <v>30727</v>
      </c>
      <c r="E9979" s="487" t="s">
        <v>30728</v>
      </c>
      <c r="F9979" s="490">
        <v>8000</v>
      </c>
      <c r="G9979" s="489">
        <v>215.52</v>
      </c>
      <c r="H9979" s="489">
        <v>37.119520000000001</v>
      </c>
      <c r="I9979" s="487" t="s">
        <v>1499</v>
      </c>
      <c r="J9979" s="487" t="s">
        <v>1391</v>
      </c>
    </row>
    <row r="9980" spans="1:10" ht="15" x14ac:dyDescent="0.2">
      <c r="A9980" s="486" t="s">
        <v>1390</v>
      </c>
      <c r="B9980" s="487" t="s">
        <v>1389</v>
      </c>
      <c r="C9980" s="488" t="s">
        <v>30729</v>
      </c>
      <c r="D9980" s="489" t="s">
        <v>30730</v>
      </c>
      <c r="E9980" s="487" t="s">
        <v>30731</v>
      </c>
      <c r="F9980" s="490">
        <v>17107.14</v>
      </c>
      <c r="G9980" s="489">
        <v>403.09</v>
      </c>
      <c r="H9980" s="489">
        <v>42.44</v>
      </c>
      <c r="I9980" s="487" t="s">
        <v>1499</v>
      </c>
      <c r="J9980" s="487" t="s">
        <v>1391</v>
      </c>
    </row>
    <row r="9981" spans="1:10" ht="15" x14ac:dyDescent="0.2">
      <c r="A9981" s="486" t="s">
        <v>1390</v>
      </c>
      <c r="B9981" s="487" t="s">
        <v>1389</v>
      </c>
      <c r="C9981" s="488" t="s">
        <v>30732</v>
      </c>
      <c r="D9981" s="489" t="s">
        <v>30733</v>
      </c>
      <c r="E9981" s="487" t="s">
        <v>30734</v>
      </c>
      <c r="F9981" s="490">
        <v>6247.64</v>
      </c>
      <c r="G9981" s="489">
        <v>281.51</v>
      </c>
      <c r="H9981" s="489">
        <v>22.19331</v>
      </c>
      <c r="I9981" s="487" t="s">
        <v>1499</v>
      </c>
      <c r="J9981" s="487" t="s">
        <v>1391</v>
      </c>
    </row>
    <row r="9982" spans="1:10" ht="15" x14ac:dyDescent="0.2">
      <c r="A9982" s="486" t="s">
        <v>1390</v>
      </c>
      <c r="B9982" s="487" t="s">
        <v>1389</v>
      </c>
      <c r="C9982" s="488" t="s">
        <v>30735</v>
      </c>
      <c r="D9982" s="489" t="s">
        <v>30736</v>
      </c>
      <c r="E9982" s="487" t="s">
        <v>30737</v>
      </c>
      <c r="F9982" s="490">
        <v>8582</v>
      </c>
      <c r="G9982" s="489">
        <v>84.93</v>
      </c>
      <c r="H9982" s="489">
        <v>101.04792</v>
      </c>
      <c r="I9982" s="487" t="s">
        <v>1499</v>
      </c>
      <c r="J9982" s="487" t="s">
        <v>1391</v>
      </c>
    </row>
    <row r="9983" spans="1:10" ht="15" x14ac:dyDescent="0.2">
      <c r="A9983" s="486" t="s">
        <v>1390</v>
      </c>
      <c r="B9983" s="487" t="s">
        <v>1389</v>
      </c>
      <c r="C9983" s="488" t="s">
        <v>30738</v>
      </c>
      <c r="D9983" s="489" t="s">
        <v>30739</v>
      </c>
      <c r="E9983" s="487" t="s">
        <v>30740</v>
      </c>
      <c r="F9983" s="490">
        <v>8000</v>
      </c>
      <c r="G9983" s="489">
        <v>176.88</v>
      </c>
      <c r="H9983" s="489">
        <v>45.228400000000001</v>
      </c>
      <c r="I9983" s="487" t="s">
        <v>1499</v>
      </c>
      <c r="J9983" s="487" t="s">
        <v>1391</v>
      </c>
    </row>
    <row r="9984" spans="1:10" ht="15" x14ac:dyDescent="0.2">
      <c r="A9984" s="486" t="s">
        <v>1390</v>
      </c>
      <c r="B9984" s="487" t="s">
        <v>1389</v>
      </c>
      <c r="C9984" s="488" t="s">
        <v>30741</v>
      </c>
      <c r="D9984" s="489" t="s">
        <v>30742</v>
      </c>
      <c r="E9984" s="487" t="s">
        <v>30743</v>
      </c>
      <c r="F9984" s="490">
        <v>44046.74</v>
      </c>
      <c r="G9984" s="489">
        <v>831.8</v>
      </c>
      <c r="H9984" s="489">
        <v>52.953519999999997</v>
      </c>
      <c r="I9984" s="487" t="s">
        <v>1499</v>
      </c>
      <c r="J9984" s="487" t="s">
        <v>1391</v>
      </c>
    </row>
    <row r="9985" spans="1:10" ht="15" x14ac:dyDescent="0.2">
      <c r="A9985" s="486" t="s">
        <v>1390</v>
      </c>
      <c r="B9985" s="487" t="s">
        <v>1389</v>
      </c>
      <c r="C9985" s="488" t="s">
        <v>30744</v>
      </c>
      <c r="D9985" s="489" t="s">
        <v>30745</v>
      </c>
      <c r="E9985" s="487" t="s">
        <v>30746</v>
      </c>
      <c r="F9985" s="490">
        <v>15000</v>
      </c>
      <c r="G9985" s="489">
        <v>399.52</v>
      </c>
      <c r="H9985" s="489">
        <v>37.545050000000003</v>
      </c>
      <c r="I9985" s="487" t="s">
        <v>1499</v>
      </c>
      <c r="J9985" s="487" t="s">
        <v>1391</v>
      </c>
    </row>
    <row r="9986" spans="1:10" ht="15" x14ac:dyDescent="0.2">
      <c r="A9986" s="486" t="s">
        <v>475</v>
      </c>
      <c r="B9986" s="487" t="s">
        <v>474</v>
      </c>
      <c r="C9986" s="488" t="s">
        <v>30747</v>
      </c>
      <c r="D9986" s="489" t="s">
        <v>30748</v>
      </c>
      <c r="E9986" s="487" t="s">
        <v>30749</v>
      </c>
      <c r="F9986" s="490">
        <v>81174</v>
      </c>
      <c r="G9986" s="489">
        <v>1983</v>
      </c>
      <c r="H9986" s="489">
        <v>40.934950000000001</v>
      </c>
      <c r="I9986" s="487" t="s">
        <v>1499</v>
      </c>
      <c r="J9986" s="487" t="s">
        <v>476</v>
      </c>
    </row>
    <row r="9987" spans="1:10" ht="15" x14ac:dyDescent="0.2">
      <c r="A9987" s="486" t="s">
        <v>475</v>
      </c>
      <c r="B9987" s="487" t="s">
        <v>474</v>
      </c>
      <c r="C9987" s="488" t="s">
        <v>30750</v>
      </c>
      <c r="D9987" s="489" t="s">
        <v>30751</v>
      </c>
      <c r="E9987" s="487" t="s">
        <v>30752</v>
      </c>
      <c r="F9987" s="490">
        <v>289575</v>
      </c>
      <c r="G9987" s="489">
        <v>7685</v>
      </c>
      <c r="H9987" s="489">
        <v>37.680549999999997</v>
      </c>
      <c r="I9987" s="487" t="s">
        <v>1499</v>
      </c>
      <c r="J9987" s="487" t="s">
        <v>476</v>
      </c>
    </row>
    <row r="9988" spans="1:10" ht="15" x14ac:dyDescent="0.2">
      <c r="A9988" s="486" t="s">
        <v>475</v>
      </c>
      <c r="B9988" s="487" t="s">
        <v>474</v>
      </c>
      <c r="C9988" s="488" t="s">
        <v>30753</v>
      </c>
      <c r="D9988" s="489" t="s">
        <v>30754</v>
      </c>
      <c r="E9988" s="487" t="s">
        <v>30755</v>
      </c>
      <c r="F9988" s="490">
        <v>195280</v>
      </c>
      <c r="G9988" s="489">
        <v>9097</v>
      </c>
      <c r="H9988" s="489">
        <v>21.466419999999999</v>
      </c>
      <c r="I9988" s="487" t="s">
        <v>1499</v>
      </c>
      <c r="J9988" s="487" t="s">
        <v>476</v>
      </c>
    </row>
    <row r="9989" spans="1:10" ht="15" x14ac:dyDescent="0.2">
      <c r="A9989" s="486" t="s">
        <v>1083</v>
      </c>
      <c r="B9989" s="487" t="s">
        <v>1082</v>
      </c>
      <c r="C9989" s="488" t="s">
        <v>30756</v>
      </c>
      <c r="D9989" s="489" t="s">
        <v>30757</v>
      </c>
      <c r="E9989" s="487" t="s">
        <v>30758</v>
      </c>
      <c r="F9989" s="490">
        <v>269136</v>
      </c>
      <c r="G9989" s="489">
        <v>9490</v>
      </c>
      <c r="H9989" s="489">
        <v>28.359960000000001</v>
      </c>
      <c r="I9989" s="487" t="s">
        <v>1499</v>
      </c>
      <c r="J9989" s="487" t="s">
        <v>1084</v>
      </c>
    </row>
    <row r="9990" spans="1:10" ht="15" x14ac:dyDescent="0.2">
      <c r="A9990" s="486" t="s">
        <v>1083</v>
      </c>
      <c r="B9990" s="487" t="s">
        <v>1082</v>
      </c>
      <c r="C9990" s="488" t="s">
        <v>30759</v>
      </c>
      <c r="D9990" s="489" t="s">
        <v>30760</v>
      </c>
      <c r="E9990" s="487" t="s">
        <v>30761</v>
      </c>
      <c r="F9990" s="490">
        <v>111801</v>
      </c>
      <c r="G9990" s="489">
        <v>5906</v>
      </c>
      <c r="H9990" s="489">
        <v>18.930070000000001</v>
      </c>
      <c r="I9990" s="487" t="s">
        <v>1499</v>
      </c>
      <c r="J9990" s="487" t="s">
        <v>1084</v>
      </c>
    </row>
    <row r="9991" spans="1:10" ht="15" x14ac:dyDescent="0.2">
      <c r="A9991" s="486" t="s">
        <v>1275</v>
      </c>
      <c r="B9991" s="487" t="s">
        <v>1274</v>
      </c>
      <c r="C9991" s="488" t="s">
        <v>30762</v>
      </c>
      <c r="D9991" s="489" t="s">
        <v>30763</v>
      </c>
      <c r="E9991" s="487" t="s">
        <v>30764</v>
      </c>
      <c r="F9991" s="490">
        <v>36500</v>
      </c>
      <c r="G9991" s="489">
        <v>3528.3</v>
      </c>
      <c r="H9991" s="489">
        <v>10.34493</v>
      </c>
      <c r="I9991" s="487" t="s">
        <v>1499</v>
      </c>
      <c r="J9991" s="487" t="s">
        <v>1276</v>
      </c>
    </row>
    <row r="9992" spans="1:10" ht="15" x14ac:dyDescent="0.2">
      <c r="A9992" s="486" t="s">
        <v>1319</v>
      </c>
      <c r="B9992" s="487" t="s">
        <v>397</v>
      </c>
      <c r="C9992" s="488" t="s">
        <v>30765</v>
      </c>
      <c r="D9992" s="489" t="s">
        <v>30766</v>
      </c>
      <c r="E9992" s="487" t="s">
        <v>17444</v>
      </c>
      <c r="F9992" s="490">
        <v>4440</v>
      </c>
      <c r="G9992" s="489">
        <v>148</v>
      </c>
      <c r="H9992" s="489">
        <v>30</v>
      </c>
      <c r="I9992" s="487" t="s">
        <v>1499</v>
      </c>
      <c r="J9992" s="487" t="s">
        <v>1320</v>
      </c>
    </row>
    <row r="9993" spans="1:10" ht="15" x14ac:dyDescent="0.2">
      <c r="A9993" s="486" t="s">
        <v>1319</v>
      </c>
      <c r="B9993" s="487" t="s">
        <v>397</v>
      </c>
      <c r="C9993" s="488" t="s">
        <v>30767</v>
      </c>
      <c r="D9993" s="489" t="s">
        <v>30768</v>
      </c>
      <c r="E9993" s="487" t="s">
        <v>30769</v>
      </c>
      <c r="F9993" s="490">
        <v>0</v>
      </c>
      <c r="G9993" s="489">
        <v>232</v>
      </c>
      <c r="H9993" s="489">
        <v>0</v>
      </c>
      <c r="I9993" s="487" t="s">
        <v>1593</v>
      </c>
      <c r="J9993" s="487" t="s">
        <v>1320</v>
      </c>
    </row>
    <row r="9994" spans="1:10" ht="15" x14ac:dyDescent="0.2">
      <c r="A9994" s="486" t="s">
        <v>1319</v>
      </c>
      <c r="B9994" s="487" t="s">
        <v>397</v>
      </c>
      <c r="C9994" s="488" t="s">
        <v>30770</v>
      </c>
      <c r="D9994" s="489" t="s">
        <v>30771</v>
      </c>
      <c r="E9994" s="487" t="s">
        <v>30772</v>
      </c>
      <c r="F9994" s="490">
        <v>124506</v>
      </c>
      <c r="G9994" s="489">
        <v>1914</v>
      </c>
      <c r="H9994" s="489">
        <v>65.050160000000005</v>
      </c>
      <c r="I9994" s="487" t="s">
        <v>1499</v>
      </c>
      <c r="J9994" s="487" t="s">
        <v>1320</v>
      </c>
    </row>
    <row r="9995" spans="1:10" ht="15" x14ac:dyDescent="0.2">
      <c r="A9995" s="486" t="s">
        <v>1319</v>
      </c>
      <c r="B9995" s="487" t="s">
        <v>397</v>
      </c>
      <c r="C9995" s="488" t="s">
        <v>30773</v>
      </c>
      <c r="D9995" s="489" t="s">
        <v>30774</v>
      </c>
      <c r="E9995" s="487" t="s">
        <v>30775</v>
      </c>
      <c r="F9995" s="490">
        <v>8350</v>
      </c>
      <c r="G9995" s="489">
        <v>167</v>
      </c>
      <c r="H9995" s="489">
        <v>50</v>
      </c>
      <c r="I9995" s="487" t="s">
        <v>1499</v>
      </c>
      <c r="J9995" s="487" t="s">
        <v>1320</v>
      </c>
    </row>
    <row r="9996" spans="1:10" ht="15" x14ac:dyDescent="0.2">
      <c r="A9996" s="486" t="s">
        <v>1387</v>
      </c>
      <c r="B9996" s="487" t="s">
        <v>1386</v>
      </c>
      <c r="C9996" s="488" t="s">
        <v>30776</v>
      </c>
      <c r="D9996" s="489" t="s">
        <v>30777</v>
      </c>
      <c r="E9996" s="487" t="s">
        <v>30778</v>
      </c>
      <c r="F9996" s="490">
        <v>16623</v>
      </c>
      <c r="G9996" s="489">
        <v>288</v>
      </c>
      <c r="H9996" s="489">
        <v>57.71875</v>
      </c>
      <c r="I9996" s="487" t="s">
        <v>1499</v>
      </c>
      <c r="J9996" s="487" t="s">
        <v>1388</v>
      </c>
    </row>
    <row r="9997" spans="1:10" ht="15" x14ac:dyDescent="0.2">
      <c r="A9997" s="486" t="s">
        <v>1387</v>
      </c>
      <c r="B9997" s="487" t="s">
        <v>1386</v>
      </c>
      <c r="C9997" s="488" t="s">
        <v>30779</v>
      </c>
      <c r="D9997" s="489" t="s">
        <v>30780</v>
      </c>
      <c r="E9997" s="487" t="s">
        <v>30781</v>
      </c>
      <c r="F9997" s="490">
        <v>93906</v>
      </c>
      <c r="G9997" s="489">
        <v>3349</v>
      </c>
      <c r="H9997" s="489">
        <v>28.040009999999999</v>
      </c>
      <c r="I9997" s="487" t="s">
        <v>1499</v>
      </c>
      <c r="J9997" s="487" t="s">
        <v>1388</v>
      </c>
    </row>
    <row r="9998" spans="1:10" ht="15" x14ac:dyDescent="0.2">
      <c r="A9998" s="486" t="s">
        <v>925</v>
      </c>
      <c r="B9998" s="487" t="s">
        <v>924</v>
      </c>
      <c r="C9998" s="488" t="s">
        <v>30782</v>
      </c>
      <c r="D9998" s="489" t="s">
        <v>30783</v>
      </c>
      <c r="E9998" s="487" t="s">
        <v>30784</v>
      </c>
      <c r="F9998" s="490">
        <v>29942</v>
      </c>
      <c r="G9998" s="489">
        <v>451</v>
      </c>
      <c r="H9998" s="489">
        <v>66.390240000000006</v>
      </c>
      <c r="I9998" s="487" t="s">
        <v>1499</v>
      </c>
      <c r="J9998" s="487" t="s">
        <v>926</v>
      </c>
    </row>
    <row r="9999" spans="1:10" ht="15" x14ac:dyDescent="0.2">
      <c r="A9999" s="486" t="s">
        <v>925</v>
      </c>
      <c r="B9999" s="487" t="s">
        <v>924</v>
      </c>
      <c r="C9999" s="488" t="s">
        <v>30785</v>
      </c>
      <c r="D9999" s="489" t="s">
        <v>30786</v>
      </c>
      <c r="E9999" s="487" t="s">
        <v>30787</v>
      </c>
      <c r="F9999" s="490">
        <v>568909</v>
      </c>
      <c r="G9999" s="489">
        <v>5826</v>
      </c>
      <c r="H9999" s="489">
        <v>97.650019999999998</v>
      </c>
      <c r="I9999" s="487" t="s">
        <v>1499</v>
      </c>
      <c r="J9999" s="487" t="s">
        <v>926</v>
      </c>
    </row>
    <row r="10000" spans="1:10" ht="15" x14ac:dyDescent="0.2">
      <c r="A10000" s="486" t="s">
        <v>925</v>
      </c>
      <c r="B10000" s="487" t="s">
        <v>924</v>
      </c>
      <c r="C10000" s="488" t="s">
        <v>30788</v>
      </c>
      <c r="D10000" s="489" t="s">
        <v>30789</v>
      </c>
      <c r="E10000" s="487" t="s">
        <v>924</v>
      </c>
      <c r="F10000" s="490">
        <v>337545</v>
      </c>
      <c r="G10000" s="489">
        <v>2848</v>
      </c>
      <c r="H10000" s="489">
        <v>118.52001</v>
      </c>
      <c r="I10000" s="487" t="s">
        <v>1499</v>
      </c>
      <c r="J10000" s="487" t="s">
        <v>926</v>
      </c>
    </row>
    <row r="10001" spans="1:10" ht="15" x14ac:dyDescent="0.2">
      <c r="A10001" s="486" t="s">
        <v>925</v>
      </c>
      <c r="B10001" s="487" t="s">
        <v>924</v>
      </c>
      <c r="C10001" s="488" t="s">
        <v>30790</v>
      </c>
      <c r="D10001" s="489" t="s">
        <v>30791</v>
      </c>
      <c r="E10001" s="487" t="s">
        <v>30792</v>
      </c>
      <c r="F10001" s="490">
        <v>314133</v>
      </c>
      <c r="G10001" s="489">
        <v>3937</v>
      </c>
      <c r="H10001" s="489">
        <v>79.789940000000001</v>
      </c>
      <c r="I10001" s="487" t="s">
        <v>1499</v>
      </c>
      <c r="J10001" s="487" t="s">
        <v>926</v>
      </c>
    </row>
    <row r="10002" spans="1:10" ht="15" x14ac:dyDescent="0.2">
      <c r="A10002" s="486" t="s">
        <v>925</v>
      </c>
      <c r="B10002" s="487" t="s">
        <v>924</v>
      </c>
      <c r="C10002" s="488" t="s">
        <v>30793</v>
      </c>
      <c r="D10002" s="489" t="s">
        <v>30794</v>
      </c>
      <c r="E10002" s="487" t="s">
        <v>27291</v>
      </c>
      <c r="F10002" s="490">
        <v>317198</v>
      </c>
      <c r="G10002" s="489">
        <v>3587</v>
      </c>
      <c r="H10002" s="489">
        <v>88.42989</v>
      </c>
      <c r="I10002" s="487" t="s">
        <v>1499</v>
      </c>
      <c r="J10002" s="487" t="s">
        <v>926</v>
      </c>
    </row>
    <row r="10003" spans="1:10" ht="15" x14ac:dyDescent="0.2">
      <c r="A10003" s="486" t="s">
        <v>1231</v>
      </c>
      <c r="B10003" s="487" t="s">
        <v>1230</v>
      </c>
      <c r="C10003" s="488" t="s">
        <v>30795</v>
      </c>
      <c r="D10003" s="489" t="s">
        <v>30796</v>
      </c>
      <c r="E10003" s="487" t="s">
        <v>30797</v>
      </c>
      <c r="F10003" s="490">
        <v>57557.72</v>
      </c>
      <c r="G10003" s="489">
        <v>2036</v>
      </c>
      <c r="H10003" s="489">
        <v>28.27</v>
      </c>
      <c r="I10003" s="487" t="s">
        <v>1499</v>
      </c>
      <c r="J10003" s="487" t="s">
        <v>1232</v>
      </c>
    </row>
    <row r="10004" spans="1:10" ht="15" x14ac:dyDescent="0.2">
      <c r="A10004" s="486" t="s">
        <v>1231</v>
      </c>
      <c r="B10004" s="487" t="s">
        <v>1230</v>
      </c>
      <c r="C10004" s="488" t="s">
        <v>30798</v>
      </c>
      <c r="D10004" s="489" t="s">
        <v>30799</v>
      </c>
      <c r="E10004" s="487" t="s">
        <v>30800</v>
      </c>
      <c r="F10004" s="490">
        <v>16226</v>
      </c>
      <c r="G10004" s="489">
        <v>1159</v>
      </c>
      <c r="H10004" s="489">
        <v>14</v>
      </c>
      <c r="I10004" s="487" t="s">
        <v>1499</v>
      </c>
      <c r="J10004" s="487" t="s">
        <v>1232</v>
      </c>
    </row>
    <row r="10005" spans="1:10" ht="15" x14ac:dyDescent="0.2">
      <c r="A10005" s="486" t="s">
        <v>1231</v>
      </c>
      <c r="B10005" s="487" t="s">
        <v>1230</v>
      </c>
      <c r="C10005" s="488" t="s">
        <v>30801</v>
      </c>
      <c r="D10005" s="489" t="s">
        <v>30802</v>
      </c>
      <c r="E10005" s="487" t="s">
        <v>15910</v>
      </c>
      <c r="F10005" s="490">
        <v>82273.259999999995</v>
      </c>
      <c r="G10005" s="489">
        <v>3929</v>
      </c>
      <c r="H10005" s="489">
        <v>20.94</v>
      </c>
      <c r="I10005" s="487" t="s">
        <v>1499</v>
      </c>
      <c r="J10005" s="487" t="s">
        <v>1232</v>
      </c>
    </row>
    <row r="10006" spans="1:10" ht="15" x14ac:dyDescent="0.2">
      <c r="A10006" s="486" t="s">
        <v>1231</v>
      </c>
      <c r="B10006" s="487" t="s">
        <v>1230</v>
      </c>
      <c r="C10006" s="488" t="s">
        <v>30803</v>
      </c>
      <c r="D10006" s="489" t="s">
        <v>30804</v>
      </c>
      <c r="E10006" s="487" t="s">
        <v>30805</v>
      </c>
      <c r="F10006" s="490">
        <v>96720</v>
      </c>
      <c r="G10006" s="489">
        <v>3000</v>
      </c>
      <c r="H10006" s="489">
        <v>32.24</v>
      </c>
      <c r="I10006" s="487" t="s">
        <v>1499</v>
      </c>
      <c r="J10006" s="487" t="s">
        <v>1232</v>
      </c>
    </row>
    <row r="10007" spans="1:10" ht="15" x14ac:dyDescent="0.2">
      <c r="A10007" s="486" t="s">
        <v>1231</v>
      </c>
      <c r="B10007" s="487" t="s">
        <v>1230</v>
      </c>
      <c r="C10007" s="488" t="s">
        <v>30806</v>
      </c>
      <c r="D10007" s="489" t="s">
        <v>30807</v>
      </c>
      <c r="E10007" s="487" t="s">
        <v>30808</v>
      </c>
      <c r="F10007" s="490">
        <v>70903.199999999997</v>
      </c>
      <c r="G10007" s="489">
        <v>3720</v>
      </c>
      <c r="H10007" s="489">
        <v>19.059999999999999</v>
      </c>
      <c r="I10007" s="487" t="s">
        <v>1499</v>
      </c>
      <c r="J10007" s="487" t="s">
        <v>1232</v>
      </c>
    </row>
    <row r="10008" spans="1:10" ht="15" x14ac:dyDescent="0.2">
      <c r="A10008" s="486" t="s">
        <v>1231</v>
      </c>
      <c r="B10008" s="487" t="s">
        <v>1230</v>
      </c>
      <c r="C10008" s="488" t="s">
        <v>30809</v>
      </c>
      <c r="D10008" s="489" t="s">
        <v>30810</v>
      </c>
      <c r="E10008" s="487" t="s">
        <v>30811</v>
      </c>
      <c r="F10008" s="490">
        <v>69758.820000000007</v>
      </c>
      <c r="G10008" s="489">
        <v>1377</v>
      </c>
      <c r="H10008" s="489">
        <v>50.66</v>
      </c>
      <c r="I10008" s="487" t="s">
        <v>1499</v>
      </c>
      <c r="J10008" s="487" t="s">
        <v>1232</v>
      </c>
    </row>
    <row r="10009" spans="1:10" ht="15" x14ac:dyDescent="0.2">
      <c r="A10009" s="486" t="s">
        <v>1231</v>
      </c>
      <c r="B10009" s="487" t="s">
        <v>1230</v>
      </c>
      <c r="C10009" s="488" t="s">
        <v>30812</v>
      </c>
      <c r="D10009" s="489" t="s">
        <v>30813</v>
      </c>
      <c r="E10009" s="487" t="s">
        <v>30814</v>
      </c>
      <c r="F10009" s="490">
        <v>12768.7</v>
      </c>
      <c r="G10009" s="489">
        <v>986</v>
      </c>
      <c r="H10009" s="489">
        <v>12.95</v>
      </c>
      <c r="I10009" s="487" t="s">
        <v>1499</v>
      </c>
      <c r="J10009" s="487" t="s">
        <v>1232</v>
      </c>
    </row>
    <row r="10010" spans="1:10" ht="15" x14ac:dyDescent="0.2">
      <c r="A10010" s="486" t="s">
        <v>1161</v>
      </c>
      <c r="B10010" s="487" t="s">
        <v>1160</v>
      </c>
      <c r="C10010" s="488" t="s">
        <v>30815</v>
      </c>
      <c r="D10010" s="489" t="s">
        <v>30816</v>
      </c>
      <c r="E10010" s="487" t="s">
        <v>30817</v>
      </c>
      <c r="F10010" s="490">
        <v>182972</v>
      </c>
      <c r="G10010" s="489">
        <v>2089.3000000000002</v>
      </c>
      <c r="H10010" s="489">
        <v>87.575739999999996</v>
      </c>
      <c r="I10010" s="487" t="s">
        <v>1499</v>
      </c>
      <c r="J10010" s="487" t="s">
        <v>1162</v>
      </c>
    </row>
    <row r="10011" spans="1:10" ht="15" x14ac:dyDescent="0.2">
      <c r="A10011" s="486" t="s">
        <v>1161</v>
      </c>
      <c r="B10011" s="487" t="s">
        <v>1160</v>
      </c>
      <c r="C10011" s="488" t="s">
        <v>30818</v>
      </c>
      <c r="D10011" s="489" t="s">
        <v>30819</v>
      </c>
      <c r="E10011" s="487" t="s">
        <v>30820</v>
      </c>
      <c r="F10011" s="490">
        <v>125617</v>
      </c>
      <c r="G10011" s="489">
        <v>9277.5</v>
      </c>
      <c r="H10011" s="489">
        <v>13.539960000000001</v>
      </c>
      <c r="I10011" s="487" t="s">
        <v>1499</v>
      </c>
      <c r="J10011" s="487" t="s">
        <v>1162</v>
      </c>
    </row>
    <row r="10012" spans="1:10" ht="15" x14ac:dyDescent="0.2">
      <c r="A10012" s="486" t="s">
        <v>1161</v>
      </c>
      <c r="B10012" s="487" t="s">
        <v>1160</v>
      </c>
      <c r="C10012" s="488" t="s">
        <v>30821</v>
      </c>
      <c r="D10012" s="489" t="s">
        <v>30822</v>
      </c>
      <c r="E10012" s="487" t="s">
        <v>30823</v>
      </c>
      <c r="F10012" s="490">
        <v>27500</v>
      </c>
      <c r="G10012" s="489">
        <v>870</v>
      </c>
      <c r="H10012" s="489">
        <v>31.609200000000001</v>
      </c>
      <c r="I10012" s="487" t="s">
        <v>1499</v>
      </c>
      <c r="J10012" s="487" t="s">
        <v>1162</v>
      </c>
    </row>
    <row r="10013" spans="1:10" ht="15" x14ac:dyDescent="0.2">
      <c r="A10013" s="486" t="s">
        <v>1161</v>
      </c>
      <c r="B10013" s="487" t="s">
        <v>1160</v>
      </c>
      <c r="C10013" s="488" t="s">
        <v>30824</v>
      </c>
      <c r="D10013" s="489" t="s">
        <v>30825</v>
      </c>
      <c r="E10013" s="487" t="s">
        <v>30826</v>
      </c>
      <c r="F10013" s="490">
        <v>4000</v>
      </c>
      <c r="G10013" s="489">
        <v>171.7</v>
      </c>
      <c r="H10013" s="489">
        <v>23.29645</v>
      </c>
      <c r="I10013" s="487" t="s">
        <v>1499</v>
      </c>
      <c r="J10013" s="487" t="s">
        <v>1162</v>
      </c>
    </row>
    <row r="10014" spans="1:10" ht="15" x14ac:dyDescent="0.2">
      <c r="A10014" s="486" t="s">
        <v>1161</v>
      </c>
      <c r="B10014" s="487" t="s">
        <v>1160</v>
      </c>
      <c r="C10014" s="488" t="s">
        <v>30827</v>
      </c>
      <c r="D10014" s="489" t="s">
        <v>30828</v>
      </c>
      <c r="E10014" s="487" t="s">
        <v>30829</v>
      </c>
      <c r="F10014" s="490">
        <v>6506</v>
      </c>
      <c r="G10014" s="489">
        <v>480.5</v>
      </c>
      <c r="H10014" s="489">
        <v>13.54006</v>
      </c>
      <c r="I10014" s="487" t="s">
        <v>1499</v>
      </c>
      <c r="J10014" s="487" t="s">
        <v>1162</v>
      </c>
    </row>
    <row r="10015" spans="1:10" ht="15" x14ac:dyDescent="0.2">
      <c r="A10015" s="486" t="s">
        <v>1161</v>
      </c>
      <c r="B10015" s="487" t="s">
        <v>1160</v>
      </c>
      <c r="C10015" s="488" t="s">
        <v>30830</v>
      </c>
      <c r="D10015" s="489" t="s">
        <v>30831</v>
      </c>
      <c r="E10015" s="487" t="s">
        <v>30832</v>
      </c>
      <c r="F10015" s="490">
        <v>237000</v>
      </c>
      <c r="G10015" s="489">
        <v>2137</v>
      </c>
      <c r="H10015" s="489">
        <v>110.90313999999999</v>
      </c>
      <c r="I10015" s="487" t="s">
        <v>1499</v>
      </c>
      <c r="J10015" s="487" t="s">
        <v>1162</v>
      </c>
    </row>
    <row r="10016" spans="1:10" ht="15" x14ac:dyDescent="0.2">
      <c r="A10016" s="486" t="s">
        <v>1161</v>
      </c>
      <c r="B10016" s="487" t="s">
        <v>1160</v>
      </c>
      <c r="C10016" s="488" t="s">
        <v>30833</v>
      </c>
      <c r="D10016" s="489" t="s">
        <v>30834</v>
      </c>
      <c r="E10016" s="487" t="s">
        <v>30835</v>
      </c>
      <c r="F10016" s="490">
        <v>927761</v>
      </c>
      <c r="G10016" s="489">
        <v>7066.5</v>
      </c>
      <c r="H10016" s="489">
        <v>131.29003</v>
      </c>
      <c r="I10016" s="487" t="s">
        <v>1499</v>
      </c>
      <c r="J10016" s="487" t="s">
        <v>1162</v>
      </c>
    </row>
    <row r="10017" spans="1:10" ht="15" x14ac:dyDescent="0.2">
      <c r="A10017" s="486" t="s">
        <v>1161</v>
      </c>
      <c r="B10017" s="487" t="s">
        <v>1160</v>
      </c>
      <c r="C10017" s="488" t="s">
        <v>30836</v>
      </c>
      <c r="D10017" s="489" t="s">
        <v>30837</v>
      </c>
      <c r="E10017" s="487" t="s">
        <v>30838</v>
      </c>
      <c r="F10017" s="490">
        <v>43620</v>
      </c>
      <c r="G10017" s="489">
        <v>1129.5999999999999</v>
      </c>
      <c r="H10017" s="489">
        <v>38.61544</v>
      </c>
      <c r="I10017" s="487" t="s">
        <v>1499</v>
      </c>
      <c r="J10017" s="487" t="s">
        <v>1162</v>
      </c>
    </row>
    <row r="10018" spans="1:10" ht="15" x14ac:dyDescent="0.2">
      <c r="A10018" s="486" t="s">
        <v>1161</v>
      </c>
      <c r="B10018" s="487" t="s">
        <v>1160</v>
      </c>
      <c r="C10018" s="488" t="s">
        <v>30839</v>
      </c>
      <c r="D10018" s="489" t="s">
        <v>30840</v>
      </c>
      <c r="E10018" s="487" t="s">
        <v>1160</v>
      </c>
      <c r="F10018" s="490">
        <v>15371</v>
      </c>
      <c r="G10018" s="489">
        <v>335.7</v>
      </c>
      <c r="H10018" s="489">
        <v>45.787909999999997</v>
      </c>
      <c r="I10018" s="487" t="s">
        <v>1499</v>
      </c>
      <c r="J10018" s="487" t="s">
        <v>1162</v>
      </c>
    </row>
    <row r="10019" spans="1:10" ht="15" x14ac:dyDescent="0.2">
      <c r="A10019" s="486" t="s">
        <v>1161</v>
      </c>
      <c r="B10019" s="487" t="s">
        <v>1160</v>
      </c>
      <c r="C10019" s="488" t="s">
        <v>30841</v>
      </c>
      <c r="D10019" s="489" t="s">
        <v>30842</v>
      </c>
      <c r="E10019" s="487" t="s">
        <v>3178</v>
      </c>
      <c r="F10019" s="490">
        <v>16000</v>
      </c>
      <c r="G10019" s="489">
        <v>800.4</v>
      </c>
      <c r="H10019" s="489">
        <v>19.989999999999998</v>
      </c>
      <c r="I10019" s="487" t="s">
        <v>1499</v>
      </c>
      <c r="J10019" s="487" t="s">
        <v>1162</v>
      </c>
    </row>
    <row r="10020" spans="1:10" ht="15" x14ac:dyDescent="0.2">
      <c r="A10020" s="486" t="s">
        <v>389</v>
      </c>
      <c r="B10020" s="487" t="s">
        <v>388</v>
      </c>
      <c r="C10020" s="488" t="s">
        <v>30843</v>
      </c>
      <c r="D10020" s="489" t="s">
        <v>30844</v>
      </c>
      <c r="E10020" s="487" t="s">
        <v>30845</v>
      </c>
      <c r="F10020" s="490">
        <v>1480</v>
      </c>
      <c r="G10020" s="489">
        <v>89.1</v>
      </c>
      <c r="H10020" s="489">
        <v>16.61055</v>
      </c>
      <c r="I10020" s="487" t="s">
        <v>1499</v>
      </c>
      <c r="J10020" s="487" t="s">
        <v>390</v>
      </c>
    </row>
    <row r="10021" spans="1:10" ht="15" x14ac:dyDescent="0.2">
      <c r="A10021" s="486" t="s">
        <v>389</v>
      </c>
      <c r="B10021" s="487" t="s">
        <v>388</v>
      </c>
      <c r="C10021" s="488" t="s">
        <v>30846</v>
      </c>
      <c r="D10021" s="489" t="s">
        <v>30847</v>
      </c>
      <c r="E10021" s="487" t="s">
        <v>30848</v>
      </c>
      <c r="F10021" s="490">
        <v>24870</v>
      </c>
      <c r="G10021" s="489">
        <v>587.79999999999995</v>
      </c>
      <c r="H10021" s="489">
        <v>42.310310000000001</v>
      </c>
      <c r="I10021" s="487" t="s">
        <v>1499</v>
      </c>
      <c r="J10021" s="487" t="s">
        <v>390</v>
      </c>
    </row>
    <row r="10022" spans="1:10" ht="15" x14ac:dyDescent="0.2">
      <c r="A10022" s="486" t="s">
        <v>389</v>
      </c>
      <c r="B10022" s="487" t="s">
        <v>388</v>
      </c>
      <c r="C10022" s="488" t="s">
        <v>30849</v>
      </c>
      <c r="D10022" s="489" t="s">
        <v>30850</v>
      </c>
      <c r="E10022" s="487" t="s">
        <v>30851</v>
      </c>
      <c r="F10022" s="490">
        <v>10579</v>
      </c>
      <c r="G10022" s="489">
        <v>240.76</v>
      </c>
      <c r="H10022" s="489">
        <v>43.940019999999997</v>
      </c>
      <c r="I10022" s="487" t="s">
        <v>1499</v>
      </c>
      <c r="J10022" s="487" t="s">
        <v>390</v>
      </c>
    </row>
    <row r="10023" spans="1:10" ht="15" x14ac:dyDescent="0.2">
      <c r="A10023" s="486" t="s">
        <v>389</v>
      </c>
      <c r="B10023" s="487" t="s">
        <v>388</v>
      </c>
      <c r="C10023" s="488" t="s">
        <v>30852</v>
      </c>
      <c r="D10023" s="489" t="s">
        <v>30853</v>
      </c>
      <c r="E10023" s="487" t="s">
        <v>22855</v>
      </c>
      <c r="F10023" s="490">
        <v>31666</v>
      </c>
      <c r="G10023" s="489">
        <v>607.09</v>
      </c>
      <c r="H10023" s="489">
        <v>52.160310000000003</v>
      </c>
      <c r="I10023" s="487" t="s">
        <v>1499</v>
      </c>
      <c r="J10023" s="487" t="s">
        <v>390</v>
      </c>
    </row>
    <row r="10024" spans="1:10" ht="15" x14ac:dyDescent="0.2">
      <c r="A10024" s="486" t="s">
        <v>389</v>
      </c>
      <c r="B10024" s="487" t="s">
        <v>388</v>
      </c>
      <c r="C10024" s="488" t="s">
        <v>30854</v>
      </c>
      <c r="D10024" s="489" t="s">
        <v>30855</v>
      </c>
      <c r="E10024" s="487" t="s">
        <v>30856</v>
      </c>
      <c r="F10024" s="490">
        <v>8299</v>
      </c>
      <c r="G10024" s="489">
        <v>297.67</v>
      </c>
      <c r="H10024" s="489">
        <v>27.87987</v>
      </c>
      <c r="I10024" s="487" t="s">
        <v>1499</v>
      </c>
      <c r="J10024" s="487" t="s">
        <v>390</v>
      </c>
    </row>
    <row r="10025" spans="1:10" ht="15" x14ac:dyDescent="0.2">
      <c r="A10025" s="486" t="s">
        <v>389</v>
      </c>
      <c r="B10025" s="487" t="s">
        <v>388</v>
      </c>
      <c r="C10025" s="488" t="s">
        <v>30857</v>
      </c>
      <c r="D10025" s="489" t="s">
        <v>30858</v>
      </c>
      <c r="E10025" s="487" t="s">
        <v>30859</v>
      </c>
      <c r="F10025" s="490">
        <v>0</v>
      </c>
      <c r="G10025" s="489">
        <v>66.180000000000007</v>
      </c>
      <c r="H10025" s="489">
        <v>0</v>
      </c>
      <c r="I10025" s="487" t="s">
        <v>1593</v>
      </c>
      <c r="J10025" s="487" t="s">
        <v>390</v>
      </c>
    </row>
    <row r="10026" spans="1:10" ht="15" x14ac:dyDescent="0.2">
      <c r="A10026" s="486" t="s">
        <v>389</v>
      </c>
      <c r="B10026" s="487" t="s">
        <v>388</v>
      </c>
      <c r="C10026" s="488" t="s">
        <v>30860</v>
      </c>
      <c r="D10026" s="489" t="s">
        <v>30861</v>
      </c>
      <c r="E10026" s="487" t="s">
        <v>30862</v>
      </c>
      <c r="F10026" s="490">
        <v>5250</v>
      </c>
      <c r="G10026" s="489">
        <v>158.82</v>
      </c>
      <c r="H10026" s="489">
        <v>33.056289999999997</v>
      </c>
      <c r="I10026" s="487" t="s">
        <v>1499</v>
      </c>
      <c r="J10026" s="487" t="s">
        <v>390</v>
      </c>
    </row>
    <row r="10027" spans="1:10" ht="15" x14ac:dyDescent="0.2">
      <c r="A10027" s="486" t="s">
        <v>389</v>
      </c>
      <c r="B10027" s="487" t="s">
        <v>388</v>
      </c>
      <c r="C10027" s="488" t="s">
        <v>30863</v>
      </c>
      <c r="D10027" s="489" t="s">
        <v>30864</v>
      </c>
      <c r="E10027" s="487" t="s">
        <v>30865</v>
      </c>
      <c r="F10027" s="490">
        <v>4037</v>
      </c>
      <c r="G10027" s="489">
        <v>102.76</v>
      </c>
      <c r="H10027" s="489">
        <v>39.285710000000002</v>
      </c>
      <c r="I10027" s="487" t="s">
        <v>1499</v>
      </c>
      <c r="J10027" s="487" t="s">
        <v>390</v>
      </c>
    </row>
    <row r="10028" spans="1:10" ht="15" x14ac:dyDescent="0.2">
      <c r="A10028" s="486" t="s">
        <v>389</v>
      </c>
      <c r="B10028" s="487" t="s">
        <v>388</v>
      </c>
      <c r="C10028" s="488" t="s">
        <v>30866</v>
      </c>
      <c r="D10028" s="489" t="s">
        <v>30867</v>
      </c>
      <c r="E10028" s="487" t="s">
        <v>22935</v>
      </c>
      <c r="F10028" s="490">
        <v>8000</v>
      </c>
      <c r="G10028" s="489">
        <v>169.42</v>
      </c>
      <c r="H10028" s="489">
        <v>47.219929999999998</v>
      </c>
      <c r="I10028" s="487" t="s">
        <v>1499</v>
      </c>
      <c r="J10028" s="487" t="s">
        <v>390</v>
      </c>
    </row>
    <row r="10029" spans="1:10" ht="15" x14ac:dyDescent="0.2">
      <c r="A10029" s="486" t="s">
        <v>389</v>
      </c>
      <c r="B10029" s="487" t="s">
        <v>388</v>
      </c>
      <c r="C10029" s="488" t="s">
        <v>30868</v>
      </c>
      <c r="D10029" s="489" t="s">
        <v>30869</v>
      </c>
      <c r="E10029" s="487" t="s">
        <v>30870</v>
      </c>
      <c r="F10029" s="490">
        <v>24371</v>
      </c>
      <c r="G10029" s="489">
        <v>455.54</v>
      </c>
      <c r="H10029" s="489">
        <v>53.499139999999997</v>
      </c>
      <c r="I10029" s="487" t="s">
        <v>1499</v>
      </c>
      <c r="J10029" s="487" t="s">
        <v>390</v>
      </c>
    </row>
    <row r="10030" spans="1:10" ht="15" x14ac:dyDescent="0.2">
      <c r="A10030" s="486" t="s">
        <v>389</v>
      </c>
      <c r="B10030" s="487" t="s">
        <v>388</v>
      </c>
      <c r="C10030" s="488" t="s">
        <v>30871</v>
      </c>
      <c r="D10030" s="489" t="s">
        <v>30872</v>
      </c>
      <c r="E10030" s="487" t="s">
        <v>30873</v>
      </c>
      <c r="F10030" s="490">
        <v>234824</v>
      </c>
      <c r="G10030" s="489">
        <v>4342.96</v>
      </c>
      <c r="H10030" s="489">
        <v>54.070039999999999</v>
      </c>
      <c r="I10030" s="487" t="s">
        <v>1499</v>
      </c>
      <c r="J10030" s="487" t="s">
        <v>390</v>
      </c>
    </row>
    <row r="10031" spans="1:10" ht="15" x14ac:dyDescent="0.2">
      <c r="A10031" s="486" t="s">
        <v>389</v>
      </c>
      <c r="B10031" s="487" t="s">
        <v>388</v>
      </c>
      <c r="C10031" s="488" t="s">
        <v>30874</v>
      </c>
      <c r="D10031" s="489" t="s">
        <v>30875</v>
      </c>
      <c r="E10031" s="487" t="s">
        <v>30876</v>
      </c>
      <c r="F10031" s="490">
        <v>44705</v>
      </c>
      <c r="G10031" s="489">
        <v>921</v>
      </c>
      <c r="H10031" s="489">
        <v>48.539630000000002</v>
      </c>
      <c r="I10031" s="487" t="s">
        <v>1499</v>
      </c>
      <c r="J10031" s="487" t="s">
        <v>390</v>
      </c>
    </row>
    <row r="10032" spans="1:10" ht="15" x14ac:dyDescent="0.2">
      <c r="A10032" s="486" t="s">
        <v>389</v>
      </c>
      <c r="B10032" s="487" t="s">
        <v>388</v>
      </c>
      <c r="C10032" s="488" t="s">
        <v>30877</v>
      </c>
      <c r="D10032" s="489" t="s">
        <v>30878</v>
      </c>
      <c r="E10032" s="487" t="s">
        <v>30879</v>
      </c>
      <c r="F10032" s="490">
        <v>77385</v>
      </c>
      <c r="G10032" s="489">
        <v>1165.96</v>
      </c>
      <c r="H10032" s="489">
        <v>66.370199999999997</v>
      </c>
      <c r="I10032" s="487" t="s">
        <v>1499</v>
      </c>
      <c r="J10032" s="487" t="s">
        <v>390</v>
      </c>
    </row>
    <row r="10033" spans="1:10" ht="15" x14ac:dyDescent="0.2">
      <c r="A10033" s="486" t="s">
        <v>389</v>
      </c>
      <c r="B10033" s="487" t="s">
        <v>388</v>
      </c>
      <c r="C10033" s="488" t="s">
        <v>30880</v>
      </c>
      <c r="D10033" s="489" t="s">
        <v>30881</v>
      </c>
      <c r="E10033" s="487" t="s">
        <v>30882</v>
      </c>
      <c r="F10033" s="490">
        <v>5328</v>
      </c>
      <c r="G10033" s="489">
        <v>154.81</v>
      </c>
      <c r="H10033" s="489">
        <v>34.416379999999997</v>
      </c>
      <c r="I10033" s="487" t="s">
        <v>1499</v>
      </c>
      <c r="J10033" s="487" t="s">
        <v>390</v>
      </c>
    </row>
    <row r="10034" spans="1:10" ht="15" x14ac:dyDescent="0.2">
      <c r="A10034" s="486" t="s">
        <v>389</v>
      </c>
      <c r="B10034" s="487" t="s">
        <v>388</v>
      </c>
      <c r="C10034" s="488" t="s">
        <v>30883</v>
      </c>
      <c r="D10034" s="489" t="s">
        <v>30884</v>
      </c>
      <c r="E10034" s="487" t="s">
        <v>30885</v>
      </c>
      <c r="F10034" s="490">
        <v>24247</v>
      </c>
      <c r="G10034" s="489">
        <v>710.43</v>
      </c>
      <c r="H10034" s="489">
        <v>34.130029999999998</v>
      </c>
      <c r="I10034" s="487" t="s">
        <v>1499</v>
      </c>
      <c r="J10034" s="487" t="s">
        <v>390</v>
      </c>
    </row>
    <row r="10035" spans="1:10" ht="15" x14ac:dyDescent="0.2">
      <c r="A10035" s="486" t="s">
        <v>389</v>
      </c>
      <c r="B10035" s="487" t="s">
        <v>388</v>
      </c>
      <c r="C10035" s="488" t="s">
        <v>30886</v>
      </c>
      <c r="D10035" s="489" t="s">
        <v>30887</v>
      </c>
      <c r="E10035" s="487" t="s">
        <v>30888</v>
      </c>
      <c r="F10035" s="490">
        <v>15625</v>
      </c>
      <c r="G10035" s="489">
        <v>762.95</v>
      </c>
      <c r="H10035" s="489">
        <v>20.47972</v>
      </c>
      <c r="I10035" s="487" t="s">
        <v>1499</v>
      </c>
      <c r="J10035" s="487" t="s">
        <v>390</v>
      </c>
    </row>
    <row r="10036" spans="1:10" ht="15" x14ac:dyDescent="0.2">
      <c r="A10036" s="486" t="s">
        <v>389</v>
      </c>
      <c r="B10036" s="487" t="s">
        <v>388</v>
      </c>
      <c r="C10036" s="488" t="s">
        <v>30889</v>
      </c>
      <c r="D10036" s="489" t="s">
        <v>30890</v>
      </c>
      <c r="E10036" s="487" t="s">
        <v>30891</v>
      </c>
      <c r="F10036" s="490">
        <v>9097</v>
      </c>
      <c r="G10036" s="489">
        <v>297.01</v>
      </c>
      <c r="H10036" s="489">
        <v>30.628599999999999</v>
      </c>
      <c r="I10036" s="487" t="s">
        <v>1499</v>
      </c>
      <c r="J10036" s="487" t="s">
        <v>390</v>
      </c>
    </row>
    <row r="10037" spans="1:10" ht="15" x14ac:dyDescent="0.2">
      <c r="A10037" s="486" t="s">
        <v>702</v>
      </c>
      <c r="B10037" s="487" t="s">
        <v>701</v>
      </c>
      <c r="C10037" s="488" t="s">
        <v>30892</v>
      </c>
      <c r="D10037" s="489" t="s">
        <v>30893</v>
      </c>
      <c r="E10037" s="487" t="s">
        <v>30894</v>
      </c>
      <c r="F10037" s="490">
        <v>6000</v>
      </c>
      <c r="G10037" s="489">
        <v>118</v>
      </c>
      <c r="H10037" s="489">
        <v>50.847459999999998</v>
      </c>
      <c r="I10037" s="487" t="s">
        <v>1499</v>
      </c>
      <c r="J10037" s="487" t="s">
        <v>703</v>
      </c>
    </row>
    <row r="10038" spans="1:10" ht="15" x14ac:dyDescent="0.2">
      <c r="A10038" s="486" t="s">
        <v>702</v>
      </c>
      <c r="B10038" s="487" t="s">
        <v>701</v>
      </c>
      <c r="C10038" s="488" t="s">
        <v>30895</v>
      </c>
      <c r="D10038" s="489" t="s">
        <v>30896</v>
      </c>
      <c r="E10038" s="487" t="s">
        <v>30897</v>
      </c>
      <c r="F10038" s="490">
        <v>318708</v>
      </c>
      <c r="G10038" s="489">
        <v>4086</v>
      </c>
      <c r="H10038" s="489">
        <v>78</v>
      </c>
      <c r="I10038" s="487" t="s">
        <v>1499</v>
      </c>
      <c r="J10038" s="487" t="s">
        <v>703</v>
      </c>
    </row>
    <row r="10039" spans="1:10" ht="15" x14ac:dyDescent="0.2">
      <c r="A10039" s="486" t="s">
        <v>702</v>
      </c>
      <c r="B10039" s="487" t="s">
        <v>701</v>
      </c>
      <c r="C10039" s="488" t="s">
        <v>30898</v>
      </c>
      <c r="D10039" s="489" t="s">
        <v>30899</v>
      </c>
      <c r="E10039" s="487" t="s">
        <v>30900</v>
      </c>
      <c r="F10039" s="490">
        <v>165435</v>
      </c>
      <c r="G10039" s="489">
        <v>1484</v>
      </c>
      <c r="H10039" s="489">
        <v>111.47911000000001</v>
      </c>
      <c r="I10039" s="487" t="s">
        <v>1499</v>
      </c>
      <c r="J10039" s="487" t="s">
        <v>703</v>
      </c>
    </row>
    <row r="10040" spans="1:10" ht="15" x14ac:dyDescent="0.2">
      <c r="A10040" s="486" t="s">
        <v>702</v>
      </c>
      <c r="B10040" s="487" t="s">
        <v>701</v>
      </c>
      <c r="C10040" s="488" t="s">
        <v>30901</v>
      </c>
      <c r="D10040" s="489" t="s">
        <v>30902</v>
      </c>
      <c r="E10040" s="487" t="s">
        <v>30903</v>
      </c>
      <c r="F10040" s="490">
        <v>55000</v>
      </c>
      <c r="G10040" s="489">
        <v>1696</v>
      </c>
      <c r="H10040" s="489">
        <v>32.429250000000003</v>
      </c>
      <c r="I10040" s="487" t="s">
        <v>1499</v>
      </c>
      <c r="J10040" s="487" t="s">
        <v>703</v>
      </c>
    </row>
    <row r="10041" spans="1:10" ht="15" x14ac:dyDescent="0.2">
      <c r="A10041" s="486" t="s">
        <v>702</v>
      </c>
      <c r="B10041" s="487" t="s">
        <v>701</v>
      </c>
      <c r="C10041" s="488" t="s">
        <v>30904</v>
      </c>
      <c r="D10041" s="489" t="s">
        <v>30905</v>
      </c>
      <c r="E10041" s="487" t="s">
        <v>30906</v>
      </c>
      <c r="F10041" s="490">
        <v>14000</v>
      </c>
      <c r="G10041" s="489">
        <v>227</v>
      </c>
      <c r="H10041" s="489">
        <v>61.674010000000003</v>
      </c>
      <c r="I10041" s="487" t="s">
        <v>1499</v>
      </c>
      <c r="J10041" s="487" t="s">
        <v>703</v>
      </c>
    </row>
    <row r="10042" spans="1:10" ht="15" x14ac:dyDescent="0.2">
      <c r="A10042" s="486" t="s">
        <v>702</v>
      </c>
      <c r="B10042" s="487" t="s">
        <v>701</v>
      </c>
      <c r="C10042" s="488" t="s">
        <v>30907</v>
      </c>
      <c r="D10042" s="489" t="s">
        <v>30908</v>
      </c>
      <c r="E10042" s="487" t="s">
        <v>30909</v>
      </c>
      <c r="F10042" s="490">
        <v>40000</v>
      </c>
      <c r="G10042" s="489">
        <v>685</v>
      </c>
      <c r="H10042" s="489">
        <v>58.394159999999999</v>
      </c>
      <c r="I10042" s="487" t="s">
        <v>1499</v>
      </c>
      <c r="J10042" s="487" t="s">
        <v>703</v>
      </c>
    </row>
    <row r="10043" spans="1:10" ht="15" x14ac:dyDescent="0.2">
      <c r="A10043" s="486" t="s">
        <v>702</v>
      </c>
      <c r="B10043" s="487" t="s">
        <v>701</v>
      </c>
      <c r="C10043" s="488" t="s">
        <v>30910</v>
      </c>
      <c r="D10043" s="489" t="s">
        <v>30911</v>
      </c>
      <c r="E10043" s="487" t="s">
        <v>30912</v>
      </c>
      <c r="F10043" s="490">
        <v>92760</v>
      </c>
      <c r="G10043" s="489">
        <v>2773</v>
      </c>
      <c r="H10043" s="489">
        <v>33.451140000000002</v>
      </c>
      <c r="I10043" s="487" t="s">
        <v>1499</v>
      </c>
      <c r="J10043" s="487" t="s">
        <v>703</v>
      </c>
    </row>
    <row r="10044" spans="1:10" ht="15" x14ac:dyDescent="0.2">
      <c r="A10044" s="486" t="s">
        <v>702</v>
      </c>
      <c r="B10044" s="487" t="s">
        <v>701</v>
      </c>
      <c r="C10044" s="488" t="s">
        <v>30913</v>
      </c>
      <c r="D10044" s="489" t="s">
        <v>30914</v>
      </c>
      <c r="E10044" s="487" t="s">
        <v>30915</v>
      </c>
      <c r="F10044" s="490">
        <v>93550</v>
      </c>
      <c r="G10044" s="489">
        <v>1393</v>
      </c>
      <c r="H10044" s="489">
        <v>67.157210000000006</v>
      </c>
      <c r="I10044" s="487" t="s">
        <v>1499</v>
      </c>
      <c r="J10044" s="487" t="s">
        <v>703</v>
      </c>
    </row>
    <row r="10045" spans="1:10" ht="15" x14ac:dyDescent="0.2">
      <c r="A10045" s="486" t="s">
        <v>702</v>
      </c>
      <c r="B10045" s="487" t="s">
        <v>701</v>
      </c>
      <c r="C10045" s="488" t="s">
        <v>30916</v>
      </c>
      <c r="D10045" s="489" t="s">
        <v>30917</v>
      </c>
      <c r="E10045" s="487" t="s">
        <v>30918</v>
      </c>
      <c r="F10045" s="490">
        <v>25080</v>
      </c>
      <c r="G10045" s="489">
        <v>479</v>
      </c>
      <c r="H10045" s="489">
        <v>52.359079999999999</v>
      </c>
      <c r="I10045" s="487" t="s">
        <v>1499</v>
      </c>
      <c r="J10045" s="487" t="s">
        <v>703</v>
      </c>
    </row>
    <row r="10046" spans="1:10" ht="15" x14ac:dyDescent="0.2">
      <c r="A10046" s="486" t="s">
        <v>702</v>
      </c>
      <c r="B10046" s="487" t="s">
        <v>701</v>
      </c>
      <c r="C10046" s="488" t="s">
        <v>30919</v>
      </c>
      <c r="D10046" s="489" t="s">
        <v>30920</v>
      </c>
      <c r="E10046" s="487" t="s">
        <v>30921</v>
      </c>
      <c r="F10046" s="490">
        <v>12628</v>
      </c>
      <c r="G10046" s="489">
        <v>451</v>
      </c>
      <c r="H10046" s="489">
        <v>28</v>
      </c>
      <c r="I10046" s="487" t="s">
        <v>1499</v>
      </c>
      <c r="J10046" s="487" t="s">
        <v>703</v>
      </c>
    </row>
    <row r="10047" spans="1:10" ht="15" x14ac:dyDescent="0.2">
      <c r="A10047" s="486" t="s">
        <v>702</v>
      </c>
      <c r="B10047" s="487" t="s">
        <v>701</v>
      </c>
      <c r="C10047" s="488" t="s">
        <v>30922</v>
      </c>
      <c r="D10047" s="489" t="s">
        <v>30923</v>
      </c>
      <c r="E10047" s="487" t="s">
        <v>30924</v>
      </c>
      <c r="F10047" s="490">
        <v>48674</v>
      </c>
      <c r="G10047" s="489">
        <v>789</v>
      </c>
      <c r="H10047" s="489">
        <v>61.690750000000001</v>
      </c>
      <c r="I10047" s="487" t="s">
        <v>1499</v>
      </c>
      <c r="J10047" s="487" t="s">
        <v>703</v>
      </c>
    </row>
    <row r="10048" spans="1:10" ht="15" x14ac:dyDescent="0.2">
      <c r="A10048" s="486" t="s">
        <v>702</v>
      </c>
      <c r="B10048" s="487" t="s">
        <v>701</v>
      </c>
      <c r="C10048" s="488" t="s">
        <v>30925</v>
      </c>
      <c r="D10048" s="489" t="s">
        <v>30926</v>
      </c>
      <c r="E10048" s="487" t="s">
        <v>30927</v>
      </c>
      <c r="F10048" s="490">
        <v>7277</v>
      </c>
      <c r="G10048" s="489">
        <v>148</v>
      </c>
      <c r="H10048" s="489">
        <v>49.16892</v>
      </c>
      <c r="I10048" s="487" t="s">
        <v>1499</v>
      </c>
      <c r="J10048" s="487" t="s">
        <v>703</v>
      </c>
    </row>
    <row r="10049" spans="1:10" ht="15" x14ac:dyDescent="0.2">
      <c r="A10049" s="486" t="s">
        <v>702</v>
      </c>
      <c r="B10049" s="487" t="s">
        <v>701</v>
      </c>
      <c r="C10049" s="488" t="s">
        <v>30928</v>
      </c>
      <c r="D10049" s="489" t="s">
        <v>30929</v>
      </c>
      <c r="E10049" s="487" t="s">
        <v>17094</v>
      </c>
      <c r="F10049" s="490">
        <v>0</v>
      </c>
      <c r="G10049" s="489">
        <v>82</v>
      </c>
      <c r="H10049" s="489">
        <v>0</v>
      </c>
      <c r="I10049" s="487" t="s">
        <v>1593</v>
      </c>
      <c r="J10049" s="487" t="s">
        <v>703</v>
      </c>
    </row>
    <row r="10050" spans="1:10" ht="15" x14ac:dyDescent="0.2">
      <c r="A10050" s="486" t="s">
        <v>702</v>
      </c>
      <c r="B10050" s="487" t="s">
        <v>701</v>
      </c>
      <c r="C10050" s="488" t="s">
        <v>30930</v>
      </c>
      <c r="D10050" s="489" t="s">
        <v>30931</v>
      </c>
      <c r="E10050" s="487" t="s">
        <v>19110</v>
      </c>
      <c r="F10050" s="490">
        <v>68014</v>
      </c>
      <c r="G10050" s="489">
        <v>1751</v>
      </c>
      <c r="H10050" s="489">
        <v>38.842950000000002</v>
      </c>
      <c r="I10050" s="487" t="s">
        <v>1499</v>
      </c>
      <c r="J10050" s="487" t="s">
        <v>703</v>
      </c>
    </row>
    <row r="10051" spans="1:10" ht="15" x14ac:dyDescent="0.2">
      <c r="A10051" s="486" t="s">
        <v>702</v>
      </c>
      <c r="B10051" s="487" t="s">
        <v>701</v>
      </c>
      <c r="C10051" s="488" t="s">
        <v>30932</v>
      </c>
      <c r="D10051" s="489" t="s">
        <v>30933</v>
      </c>
      <c r="E10051" s="487" t="s">
        <v>30934</v>
      </c>
      <c r="F10051" s="490">
        <v>6000</v>
      </c>
      <c r="G10051" s="489">
        <v>99</v>
      </c>
      <c r="H10051" s="489">
        <v>60.606059999999999</v>
      </c>
      <c r="I10051" s="487" t="s">
        <v>1499</v>
      </c>
      <c r="J10051" s="487" t="s">
        <v>703</v>
      </c>
    </row>
    <row r="10052" spans="1:10" ht="15" x14ac:dyDescent="0.2">
      <c r="A10052" s="486" t="s">
        <v>702</v>
      </c>
      <c r="B10052" s="487" t="s">
        <v>701</v>
      </c>
      <c r="C10052" s="488" t="s">
        <v>30935</v>
      </c>
      <c r="D10052" s="489" t="s">
        <v>30936</v>
      </c>
      <c r="E10052" s="487" t="s">
        <v>30937</v>
      </c>
      <c r="F10052" s="490">
        <v>5300</v>
      </c>
      <c r="G10052" s="489">
        <v>128</v>
      </c>
      <c r="H10052" s="489">
        <v>41.40625</v>
      </c>
      <c r="I10052" s="487" t="s">
        <v>1499</v>
      </c>
      <c r="J10052" s="487" t="s">
        <v>703</v>
      </c>
    </row>
    <row r="10053" spans="1:10" ht="15" x14ac:dyDescent="0.2">
      <c r="A10053" s="486" t="s">
        <v>702</v>
      </c>
      <c r="B10053" s="487" t="s">
        <v>701</v>
      </c>
      <c r="C10053" s="488" t="s">
        <v>30938</v>
      </c>
      <c r="D10053" s="489" t="s">
        <v>30939</v>
      </c>
      <c r="E10053" s="487" t="s">
        <v>30940</v>
      </c>
      <c r="F10053" s="490">
        <v>4950</v>
      </c>
      <c r="G10053" s="489">
        <v>136</v>
      </c>
      <c r="H10053" s="489">
        <v>36.397060000000003</v>
      </c>
      <c r="I10053" s="487" t="s">
        <v>1499</v>
      </c>
      <c r="J10053" s="487" t="s">
        <v>703</v>
      </c>
    </row>
    <row r="10054" spans="1:10" ht="15" x14ac:dyDescent="0.2">
      <c r="A10054" s="486" t="s">
        <v>702</v>
      </c>
      <c r="B10054" s="487" t="s">
        <v>701</v>
      </c>
      <c r="C10054" s="488" t="s">
        <v>30941</v>
      </c>
      <c r="D10054" s="489" t="s">
        <v>30942</v>
      </c>
      <c r="E10054" s="487" t="s">
        <v>30943</v>
      </c>
      <c r="F10054" s="490">
        <v>50000</v>
      </c>
      <c r="G10054" s="489">
        <v>1683</v>
      </c>
      <c r="H10054" s="489">
        <v>29.708850000000002</v>
      </c>
      <c r="I10054" s="487" t="s">
        <v>1499</v>
      </c>
      <c r="J10054" s="487" t="s">
        <v>703</v>
      </c>
    </row>
    <row r="10055" spans="1:10" ht="15" x14ac:dyDescent="0.2">
      <c r="A10055" s="486" t="s">
        <v>702</v>
      </c>
      <c r="B10055" s="487" t="s">
        <v>701</v>
      </c>
      <c r="C10055" s="488" t="s">
        <v>30944</v>
      </c>
      <c r="D10055" s="489" t="s">
        <v>30945</v>
      </c>
      <c r="E10055" s="487" t="s">
        <v>30946</v>
      </c>
      <c r="F10055" s="490">
        <v>175000</v>
      </c>
      <c r="G10055" s="489">
        <v>2062</v>
      </c>
      <c r="H10055" s="489">
        <v>84.869060000000005</v>
      </c>
      <c r="I10055" s="487" t="s">
        <v>1499</v>
      </c>
      <c r="J10055" s="487" t="s">
        <v>703</v>
      </c>
    </row>
    <row r="10056" spans="1:10" ht="15" x14ac:dyDescent="0.2">
      <c r="A10056" s="486" t="s">
        <v>702</v>
      </c>
      <c r="B10056" s="487" t="s">
        <v>701</v>
      </c>
      <c r="C10056" s="488" t="s">
        <v>30947</v>
      </c>
      <c r="D10056" s="489" t="s">
        <v>30948</v>
      </c>
      <c r="E10056" s="487" t="s">
        <v>30949</v>
      </c>
      <c r="F10056" s="490">
        <v>0</v>
      </c>
      <c r="G10056" s="489">
        <v>0</v>
      </c>
      <c r="H10056" s="489">
        <v>0</v>
      </c>
      <c r="I10056" s="487" t="s">
        <v>2465</v>
      </c>
      <c r="J10056" s="487" t="s">
        <v>703</v>
      </c>
    </row>
    <row r="10057" spans="1:10" ht="15" x14ac:dyDescent="0.2">
      <c r="A10057" s="486" t="s">
        <v>702</v>
      </c>
      <c r="B10057" s="487" t="s">
        <v>701</v>
      </c>
      <c r="C10057" s="488" t="s">
        <v>30950</v>
      </c>
      <c r="D10057" s="489" t="s">
        <v>30951</v>
      </c>
      <c r="E10057" s="487" t="s">
        <v>30952</v>
      </c>
      <c r="F10057" s="490">
        <v>46096</v>
      </c>
      <c r="G10057" s="489">
        <v>772</v>
      </c>
      <c r="H10057" s="489">
        <v>59.70984</v>
      </c>
      <c r="I10057" s="487" t="s">
        <v>1499</v>
      </c>
      <c r="J10057" s="487" t="s">
        <v>703</v>
      </c>
    </row>
    <row r="10058" spans="1:10" ht="15" x14ac:dyDescent="0.2">
      <c r="A10058" s="486" t="s">
        <v>702</v>
      </c>
      <c r="B10058" s="487" t="s">
        <v>701</v>
      </c>
      <c r="C10058" s="488" t="s">
        <v>30953</v>
      </c>
      <c r="D10058" s="489" t="s">
        <v>30954</v>
      </c>
      <c r="E10058" s="487" t="s">
        <v>30955</v>
      </c>
      <c r="F10058" s="490">
        <v>20000</v>
      </c>
      <c r="G10058" s="489">
        <v>265</v>
      </c>
      <c r="H10058" s="489">
        <v>75.471699999999998</v>
      </c>
      <c r="I10058" s="487" t="s">
        <v>1499</v>
      </c>
      <c r="J10058" s="487" t="s">
        <v>703</v>
      </c>
    </row>
    <row r="10059" spans="1:10" ht="15" x14ac:dyDescent="0.2">
      <c r="A10059" s="486" t="s">
        <v>702</v>
      </c>
      <c r="B10059" s="487" t="s">
        <v>701</v>
      </c>
      <c r="C10059" s="488" t="s">
        <v>30956</v>
      </c>
      <c r="D10059" s="489" t="s">
        <v>30957</v>
      </c>
      <c r="E10059" s="487" t="s">
        <v>30958</v>
      </c>
      <c r="F10059" s="490">
        <v>800</v>
      </c>
      <c r="G10059" s="489">
        <v>83</v>
      </c>
      <c r="H10059" s="489">
        <v>9.6385500000000004</v>
      </c>
      <c r="I10059" s="487" t="s">
        <v>1499</v>
      </c>
      <c r="J10059" s="487" t="s">
        <v>703</v>
      </c>
    </row>
    <row r="10060" spans="1:10" ht="15" x14ac:dyDescent="0.2">
      <c r="A10060" s="486" t="s">
        <v>702</v>
      </c>
      <c r="B10060" s="487" t="s">
        <v>701</v>
      </c>
      <c r="C10060" s="488" t="s">
        <v>30959</v>
      </c>
      <c r="D10060" s="489" t="s">
        <v>30960</v>
      </c>
      <c r="E10060" s="487" t="s">
        <v>14014</v>
      </c>
      <c r="F10060" s="490">
        <v>295000</v>
      </c>
      <c r="G10060" s="489">
        <v>4807</v>
      </c>
      <c r="H10060" s="489">
        <v>61.368839999999999</v>
      </c>
      <c r="I10060" s="487" t="s">
        <v>1499</v>
      </c>
      <c r="J10060" s="487" t="s">
        <v>703</v>
      </c>
    </row>
    <row r="10061" spans="1:10" ht="15" x14ac:dyDescent="0.2">
      <c r="A10061" s="486" t="s">
        <v>702</v>
      </c>
      <c r="B10061" s="487" t="s">
        <v>701</v>
      </c>
      <c r="C10061" s="488" t="s">
        <v>30961</v>
      </c>
      <c r="D10061" s="489" t="s">
        <v>30962</v>
      </c>
      <c r="E10061" s="487" t="s">
        <v>30963</v>
      </c>
      <c r="F10061" s="490">
        <v>7665</v>
      </c>
      <c r="G10061" s="489">
        <v>114</v>
      </c>
      <c r="H10061" s="489">
        <v>67.236840000000001</v>
      </c>
      <c r="I10061" s="487" t="s">
        <v>1499</v>
      </c>
      <c r="J10061" s="487" t="s">
        <v>703</v>
      </c>
    </row>
    <row r="10062" spans="1:10" ht="15" x14ac:dyDescent="0.2">
      <c r="A10062" s="486" t="s">
        <v>702</v>
      </c>
      <c r="B10062" s="487" t="s">
        <v>701</v>
      </c>
      <c r="C10062" s="488" t="s">
        <v>30964</v>
      </c>
      <c r="D10062" s="489" t="s">
        <v>30965</v>
      </c>
      <c r="E10062" s="487" t="s">
        <v>30966</v>
      </c>
      <c r="F10062" s="490">
        <v>5500</v>
      </c>
      <c r="G10062" s="489">
        <v>139</v>
      </c>
      <c r="H10062" s="489">
        <v>39.568350000000002</v>
      </c>
      <c r="I10062" s="487" t="s">
        <v>1499</v>
      </c>
      <c r="J10062" s="487" t="s">
        <v>703</v>
      </c>
    </row>
    <row r="10063" spans="1:10" ht="15" x14ac:dyDescent="0.2">
      <c r="A10063" s="486" t="s">
        <v>702</v>
      </c>
      <c r="B10063" s="487" t="s">
        <v>701</v>
      </c>
      <c r="C10063" s="488" t="s">
        <v>30967</v>
      </c>
      <c r="D10063" s="489" t="s">
        <v>30968</v>
      </c>
      <c r="E10063" s="487" t="s">
        <v>30969</v>
      </c>
      <c r="F10063" s="490">
        <v>5900</v>
      </c>
      <c r="G10063" s="489">
        <v>99</v>
      </c>
      <c r="H10063" s="489">
        <v>59.595959999999998</v>
      </c>
      <c r="I10063" s="487" t="s">
        <v>1499</v>
      </c>
      <c r="J10063" s="487" t="s">
        <v>703</v>
      </c>
    </row>
    <row r="10064" spans="1:10" ht="15" x14ac:dyDescent="0.2">
      <c r="A10064" s="486" t="s">
        <v>702</v>
      </c>
      <c r="B10064" s="487" t="s">
        <v>701</v>
      </c>
      <c r="C10064" s="488" t="s">
        <v>30970</v>
      </c>
      <c r="D10064" s="489" t="s">
        <v>30971</v>
      </c>
      <c r="E10064" s="487" t="s">
        <v>30972</v>
      </c>
      <c r="F10064" s="490">
        <v>0</v>
      </c>
      <c r="G10064" s="489">
        <v>0</v>
      </c>
      <c r="H10064" s="489">
        <v>0</v>
      </c>
      <c r="I10064" s="487" t="s">
        <v>2465</v>
      </c>
      <c r="J10064" s="487" t="s">
        <v>703</v>
      </c>
    </row>
    <row r="10065" spans="1:10" ht="15" x14ac:dyDescent="0.2">
      <c r="A10065" s="486" t="s">
        <v>702</v>
      </c>
      <c r="B10065" s="487" t="s">
        <v>701</v>
      </c>
      <c r="C10065" s="488" t="s">
        <v>30973</v>
      </c>
      <c r="D10065" s="489" t="s">
        <v>30974</v>
      </c>
      <c r="E10065" s="487" t="s">
        <v>30975</v>
      </c>
      <c r="F10065" s="490">
        <v>1726</v>
      </c>
      <c r="G10065" s="489">
        <v>60</v>
      </c>
      <c r="H10065" s="489">
        <v>28.766670000000001</v>
      </c>
      <c r="I10065" s="487" t="s">
        <v>1499</v>
      </c>
      <c r="J10065" s="487" t="s">
        <v>703</v>
      </c>
    </row>
    <row r="10066" spans="1:10" ht="15" x14ac:dyDescent="0.2">
      <c r="A10066" s="486" t="s">
        <v>702</v>
      </c>
      <c r="B10066" s="487" t="s">
        <v>701</v>
      </c>
      <c r="C10066" s="488" t="s">
        <v>30976</v>
      </c>
      <c r="D10066" s="489" t="s">
        <v>30977</v>
      </c>
      <c r="E10066" s="487" t="s">
        <v>30978</v>
      </c>
      <c r="F10066" s="490">
        <v>0</v>
      </c>
      <c r="G10066" s="489">
        <v>71</v>
      </c>
      <c r="H10066" s="489">
        <v>0</v>
      </c>
      <c r="I10066" s="487" t="s">
        <v>1593</v>
      </c>
      <c r="J10066" s="487" t="s">
        <v>703</v>
      </c>
    </row>
    <row r="10067" spans="1:10" ht="15" x14ac:dyDescent="0.2">
      <c r="A10067" s="486" t="s">
        <v>702</v>
      </c>
      <c r="B10067" s="487" t="s">
        <v>701</v>
      </c>
      <c r="C10067" s="488" t="s">
        <v>30979</v>
      </c>
      <c r="D10067" s="489" t="s">
        <v>30980</v>
      </c>
      <c r="E10067" s="487" t="s">
        <v>30981</v>
      </c>
      <c r="F10067" s="490">
        <v>6346</v>
      </c>
      <c r="G10067" s="489">
        <v>337</v>
      </c>
      <c r="H10067" s="489">
        <v>18.830860000000001</v>
      </c>
      <c r="I10067" s="487" t="s">
        <v>2465</v>
      </c>
      <c r="J10067" s="487" t="s">
        <v>703</v>
      </c>
    </row>
    <row r="10068" spans="1:10" ht="15" x14ac:dyDescent="0.2">
      <c r="A10068" s="486" t="s">
        <v>702</v>
      </c>
      <c r="B10068" s="487" t="s">
        <v>701</v>
      </c>
      <c r="C10068" s="488" t="s">
        <v>30982</v>
      </c>
      <c r="D10068" s="489" t="s">
        <v>30983</v>
      </c>
      <c r="E10068" s="487" t="s">
        <v>11505</v>
      </c>
      <c r="F10068" s="490">
        <v>58660</v>
      </c>
      <c r="G10068" s="489">
        <v>1406</v>
      </c>
      <c r="H10068" s="489">
        <v>41.72119</v>
      </c>
      <c r="I10068" s="487" t="s">
        <v>1499</v>
      </c>
      <c r="J10068" s="487" t="s">
        <v>703</v>
      </c>
    </row>
    <row r="10069" spans="1:10" ht="15" x14ac:dyDescent="0.2">
      <c r="A10069" s="486" t="s">
        <v>702</v>
      </c>
      <c r="B10069" s="487" t="s">
        <v>701</v>
      </c>
      <c r="C10069" s="488" t="s">
        <v>30984</v>
      </c>
      <c r="D10069" s="489" t="s">
        <v>30985</v>
      </c>
      <c r="E10069" s="487" t="s">
        <v>30986</v>
      </c>
      <c r="F10069" s="490">
        <v>1400</v>
      </c>
      <c r="G10069" s="489">
        <v>66</v>
      </c>
      <c r="H10069" s="489">
        <v>21.212119999999999</v>
      </c>
      <c r="I10069" s="487" t="s">
        <v>1499</v>
      </c>
      <c r="J10069" s="487" t="s">
        <v>703</v>
      </c>
    </row>
    <row r="10070" spans="1:10" ht="15" x14ac:dyDescent="0.2">
      <c r="A10070" s="486" t="s">
        <v>702</v>
      </c>
      <c r="B10070" s="487" t="s">
        <v>701</v>
      </c>
      <c r="C10070" s="488" t="s">
        <v>30987</v>
      </c>
      <c r="D10070" s="489" t="s">
        <v>30988</v>
      </c>
      <c r="E10070" s="487" t="s">
        <v>30989</v>
      </c>
      <c r="F10070" s="490">
        <v>262000</v>
      </c>
      <c r="G10070" s="489">
        <v>3888</v>
      </c>
      <c r="H10070" s="489">
        <v>67.386830000000003</v>
      </c>
      <c r="I10070" s="487" t="s">
        <v>1499</v>
      </c>
      <c r="J10070" s="487" t="s">
        <v>703</v>
      </c>
    </row>
    <row r="10071" spans="1:10" ht="15" x14ac:dyDescent="0.2">
      <c r="A10071" s="486" t="s">
        <v>702</v>
      </c>
      <c r="B10071" s="487" t="s">
        <v>701</v>
      </c>
      <c r="C10071" s="488" t="s">
        <v>30990</v>
      </c>
      <c r="D10071" s="489" t="s">
        <v>30991</v>
      </c>
      <c r="E10071" s="487" t="s">
        <v>30992</v>
      </c>
      <c r="F10071" s="490">
        <v>218424</v>
      </c>
      <c r="G10071" s="489">
        <v>3961</v>
      </c>
      <c r="H10071" s="489">
        <v>55.143650000000001</v>
      </c>
      <c r="I10071" s="487" t="s">
        <v>1499</v>
      </c>
      <c r="J10071" s="487" t="s">
        <v>703</v>
      </c>
    </row>
    <row r="10072" spans="1:10" ht="15" x14ac:dyDescent="0.2">
      <c r="A10072" s="486" t="s">
        <v>702</v>
      </c>
      <c r="B10072" s="487" t="s">
        <v>701</v>
      </c>
      <c r="C10072" s="488" t="s">
        <v>30993</v>
      </c>
      <c r="D10072" s="489" t="s">
        <v>30994</v>
      </c>
      <c r="E10072" s="487" t="s">
        <v>22022</v>
      </c>
      <c r="F10072" s="490">
        <v>277939</v>
      </c>
      <c r="G10072" s="489">
        <v>1348</v>
      </c>
      <c r="H10072" s="489">
        <v>206.18620000000001</v>
      </c>
      <c r="I10072" s="487" t="s">
        <v>1499</v>
      </c>
      <c r="J10072" s="487" t="s">
        <v>703</v>
      </c>
    </row>
    <row r="10073" spans="1:10" ht="15" x14ac:dyDescent="0.2">
      <c r="A10073" s="486" t="s">
        <v>702</v>
      </c>
      <c r="B10073" s="487" t="s">
        <v>701</v>
      </c>
      <c r="C10073" s="488" t="s">
        <v>30995</v>
      </c>
      <c r="D10073" s="489" t="s">
        <v>30996</v>
      </c>
      <c r="E10073" s="487" t="s">
        <v>6237</v>
      </c>
      <c r="F10073" s="490">
        <v>8168</v>
      </c>
      <c r="G10073" s="489">
        <v>120</v>
      </c>
      <c r="H10073" s="489">
        <v>68.066670000000002</v>
      </c>
      <c r="I10073" s="487" t="s">
        <v>1499</v>
      </c>
      <c r="J10073" s="487" t="s">
        <v>703</v>
      </c>
    </row>
    <row r="10074" spans="1:10" ht="15" x14ac:dyDescent="0.2">
      <c r="A10074" s="486" t="s">
        <v>702</v>
      </c>
      <c r="B10074" s="487" t="s">
        <v>701</v>
      </c>
      <c r="C10074" s="488" t="s">
        <v>30997</v>
      </c>
      <c r="D10074" s="489" t="s">
        <v>30998</v>
      </c>
      <c r="E10074" s="487" t="s">
        <v>30999</v>
      </c>
      <c r="F10074" s="490">
        <v>9096</v>
      </c>
      <c r="G10074" s="489">
        <v>192</v>
      </c>
      <c r="H10074" s="489">
        <v>47.375</v>
      </c>
      <c r="I10074" s="487" t="s">
        <v>1499</v>
      </c>
      <c r="J10074" s="487" t="s">
        <v>703</v>
      </c>
    </row>
    <row r="10075" spans="1:10" ht="15" x14ac:dyDescent="0.2">
      <c r="A10075" s="486" t="s">
        <v>702</v>
      </c>
      <c r="B10075" s="487" t="s">
        <v>701</v>
      </c>
      <c r="C10075" s="488" t="s">
        <v>31000</v>
      </c>
      <c r="D10075" s="489" t="s">
        <v>31001</v>
      </c>
      <c r="E10075" s="487" t="s">
        <v>31002</v>
      </c>
      <c r="F10075" s="490">
        <v>881701</v>
      </c>
      <c r="G10075" s="489">
        <v>4477</v>
      </c>
      <c r="H10075" s="489">
        <v>196.94014000000001</v>
      </c>
      <c r="I10075" s="487" t="s">
        <v>1499</v>
      </c>
      <c r="J10075" s="487" t="s">
        <v>703</v>
      </c>
    </row>
    <row r="10076" spans="1:10" ht="15" x14ac:dyDescent="0.2">
      <c r="A10076" s="486" t="s">
        <v>702</v>
      </c>
      <c r="B10076" s="487" t="s">
        <v>701</v>
      </c>
      <c r="C10076" s="488" t="s">
        <v>31003</v>
      </c>
      <c r="D10076" s="489" t="s">
        <v>31004</v>
      </c>
      <c r="E10076" s="487" t="s">
        <v>31005</v>
      </c>
      <c r="F10076" s="490">
        <v>3000</v>
      </c>
      <c r="G10076" s="489">
        <v>76</v>
      </c>
      <c r="H10076" s="489">
        <v>39.473680000000002</v>
      </c>
      <c r="I10076" s="487" t="s">
        <v>1499</v>
      </c>
      <c r="J10076" s="487" t="s">
        <v>703</v>
      </c>
    </row>
    <row r="10077" spans="1:10" ht="15" x14ac:dyDescent="0.2">
      <c r="A10077" s="486" t="s">
        <v>702</v>
      </c>
      <c r="B10077" s="487" t="s">
        <v>701</v>
      </c>
      <c r="C10077" s="488" t="s">
        <v>31006</v>
      </c>
      <c r="D10077" s="489" t="s">
        <v>31007</v>
      </c>
      <c r="E10077" s="487" t="s">
        <v>31008</v>
      </c>
      <c r="F10077" s="490">
        <v>136373</v>
      </c>
      <c r="G10077" s="489">
        <v>2118</v>
      </c>
      <c r="H10077" s="489">
        <v>64.387630000000001</v>
      </c>
      <c r="I10077" s="487" t="s">
        <v>1499</v>
      </c>
      <c r="J10077" s="487" t="s">
        <v>703</v>
      </c>
    </row>
    <row r="10078" spans="1:10" ht="15" x14ac:dyDescent="0.2">
      <c r="A10078" s="486" t="s">
        <v>702</v>
      </c>
      <c r="B10078" s="487" t="s">
        <v>701</v>
      </c>
      <c r="C10078" s="488" t="s">
        <v>31009</v>
      </c>
      <c r="D10078" s="489" t="s">
        <v>31010</v>
      </c>
      <c r="E10078" s="487" t="s">
        <v>31011</v>
      </c>
      <c r="F10078" s="490">
        <v>22000</v>
      </c>
      <c r="G10078" s="489">
        <v>394</v>
      </c>
      <c r="H10078" s="489">
        <v>55.837560000000003</v>
      </c>
      <c r="I10078" s="487" t="s">
        <v>1499</v>
      </c>
      <c r="J10078" s="487" t="s">
        <v>703</v>
      </c>
    </row>
    <row r="10079" spans="1:10" ht="15" x14ac:dyDescent="0.2">
      <c r="A10079" s="486" t="s">
        <v>702</v>
      </c>
      <c r="B10079" s="487" t="s">
        <v>701</v>
      </c>
      <c r="C10079" s="488" t="s">
        <v>31012</v>
      </c>
      <c r="D10079" s="489" t="s">
        <v>31013</v>
      </c>
      <c r="E10079" s="487" t="s">
        <v>31014</v>
      </c>
      <c r="F10079" s="490">
        <v>55000</v>
      </c>
      <c r="G10079" s="489">
        <v>1161</v>
      </c>
      <c r="H10079" s="489">
        <v>47.372950000000003</v>
      </c>
      <c r="I10079" s="487" t="s">
        <v>1499</v>
      </c>
      <c r="J10079" s="487" t="s">
        <v>703</v>
      </c>
    </row>
    <row r="10080" spans="1:10" ht="15" x14ac:dyDescent="0.2">
      <c r="A10080" s="486" t="s">
        <v>1137</v>
      </c>
      <c r="B10080" s="487" t="s">
        <v>1136</v>
      </c>
      <c r="C10080" s="488" t="s">
        <v>31015</v>
      </c>
      <c r="D10080" s="489" t="s">
        <v>31016</v>
      </c>
      <c r="E10080" s="487" t="s">
        <v>31017</v>
      </c>
      <c r="F10080" s="490">
        <v>439903</v>
      </c>
      <c r="G10080" s="489">
        <v>4471.0200000000004</v>
      </c>
      <c r="H10080" s="489">
        <v>98.389849999999996</v>
      </c>
      <c r="I10080" s="487" t="s">
        <v>1499</v>
      </c>
      <c r="J10080" s="487" t="s">
        <v>1138</v>
      </c>
    </row>
    <row r="10081" spans="1:10" ht="15" x14ac:dyDescent="0.2">
      <c r="A10081" s="486" t="s">
        <v>1137</v>
      </c>
      <c r="B10081" s="487" t="s">
        <v>1136</v>
      </c>
      <c r="C10081" s="488" t="s">
        <v>31018</v>
      </c>
      <c r="D10081" s="489" t="s">
        <v>31019</v>
      </c>
      <c r="E10081" s="487" t="s">
        <v>11579</v>
      </c>
      <c r="F10081" s="490">
        <v>189580</v>
      </c>
      <c r="G10081" s="489">
        <v>2308.5700000000002</v>
      </c>
      <c r="H10081" s="489">
        <v>82.120099999999994</v>
      </c>
      <c r="I10081" s="487" t="s">
        <v>1499</v>
      </c>
      <c r="J10081" s="487" t="s">
        <v>1138</v>
      </c>
    </row>
    <row r="10082" spans="1:10" ht="15" x14ac:dyDescent="0.2">
      <c r="A10082" s="486" t="s">
        <v>1137</v>
      </c>
      <c r="B10082" s="487" t="s">
        <v>1136</v>
      </c>
      <c r="C10082" s="488" t="s">
        <v>31020</v>
      </c>
      <c r="D10082" s="489" t="s">
        <v>31021</v>
      </c>
      <c r="E10082" s="487" t="s">
        <v>31022</v>
      </c>
      <c r="F10082" s="490">
        <v>99377</v>
      </c>
      <c r="G10082" s="489">
        <v>1244.24</v>
      </c>
      <c r="H10082" s="489">
        <v>79.869640000000004</v>
      </c>
      <c r="I10082" s="487" t="s">
        <v>1499</v>
      </c>
      <c r="J10082" s="487" t="s">
        <v>1138</v>
      </c>
    </row>
    <row r="10083" spans="1:10" ht="15" x14ac:dyDescent="0.2">
      <c r="A10083" s="486" t="s">
        <v>1137</v>
      </c>
      <c r="B10083" s="487" t="s">
        <v>1136</v>
      </c>
      <c r="C10083" s="488" t="s">
        <v>31023</v>
      </c>
      <c r="D10083" s="489" t="s">
        <v>31024</v>
      </c>
      <c r="E10083" s="487" t="s">
        <v>31025</v>
      </c>
      <c r="F10083" s="490">
        <v>532197.6</v>
      </c>
      <c r="G10083" s="489">
        <v>2358.11</v>
      </c>
      <c r="H10083" s="489">
        <v>225.68819999999999</v>
      </c>
      <c r="I10083" s="487" t="s">
        <v>1499</v>
      </c>
      <c r="J10083" s="487" t="s">
        <v>1138</v>
      </c>
    </row>
    <row r="10084" spans="1:10" ht="15" x14ac:dyDescent="0.2">
      <c r="A10084" s="486" t="s">
        <v>1137</v>
      </c>
      <c r="B10084" s="487" t="s">
        <v>1136</v>
      </c>
      <c r="C10084" s="488" t="s">
        <v>31026</v>
      </c>
      <c r="D10084" s="489" t="s">
        <v>31027</v>
      </c>
      <c r="E10084" s="487" t="s">
        <v>31028</v>
      </c>
      <c r="F10084" s="490">
        <v>86955</v>
      </c>
      <c r="G10084" s="489">
        <v>580.53</v>
      </c>
      <c r="H10084" s="489">
        <v>149.78554</v>
      </c>
      <c r="I10084" s="487" t="s">
        <v>1499</v>
      </c>
      <c r="J10084" s="487" t="s">
        <v>1138</v>
      </c>
    </row>
    <row r="10085" spans="1:10" ht="15" x14ac:dyDescent="0.2">
      <c r="A10085" s="486" t="s">
        <v>1137</v>
      </c>
      <c r="B10085" s="487" t="s">
        <v>1136</v>
      </c>
      <c r="C10085" s="488" t="s">
        <v>31029</v>
      </c>
      <c r="D10085" s="489" t="s">
        <v>31030</v>
      </c>
      <c r="E10085" s="487" t="s">
        <v>16364</v>
      </c>
      <c r="F10085" s="490">
        <v>230958</v>
      </c>
      <c r="G10085" s="489">
        <v>2743.26</v>
      </c>
      <c r="H10085" s="489">
        <v>84.191069999999996</v>
      </c>
      <c r="I10085" s="487" t="s">
        <v>1499</v>
      </c>
      <c r="J10085" s="487" t="s">
        <v>1138</v>
      </c>
    </row>
    <row r="10086" spans="1:10" ht="15" x14ac:dyDescent="0.2">
      <c r="A10086" s="486" t="s">
        <v>1137</v>
      </c>
      <c r="B10086" s="487" t="s">
        <v>1136</v>
      </c>
      <c r="C10086" s="488" t="s">
        <v>31031</v>
      </c>
      <c r="D10086" s="489" t="s">
        <v>31032</v>
      </c>
      <c r="E10086" s="487" t="s">
        <v>31033</v>
      </c>
      <c r="F10086" s="490">
        <v>326933</v>
      </c>
      <c r="G10086" s="489">
        <v>2686.47</v>
      </c>
      <c r="H10086" s="489">
        <v>121.69613</v>
      </c>
      <c r="I10086" s="487" t="s">
        <v>1499</v>
      </c>
      <c r="J10086" s="487" t="s">
        <v>1138</v>
      </c>
    </row>
    <row r="10087" spans="1:10" ht="15" x14ac:dyDescent="0.2">
      <c r="A10087" s="486" t="s">
        <v>1137</v>
      </c>
      <c r="B10087" s="487" t="s">
        <v>1136</v>
      </c>
      <c r="C10087" s="488" t="s">
        <v>31034</v>
      </c>
      <c r="D10087" s="489" t="s">
        <v>31035</v>
      </c>
      <c r="E10087" s="487" t="s">
        <v>31036</v>
      </c>
      <c r="F10087" s="490">
        <v>12000</v>
      </c>
      <c r="G10087" s="489">
        <v>183.48</v>
      </c>
      <c r="H10087" s="489">
        <v>65.40222</v>
      </c>
      <c r="I10087" s="487" t="s">
        <v>1499</v>
      </c>
      <c r="J10087" s="487" t="s">
        <v>1138</v>
      </c>
    </row>
    <row r="10088" spans="1:10" ht="15" x14ac:dyDescent="0.2">
      <c r="A10088" s="486" t="s">
        <v>1137</v>
      </c>
      <c r="B10088" s="487" t="s">
        <v>1136</v>
      </c>
      <c r="C10088" s="488" t="s">
        <v>31037</v>
      </c>
      <c r="D10088" s="489" t="s">
        <v>31038</v>
      </c>
      <c r="E10088" s="487" t="s">
        <v>31039</v>
      </c>
      <c r="F10088" s="490">
        <v>0</v>
      </c>
      <c r="G10088" s="489">
        <v>42.45</v>
      </c>
      <c r="H10088" s="489">
        <v>0</v>
      </c>
      <c r="I10088" s="487" t="s">
        <v>1593</v>
      </c>
      <c r="J10088" s="487" t="s">
        <v>1138</v>
      </c>
    </row>
    <row r="10089" spans="1:10" ht="15" x14ac:dyDescent="0.2">
      <c r="A10089" s="486" t="s">
        <v>1137</v>
      </c>
      <c r="B10089" s="487" t="s">
        <v>1136</v>
      </c>
      <c r="C10089" s="488" t="s">
        <v>31040</v>
      </c>
      <c r="D10089" s="489" t="s">
        <v>31041</v>
      </c>
      <c r="E10089" s="487" t="s">
        <v>31042</v>
      </c>
      <c r="F10089" s="490">
        <v>84000</v>
      </c>
      <c r="G10089" s="489">
        <v>741.41</v>
      </c>
      <c r="H10089" s="489">
        <v>113.29764</v>
      </c>
      <c r="I10089" s="487" t="s">
        <v>1499</v>
      </c>
      <c r="J10089" s="487" t="s">
        <v>1138</v>
      </c>
    </row>
    <row r="10090" spans="1:10" ht="15" x14ac:dyDescent="0.2">
      <c r="A10090" s="486" t="s">
        <v>1137</v>
      </c>
      <c r="B10090" s="487" t="s">
        <v>1136</v>
      </c>
      <c r="C10090" s="488" t="s">
        <v>31043</v>
      </c>
      <c r="D10090" s="489" t="s">
        <v>31044</v>
      </c>
      <c r="E10090" s="487" t="s">
        <v>31045</v>
      </c>
      <c r="F10090" s="490">
        <v>13265.3</v>
      </c>
      <c r="G10090" s="489">
        <v>248.37</v>
      </c>
      <c r="H10090" s="489">
        <v>53.40943</v>
      </c>
      <c r="I10090" s="487" t="s">
        <v>1499</v>
      </c>
      <c r="J10090" s="487" t="s">
        <v>1138</v>
      </c>
    </row>
    <row r="10091" spans="1:10" ht="15" x14ac:dyDescent="0.2">
      <c r="A10091" s="486" t="s">
        <v>1137</v>
      </c>
      <c r="B10091" s="487" t="s">
        <v>1136</v>
      </c>
      <c r="C10091" s="488" t="s">
        <v>31046</v>
      </c>
      <c r="D10091" s="489" t="s">
        <v>31047</v>
      </c>
      <c r="E10091" s="487" t="s">
        <v>31048</v>
      </c>
      <c r="F10091" s="490">
        <v>0</v>
      </c>
      <c r="G10091" s="489">
        <v>55.04</v>
      </c>
      <c r="H10091" s="489">
        <v>0</v>
      </c>
      <c r="I10091" s="487" t="s">
        <v>1593</v>
      </c>
      <c r="J10091" s="487" t="s">
        <v>1138</v>
      </c>
    </row>
    <row r="10092" spans="1:10" ht="15" x14ac:dyDescent="0.2">
      <c r="A10092" s="486" t="s">
        <v>1137</v>
      </c>
      <c r="B10092" s="487" t="s">
        <v>1136</v>
      </c>
      <c r="C10092" s="488" t="s">
        <v>31049</v>
      </c>
      <c r="D10092" s="489" t="s">
        <v>31050</v>
      </c>
      <c r="E10092" s="487" t="s">
        <v>31051</v>
      </c>
      <c r="F10092" s="490">
        <v>1600</v>
      </c>
      <c r="G10092" s="489">
        <v>78.819999999999993</v>
      </c>
      <c r="H10092" s="489">
        <v>20.299420000000001</v>
      </c>
      <c r="I10092" s="487" t="s">
        <v>1499</v>
      </c>
      <c r="J10092" s="487" t="s">
        <v>1138</v>
      </c>
    </row>
    <row r="10093" spans="1:10" ht="15" x14ac:dyDescent="0.2">
      <c r="A10093" s="486" t="s">
        <v>1137</v>
      </c>
      <c r="B10093" s="487" t="s">
        <v>1136</v>
      </c>
      <c r="C10093" s="488" t="s">
        <v>31052</v>
      </c>
      <c r="D10093" s="489" t="s">
        <v>31053</v>
      </c>
      <c r="E10093" s="487" t="s">
        <v>31054</v>
      </c>
      <c r="F10093" s="490">
        <v>49500</v>
      </c>
      <c r="G10093" s="489">
        <v>463.47</v>
      </c>
      <c r="H10093" s="489">
        <v>106.80303000000001</v>
      </c>
      <c r="I10093" s="487" t="s">
        <v>1499</v>
      </c>
      <c r="J10093" s="487" t="s">
        <v>1138</v>
      </c>
    </row>
    <row r="10094" spans="1:10" ht="15" x14ac:dyDescent="0.2">
      <c r="A10094" s="486" t="s">
        <v>1137</v>
      </c>
      <c r="B10094" s="487" t="s">
        <v>1136</v>
      </c>
      <c r="C10094" s="488" t="s">
        <v>31055</v>
      </c>
      <c r="D10094" s="489" t="s">
        <v>31056</v>
      </c>
      <c r="E10094" s="487" t="s">
        <v>31057</v>
      </c>
      <c r="F10094" s="490">
        <v>8540</v>
      </c>
      <c r="G10094" s="489">
        <v>67.319999999999993</v>
      </c>
      <c r="H10094" s="489">
        <v>126.85680000000001</v>
      </c>
      <c r="I10094" s="487" t="s">
        <v>1499</v>
      </c>
      <c r="J10094" s="487" t="s">
        <v>1138</v>
      </c>
    </row>
    <row r="10095" spans="1:10" ht="15" x14ac:dyDescent="0.2">
      <c r="A10095" s="486" t="s">
        <v>1137</v>
      </c>
      <c r="B10095" s="487" t="s">
        <v>1136</v>
      </c>
      <c r="C10095" s="488" t="s">
        <v>31058</v>
      </c>
      <c r="D10095" s="489" t="s">
        <v>31059</v>
      </c>
      <c r="E10095" s="487" t="s">
        <v>4847</v>
      </c>
      <c r="F10095" s="490">
        <v>373046</v>
      </c>
      <c r="G10095" s="489">
        <v>4225.12</v>
      </c>
      <c r="H10095" s="489">
        <v>88.292400000000001</v>
      </c>
      <c r="I10095" s="487" t="s">
        <v>1499</v>
      </c>
      <c r="J10095" s="487" t="s">
        <v>1138</v>
      </c>
    </row>
    <row r="10096" spans="1:10" ht="15" x14ac:dyDescent="0.2">
      <c r="A10096" s="486" t="s">
        <v>1137</v>
      </c>
      <c r="B10096" s="487" t="s">
        <v>1136</v>
      </c>
      <c r="C10096" s="488" t="s">
        <v>31060</v>
      </c>
      <c r="D10096" s="489" t="s">
        <v>31061</v>
      </c>
      <c r="E10096" s="487" t="s">
        <v>31062</v>
      </c>
      <c r="F10096" s="490">
        <v>420767</v>
      </c>
      <c r="G10096" s="489">
        <v>2948.24</v>
      </c>
      <c r="H10096" s="489">
        <v>142.71803</v>
      </c>
      <c r="I10096" s="487" t="s">
        <v>1499</v>
      </c>
      <c r="J10096" s="487" t="s">
        <v>1138</v>
      </c>
    </row>
    <row r="10097" spans="1:10" ht="15" x14ac:dyDescent="0.2">
      <c r="A10097" s="486" t="s">
        <v>1137</v>
      </c>
      <c r="B10097" s="487" t="s">
        <v>1136</v>
      </c>
      <c r="C10097" s="488" t="s">
        <v>31063</v>
      </c>
      <c r="D10097" s="489" t="s">
        <v>31064</v>
      </c>
      <c r="E10097" s="487" t="s">
        <v>31065</v>
      </c>
      <c r="F10097" s="490">
        <v>12932.33</v>
      </c>
      <c r="G10097" s="489">
        <v>204.55</v>
      </c>
      <c r="H10097" s="489">
        <v>63.223320000000001</v>
      </c>
      <c r="I10097" s="487" t="s">
        <v>1499</v>
      </c>
      <c r="J10097" s="487" t="s">
        <v>1138</v>
      </c>
    </row>
    <row r="10098" spans="1:10" ht="15" x14ac:dyDescent="0.2">
      <c r="A10098" s="486" t="s">
        <v>1137</v>
      </c>
      <c r="B10098" s="487" t="s">
        <v>1136</v>
      </c>
      <c r="C10098" s="488" t="s">
        <v>31066</v>
      </c>
      <c r="D10098" s="489" t="s">
        <v>31067</v>
      </c>
      <c r="E10098" s="487" t="s">
        <v>31068</v>
      </c>
      <c r="F10098" s="490">
        <v>53496.69</v>
      </c>
      <c r="G10098" s="489">
        <v>1029.1400000000001</v>
      </c>
      <c r="H10098" s="489">
        <v>51.981940000000002</v>
      </c>
      <c r="I10098" s="487" t="s">
        <v>1499</v>
      </c>
      <c r="J10098" s="487" t="s">
        <v>1138</v>
      </c>
    </row>
    <row r="10099" spans="1:10" ht="15" x14ac:dyDescent="0.2">
      <c r="A10099" s="486" t="s">
        <v>1137</v>
      </c>
      <c r="B10099" s="487" t="s">
        <v>1136</v>
      </c>
      <c r="C10099" s="488" t="s">
        <v>31069</v>
      </c>
      <c r="D10099" s="489" t="s">
        <v>31070</v>
      </c>
      <c r="E10099" s="487" t="s">
        <v>31071</v>
      </c>
      <c r="F10099" s="490">
        <v>15626</v>
      </c>
      <c r="G10099" s="489">
        <v>217.18</v>
      </c>
      <c r="H10099" s="489">
        <v>71.949529999999996</v>
      </c>
      <c r="I10099" s="487" t="s">
        <v>1499</v>
      </c>
      <c r="J10099" s="487" t="s">
        <v>1138</v>
      </c>
    </row>
    <row r="10100" spans="1:10" ht="15" x14ac:dyDescent="0.2">
      <c r="A10100" s="486" t="s">
        <v>1137</v>
      </c>
      <c r="B10100" s="487" t="s">
        <v>1136</v>
      </c>
      <c r="C10100" s="488" t="s">
        <v>31072</v>
      </c>
      <c r="D10100" s="489" t="s">
        <v>31073</v>
      </c>
      <c r="E10100" s="487" t="s">
        <v>31074</v>
      </c>
      <c r="F10100" s="490">
        <v>105000</v>
      </c>
      <c r="G10100" s="489">
        <v>906.82</v>
      </c>
      <c r="H10100" s="489">
        <v>115.78924000000001</v>
      </c>
      <c r="I10100" s="487" t="s">
        <v>1499</v>
      </c>
      <c r="J10100" s="487" t="s">
        <v>1138</v>
      </c>
    </row>
    <row r="10101" spans="1:10" ht="15" x14ac:dyDescent="0.2">
      <c r="A10101" s="486" t="s">
        <v>1137</v>
      </c>
      <c r="B10101" s="487" t="s">
        <v>1136</v>
      </c>
      <c r="C10101" s="488" t="s">
        <v>31075</v>
      </c>
      <c r="D10101" s="489" t="s">
        <v>31076</v>
      </c>
      <c r="E10101" s="487" t="s">
        <v>31077</v>
      </c>
      <c r="F10101" s="490">
        <v>213081</v>
      </c>
      <c r="G10101" s="489">
        <v>2139.44</v>
      </c>
      <c r="H10101" s="489">
        <v>99.596620000000001</v>
      </c>
      <c r="I10101" s="487" t="s">
        <v>1499</v>
      </c>
      <c r="J10101" s="487" t="s">
        <v>1138</v>
      </c>
    </row>
    <row r="10102" spans="1:10" ht="15" x14ac:dyDescent="0.2">
      <c r="A10102" s="486" t="s">
        <v>1137</v>
      </c>
      <c r="B10102" s="487" t="s">
        <v>1136</v>
      </c>
      <c r="C10102" s="488" t="s">
        <v>31078</v>
      </c>
      <c r="D10102" s="489" t="s">
        <v>31079</v>
      </c>
      <c r="E10102" s="487" t="s">
        <v>31080</v>
      </c>
      <c r="F10102" s="490">
        <v>68670</v>
      </c>
      <c r="G10102" s="489">
        <v>663.62</v>
      </c>
      <c r="H10102" s="489">
        <v>103.47789</v>
      </c>
      <c r="I10102" s="487" t="s">
        <v>1499</v>
      </c>
      <c r="J10102" s="487" t="s">
        <v>1138</v>
      </c>
    </row>
    <row r="10103" spans="1:10" ht="15" x14ac:dyDescent="0.2">
      <c r="A10103" s="486" t="s">
        <v>1137</v>
      </c>
      <c r="B10103" s="487" t="s">
        <v>1136</v>
      </c>
      <c r="C10103" s="488" t="s">
        <v>31081</v>
      </c>
      <c r="D10103" s="489" t="s">
        <v>31082</v>
      </c>
      <c r="E10103" s="487" t="s">
        <v>31083</v>
      </c>
      <c r="F10103" s="490">
        <v>70000</v>
      </c>
      <c r="G10103" s="489">
        <v>955.5</v>
      </c>
      <c r="H10103" s="489">
        <v>73.260069999999999</v>
      </c>
      <c r="I10103" s="487" t="s">
        <v>1499</v>
      </c>
      <c r="J10103" s="487" t="s">
        <v>1138</v>
      </c>
    </row>
    <row r="10104" spans="1:10" ht="15" x14ac:dyDescent="0.2">
      <c r="A10104" s="486" t="s">
        <v>1137</v>
      </c>
      <c r="B10104" s="487" t="s">
        <v>1136</v>
      </c>
      <c r="C10104" s="488" t="s">
        <v>31084</v>
      </c>
      <c r="D10104" s="489" t="s">
        <v>31085</v>
      </c>
      <c r="E10104" s="487" t="s">
        <v>31086</v>
      </c>
      <c r="F10104" s="490">
        <v>9091.2000000000007</v>
      </c>
      <c r="G10104" s="489">
        <v>69.8</v>
      </c>
      <c r="H10104" s="489">
        <v>130.24642</v>
      </c>
      <c r="I10104" s="487" t="s">
        <v>1499</v>
      </c>
      <c r="J10104" s="487" t="s">
        <v>1138</v>
      </c>
    </row>
    <row r="10105" spans="1:10" ht="15" x14ac:dyDescent="0.2">
      <c r="A10105" s="486" t="s">
        <v>1137</v>
      </c>
      <c r="B10105" s="487" t="s">
        <v>1136</v>
      </c>
      <c r="C10105" s="488" t="s">
        <v>31087</v>
      </c>
      <c r="D10105" s="489" t="s">
        <v>31088</v>
      </c>
      <c r="E10105" s="487" t="s">
        <v>31089</v>
      </c>
      <c r="F10105" s="490">
        <v>350000</v>
      </c>
      <c r="G10105" s="489">
        <v>2167.29</v>
      </c>
      <c r="H10105" s="489">
        <v>161.49199999999999</v>
      </c>
      <c r="I10105" s="487" t="s">
        <v>1499</v>
      </c>
      <c r="J10105" s="487" t="s">
        <v>1138</v>
      </c>
    </row>
    <row r="10106" spans="1:10" ht="15" x14ac:dyDescent="0.2">
      <c r="A10106" s="486" t="s">
        <v>1137</v>
      </c>
      <c r="B10106" s="487" t="s">
        <v>1136</v>
      </c>
      <c r="C10106" s="488" t="s">
        <v>31090</v>
      </c>
      <c r="D10106" s="489" t="s">
        <v>31091</v>
      </c>
      <c r="E10106" s="487" t="s">
        <v>1350</v>
      </c>
      <c r="F10106" s="490">
        <v>0</v>
      </c>
      <c r="G10106" s="489">
        <v>1661.16</v>
      </c>
      <c r="H10106" s="489">
        <v>0</v>
      </c>
      <c r="I10106" s="487" t="s">
        <v>1593</v>
      </c>
      <c r="J10106" s="487" t="s">
        <v>1138</v>
      </c>
    </row>
    <row r="10107" spans="1:10" ht="15" x14ac:dyDescent="0.2">
      <c r="A10107" s="486" t="s">
        <v>1137</v>
      </c>
      <c r="B10107" s="487" t="s">
        <v>1136</v>
      </c>
      <c r="C10107" s="488" t="s">
        <v>31092</v>
      </c>
      <c r="D10107" s="489" t="s">
        <v>31093</v>
      </c>
      <c r="E10107" s="487" t="s">
        <v>3431</v>
      </c>
      <c r="F10107" s="490">
        <v>25300</v>
      </c>
      <c r="G10107" s="489">
        <v>571.32000000000005</v>
      </c>
      <c r="H10107" s="489">
        <v>44.283410000000003</v>
      </c>
      <c r="I10107" s="487" t="s">
        <v>1499</v>
      </c>
      <c r="J10107" s="487" t="s">
        <v>1138</v>
      </c>
    </row>
    <row r="10108" spans="1:10" ht="15" x14ac:dyDescent="0.2">
      <c r="A10108" s="486" t="s">
        <v>1137</v>
      </c>
      <c r="B10108" s="487" t="s">
        <v>1136</v>
      </c>
      <c r="C10108" s="488" t="s">
        <v>31094</v>
      </c>
      <c r="D10108" s="489" t="s">
        <v>31095</v>
      </c>
      <c r="E10108" s="487" t="s">
        <v>27291</v>
      </c>
      <c r="F10108" s="490">
        <v>111913</v>
      </c>
      <c r="G10108" s="489">
        <v>1492.42</v>
      </c>
      <c r="H10108" s="489">
        <v>74.9876</v>
      </c>
      <c r="I10108" s="487" t="s">
        <v>1499</v>
      </c>
      <c r="J10108" s="487" t="s">
        <v>1138</v>
      </c>
    </row>
    <row r="10109" spans="1:10" ht="15" x14ac:dyDescent="0.2">
      <c r="A10109" s="486" t="s">
        <v>1137</v>
      </c>
      <c r="B10109" s="487" t="s">
        <v>1136</v>
      </c>
      <c r="C10109" s="488" t="s">
        <v>31096</v>
      </c>
      <c r="D10109" s="489" t="s">
        <v>31097</v>
      </c>
      <c r="E10109" s="487" t="s">
        <v>31098</v>
      </c>
      <c r="F10109" s="490">
        <v>250000</v>
      </c>
      <c r="G10109" s="489">
        <v>2956.87</v>
      </c>
      <c r="H10109" s="489">
        <v>84.548860000000005</v>
      </c>
      <c r="I10109" s="487" t="s">
        <v>1499</v>
      </c>
      <c r="J10109" s="487" t="s">
        <v>1138</v>
      </c>
    </row>
    <row r="10110" spans="1:10" ht="15" x14ac:dyDescent="0.2">
      <c r="A10110" s="486" t="s">
        <v>1137</v>
      </c>
      <c r="B10110" s="487" t="s">
        <v>1136</v>
      </c>
      <c r="C10110" s="488" t="s">
        <v>31099</v>
      </c>
      <c r="D10110" s="489" t="s">
        <v>31100</v>
      </c>
      <c r="E10110" s="487" t="s">
        <v>31101</v>
      </c>
      <c r="F10110" s="490">
        <v>81403</v>
      </c>
      <c r="G10110" s="489">
        <v>596.58000000000004</v>
      </c>
      <c r="H10110" s="489">
        <v>136.44943000000001</v>
      </c>
      <c r="I10110" s="487" t="s">
        <v>1499</v>
      </c>
      <c r="J10110" s="487" t="s">
        <v>1138</v>
      </c>
    </row>
    <row r="10111" spans="1:10" ht="15" x14ac:dyDescent="0.2">
      <c r="A10111" s="486" t="s">
        <v>1167</v>
      </c>
      <c r="B10111" s="487" t="s">
        <v>1166</v>
      </c>
      <c r="C10111" s="488" t="s">
        <v>31102</v>
      </c>
      <c r="D10111" s="489" t="s">
        <v>31103</v>
      </c>
      <c r="E10111" s="487" t="s">
        <v>2345</v>
      </c>
      <c r="F10111" s="490">
        <v>258931</v>
      </c>
      <c r="G10111" s="489">
        <v>6058.69</v>
      </c>
      <c r="H10111" s="489">
        <v>42.737130000000001</v>
      </c>
      <c r="I10111" s="487" t="s">
        <v>1499</v>
      </c>
      <c r="J10111" s="487" t="s">
        <v>1168</v>
      </c>
    </row>
    <row r="10112" spans="1:10" ht="15" x14ac:dyDescent="0.2">
      <c r="A10112" s="486" t="s">
        <v>1167</v>
      </c>
      <c r="B10112" s="487" t="s">
        <v>1166</v>
      </c>
      <c r="C10112" s="488" t="s">
        <v>31104</v>
      </c>
      <c r="D10112" s="489" t="s">
        <v>31105</v>
      </c>
      <c r="E10112" s="487" t="s">
        <v>31106</v>
      </c>
      <c r="F10112" s="490">
        <v>298807</v>
      </c>
      <c r="G10112" s="489">
        <v>9398.2000000000007</v>
      </c>
      <c r="H10112" s="489">
        <v>31.794070000000001</v>
      </c>
      <c r="I10112" s="487" t="s">
        <v>1499</v>
      </c>
      <c r="J10112" s="487" t="s">
        <v>1168</v>
      </c>
    </row>
    <row r="10113" spans="1:10" ht="15" x14ac:dyDescent="0.2">
      <c r="A10113" s="486" t="s">
        <v>1167</v>
      </c>
      <c r="B10113" s="487" t="s">
        <v>1166</v>
      </c>
      <c r="C10113" s="488" t="s">
        <v>31107</v>
      </c>
      <c r="D10113" s="489" t="s">
        <v>31108</v>
      </c>
      <c r="E10113" s="487" t="s">
        <v>31109</v>
      </c>
      <c r="F10113" s="490">
        <v>136902</v>
      </c>
      <c r="G10113" s="489">
        <v>3927.23</v>
      </c>
      <c r="H10113" s="489">
        <v>34.859679999999997</v>
      </c>
      <c r="I10113" s="487" t="s">
        <v>1499</v>
      </c>
      <c r="J10113" s="487" t="s">
        <v>1168</v>
      </c>
    </row>
    <row r="10114" spans="1:10" ht="15" x14ac:dyDescent="0.2">
      <c r="A10114" s="486" t="s">
        <v>801</v>
      </c>
      <c r="B10114" s="487" t="s">
        <v>800</v>
      </c>
      <c r="C10114" s="488" t="s">
        <v>31110</v>
      </c>
      <c r="D10114" s="489" t="s">
        <v>31111</v>
      </c>
      <c r="E10114" s="487" t="s">
        <v>31112</v>
      </c>
      <c r="F10114" s="490">
        <v>15548</v>
      </c>
      <c r="G10114" s="489">
        <v>1209.2</v>
      </c>
      <c r="H10114" s="489">
        <v>12.858090000000001</v>
      </c>
      <c r="I10114" s="487" t="s">
        <v>1499</v>
      </c>
      <c r="J10114" s="487" t="s">
        <v>802</v>
      </c>
    </row>
    <row r="10115" spans="1:10" ht="15" x14ac:dyDescent="0.2">
      <c r="A10115" s="486" t="s">
        <v>1010</v>
      </c>
      <c r="B10115" s="487" t="s">
        <v>1009</v>
      </c>
      <c r="C10115" s="488" t="s">
        <v>31113</v>
      </c>
      <c r="D10115" s="489" t="s">
        <v>31114</v>
      </c>
      <c r="E10115" s="487" t="s">
        <v>31115</v>
      </c>
      <c r="F10115" s="490">
        <v>40672</v>
      </c>
      <c r="G10115" s="489">
        <v>1366</v>
      </c>
      <c r="H10115" s="489">
        <v>29.774519999999999</v>
      </c>
      <c r="I10115" s="487" t="s">
        <v>1499</v>
      </c>
      <c r="J10115" s="487" t="s">
        <v>1011</v>
      </c>
    </row>
    <row r="10116" spans="1:10" ht="15" x14ac:dyDescent="0.2">
      <c r="A10116" s="486" t="s">
        <v>1010</v>
      </c>
      <c r="B10116" s="487" t="s">
        <v>1009</v>
      </c>
      <c r="C10116" s="488" t="s">
        <v>31116</v>
      </c>
      <c r="D10116" s="489" t="s">
        <v>31117</v>
      </c>
      <c r="E10116" s="487" t="s">
        <v>31118</v>
      </c>
      <c r="F10116" s="490">
        <v>6000</v>
      </c>
      <c r="G10116" s="489">
        <v>678</v>
      </c>
      <c r="H10116" s="489">
        <v>8.8495600000000003</v>
      </c>
      <c r="I10116" s="487" t="s">
        <v>1499</v>
      </c>
      <c r="J10116" s="487" t="s">
        <v>1011</v>
      </c>
    </row>
    <row r="10117" spans="1:10" ht="15" x14ac:dyDescent="0.2">
      <c r="A10117" s="486" t="s">
        <v>1010</v>
      </c>
      <c r="B10117" s="487" t="s">
        <v>1009</v>
      </c>
      <c r="C10117" s="488" t="s">
        <v>31119</v>
      </c>
      <c r="D10117" s="489" t="s">
        <v>31120</v>
      </c>
      <c r="E10117" s="487" t="s">
        <v>26070</v>
      </c>
      <c r="F10117" s="490">
        <v>12600</v>
      </c>
      <c r="G10117" s="489">
        <v>841</v>
      </c>
      <c r="H10117" s="489">
        <v>14.98216</v>
      </c>
      <c r="I10117" s="487" t="s">
        <v>1499</v>
      </c>
      <c r="J10117" s="487" t="s">
        <v>1011</v>
      </c>
    </row>
    <row r="10118" spans="1:10" ht="15" x14ac:dyDescent="0.2">
      <c r="A10118" s="486" t="s">
        <v>1010</v>
      </c>
      <c r="B10118" s="487" t="s">
        <v>1009</v>
      </c>
      <c r="C10118" s="488" t="s">
        <v>31121</v>
      </c>
      <c r="D10118" s="489" t="s">
        <v>31122</v>
      </c>
      <c r="E10118" s="487" t="s">
        <v>31123</v>
      </c>
      <c r="F10118" s="490">
        <v>7995</v>
      </c>
      <c r="G10118" s="489">
        <v>202</v>
      </c>
      <c r="H10118" s="489">
        <v>39.579210000000003</v>
      </c>
      <c r="I10118" s="487" t="s">
        <v>1499</v>
      </c>
      <c r="J10118" s="487" t="s">
        <v>1011</v>
      </c>
    </row>
    <row r="10119" spans="1:10" ht="15" x14ac:dyDescent="0.2">
      <c r="A10119" s="486" t="s">
        <v>1010</v>
      </c>
      <c r="B10119" s="487" t="s">
        <v>1009</v>
      </c>
      <c r="C10119" s="488" t="s">
        <v>31124</v>
      </c>
      <c r="D10119" s="489" t="s">
        <v>31125</v>
      </c>
      <c r="E10119" s="487" t="s">
        <v>31126</v>
      </c>
      <c r="F10119" s="490">
        <v>23000</v>
      </c>
      <c r="G10119" s="489">
        <v>2324</v>
      </c>
      <c r="H10119" s="489">
        <v>9.8967299999999998</v>
      </c>
      <c r="I10119" s="487" t="s">
        <v>1499</v>
      </c>
      <c r="J10119" s="487" t="s">
        <v>1011</v>
      </c>
    </row>
    <row r="10120" spans="1:10" ht="15" x14ac:dyDescent="0.2">
      <c r="A10120" s="486" t="s">
        <v>1010</v>
      </c>
      <c r="B10120" s="487" t="s">
        <v>1009</v>
      </c>
      <c r="C10120" s="488" t="s">
        <v>31127</v>
      </c>
      <c r="D10120" s="489" t="s">
        <v>31128</v>
      </c>
      <c r="E10120" s="487" t="s">
        <v>31129</v>
      </c>
      <c r="F10120" s="490">
        <v>20000</v>
      </c>
      <c r="G10120" s="489">
        <v>2848</v>
      </c>
      <c r="H10120" s="489">
        <v>7.0224700000000002</v>
      </c>
      <c r="I10120" s="487" t="s">
        <v>1499</v>
      </c>
      <c r="J10120" s="487" t="s">
        <v>1011</v>
      </c>
    </row>
    <row r="10121" spans="1:10" ht="15" x14ac:dyDescent="0.2">
      <c r="A10121" s="486" t="s">
        <v>1258</v>
      </c>
      <c r="B10121" s="487" t="s">
        <v>1257</v>
      </c>
      <c r="C10121" s="488" t="s">
        <v>31130</v>
      </c>
      <c r="D10121" s="489" t="s">
        <v>31131</v>
      </c>
      <c r="E10121" s="487" t="s">
        <v>31132</v>
      </c>
      <c r="F10121" s="490">
        <v>65437</v>
      </c>
      <c r="G10121" s="489">
        <v>4348</v>
      </c>
      <c r="H10121" s="489">
        <v>15.049910000000001</v>
      </c>
      <c r="I10121" s="487" t="s">
        <v>1499</v>
      </c>
      <c r="J10121" s="487" t="s">
        <v>1259</v>
      </c>
    </row>
    <row r="10122" spans="1:10" ht="15" x14ac:dyDescent="0.2">
      <c r="A10122" s="486" t="s">
        <v>442</v>
      </c>
      <c r="B10122" s="487" t="s">
        <v>441</v>
      </c>
      <c r="C10122" s="488" t="s">
        <v>31133</v>
      </c>
      <c r="D10122" s="489" t="s">
        <v>31134</v>
      </c>
      <c r="E10122" s="487" t="s">
        <v>31135</v>
      </c>
      <c r="F10122" s="490">
        <v>48656</v>
      </c>
      <c r="G10122" s="489">
        <v>1404</v>
      </c>
      <c r="H10122" s="489">
        <v>34.655270000000002</v>
      </c>
      <c r="I10122" s="487" t="s">
        <v>1499</v>
      </c>
      <c r="J10122" s="487" t="s">
        <v>443</v>
      </c>
    </row>
    <row r="10123" spans="1:10" ht="15" x14ac:dyDescent="0.2">
      <c r="A10123" s="486" t="s">
        <v>442</v>
      </c>
      <c r="B10123" s="487" t="s">
        <v>441</v>
      </c>
      <c r="C10123" s="488" t="s">
        <v>31136</v>
      </c>
      <c r="D10123" s="489" t="s">
        <v>31137</v>
      </c>
      <c r="E10123" s="487" t="s">
        <v>31138</v>
      </c>
      <c r="F10123" s="490">
        <v>2250599</v>
      </c>
      <c r="G10123" s="489">
        <v>37535</v>
      </c>
      <c r="H10123" s="489">
        <v>59.960009999999997</v>
      </c>
      <c r="I10123" s="487" t="s">
        <v>1499</v>
      </c>
      <c r="J10123" s="487" t="s">
        <v>443</v>
      </c>
    </row>
    <row r="10124" spans="1:10" ht="15" x14ac:dyDescent="0.2">
      <c r="A10124" s="486" t="s">
        <v>664</v>
      </c>
      <c r="B10124" s="487" t="s">
        <v>663</v>
      </c>
      <c r="C10124" s="488" t="s">
        <v>31139</v>
      </c>
      <c r="D10124" s="489" t="s">
        <v>31140</v>
      </c>
      <c r="E10124" s="487" t="s">
        <v>31141</v>
      </c>
      <c r="F10124" s="490">
        <v>16892</v>
      </c>
      <c r="G10124" s="489">
        <v>451.3</v>
      </c>
      <c r="H10124" s="489">
        <v>37.429650000000002</v>
      </c>
      <c r="I10124" s="487" t="s">
        <v>1499</v>
      </c>
      <c r="J10124" s="487" t="s">
        <v>665</v>
      </c>
    </row>
    <row r="10125" spans="1:10" ht="15" x14ac:dyDescent="0.2">
      <c r="A10125" s="486" t="s">
        <v>664</v>
      </c>
      <c r="B10125" s="487" t="s">
        <v>663</v>
      </c>
      <c r="C10125" s="488" t="s">
        <v>31142</v>
      </c>
      <c r="D10125" s="489" t="s">
        <v>31143</v>
      </c>
      <c r="E10125" s="487" t="s">
        <v>31144</v>
      </c>
      <c r="F10125" s="490">
        <v>13020</v>
      </c>
      <c r="G10125" s="489">
        <v>616.29999999999995</v>
      </c>
      <c r="H10125" s="489">
        <v>21.126069999999999</v>
      </c>
      <c r="I10125" s="487" t="s">
        <v>1499</v>
      </c>
      <c r="J10125" s="487" t="s">
        <v>665</v>
      </c>
    </row>
    <row r="10126" spans="1:10" ht="15" x14ac:dyDescent="0.2">
      <c r="A10126" s="486" t="s">
        <v>664</v>
      </c>
      <c r="B10126" s="487" t="s">
        <v>663</v>
      </c>
      <c r="C10126" s="488" t="s">
        <v>31145</v>
      </c>
      <c r="D10126" s="489" t="s">
        <v>31146</v>
      </c>
      <c r="E10126" s="487" t="s">
        <v>31147</v>
      </c>
      <c r="F10126" s="490">
        <v>21474</v>
      </c>
      <c r="G10126" s="489">
        <v>1585.7</v>
      </c>
      <c r="H10126" s="489">
        <v>13.54228</v>
      </c>
      <c r="I10126" s="487" t="s">
        <v>1499</v>
      </c>
      <c r="J10126" s="487" t="s">
        <v>665</v>
      </c>
    </row>
    <row r="10127" spans="1:10" ht="15" x14ac:dyDescent="0.2">
      <c r="A10127" s="486" t="s">
        <v>1177</v>
      </c>
      <c r="B10127" s="487" t="s">
        <v>1176</v>
      </c>
      <c r="C10127" s="488" t="s">
        <v>31148</v>
      </c>
      <c r="D10127" s="489" t="s">
        <v>31149</v>
      </c>
      <c r="E10127" s="487" t="s">
        <v>31150</v>
      </c>
      <c r="F10127" s="490">
        <v>113495</v>
      </c>
      <c r="G10127" s="489">
        <v>2875</v>
      </c>
      <c r="H10127" s="489">
        <v>39.476520000000001</v>
      </c>
      <c r="I10127" s="487" t="s">
        <v>1499</v>
      </c>
      <c r="J10127" s="487" t="s">
        <v>1178</v>
      </c>
    </row>
    <row r="10128" spans="1:10" ht="15" x14ac:dyDescent="0.2">
      <c r="A10128" s="486" t="s">
        <v>1177</v>
      </c>
      <c r="B10128" s="487" t="s">
        <v>1176</v>
      </c>
      <c r="C10128" s="488" t="s">
        <v>31151</v>
      </c>
      <c r="D10128" s="489" t="s">
        <v>31152</v>
      </c>
      <c r="E10128" s="487" t="s">
        <v>31153</v>
      </c>
      <c r="F10128" s="490">
        <v>18000</v>
      </c>
      <c r="G10128" s="489">
        <v>343</v>
      </c>
      <c r="H10128" s="489">
        <v>52.47813</v>
      </c>
      <c r="I10128" s="487" t="s">
        <v>1499</v>
      </c>
      <c r="J10128" s="487" t="s">
        <v>1178</v>
      </c>
    </row>
    <row r="10129" spans="1:10" ht="15" x14ac:dyDescent="0.2">
      <c r="A10129" s="486" t="s">
        <v>1177</v>
      </c>
      <c r="B10129" s="487" t="s">
        <v>1176</v>
      </c>
      <c r="C10129" s="488" t="s">
        <v>31154</v>
      </c>
      <c r="D10129" s="489" t="s">
        <v>31155</v>
      </c>
      <c r="E10129" s="487" t="s">
        <v>31156</v>
      </c>
      <c r="F10129" s="490">
        <v>55815</v>
      </c>
      <c r="G10129" s="489">
        <v>1584</v>
      </c>
      <c r="H10129" s="489">
        <v>35.236739999999998</v>
      </c>
      <c r="I10129" s="487" t="s">
        <v>1499</v>
      </c>
      <c r="J10129" s="487" t="s">
        <v>1178</v>
      </c>
    </row>
    <row r="10130" spans="1:10" ht="15" x14ac:dyDescent="0.2">
      <c r="A10130" s="486" t="s">
        <v>1177</v>
      </c>
      <c r="B10130" s="487" t="s">
        <v>1176</v>
      </c>
      <c r="C10130" s="488" t="s">
        <v>31157</v>
      </c>
      <c r="D10130" s="489" t="s">
        <v>31158</v>
      </c>
      <c r="E10130" s="487" t="s">
        <v>31159</v>
      </c>
      <c r="F10130" s="490">
        <v>219170.88</v>
      </c>
      <c r="G10130" s="489">
        <v>2511</v>
      </c>
      <c r="H10130" s="489">
        <v>87.284300000000002</v>
      </c>
      <c r="I10130" s="487" t="s">
        <v>1499</v>
      </c>
      <c r="J10130" s="487" t="s">
        <v>1178</v>
      </c>
    </row>
    <row r="10131" spans="1:10" ht="15" x14ac:dyDescent="0.2">
      <c r="A10131" s="486" t="s">
        <v>1177</v>
      </c>
      <c r="B10131" s="487" t="s">
        <v>1176</v>
      </c>
      <c r="C10131" s="488" t="s">
        <v>31160</v>
      </c>
      <c r="D10131" s="489" t="s">
        <v>31161</v>
      </c>
      <c r="E10131" s="487" t="s">
        <v>31162</v>
      </c>
      <c r="F10131" s="490">
        <v>403684</v>
      </c>
      <c r="G10131" s="489">
        <v>3921</v>
      </c>
      <c r="H10131" s="489">
        <v>102.95435000000001</v>
      </c>
      <c r="I10131" s="487" t="s">
        <v>1499</v>
      </c>
      <c r="J10131" s="487" t="s">
        <v>1178</v>
      </c>
    </row>
    <row r="10132" spans="1:10" ht="15" x14ac:dyDescent="0.2">
      <c r="A10132" s="486" t="s">
        <v>1177</v>
      </c>
      <c r="B10132" s="487" t="s">
        <v>1176</v>
      </c>
      <c r="C10132" s="488" t="s">
        <v>31163</v>
      </c>
      <c r="D10132" s="489" t="s">
        <v>31164</v>
      </c>
      <c r="E10132" s="487" t="s">
        <v>31165</v>
      </c>
      <c r="F10132" s="490">
        <v>300000</v>
      </c>
      <c r="G10132" s="489">
        <v>3010</v>
      </c>
      <c r="H10132" s="489">
        <v>99.667770000000004</v>
      </c>
      <c r="I10132" s="487" t="s">
        <v>1499</v>
      </c>
      <c r="J10132" s="487" t="s">
        <v>1178</v>
      </c>
    </row>
    <row r="10133" spans="1:10" ht="15" x14ac:dyDescent="0.2">
      <c r="A10133" s="486" t="s">
        <v>1177</v>
      </c>
      <c r="B10133" s="487" t="s">
        <v>1176</v>
      </c>
      <c r="C10133" s="488" t="s">
        <v>31166</v>
      </c>
      <c r="D10133" s="489" t="s">
        <v>31167</v>
      </c>
      <c r="E10133" s="487" t="s">
        <v>31168</v>
      </c>
      <c r="F10133" s="490">
        <v>66528</v>
      </c>
      <c r="G10133" s="489">
        <v>1848</v>
      </c>
      <c r="H10133" s="489">
        <v>36</v>
      </c>
      <c r="I10133" s="487" t="s">
        <v>1499</v>
      </c>
      <c r="J10133" s="487" t="s">
        <v>1178</v>
      </c>
    </row>
    <row r="10134" spans="1:10" ht="15" x14ac:dyDescent="0.2">
      <c r="A10134" s="486" t="s">
        <v>1177</v>
      </c>
      <c r="B10134" s="487" t="s">
        <v>1176</v>
      </c>
      <c r="C10134" s="488" t="s">
        <v>31169</v>
      </c>
      <c r="D10134" s="489" t="s">
        <v>31170</v>
      </c>
      <c r="E10134" s="487" t="s">
        <v>31171</v>
      </c>
      <c r="F10134" s="490">
        <v>94884</v>
      </c>
      <c r="G10134" s="489">
        <v>2234</v>
      </c>
      <c r="H10134" s="489">
        <v>42.47269</v>
      </c>
      <c r="I10134" s="487" t="s">
        <v>1499</v>
      </c>
      <c r="J10134" s="487" t="s">
        <v>1178</v>
      </c>
    </row>
    <row r="10135" spans="1:10" ht="15" x14ac:dyDescent="0.2">
      <c r="A10135" s="486" t="s">
        <v>1177</v>
      </c>
      <c r="B10135" s="487" t="s">
        <v>1176</v>
      </c>
      <c r="C10135" s="488" t="s">
        <v>31172</v>
      </c>
      <c r="D10135" s="489" t="s">
        <v>31173</v>
      </c>
      <c r="E10135" s="487" t="s">
        <v>31174</v>
      </c>
      <c r="F10135" s="490">
        <v>98287</v>
      </c>
      <c r="G10135" s="489">
        <v>1882</v>
      </c>
      <c r="H10135" s="489">
        <v>52.224760000000003</v>
      </c>
      <c r="I10135" s="487" t="s">
        <v>1499</v>
      </c>
      <c r="J10135" s="487" t="s">
        <v>1178</v>
      </c>
    </row>
    <row r="10136" spans="1:10" ht="15" x14ac:dyDescent="0.2">
      <c r="A10136" s="486" t="s">
        <v>1177</v>
      </c>
      <c r="B10136" s="487" t="s">
        <v>1176</v>
      </c>
      <c r="C10136" s="488" t="s">
        <v>31175</v>
      </c>
      <c r="D10136" s="489" t="s">
        <v>31176</v>
      </c>
      <c r="E10136" s="487" t="s">
        <v>31177</v>
      </c>
      <c r="F10136" s="490">
        <v>52011.5</v>
      </c>
      <c r="G10136" s="489">
        <v>1450</v>
      </c>
      <c r="H10136" s="489">
        <v>35.869999999999997</v>
      </c>
      <c r="I10136" s="487" t="s">
        <v>1499</v>
      </c>
      <c r="J10136" s="487" t="s">
        <v>1178</v>
      </c>
    </row>
    <row r="10137" spans="1:10" ht="15" x14ac:dyDescent="0.2">
      <c r="A10137" s="486" t="s">
        <v>1177</v>
      </c>
      <c r="B10137" s="487" t="s">
        <v>1176</v>
      </c>
      <c r="C10137" s="488" t="s">
        <v>31178</v>
      </c>
      <c r="D10137" s="489" t="s">
        <v>31179</v>
      </c>
      <c r="E10137" s="487" t="s">
        <v>31180</v>
      </c>
      <c r="F10137" s="490">
        <v>67077</v>
      </c>
      <c r="G10137" s="489">
        <v>826</v>
      </c>
      <c r="H10137" s="489">
        <v>81.20702</v>
      </c>
      <c r="I10137" s="487" t="s">
        <v>1499</v>
      </c>
      <c r="J10137" s="487" t="s">
        <v>1178</v>
      </c>
    </row>
    <row r="10138" spans="1:10" ht="15" x14ac:dyDescent="0.2">
      <c r="A10138" s="486" t="s">
        <v>1177</v>
      </c>
      <c r="B10138" s="487" t="s">
        <v>1176</v>
      </c>
      <c r="C10138" s="488" t="s">
        <v>31181</v>
      </c>
      <c r="D10138" s="489" t="s">
        <v>31182</v>
      </c>
      <c r="E10138" s="487" t="s">
        <v>31183</v>
      </c>
      <c r="F10138" s="490">
        <v>65000</v>
      </c>
      <c r="G10138" s="489">
        <v>2030</v>
      </c>
      <c r="H10138" s="489">
        <v>32.0197</v>
      </c>
      <c r="I10138" s="487" t="s">
        <v>1499</v>
      </c>
      <c r="J10138" s="487" t="s">
        <v>1178</v>
      </c>
    </row>
    <row r="10139" spans="1:10" ht="15" x14ac:dyDescent="0.2">
      <c r="A10139" s="486" t="s">
        <v>1177</v>
      </c>
      <c r="B10139" s="487" t="s">
        <v>1176</v>
      </c>
      <c r="C10139" s="488" t="s">
        <v>31184</v>
      </c>
      <c r="D10139" s="489" t="s">
        <v>31185</v>
      </c>
      <c r="E10139" s="487" t="s">
        <v>31186</v>
      </c>
      <c r="F10139" s="490">
        <v>70443.360000000001</v>
      </c>
      <c r="G10139" s="489">
        <v>1278</v>
      </c>
      <c r="H10139" s="489">
        <v>55.12</v>
      </c>
      <c r="I10139" s="487" t="s">
        <v>1499</v>
      </c>
      <c r="J10139" s="487" t="s">
        <v>1178</v>
      </c>
    </row>
    <row r="10140" spans="1:10" ht="15" x14ac:dyDescent="0.2">
      <c r="A10140" s="486" t="s">
        <v>1177</v>
      </c>
      <c r="B10140" s="487" t="s">
        <v>1176</v>
      </c>
      <c r="C10140" s="488" t="s">
        <v>31187</v>
      </c>
      <c r="D10140" s="489" t="s">
        <v>31188</v>
      </c>
      <c r="E10140" s="487" t="s">
        <v>31189</v>
      </c>
      <c r="F10140" s="490">
        <v>130000</v>
      </c>
      <c r="G10140" s="489">
        <v>2291</v>
      </c>
      <c r="H10140" s="489">
        <v>56.743780000000001</v>
      </c>
      <c r="I10140" s="487" t="s">
        <v>1499</v>
      </c>
      <c r="J10140" s="487" t="s">
        <v>1178</v>
      </c>
    </row>
    <row r="10141" spans="1:10" ht="15" x14ac:dyDescent="0.2">
      <c r="A10141" s="486" t="s">
        <v>1177</v>
      </c>
      <c r="B10141" s="487" t="s">
        <v>1176</v>
      </c>
      <c r="C10141" s="488" t="s">
        <v>31190</v>
      </c>
      <c r="D10141" s="489" t="s">
        <v>31191</v>
      </c>
      <c r="E10141" s="487" t="s">
        <v>31192</v>
      </c>
      <c r="F10141" s="490">
        <v>40000</v>
      </c>
      <c r="G10141" s="489">
        <v>927</v>
      </c>
      <c r="H10141" s="489">
        <v>43.149949999999997</v>
      </c>
      <c r="I10141" s="487" t="s">
        <v>1499</v>
      </c>
      <c r="J10141" s="487" t="s">
        <v>1178</v>
      </c>
    </row>
    <row r="10142" spans="1:10" ht="15" x14ac:dyDescent="0.2">
      <c r="A10142" s="486" t="s">
        <v>1177</v>
      </c>
      <c r="B10142" s="487" t="s">
        <v>1176</v>
      </c>
      <c r="C10142" s="488" t="s">
        <v>31193</v>
      </c>
      <c r="D10142" s="489" t="s">
        <v>31194</v>
      </c>
      <c r="E10142" s="487" t="s">
        <v>31195</v>
      </c>
      <c r="F10142" s="490">
        <v>16744.349999999999</v>
      </c>
      <c r="G10142" s="489">
        <v>351</v>
      </c>
      <c r="H10142" s="489">
        <v>47.704700000000003</v>
      </c>
      <c r="I10142" s="487" t="s">
        <v>1499</v>
      </c>
      <c r="J10142" s="487" t="s">
        <v>1178</v>
      </c>
    </row>
    <row r="10143" spans="1:10" ht="15" x14ac:dyDescent="0.2">
      <c r="A10143" s="486" t="s">
        <v>505</v>
      </c>
      <c r="B10143" s="487" t="s">
        <v>504</v>
      </c>
      <c r="C10143" s="488" t="s">
        <v>31196</v>
      </c>
      <c r="D10143" s="489" t="s">
        <v>31197</v>
      </c>
      <c r="E10143" s="487" t="s">
        <v>31198</v>
      </c>
      <c r="F10143" s="490">
        <v>116700</v>
      </c>
      <c r="G10143" s="489">
        <v>1787</v>
      </c>
      <c r="H10143" s="489">
        <v>65.30498</v>
      </c>
      <c r="I10143" s="487" t="s">
        <v>1499</v>
      </c>
      <c r="J10143" s="487" t="s">
        <v>506</v>
      </c>
    </row>
    <row r="10144" spans="1:10" ht="15" x14ac:dyDescent="0.2">
      <c r="A10144" s="486" t="s">
        <v>505</v>
      </c>
      <c r="B10144" s="487" t="s">
        <v>504</v>
      </c>
      <c r="C10144" s="488" t="s">
        <v>31199</v>
      </c>
      <c r="D10144" s="489" t="s">
        <v>31200</v>
      </c>
      <c r="E10144" s="487" t="s">
        <v>31201</v>
      </c>
      <c r="F10144" s="490">
        <v>340208</v>
      </c>
      <c r="G10144" s="489">
        <v>6382</v>
      </c>
      <c r="H10144" s="489">
        <v>53.307429999999997</v>
      </c>
      <c r="I10144" s="487" t="s">
        <v>1499</v>
      </c>
      <c r="J10144" s="487" t="s">
        <v>506</v>
      </c>
    </row>
    <row r="10145" spans="1:10" ht="15" x14ac:dyDescent="0.2">
      <c r="A10145" s="486" t="s">
        <v>505</v>
      </c>
      <c r="B10145" s="487" t="s">
        <v>504</v>
      </c>
      <c r="C10145" s="488" t="s">
        <v>31202</v>
      </c>
      <c r="D10145" s="489" t="s">
        <v>31203</v>
      </c>
      <c r="E10145" s="487" t="s">
        <v>11960</v>
      </c>
      <c r="F10145" s="490">
        <v>302290</v>
      </c>
      <c r="G10145" s="489">
        <v>3182</v>
      </c>
      <c r="H10145" s="489">
        <v>95</v>
      </c>
      <c r="I10145" s="487" t="s">
        <v>1499</v>
      </c>
      <c r="J10145" s="487" t="s">
        <v>506</v>
      </c>
    </row>
    <row r="10146" spans="1:10" ht="15" x14ac:dyDescent="0.2">
      <c r="A10146" s="486" t="s">
        <v>505</v>
      </c>
      <c r="B10146" s="487" t="s">
        <v>504</v>
      </c>
      <c r="C10146" s="488" t="s">
        <v>31204</v>
      </c>
      <c r="D10146" s="489" t="s">
        <v>31205</v>
      </c>
      <c r="E10146" s="487" t="s">
        <v>31206</v>
      </c>
      <c r="F10146" s="490">
        <v>85142</v>
      </c>
      <c r="G10146" s="489">
        <v>2596</v>
      </c>
      <c r="H10146" s="489">
        <v>32.797379999999997</v>
      </c>
      <c r="I10146" s="487" t="s">
        <v>1499</v>
      </c>
      <c r="J10146" s="487" t="s">
        <v>506</v>
      </c>
    </row>
    <row r="10147" spans="1:10" ht="15" x14ac:dyDescent="0.2">
      <c r="A10147" s="486" t="s">
        <v>505</v>
      </c>
      <c r="B10147" s="487" t="s">
        <v>504</v>
      </c>
      <c r="C10147" s="488" t="s">
        <v>31207</v>
      </c>
      <c r="D10147" s="489" t="s">
        <v>31208</v>
      </c>
      <c r="E10147" s="487" t="s">
        <v>31209</v>
      </c>
      <c r="F10147" s="490">
        <v>46540</v>
      </c>
      <c r="G10147" s="489">
        <v>1371</v>
      </c>
      <c r="H10147" s="489">
        <v>33.946019999999997</v>
      </c>
      <c r="I10147" s="487" t="s">
        <v>1499</v>
      </c>
      <c r="J10147" s="487" t="s">
        <v>506</v>
      </c>
    </row>
    <row r="10148" spans="1:10" ht="15" x14ac:dyDescent="0.2">
      <c r="A10148" s="486" t="s">
        <v>505</v>
      </c>
      <c r="B10148" s="487" t="s">
        <v>504</v>
      </c>
      <c r="C10148" s="488" t="s">
        <v>31210</v>
      </c>
      <c r="D10148" s="489" t="s">
        <v>31211</v>
      </c>
      <c r="E10148" s="487" t="s">
        <v>31212</v>
      </c>
      <c r="F10148" s="490">
        <v>55440</v>
      </c>
      <c r="G10148" s="489">
        <v>1232</v>
      </c>
      <c r="H10148" s="489">
        <v>45</v>
      </c>
      <c r="I10148" s="487" t="s">
        <v>1499</v>
      </c>
      <c r="J10148" s="487" t="s">
        <v>506</v>
      </c>
    </row>
    <row r="10149" spans="1:10" ht="15" x14ac:dyDescent="0.2">
      <c r="A10149" s="486" t="s">
        <v>505</v>
      </c>
      <c r="B10149" s="487" t="s">
        <v>504</v>
      </c>
      <c r="C10149" s="488" t="s">
        <v>31213</v>
      </c>
      <c r="D10149" s="489" t="s">
        <v>31214</v>
      </c>
      <c r="E10149" s="487" t="s">
        <v>31215</v>
      </c>
      <c r="F10149" s="490">
        <v>63225</v>
      </c>
      <c r="G10149" s="489">
        <v>849</v>
      </c>
      <c r="H10149" s="489">
        <v>74.46996</v>
      </c>
      <c r="I10149" s="487" t="s">
        <v>1499</v>
      </c>
      <c r="J10149" s="487" t="s">
        <v>506</v>
      </c>
    </row>
    <row r="10150" spans="1:10" ht="15" x14ac:dyDescent="0.2">
      <c r="A10150" s="486" t="s">
        <v>505</v>
      </c>
      <c r="B10150" s="487" t="s">
        <v>504</v>
      </c>
      <c r="C10150" s="488" t="s">
        <v>31216</v>
      </c>
      <c r="D10150" s="489" t="s">
        <v>31217</v>
      </c>
      <c r="E10150" s="487" t="s">
        <v>31218</v>
      </c>
      <c r="F10150" s="490">
        <v>417101</v>
      </c>
      <c r="G10150" s="489">
        <v>7321</v>
      </c>
      <c r="H10150" s="489">
        <v>56.973230000000001</v>
      </c>
      <c r="I10150" s="487" t="s">
        <v>1499</v>
      </c>
      <c r="J10150" s="487" t="s">
        <v>506</v>
      </c>
    </row>
    <row r="10151" spans="1:10" ht="15" x14ac:dyDescent="0.2">
      <c r="A10151" s="486" t="s">
        <v>505</v>
      </c>
      <c r="B10151" s="487" t="s">
        <v>504</v>
      </c>
      <c r="C10151" s="488" t="s">
        <v>31219</v>
      </c>
      <c r="D10151" s="489" t="s">
        <v>31220</v>
      </c>
      <c r="E10151" s="487" t="s">
        <v>31221</v>
      </c>
      <c r="F10151" s="490">
        <v>1279090</v>
      </c>
      <c r="G10151" s="489">
        <v>15461</v>
      </c>
      <c r="H10151" s="489">
        <v>82.730099999999993</v>
      </c>
      <c r="I10151" s="487" t="s">
        <v>1499</v>
      </c>
      <c r="J10151" s="487" t="s">
        <v>506</v>
      </c>
    </row>
    <row r="10152" spans="1:10" ht="15" x14ac:dyDescent="0.2">
      <c r="A10152" s="486" t="s">
        <v>505</v>
      </c>
      <c r="B10152" s="487" t="s">
        <v>504</v>
      </c>
      <c r="C10152" s="488" t="s">
        <v>31222</v>
      </c>
      <c r="D10152" s="489" t="s">
        <v>31223</v>
      </c>
      <c r="E10152" s="487" t="s">
        <v>31224</v>
      </c>
      <c r="F10152" s="490">
        <v>146102</v>
      </c>
      <c r="G10152" s="489">
        <v>2519</v>
      </c>
      <c r="H10152" s="489">
        <v>58</v>
      </c>
      <c r="I10152" s="487" t="s">
        <v>1499</v>
      </c>
      <c r="J10152" s="487" t="s">
        <v>506</v>
      </c>
    </row>
    <row r="10153" spans="1:10" ht="15" x14ac:dyDescent="0.2">
      <c r="A10153" s="486" t="s">
        <v>505</v>
      </c>
      <c r="B10153" s="487" t="s">
        <v>504</v>
      </c>
      <c r="C10153" s="488" t="s">
        <v>31225</v>
      </c>
      <c r="D10153" s="489" t="s">
        <v>31226</v>
      </c>
      <c r="E10153" s="487" t="s">
        <v>31227</v>
      </c>
      <c r="F10153" s="490">
        <v>81000</v>
      </c>
      <c r="G10153" s="489">
        <v>1080</v>
      </c>
      <c r="H10153" s="489">
        <v>75</v>
      </c>
      <c r="I10153" s="487" t="s">
        <v>1499</v>
      </c>
      <c r="J10153" s="487" t="s">
        <v>506</v>
      </c>
    </row>
    <row r="10154" spans="1:10" ht="15" x14ac:dyDescent="0.2">
      <c r="A10154" s="486" t="s">
        <v>505</v>
      </c>
      <c r="B10154" s="487" t="s">
        <v>504</v>
      </c>
      <c r="C10154" s="488" t="s">
        <v>31228</v>
      </c>
      <c r="D10154" s="489" t="s">
        <v>31229</v>
      </c>
      <c r="E10154" s="487" t="s">
        <v>31230</v>
      </c>
      <c r="F10154" s="490">
        <v>23790</v>
      </c>
      <c r="G10154" s="489">
        <v>877</v>
      </c>
      <c r="H10154" s="489">
        <v>27.126570000000001</v>
      </c>
      <c r="I10154" s="487" t="s">
        <v>1499</v>
      </c>
      <c r="J10154" s="487" t="s">
        <v>506</v>
      </c>
    </row>
    <row r="10155" spans="1:10" ht="15" x14ac:dyDescent="0.2">
      <c r="A10155" s="486" t="s">
        <v>505</v>
      </c>
      <c r="B10155" s="487" t="s">
        <v>504</v>
      </c>
      <c r="C10155" s="488" t="s">
        <v>31231</v>
      </c>
      <c r="D10155" s="489" t="s">
        <v>31232</v>
      </c>
      <c r="E10155" s="487" t="s">
        <v>31233</v>
      </c>
      <c r="F10155" s="490">
        <v>121250</v>
      </c>
      <c r="G10155" s="489">
        <v>3376</v>
      </c>
      <c r="H10155" s="489">
        <v>35.915280000000003</v>
      </c>
      <c r="I10155" s="487" t="s">
        <v>1499</v>
      </c>
      <c r="J10155" s="487" t="s">
        <v>506</v>
      </c>
    </row>
    <row r="10156" spans="1:10" ht="15" x14ac:dyDescent="0.2">
      <c r="A10156" s="486" t="s">
        <v>505</v>
      </c>
      <c r="B10156" s="487" t="s">
        <v>504</v>
      </c>
      <c r="C10156" s="488" t="s">
        <v>31234</v>
      </c>
      <c r="D10156" s="489" t="s">
        <v>31235</v>
      </c>
      <c r="E10156" s="487" t="s">
        <v>31236</v>
      </c>
      <c r="F10156" s="490">
        <v>99475</v>
      </c>
      <c r="G10156" s="489">
        <v>1806</v>
      </c>
      <c r="H10156" s="489">
        <v>55.080289999999998</v>
      </c>
      <c r="I10156" s="487" t="s">
        <v>1499</v>
      </c>
      <c r="J10156" s="487" t="s">
        <v>506</v>
      </c>
    </row>
    <row r="10157" spans="1:10" ht="15" x14ac:dyDescent="0.2">
      <c r="A10157" s="486" t="s">
        <v>505</v>
      </c>
      <c r="B10157" s="487" t="s">
        <v>504</v>
      </c>
      <c r="C10157" s="488" t="s">
        <v>31237</v>
      </c>
      <c r="D10157" s="489" t="s">
        <v>31238</v>
      </c>
      <c r="E10157" s="487" t="s">
        <v>31239</v>
      </c>
      <c r="F10157" s="490">
        <v>118000</v>
      </c>
      <c r="G10157" s="489">
        <v>1787</v>
      </c>
      <c r="H10157" s="489">
        <v>66.03246</v>
      </c>
      <c r="I10157" s="487" t="s">
        <v>1499</v>
      </c>
      <c r="J10157" s="487" t="s">
        <v>506</v>
      </c>
    </row>
    <row r="10158" spans="1:10" ht="15" x14ac:dyDescent="0.2">
      <c r="A10158" s="486" t="s">
        <v>505</v>
      </c>
      <c r="B10158" s="487" t="s">
        <v>504</v>
      </c>
      <c r="C10158" s="488" t="s">
        <v>31240</v>
      </c>
      <c r="D10158" s="489" t="s">
        <v>31241</v>
      </c>
      <c r="E10158" s="487" t="s">
        <v>31242</v>
      </c>
      <c r="F10158" s="490">
        <v>37723</v>
      </c>
      <c r="G10158" s="489">
        <v>2219</v>
      </c>
      <c r="H10158" s="489">
        <v>17</v>
      </c>
      <c r="I10158" s="487" t="s">
        <v>1499</v>
      </c>
      <c r="J10158" s="487" t="s">
        <v>506</v>
      </c>
    </row>
    <row r="10159" spans="1:10" ht="15" x14ac:dyDescent="0.2">
      <c r="A10159" s="486" t="s">
        <v>505</v>
      </c>
      <c r="B10159" s="487" t="s">
        <v>504</v>
      </c>
      <c r="C10159" s="488" t="s">
        <v>31243</v>
      </c>
      <c r="D10159" s="489" t="s">
        <v>31244</v>
      </c>
      <c r="E10159" s="487" t="s">
        <v>31245</v>
      </c>
      <c r="F10159" s="490">
        <v>245705</v>
      </c>
      <c r="G10159" s="489">
        <v>8789</v>
      </c>
      <c r="H10159" s="489">
        <v>27.955970000000001</v>
      </c>
      <c r="I10159" s="487" t="s">
        <v>1499</v>
      </c>
      <c r="J10159" s="487" t="s">
        <v>506</v>
      </c>
    </row>
    <row r="10160" spans="1:10" ht="15" x14ac:dyDescent="0.2">
      <c r="A10160" s="486" t="s">
        <v>505</v>
      </c>
      <c r="B10160" s="487" t="s">
        <v>504</v>
      </c>
      <c r="C10160" s="488" t="s">
        <v>31246</v>
      </c>
      <c r="D10160" s="489" t="s">
        <v>31247</v>
      </c>
      <c r="E10160" s="487" t="s">
        <v>6376</v>
      </c>
      <c r="F10160" s="490">
        <v>221260</v>
      </c>
      <c r="G10160" s="489">
        <v>4784</v>
      </c>
      <c r="H10160" s="489">
        <v>46.25</v>
      </c>
      <c r="I10160" s="487" t="s">
        <v>1499</v>
      </c>
      <c r="J10160" s="487" t="s">
        <v>506</v>
      </c>
    </row>
    <row r="10161" spans="1:10" ht="15" x14ac:dyDescent="0.2">
      <c r="A10161" s="486" t="s">
        <v>505</v>
      </c>
      <c r="B10161" s="487" t="s">
        <v>504</v>
      </c>
      <c r="C10161" s="488" t="s">
        <v>31248</v>
      </c>
      <c r="D10161" s="489" t="s">
        <v>31249</v>
      </c>
      <c r="E10161" s="487" t="s">
        <v>31250</v>
      </c>
      <c r="F10161" s="490">
        <v>48657</v>
      </c>
      <c r="G10161" s="489">
        <v>1019</v>
      </c>
      <c r="H10161" s="489">
        <v>47.749749999999999</v>
      </c>
      <c r="I10161" s="487" t="s">
        <v>1499</v>
      </c>
      <c r="J10161" s="487" t="s">
        <v>506</v>
      </c>
    </row>
    <row r="10162" spans="1:10" ht="15" x14ac:dyDescent="0.2">
      <c r="A10162" s="486" t="s">
        <v>505</v>
      </c>
      <c r="B10162" s="487" t="s">
        <v>504</v>
      </c>
      <c r="C10162" s="488" t="s">
        <v>31251</v>
      </c>
      <c r="D10162" s="489" t="s">
        <v>31252</v>
      </c>
      <c r="E10162" s="487" t="s">
        <v>31253</v>
      </c>
      <c r="F10162" s="490">
        <v>66577</v>
      </c>
      <c r="G10162" s="489">
        <v>1429</v>
      </c>
      <c r="H10162" s="489">
        <v>46.589919999999999</v>
      </c>
      <c r="I10162" s="487" t="s">
        <v>1499</v>
      </c>
      <c r="J10162" s="487" t="s">
        <v>506</v>
      </c>
    </row>
    <row r="10163" spans="1:10" ht="15" x14ac:dyDescent="0.2">
      <c r="A10163" s="486" t="s">
        <v>505</v>
      </c>
      <c r="B10163" s="487" t="s">
        <v>504</v>
      </c>
      <c r="C10163" s="488" t="s">
        <v>31254</v>
      </c>
      <c r="D10163" s="489" t="s">
        <v>31255</v>
      </c>
      <c r="E10163" s="487" t="s">
        <v>31256</v>
      </c>
      <c r="F10163" s="490">
        <v>0</v>
      </c>
      <c r="G10163" s="489">
        <v>0</v>
      </c>
      <c r="H10163" s="489">
        <v>0</v>
      </c>
      <c r="I10163" s="487" t="s">
        <v>1593</v>
      </c>
      <c r="J10163" s="487" t="s">
        <v>506</v>
      </c>
    </row>
    <row r="10164" spans="1:10" ht="15" x14ac:dyDescent="0.2">
      <c r="A10164" s="486" t="s">
        <v>578</v>
      </c>
      <c r="B10164" s="487" t="s">
        <v>577</v>
      </c>
      <c r="C10164" s="488" t="s">
        <v>31257</v>
      </c>
      <c r="D10164" s="489" t="s">
        <v>31258</v>
      </c>
      <c r="E10164" s="487" t="s">
        <v>31259</v>
      </c>
      <c r="F10164" s="490">
        <v>8550</v>
      </c>
      <c r="G10164" s="489">
        <v>378.76</v>
      </c>
      <c r="H10164" s="489">
        <v>22.57366</v>
      </c>
      <c r="I10164" s="487" t="s">
        <v>1499</v>
      </c>
      <c r="J10164" s="487" t="s">
        <v>579</v>
      </c>
    </row>
    <row r="10165" spans="1:10" ht="15" x14ac:dyDescent="0.2">
      <c r="A10165" s="486" t="s">
        <v>578</v>
      </c>
      <c r="B10165" s="487" t="s">
        <v>577</v>
      </c>
      <c r="C10165" s="488" t="s">
        <v>31260</v>
      </c>
      <c r="D10165" s="489" t="s">
        <v>31261</v>
      </c>
      <c r="E10165" s="487" t="s">
        <v>31262</v>
      </c>
      <c r="F10165" s="490">
        <v>2254</v>
      </c>
      <c r="G10165" s="489">
        <v>69.56</v>
      </c>
      <c r="H10165" s="489">
        <v>32.403680000000001</v>
      </c>
      <c r="I10165" s="487" t="s">
        <v>1499</v>
      </c>
      <c r="J10165" s="487" t="s">
        <v>579</v>
      </c>
    </row>
    <row r="10166" spans="1:10" ht="15" x14ac:dyDescent="0.2">
      <c r="A10166" s="486" t="s">
        <v>578</v>
      </c>
      <c r="B10166" s="487" t="s">
        <v>577</v>
      </c>
      <c r="C10166" s="488" t="s">
        <v>31263</v>
      </c>
      <c r="D10166" s="489" t="s">
        <v>31264</v>
      </c>
      <c r="E10166" s="487" t="s">
        <v>31265</v>
      </c>
      <c r="F10166" s="490">
        <v>503859</v>
      </c>
      <c r="G10166" s="489">
        <v>3432.48</v>
      </c>
      <c r="H10166" s="489">
        <v>146.79152999999999</v>
      </c>
      <c r="I10166" s="487" t="s">
        <v>1499</v>
      </c>
      <c r="J10166" s="487" t="s">
        <v>579</v>
      </c>
    </row>
    <row r="10167" spans="1:10" ht="15" x14ac:dyDescent="0.2">
      <c r="A10167" s="486" t="s">
        <v>578</v>
      </c>
      <c r="B10167" s="487" t="s">
        <v>577</v>
      </c>
      <c r="C10167" s="488" t="s">
        <v>31266</v>
      </c>
      <c r="D10167" s="489" t="s">
        <v>31267</v>
      </c>
      <c r="E10167" s="487" t="s">
        <v>31268</v>
      </c>
      <c r="F10167" s="490">
        <v>22700</v>
      </c>
      <c r="G10167" s="489">
        <v>586.1</v>
      </c>
      <c r="H10167" s="489">
        <v>38.730589999999999</v>
      </c>
      <c r="I10167" s="487" t="s">
        <v>1499</v>
      </c>
      <c r="J10167" s="487" t="s">
        <v>579</v>
      </c>
    </row>
    <row r="10168" spans="1:10" ht="15" x14ac:dyDescent="0.2">
      <c r="A10168" s="486" t="s">
        <v>578</v>
      </c>
      <c r="B10168" s="487" t="s">
        <v>577</v>
      </c>
      <c r="C10168" s="488" t="s">
        <v>31269</v>
      </c>
      <c r="D10168" s="489" t="s">
        <v>31270</v>
      </c>
      <c r="E10168" s="487" t="s">
        <v>31271</v>
      </c>
      <c r="F10168" s="490">
        <v>65000</v>
      </c>
      <c r="G10168" s="489">
        <v>3011.55</v>
      </c>
      <c r="H10168" s="489">
        <v>21.583570000000002</v>
      </c>
      <c r="I10168" s="487" t="s">
        <v>1499</v>
      </c>
      <c r="J10168" s="487" t="s">
        <v>579</v>
      </c>
    </row>
    <row r="10169" spans="1:10" ht="15" x14ac:dyDescent="0.2">
      <c r="A10169" s="486" t="s">
        <v>578</v>
      </c>
      <c r="B10169" s="487" t="s">
        <v>577</v>
      </c>
      <c r="C10169" s="488" t="s">
        <v>31272</v>
      </c>
      <c r="D10169" s="489" t="s">
        <v>31273</v>
      </c>
      <c r="E10169" s="487" t="s">
        <v>31274</v>
      </c>
      <c r="F10169" s="490">
        <v>47251</v>
      </c>
      <c r="G10169" s="489">
        <v>1589.86</v>
      </c>
      <c r="H10169" s="489">
        <v>29.720230000000001</v>
      </c>
      <c r="I10169" s="487" t="s">
        <v>1499</v>
      </c>
      <c r="J10169" s="487" t="s">
        <v>579</v>
      </c>
    </row>
    <row r="10170" spans="1:10" ht="15" x14ac:dyDescent="0.2">
      <c r="A10170" s="486" t="s">
        <v>578</v>
      </c>
      <c r="B10170" s="487" t="s">
        <v>577</v>
      </c>
      <c r="C10170" s="488" t="s">
        <v>31275</v>
      </c>
      <c r="D10170" s="489" t="s">
        <v>31276</v>
      </c>
      <c r="E10170" s="487" t="s">
        <v>31277</v>
      </c>
      <c r="F10170" s="490">
        <v>21331</v>
      </c>
      <c r="G10170" s="489">
        <v>586.08000000000004</v>
      </c>
      <c r="H10170" s="489">
        <v>36.396059999999999</v>
      </c>
      <c r="I10170" s="487" t="s">
        <v>1499</v>
      </c>
      <c r="J10170" s="487" t="s">
        <v>579</v>
      </c>
    </row>
    <row r="10171" spans="1:10" ht="15" x14ac:dyDescent="0.2">
      <c r="A10171" s="486" t="s">
        <v>578</v>
      </c>
      <c r="B10171" s="487" t="s">
        <v>577</v>
      </c>
      <c r="C10171" s="488" t="s">
        <v>31278</v>
      </c>
      <c r="D10171" s="489" t="s">
        <v>31279</v>
      </c>
      <c r="E10171" s="487" t="s">
        <v>31280</v>
      </c>
      <c r="F10171" s="490">
        <v>458694</v>
      </c>
      <c r="G10171" s="489">
        <v>5095.58</v>
      </c>
      <c r="H10171" s="489">
        <v>90.018020000000007</v>
      </c>
      <c r="I10171" s="487" t="s">
        <v>1499</v>
      </c>
      <c r="J10171" s="487" t="s">
        <v>579</v>
      </c>
    </row>
    <row r="10172" spans="1:10" ht="15" x14ac:dyDescent="0.2">
      <c r="A10172" s="486" t="s">
        <v>922</v>
      </c>
      <c r="B10172" s="487" t="s">
        <v>921</v>
      </c>
      <c r="C10172" s="488" t="s">
        <v>31281</v>
      </c>
      <c r="D10172" s="489" t="s">
        <v>31282</v>
      </c>
      <c r="E10172" s="487" t="s">
        <v>31283</v>
      </c>
      <c r="F10172" s="490">
        <v>281000</v>
      </c>
      <c r="G10172" s="489">
        <v>6363.46</v>
      </c>
      <c r="H10172" s="489">
        <v>44.158369999999998</v>
      </c>
      <c r="I10172" s="487" t="s">
        <v>1499</v>
      </c>
      <c r="J10172" s="487" t="s">
        <v>923</v>
      </c>
    </row>
    <row r="10173" spans="1:10" ht="15" x14ac:dyDescent="0.2">
      <c r="A10173" s="486" t="s">
        <v>922</v>
      </c>
      <c r="B10173" s="487" t="s">
        <v>921</v>
      </c>
      <c r="C10173" s="488" t="s">
        <v>31284</v>
      </c>
      <c r="D10173" s="489" t="s">
        <v>31285</v>
      </c>
      <c r="E10173" s="487" t="s">
        <v>31286</v>
      </c>
      <c r="F10173" s="490">
        <v>447780</v>
      </c>
      <c r="G10173" s="489">
        <v>10784.69</v>
      </c>
      <c r="H10173" s="489">
        <v>41.519970000000001</v>
      </c>
      <c r="I10173" s="487" t="s">
        <v>1499</v>
      </c>
      <c r="J10173" s="487" t="s">
        <v>923</v>
      </c>
    </row>
    <row r="10174" spans="1:10" ht="15" x14ac:dyDescent="0.2">
      <c r="A10174" s="486" t="s">
        <v>922</v>
      </c>
      <c r="B10174" s="487" t="s">
        <v>921</v>
      </c>
      <c r="C10174" s="488" t="s">
        <v>31287</v>
      </c>
      <c r="D10174" s="489" t="s">
        <v>31288</v>
      </c>
      <c r="E10174" s="487" t="s">
        <v>31289</v>
      </c>
      <c r="F10174" s="490">
        <v>159000</v>
      </c>
      <c r="G10174" s="489">
        <v>9537.4599999999991</v>
      </c>
      <c r="H10174" s="489">
        <v>16.671109999999999</v>
      </c>
      <c r="I10174" s="487" t="s">
        <v>1499</v>
      </c>
      <c r="J10174" s="487" t="s">
        <v>923</v>
      </c>
    </row>
    <row r="10175" spans="1:10" ht="15" x14ac:dyDescent="0.2">
      <c r="A10175" s="486" t="s">
        <v>922</v>
      </c>
      <c r="B10175" s="487" t="s">
        <v>921</v>
      </c>
      <c r="C10175" s="488" t="s">
        <v>31290</v>
      </c>
      <c r="D10175" s="489" t="s">
        <v>31291</v>
      </c>
      <c r="E10175" s="487" t="s">
        <v>31292</v>
      </c>
      <c r="F10175" s="490">
        <v>222012</v>
      </c>
      <c r="G10175" s="489">
        <v>3075.46</v>
      </c>
      <c r="H10175" s="489">
        <v>72.188230000000004</v>
      </c>
      <c r="I10175" s="487" t="s">
        <v>1499</v>
      </c>
      <c r="J10175" s="487" t="s">
        <v>923</v>
      </c>
    </row>
    <row r="10176" spans="1:10" ht="15" x14ac:dyDescent="0.2">
      <c r="A10176" s="486" t="s">
        <v>922</v>
      </c>
      <c r="B10176" s="487" t="s">
        <v>921</v>
      </c>
      <c r="C10176" s="488" t="s">
        <v>31293</v>
      </c>
      <c r="D10176" s="489" t="s">
        <v>31294</v>
      </c>
      <c r="E10176" s="487" t="s">
        <v>31295</v>
      </c>
      <c r="F10176" s="490">
        <v>125000</v>
      </c>
      <c r="G10176" s="489">
        <v>7124.98</v>
      </c>
      <c r="H10176" s="489">
        <v>17.54391</v>
      </c>
      <c r="I10176" s="487" t="s">
        <v>1499</v>
      </c>
      <c r="J10176" s="487" t="s">
        <v>923</v>
      </c>
    </row>
    <row r="10177" spans="1:10" ht="15" x14ac:dyDescent="0.2">
      <c r="A10177" s="486" t="s">
        <v>938</v>
      </c>
      <c r="B10177" s="487" t="s">
        <v>937</v>
      </c>
      <c r="C10177" s="488" t="s">
        <v>31296</v>
      </c>
      <c r="D10177" s="489" t="s">
        <v>31297</v>
      </c>
      <c r="E10177" s="487" t="s">
        <v>31298</v>
      </c>
      <c r="F10177" s="490">
        <v>23000</v>
      </c>
      <c r="G10177" s="489">
        <v>769.2</v>
      </c>
      <c r="H10177" s="489">
        <v>29.901199999999999</v>
      </c>
      <c r="I10177" s="487" t="s">
        <v>1499</v>
      </c>
      <c r="J10177" s="487" t="s">
        <v>939</v>
      </c>
    </row>
    <row r="10178" spans="1:10" ht="15" x14ac:dyDescent="0.2">
      <c r="A10178" s="486" t="s">
        <v>938</v>
      </c>
      <c r="B10178" s="487" t="s">
        <v>937</v>
      </c>
      <c r="C10178" s="488" t="s">
        <v>31299</v>
      </c>
      <c r="D10178" s="489" t="s">
        <v>31300</v>
      </c>
      <c r="E10178" s="487" t="s">
        <v>31301</v>
      </c>
      <c r="F10178" s="490">
        <v>82964</v>
      </c>
      <c r="G10178" s="489">
        <v>1463.4</v>
      </c>
      <c r="H10178" s="489">
        <v>56.692630000000001</v>
      </c>
      <c r="I10178" s="487" t="s">
        <v>1499</v>
      </c>
      <c r="J10178" s="487" t="s">
        <v>939</v>
      </c>
    </row>
    <row r="10179" spans="1:10" ht="15" x14ac:dyDescent="0.2">
      <c r="A10179" s="486" t="s">
        <v>938</v>
      </c>
      <c r="B10179" s="487" t="s">
        <v>937</v>
      </c>
      <c r="C10179" s="488" t="s">
        <v>31302</v>
      </c>
      <c r="D10179" s="489" t="s">
        <v>31303</v>
      </c>
      <c r="E10179" s="487" t="s">
        <v>31304</v>
      </c>
      <c r="F10179" s="490">
        <v>51660</v>
      </c>
      <c r="G10179" s="489">
        <v>3676.9</v>
      </c>
      <c r="H10179" s="489">
        <v>14.04988</v>
      </c>
      <c r="I10179" s="487" t="s">
        <v>1499</v>
      </c>
      <c r="J10179" s="487" t="s">
        <v>939</v>
      </c>
    </row>
    <row r="10180" spans="1:10" ht="15" x14ac:dyDescent="0.2">
      <c r="A10180" s="486" t="s">
        <v>938</v>
      </c>
      <c r="B10180" s="487" t="s">
        <v>937</v>
      </c>
      <c r="C10180" s="488" t="s">
        <v>31305</v>
      </c>
      <c r="D10180" s="489" t="s">
        <v>31306</v>
      </c>
      <c r="E10180" s="487" t="s">
        <v>31307</v>
      </c>
      <c r="F10180" s="490">
        <v>3075</v>
      </c>
      <c r="G10180" s="489">
        <v>299</v>
      </c>
      <c r="H10180" s="489">
        <v>10.284280000000001</v>
      </c>
      <c r="I10180" s="487" t="s">
        <v>1499</v>
      </c>
      <c r="J10180" s="487" t="s">
        <v>939</v>
      </c>
    </row>
    <row r="10181" spans="1:10" ht="15" x14ac:dyDescent="0.2">
      <c r="A10181" s="486" t="s">
        <v>938</v>
      </c>
      <c r="B10181" s="487" t="s">
        <v>937</v>
      </c>
      <c r="C10181" s="488" t="s">
        <v>31308</v>
      </c>
      <c r="D10181" s="489" t="s">
        <v>31309</v>
      </c>
      <c r="E10181" s="487" t="s">
        <v>31310</v>
      </c>
      <c r="F10181" s="490">
        <v>0</v>
      </c>
      <c r="G10181" s="489">
        <v>61.8</v>
      </c>
      <c r="H10181" s="489">
        <v>0</v>
      </c>
      <c r="I10181" s="487" t="s">
        <v>1593</v>
      </c>
      <c r="J10181" s="487" t="s">
        <v>939</v>
      </c>
    </row>
    <row r="10182" spans="1:10" ht="15" x14ac:dyDescent="0.2">
      <c r="A10182" s="486" t="s">
        <v>938</v>
      </c>
      <c r="B10182" s="487" t="s">
        <v>937</v>
      </c>
      <c r="C10182" s="488" t="s">
        <v>31311</v>
      </c>
      <c r="D10182" s="489" t="s">
        <v>31312</v>
      </c>
      <c r="E10182" s="487" t="s">
        <v>31313</v>
      </c>
      <c r="F10182" s="490">
        <v>43500</v>
      </c>
      <c r="G10182" s="489">
        <v>1150.8</v>
      </c>
      <c r="H10182" s="489">
        <v>37.799790000000002</v>
      </c>
      <c r="I10182" s="487" t="s">
        <v>1499</v>
      </c>
      <c r="J10182" s="487" t="s">
        <v>939</v>
      </c>
    </row>
    <row r="10183" spans="1:10" ht="15" x14ac:dyDescent="0.2">
      <c r="A10183" s="486" t="s">
        <v>938</v>
      </c>
      <c r="B10183" s="487" t="s">
        <v>937</v>
      </c>
      <c r="C10183" s="488" t="s">
        <v>31314</v>
      </c>
      <c r="D10183" s="489" t="s">
        <v>31315</v>
      </c>
      <c r="E10183" s="487" t="s">
        <v>31316</v>
      </c>
      <c r="F10183" s="490">
        <v>48733</v>
      </c>
      <c r="G10183" s="489">
        <v>2012.3</v>
      </c>
      <c r="H10183" s="489">
        <v>24.217559999999999</v>
      </c>
      <c r="I10183" s="487" t="s">
        <v>1499</v>
      </c>
      <c r="J10183" s="487" t="s">
        <v>939</v>
      </c>
    </row>
    <row r="10184" spans="1:10" ht="15" x14ac:dyDescent="0.2">
      <c r="A10184" s="486" t="s">
        <v>938</v>
      </c>
      <c r="B10184" s="487" t="s">
        <v>937</v>
      </c>
      <c r="C10184" s="488" t="s">
        <v>31317</v>
      </c>
      <c r="D10184" s="489" t="s">
        <v>31318</v>
      </c>
      <c r="E10184" s="487" t="s">
        <v>31319</v>
      </c>
      <c r="F10184" s="490">
        <v>78417</v>
      </c>
      <c r="G10184" s="489">
        <v>1996.7</v>
      </c>
      <c r="H10184" s="489">
        <v>39.273299999999999</v>
      </c>
      <c r="I10184" s="487" t="s">
        <v>1499</v>
      </c>
      <c r="J10184" s="487" t="s">
        <v>939</v>
      </c>
    </row>
    <row r="10185" spans="1:10" ht="15" x14ac:dyDescent="0.2">
      <c r="A10185" s="486" t="s">
        <v>938</v>
      </c>
      <c r="B10185" s="487" t="s">
        <v>937</v>
      </c>
      <c r="C10185" s="488" t="s">
        <v>31320</v>
      </c>
      <c r="D10185" s="489" t="s">
        <v>31321</v>
      </c>
      <c r="E10185" s="487" t="s">
        <v>31322</v>
      </c>
      <c r="F10185" s="490">
        <v>34000</v>
      </c>
      <c r="G10185" s="489">
        <v>738.8</v>
      </c>
      <c r="H10185" s="489">
        <v>46.020569999999999</v>
      </c>
      <c r="I10185" s="487" t="s">
        <v>1499</v>
      </c>
      <c r="J10185" s="487" t="s">
        <v>939</v>
      </c>
    </row>
    <row r="10186" spans="1:10" ht="15" x14ac:dyDescent="0.2">
      <c r="A10186" s="486" t="s">
        <v>938</v>
      </c>
      <c r="B10186" s="487" t="s">
        <v>937</v>
      </c>
      <c r="C10186" s="488" t="s">
        <v>31323</v>
      </c>
      <c r="D10186" s="489" t="s">
        <v>31324</v>
      </c>
      <c r="E10186" s="487" t="s">
        <v>31325</v>
      </c>
      <c r="F10186" s="490">
        <v>74500</v>
      </c>
      <c r="G10186" s="489">
        <v>2237.6</v>
      </c>
      <c r="H10186" s="489">
        <v>33.294600000000003</v>
      </c>
      <c r="I10186" s="487" t="s">
        <v>1499</v>
      </c>
      <c r="J10186" s="487" t="s">
        <v>939</v>
      </c>
    </row>
    <row r="10187" spans="1:10" ht="15" x14ac:dyDescent="0.2">
      <c r="A10187" s="486" t="s">
        <v>938</v>
      </c>
      <c r="B10187" s="487" t="s">
        <v>937</v>
      </c>
      <c r="C10187" s="488" t="s">
        <v>31326</v>
      </c>
      <c r="D10187" s="489" t="s">
        <v>31327</v>
      </c>
      <c r="E10187" s="487" t="s">
        <v>12491</v>
      </c>
      <c r="F10187" s="490">
        <v>42667</v>
      </c>
      <c r="G10187" s="489">
        <v>837.5</v>
      </c>
      <c r="H10187" s="489">
        <v>50.94567</v>
      </c>
      <c r="I10187" s="487" t="s">
        <v>1499</v>
      </c>
      <c r="J10187" s="487" t="s">
        <v>939</v>
      </c>
    </row>
    <row r="10188" spans="1:10" ht="15" x14ac:dyDescent="0.2">
      <c r="A10188" s="486" t="s">
        <v>938</v>
      </c>
      <c r="B10188" s="487" t="s">
        <v>937</v>
      </c>
      <c r="C10188" s="488" t="s">
        <v>31328</v>
      </c>
      <c r="D10188" s="489" t="s">
        <v>31329</v>
      </c>
      <c r="E10188" s="487" t="s">
        <v>31330</v>
      </c>
      <c r="F10188" s="490">
        <v>54000</v>
      </c>
      <c r="G10188" s="489">
        <v>1812.5</v>
      </c>
      <c r="H10188" s="489">
        <v>29.793099999999999</v>
      </c>
      <c r="I10188" s="487" t="s">
        <v>1499</v>
      </c>
      <c r="J10188" s="487" t="s">
        <v>939</v>
      </c>
    </row>
    <row r="10189" spans="1:10" ht="15" x14ac:dyDescent="0.2">
      <c r="A10189" s="486" t="s">
        <v>938</v>
      </c>
      <c r="B10189" s="487" t="s">
        <v>937</v>
      </c>
      <c r="C10189" s="488" t="s">
        <v>31331</v>
      </c>
      <c r="D10189" s="489" t="s">
        <v>31332</v>
      </c>
      <c r="E10189" s="487" t="s">
        <v>31333</v>
      </c>
      <c r="F10189" s="490">
        <v>86250</v>
      </c>
      <c r="G10189" s="489">
        <v>2113</v>
      </c>
      <c r="H10189" s="489">
        <v>40.818739999999998</v>
      </c>
      <c r="I10189" s="487" t="s">
        <v>1499</v>
      </c>
      <c r="J10189" s="487" t="s">
        <v>939</v>
      </c>
    </row>
    <row r="10190" spans="1:10" ht="15" x14ac:dyDescent="0.2">
      <c r="A10190" s="486" t="s">
        <v>938</v>
      </c>
      <c r="B10190" s="487" t="s">
        <v>937</v>
      </c>
      <c r="C10190" s="488" t="s">
        <v>31334</v>
      </c>
      <c r="D10190" s="489" t="s">
        <v>31335</v>
      </c>
      <c r="E10190" s="487" t="s">
        <v>31336</v>
      </c>
      <c r="F10190" s="490">
        <v>23847</v>
      </c>
      <c r="G10190" s="489">
        <v>586.6</v>
      </c>
      <c r="H10190" s="489">
        <v>40.652920000000002</v>
      </c>
      <c r="I10190" s="487" t="s">
        <v>1499</v>
      </c>
      <c r="J10190" s="487" t="s">
        <v>939</v>
      </c>
    </row>
    <row r="10191" spans="1:10" ht="15" x14ac:dyDescent="0.2">
      <c r="A10191" s="486" t="s">
        <v>938</v>
      </c>
      <c r="B10191" s="487" t="s">
        <v>937</v>
      </c>
      <c r="C10191" s="488" t="s">
        <v>31337</v>
      </c>
      <c r="D10191" s="489" t="s">
        <v>31338</v>
      </c>
      <c r="E10191" s="487" t="s">
        <v>31339</v>
      </c>
      <c r="F10191" s="490">
        <v>26467</v>
      </c>
      <c r="G10191" s="489">
        <v>1867.6</v>
      </c>
      <c r="H10191" s="489">
        <v>14.171659999999999</v>
      </c>
      <c r="I10191" s="487" t="s">
        <v>1499</v>
      </c>
      <c r="J10191" s="487" t="s">
        <v>939</v>
      </c>
    </row>
    <row r="10192" spans="1:10" ht="15" x14ac:dyDescent="0.2">
      <c r="A10192" s="486" t="s">
        <v>938</v>
      </c>
      <c r="B10192" s="487" t="s">
        <v>937</v>
      </c>
      <c r="C10192" s="488" t="s">
        <v>31340</v>
      </c>
      <c r="D10192" s="489" t="s">
        <v>31341</v>
      </c>
      <c r="E10192" s="487" t="s">
        <v>31342</v>
      </c>
      <c r="F10192" s="490">
        <v>30500</v>
      </c>
      <c r="G10192" s="489">
        <v>614</v>
      </c>
      <c r="H10192" s="489">
        <v>49.67427</v>
      </c>
      <c r="I10192" s="487" t="s">
        <v>1499</v>
      </c>
      <c r="J10192" s="487" t="s">
        <v>939</v>
      </c>
    </row>
    <row r="10193" spans="1:10" ht="15" x14ac:dyDescent="0.2">
      <c r="A10193" s="486" t="s">
        <v>938</v>
      </c>
      <c r="B10193" s="487" t="s">
        <v>937</v>
      </c>
      <c r="C10193" s="488" t="s">
        <v>31343</v>
      </c>
      <c r="D10193" s="489" t="s">
        <v>31344</v>
      </c>
      <c r="E10193" s="487" t="s">
        <v>31345</v>
      </c>
      <c r="F10193" s="490">
        <v>21220</v>
      </c>
      <c r="G10193" s="489">
        <v>1853.7</v>
      </c>
      <c r="H10193" s="489">
        <v>11.447380000000001</v>
      </c>
      <c r="I10193" s="487" t="s">
        <v>1499</v>
      </c>
      <c r="J10193" s="487" t="s">
        <v>939</v>
      </c>
    </row>
    <row r="10194" spans="1:10" ht="15" x14ac:dyDescent="0.2">
      <c r="A10194" s="486" t="s">
        <v>938</v>
      </c>
      <c r="B10194" s="487" t="s">
        <v>937</v>
      </c>
      <c r="C10194" s="488" t="s">
        <v>31346</v>
      </c>
      <c r="D10194" s="489" t="s">
        <v>31347</v>
      </c>
      <c r="E10194" s="487" t="s">
        <v>31348</v>
      </c>
      <c r="F10194" s="490">
        <v>152367</v>
      </c>
      <c r="G10194" s="489">
        <v>7543</v>
      </c>
      <c r="H10194" s="489">
        <v>20.19979</v>
      </c>
      <c r="I10194" s="487" t="s">
        <v>1499</v>
      </c>
      <c r="J10194" s="487" t="s">
        <v>939</v>
      </c>
    </row>
    <row r="10195" spans="1:10" ht="15" x14ac:dyDescent="0.2">
      <c r="A10195" s="486" t="s">
        <v>938</v>
      </c>
      <c r="B10195" s="487" t="s">
        <v>937</v>
      </c>
      <c r="C10195" s="488" t="s">
        <v>31349</v>
      </c>
      <c r="D10195" s="489" t="s">
        <v>31350</v>
      </c>
      <c r="E10195" s="487" t="s">
        <v>31351</v>
      </c>
      <c r="F10195" s="490">
        <v>197111</v>
      </c>
      <c r="G10195" s="489">
        <v>3102.9</v>
      </c>
      <c r="H10195" s="489">
        <v>63.524769999999997</v>
      </c>
      <c r="I10195" s="487" t="s">
        <v>1499</v>
      </c>
      <c r="J10195" s="487" t="s">
        <v>939</v>
      </c>
    </row>
    <row r="10196" spans="1:10" ht="15" x14ac:dyDescent="0.2">
      <c r="A10196" s="486" t="s">
        <v>938</v>
      </c>
      <c r="B10196" s="487" t="s">
        <v>937</v>
      </c>
      <c r="C10196" s="488" t="s">
        <v>31352</v>
      </c>
      <c r="D10196" s="489" t="s">
        <v>31353</v>
      </c>
      <c r="E10196" s="487" t="s">
        <v>31354</v>
      </c>
      <c r="F10196" s="490">
        <v>6919</v>
      </c>
      <c r="G10196" s="489">
        <v>99.9</v>
      </c>
      <c r="H10196" s="489">
        <v>69.259259999999998</v>
      </c>
      <c r="I10196" s="487" t="s">
        <v>1499</v>
      </c>
      <c r="J10196" s="487" t="s">
        <v>939</v>
      </c>
    </row>
    <row r="10197" spans="1:10" ht="15" x14ac:dyDescent="0.2">
      <c r="A10197" s="486" t="s">
        <v>938</v>
      </c>
      <c r="B10197" s="487" t="s">
        <v>937</v>
      </c>
      <c r="C10197" s="488" t="s">
        <v>31355</v>
      </c>
      <c r="D10197" s="489" t="s">
        <v>31356</v>
      </c>
      <c r="E10197" s="487" t="s">
        <v>31357</v>
      </c>
      <c r="F10197" s="490">
        <v>92628</v>
      </c>
      <c r="G10197" s="489">
        <v>1074.2</v>
      </c>
      <c r="H10197" s="489">
        <v>86.229749999999996</v>
      </c>
      <c r="I10197" s="487" t="s">
        <v>1499</v>
      </c>
      <c r="J10197" s="487" t="s">
        <v>939</v>
      </c>
    </row>
    <row r="10198" spans="1:10" ht="15" x14ac:dyDescent="0.2">
      <c r="A10198" s="486" t="s">
        <v>938</v>
      </c>
      <c r="B10198" s="487" t="s">
        <v>937</v>
      </c>
      <c r="C10198" s="488" t="s">
        <v>31358</v>
      </c>
      <c r="D10198" s="489" t="s">
        <v>31359</v>
      </c>
      <c r="E10198" s="487" t="s">
        <v>6771</v>
      </c>
      <c r="F10198" s="490">
        <v>242000</v>
      </c>
      <c r="G10198" s="489">
        <v>11523.6</v>
      </c>
      <c r="H10198" s="489">
        <v>21.00038</v>
      </c>
      <c r="I10198" s="487" t="s">
        <v>1499</v>
      </c>
      <c r="J10198" s="487" t="s">
        <v>939</v>
      </c>
    </row>
    <row r="10199" spans="1:10" ht="15" x14ac:dyDescent="0.2">
      <c r="A10199" s="486" t="s">
        <v>938</v>
      </c>
      <c r="B10199" s="487" t="s">
        <v>937</v>
      </c>
      <c r="C10199" s="488" t="s">
        <v>31360</v>
      </c>
      <c r="D10199" s="489" t="s">
        <v>31361</v>
      </c>
      <c r="E10199" s="487" t="s">
        <v>28165</v>
      </c>
      <c r="F10199" s="490">
        <v>502480</v>
      </c>
      <c r="G10199" s="489">
        <v>5102.7</v>
      </c>
      <c r="H10199" s="489">
        <v>98.47336</v>
      </c>
      <c r="I10199" s="487" t="s">
        <v>1499</v>
      </c>
      <c r="J10199" s="487" t="s">
        <v>939</v>
      </c>
    </row>
    <row r="10200" spans="1:10" ht="15" x14ac:dyDescent="0.2">
      <c r="A10200" s="486" t="s">
        <v>938</v>
      </c>
      <c r="B10200" s="487" t="s">
        <v>937</v>
      </c>
      <c r="C10200" s="488" t="s">
        <v>31362</v>
      </c>
      <c r="D10200" s="489" t="s">
        <v>31363</v>
      </c>
      <c r="E10200" s="487" t="s">
        <v>31364</v>
      </c>
      <c r="F10200" s="490">
        <v>58000</v>
      </c>
      <c r="G10200" s="489">
        <v>964.4</v>
      </c>
      <c r="H10200" s="489">
        <v>60.141019999999997</v>
      </c>
      <c r="I10200" s="487" t="s">
        <v>1499</v>
      </c>
      <c r="J10200" s="487" t="s">
        <v>939</v>
      </c>
    </row>
    <row r="10201" spans="1:10" ht="15" x14ac:dyDescent="0.2">
      <c r="A10201" s="486" t="s">
        <v>938</v>
      </c>
      <c r="B10201" s="487" t="s">
        <v>937</v>
      </c>
      <c r="C10201" s="488" t="s">
        <v>31365</v>
      </c>
      <c r="D10201" s="489" t="s">
        <v>31366</v>
      </c>
      <c r="E10201" s="487" t="s">
        <v>31367</v>
      </c>
      <c r="F10201" s="490">
        <v>33060</v>
      </c>
      <c r="G10201" s="489">
        <v>973.4</v>
      </c>
      <c r="H10201" s="489">
        <v>33.963430000000002</v>
      </c>
      <c r="I10201" s="487" t="s">
        <v>1499</v>
      </c>
      <c r="J10201" s="487" t="s">
        <v>939</v>
      </c>
    </row>
    <row r="10202" spans="1:10" ht="15" x14ac:dyDescent="0.2">
      <c r="A10202" s="486" t="s">
        <v>938</v>
      </c>
      <c r="B10202" s="487" t="s">
        <v>937</v>
      </c>
      <c r="C10202" s="488" t="s">
        <v>31368</v>
      </c>
      <c r="D10202" s="489" t="s">
        <v>31369</v>
      </c>
      <c r="E10202" s="487" t="s">
        <v>31370</v>
      </c>
      <c r="F10202" s="490">
        <v>49350</v>
      </c>
      <c r="G10202" s="489">
        <v>970.2</v>
      </c>
      <c r="H10202" s="489">
        <v>50.8658</v>
      </c>
      <c r="I10202" s="487" t="s">
        <v>1499</v>
      </c>
      <c r="J10202" s="487" t="s">
        <v>939</v>
      </c>
    </row>
    <row r="10203" spans="1:10" ht="15" x14ac:dyDescent="0.2">
      <c r="A10203" s="486" t="s">
        <v>938</v>
      </c>
      <c r="B10203" s="487" t="s">
        <v>937</v>
      </c>
      <c r="C10203" s="488" t="s">
        <v>31371</v>
      </c>
      <c r="D10203" s="489" t="s">
        <v>31372</v>
      </c>
      <c r="E10203" s="487" t="s">
        <v>31373</v>
      </c>
      <c r="F10203" s="490">
        <v>34135</v>
      </c>
      <c r="G10203" s="489">
        <v>939.6</v>
      </c>
      <c r="H10203" s="489">
        <v>36.32929</v>
      </c>
      <c r="I10203" s="487" t="s">
        <v>1499</v>
      </c>
      <c r="J10203" s="487" t="s">
        <v>939</v>
      </c>
    </row>
    <row r="10204" spans="1:10" ht="15" x14ac:dyDescent="0.2">
      <c r="A10204" s="486" t="s">
        <v>938</v>
      </c>
      <c r="B10204" s="487" t="s">
        <v>937</v>
      </c>
      <c r="C10204" s="488" t="s">
        <v>31374</v>
      </c>
      <c r="D10204" s="489" t="s">
        <v>31375</v>
      </c>
      <c r="E10204" s="487" t="s">
        <v>31376</v>
      </c>
      <c r="F10204" s="490">
        <v>34483</v>
      </c>
      <c r="G10204" s="489">
        <v>748</v>
      </c>
      <c r="H10204" s="489">
        <v>46.100270000000002</v>
      </c>
      <c r="I10204" s="487" t="s">
        <v>1499</v>
      </c>
      <c r="J10204" s="487" t="s">
        <v>939</v>
      </c>
    </row>
    <row r="10205" spans="1:10" ht="15" x14ac:dyDescent="0.2">
      <c r="A10205" s="486" t="s">
        <v>938</v>
      </c>
      <c r="B10205" s="487" t="s">
        <v>937</v>
      </c>
      <c r="C10205" s="488" t="s">
        <v>31377</v>
      </c>
      <c r="D10205" s="489" t="s">
        <v>31378</v>
      </c>
      <c r="E10205" s="487" t="s">
        <v>31379</v>
      </c>
      <c r="F10205" s="490">
        <v>30000</v>
      </c>
      <c r="G10205" s="489">
        <v>509.9</v>
      </c>
      <c r="H10205" s="489">
        <v>58.835070000000002</v>
      </c>
      <c r="I10205" s="487" t="s">
        <v>1499</v>
      </c>
      <c r="J10205" s="487" t="s">
        <v>939</v>
      </c>
    </row>
    <row r="10206" spans="1:10" ht="15" x14ac:dyDescent="0.2">
      <c r="A10206" s="486" t="s">
        <v>938</v>
      </c>
      <c r="B10206" s="487" t="s">
        <v>937</v>
      </c>
      <c r="C10206" s="488" t="s">
        <v>31380</v>
      </c>
      <c r="D10206" s="489" t="s">
        <v>31381</v>
      </c>
      <c r="E10206" s="487" t="s">
        <v>2726</v>
      </c>
      <c r="F10206" s="490">
        <v>7736</v>
      </c>
      <c r="G10206" s="489">
        <v>118.3</v>
      </c>
      <c r="H10206" s="489">
        <v>65.393069999999994</v>
      </c>
      <c r="I10206" s="487" t="s">
        <v>1499</v>
      </c>
      <c r="J10206" s="487" t="s">
        <v>939</v>
      </c>
    </row>
    <row r="10207" spans="1:10" ht="15" x14ac:dyDescent="0.2">
      <c r="A10207" s="486" t="s">
        <v>938</v>
      </c>
      <c r="B10207" s="487" t="s">
        <v>937</v>
      </c>
      <c r="C10207" s="488" t="s">
        <v>31382</v>
      </c>
      <c r="D10207" s="489" t="s">
        <v>31383</v>
      </c>
      <c r="E10207" s="487" t="s">
        <v>31384</v>
      </c>
      <c r="F10207" s="490">
        <v>593694</v>
      </c>
      <c r="G10207" s="489">
        <v>5061.5</v>
      </c>
      <c r="H10207" s="489">
        <v>117.29606</v>
      </c>
      <c r="I10207" s="487" t="s">
        <v>1499</v>
      </c>
      <c r="J10207" s="487" t="s">
        <v>939</v>
      </c>
    </row>
    <row r="10208" spans="1:10" ht="15" x14ac:dyDescent="0.2">
      <c r="A10208" s="486" t="s">
        <v>938</v>
      </c>
      <c r="B10208" s="487" t="s">
        <v>937</v>
      </c>
      <c r="C10208" s="488" t="s">
        <v>31385</v>
      </c>
      <c r="D10208" s="489" t="s">
        <v>31386</v>
      </c>
      <c r="E10208" s="487" t="s">
        <v>31387</v>
      </c>
      <c r="F10208" s="490">
        <v>0</v>
      </c>
      <c r="G10208" s="489">
        <v>8.3000000000000007</v>
      </c>
      <c r="H10208" s="489">
        <v>0</v>
      </c>
      <c r="I10208" s="487" t="s">
        <v>1593</v>
      </c>
      <c r="J10208" s="487" t="s">
        <v>939</v>
      </c>
    </row>
    <row r="10209" spans="1:10" ht="15" x14ac:dyDescent="0.2">
      <c r="A10209" s="486" t="s">
        <v>938</v>
      </c>
      <c r="B10209" s="487" t="s">
        <v>937</v>
      </c>
      <c r="C10209" s="488" t="s">
        <v>31388</v>
      </c>
      <c r="D10209" s="489" t="s">
        <v>31389</v>
      </c>
      <c r="E10209" s="487" t="s">
        <v>31390</v>
      </c>
      <c r="F10209" s="490">
        <v>44550</v>
      </c>
      <c r="G10209" s="489">
        <v>2787.5</v>
      </c>
      <c r="H10209" s="489">
        <v>15.982060000000001</v>
      </c>
      <c r="I10209" s="487" t="s">
        <v>1499</v>
      </c>
      <c r="J10209" s="487" t="s">
        <v>939</v>
      </c>
    </row>
    <row r="10210" spans="1:10" ht="15" x14ac:dyDescent="0.2">
      <c r="A10210" s="486" t="s">
        <v>1331</v>
      </c>
      <c r="B10210" s="487" t="s">
        <v>1330</v>
      </c>
      <c r="C10210" s="488" t="s">
        <v>31391</v>
      </c>
      <c r="D10210" s="489" t="s">
        <v>31392</v>
      </c>
      <c r="E10210" s="487" t="s">
        <v>31393</v>
      </c>
      <c r="F10210" s="490">
        <v>271655.77</v>
      </c>
      <c r="G10210" s="489">
        <v>2871</v>
      </c>
      <c r="H10210" s="489">
        <v>94.620609999999999</v>
      </c>
      <c r="I10210" s="487" t="s">
        <v>1499</v>
      </c>
      <c r="J10210" s="487" t="s">
        <v>1332</v>
      </c>
    </row>
    <row r="10211" spans="1:10" ht="15" x14ac:dyDescent="0.2">
      <c r="A10211" s="486" t="s">
        <v>1331</v>
      </c>
      <c r="B10211" s="487" t="s">
        <v>1330</v>
      </c>
      <c r="C10211" s="488" t="s">
        <v>31394</v>
      </c>
      <c r="D10211" s="489" t="s">
        <v>31395</v>
      </c>
      <c r="E10211" s="487" t="s">
        <v>31396</v>
      </c>
      <c r="F10211" s="490">
        <v>11550</v>
      </c>
      <c r="G10211" s="489">
        <v>356</v>
      </c>
      <c r="H10211" s="489">
        <v>32.443820000000002</v>
      </c>
      <c r="I10211" s="487" t="s">
        <v>1499</v>
      </c>
      <c r="J10211" s="487" t="s">
        <v>1332</v>
      </c>
    </row>
    <row r="10212" spans="1:10" ht="15" x14ac:dyDescent="0.2">
      <c r="A10212" s="486" t="s">
        <v>1331</v>
      </c>
      <c r="B10212" s="487" t="s">
        <v>1330</v>
      </c>
      <c r="C10212" s="488" t="s">
        <v>31397</v>
      </c>
      <c r="D10212" s="489" t="s">
        <v>31398</v>
      </c>
      <c r="E10212" s="487" t="s">
        <v>31399</v>
      </c>
      <c r="F10212" s="490">
        <v>106227</v>
      </c>
      <c r="G10212" s="489">
        <v>3341</v>
      </c>
      <c r="H10212" s="489">
        <v>31.794969999999999</v>
      </c>
      <c r="I10212" s="487" t="s">
        <v>1499</v>
      </c>
      <c r="J10212" s="487" t="s">
        <v>1332</v>
      </c>
    </row>
    <row r="10213" spans="1:10" ht="15" x14ac:dyDescent="0.2">
      <c r="A10213" s="486" t="s">
        <v>1331</v>
      </c>
      <c r="B10213" s="487" t="s">
        <v>1330</v>
      </c>
      <c r="C10213" s="488" t="s">
        <v>31400</v>
      </c>
      <c r="D10213" s="489" t="s">
        <v>31401</v>
      </c>
      <c r="E10213" s="487" t="s">
        <v>31402</v>
      </c>
      <c r="F10213" s="490">
        <v>94417</v>
      </c>
      <c r="G10213" s="489">
        <v>1954</v>
      </c>
      <c r="H10213" s="489">
        <v>48.319859999999998</v>
      </c>
      <c r="I10213" s="487" t="s">
        <v>1499</v>
      </c>
      <c r="J10213" s="487" t="s">
        <v>1332</v>
      </c>
    </row>
    <row r="10214" spans="1:10" ht="15" x14ac:dyDescent="0.2">
      <c r="A10214" s="486" t="s">
        <v>1331</v>
      </c>
      <c r="B10214" s="487" t="s">
        <v>1330</v>
      </c>
      <c r="C10214" s="488" t="s">
        <v>31403</v>
      </c>
      <c r="D10214" s="489" t="s">
        <v>31404</v>
      </c>
      <c r="E10214" s="487" t="s">
        <v>31405</v>
      </c>
      <c r="F10214" s="490">
        <v>19058.29</v>
      </c>
      <c r="G10214" s="489">
        <v>598</v>
      </c>
      <c r="H10214" s="489">
        <v>31.870049999999999</v>
      </c>
      <c r="I10214" s="487" t="s">
        <v>1499</v>
      </c>
      <c r="J10214" s="487" t="s">
        <v>1332</v>
      </c>
    </row>
    <row r="10215" spans="1:10" ht="15" x14ac:dyDescent="0.2">
      <c r="A10215" s="486" t="s">
        <v>1331</v>
      </c>
      <c r="B10215" s="487" t="s">
        <v>1330</v>
      </c>
      <c r="C10215" s="488" t="s">
        <v>31406</v>
      </c>
      <c r="D10215" s="489" t="s">
        <v>31407</v>
      </c>
      <c r="E10215" s="487" t="s">
        <v>31408</v>
      </c>
      <c r="F10215" s="490">
        <v>3536</v>
      </c>
      <c r="G10215" s="489">
        <v>151</v>
      </c>
      <c r="H10215" s="489">
        <v>23.41722</v>
      </c>
      <c r="I10215" s="487" t="s">
        <v>1499</v>
      </c>
      <c r="J10215" s="487" t="s">
        <v>1332</v>
      </c>
    </row>
    <row r="10216" spans="1:10" ht="15" x14ac:dyDescent="0.2">
      <c r="A10216" s="486" t="s">
        <v>1331</v>
      </c>
      <c r="B10216" s="487" t="s">
        <v>1330</v>
      </c>
      <c r="C10216" s="488" t="s">
        <v>31409</v>
      </c>
      <c r="D10216" s="489" t="s">
        <v>31410</v>
      </c>
      <c r="E10216" s="487" t="s">
        <v>23297</v>
      </c>
      <c r="F10216" s="490">
        <v>200000</v>
      </c>
      <c r="G10216" s="489">
        <v>4021</v>
      </c>
      <c r="H10216" s="489">
        <v>49.738869999999999</v>
      </c>
      <c r="I10216" s="487" t="s">
        <v>1499</v>
      </c>
      <c r="J10216" s="487" t="s">
        <v>1332</v>
      </c>
    </row>
    <row r="10217" spans="1:10" ht="15" x14ac:dyDescent="0.2">
      <c r="A10217" s="486" t="s">
        <v>1331</v>
      </c>
      <c r="B10217" s="487" t="s">
        <v>1330</v>
      </c>
      <c r="C10217" s="488" t="s">
        <v>31411</v>
      </c>
      <c r="D10217" s="489" t="s">
        <v>31412</v>
      </c>
      <c r="E10217" s="487" t="s">
        <v>31413</v>
      </c>
      <c r="F10217" s="490">
        <v>73670</v>
      </c>
      <c r="G10217" s="489">
        <v>523</v>
      </c>
      <c r="H10217" s="489">
        <v>140.86042</v>
      </c>
      <c r="I10217" s="487" t="s">
        <v>1499</v>
      </c>
      <c r="J10217" s="487" t="s">
        <v>1332</v>
      </c>
    </row>
    <row r="10218" spans="1:10" ht="15" x14ac:dyDescent="0.2">
      <c r="A10218" s="486" t="s">
        <v>1331</v>
      </c>
      <c r="B10218" s="487" t="s">
        <v>1330</v>
      </c>
      <c r="C10218" s="488" t="s">
        <v>31414</v>
      </c>
      <c r="D10218" s="489" t="s">
        <v>31415</v>
      </c>
      <c r="E10218" s="487" t="s">
        <v>31416</v>
      </c>
      <c r="F10218" s="490">
        <v>861392</v>
      </c>
      <c r="G10218" s="489">
        <v>3750</v>
      </c>
      <c r="H10218" s="489">
        <v>229.70453000000001</v>
      </c>
      <c r="I10218" s="487" t="s">
        <v>1499</v>
      </c>
      <c r="J10218" s="487" t="s">
        <v>1332</v>
      </c>
    </row>
    <row r="10219" spans="1:10" ht="15" x14ac:dyDescent="0.2">
      <c r="A10219" s="486" t="s">
        <v>1331</v>
      </c>
      <c r="B10219" s="487" t="s">
        <v>1330</v>
      </c>
      <c r="C10219" s="488" t="s">
        <v>31417</v>
      </c>
      <c r="D10219" s="489" t="s">
        <v>31418</v>
      </c>
      <c r="E10219" s="487" t="s">
        <v>31419</v>
      </c>
      <c r="F10219" s="490">
        <v>4968</v>
      </c>
      <c r="G10219" s="489">
        <v>103</v>
      </c>
      <c r="H10219" s="489">
        <v>48.23301</v>
      </c>
      <c r="I10219" s="487" t="s">
        <v>1499</v>
      </c>
      <c r="J10219" s="487" t="s">
        <v>1332</v>
      </c>
    </row>
    <row r="10220" spans="1:10" ht="15" x14ac:dyDescent="0.2">
      <c r="A10220" s="486" t="s">
        <v>1331</v>
      </c>
      <c r="B10220" s="487" t="s">
        <v>1330</v>
      </c>
      <c r="C10220" s="488" t="s">
        <v>31420</v>
      </c>
      <c r="D10220" s="489" t="s">
        <v>31421</v>
      </c>
      <c r="E10220" s="487" t="s">
        <v>16568</v>
      </c>
      <c r="F10220" s="490">
        <v>367339</v>
      </c>
      <c r="G10220" s="489">
        <v>6516</v>
      </c>
      <c r="H10220" s="489">
        <v>56.374920000000003</v>
      </c>
      <c r="I10220" s="487" t="s">
        <v>1499</v>
      </c>
      <c r="J10220" s="487" t="s">
        <v>1332</v>
      </c>
    </row>
    <row r="10221" spans="1:10" ht="15" x14ac:dyDescent="0.2">
      <c r="A10221" s="486" t="s">
        <v>1331</v>
      </c>
      <c r="B10221" s="487" t="s">
        <v>1330</v>
      </c>
      <c r="C10221" s="488" t="s">
        <v>31422</v>
      </c>
      <c r="D10221" s="489" t="s">
        <v>31423</v>
      </c>
      <c r="E10221" s="487" t="s">
        <v>31424</v>
      </c>
      <c r="F10221" s="490">
        <v>17298</v>
      </c>
      <c r="G10221" s="489">
        <v>439</v>
      </c>
      <c r="H10221" s="489">
        <v>39.403190000000002</v>
      </c>
      <c r="I10221" s="487" t="s">
        <v>1499</v>
      </c>
      <c r="J10221" s="487" t="s">
        <v>1332</v>
      </c>
    </row>
    <row r="10222" spans="1:10" ht="15" x14ac:dyDescent="0.2">
      <c r="A10222" s="486" t="s">
        <v>1331</v>
      </c>
      <c r="B10222" s="487" t="s">
        <v>1330</v>
      </c>
      <c r="C10222" s="488" t="s">
        <v>31425</v>
      </c>
      <c r="D10222" s="489" t="s">
        <v>31426</v>
      </c>
      <c r="E10222" s="487" t="s">
        <v>31427</v>
      </c>
      <c r="F10222" s="490">
        <v>53111</v>
      </c>
      <c r="G10222" s="489">
        <v>792</v>
      </c>
      <c r="H10222" s="489">
        <v>67.059340000000006</v>
      </c>
      <c r="I10222" s="487" t="s">
        <v>1499</v>
      </c>
      <c r="J10222" s="487" t="s">
        <v>1332</v>
      </c>
    </row>
    <row r="10223" spans="1:10" ht="15" x14ac:dyDescent="0.2">
      <c r="A10223" s="486" t="s">
        <v>1331</v>
      </c>
      <c r="B10223" s="487" t="s">
        <v>1330</v>
      </c>
      <c r="C10223" s="488" t="s">
        <v>31428</v>
      </c>
      <c r="D10223" s="489" t="s">
        <v>31429</v>
      </c>
      <c r="E10223" s="487" t="s">
        <v>31430</v>
      </c>
      <c r="F10223" s="490">
        <v>38500</v>
      </c>
      <c r="G10223" s="489">
        <v>824</v>
      </c>
      <c r="H10223" s="489">
        <v>46.723300000000002</v>
      </c>
      <c r="I10223" s="487" t="s">
        <v>1499</v>
      </c>
      <c r="J10223" s="487" t="s">
        <v>1332</v>
      </c>
    </row>
    <row r="10224" spans="1:10" ht="15" x14ac:dyDescent="0.2">
      <c r="A10224" s="486" t="s">
        <v>1331</v>
      </c>
      <c r="B10224" s="487" t="s">
        <v>1330</v>
      </c>
      <c r="C10224" s="488" t="s">
        <v>31431</v>
      </c>
      <c r="D10224" s="489" t="s">
        <v>31432</v>
      </c>
      <c r="E10224" s="487" t="s">
        <v>31433</v>
      </c>
      <c r="F10224" s="490">
        <v>113000</v>
      </c>
      <c r="G10224" s="489">
        <v>1976</v>
      </c>
      <c r="H10224" s="489">
        <v>57.186230000000002</v>
      </c>
      <c r="I10224" s="487" t="s">
        <v>1499</v>
      </c>
      <c r="J10224" s="487" t="s">
        <v>1332</v>
      </c>
    </row>
    <row r="10225" spans="1:10" ht="15" x14ac:dyDescent="0.2">
      <c r="A10225" s="486" t="s">
        <v>1331</v>
      </c>
      <c r="B10225" s="487" t="s">
        <v>1330</v>
      </c>
      <c r="C10225" s="488" t="s">
        <v>31434</v>
      </c>
      <c r="D10225" s="489" t="s">
        <v>31435</v>
      </c>
      <c r="E10225" s="487" t="s">
        <v>31436</v>
      </c>
      <c r="F10225" s="490">
        <v>453750</v>
      </c>
      <c r="G10225" s="489">
        <v>2305</v>
      </c>
      <c r="H10225" s="489">
        <v>196.85466</v>
      </c>
      <c r="I10225" s="487" t="s">
        <v>1499</v>
      </c>
      <c r="J10225" s="487" t="s">
        <v>1332</v>
      </c>
    </row>
    <row r="10226" spans="1:10" ht="15" x14ac:dyDescent="0.2">
      <c r="A10226" s="486" t="s">
        <v>1331</v>
      </c>
      <c r="B10226" s="487" t="s">
        <v>1330</v>
      </c>
      <c r="C10226" s="488" t="s">
        <v>31437</v>
      </c>
      <c r="D10226" s="489" t="s">
        <v>31438</v>
      </c>
      <c r="E10226" s="487" t="s">
        <v>31439</v>
      </c>
      <c r="F10226" s="490">
        <v>42366</v>
      </c>
      <c r="G10226" s="489">
        <v>544</v>
      </c>
      <c r="H10226" s="489">
        <v>77.878680000000003</v>
      </c>
      <c r="I10226" s="487" t="s">
        <v>1499</v>
      </c>
      <c r="J10226" s="487" t="s">
        <v>1332</v>
      </c>
    </row>
    <row r="10227" spans="1:10" ht="15" x14ac:dyDescent="0.2">
      <c r="A10227" s="486" t="s">
        <v>1331</v>
      </c>
      <c r="B10227" s="487" t="s">
        <v>1330</v>
      </c>
      <c r="C10227" s="488" t="s">
        <v>31440</v>
      </c>
      <c r="D10227" s="489" t="s">
        <v>31441</v>
      </c>
      <c r="E10227" s="487" t="s">
        <v>31442</v>
      </c>
      <c r="F10227" s="490">
        <v>771550</v>
      </c>
      <c r="G10227" s="489">
        <v>2760</v>
      </c>
      <c r="H10227" s="489">
        <v>279.5471</v>
      </c>
      <c r="I10227" s="487" t="s">
        <v>1499</v>
      </c>
      <c r="J10227" s="487" t="s">
        <v>1332</v>
      </c>
    </row>
    <row r="10228" spans="1:10" ht="15" x14ac:dyDescent="0.2">
      <c r="A10228" s="486" t="s">
        <v>1331</v>
      </c>
      <c r="B10228" s="487" t="s">
        <v>1330</v>
      </c>
      <c r="C10228" s="488" t="s">
        <v>31443</v>
      </c>
      <c r="D10228" s="489" t="s">
        <v>31444</v>
      </c>
      <c r="E10228" s="487" t="s">
        <v>31445</v>
      </c>
      <c r="F10228" s="490">
        <v>17940</v>
      </c>
      <c r="G10228" s="489">
        <v>264</v>
      </c>
      <c r="H10228" s="489">
        <v>67.954549999999998</v>
      </c>
      <c r="I10228" s="487" t="s">
        <v>1499</v>
      </c>
      <c r="J10228" s="487" t="s">
        <v>1332</v>
      </c>
    </row>
    <row r="10229" spans="1:10" ht="15" x14ac:dyDescent="0.2">
      <c r="A10229" s="486" t="s">
        <v>1331</v>
      </c>
      <c r="B10229" s="487" t="s">
        <v>1330</v>
      </c>
      <c r="C10229" s="488" t="s">
        <v>31446</v>
      </c>
      <c r="D10229" s="489" t="s">
        <v>31447</v>
      </c>
      <c r="E10229" s="487" t="s">
        <v>31448</v>
      </c>
      <c r="F10229" s="490">
        <v>248670</v>
      </c>
      <c r="G10229" s="489">
        <v>1771</v>
      </c>
      <c r="H10229" s="489">
        <v>140.41220000000001</v>
      </c>
      <c r="I10229" s="487" t="s">
        <v>1499</v>
      </c>
      <c r="J10229" s="487" t="s">
        <v>1332</v>
      </c>
    </row>
    <row r="10230" spans="1:10" ht="15" x14ac:dyDescent="0.2">
      <c r="A10230" s="486" t="s">
        <v>1331</v>
      </c>
      <c r="B10230" s="487" t="s">
        <v>1330</v>
      </c>
      <c r="C10230" s="488" t="s">
        <v>31449</v>
      </c>
      <c r="D10230" s="489" t="s">
        <v>31450</v>
      </c>
      <c r="E10230" s="487" t="s">
        <v>2726</v>
      </c>
      <c r="F10230" s="490">
        <v>45000</v>
      </c>
      <c r="G10230" s="489">
        <v>1226</v>
      </c>
      <c r="H10230" s="489">
        <v>36.704729999999998</v>
      </c>
      <c r="I10230" s="487" t="s">
        <v>1499</v>
      </c>
      <c r="J10230" s="487" t="s">
        <v>1332</v>
      </c>
    </row>
    <row r="10231" spans="1:10" ht="15" x14ac:dyDescent="0.2">
      <c r="A10231" s="486" t="s">
        <v>1331</v>
      </c>
      <c r="B10231" s="487" t="s">
        <v>1330</v>
      </c>
      <c r="C10231" s="488" t="s">
        <v>31451</v>
      </c>
      <c r="D10231" s="489" t="s">
        <v>31452</v>
      </c>
      <c r="E10231" s="487" t="s">
        <v>31453</v>
      </c>
      <c r="F10231" s="490">
        <v>25000</v>
      </c>
      <c r="G10231" s="489">
        <v>331</v>
      </c>
      <c r="H10231" s="489">
        <v>75.528700000000001</v>
      </c>
      <c r="I10231" s="487" t="s">
        <v>1499</v>
      </c>
      <c r="J10231" s="487" t="s">
        <v>1332</v>
      </c>
    </row>
    <row r="10232" spans="1:10" ht="15" x14ac:dyDescent="0.2">
      <c r="A10232" s="486" t="s">
        <v>1331</v>
      </c>
      <c r="B10232" s="487" t="s">
        <v>1330</v>
      </c>
      <c r="C10232" s="488" t="s">
        <v>31454</v>
      </c>
      <c r="D10232" s="489" t="s">
        <v>31455</v>
      </c>
      <c r="E10232" s="487" t="s">
        <v>31456</v>
      </c>
      <c r="F10232" s="490">
        <v>7500</v>
      </c>
      <c r="G10232" s="489">
        <v>219</v>
      </c>
      <c r="H10232" s="489">
        <v>34.246580000000002</v>
      </c>
      <c r="I10232" s="487" t="s">
        <v>1499</v>
      </c>
      <c r="J10232" s="487" t="s">
        <v>1332</v>
      </c>
    </row>
    <row r="10233" spans="1:10" ht="15" x14ac:dyDescent="0.2">
      <c r="A10233" s="486" t="s">
        <v>1331</v>
      </c>
      <c r="B10233" s="487" t="s">
        <v>1330</v>
      </c>
      <c r="C10233" s="488" t="s">
        <v>31457</v>
      </c>
      <c r="D10233" s="489" t="s">
        <v>31458</v>
      </c>
      <c r="E10233" s="487" t="s">
        <v>31459</v>
      </c>
      <c r="F10233" s="490">
        <v>0</v>
      </c>
      <c r="G10233" s="489">
        <v>22</v>
      </c>
      <c r="H10233" s="489">
        <v>0</v>
      </c>
      <c r="I10233" s="487" t="s">
        <v>1593</v>
      </c>
      <c r="J10233" s="487" t="s">
        <v>1332</v>
      </c>
    </row>
    <row r="10234" spans="1:10" ht="15" x14ac:dyDescent="0.2">
      <c r="A10234" s="486" t="s">
        <v>1331</v>
      </c>
      <c r="B10234" s="487" t="s">
        <v>1330</v>
      </c>
      <c r="C10234" s="488" t="s">
        <v>31460</v>
      </c>
      <c r="D10234" s="489" t="s">
        <v>31461</v>
      </c>
      <c r="E10234" s="487" t="s">
        <v>31462</v>
      </c>
      <c r="F10234" s="490">
        <v>31000</v>
      </c>
      <c r="G10234" s="489">
        <v>673</v>
      </c>
      <c r="H10234" s="489">
        <v>46.06241</v>
      </c>
      <c r="I10234" s="487" t="s">
        <v>1499</v>
      </c>
      <c r="J10234" s="487" t="s">
        <v>1332</v>
      </c>
    </row>
    <row r="10235" spans="1:10" ht="15" x14ac:dyDescent="0.2">
      <c r="A10235" s="486" t="s">
        <v>1331</v>
      </c>
      <c r="B10235" s="487" t="s">
        <v>1330</v>
      </c>
      <c r="C10235" s="488" t="s">
        <v>31463</v>
      </c>
      <c r="D10235" s="489" t="s">
        <v>31464</v>
      </c>
      <c r="E10235" s="487" t="s">
        <v>31465</v>
      </c>
      <c r="F10235" s="490">
        <v>8500</v>
      </c>
      <c r="G10235" s="489">
        <v>82</v>
      </c>
      <c r="H10235" s="489">
        <v>103.65854</v>
      </c>
      <c r="I10235" s="487" t="s">
        <v>1499</v>
      </c>
      <c r="J10235" s="487" t="s">
        <v>1332</v>
      </c>
    </row>
    <row r="10236" spans="1:10" ht="15" x14ac:dyDescent="0.2">
      <c r="A10236" s="486" t="s">
        <v>650</v>
      </c>
      <c r="B10236" s="487" t="s">
        <v>649</v>
      </c>
      <c r="C10236" s="488" t="s">
        <v>31466</v>
      </c>
      <c r="D10236" s="489" t="s">
        <v>31467</v>
      </c>
      <c r="E10236" s="487" t="s">
        <v>31468</v>
      </c>
      <c r="F10236" s="490">
        <v>237444.88</v>
      </c>
      <c r="G10236" s="489">
        <v>101.28</v>
      </c>
      <c r="H10236" s="489">
        <v>2344.4399699999999</v>
      </c>
      <c r="I10236" s="487" t="s">
        <v>31469</v>
      </c>
      <c r="J10236" s="487" t="s">
        <v>651</v>
      </c>
    </row>
    <row r="10237" spans="1:10" ht="15" x14ac:dyDescent="0.2">
      <c r="A10237" s="488" t="s">
        <v>650</v>
      </c>
      <c r="B10237" s="488" t="s">
        <v>649</v>
      </c>
      <c r="C10237" s="488" t="s">
        <v>31470</v>
      </c>
      <c r="D10237" s="488" t="s">
        <v>31471</v>
      </c>
      <c r="E10237" s="488" t="s">
        <v>31472</v>
      </c>
      <c r="F10237" s="491">
        <v>178575.99</v>
      </c>
      <c r="G10237" s="492">
        <v>76.17</v>
      </c>
      <c r="H10237" s="492">
        <v>2344.4399400000002</v>
      </c>
      <c r="I10237" s="488" t="s">
        <v>31469</v>
      </c>
      <c r="J10237" s="488" t="s">
        <v>651</v>
      </c>
    </row>
    <row r="10238" spans="1:10" ht="15" x14ac:dyDescent="0.2">
      <c r="A10238" s="488" t="s">
        <v>1381</v>
      </c>
      <c r="B10238" s="488" t="s">
        <v>1380</v>
      </c>
      <c r="C10238" s="488" t="s">
        <v>31473</v>
      </c>
      <c r="D10238" s="488" t="s">
        <v>31474</v>
      </c>
      <c r="E10238" s="488" t="s">
        <v>31475</v>
      </c>
      <c r="F10238" s="491">
        <v>195621</v>
      </c>
      <c r="G10238" s="825">
        <v>3739.64</v>
      </c>
      <c r="H10238" s="492">
        <v>52.310119999999998</v>
      </c>
      <c r="I10238" s="488" t="s">
        <v>1499</v>
      </c>
      <c r="J10238" s="488" t="s">
        <v>1382</v>
      </c>
    </row>
  </sheetData>
  <phoneticPr fontId="154" type="noConversion"/>
  <conditionalFormatting sqref="D1338:D1397">
    <cfRule type="duplicateValues" dxfId="2" priority="5"/>
  </conditionalFormatting>
  <conditionalFormatting sqref="D1398:D10212 D3:D1337">
    <cfRule type="duplicateValues" dxfId="1" priority="181"/>
  </conditionalFormatting>
  <conditionalFormatting sqref="E1:E1048576">
    <cfRule type="duplicateValues" dxfId="0" priority="1"/>
  </conditionalFormatting>
  <dataValidations count="1">
    <dataValidation type="list" allowBlank="1" showInputMessage="1" showErrorMessage="1" sqref="A2" xr:uid="{749709BC-1AAC-4DA3-8A40-126ED93A9525}">
      <formula1>$A$3:$A$10212</formula1>
    </dataValidation>
  </dataValidations>
  <pageMargins left="0.7" right="0.7" top="0.75" bottom="0.75" header="0.3" footer="0.3"/>
  <pageSetup paperSize="9" orientation="landscape"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Y216"/>
  <sheetViews>
    <sheetView zoomScale="77" zoomScaleNormal="60" workbookViewId="0"/>
  </sheetViews>
  <sheetFormatPr defaultColWidth="9.140625" defaultRowHeight="15" customHeight="1" x14ac:dyDescent="0.2"/>
  <cols>
    <col min="1" max="1" width="10.42578125" bestFit="1" customWidth="1"/>
    <col min="2" max="2" width="6.7109375" bestFit="1" customWidth="1"/>
    <col min="3" max="3" width="18.5703125" bestFit="1" customWidth="1"/>
    <col min="4" max="4" width="6.7109375" bestFit="1" customWidth="1"/>
    <col min="5" max="11" width="21.5703125" style="21" customWidth="1"/>
    <col min="13" max="13" width="9.7109375" customWidth="1"/>
    <col min="14" max="15" width="9.140625" customWidth="1"/>
    <col min="16" max="16" width="12.42578125" customWidth="1"/>
    <col min="17" max="17" width="9.140625" customWidth="1"/>
    <col min="18" max="18" width="10.85546875" customWidth="1"/>
    <col min="19" max="25" width="9.140625" customWidth="1"/>
  </cols>
  <sheetData>
    <row r="1" spans="1:24" ht="15" customHeight="1" x14ac:dyDescent="0.2">
      <c r="A1" s="475"/>
      <c r="B1" s="475"/>
      <c r="C1" s="476"/>
      <c r="D1" s="476"/>
      <c r="E1" s="477"/>
      <c r="F1" s="477"/>
      <c r="G1" s="477"/>
      <c r="H1" s="477"/>
      <c r="I1" s="477"/>
      <c r="J1" s="477"/>
      <c r="K1" s="477"/>
    </row>
    <row r="2" spans="1:24" s="21" customFormat="1" ht="41.25" customHeight="1" x14ac:dyDescent="0.2">
      <c r="A2" s="471" t="s">
        <v>304</v>
      </c>
      <c r="B2" s="472" t="s">
        <v>303</v>
      </c>
      <c r="C2" s="472" t="s">
        <v>1488</v>
      </c>
      <c r="D2" s="472" t="s">
        <v>305</v>
      </c>
      <c r="E2" s="472" t="s">
        <v>264</v>
      </c>
      <c r="F2" s="473" t="s">
        <v>31476</v>
      </c>
      <c r="G2" s="473" t="s">
        <v>31477</v>
      </c>
      <c r="H2" s="473" t="s">
        <v>31478</v>
      </c>
      <c r="I2" s="473" t="s">
        <v>31479</v>
      </c>
      <c r="J2" s="474" t="s">
        <v>31480</v>
      </c>
      <c r="K2" s="474" t="s">
        <v>31481</v>
      </c>
    </row>
    <row r="3" spans="1:24" ht="15" customHeight="1" x14ac:dyDescent="0.2">
      <c r="A3" t="s">
        <v>320</v>
      </c>
      <c r="B3" t="s">
        <v>319</v>
      </c>
      <c r="C3" t="s">
        <v>318</v>
      </c>
      <c r="D3" t="s">
        <v>321</v>
      </c>
      <c r="E3" s="160">
        <v>485452</v>
      </c>
      <c r="F3">
        <v>3</v>
      </c>
      <c r="G3" s="377">
        <v>9790.4</v>
      </c>
      <c r="H3">
        <v>0</v>
      </c>
      <c r="I3" s="377">
        <v>0</v>
      </c>
      <c r="J3">
        <v>2</v>
      </c>
      <c r="K3" s="180">
        <v>9769.4</v>
      </c>
    </row>
    <row r="4" spans="1:24" ht="15" customHeight="1" x14ac:dyDescent="0.2">
      <c r="A4" t="s">
        <v>329</v>
      </c>
      <c r="B4" t="s">
        <v>328</v>
      </c>
      <c r="C4" t="s">
        <v>327</v>
      </c>
      <c r="D4" t="s">
        <v>321</v>
      </c>
      <c r="E4" s="160">
        <v>3573239.68</v>
      </c>
      <c r="F4">
        <v>34</v>
      </c>
      <c r="G4" s="377">
        <v>42557.58</v>
      </c>
      <c r="H4">
        <v>0</v>
      </c>
      <c r="I4" s="377">
        <v>0</v>
      </c>
      <c r="J4">
        <v>31</v>
      </c>
      <c r="K4" s="180">
        <v>41214.43</v>
      </c>
    </row>
    <row r="5" spans="1:24" ht="15" customHeight="1" x14ac:dyDescent="0.2">
      <c r="A5" t="s">
        <v>342</v>
      </c>
      <c r="B5" t="s">
        <v>341</v>
      </c>
      <c r="C5" t="s">
        <v>340</v>
      </c>
      <c r="D5" t="s">
        <v>321</v>
      </c>
      <c r="E5" s="160">
        <v>5953511</v>
      </c>
      <c r="F5">
        <v>30</v>
      </c>
      <c r="G5" s="377">
        <v>66877</v>
      </c>
      <c r="H5">
        <v>0</v>
      </c>
      <c r="I5" s="377">
        <v>0</v>
      </c>
      <c r="J5">
        <v>26</v>
      </c>
      <c r="K5" s="180">
        <v>66629</v>
      </c>
    </row>
    <row r="6" spans="1:24" ht="15" customHeight="1" x14ac:dyDescent="0.2">
      <c r="A6" t="s">
        <v>346</v>
      </c>
      <c r="B6" t="s">
        <v>345</v>
      </c>
      <c r="C6" t="s">
        <v>344</v>
      </c>
      <c r="D6" t="s">
        <v>321</v>
      </c>
      <c r="E6" s="160">
        <v>403987</v>
      </c>
      <c r="F6">
        <v>2</v>
      </c>
      <c r="G6" s="377">
        <v>4279.3500000000004</v>
      </c>
      <c r="H6">
        <v>0</v>
      </c>
      <c r="I6" s="377">
        <v>0</v>
      </c>
      <c r="J6">
        <v>2</v>
      </c>
      <c r="K6" s="180">
        <v>4279.3500000000004</v>
      </c>
    </row>
    <row r="7" spans="1:24" ht="15" customHeight="1" x14ac:dyDescent="0.2">
      <c r="A7" t="s">
        <v>357</v>
      </c>
      <c r="B7" t="s">
        <v>356</v>
      </c>
      <c r="C7" t="s">
        <v>355</v>
      </c>
      <c r="D7" t="s">
        <v>321</v>
      </c>
      <c r="E7" s="160">
        <v>3029502</v>
      </c>
      <c r="F7">
        <v>42</v>
      </c>
      <c r="G7" s="377">
        <v>36517</v>
      </c>
      <c r="H7">
        <v>0</v>
      </c>
      <c r="I7" s="377">
        <v>0</v>
      </c>
      <c r="J7">
        <v>42</v>
      </c>
      <c r="K7" s="180">
        <v>36517</v>
      </c>
    </row>
    <row r="8" spans="1:24" ht="15" customHeight="1" x14ac:dyDescent="0.2">
      <c r="A8" t="s">
        <v>367</v>
      </c>
      <c r="B8" t="s">
        <v>366</v>
      </c>
      <c r="C8" t="s">
        <v>365</v>
      </c>
      <c r="D8" t="s">
        <v>321</v>
      </c>
      <c r="E8" s="160">
        <v>3705195</v>
      </c>
      <c r="F8">
        <v>76</v>
      </c>
      <c r="G8" s="377">
        <v>36878.79</v>
      </c>
      <c r="H8">
        <v>0</v>
      </c>
      <c r="I8" s="377">
        <v>0</v>
      </c>
      <c r="J8">
        <v>70</v>
      </c>
      <c r="K8" s="180">
        <v>36616</v>
      </c>
    </row>
    <row r="9" spans="1:24" ht="15" customHeight="1" x14ac:dyDescent="0.2">
      <c r="A9" t="s">
        <v>390</v>
      </c>
      <c r="B9" t="s">
        <v>389</v>
      </c>
      <c r="C9" t="s">
        <v>388</v>
      </c>
      <c r="D9" t="s">
        <v>353</v>
      </c>
      <c r="E9" s="160">
        <v>529764</v>
      </c>
      <c r="F9">
        <v>17</v>
      </c>
      <c r="G9" s="377">
        <v>11130.24</v>
      </c>
      <c r="H9">
        <v>0</v>
      </c>
      <c r="I9" s="377">
        <v>0</v>
      </c>
      <c r="J9">
        <v>16</v>
      </c>
      <c r="K9" s="180">
        <v>11064.06</v>
      </c>
      <c r="R9" s="160"/>
      <c r="T9" s="180"/>
      <c r="V9" s="180"/>
      <c r="X9" s="180"/>
    </row>
    <row r="10" spans="1:24" ht="15" customHeight="1" x14ac:dyDescent="0.2">
      <c r="A10" t="s">
        <v>400</v>
      </c>
      <c r="B10" t="s">
        <v>399</v>
      </c>
      <c r="C10" t="s">
        <v>398</v>
      </c>
      <c r="D10" t="s">
        <v>321</v>
      </c>
      <c r="E10" s="160">
        <v>772945</v>
      </c>
      <c r="F10">
        <v>9</v>
      </c>
      <c r="G10" s="377">
        <v>28824.45</v>
      </c>
      <c r="H10">
        <v>0</v>
      </c>
      <c r="I10" s="377">
        <v>0</v>
      </c>
      <c r="J10">
        <v>9</v>
      </c>
      <c r="K10" s="180">
        <v>28824.45</v>
      </c>
      <c r="R10" s="160"/>
      <c r="T10" s="180"/>
      <c r="V10" s="180"/>
      <c r="X10" s="180"/>
    </row>
    <row r="11" spans="1:24" ht="15" customHeight="1" x14ac:dyDescent="0.2">
      <c r="A11" t="s">
        <v>410</v>
      </c>
      <c r="B11" t="s">
        <v>409</v>
      </c>
      <c r="C11" t="s">
        <v>408</v>
      </c>
      <c r="D11" t="s">
        <v>321</v>
      </c>
      <c r="E11" s="160">
        <v>1982819</v>
      </c>
      <c r="F11">
        <v>53</v>
      </c>
      <c r="G11" s="377">
        <v>39100.1</v>
      </c>
      <c r="H11">
        <v>0</v>
      </c>
      <c r="I11" s="377">
        <v>0</v>
      </c>
      <c r="J11">
        <v>44</v>
      </c>
      <c r="K11" s="180">
        <v>38710</v>
      </c>
      <c r="R11" s="160"/>
      <c r="T11" s="180"/>
      <c r="V11" s="180"/>
      <c r="X11" s="180"/>
    </row>
    <row r="12" spans="1:24" ht="15" customHeight="1" x14ac:dyDescent="0.2">
      <c r="A12" t="s">
        <v>420</v>
      </c>
      <c r="B12" t="s">
        <v>419</v>
      </c>
      <c r="C12" t="s">
        <v>418</v>
      </c>
      <c r="D12" t="s">
        <v>321</v>
      </c>
      <c r="E12" s="160">
        <v>1758259</v>
      </c>
      <c r="F12">
        <v>53</v>
      </c>
      <c r="G12" s="377">
        <v>17818.11</v>
      </c>
      <c r="H12">
        <v>2</v>
      </c>
      <c r="I12" s="377">
        <v>20589.39</v>
      </c>
      <c r="J12">
        <v>48</v>
      </c>
      <c r="K12" s="180">
        <v>38227.86</v>
      </c>
    </row>
    <row r="13" spans="1:24" ht="15" customHeight="1" x14ac:dyDescent="0.2">
      <c r="A13" t="s">
        <v>424</v>
      </c>
      <c r="B13" t="s">
        <v>423</v>
      </c>
      <c r="C13" t="s">
        <v>422</v>
      </c>
      <c r="D13" t="s">
        <v>339</v>
      </c>
      <c r="E13" s="160">
        <v>4195241</v>
      </c>
      <c r="F13">
        <v>51</v>
      </c>
      <c r="G13" s="377">
        <v>36688.85</v>
      </c>
      <c r="H13">
        <v>1</v>
      </c>
      <c r="I13" s="377">
        <v>34285.01</v>
      </c>
      <c r="J13">
        <v>51</v>
      </c>
      <c r="K13" s="180">
        <v>70921.05</v>
      </c>
      <c r="O13" s="26"/>
      <c r="P13" s="26"/>
      <c r="Q13" s="26"/>
      <c r="R13" s="160"/>
      <c r="S13" s="160"/>
      <c r="T13" s="160"/>
      <c r="U13" s="160"/>
      <c r="V13" s="160"/>
      <c r="W13" s="160"/>
      <c r="X13" s="160"/>
    </row>
    <row r="14" spans="1:24" ht="15" customHeight="1" x14ac:dyDescent="0.2">
      <c r="A14" t="s">
        <v>433</v>
      </c>
      <c r="B14" t="s">
        <v>432</v>
      </c>
      <c r="C14" t="s">
        <v>431</v>
      </c>
      <c r="D14" t="s">
        <v>339</v>
      </c>
      <c r="E14" s="160">
        <v>2490093</v>
      </c>
      <c r="F14">
        <v>48</v>
      </c>
      <c r="G14" s="377">
        <v>41264.449999999997</v>
      </c>
      <c r="H14">
        <v>0</v>
      </c>
      <c r="I14" s="377">
        <v>0</v>
      </c>
      <c r="J14">
        <v>47</v>
      </c>
      <c r="K14" s="180">
        <v>41243.65</v>
      </c>
      <c r="O14" s="469"/>
      <c r="P14" s="469"/>
      <c r="Q14" s="469"/>
      <c r="R14" s="470"/>
      <c r="S14" s="470"/>
      <c r="T14" s="470"/>
      <c r="U14" s="470"/>
      <c r="V14" s="470"/>
      <c r="W14" s="470"/>
      <c r="X14" s="470"/>
    </row>
    <row r="15" spans="1:24" ht="15" customHeight="1" x14ac:dyDescent="0.2">
      <c r="A15" t="s">
        <v>443</v>
      </c>
      <c r="B15" t="s">
        <v>442</v>
      </c>
      <c r="C15" t="s">
        <v>441</v>
      </c>
      <c r="D15" t="s">
        <v>353</v>
      </c>
      <c r="E15" s="160">
        <v>2299255</v>
      </c>
      <c r="F15">
        <v>2</v>
      </c>
      <c r="G15" s="377">
        <v>38939</v>
      </c>
      <c r="H15">
        <v>0</v>
      </c>
      <c r="I15" s="377">
        <v>0</v>
      </c>
      <c r="J15">
        <v>2</v>
      </c>
      <c r="K15" s="180">
        <v>38939</v>
      </c>
      <c r="R15" s="160"/>
      <c r="T15" s="180"/>
      <c r="V15" s="180"/>
      <c r="X15" s="180"/>
    </row>
    <row r="16" spans="1:24" ht="15" customHeight="1" x14ac:dyDescent="0.2">
      <c r="A16" t="s">
        <v>453</v>
      </c>
      <c r="B16" t="s">
        <v>452</v>
      </c>
      <c r="C16" t="s">
        <v>451</v>
      </c>
      <c r="D16" t="s">
        <v>321</v>
      </c>
      <c r="E16" s="160">
        <v>4978992</v>
      </c>
      <c r="F16">
        <v>24</v>
      </c>
      <c r="G16" s="377">
        <v>34672.75</v>
      </c>
      <c r="H16">
        <v>0</v>
      </c>
      <c r="I16" s="377">
        <v>0</v>
      </c>
      <c r="J16">
        <v>20</v>
      </c>
      <c r="K16" s="180">
        <v>34513.160000000003</v>
      </c>
      <c r="R16" s="160"/>
      <c r="T16" s="180"/>
      <c r="V16" s="180"/>
      <c r="X16" s="180"/>
    </row>
    <row r="17" spans="1:25" ht="15" customHeight="1" x14ac:dyDescent="0.2">
      <c r="A17" t="s">
        <v>462</v>
      </c>
      <c r="B17" t="s">
        <v>461</v>
      </c>
      <c r="C17" t="s">
        <v>460</v>
      </c>
      <c r="D17" t="s">
        <v>339</v>
      </c>
      <c r="E17" s="160">
        <v>191605</v>
      </c>
      <c r="F17">
        <v>7</v>
      </c>
      <c r="G17" s="377">
        <v>13129.64</v>
      </c>
      <c r="H17">
        <v>0</v>
      </c>
      <c r="I17" s="377">
        <v>0</v>
      </c>
      <c r="J17">
        <v>7</v>
      </c>
      <c r="K17" s="180">
        <v>13129.64</v>
      </c>
      <c r="R17" s="160"/>
      <c r="T17" s="180"/>
      <c r="V17" s="180"/>
      <c r="X17" s="180"/>
    </row>
    <row r="18" spans="1:25" ht="15" customHeight="1" x14ac:dyDescent="0.2">
      <c r="A18" t="s">
        <v>473</v>
      </c>
      <c r="B18" t="s">
        <v>472</v>
      </c>
      <c r="C18" t="s">
        <v>471</v>
      </c>
      <c r="D18" t="s">
        <v>321</v>
      </c>
      <c r="E18" s="160">
        <v>5196507</v>
      </c>
      <c r="F18">
        <v>16</v>
      </c>
      <c r="G18" s="377">
        <v>23366.76</v>
      </c>
      <c r="H18">
        <v>0</v>
      </c>
      <c r="I18" s="377">
        <v>0</v>
      </c>
      <c r="J18">
        <v>16</v>
      </c>
      <c r="K18" s="180">
        <v>23366.76</v>
      </c>
      <c r="Y18" s="180"/>
    </row>
    <row r="19" spans="1:25" ht="15" customHeight="1" x14ac:dyDescent="0.2">
      <c r="A19" t="s">
        <v>476</v>
      </c>
      <c r="B19" t="s">
        <v>475</v>
      </c>
      <c r="C19" t="s">
        <v>474</v>
      </c>
      <c r="D19" t="s">
        <v>353</v>
      </c>
      <c r="E19" s="160">
        <v>566029</v>
      </c>
      <c r="F19">
        <v>3</v>
      </c>
      <c r="G19" s="377">
        <v>18765</v>
      </c>
      <c r="H19">
        <v>0</v>
      </c>
      <c r="I19" s="377">
        <v>0</v>
      </c>
      <c r="J19">
        <v>3</v>
      </c>
      <c r="K19" s="180">
        <v>18765</v>
      </c>
      <c r="O19" s="26"/>
      <c r="P19" s="26"/>
      <c r="Q19" s="26"/>
      <c r="R19" s="160"/>
      <c r="S19" s="160"/>
      <c r="T19" s="160"/>
      <c r="U19" s="160"/>
      <c r="V19" s="160"/>
      <c r="W19" s="160"/>
      <c r="X19" s="160"/>
    </row>
    <row r="20" spans="1:25" ht="15" customHeight="1" x14ac:dyDescent="0.2">
      <c r="A20" t="s">
        <v>482</v>
      </c>
      <c r="B20" t="s">
        <v>481</v>
      </c>
      <c r="C20" t="s">
        <v>480</v>
      </c>
      <c r="D20" t="s">
        <v>321</v>
      </c>
      <c r="E20" s="160">
        <v>630316</v>
      </c>
      <c r="F20">
        <v>18</v>
      </c>
      <c r="G20" s="377">
        <v>10807</v>
      </c>
      <c r="H20">
        <v>0</v>
      </c>
      <c r="I20" s="377">
        <v>0</v>
      </c>
      <c r="J20">
        <v>18</v>
      </c>
      <c r="K20" s="180">
        <v>10807</v>
      </c>
    </row>
    <row r="21" spans="1:25" ht="15" customHeight="1" x14ac:dyDescent="0.2">
      <c r="A21" t="s">
        <v>491</v>
      </c>
      <c r="B21" t="s">
        <v>490</v>
      </c>
      <c r="C21" t="s">
        <v>386</v>
      </c>
      <c r="D21" t="s">
        <v>339</v>
      </c>
      <c r="E21" s="160">
        <v>1491237</v>
      </c>
      <c r="F21">
        <v>5</v>
      </c>
      <c r="G21" s="377">
        <v>21951.5</v>
      </c>
      <c r="H21">
        <v>2</v>
      </c>
      <c r="I21" s="377">
        <v>129596.9</v>
      </c>
      <c r="J21">
        <v>7</v>
      </c>
      <c r="K21" s="180">
        <v>151548.4</v>
      </c>
      <c r="R21" s="160"/>
      <c r="T21" s="180"/>
      <c r="V21" s="180"/>
      <c r="X21" s="180"/>
    </row>
    <row r="22" spans="1:25" ht="15" customHeight="1" x14ac:dyDescent="0.2">
      <c r="A22" t="s">
        <v>499</v>
      </c>
      <c r="B22" t="s">
        <v>498</v>
      </c>
      <c r="C22" t="s">
        <v>497</v>
      </c>
      <c r="D22" t="s">
        <v>339</v>
      </c>
      <c r="E22" s="160">
        <v>4485724</v>
      </c>
      <c r="F22">
        <v>6</v>
      </c>
      <c r="G22" s="377">
        <v>50488</v>
      </c>
      <c r="H22">
        <v>0</v>
      </c>
      <c r="I22" s="377">
        <v>0</v>
      </c>
      <c r="J22">
        <v>6</v>
      </c>
      <c r="K22" s="180">
        <v>50488</v>
      </c>
      <c r="R22" s="160"/>
      <c r="T22" s="180"/>
      <c r="V22" s="180"/>
      <c r="X22" s="180"/>
    </row>
    <row r="23" spans="1:25" ht="15" customHeight="1" x14ac:dyDescent="0.2">
      <c r="A23" t="s">
        <v>506</v>
      </c>
      <c r="B23" t="s">
        <v>505</v>
      </c>
      <c r="C23" t="s">
        <v>504</v>
      </c>
      <c r="D23" t="s">
        <v>353</v>
      </c>
      <c r="E23" s="160">
        <v>3915275</v>
      </c>
      <c r="F23">
        <v>21</v>
      </c>
      <c r="G23" s="377">
        <v>69866</v>
      </c>
      <c r="H23">
        <v>0</v>
      </c>
      <c r="I23" s="377">
        <v>0</v>
      </c>
      <c r="J23">
        <v>20</v>
      </c>
      <c r="K23" s="180">
        <v>69866</v>
      </c>
      <c r="R23" s="160"/>
      <c r="T23" s="180"/>
      <c r="V23" s="180"/>
      <c r="X23" s="180"/>
    </row>
    <row r="24" spans="1:25" ht="15" customHeight="1" x14ac:dyDescent="0.2">
      <c r="A24" t="s">
        <v>515</v>
      </c>
      <c r="B24" t="s">
        <v>514</v>
      </c>
      <c r="C24" t="s">
        <v>513</v>
      </c>
      <c r="D24" t="s">
        <v>321</v>
      </c>
      <c r="E24" s="160">
        <v>3550302</v>
      </c>
      <c r="F24">
        <v>63</v>
      </c>
      <c r="G24" s="377">
        <v>42725.95</v>
      </c>
      <c r="H24">
        <v>0</v>
      </c>
      <c r="I24" s="377">
        <v>0</v>
      </c>
      <c r="J24">
        <v>54</v>
      </c>
      <c r="K24" s="180">
        <v>42725.95</v>
      </c>
      <c r="R24" s="160"/>
      <c r="T24" s="180"/>
      <c r="V24" s="180"/>
      <c r="X24" s="180"/>
    </row>
    <row r="25" spans="1:25" ht="15" customHeight="1" x14ac:dyDescent="0.2">
      <c r="A25" t="s">
        <v>519</v>
      </c>
      <c r="B25" t="s">
        <v>518</v>
      </c>
      <c r="C25" t="s">
        <v>517</v>
      </c>
      <c r="D25" t="s">
        <v>321</v>
      </c>
      <c r="E25" s="160">
        <v>5849396</v>
      </c>
      <c r="F25">
        <v>110</v>
      </c>
      <c r="G25" s="377">
        <v>47690.1</v>
      </c>
      <c r="H25">
        <v>0</v>
      </c>
      <c r="I25" s="377">
        <v>0</v>
      </c>
      <c r="J25">
        <v>94</v>
      </c>
      <c r="K25" s="180">
        <v>47164.9</v>
      </c>
      <c r="R25" s="160"/>
      <c r="T25" s="180"/>
      <c r="V25" s="180"/>
      <c r="X25" s="180"/>
    </row>
    <row r="26" spans="1:25" ht="15" customHeight="1" x14ac:dyDescent="0.2">
      <c r="A26" t="s">
        <v>529</v>
      </c>
      <c r="B26" t="s">
        <v>528</v>
      </c>
      <c r="C26" t="s">
        <v>527</v>
      </c>
      <c r="D26" t="s">
        <v>321</v>
      </c>
      <c r="E26" s="160">
        <v>765877</v>
      </c>
      <c r="F26">
        <v>9</v>
      </c>
      <c r="G26" s="377">
        <v>9260.2000000000007</v>
      </c>
      <c r="H26">
        <v>0</v>
      </c>
      <c r="I26" s="377">
        <v>0</v>
      </c>
      <c r="J26">
        <v>9</v>
      </c>
      <c r="K26" s="180">
        <v>9260.2000000000007</v>
      </c>
      <c r="R26" s="160"/>
      <c r="T26" s="180"/>
      <c r="V26" s="180"/>
      <c r="X26" s="180"/>
    </row>
    <row r="27" spans="1:25" ht="15" customHeight="1" x14ac:dyDescent="0.2">
      <c r="A27" t="s">
        <v>533</v>
      </c>
      <c r="B27" t="s">
        <v>532</v>
      </c>
      <c r="C27" t="s">
        <v>531</v>
      </c>
      <c r="D27" t="s">
        <v>339</v>
      </c>
      <c r="E27" s="160">
        <v>60340</v>
      </c>
      <c r="F27">
        <v>1</v>
      </c>
      <c r="G27" s="377">
        <v>1785.8</v>
      </c>
      <c r="H27">
        <v>0</v>
      </c>
      <c r="I27" s="377">
        <v>0</v>
      </c>
      <c r="J27">
        <v>1</v>
      </c>
      <c r="K27" s="180">
        <v>1785.8</v>
      </c>
      <c r="R27" s="160"/>
      <c r="T27" s="180"/>
      <c r="V27" s="180"/>
      <c r="X27" s="180"/>
    </row>
    <row r="28" spans="1:25" ht="15" customHeight="1" x14ac:dyDescent="0.2">
      <c r="A28" t="s">
        <v>541</v>
      </c>
      <c r="B28" t="s">
        <v>540</v>
      </c>
      <c r="C28" t="s">
        <v>539</v>
      </c>
      <c r="D28" t="s">
        <v>321</v>
      </c>
      <c r="E28" s="160">
        <v>5295114</v>
      </c>
      <c r="F28">
        <v>65</v>
      </c>
      <c r="G28" s="377">
        <v>49789</v>
      </c>
      <c r="H28">
        <v>0</v>
      </c>
      <c r="I28" s="377">
        <v>0</v>
      </c>
      <c r="J28">
        <v>58</v>
      </c>
      <c r="K28" s="180">
        <v>49622</v>
      </c>
    </row>
    <row r="29" spans="1:25" ht="15" customHeight="1" x14ac:dyDescent="0.2">
      <c r="A29" t="s">
        <v>547</v>
      </c>
      <c r="B29" t="s">
        <v>546</v>
      </c>
      <c r="C29" t="s">
        <v>545</v>
      </c>
      <c r="D29" t="s">
        <v>321</v>
      </c>
      <c r="E29" s="160">
        <v>1373801</v>
      </c>
      <c r="F29">
        <v>19</v>
      </c>
      <c r="G29" s="377">
        <v>24093.5</v>
      </c>
      <c r="H29">
        <v>0</v>
      </c>
      <c r="I29" s="377">
        <v>0</v>
      </c>
      <c r="J29">
        <v>19</v>
      </c>
      <c r="K29" s="180">
        <v>24093.5</v>
      </c>
      <c r="O29" s="26"/>
      <c r="P29" s="26"/>
      <c r="Q29" s="26"/>
      <c r="R29" s="160"/>
      <c r="S29" s="160"/>
      <c r="T29" s="160"/>
      <c r="U29" s="160"/>
      <c r="V29" s="160"/>
      <c r="W29" s="160"/>
      <c r="X29" s="160"/>
    </row>
    <row r="30" spans="1:25" ht="15" customHeight="1" x14ac:dyDescent="0.2">
      <c r="A30" t="s">
        <v>563</v>
      </c>
      <c r="B30" t="s">
        <v>562</v>
      </c>
      <c r="C30" t="s">
        <v>561</v>
      </c>
      <c r="D30" t="s">
        <v>321</v>
      </c>
      <c r="E30" s="160">
        <v>1233770</v>
      </c>
      <c r="F30">
        <v>10</v>
      </c>
      <c r="G30" s="377">
        <v>17922.849999999999</v>
      </c>
      <c r="H30">
        <v>0</v>
      </c>
      <c r="I30" s="377">
        <v>0</v>
      </c>
      <c r="J30">
        <v>9</v>
      </c>
      <c r="K30" s="180">
        <v>17747.55</v>
      </c>
    </row>
    <row r="31" spans="1:25" ht="15" customHeight="1" x14ac:dyDescent="0.2">
      <c r="A31" t="s">
        <v>566</v>
      </c>
      <c r="B31" t="s">
        <v>565</v>
      </c>
      <c r="C31" t="s">
        <v>564</v>
      </c>
      <c r="D31" t="s">
        <v>339</v>
      </c>
      <c r="E31" s="160">
        <v>21727031</v>
      </c>
      <c r="F31">
        <v>171</v>
      </c>
      <c r="G31" s="377">
        <v>208870.11</v>
      </c>
      <c r="H31">
        <v>1</v>
      </c>
      <c r="I31" s="377">
        <v>24397.68</v>
      </c>
      <c r="J31">
        <v>149</v>
      </c>
      <c r="K31" s="180">
        <v>232116.17</v>
      </c>
      <c r="R31" s="160"/>
      <c r="T31" s="180"/>
      <c r="V31" s="180"/>
      <c r="X31" s="180"/>
    </row>
    <row r="32" spans="1:25" ht="15" customHeight="1" x14ac:dyDescent="0.2">
      <c r="A32" t="s">
        <v>571</v>
      </c>
      <c r="B32" t="s">
        <v>570</v>
      </c>
      <c r="C32" t="s">
        <v>569</v>
      </c>
      <c r="D32" t="s">
        <v>321</v>
      </c>
      <c r="E32" s="160">
        <v>200800</v>
      </c>
      <c r="F32">
        <v>8</v>
      </c>
      <c r="G32" s="377">
        <v>8165</v>
      </c>
      <c r="H32">
        <v>0</v>
      </c>
      <c r="I32" s="377">
        <v>0</v>
      </c>
      <c r="J32">
        <v>8</v>
      </c>
      <c r="K32" s="180">
        <v>8165</v>
      </c>
      <c r="R32" s="160"/>
      <c r="T32" s="180"/>
      <c r="V32" s="180"/>
      <c r="X32" s="180"/>
    </row>
    <row r="33" spans="1:24" ht="15" customHeight="1" x14ac:dyDescent="0.2">
      <c r="A33" t="s">
        <v>579</v>
      </c>
      <c r="B33" t="s">
        <v>578</v>
      </c>
      <c r="C33" t="s">
        <v>577</v>
      </c>
      <c r="D33" t="s">
        <v>353</v>
      </c>
      <c r="E33" s="160">
        <v>1129639</v>
      </c>
      <c r="F33">
        <v>8</v>
      </c>
      <c r="G33" s="377">
        <v>14749.97</v>
      </c>
      <c r="H33">
        <v>0</v>
      </c>
      <c r="I33" s="377">
        <v>0</v>
      </c>
      <c r="J33">
        <v>8</v>
      </c>
      <c r="K33" s="180">
        <v>14749.97</v>
      </c>
      <c r="R33" s="160"/>
      <c r="T33" s="180"/>
      <c r="V33" s="180"/>
      <c r="X33" s="180"/>
    </row>
    <row r="34" spans="1:24" ht="15" customHeight="1" x14ac:dyDescent="0.2">
      <c r="A34" t="s">
        <v>596</v>
      </c>
      <c r="B34" t="s">
        <v>595</v>
      </c>
      <c r="C34" t="s">
        <v>594</v>
      </c>
      <c r="D34" t="s">
        <v>321</v>
      </c>
      <c r="E34" s="160">
        <v>898376</v>
      </c>
      <c r="F34">
        <v>8</v>
      </c>
      <c r="G34" s="377">
        <v>21113.5</v>
      </c>
      <c r="H34">
        <v>0</v>
      </c>
      <c r="I34" s="377">
        <v>0</v>
      </c>
      <c r="J34">
        <v>8</v>
      </c>
      <c r="K34" s="180">
        <v>21113.5</v>
      </c>
      <c r="R34" s="160"/>
      <c r="T34" s="180"/>
      <c r="V34" s="180"/>
      <c r="X34" s="180"/>
    </row>
    <row r="35" spans="1:24" ht="15" customHeight="1" x14ac:dyDescent="0.2">
      <c r="A35" t="s">
        <v>605</v>
      </c>
      <c r="B35" t="s">
        <v>604</v>
      </c>
      <c r="C35" t="s">
        <v>603</v>
      </c>
      <c r="D35" t="s">
        <v>321</v>
      </c>
      <c r="E35" s="160">
        <v>1017158</v>
      </c>
      <c r="F35">
        <v>34</v>
      </c>
      <c r="G35" s="377">
        <v>55053.98</v>
      </c>
      <c r="H35">
        <v>0</v>
      </c>
      <c r="I35" s="377">
        <v>0</v>
      </c>
      <c r="J35">
        <v>27</v>
      </c>
      <c r="K35" s="180">
        <v>17311</v>
      </c>
    </row>
    <row r="36" spans="1:24" ht="15" customHeight="1" x14ac:dyDescent="0.2">
      <c r="A36" t="s">
        <v>608</v>
      </c>
      <c r="B36" t="s">
        <v>607</v>
      </c>
      <c r="C36" t="s">
        <v>606</v>
      </c>
      <c r="D36" t="s">
        <v>321</v>
      </c>
      <c r="E36" s="160">
        <v>297866</v>
      </c>
      <c r="F36">
        <v>1</v>
      </c>
      <c r="G36" s="377">
        <v>12035</v>
      </c>
      <c r="H36">
        <v>0</v>
      </c>
      <c r="I36" s="377">
        <v>0</v>
      </c>
      <c r="J36">
        <v>1</v>
      </c>
      <c r="K36" s="180">
        <v>12035</v>
      </c>
      <c r="O36" s="26"/>
      <c r="P36" s="26"/>
      <c r="Q36" s="26"/>
      <c r="R36" s="160"/>
      <c r="S36" s="160"/>
      <c r="T36" s="160"/>
      <c r="U36" s="160"/>
      <c r="V36" s="160"/>
      <c r="W36" s="160"/>
      <c r="X36" s="160"/>
    </row>
    <row r="37" spans="1:24" ht="15" customHeight="1" x14ac:dyDescent="0.2">
      <c r="A37" t="s">
        <v>611</v>
      </c>
      <c r="B37" t="s">
        <v>610</v>
      </c>
      <c r="C37" t="s">
        <v>609</v>
      </c>
      <c r="D37" t="s">
        <v>339</v>
      </c>
      <c r="E37" s="160">
        <v>18107939</v>
      </c>
      <c r="F37">
        <v>79</v>
      </c>
      <c r="G37" s="377">
        <v>114909</v>
      </c>
      <c r="H37">
        <v>0</v>
      </c>
      <c r="I37" s="377">
        <v>0</v>
      </c>
      <c r="J37">
        <v>74</v>
      </c>
      <c r="K37" s="180">
        <v>114758</v>
      </c>
    </row>
    <row r="38" spans="1:24" ht="15" customHeight="1" x14ac:dyDescent="0.2">
      <c r="A38" t="s">
        <v>614</v>
      </c>
      <c r="B38" t="s">
        <v>613</v>
      </c>
      <c r="C38" t="s">
        <v>612</v>
      </c>
      <c r="D38" t="s">
        <v>321</v>
      </c>
      <c r="E38" s="160">
        <v>5184881</v>
      </c>
      <c r="F38">
        <v>36</v>
      </c>
      <c r="G38" s="377">
        <v>43364.3</v>
      </c>
      <c r="H38">
        <v>0</v>
      </c>
      <c r="I38" s="377">
        <v>0</v>
      </c>
      <c r="J38">
        <v>32</v>
      </c>
      <c r="K38" s="180">
        <v>42878.6</v>
      </c>
    </row>
    <row r="39" spans="1:24" ht="15" customHeight="1" x14ac:dyDescent="0.2">
      <c r="A39" t="s">
        <v>617</v>
      </c>
      <c r="B39" t="s">
        <v>616</v>
      </c>
      <c r="C39" t="s">
        <v>615</v>
      </c>
      <c r="D39" t="s">
        <v>321</v>
      </c>
      <c r="E39" s="160">
        <v>3703320</v>
      </c>
      <c r="F39">
        <v>29</v>
      </c>
      <c r="G39" s="377">
        <v>46148.72</v>
      </c>
      <c r="H39">
        <v>0</v>
      </c>
      <c r="I39" s="377">
        <v>0</v>
      </c>
      <c r="J39">
        <v>28</v>
      </c>
      <c r="K39" s="180">
        <v>46103.49</v>
      </c>
    </row>
    <row r="40" spans="1:24" ht="15" customHeight="1" x14ac:dyDescent="0.2">
      <c r="A40" t="s">
        <v>620</v>
      </c>
      <c r="B40" t="s">
        <v>619</v>
      </c>
      <c r="C40" t="s">
        <v>618</v>
      </c>
      <c r="D40" t="s">
        <v>321</v>
      </c>
      <c r="E40" s="160">
        <v>522857</v>
      </c>
      <c r="F40">
        <v>5</v>
      </c>
      <c r="G40" s="377">
        <v>15058</v>
      </c>
      <c r="H40">
        <v>0</v>
      </c>
      <c r="I40" s="377">
        <v>0</v>
      </c>
      <c r="J40">
        <v>5</v>
      </c>
      <c r="K40" s="180">
        <v>15058</v>
      </c>
    </row>
    <row r="41" spans="1:24" ht="15" customHeight="1" x14ac:dyDescent="0.2">
      <c r="A41" t="s">
        <v>627</v>
      </c>
      <c r="B41" t="s">
        <v>626</v>
      </c>
      <c r="C41" t="s">
        <v>625</v>
      </c>
      <c r="D41" t="s">
        <v>321</v>
      </c>
      <c r="E41" s="160">
        <v>6625282</v>
      </c>
      <c r="F41">
        <v>79</v>
      </c>
      <c r="G41" s="377">
        <v>59853.599999999999</v>
      </c>
      <c r="H41">
        <v>0</v>
      </c>
      <c r="I41" s="377">
        <v>0</v>
      </c>
      <c r="J41">
        <v>72</v>
      </c>
      <c r="K41" s="180">
        <v>59539.1</v>
      </c>
    </row>
    <row r="42" spans="1:24" ht="15" customHeight="1" x14ac:dyDescent="0.2">
      <c r="A42" t="s">
        <v>632</v>
      </c>
      <c r="B42" t="s">
        <v>631</v>
      </c>
      <c r="C42" t="s">
        <v>630</v>
      </c>
      <c r="D42" t="s">
        <v>339</v>
      </c>
      <c r="E42" s="160">
        <v>12821834</v>
      </c>
      <c r="F42">
        <v>106</v>
      </c>
      <c r="G42" s="377">
        <v>163261.1</v>
      </c>
      <c r="H42">
        <v>0</v>
      </c>
      <c r="I42" s="377">
        <v>0</v>
      </c>
      <c r="J42">
        <v>104</v>
      </c>
      <c r="K42" s="180">
        <v>163089.37</v>
      </c>
    </row>
    <row r="43" spans="1:24" ht="15" customHeight="1" x14ac:dyDescent="0.2">
      <c r="A43" t="s">
        <v>639</v>
      </c>
      <c r="B43" t="s">
        <v>638</v>
      </c>
      <c r="C43" t="s">
        <v>637</v>
      </c>
      <c r="D43" t="s">
        <v>339</v>
      </c>
      <c r="E43" s="160">
        <v>5518141</v>
      </c>
      <c r="F43">
        <v>114</v>
      </c>
      <c r="G43" s="377">
        <v>87302.1</v>
      </c>
      <c r="H43">
        <v>2</v>
      </c>
      <c r="I43" s="377">
        <v>43908.1</v>
      </c>
      <c r="J43">
        <v>92</v>
      </c>
      <c r="K43" s="180">
        <v>130439.1</v>
      </c>
    </row>
    <row r="44" spans="1:24" ht="15" customHeight="1" x14ac:dyDescent="0.2">
      <c r="A44" t="s">
        <v>642</v>
      </c>
      <c r="B44" t="s">
        <v>641</v>
      </c>
      <c r="C44" t="s">
        <v>640</v>
      </c>
      <c r="D44" t="s">
        <v>321</v>
      </c>
      <c r="E44" s="160">
        <v>629401</v>
      </c>
      <c r="F44">
        <v>2</v>
      </c>
      <c r="G44" s="377">
        <v>7183.66</v>
      </c>
      <c r="H44">
        <v>0</v>
      </c>
      <c r="I44" s="377">
        <v>0</v>
      </c>
      <c r="J44">
        <v>2</v>
      </c>
      <c r="K44" s="180">
        <v>7183.66</v>
      </c>
    </row>
    <row r="45" spans="1:24" ht="15" customHeight="1" x14ac:dyDescent="0.2">
      <c r="A45" t="s">
        <v>645</v>
      </c>
      <c r="B45" t="s">
        <v>644</v>
      </c>
      <c r="C45" t="s">
        <v>643</v>
      </c>
      <c r="D45" t="s">
        <v>321</v>
      </c>
      <c r="E45" s="160">
        <v>5188182</v>
      </c>
      <c r="F45">
        <v>67</v>
      </c>
      <c r="G45" s="377">
        <v>59713</v>
      </c>
      <c r="H45">
        <v>0</v>
      </c>
      <c r="I45" s="377">
        <v>0</v>
      </c>
      <c r="J45">
        <v>61</v>
      </c>
      <c r="K45" s="180">
        <v>59229.599999999999</v>
      </c>
    </row>
    <row r="46" spans="1:24" ht="15" customHeight="1" x14ac:dyDescent="0.2">
      <c r="A46" t="s">
        <v>648</v>
      </c>
      <c r="B46" t="s">
        <v>647</v>
      </c>
      <c r="C46" t="s">
        <v>646</v>
      </c>
      <c r="D46" t="s">
        <v>321</v>
      </c>
      <c r="E46" s="160">
        <v>927688</v>
      </c>
      <c r="F46">
        <v>23</v>
      </c>
      <c r="G46" s="377">
        <v>27852.99</v>
      </c>
      <c r="H46">
        <v>0</v>
      </c>
      <c r="I46" s="377">
        <v>0</v>
      </c>
      <c r="J46">
        <v>22</v>
      </c>
      <c r="K46" s="180">
        <v>27834.76</v>
      </c>
    </row>
    <row r="47" spans="1:24" ht="15" customHeight="1" x14ac:dyDescent="0.2">
      <c r="A47" t="s">
        <v>651</v>
      </c>
      <c r="B47" t="s">
        <v>650</v>
      </c>
      <c r="C47" t="s">
        <v>649</v>
      </c>
      <c r="D47" t="s">
        <v>31482</v>
      </c>
      <c r="E47" s="160">
        <v>416021</v>
      </c>
      <c r="F47">
        <v>2</v>
      </c>
      <c r="G47" s="377">
        <v>177.45</v>
      </c>
      <c r="H47">
        <v>0</v>
      </c>
      <c r="I47" s="377">
        <v>0</v>
      </c>
      <c r="J47">
        <v>2</v>
      </c>
      <c r="K47" s="180">
        <v>177.45</v>
      </c>
    </row>
    <row r="48" spans="1:24" ht="15" customHeight="1" x14ac:dyDescent="0.2">
      <c r="A48" t="s">
        <v>654</v>
      </c>
      <c r="B48" t="s">
        <v>653</v>
      </c>
      <c r="C48" t="s">
        <v>652</v>
      </c>
      <c r="D48" t="s">
        <v>321</v>
      </c>
      <c r="E48" s="160">
        <v>2695106</v>
      </c>
      <c r="F48">
        <v>35</v>
      </c>
      <c r="G48" s="377">
        <v>33670.699999999997</v>
      </c>
      <c r="H48">
        <v>0</v>
      </c>
      <c r="I48" s="377">
        <v>0</v>
      </c>
      <c r="J48">
        <v>29</v>
      </c>
      <c r="K48" s="180">
        <v>33431.800000000003</v>
      </c>
    </row>
    <row r="49" spans="1:11" ht="15" customHeight="1" x14ac:dyDescent="0.2">
      <c r="A49" t="s">
        <v>657</v>
      </c>
      <c r="B49" t="s">
        <v>656</v>
      </c>
      <c r="C49" t="s">
        <v>655</v>
      </c>
      <c r="D49" t="s">
        <v>339</v>
      </c>
      <c r="E49" s="160">
        <v>40984048.340000004</v>
      </c>
      <c r="F49">
        <v>212</v>
      </c>
      <c r="G49" s="377">
        <v>222111.2</v>
      </c>
      <c r="H49">
        <v>0</v>
      </c>
      <c r="I49" s="377">
        <v>0</v>
      </c>
      <c r="J49">
        <v>205</v>
      </c>
      <c r="K49" s="180">
        <v>219784.48</v>
      </c>
    </row>
    <row r="50" spans="1:11" ht="15" customHeight="1" x14ac:dyDescent="0.2">
      <c r="A50" t="s">
        <v>662</v>
      </c>
      <c r="B50" t="s">
        <v>661</v>
      </c>
      <c r="C50" t="s">
        <v>660</v>
      </c>
      <c r="D50" t="s">
        <v>321</v>
      </c>
      <c r="E50" s="160">
        <v>5158844.75</v>
      </c>
      <c r="F50">
        <v>115</v>
      </c>
      <c r="G50" s="377">
        <v>44456.160000000003</v>
      </c>
      <c r="H50">
        <v>0</v>
      </c>
      <c r="I50" s="377">
        <v>0</v>
      </c>
      <c r="J50">
        <v>93</v>
      </c>
      <c r="K50" s="180">
        <v>42896.31</v>
      </c>
    </row>
    <row r="51" spans="1:11" ht="15" customHeight="1" x14ac:dyDescent="0.2">
      <c r="A51" t="s">
        <v>665</v>
      </c>
      <c r="B51" t="s">
        <v>664</v>
      </c>
      <c r="C51" t="s">
        <v>663</v>
      </c>
      <c r="D51" t="s">
        <v>353</v>
      </c>
      <c r="E51" s="160">
        <v>51386</v>
      </c>
      <c r="F51">
        <v>3</v>
      </c>
      <c r="G51" s="377">
        <v>2653.3</v>
      </c>
      <c r="H51">
        <v>0</v>
      </c>
      <c r="I51" s="377">
        <v>0</v>
      </c>
      <c r="J51">
        <v>3</v>
      </c>
      <c r="K51" s="180">
        <v>2653.3</v>
      </c>
    </row>
    <row r="52" spans="1:11" ht="15" customHeight="1" x14ac:dyDescent="0.2">
      <c r="A52" t="s">
        <v>674</v>
      </c>
      <c r="B52" t="s">
        <v>673</v>
      </c>
      <c r="C52" t="s">
        <v>672</v>
      </c>
      <c r="D52" t="s">
        <v>339</v>
      </c>
      <c r="E52" s="160">
        <v>6020091</v>
      </c>
      <c r="F52">
        <v>123</v>
      </c>
      <c r="G52" s="377">
        <v>72968.73</v>
      </c>
      <c r="H52">
        <v>1</v>
      </c>
      <c r="I52" s="377">
        <v>20728.93</v>
      </c>
      <c r="J52">
        <v>122</v>
      </c>
      <c r="K52" s="180">
        <v>93612.27</v>
      </c>
    </row>
    <row r="53" spans="1:11" ht="15" customHeight="1" x14ac:dyDescent="0.2">
      <c r="A53" t="s">
        <v>681</v>
      </c>
      <c r="B53" t="s">
        <v>680</v>
      </c>
      <c r="C53" t="s">
        <v>679</v>
      </c>
      <c r="D53" t="s">
        <v>321</v>
      </c>
      <c r="E53" s="160">
        <v>1392920</v>
      </c>
      <c r="F53">
        <v>16</v>
      </c>
      <c r="G53" s="377">
        <v>27964.400000000001</v>
      </c>
      <c r="H53">
        <v>0</v>
      </c>
      <c r="I53" s="377">
        <v>0</v>
      </c>
      <c r="J53">
        <v>16</v>
      </c>
      <c r="K53" s="180">
        <v>27964.400000000001</v>
      </c>
    </row>
    <row r="54" spans="1:11" ht="15" customHeight="1" x14ac:dyDescent="0.2">
      <c r="A54" t="s">
        <v>684</v>
      </c>
      <c r="B54" t="s">
        <v>683</v>
      </c>
      <c r="C54" t="s">
        <v>682</v>
      </c>
      <c r="D54" t="s">
        <v>339</v>
      </c>
      <c r="E54" s="160">
        <v>255728</v>
      </c>
      <c r="F54">
        <v>24</v>
      </c>
      <c r="G54" s="377">
        <v>7266.06</v>
      </c>
      <c r="H54">
        <v>0</v>
      </c>
      <c r="I54" s="377">
        <v>0</v>
      </c>
      <c r="J54">
        <v>10</v>
      </c>
      <c r="K54" s="180">
        <v>6762.3</v>
      </c>
    </row>
    <row r="55" spans="1:11" ht="15" customHeight="1" x14ac:dyDescent="0.2">
      <c r="A55" t="s">
        <v>694</v>
      </c>
      <c r="B55" t="s">
        <v>693</v>
      </c>
      <c r="C55" t="s">
        <v>692</v>
      </c>
      <c r="D55" t="s">
        <v>321</v>
      </c>
      <c r="E55" s="160">
        <v>1489074</v>
      </c>
      <c r="F55">
        <v>8</v>
      </c>
      <c r="G55" s="377">
        <v>18638.66</v>
      </c>
      <c r="H55">
        <v>0</v>
      </c>
      <c r="I55" s="377">
        <v>0</v>
      </c>
      <c r="J55">
        <v>8</v>
      </c>
      <c r="K55" s="180">
        <v>18638.66</v>
      </c>
    </row>
    <row r="56" spans="1:11" ht="15" customHeight="1" x14ac:dyDescent="0.2">
      <c r="A56" t="s">
        <v>700</v>
      </c>
      <c r="B56" t="s">
        <v>699</v>
      </c>
      <c r="C56" t="s">
        <v>698</v>
      </c>
      <c r="D56" t="s">
        <v>321</v>
      </c>
      <c r="E56" s="160">
        <v>2293210</v>
      </c>
      <c r="F56">
        <v>101</v>
      </c>
      <c r="G56" s="377">
        <v>31769.9</v>
      </c>
      <c r="H56">
        <v>0</v>
      </c>
      <c r="I56" s="377">
        <v>0</v>
      </c>
      <c r="J56">
        <v>78</v>
      </c>
      <c r="K56" s="180">
        <v>31109.9</v>
      </c>
    </row>
    <row r="57" spans="1:11" ht="15" customHeight="1" x14ac:dyDescent="0.2">
      <c r="A57" t="s">
        <v>703</v>
      </c>
      <c r="B57" t="s">
        <v>702</v>
      </c>
      <c r="C57" t="s">
        <v>701</v>
      </c>
      <c r="D57" t="s">
        <v>353</v>
      </c>
      <c r="E57" s="160">
        <v>3511170</v>
      </c>
      <c r="F57">
        <v>43</v>
      </c>
      <c r="G57" s="377">
        <v>46224</v>
      </c>
      <c r="H57">
        <v>0</v>
      </c>
      <c r="I57" s="377">
        <v>0</v>
      </c>
      <c r="J57">
        <v>39</v>
      </c>
      <c r="K57" s="180">
        <v>46071</v>
      </c>
    </row>
    <row r="58" spans="1:11" ht="15" customHeight="1" x14ac:dyDescent="0.2">
      <c r="A58" t="s">
        <v>706</v>
      </c>
      <c r="B58" t="s">
        <v>705</v>
      </c>
      <c r="C58" t="s">
        <v>704</v>
      </c>
      <c r="D58" t="s">
        <v>339</v>
      </c>
      <c r="E58" s="160">
        <v>20858595</v>
      </c>
      <c r="F58">
        <v>262</v>
      </c>
      <c r="G58" s="377">
        <v>160793</v>
      </c>
      <c r="H58">
        <v>0</v>
      </c>
      <c r="I58" s="377">
        <v>0</v>
      </c>
      <c r="J58">
        <v>190</v>
      </c>
      <c r="K58" s="180">
        <v>159146.79999999999</v>
      </c>
    </row>
    <row r="59" spans="1:11" ht="15" customHeight="1" x14ac:dyDescent="0.2">
      <c r="A59" t="s">
        <v>709</v>
      </c>
      <c r="B59" t="s">
        <v>708</v>
      </c>
      <c r="C59" t="s">
        <v>707</v>
      </c>
      <c r="D59" t="s">
        <v>321</v>
      </c>
      <c r="E59" s="160">
        <v>3684843</v>
      </c>
      <c r="F59">
        <v>35</v>
      </c>
      <c r="G59" s="377">
        <v>42119.72</v>
      </c>
      <c r="H59">
        <v>0</v>
      </c>
      <c r="I59" s="377">
        <v>0</v>
      </c>
      <c r="J59">
        <v>35</v>
      </c>
      <c r="K59" s="180">
        <v>42119.72</v>
      </c>
    </row>
    <row r="60" spans="1:11" ht="15" customHeight="1" x14ac:dyDescent="0.2">
      <c r="A60" t="s">
        <v>715</v>
      </c>
      <c r="B60" t="s">
        <v>714</v>
      </c>
      <c r="C60" t="s">
        <v>713</v>
      </c>
      <c r="D60" t="s">
        <v>339</v>
      </c>
      <c r="E60" s="160">
        <v>17123656.5</v>
      </c>
      <c r="F60">
        <v>129</v>
      </c>
      <c r="G60" s="377">
        <v>118187.4</v>
      </c>
      <c r="H60">
        <v>1</v>
      </c>
      <c r="I60" s="377">
        <v>27420.799999999999</v>
      </c>
      <c r="J60">
        <v>109</v>
      </c>
      <c r="K60" s="180">
        <v>120921.3</v>
      </c>
    </row>
    <row r="61" spans="1:11" ht="15" customHeight="1" x14ac:dyDescent="0.2">
      <c r="A61" t="s">
        <v>723</v>
      </c>
      <c r="B61" t="s">
        <v>722</v>
      </c>
      <c r="C61" t="s">
        <v>721</v>
      </c>
      <c r="D61" t="s">
        <v>321</v>
      </c>
      <c r="E61" s="160">
        <v>3596232</v>
      </c>
      <c r="F61">
        <v>35</v>
      </c>
      <c r="G61" s="377">
        <v>33081.4</v>
      </c>
      <c r="H61">
        <v>0</v>
      </c>
      <c r="I61" s="377">
        <v>0</v>
      </c>
      <c r="J61">
        <v>35</v>
      </c>
      <c r="K61" s="180">
        <v>33081.4</v>
      </c>
    </row>
    <row r="62" spans="1:11" ht="15" customHeight="1" x14ac:dyDescent="0.2">
      <c r="A62" t="s">
        <v>726</v>
      </c>
      <c r="B62" t="s">
        <v>725</v>
      </c>
      <c r="C62" t="s">
        <v>724</v>
      </c>
      <c r="D62" t="s">
        <v>321</v>
      </c>
      <c r="E62" s="160">
        <v>6220006</v>
      </c>
      <c r="F62">
        <v>69</v>
      </c>
      <c r="G62" s="377">
        <v>65142.52</v>
      </c>
      <c r="H62">
        <v>0</v>
      </c>
      <c r="I62" s="377">
        <v>0</v>
      </c>
      <c r="J62">
        <v>66</v>
      </c>
      <c r="K62" s="180">
        <v>65014.75</v>
      </c>
    </row>
    <row r="63" spans="1:11" ht="15" customHeight="1" x14ac:dyDescent="0.2">
      <c r="A63" t="s">
        <v>733</v>
      </c>
      <c r="B63" t="s">
        <v>732</v>
      </c>
      <c r="C63" t="s">
        <v>731</v>
      </c>
      <c r="D63" t="s">
        <v>321</v>
      </c>
      <c r="E63" s="160">
        <v>5630563</v>
      </c>
      <c r="F63">
        <v>40</v>
      </c>
      <c r="G63" s="377">
        <v>52823.33</v>
      </c>
      <c r="H63">
        <v>0</v>
      </c>
      <c r="I63" s="377">
        <v>0</v>
      </c>
      <c r="J63">
        <v>38</v>
      </c>
      <c r="K63" s="180">
        <v>52667.360000000001</v>
      </c>
    </row>
    <row r="64" spans="1:11" ht="15" customHeight="1" x14ac:dyDescent="0.2">
      <c r="A64" t="s">
        <v>736</v>
      </c>
      <c r="B64" t="s">
        <v>735</v>
      </c>
      <c r="C64" t="s">
        <v>734</v>
      </c>
      <c r="D64" t="s">
        <v>321</v>
      </c>
      <c r="E64" s="160">
        <v>6774633</v>
      </c>
      <c r="F64">
        <v>50</v>
      </c>
      <c r="G64" s="377">
        <v>65314.04</v>
      </c>
      <c r="H64">
        <v>0</v>
      </c>
      <c r="I64" s="377">
        <v>0</v>
      </c>
      <c r="J64">
        <v>46</v>
      </c>
      <c r="K64" s="180">
        <v>65146.94</v>
      </c>
    </row>
    <row r="65" spans="1:11" ht="15" customHeight="1" x14ac:dyDescent="0.2">
      <c r="A65" t="s">
        <v>739</v>
      </c>
      <c r="B65" t="s">
        <v>738</v>
      </c>
      <c r="C65" t="s">
        <v>737</v>
      </c>
      <c r="D65" t="s">
        <v>321</v>
      </c>
      <c r="E65" s="160">
        <v>4143906</v>
      </c>
      <c r="F65">
        <v>163</v>
      </c>
      <c r="G65" s="377">
        <v>48166</v>
      </c>
      <c r="H65">
        <v>0</v>
      </c>
      <c r="I65" s="377">
        <v>0</v>
      </c>
      <c r="J65">
        <v>104</v>
      </c>
      <c r="K65" s="180">
        <v>46231</v>
      </c>
    </row>
    <row r="66" spans="1:11" ht="15" customHeight="1" x14ac:dyDescent="0.2">
      <c r="A66" t="s">
        <v>742</v>
      </c>
      <c r="B66" t="s">
        <v>741</v>
      </c>
      <c r="C66" t="s">
        <v>740</v>
      </c>
      <c r="D66" t="s">
        <v>339</v>
      </c>
      <c r="E66" s="160">
        <v>8994839</v>
      </c>
      <c r="F66">
        <v>172</v>
      </c>
      <c r="G66" s="377">
        <v>128372.5</v>
      </c>
      <c r="H66">
        <v>0</v>
      </c>
      <c r="I66" s="377">
        <v>0</v>
      </c>
      <c r="J66">
        <v>167</v>
      </c>
      <c r="K66" s="180">
        <v>128336.5</v>
      </c>
    </row>
    <row r="67" spans="1:11" ht="15" customHeight="1" x14ac:dyDescent="0.2">
      <c r="A67" t="s">
        <v>751</v>
      </c>
      <c r="B67" t="s">
        <v>750</v>
      </c>
      <c r="C67" t="s">
        <v>749</v>
      </c>
      <c r="D67" t="s">
        <v>321</v>
      </c>
      <c r="E67" s="160">
        <v>1692016.11</v>
      </c>
      <c r="F67">
        <v>38</v>
      </c>
      <c r="G67" s="377">
        <v>41575.199999999997</v>
      </c>
      <c r="H67">
        <v>0</v>
      </c>
      <c r="I67" s="377">
        <v>0</v>
      </c>
      <c r="J67">
        <v>35</v>
      </c>
      <c r="K67" s="180">
        <v>41459.699999999997</v>
      </c>
    </row>
    <row r="68" spans="1:11" ht="15" customHeight="1" x14ac:dyDescent="0.2">
      <c r="A68" t="s">
        <v>754</v>
      </c>
      <c r="B68" t="s">
        <v>753</v>
      </c>
      <c r="C68" t="s">
        <v>752</v>
      </c>
      <c r="D68" t="s">
        <v>321</v>
      </c>
      <c r="E68" s="160">
        <v>8793754</v>
      </c>
      <c r="F68">
        <v>177</v>
      </c>
      <c r="G68" s="377">
        <v>96367.99</v>
      </c>
      <c r="H68">
        <v>0</v>
      </c>
      <c r="I68" s="377">
        <v>0</v>
      </c>
      <c r="J68">
        <v>135</v>
      </c>
      <c r="K68" s="180">
        <v>95836</v>
      </c>
    </row>
    <row r="69" spans="1:11" ht="15" customHeight="1" x14ac:dyDescent="0.2">
      <c r="A69" t="s">
        <v>762</v>
      </c>
      <c r="B69" t="s">
        <v>761</v>
      </c>
      <c r="C69" t="s">
        <v>760</v>
      </c>
      <c r="D69" t="s">
        <v>321</v>
      </c>
      <c r="E69" s="160">
        <v>5491444</v>
      </c>
      <c r="F69">
        <v>12</v>
      </c>
      <c r="G69" s="377">
        <v>49576.31</v>
      </c>
      <c r="H69">
        <v>0</v>
      </c>
      <c r="I69" s="377">
        <v>0</v>
      </c>
      <c r="J69">
        <v>12</v>
      </c>
      <c r="K69" s="180">
        <v>49576.31</v>
      </c>
    </row>
    <row r="70" spans="1:11" ht="15" customHeight="1" x14ac:dyDescent="0.2">
      <c r="A70" t="s">
        <v>765</v>
      </c>
      <c r="B70" t="s">
        <v>764</v>
      </c>
      <c r="C70" t="s">
        <v>763</v>
      </c>
      <c r="D70" t="s">
        <v>321</v>
      </c>
      <c r="E70" s="160">
        <v>58115</v>
      </c>
      <c r="F70">
        <v>1</v>
      </c>
      <c r="G70" s="377">
        <v>3594</v>
      </c>
      <c r="H70">
        <v>0</v>
      </c>
      <c r="I70" s="377">
        <v>0</v>
      </c>
      <c r="J70">
        <v>1</v>
      </c>
      <c r="K70" s="180">
        <v>3594</v>
      </c>
    </row>
    <row r="71" spans="1:11" ht="15" customHeight="1" x14ac:dyDescent="0.2">
      <c r="A71" t="s">
        <v>775</v>
      </c>
      <c r="B71" t="s">
        <v>774</v>
      </c>
      <c r="C71" t="s">
        <v>773</v>
      </c>
      <c r="D71" t="s">
        <v>321</v>
      </c>
      <c r="E71" s="160">
        <v>4876966</v>
      </c>
      <c r="F71">
        <v>24</v>
      </c>
      <c r="G71" s="377">
        <v>55945.1</v>
      </c>
      <c r="H71">
        <v>0</v>
      </c>
      <c r="I71" s="377">
        <v>0</v>
      </c>
      <c r="J71">
        <v>24</v>
      </c>
      <c r="K71" s="180">
        <v>55945.1</v>
      </c>
    </row>
    <row r="72" spans="1:11" ht="15" customHeight="1" x14ac:dyDescent="0.2">
      <c r="A72" t="s">
        <v>781</v>
      </c>
      <c r="B72" t="s">
        <v>780</v>
      </c>
      <c r="C72" t="s">
        <v>779</v>
      </c>
      <c r="D72" t="s">
        <v>321</v>
      </c>
      <c r="E72" s="160">
        <v>816882</v>
      </c>
      <c r="F72">
        <v>13</v>
      </c>
      <c r="G72" s="377">
        <v>14366.2</v>
      </c>
      <c r="H72">
        <v>0</v>
      </c>
      <c r="I72" s="377">
        <v>0</v>
      </c>
      <c r="J72">
        <v>13</v>
      </c>
      <c r="K72" s="180">
        <v>14366.2</v>
      </c>
    </row>
    <row r="73" spans="1:11" ht="15" customHeight="1" x14ac:dyDescent="0.2">
      <c r="A73" t="s">
        <v>790</v>
      </c>
      <c r="B73" t="s">
        <v>789</v>
      </c>
      <c r="C73" t="s">
        <v>788</v>
      </c>
      <c r="D73" t="s">
        <v>321</v>
      </c>
      <c r="E73" s="160">
        <v>1760028</v>
      </c>
      <c r="F73">
        <v>16</v>
      </c>
      <c r="G73" s="377">
        <v>32154</v>
      </c>
      <c r="H73">
        <v>0</v>
      </c>
      <c r="I73" s="377">
        <v>0</v>
      </c>
      <c r="J73">
        <v>16</v>
      </c>
      <c r="K73" s="180">
        <v>32154</v>
      </c>
    </row>
    <row r="74" spans="1:11" ht="15" customHeight="1" x14ac:dyDescent="0.2">
      <c r="A74" t="s">
        <v>793</v>
      </c>
      <c r="B74" t="s">
        <v>792</v>
      </c>
      <c r="C74" t="s">
        <v>791</v>
      </c>
      <c r="D74" t="s">
        <v>321</v>
      </c>
      <c r="E74" s="160">
        <v>3161440</v>
      </c>
      <c r="F74">
        <v>30</v>
      </c>
      <c r="G74" s="377">
        <v>41413.64</v>
      </c>
      <c r="H74">
        <v>0</v>
      </c>
      <c r="I74" s="377">
        <v>0</v>
      </c>
      <c r="J74">
        <v>28</v>
      </c>
      <c r="K74" s="180">
        <v>41265.019999999997</v>
      </c>
    </row>
    <row r="75" spans="1:11" ht="15" customHeight="1" x14ac:dyDescent="0.2">
      <c r="A75" t="s">
        <v>796</v>
      </c>
      <c r="B75" t="s">
        <v>795</v>
      </c>
      <c r="C75" t="s">
        <v>794</v>
      </c>
      <c r="D75" t="s">
        <v>321</v>
      </c>
      <c r="E75" s="160">
        <v>3598575</v>
      </c>
      <c r="F75">
        <v>41</v>
      </c>
      <c r="G75" s="377">
        <v>31620.34</v>
      </c>
      <c r="H75">
        <v>0</v>
      </c>
      <c r="I75" s="377">
        <v>0</v>
      </c>
      <c r="J75">
        <v>40</v>
      </c>
      <c r="K75" s="180">
        <v>31523.31</v>
      </c>
    </row>
    <row r="76" spans="1:11" ht="15" customHeight="1" x14ac:dyDescent="0.2">
      <c r="A76" t="s">
        <v>799</v>
      </c>
      <c r="B76" t="s">
        <v>798</v>
      </c>
      <c r="C76" t="s">
        <v>797</v>
      </c>
      <c r="D76" t="s">
        <v>321</v>
      </c>
      <c r="E76" s="160">
        <v>1721128</v>
      </c>
      <c r="F76">
        <v>17</v>
      </c>
      <c r="G76" s="377">
        <v>32665</v>
      </c>
      <c r="H76">
        <v>0</v>
      </c>
      <c r="I76" s="377">
        <v>0</v>
      </c>
      <c r="J76">
        <v>17</v>
      </c>
      <c r="K76" s="180">
        <v>32665</v>
      </c>
    </row>
    <row r="77" spans="1:11" ht="15" customHeight="1" x14ac:dyDescent="0.2">
      <c r="A77" t="s">
        <v>802</v>
      </c>
      <c r="B77" t="s">
        <v>801</v>
      </c>
      <c r="C77" t="s">
        <v>800</v>
      </c>
      <c r="D77" t="s">
        <v>353</v>
      </c>
      <c r="E77" s="160">
        <v>15548</v>
      </c>
      <c r="F77">
        <v>1</v>
      </c>
      <c r="G77" s="377">
        <v>1209.2</v>
      </c>
      <c r="H77">
        <v>0</v>
      </c>
      <c r="I77" s="377">
        <v>0</v>
      </c>
      <c r="J77">
        <v>1</v>
      </c>
      <c r="K77" s="180">
        <v>1209.2</v>
      </c>
    </row>
    <row r="78" spans="1:11" ht="15" customHeight="1" x14ac:dyDescent="0.2">
      <c r="A78" t="s">
        <v>809</v>
      </c>
      <c r="B78" t="s">
        <v>808</v>
      </c>
      <c r="C78" t="s">
        <v>807</v>
      </c>
      <c r="D78" t="s">
        <v>321</v>
      </c>
      <c r="E78" s="160">
        <v>981413</v>
      </c>
      <c r="F78">
        <v>12</v>
      </c>
      <c r="G78" s="377">
        <v>12449.33</v>
      </c>
      <c r="H78">
        <v>0</v>
      </c>
      <c r="I78" s="377">
        <v>0</v>
      </c>
      <c r="J78">
        <v>12</v>
      </c>
      <c r="K78" s="180">
        <v>12449.33</v>
      </c>
    </row>
    <row r="79" spans="1:11" ht="15" customHeight="1" x14ac:dyDescent="0.2">
      <c r="A79" t="s">
        <v>812</v>
      </c>
      <c r="B79" t="s">
        <v>811</v>
      </c>
      <c r="C79" t="s">
        <v>810</v>
      </c>
      <c r="D79" t="s">
        <v>321</v>
      </c>
      <c r="E79" s="160">
        <v>294195</v>
      </c>
      <c r="F79">
        <v>1</v>
      </c>
      <c r="G79" s="377">
        <v>6676.8</v>
      </c>
      <c r="H79">
        <v>0</v>
      </c>
      <c r="I79" s="377">
        <v>0</v>
      </c>
      <c r="J79">
        <v>1</v>
      </c>
      <c r="K79" s="180">
        <v>6676.8</v>
      </c>
    </row>
    <row r="80" spans="1:11" ht="15" customHeight="1" x14ac:dyDescent="0.2">
      <c r="A80" t="s">
        <v>818</v>
      </c>
      <c r="B80" t="s">
        <v>817</v>
      </c>
      <c r="C80" t="s">
        <v>816</v>
      </c>
      <c r="D80" t="s">
        <v>321</v>
      </c>
      <c r="E80" s="160">
        <v>669980</v>
      </c>
      <c r="F80">
        <v>6</v>
      </c>
      <c r="G80" s="377">
        <v>7293.14</v>
      </c>
      <c r="H80">
        <v>0</v>
      </c>
      <c r="I80" s="377">
        <v>0</v>
      </c>
      <c r="J80">
        <v>6</v>
      </c>
      <c r="K80" s="180">
        <v>7293.14</v>
      </c>
    </row>
    <row r="81" spans="1:11" ht="15" customHeight="1" x14ac:dyDescent="0.2">
      <c r="A81" t="s">
        <v>821</v>
      </c>
      <c r="B81" t="s">
        <v>820</v>
      </c>
      <c r="C81" t="s">
        <v>819</v>
      </c>
      <c r="D81" t="s">
        <v>321</v>
      </c>
      <c r="E81" s="160">
        <v>857488</v>
      </c>
      <c r="F81">
        <v>21</v>
      </c>
      <c r="G81" s="377">
        <v>17684</v>
      </c>
      <c r="H81">
        <v>0</v>
      </c>
      <c r="I81" s="377">
        <v>0</v>
      </c>
      <c r="J81">
        <v>19</v>
      </c>
      <c r="K81" s="180">
        <v>17580</v>
      </c>
    </row>
    <row r="82" spans="1:11" ht="15" customHeight="1" x14ac:dyDescent="0.2">
      <c r="A82" t="s">
        <v>827</v>
      </c>
      <c r="B82" t="s">
        <v>826</v>
      </c>
      <c r="C82" t="s">
        <v>825</v>
      </c>
      <c r="D82" t="s">
        <v>321</v>
      </c>
      <c r="E82" s="160">
        <v>2478247</v>
      </c>
      <c r="F82">
        <v>24</v>
      </c>
      <c r="G82" s="377">
        <v>32228.63</v>
      </c>
      <c r="H82">
        <v>0</v>
      </c>
      <c r="I82" s="377">
        <v>0</v>
      </c>
      <c r="J82">
        <v>23</v>
      </c>
      <c r="K82" s="180">
        <v>32121.3</v>
      </c>
    </row>
    <row r="83" spans="1:11" ht="15" customHeight="1" x14ac:dyDescent="0.2">
      <c r="A83" t="s">
        <v>833</v>
      </c>
      <c r="B83" t="s">
        <v>832</v>
      </c>
      <c r="C83" t="s">
        <v>831</v>
      </c>
      <c r="D83" t="s">
        <v>339</v>
      </c>
      <c r="E83" s="160">
        <v>245485</v>
      </c>
      <c r="F83">
        <v>6</v>
      </c>
      <c r="G83" s="377">
        <v>3883</v>
      </c>
      <c r="H83">
        <v>0</v>
      </c>
      <c r="I83" s="377">
        <v>0</v>
      </c>
      <c r="J83">
        <v>6</v>
      </c>
      <c r="K83" s="180">
        <v>3883</v>
      </c>
    </row>
    <row r="84" spans="1:11" ht="15" customHeight="1" x14ac:dyDescent="0.2">
      <c r="A84" t="s">
        <v>841</v>
      </c>
      <c r="B84" t="s">
        <v>840</v>
      </c>
      <c r="C84" t="s">
        <v>839</v>
      </c>
      <c r="D84" t="s">
        <v>321</v>
      </c>
      <c r="E84" s="160">
        <v>2900733</v>
      </c>
      <c r="F84">
        <v>91</v>
      </c>
      <c r="G84" s="377">
        <v>29623.5</v>
      </c>
      <c r="H84">
        <v>0</v>
      </c>
      <c r="I84" s="377">
        <v>0</v>
      </c>
      <c r="J84">
        <v>61</v>
      </c>
      <c r="K84" s="180">
        <v>28329.200000000001</v>
      </c>
    </row>
    <row r="85" spans="1:11" ht="15" customHeight="1" x14ac:dyDescent="0.2">
      <c r="A85" t="s">
        <v>853</v>
      </c>
      <c r="B85" t="s">
        <v>852</v>
      </c>
      <c r="C85" t="s">
        <v>851</v>
      </c>
      <c r="D85" t="s">
        <v>321</v>
      </c>
      <c r="E85" s="160">
        <v>4648400</v>
      </c>
      <c r="F85">
        <v>21</v>
      </c>
      <c r="G85" s="377">
        <v>43072.160000000003</v>
      </c>
      <c r="H85">
        <v>0</v>
      </c>
      <c r="I85" s="377">
        <v>0</v>
      </c>
      <c r="J85">
        <v>21</v>
      </c>
      <c r="K85" s="180">
        <v>43072.160000000003</v>
      </c>
    </row>
    <row r="86" spans="1:11" ht="15" customHeight="1" x14ac:dyDescent="0.2">
      <c r="A86" t="s">
        <v>856</v>
      </c>
      <c r="B86" t="s">
        <v>855</v>
      </c>
      <c r="C86" t="s">
        <v>854</v>
      </c>
      <c r="D86" t="s">
        <v>339</v>
      </c>
      <c r="E86" s="160">
        <v>76713</v>
      </c>
      <c r="F86">
        <v>9</v>
      </c>
      <c r="G86" s="377">
        <v>3138.2</v>
      </c>
      <c r="H86">
        <v>0</v>
      </c>
      <c r="I86" s="377">
        <v>0</v>
      </c>
      <c r="J86">
        <v>7</v>
      </c>
      <c r="K86" s="180">
        <v>3108.6</v>
      </c>
    </row>
    <row r="87" spans="1:11" ht="15" customHeight="1" x14ac:dyDescent="0.2">
      <c r="A87" t="s">
        <v>872</v>
      </c>
      <c r="B87" t="s">
        <v>871</v>
      </c>
      <c r="C87" t="s">
        <v>870</v>
      </c>
      <c r="D87" t="s">
        <v>339</v>
      </c>
      <c r="E87" s="160">
        <v>6268582</v>
      </c>
      <c r="F87">
        <v>242</v>
      </c>
      <c r="G87" s="377">
        <v>72816.740000000005</v>
      </c>
      <c r="H87">
        <v>0</v>
      </c>
      <c r="I87" s="377">
        <v>0</v>
      </c>
      <c r="J87">
        <v>134</v>
      </c>
      <c r="K87" s="180">
        <v>72737.33</v>
      </c>
    </row>
    <row r="88" spans="1:11" ht="15" customHeight="1" x14ac:dyDescent="0.2">
      <c r="A88" t="s">
        <v>875</v>
      </c>
      <c r="B88" t="s">
        <v>874</v>
      </c>
      <c r="C88" t="s">
        <v>873</v>
      </c>
      <c r="D88" t="s">
        <v>321</v>
      </c>
      <c r="E88" s="160">
        <v>1919075</v>
      </c>
      <c r="F88">
        <v>4</v>
      </c>
      <c r="G88" s="377">
        <v>21514.6</v>
      </c>
      <c r="H88">
        <v>0</v>
      </c>
      <c r="I88" s="377">
        <v>0</v>
      </c>
      <c r="J88">
        <v>4</v>
      </c>
      <c r="K88" s="180">
        <v>21514.6</v>
      </c>
    </row>
    <row r="89" spans="1:11" ht="15" customHeight="1" x14ac:dyDescent="0.2">
      <c r="A89" t="s">
        <v>878</v>
      </c>
      <c r="B89" t="s">
        <v>877</v>
      </c>
      <c r="C89" t="s">
        <v>876</v>
      </c>
      <c r="D89" t="s">
        <v>321</v>
      </c>
      <c r="E89" s="160">
        <v>1155634</v>
      </c>
      <c r="F89">
        <v>19</v>
      </c>
      <c r="G89" s="377">
        <v>32869</v>
      </c>
      <c r="H89">
        <v>0</v>
      </c>
      <c r="I89" s="377">
        <v>0</v>
      </c>
      <c r="J89">
        <v>16</v>
      </c>
      <c r="K89" s="180">
        <v>15312</v>
      </c>
    </row>
    <row r="90" spans="1:11" ht="15" customHeight="1" x14ac:dyDescent="0.2">
      <c r="A90" t="s">
        <v>884</v>
      </c>
      <c r="B90" t="s">
        <v>883</v>
      </c>
      <c r="C90" t="s">
        <v>882</v>
      </c>
      <c r="D90" t="s">
        <v>321</v>
      </c>
      <c r="E90" s="160">
        <v>3046022</v>
      </c>
      <c r="F90">
        <v>24</v>
      </c>
      <c r="G90" s="377">
        <v>28859</v>
      </c>
      <c r="H90">
        <v>0</v>
      </c>
      <c r="I90" s="377">
        <v>0</v>
      </c>
      <c r="J90">
        <v>24</v>
      </c>
      <c r="K90" s="180">
        <v>28859</v>
      </c>
    </row>
    <row r="91" spans="1:11" ht="15" customHeight="1" x14ac:dyDescent="0.2">
      <c r="A91" t="s">
        <v>887</v>
      </c>
      <c r="B91" t="s">
        <v>886</v>
      </c>
      <c r="C91" t="s">
        <v>885</v>
      </c>
      <c r="D91" t="s">
        <v>321</v>
      </c>
      <c r="E91" s="160">
        <v>4675408</v>
      </c>
      <c r="F91">
        <v>32</v>
      </c>
      <c r="G91" s="377">
        <v>53076.04</v>
      </c>
      <c r="H91">
        <v>0</v>
      </c>
      <c r="I91" s="377">
        <v>0</v>
      </c>
      <c r="J91">
        <v>32</v>
      </c>
      <c r="K91" s="180">
        <v>53076.04</v>
      </c>
    </row>
    <row r="92" spans="1:11" ht="15" customHeight="1" x14ac:dyDescent="0.2">
      <c r="A92" t="s">
        <v>893</v>
      </c>
      <c r="B92" t="s">
        <v>892</v>
      </c>
      <c r="C92" t="s">
        <v>891</v>
      </c>
      <c r="D92" t="s">
        <v>321</v>
      </c>
      <c r="E92" s="160">
        <v>10031601</v>
      </c>
      <c r="F92">
        <v>79</v>
      </c>
      <c r="G92" s="377">
        <v>66638</v>
      </c>
      <c r="H92">
        <v>0</v>
      </c>
      <c r="I92" s="377">
        <v>0</v>
      </c>
      <c r="J92">
        <v>75</v>
      </c>
      <c r="K92" s="180">
        <v>66531.600000000006</v>
      </c>
    </row>
    <row r="93" spans="1:11" ht="15" customHeight="1" x14ac:dyDescent="0.2">
      <c r="A93" t="s">
        <v>896</v>
      </c>
      <c r="B93" t="s">
        <v>895</v>
      </c>
      <c r="C93" t="s">
        <v>894</v>
      </c>
      <c r="D93" t="s">
        <v>321</v>
      </c>
      <c r="E93" s="160">
        <v>14186</v>
      </c>
      <c r="F93">
        <v>1</v>
      </c>
      <c r="G93" s="377">
        <v>320</v>
      </c>
      <c r="H93">
        <v>0</v>
      </c>
      <c r="I93" s="377">
        <v>0</v>
      </c>
      <c r="J93">
        <v>1</v>
      </c>
      <c r="K93" s="180">
        <v>320</v>
      </c>
    </row>
    <row r="94" spans="1:11" ht="15" customHeight="1" x14ac:dyDescent="0.2">
      <c r="A94" t="s">
        <v>902</v>
      </c>
      <c r="B94" t="s">
        <v>901</v>
      </c>
      <c r="C94" t="s">
        <v>900</v>
      </c>
      <c r="D94" t="s">
        <v>339</v>
      </c>
      <c r="E94" s="160">
        <v>7290495</v>
      </c>
      <c r="F94">
        <v>33</v>
      </c>
      <c r="G94" s="377">
        <v>57697.1</v>
      </c>
      <c r="H94">
        <v>0</v>
      </c>
      <c r="I94" s="377">
        <v>0</v>
      </c>
      <c r="J94">
        <v>33</v>
      </c>
      <c r="K94" s="180">
        <v>57697.1</v>
      </c>
    </row>
    <row r="95" spans="1:11" ht="15" customHeight="1" x14ac:dyDescent="0.2">
      <c r="A95" t="s">
        <v>914</v>
      </c>
      <c r="B95" t="s">
        <v>913</v>
      </c>
      <c r="C95" t="s">
        <v>912</v>
      </c>
      <c r="D95" t="s">
        <v>321</v>
      </c>
      <c r="E95" s="160">
        <v>3628520</v>
      </c>
      <c r="F95">
        <v>101</v>
      </c>
      <c r="G95" s="377">
        <v>45482.8</v>
      </c>
      <c r="H95">
        <v>0</v>
      </c>
      <c r="I95" s="377">
        <v>0</v>
      </c>
      <c r="J95">
        <v>86</v>
      </c>
      <c r="K95" s="180">
        <v>44526</v>
      </c>
    </row>
    <row r="96" spans="1:11" ht="15" customHeight="1" x14ac:dyDescent="0.2">
      <c r="A96" t="s">
        <v>923</v>
      </c>
      <c r="B96" t="s">
        <v>922</v>
      </c>
      <c r="C96" t="s">
        <v>921</v>
      </c>
      <c r="D96" t="s">
        <v>353</v>
      </c>
      <c r="E96" s="160">
        <v>1234792</v>
      </c>
      <c r="F96">
        <v>5</v>
      </c>
      <c r="G96" s="377">
        <v>36886.050000000003</v>
      </c>
      <c r="H96">
        <v>0</v>
      </c>
      <c r="I96" s="377">
        <v>0</v>
      </c>
      <c r="J96">
        <v>5</v>
      </c>
      <c r="K96" s="180">
        <v>36886.050000000003</v>
      </c>
    </row>
    <row r="97" spans="1:11" ht="15" customHeight="1" x14ac:dyDescent="0.2">
      <c r="A97" t="s">
        <v>926</v>
      </c>
      <c r="B97" t="s">
        <v>925</v>
      </c>
      <c r="C97" t="s">
        <v>924</v>
      </c>
      <c r="D97" t="s">
        <v>353</v>
      </c>
      <c r="E97" s="160">
        <v>1567727</v>
      </c>
      <c r="F97">
        <v>5</v>
      </c>
      <c r="G97" s="377">
        <v>16649</v>
      </c>
      <c r="H97">
        <v>0</v>
      </c>
      <c r="I97" s="377">
        <v>0</v>
      </c>
      <c r="J97">
        <v>5</v>
      </c>
      <c r="K97" s="180">
        <v>16649</v>
      </c>
    </row>
    <row r="98" spans="1:11" ht="15" customHeight="1" x14ac:dyDescent="0.2">
      <c r="A98" t="s">
        <v>936</v>
      </c>
      <c r="B98" t="s">
        <v>935</v>
      </c>
      <c r="C98" t="s">
        <v>934</v>
      </c>
      <c r="D98" t="s">
        <v>321</v>
      </c>
      <c r="E98" s="160">
        <v>1760016</v>
      </c>
      <c r="F98">
        <v>37</v>
      </c>
      <c r="G98" s="377">
        <v>25274.01</v>
      </c>
      <c r="H98">
        <v>0</v>
      </c>
      <c r="I98" s="377">
        <v>0</v>
      </c>
      <c r="J98">
        <v>34</v>
      </c>
      <c r="K98" s="180">
        <v>25143.919999999998</v>
      </c>
    </row>
    <row r="99" spans="1:11" ht="15" customHeight="1" x14ac:dyDescent="0.2">
      <c r="A99" t="s">
        <v>939</v>
      </c>
      <c r="B99" t="s">
        <v>938</v>
      </c>
      <c r="C99" t="s">
        <v>937</v>
      </c>
      <c r="D99" t="s">
        <v>353</v>
      </c>
      <c r="E99" s="160">
        <v>2803313</v>
      </c>
      <c r="F99">
        <v>33</v>
      </c>
      <c r="G99" s="377">
        <v>65618.8</v>
      </c>
      <c r="H99">
        <v>0</v>
      </c>
      <c r="I99" s="377">
        <v>0</v>
      </c>
      <c r="J99">
        <v>31</v>
      </c>
      <c r="K99" s="180">
        <v>65548.7</v>
      </c>
    </row>
    <row r="100" spans="1:11" ht="15" customHeight="1" x14ac:dyDescent="0.2">
      <c r="A100" t="s">
        <v>945</v>
      </c>
      <c r="B100" t="s">
        <v>944</v>
      </c>
      <c r="C100" t="s">
        <v>943</v>
      </c>
      <c r="D100" t="s">
        <v>321</v>
      </c>
      <c r="E100" s="160">
        <v>5685413</v>
      </c>
      <c r="F100">
        <v>28</v>
      </c>
      <c r="G100" s="377">
        <v>38954.910000000003</v>
      </c>
      <c r="H100">
        <v>0</v>
      </c>
      <c r="I100" s="377">
        <v>0</v>
      </c>
      <c r="J100">
        <v>23</v>
      </c>
      <c r="K100" s="180">
        <v>38765.75</v>
      </c>
    </row>
    <row r="101" spans="1:11" ht="15" customHeight="1" x14ac:dyDescent="0.2">
      <c r="A101" t="s">
        <v>951</v>
      </c>
      <c r="B101" t="s">
        <v>950</v>
      </c>
      <c r="C101" t="s">
        <v>949</v>
      </c>
      <c r="D101" t="s">
        <v>321</v>
      </c>
      <c r="E101" s="160">
        <v>2504072</v>
      </c>
      <c r="F101">
        <v>29</v>
      </c>
      <c r="G101" s="377">
        <v>41522.699999999997</v>
      </c>
      <c r="H101">
        <v>0</v>
      </c>
      <c r="I101" s="377">
        <v>0</v>
      </c>
      <c r="J101">
        <v>26</v>
      </c>
      <c r="K101" s="180">
        <v>41522.699999999997</v>
      </c>
    </row>
    <row r="102" spans="1:11" ht="15" customHeight="1" x14ac:dyDescent="0.2">
      <c r="A102" t="s">
        <v>963</v>
      </c>
      <c r="B102" t="s">
        <v>962</v>
      </c>
      <c r="C102" t="s">
        <v>961</v>
      </c>
      <c r="D102" t="s">
        <v>321</v>
      </c>
      <c r="E102" s="160">
        <v>3125109</v>
      </c>
      <c r="F102">
        <v>41</v>
      </c>
      <c r="G102" s="377">
        <v>39273.9</v>
      </c>
      <c r="H102">
        <v>0</v>
      </c>
      <c r="I102" s="377">
        <v>0</v>
      </c>
      <c r="J102">
        <v>35</v>
      </c>
      <c r="K102" s="180">
        <v>38871.4</v>
      </c>
    </row>
    <row r="103" spans="1:11" ht="15" customHeight="1" x14ac:dyDescent="0.2">
      <c r="A103" t="s">
        <v>966</v>
      </c>
      <c r="B103" t="s">
        <v>965</v>
      </c>
      <c r="C103" t="s">
        <v>964</v>
      </c>
      <c r="D103" t="s">
        <v>321</v>
      </c>
      <c r="E103" s="160">
        <v>1968056</v>
      </c>
      <c r="F103">
        <v>34</v>
      </c>
      <c r="G103" s="377">
        <v>26854.400000000001</v>
      </c>
      <c r="H103">
        <v>0</v>
      </c>
      <c r="I103" s="377">
        <v>0</v>
      </c>
      <c r="J103">
        <v>34</v>
      </c>
      <c r="K103" s="180">
        <v>26854.400000000001</v>
      </c>
    </row>
    <row r="104" spans="1:11" ht="15" customHeight="1" x14ac:dyDescent="0.2">
      <c r="A104" t="s">
        <v>969</v>
      </c>
      <c r="B104" t="s">
        <v>968</v>
      </c>
      <c r="C104" t="s">
        <v>967</v>
      </c>
      <c r="D104" t="s">
        <v>321</v>
      </c>
      <c r="E104" s="160">
        <v>2979639</v>
      </c>
      <c r="F104">
        <v>68</v>
      </c>
      <c r="G104" s="377">
        <v>33558.01</v>
      </c>
      <c r="H104">
        <v>0</v>
      </c>
      <c r="I104" s="377">
        <v>0</v>
      </c>
      <c r="J104">
        <v>54</v>
      </c>
      <c r="K104" s="180">
        <v>33558.01</v>
      </c>
    </row>
    <row r="105" spans="1:11" ht="15" customHeight="1" x14ac:dyDescent="0.2">
      <c r="A105" t="s">
        <v>975</v>
      </c>
      <c r="B105" t="s">
        <v>974</v>
      </c>
      <c r="C105" t="s">
        <v>973</v>
      </c>
      <c r="D105" t="s">
        <v>321</v>
      </c>
      <c r="E105" s="160">
        <v>125593</v>
      </c>
      <c r="F105">
        <v>1</v>
      </c>
      <c r="G105" s="377">
        <v>3199</v>
      </c>
      <c r="H105">
        <v>1</v>
      </c>
      <c r="I105" s="377">
        <v>16108</v>
      </c>
      <c r="J105">
        <v>1</v>
      </c>
      <c r="K105" s="180">
        <v>3199</v>
      </c>
    </row>
    <row r="106" spans="1:11" ht="15" customHeight="1" x14ac:dyDescent="0.2">
      <c r="A106" t="s">
        <v>978</v>
      </c>
      <c r="B106" t="s">
        <v>977</v>
      </c>
      <c r="C106" t="s">
        <v>976</v>
      </c>
      <c r="D106" t="s">
        <v>339</v>
      </c>
      <c r="E106" s="160">
        <v>740954</v>
      </c>
      <c r="F106">
        <v>11</v>
      </c>
      <c r="G106" s="377">
        <v>13534.94</v>
      </c>
      <c r="H106">
        <v>0</v>
      </c>
      <c r="I106" s="377">
        <v>0</v>
      </c>
      <c r="J106">
        <v>11</v>
      </c>
      <c r="K106" s="180">
        <v>13534.94</v>
      </c>
    </row>
    <row r="107" spans="1:11" ht="15" customHeight="1" x14ac:dyDescent="0.2">
      <c r="A107" t="s">
        <v>981</v>
      </c>
      <c r="B107" t="s">
        <v>980</v>
      </c>
      <c r="C107" t="s">
        <v>979</v>
      </c>
      <c r="D107" t="s">
        <v>321</v>
      </c>
      <c r="E107" s="160">
        <v>911270</v>
      </c>
      <c r="F107">
        <v>26</v>
      </c>
      <c r="G107" s="377">
        <v>10765.06</v>
      </c>
      <c r="H107">
        <v>0</v>
      </c>
      <c r="I107" s="377">
        <v>0</v>
      </c>
      <c r="J107">
        <v>26</v>
      </c>
      <c r="K107" s="180">
        <v>10765.06</v>
      </c>
    </row>
    <row r="108" spans="1:11" ht="15" customHeight="1" x14ac:dyDescent="0.2">
      <c r="A108" t="s">
        <v>987</v>
      </c>
      <c r="B108" t="s">
        <v>986</v>
      </c>
      <c r="C108" t="s">
        <v>985</v>
      </c>
      <c r="D108" t="s">
        <v>321</v>
      </c>
      <c r="E108" s="160">
        <v>2701848</v>
      </c>
      <c r="F108">
        <v>62</v>
      </c>
      <c r="G108" s="377">
        <v>30732.91</v>
      </c>
      <c r="H108">
        <v>0</v>
      </c>
      <c r="I108" s="377">
        <v>0</v>
      </c>
      <c r="J108">
        <v>55</v>
      </c>
      <c r="K108" s="180">
        <v>30443.7</v>
      </c>
    </row>
    <row r="109" spans="1:11" ht="15" customHeight="1" x14ac:dyDescent="0.2">
      <c r="A109" t="s">
        <v>990</v>
      </c>
      <c r="B109" t="s">
        <v>989</v>
      </c>
      <c r="C109" t="s">
        <v>988</v>
      </c>
      <c r="D109" t="s">
        <v>321</v>
      </c>
      <c r="E109" s="160">
        <v>4041481</v>
      </c>
      <c r="F109">
        <v>123</v>
      </c>
      <c r="G109" s="377">
        <v>42791.05</v>
      </c>
      <c r="H109">
        <v>0</v>
      </c>
      <c r="I109" s="377">
        <v>0</v>
      </c>
      <c r="J109">
        <v>108</v>
      </c>
      <c r="K109" s="180">
        <v>42181.89</v>
      </c>
    </row>
    <row r="110" spans="1:11" ht="15" customHeight="1" x14ac:dyDescent="0.2">
      <c r="A110" t="s">
        <v>993</v>
      </c>
      <c r="B110" t="s">
        <v>992</v>
      </c>
      <c r="C110" t="s">
        <v>991</v>
      </c>
      <c r="D110" t="s">
        <v>321</v>
      </c>
      <c r="E110" s="160">
        <v>6185825</v>
      </c>
      <c r="F110">
        <v>24</v>
      </c>
      <c r="G110" s="377">
        <v>66797.2</v>
      </c>
      <c r="H110">
        <v>0</v>
      </c>
      <c r="I110" s="377">
        <v>0</v>
      </c>
      <c r="J110">
        <v>24</v>
      </c>
      <c r="K110" s="180">
        <v>66797.2</v>
      </c>
    </row>
    <row r="111" spans="1:11" ht="15" customHeight="1" x14ac:dyDescent="0.2">
      <c r="A111" t="s">
        <v>996</v>
      </c>
      <c r="B111" t="s">
        <v>995</v>
      </c>
      <c r="C111" t="s">
        <v>994</v>
      </c>
      <c r="D111" t="s">
        <v>339</v>
      </c>
      <c r="E111" s="160">
        <v>40881</v>
      </c>
      <c r="F111">
        <v>2</v>
      </c>
      <c r="G111" s="377">
        <v>3952.1</v>
      </c>
      <c r="H111">
        <v>0</v>
      </c>
      <c r="I111" s="377">
        <v>0</v>
      </c>
      <c r="J111">
        <v>2</v>
      </c>
      <c r="K111" s="180">
        <v>3952.1</v>
      </c>
    </row>
    <row r="112" spans="1:11" ht="15" customHeight="1" x14ac:dyDescent="0.2">
      <c r="A112" t="s">
        <v>999</v>
      </c>
      <c r="B112" t="s">
        <v>998</v>
      </c>
      <c r="C112" t="s">
        <v>997</v>
      </c>
      <c r="D112" t="s">
        <v>339</v>
      </c>
      <c r="E112" s="160">
        <v>13003889</v>
      </c>
      <c r="F112">
        <v>48</v>
      </c>
      <c r="G112" s="377">
        <v>99634.75</v>
      </c>
      <c r="H112">
        <v>0</v>
      </c>
      <c r="I112" s="377">
        <v>0</v>
      </c>
      <c r="J112">
        <v>45</v>
      </c>
      <c r="K112" s="180">
        <v>99478.44</v>
      </c>
    </row>
    <row r="113" spans="1:11" ht="15" customHeight="1" x14ac:dyDescent="0.2">
      <c r="A113" t="s">
        <v>1002</v>
      </c>
      <c r="B113" t="s">
        <v>1001</v>
      </c>
      <c r="C113" t="s">
        <v>1000</v>
      </c>
      <c r="D113" t="s">
        <v>321</v>
      </c>
      <c r="E113" s="160">
        <v>447220</v>
      </c>
      <c r="F113">
        <v>13</v>
      </c>
      <c r="G113" s="377">
        <v>9210.16</v>
      </c>
      <c r="H113">
        <v>0</v>
      </c>
      <c r="I113" s="377">
        <v>0</v>
      </c>
      <c r="J113">
        <v>13</v>
      </c>
      <c r="K113" s="180">
        <v>9210.16</v>
      </c>
    </row>
    <row r="114" spans="1:11" ht="15" customHeight="1" x14ac:dyDescent="0.2">
      <c r="A114" t="s">
        <v>1005</v>
      </c>
      <c r="B114" t="s">
        <v>1004</v>
      </c>
      <c r="C114" t="s">
        <v>1003</v>
      </c>
      <c r="D114" t="s">
        <v>321</v>
      </c>
      <c r="E114" s="160">
        <v>9130576</v>
      </c>
      <c r="F114">
        <v>37</v>
      </c>
      <c r="G114" s="377">
        <v>73355</v>
      </c>
      <c r="H114">
        <v>0</v>
      </c>
      <c r="I114" s="377">
        <v>0</v>
      </c>
      <c r="J114">
        <v>36</v>
      </c>
      <c r="K114" s="180">
        <v>73233.600000000006</v>
      </c>
    </row>
    <row r="115" spans="1:11" ht="15" customHeight="1" x14ac:dyDescent="0.2">
      <c r="A115" t="s">
        <v>1008</v>
      </c>
      <c r="B115" t="s">
        <v>1007</v>
      </c>
      <c r="C115" t="s">
        <v>1006</v>
      </c>
      <c r="D115" t="s">
        <v>321</v>
      </c>
      <c r="E115" s="160">
        <v>4091219</v>
      </c>
      <c r="F115">
        <v>84</v>
      </c>
      <c r="G115" s="377">
        <v>42720.66</v>
      </c>
      <c r="H115">
        <v>0</v>
      </c>
      <c r="I115" s="377">
        <v>0</v>
      </c>
      <c r="J115">
        <v>63</v>
      </c>
      <c r="K115" s="180">
        <v>42156.27</v>
      </c>
    </row>
    <row r="116" spans="1:11" ht="15" customHeight="1" x14ac:dyDescent="0.2">
      <c r="A116" t="s">
        <v>1011</v>
      </c>
      <c r="B116" t="s">
        <v>1010</v>
      </c>
      <c r="C116" t="s">
        <v>1009</v>
      </c>
      <c r="D116" t="s">
        <v>353</v>
      </c>
      <c r="E116" s="160">
        <v>110267</v>
      </c>
      <c r="F116">
        <v>6</v>
      </c>
      <c r="G116" s="377">
        <v>8259</v>
      </c>
      <c r="H116">
        <v>0</v>
      </c>
      <c r="I116" s="377">
        <v>0</v>
      </c>
      <c r="J116">
        <v>6</v>
      </c>
      <c r="K116" s="180">
        <v>8259</v>
      </c>
    </row>
    <row r="117" spans="1:11" ht="15" customHeight="1" x14ac:dyDescent="0.2">
      <c r="A117" t="s">
        <v>1014</v>
      </c>
      <c r="B117" t="s">
        <v>1013</v>
      </c>
      <c r="C117" t="s">
        <v>1012</v>
      </c>
      <c r="D117" t="s">
        <v>321</v>
      </c>
      <c r="E117" s="160">
        <v>826410</v>
      </c>
      <c r="F117">
        <v>10</v>
      </c>
      <c r="G117" s="377">
        <v>17684</v>
      </c>
      <c r="H117">
        <v>0</v>
      </c>
      <c r="I117" s="377">
        <v>0</v>
      </c>
      <c r="J117">
        <v>10</v>
      </c>
      <c r="K117" s="180">
        <v>17684</v>
      </c>
    </row>
    <row r="118" spans="1:11" ht="15" customHeight="1" x14ac:dyDescent="0.2">
      <c r="A118" t="s">
        <v>1020</v>
      </c>
      <c r="B118" t="s">
        <v>1019</v>
      </c>
      <c r="C118" t="s">
        <v>1018</v>
      </c>
      <c r="D118" t="s">
        <v>321</v>
      </c>
      <c r="E118" s="160">
        <v>3911802</v>
      </c>
      <c r="F118">
        <v>59</v>
      </c>
      <c r="G118" s="377">
        <v>37670.43</v>
      </c>
      <c r="H118">
        <v>0</v>
      </c>
      <c r="I118" s="377">
        <v>0</v>
      </c>
      <c r="J118">
        <v>57</v>
      </c>
      <c r="K118" s="180">
        <v>37575.31</v>
      </c>
    </row>
    <row r="119" spans="1:11" ht="15" customHeight="1" x14ac:dyDescent="0.2">
      <c r="A119" t="s">
        <v>1023</v>
      </c>
      <c r="B119" t="s">
        <v>1022</v>
      </c>
      <c r="C119" t="s">
        <v>1021</v>
      </c>
      <c r="D119" t="s">
        <v>321</v>
      </c>
      <c r="E119" s="160">
        <v>4083784</v>
      </c>
      <c r="F119">
        <v>24</v>
      </c>
      <c r="G119" s="377">
        <v>33448.51</v>
      </c>
      <c r="H119">
        <v>0</v>
      </c>
      <c r="I119" s="377">
        <v>0</v>
      </c>
      <c r="J119">
        <v>24</v>
      </c>
      <c r="K119" s="180">
        <v>33448.51</v>
      </c>
    </row>
    <row r="120" spans="1:11" ht="15" customHeight="1" x14ac:dyDescent="0.2">
      <c r="A120" t="s">
        <v>1026</v>
      </c>
      <c r="B120" t="s">
        <v>1025</v>
      </c>
      <c r="C120" t="s">
        <v>1024</v>
      </c>
      <c r="D120" t="s">
        <v>339</v>
      </c>
      <c r="E120" s="160">
        <v>985036</v>
      </c>
      <c r="F120">
        <v>21</v>
      </c>
      <c r="G120" s="377">
        <v>14186.82</v>
      </c>
      <c r="H120">
        <v>2</v>
      </c>
      <c r="I120" s="377">
        <v>33018.639999999999</v>
      </c>
      <c r="J120">
        <v>16</v>
      </c>
      <c r="K120" s="180">
        <v>46945.73</v>
      </c>
    </row>
    <row r="121" spans="1:11" ht="15" customHeight="1" x14ac:dyDescent="0.2">
      <c r="A121" t="s">
        <v>1029</v>
      </c>
      <c r="B121" t="s">
        <v>1028</v>
      </c>
      <c r="C121" t="s">
        <v>1027</v>
      </c>
      <c r="D121" t="s">
        <v>321</v>
      </c>
      <c r="E121" s="160">
        <v>1522848</v>
      </c>
      <c r="F121">
        <v>35</v>
      </c>
      <c r="G121" s="377">
        <v>22854.7</v>
      </c>
      <c r="H121">
        <v>0</v>
      </c>
      <c r="I121" s="377">
        <v>0</v>
      </c>
      <c r="J121">
        <v>30</v>
      </c>
      <c r="K121" s="180">
        <v>22627.4</v>
      </c>
    </row>
    <row r="122" spans="1:11" ht="15" customHeight="1" x14ac:dyDescent="0.2">
      <c r="A122" t="s">
        <v>1032</v>
      </c>
      <c r="B122" t="s">
        <v>1031</v>
      </c>
      <c r="C122" t="s">
        <v>1030</v>
      </c>
      <c r="D122" t="s">
        <v>321</v>
      </c>
      <c r="E122" s="160">
        <v>4906522</v>
      </c>
      <c r="F122">
        <v>71</v>
      </c>
      <c r="G122" s="377">
        <v>40000</v>
      </c>
      <c r="H122">
        <v>0</v>
      </c>
      <c r="I122" s="377">
        <v>0</v>
      </c>
      <c r="J122">
        <v>70</v>
      </c>
      <c r="K122" s="180">
        <v>39970.33</v>
      </c>
    </row>
    <row r="123" spans="1:11" ht="15" customHeight="1" x14ac:dyDescent="0.2">
      <c r="A123" t="s">
        <v>1035</v>
      </c>
      <c r="B123" t="s">
        <v>1034</v>
      </c>
      <c r="C123" t="s">
        <v>1033</v>
      </c>
      <c r="D123" t="s">
        <v>339</v>
      </c>
      <c r="E123" s="160">
        <v>2067757.94</v>
      </c>
      <c r="F123">
        <v>55</v>
      </c>
      <c r="G123" s="377">
        <v>35024.6</v>
      </c>
      <c r="H123">
        <v>1</v>
      </c>
      <c r="I123" s="377">
        <v>17143.599999999999</v>
      </c>
      <c r="J123">
        <v>53</v>
      </c>
      <c r="K123" s="180">
        <v>34934.1</v>
      </c>
    </row>
    <row r="124" spans="1:11" ht="15" customHeight="1" x14ac:dyDescent="0.2">
      <c r="A124" t="s">
        <v>1038</v>
      </c>
      <c r="B124" t="s">
        <v>1037</v>
      </c>
      <c r="C124" t="s">
        <v>1036</v>
      </c>
      <c r="D124" t="s">
        <v>321</v>
      </c>
      <c r="E124" s="160">
        <v>3697853</v>
      </c>
      <c r="F124">
        <v>120</v>
      </c>
      <c r="G124" s="377">
        <v>45024.1</v>
      </c>
      <c r="H124">
        <v>0</v>
      </c>
      <c r="I124" s="377">
        <v>0</v>
      </c>
      <c r="J124">
        <v>115</v>
      </c>
      <c r="K124" s="180">
        <v>44806.7</v>
      </c>
    </row>
    <row r="125" spans="1:11" ht="15" customHeight="1" x14ac:dyDescent="0.2">
      <c r="A125" t="s">
        <v>1041</v>
      </c>
      <c r="B125" t="s">
        <v>1040</v>
      </c>
      <c r="C125" t="s">
        <v>1039</v>
      </c>
      <c r="D125" t="s">
        <v>339</v>
      </c>
      <c r="E125" s="160">
        <v>8752317</v>
      </c>
      <c r="F125">
        <v>112</v>
      </c>
      <c r="G125" s="377">
        <v>117585</v>
      </c>
      <c r="H125">
        <v>0</v>
      </c>
      <c r="I125" s="377">
        <v>0</v>
      </c>
      <c r="J125">
        <v>96</v>
      </c>
      <c r="K125" s="180">
        <v>116981</v>
      </c>
    </row>
    <row r="126" spans="1:11" ht="15" customHeight="1" x14ac:dyDescent="0.2">
      <c r="A126" t="s">
        <v>1047</v>
      </c>
      <c r="B126" t="s">
        <v>1046</v>
      </c>
      <c r="C126" t="s">
        <v>421</v>
      </c>
      <c r="D126" t="s">
        <v>339</v>
      </c>
      <c r="E126" s="160">
        <v>9729178</v>
      </c>
      <c r="F126">
        <v>39</v>
      </c>
      <c r="G126" s="377">
        <v>82760.800000000003</v>
      </c>
      <c r="H126">
        <v>0</v>
      </c>
      <c r="I126" s="377">
        <v>0</v>
      </c>
      <c r="J126">
        <v>39</v>
      </c>
      <c r="K126" s="180">
        <v>82760.800000000003</v>
      </c>
    </row>
    <row r="127" spans="1:11" ht="15" customHeight="1" x14ac:dyDescent="0.2">
      <c r="A127" t="s">
        <v>1053</v>
      </c>
      <c r="B127" t="s">
        <v>1052</v>
      </c>
      <c r="C127" t="s">
        <v>1051</v>
      </c>
      <c r="D127" t="s">
        <v>321</v>
      </c>
      <c r="E127" s="160">
        <v>1366599</v>
      </c>
      <c r="F127">
        <v>33</v>
      </c>
      <c r="G127" s="377">
        <v>21909.9</v>
      </c>
      <c r="H127">
        <v>0</v>
      </c>
      <c r="I127" s="377">
        <v>0</v>
      </c>
      <c r="J127">
        <v>28</v>
      </c>
      <c r="K127" s="180">
        <v>21755.85</v>
      </c>
    </row>
    <row r="128" spans="1:11" ht="15" customHeight="1" x14ac:dyDescent="0.2">
      <c r="A128" t="s">
        <v>1060</v>
      </c>
      <c r="B128" t="s">
        <v>1059</v>
      </c>
      <c r="C128" t="s">
        <v>1058</v>
      </c>
      <c r="D128" t="s">
        <v>321</v>
      </c>
      <c r="E128" s="160">
        <v>3215826</v>
      </c>
      <c r="F128">
        <v>30</v>
      </c>
      <c r="G128" s="377">
        <v>30438</v>
      </c>
      <c r="H128">
        <v>0</v>
      </c>
      <c r="I128" s="377">
        <v>0</v>
      </c>
      <c r="J128">
        <v>27</v>
      </c>
      <c r="K128" s="180">
        <v>30290</v>
      </c>
    </row>
    <row r="129" spans="1:11" ht="15" customHeight="1" x14ac:dyDescent="0.2">
      <c r="A129" t="s">
        <v>1063</v>
      </c>
      <c r="B129" t="s">
        <v>1062</v>
      </c>
      <c r="C129" t="s">
        <v>1061</v>
      </c>
      <c r="D129" t="s">
        <v>339</v>
      </c>
      <c r="E129" s="160">
        <v>12953288.24</v>
      </c>
      <c r="F129">
        <v>665</v>
      </c>
      <c r="G129" s="377">
        <v>254805.37</v>
      </c>
      <c r="H129">
        <v>0</v>
      </c>
      <c r="I129" s="377">
        <v>0</v>
      </c>
      <c r="J129">
        <v>525</v>
      </c>
      <c r="K129" s="180">
        <v>246767.3</v>
      </c>
    </row>
    <row r="130" spans="1:11" ht="15" customHeight="1" x14ac:dyDescent="0.2">
      <c r="A130" t="s">
        <v>1069</v>
      </c>
      <c r="B130" t="s">
        <v>1068</v>
      </c>
      <c r="C130" t="s">
        <v>1067</v>
      </c>
      <c r="D130" t="s">
        <v>339</v>
      </c>
      <c r="E130" s="160">
        <v>11436912</v>
      </c>
      <c r="F130">
        <v>156</v>
      </c>
      <c r="G130" s="377">
        <v>116999.73</v>
      </c>
      <c r="H130">
        <v>0</v>
      </c>
      <c r="I130" s="377">
        <v>0</v>
      </c>
      <c r="J130">
        <v>148</v>
      </c>
      <c r="K130" s="180">
        <v>116280.76</v>
      </c>
    </row>
    <row r="131" spans="1:11" ht="15" customHeight="1" x14ac:dyDescent="0.2">
      <c r="A131" t="s">
        <v>1084</v>
      </c>
      <c r="B131" t="s">
        <v>1083</v>
      </c>
      <c r="C131" t="s">
        <v>1082</v>
      </c>
      <c r="D131" t="s">
        <v>353</v>
      </c>
      <c r="E131" s="160">
        <v>380937</v>
      </c>
      <c r="F131">
        <v>2</v>
      </c>
      <c r="G131" s="377">
        <v>15396</v>
      </c>
      <c r="H131">
        <v>0</v>
      </c>
      <c r="I131" s="377">
        <v>0</v>
      </c>
      <c r="J131">
        <v>2</v>
      </c>
      <c r="K131" s="180">
        <v>15396</v>
      </c>
    </row>
    <row r="132" spans="1:11" ht="15" customHeight="1" x14ac:dyDescent="0.2">
      <c r="A132" t="s">
        <v>1087</v>
      </c>
      <c r="B132" t="s">
        <v>1086</v>
      </c>
      <c r="C132" t="s">
        <v>1085</v>
      </c>
      <c r="D132" t="s">
        <v>321</v>
      </c>
      <c r="E132" s="160">
        <v>272848</v>
      </c>
      <c r="F132">
        <v>4</v>
      </c>
      <c r="G132" s="377">
        <v>7755.2</v>
      </c>
      <c r="H132">
        <v>0</v>
      </c>
      <c r="I132" s="377">
        <v>0</v>
      </c>
      <c r="J132">
        <v>4</v>
      </c>
      <c r="K132" s="180">
        <v>7755.2</v>
      </c>
    </row>
    <row r="133" spans="1:11" ht="15" customHeight="1" x14ac:dyDescent="0.2">
      <c r="A133" t="s">
        <v>1090</v>
      </c>
      <c r="B133" t="s">
        <v>1089</v>
      </c>
      <c r="C133" t="s">
        <v>1088</v>
      </c>
      <c r="D133" t="s">
        <v>321</v>
      </c>
      <c r="E133" s="160">
        <v>3133569</v>
      </c>
      <c r="F133">
        <v>18</v>
      </c>
      <c r="G133" s="377">
        <v>25118.02</v>
      </c>
      <c r="H133">
        <v>0</v>
      </c>
      <c r="I133" s="377">
        <v>0</v>
      </c>
      <c r="J133">
        <v>17</v>
      </c>
      <c r="K133" s="180">
        <v>24995.14</v>
      </c>
    </row>
    <row r="134" spans="1:11" ht="15" customHeight="1" x14ac:dyDescent="0.2">
      <c r="A134" t="s">
        <v>1093</v>
      </c>
      <c r="B134" t="s">
        <v>1092</v>
      </c>
      <c r="C134" t="s">
        <v>1091</v>
      </c>
      <c r="D134" t="s">
        <v>339</v>
      </c>
      <c r="E134" s="160">
        <v>861802</v>
      </c>
      <c r="F134">
        <v>29</v>
      </c>
      <c r="G134" s="377">
        <v>63069.59</v>
      </c>
      <c r="H134">
        <v>0</v>
      </c>
      <c r="I134" s="377">
        <v>0</v>
      </c>
      <c r="J134">
        <v>25</v>
      </c>
      <c r="K134" s="180">
        <v>22637.38</v>
      </c>
    </row>
    <row r="135" spans="1:11" ht="15" customHeight="1" x14ac:dyDescent="0.2">
      <c r="A135" t="s">
        <v>1102</v>
      </c>
      <c r="B135" t="s">
        <v>1101</v>
      </c>
      <c r="C135" t="s">
        <v>1100</v>
      </c>
      <c r="D135" t="s">
        <v>321</v>
      </c>
      <c r="E135" s="160">
        <v>463120</v>
      </c>
      <c r="F135">
        <v>9</v>
      </c>
      <c r="G135" s="377">
        <v>13722.4</v>
      </c>
      <c r="H135">
        <v>0</v>
      </c>
      <c r="I135" s="377">
        <v>0</v>
      </c>
      <c r="J135">
        <v>9</v>
      </c>
      <c r="K135" s="180">
        <v>13722.4</v>
      </c>
    </row>
    <row r="136" spans="1:11" ht="15" customHeight="1" x14ac:dyDescent="0.2">
      <c r="A136" t="s">
        <v>1111</v>
      </c>
      <c r="B136" t="s">
        <v>1110</v>
      </c>
      <c r="C136" t="s">
        <v>1109</v>
      </c>
      <c r="D136" t="s">
        <v>339</v>
      </c>
      <c r="E136" s="160">
        <v>742303</v>
      </c>
      <c r="F136">
        <v>5</v>
      </c>
      <c r="G136" s="377">
        <v>20568.599999999999</v>
      </c>
      <c r="H136">
        <v>0</v>
      </c>
      <c r="I136" s="377">
        <v>0</v>
      </c>
      <c r="J136">
        <v>5</v>
      </c>
      <c r="K136" s="180">
        <v>20568.599999999999</v>
      </c>
    </row>
    <row r="137" spans="1:11" ht="15" customHeight="1" x14ac:dyDescent="0.2">
      <c r="A137" t="s">
        <v>1114</v>
      </c>
      <c r="B137" t="s">
        <v>1113</v>
      </c>
      <c r="C137" t="s">
        <v>1112</v>
      </c>
      <c r="D137" t="s">
        <v>321</v>
      </c>
      <c r="E137" s="160">
        <v>60000</v>
      </c>
      <c r="F137">
        <v>1</v>
      </c>
      <c r="G137" s="377">
        <v>382.1</v>
      </c>
      <c r="H137">
        <v>0</v>
      </c>
      <c r="I137" s="377">
        <v>0</v>
      </c>
      <c r="J137">
        <v>1</v>
      </c>
      <c r="K137" s="180">
        <v>381.1</v>
      </c>
    </row>
    <row r="138" spans="1:11" ht="15" customHeight="1" x14ac:dyDescent="0.2">
      <c r="A138" t="s">
        <v>1117</v>
      </c>
      <c r="B138" t="s">
        <v>1116</v>
      </c>
      <c r="C138" t="s">
        <v>1115</v>
      </c>
      <c r="D138" t="s">
        <v>321</v>
      </c>
      <c r="E138" s="160">
        <v>672145</v>
      </c>
      <c r="F138">
        <v>2</v>
      </c>
      <c r="G138" s="377">
        <v>12768.8</v>
      </c>
      <c r="H138">
        <v>0</v>
      </c>
      <c r="I138" s="377">
        <v>0</v>
      </c>
      <c r="J138">
        <v>2</v>
      </c>
      <c r="K138" s="180">
        <v>12768.8</v>
      </c>
    </row>
    <row r="139" spans="1:11" ht="15" customHeight="1" x14ac:dyDescent="0.2">
      <c r="A139" t="s">
        <v>1120</v>
      </c>
      <c r="B139" t="s">
        <v>1119</v>
      </c>
      <c r="C139" t="s">
        <v>1118</v>
      </c>
      <c r="D139" t="s">
        <v>321</v>
      </c>
      <c r="E139" s="160">
        <v>666166</v>
      </c>
      <c r="F139">
        <v>50</v>
      </c>
      <c r="G139" s="377">
        <v>25649</v>
      </c>
      <c r="H139">
        <v>0</v>
      </c>
      <c r="I139" s="377">
        <v>0</v>
      </c>
      <c r="J139">
        <v>36</v>
      </c>
      <c r="K139" s="180">
        <v>25349</v>
      </c>
    </row>
    <row r="140" spans="1:11" ht="15" customHeight="1" x14ac:dyDescent="0.2">
      <c r="A140" t="s">
        <v>1129</v>
      </c>
      <c r="B140" t="s">
        <v>1128</v>
      </c>
      <c r="C140" t="s">
        <v>1127</v>
      </c>
      <c r="D140" t="s">
        <v>321</v>
      </c>
      <c r="E140" s="160">
        <v>2445046</v>
      </c>
      <c r="F140">
        <v>14</v>
      </c>
      <c r="G140" s="377">
        <v>33582</v>
      </c>
      <c r="H140">
        <v>0</v>
      </c>
      <c r="I140" s="377">
        <v>0</v>
      </c>
      <c r="J140">
        <v>14</v>
      </c>
      <c r="K140" s="180">
        <v>33582</v>
      </c>
    </row>
    <row r="141" spans="1:11" ht="15" customHeight="1" x14ac:dyDescent="0.2">
      <c r="A141" t="s">
        <v>1132</v>
      </c>
      <c r="B141" t="s">
        <v>1131</v>
      </c>
      <c r="C141" t="s">
        <v>1130</v>
      </c>
      <c r="D141" t="s">
        <v>321</v>
      </c>
      <c r="E141" s="160">
        <v>80079</v>
      </c>
      <c r="F141">
        <v>1</v>
      </c>
      <c r="G141" s="377">
        <v>2365</v>
      </c>
      <c r="H141">
        <v>0</v>
      </c>
      <c r="I141" s="377">
        <v>0</v>
      </c>
      <c r="J141">
        <v>1</v>
      </c>
      <c r="K141" s="180">
        <v>2365</v>
      </c>
    </row>
    <row r="142" spans="1:11" ht="15" customHeight="1" x14ac:dyDescent="0.2">
      <c r="A142" t="s">
        <v>1135</v>
      </c>
      <c r="B142" t="s">
        <v>1134</v>
      </c>
      <c r="C142" t="s">
        <v>1133</v>
      </c>
      <c r="D142" t="s">
        <v>321</v>
      </c>
      <c r="E142" s="160">
        <v>3323298</v>
      </c>
      <c r="F142">
        <v>33</v>
      </c>
      <c r="G142" s="377">
        <v>39685.9</v>
      </c>
      <c r="H142">
        <v>0</v>
      </c>
      <c r="I142" s="377">
        <v>0</v>
      </c>
      <c r="J142">
        <v>32</v>
      </c>
      <c r="K142" s="180">
        <v>39653.56</v>
      </c>
    </row>
    <row r="143" spans="1:11" ht="15" customHeight="1" x14ac:dyDescent="0.2">
      <c r="A143" t="s">
        <v>1138</v>
      </c>
      <c r="B143" t="s">
        <v>1137</v>
      </c>
      <c r="C143" t="s">
        <v>1136</v>
      </c>
      <c r="D143" t="s">
        <v>353</v>
      </c>
      <c r="E143" s="160">
        <v>4235135</v>
      </c>
      <c r="F143">
        <v>31</v>
      </c>
      <c r="G143" s="377">
        <v>41077.61</v>
      </c>
      <c r="H143">
        <v>0</v>
      </c>
      <c r="I143" s="377">
        <v>0</v>
      </c>
      <c r="J143">
        <v>28</v>
      </c>
      <c r="K143" s="180">
        <v>39318.959999999999</v>
      </c>
    </row>
    <row r="144" spans="1:11" ht="15" customHeight="1" x14ac:dyDescent="0.2">
      <c r="A144" t="s">
        <v>1141</v>
      </c>
      <c r="B144" t="s">
        <v>1140</v>
      </c>
      <c r="C144" t="s">
        <v>1139</v>
      </c>
      <c r="D144" t="s">
        <v>321</v>
      </c>
      <c r="E144" s="160">
        <v>1155503</v>
      </c>
      <c r="F144">
        <v>40</v>
      </c>
      <c r="G144" s="377">
        <v>17565.689999999999</v>
      </c>
      <c r="H144">
        <v>0</v>
      </c>
      <c r="I144" s="377">
        <v>0</v>
      </c>
      <c r="J144">
        <v>33</v>
      </c>
      <c r="K144" s="180">
        <v>17076.509999999998</v>
      </c>
    </row>
    <row r="145" spans="1:11" ht="15" customHeight="1" x14ac:dyDescent="0.2">
      <c r="A145" t="s">
        <v>1147</v>
      </c>
      <c r="B145" t="s">
        <v>1146</v>
      </c>
      <c r="C145" t="s">
        <v>1145</v>
      </c>
      <c r="D145" t="s">
        <v>321</v>
      </c>
      <c r="E145" s="160">
        <v>2900064</v>
      </c>
      <c r="F145">
        <v>57</v>
      </c>
      <c r="G145" s="377">
        <v>32484.7</v>
      </c>
      <c r="H145">
        <v>0</v>
      </c>
      <c r="I145" s="377">
        <v>0</v>
      </c>
      <c r="J145">
        <v>45</v>
      </c>
      <c r="K145" s="180">
        <v>31822</v>
      </c>
    </row>
    <row r="146" spans="1:11" ht="15" customHeight="1" x14ac:dyDescent="0.2">
      <c r="A146" t="s">
        <v>1153</v>
      </c>
      <c r="B146" t="s">
        <v>1152</v>
      </c>
      <c r="C146" t="s">
        <v>1151</v>
      </c>
      <c r="D146" t="s">
        <v>339</v>
      </c>
      <c r="E146" s="160">
        <v>1062004</v>
      </c>
      <c r="F146">
        <v>57</v>
      </c>
      <c r="G146" s="377">
        <v>16293.16</v>
      </c>
      <c r="H146">
        <v>0</v>
      </c>
      <c r="I146" s="377">
        <v>0</v>
      </c>
      <c r="J146">
        <v>41</v>
      </c>
      <c r="K146" s="180">
        <v>15827.11</v>
      </c>
    </row>
    <row r="147" spans="1:11" ht="15" customHeight="1" x14ac:dyDescent="0.2">
      <c r="A147" t="s">
        <v>1162</v>
      </c>
      <c r="B147" t="s">
        <v>1161</v>
      </c>
      <c r="C147" t="s">
        <v>1160</v>
      </c>
      <c r="D147" t="s">
        <v>353</v>
      </c>
      <c r="E147" s="160">
        <v>1586347</v>
      </c>
      <c r="F147">
        <v>10</v>
      </c>
      <c r="G147" s="377">
        <v>24358.2</v>
      </c>
      <c r="H147">
        <v>0</v>
      </c>
      <c r="I147" s="377">
        <v>0</v>
      </c>
      <c r="J147">
        <v>10</v>
      </c>
      <c r="K147" s="180">
        <v>24358.2</v>
      </c>
    </row>
    <row r="148" spans="1:11" ht="15" customHeight="1" x14ac:dyDescent="0.2">
      <c r="A148" t="s">
        <v>1165</v>
      </c>
      <c r="B148" t="s">
        <v>1164</v>
      </c>
      <c r="C148" t="s">
        <v>1163</v>
      </c>
      <c r="D148" t="s">
        <v>321</v>
      </c>
      <c r="E148" s="160">
        <v>5949277</v>
      </c>
      <c r="F148">
        <v>31</v>
      </c>
      <c r="G148" s="377">
        <v>53008.33</v>
      </c>
      <c r="H148">
        <v>0</v>
      </c>
      <c r="I148" s="377">
        <v>0</v>
      </c>
      <c r="J148">
        <v>31</v>
      </c>
      <c r="K148" s="180">
        <v>53008.33</v>
      </c>
    </row>
    <row r="149" spans="1:11" ht="15" customHeight="1" x14ac:dyDescent="0.2">
      <c r="A149" t="s">
        <v>1168</v>
      </c>
      <c r="B149" t="s">
        <v>1167</v>
      </c>
      <c r="C149" t="s">
        <v>1166</v>
      </c>
      <c r="D149" t="s">
        <v>353</v>
      </c>
      <c r="E149" s="160">
        <v>694640</v>
      </c>
      <c r="F149">
        <v>3</v>
      </c>
      <c r="G149" s="377">
        <v>19384</v>
      </c>
      <c r="H149">
        <v>0</v>
      </c>
      <c r="I149" s="377">
        <v>0</v>
      </c>
      <c r="J149">
        <v>3</v>
      </c>
      <c r="K149" s="180">
        <v>19384</v>
      </c>
    </row>
    <row r="150" spans="1:11" ht="15" customHeight="1" x14ac:dyDescent="0.2">
      <c r="A150" t="s">
        <v>1170</v>
      </c>
      <c r="B150" t="s">
        <v>1169</v>
      </c>
      <c r="C150" t="s">
        <v>430</v>
      </c>
      <c r="D150" t="s">
        <v>339</v>
      </c>
      <c r="E150" s="160">
        <v>12280682</v>
      </c>
      <c r="F150">
        <v>190</v>
      </c>
      <c r="G150" s="377">
        <v>121374.04</v>
      </c>
      <c r="H150">
        <v>0</v>
      </c>
      <c r="I150" s="377">
        <v>0</v>
      </c>
      <c r="J150">
        <v>155</v>
      </c>
      <c r="K150" s="180">
        <v>120738.1</v>
      </c>
    </row>
    <row r="151" spans="1:11" ht="15" customHeight="1" x14ac:dyDescent="0.2">
      <c r="A151" t="s">
        <v>1175</v>
      </c>
      <c r="B151" t="s">
        <v>1174</v>
      </c>
      <c r="C151" t="s">
        <v>1173</v>
      </c>
      <c r="D151" t="s">
        <v>339</v>
      </c>
      <c r="E151" s="160">
        <v>263801</v>
      </c>
      <c r="F151">
        <v>3</v>
      </c>
      <c r="G151" s="377">
        <v>4202.8999999999996</v>
      </c>
      <c r="H151">
        <v>0</v>
      </c>
      <c r="I151" s="377">
        <v>0</v>
      </c>
      <c r="J151">
        <v>3</v>
      </c>
      <c r="K151" s="180">
        <v>4202.8999999999996</v>
      </c>
    </row>
    <row r="152" spans="1:11" ht="15" customHeight="1" x14ac:dyDescent="0.2">
      <c r="A152" t="s">
        <v>1178</v>
      </c>
      <c r="B152" t="s">
        <v>1177</v>
      </c>
      <c r="C152" t="s">
        <v>1176</v>
      </c>
      <c r="D152" t="s">
        <v>353</v>
      </c>
      <c r="E152" s="160">
        <v>1811140.19</v>
      </c>
      <c r="F152">
        <v>16</v>
      </c>
      <c r="G152" s="377">
        <v>29361</v>
      </c>
      <c r="H152">
        <v>0</v>
      </c>
      <c r="I152" s="377">
        <v>0</v>
      </c>
      <c r="J152">
        <v>16</v>
      </c>
      <c r="K152" s="180">
        <v>29361</v>
      </c>
    </row>
    <row r="153" spans="1:11" ht="15" customHeight="1" x14ac:dyDescent="0.2">
      <c r="A153" t="s">
        <v>1181</v>
      </c>
      <c r="B153" t="s">
        <v>1180</v>
      </c>
      <c r="C153" t="s">
        <v>1179</v>
      </c>
      <c r="D153" t="s">
        <v>339</v>
      </c>
      <c r="E153" s="160">
        <v>38761591</v>
      </c>
      <c r="F153">
        <v>327</v>
      </c>
      <c r="G153" s="377">
        <v>212483.78</v>
      </c>
      <c r="H153">
        <v>0</v>
      </c>
      <c r="I153" s="377">
        <v>0</v>
      </c>
      <c r="J153">
        <v>291</v>
      </c>
      <c r="K153" s="180">
        <v>210352.78</v>
      </c>
    </row>
    <row r="154" spans="1:11" ht="15" customHeight="1" x14ac:dyDescent="0.2">
      <c r="A154" t="s">
        <v>1184</v>
      </c>
      <c r="B154" t="s">
        <v>1183</v>
      </c>
      <c r="C154" t="s">
        <v>1182</v>
      </c>
      <c r="D154" t="s">
        <v>321</v>
      </c>
      <c r="E154" s="160">
        <v>8094136</v>
      </c>
      <c r="F154">
        <v>103</v>
      </c>
      <c r="G154" s="377">
        <v>69870.8</v>
      </c>
      <c r="H154">
        <v>0</v>
      </c>
      <c r="I154" s="377">
        <v>0</v>
      </c>
      <c r="J154">
        <v>98</v>
      </c>
      <c r="K154" s="180">
        <v>69629.600000000006</v>
      </c>
    </row>
    <row r="155" spans="1:11" ht="15" customHeight="1" x14ac:dyDescent="0.2">
      <c r="A155" t="s">
        <v>1187</v>
      </c>
      <c r="B155" t="s">
        <v>1186</v>
      </c>
      <c r="C155" t="s">
        <v>1185</v>
      </c>
      <c r="D155" t="s">
        <v>321</v>
      </c>
      <c r="E155" s="160">
        <v>1211365</v>
      </c>
      <c r="F155">
        <v>50</v>
      </c>
      <c r="G155" s="377">
        <v>29655</v>
      </c>
      <c r="H155">
        <v>0</v>
      </c>
      <c r="I155" s="377">
        <v>0</v>
      </c>
      <c r="J155">
        <v>32</v>
      </c>
      <c r="K155" s="180">
        <v>27186</v>
      </c>
    </row>
    <row r="156" spans="1:11" ht="15" customHeight="1" x14ac:dyDescent="0.2">
      <c r="A156" t="s">
        <v>1190</v>
      </c>
      <c r="B156" t="s">
        <v>1189</v>
      </c>
      <c r="C156" t="s">
        <v>1188</v>
      </c>
      <c r="D156" t="s">
        <v>339</v>
      </c>
      <c r="E156" s="160">
        <v>11704085</v>
      </c>
      <c r="F156">
        <v>50</v>
      </c>
      <c r="G156" s="377">
        <v>103631</v>
      </c>
      <c r="H156">
        <v>0</v>
      </c>
      <c r="I156" s="377">
        <v>0</v>
      </c>
      <c r="J156">
        <v>50</v>
      </c>
      <c r="K156" s="180">
        <v>103631</v>
      </c>
    </row>
    <row r="157" spans="1:11" ht="15" customHeight="1" x14ac:dyDescent="0.2">
      <c r="A157" t="s">
        <v>1193</v>
      </c>
      <c r="B157" t="s">
        <v>1192</v>
      </c>
      <c r="C157" t="s">
        <v>1191</v>
      </c>
      <c r="D157" t="s">
        <v>321</v>
      </c>
      <c r="E157" s="160">
        <v>4474918</v>
      </c>
      <c r="F157">
        <v>61</v>
      </c>
      <c r="G157" s="377">
        <v>44327.29</v>
      </c>
      <c r="H157">
        <v>0</v>
      </c>
      <c r="I157" s="377">
        <v>0</v>
      </c>
      <c r="J157">
        <v>61</v>
      </c>
      <c r="K157" s="180">
        <v>44327.29</v>
      </c>
    </row>
    <row r="158" spans="1:11" ht="15" customHeight="1" x14ac:dyDescent="0.2">
      <c r="A158" t="s">
        <v>1196</v>
      </c>
      <c r="B158" t="s">
        <v>1195</v>
      </c>
      <c r="C158" t="s">
        <v>1194</v>
      </c>
      <c r="D158" t="s">
        <v>321</v>
      </c>
      <c r="E158" s="160">
        <v>1407016</v>
      </c>
      <c r="F158">
        <v>22</v>
      </c>
      <c r="G158" s="377">
        <v>21229</v>
      </c>
      <c r="H158">
        <v>0</v>
      </c>
      <c r="I158" s="377">
        <v>0</v>
      </c>
      <c r="J158">
        <v>22</v>
      </c>
      <c r="K158" s="180">
        <v>21229</v>
      </c>
    </row>
    <row r="159" spans="1:11" ht="15" customHeight="1" x14ac:dyDescent="0.2">
      <c r="A159" t="s">
        <v>1199</v>
      </c>
      <c r="B159" t="s">
        <v>1198</v>
      </c>
      <c r="C159" t="s">
        <v>1197</v>
      </c>
      <c r="D159" t="s">
        <v>321</v>
      </c>
      <c r="E159" s="160">
        <v>2686489</v>
      </c>
      <c r="F159">
        <v>84</v>
      </c>
      <c r="G159" s="377">
        <v>50140.4</v>
      </c>
      <c r="H159">
        <v>0</v>
      </c>
      <c r="I159" s="377">
        <v>0</v>
      </c>
      <c r="J159">
        <v>72</v>
      </c>
      <c r="K159" s="180">
        <v>49731.199999999997</v>
      </c>
    </row>
    <row r="160" spans="1:11" ht="15" customHeight="1" x14ac:dyDescent="0.2">
      <c r="A160" t="s">
        <v>1202</v>
      </c>
      <c r="B160" t="s">
        <v>1201</v>
      </c>
      <c r="C160" t="s">
        <v>1200</v>
      </c>
      <c r="D160" t="s">
        <v>321</v>
      </c>
      <c r="E160" s="160">
        <v>5803180</v>
      </c>
      <c r="F160">
        <v>118</v>
      </c>
      <c r="G160" s="377">
        <v>54097</v>
      </c>
      <c r="H160">
        <v>0</v>
      </c>
      <c r="I160" s="377">
        <v>0</v>
      </c>
      <c r="J160">
        <v>102</v>
      </c>
      <c r="K160" s="180">
        <v>53703</v>
      </c>
    </row>
    <row r="161" spans="1:11" ht="15" customHeight="1" x14ac:dyDescent="0.2">
      <c r="A161" t="s">
        <v>1205</v>
      </c>
      <c r="B161" t="s">
        <v>1204</v>
      </c>
      <c r="C161" t="s">
        <v>1203</v>
      </c>
      <c r="D161" t="s">
        <v>321</v>
      </c>
      <c r="E161" s="160">
        <v>8178817</v>
      </c>
      <c r="F161">
        <v>86</v>
      </c>
      <c r="G161" s="377">
        <v>63639.9</v>
      </c>
      <c r="H161">
        <v>0</v>
      </c>
      <c r="I161" s="377">
        <v>0</v>
      </c>
      <c r="J161">
        <v>81</v>
      </c>
      <c r="K161" s="180">
        <v>63473</v>
      </c>
    </row>
    <row r="162" spans="1:11" ht="15" customHeight="1" x14ac:dyDescent="0.2">
      <c r="A162" t="s">
        <v>1208</v>
      </c>
      <c r="B162" t="s">
        <v>1207</v>
      </c>
      <c r="C162" t="s">
        <v>1206</v>
      </c>
      <c r="D162" t="s">
        <v>321</v>
      </c>
      <c r="E162" s="160">
        <v>474845</v>
      </c>
      <c r="F162">
        <v>7</v>
      </c>
      <c r="G162" s="377">
        <v>17039.7</v>
      </c>
      <c r="H162">
        <v>0</v>
      </c>
      <c r="I162" s="377">
        <v>0</v>
      </c>
      <c r="J162">
        <v>7</v>
      </c>
      <c r="K162" s="180">
        <v>17039.7</v>
      </c>
    </row>
    <row r="163" spans="1:11" ht="15" customHeight="1" x14ac:dyDescent="0.2">
      <c r="A163" t="s">
        <v>1211</v>
      </c>
      <c r="B163" t="s">
        <v>1210</v>
      </c>
      <c r="C163" t="s">
        <v>1209</v>
      </c>
      <c r="D163" t="s">
        <v>321</v>
      </c>
      <c r="E163" s="160">
        <v>2944631</v>
      </c>
      <c r="F163">
        <v>27</v>
      </c>
      <c r="G163" s="377">
        <v>40191.03</v>
      </c>
      <c r="H163">
        <v>0</v>
      </c>
      <c r="I163" s="377">
        <v>0</v>
      </c>
      <c r="J163">
        <v>27</v>
      </c>
      <c r="K163" s="180">
        <v>40191.03</v>
      </c>
    </row>
    <row r="164" spans="1:11" ht="15" customHeight="1" x14ac:dyDescent="0.2">
      <c r="A164" t="s">
        <v>1220</v>
      </c>
      <c r="B164" t="s">
        <v>1219</v>
      </c>
      <c r="C164" t="s">
        <v>1218</v>
      </c>
      <c r="D164" t="s">
        <v>339</v>
      </c>
      <c r="E164" s="160">
        <v>484790</v>
      </c>
      <c r="F164">
        <v>1</v>
      </c>
      <c r="G164" s="377">
        <v>9104.0400000000009</v>
      </c>
      <c r="H164">
        <v>0</v>
      </c>
      <c r="I164" s="377">
        <v>0</v>
      </c>
      <c r="J164">
        <v>1</v>
      </c>
      <c r="K164" s="180">
        <v>9104.0400000000009</v>
      </c>
    </row>
    <row r="165" spans="1:11" ht="15" customHeight="1" x14ac:dyDescent="0.2">
      <c r="A165" t="s">
        <v>1229</v>
      </c>
      <c r="B165" t="s">
        <v>1228</v>
      </c>
      <c r="C165" t="s">
        <v>1227</v>
      </c>
      <c r="D165" t="s">
        <v>321</v>
      </c>
      <c r="E165" s="160">
        <v>4077243</v>
      </c>
      <c r="F165">
        <v>9</v>
      </c>
      <c r="G165" s="377">
        <v>37190</v>
      </c>
      <c r="H165">
        <v>0</v>
      </c>
      <c r="I165" s="377">
        <v>0</v>
      </c>
      <c r="J165">
        <v>9</v>
      </c>
      <c r="K165" s="180">
        <v>37190</v>
      </c>
    </row>
    <row r="166" spans="1:11" ht="15" customHeight="1" x14ac:dyDescent="0.2">
      <c r="A166" t="s">
        <v>1232</v>
      </c>
      <c r="B166" t="s">
        <v>1231</v>
      </c>
      <c r="C166" t="s">
        <v>1230</v>
      </c>
      <c r="D166" t="s">
        <v>353</v>
      </c>
      <c r="E166" s="160">
        <v>406208</v>
      </c>
      <c r="F166">
        <v>7</v>
      </c>
      <c r="G166" s="377">
        <v>16207</v>
      </c>
      <c r="H166">
        <v>0</v>
      </c>
      <c r="I166" s="377">
        <v>0</v>
      </c>
      <c r="J166">
        <v>7</v>
      </c>
      <c r="K166" s="180">
        <v>16207</v>
      </c>
    </row>
    <row r="167" spans="1:11" ht="15" customHeight="1" x14ac:dyDescent="0.2">
      <c r="A167" t="s">
        <v>1235</v>
      </c>
      <c r="B167" t="s">
        <v>1234</v>
      </c>
      <c r="C167" t="s">
        <v>1233</v>
      </c>
      <c r="D167" t="s">
        <v>321</v>
      </c>
      <c r="E167" s="160">
        <v>1537484</v>
      </c>
      <c r="F167">
        <v>40</v>
      </c>
      <c r="G167" s="377">
        <v>29224.9</v>
      </c>
      <c r="H167">
        <v>0</v>
      </c>
      <c r="I167" s="377">
        <v>0</v>
      </c>
      <c r="J167">
        <v>39</v>
      </c>
      <c r="K167" s="180">
        <v>29136.2</v>
      </c>
    </row>
    <row r="168" spans="1:11" ht="15" customHeight="1" x14ac:dyDescent="0.2">
      <c r="A168" t="s">
        <v>1238</v>
      </c>
      <c r="B168" t="s">
        <v>1237</v>
      </c>
      <c r="C168" t="s">
        <v>1236</v>
      </c>
      <c r="D168" t="s">
        <v>321</v>
      </c>
      <c r="E168" s="160">
        <v>1836749</v>
      </c>
      <c r="F168">
        <v>43</v>
      </c>
      <c r="G168" s="377">
        <v>34382</v>
      </c>
      <c r="H168">
        <v>0</v>
      </c>
      <c r="I168" s="377">
        <v>0</v>
      </c>
      <c r="J168">
        <v>43</v>
      </c>
      <c r="K168" s="180">
        <v>34382</v>
      </c>
    </row>
    <row r="169" spans="1:11" ht="15" customHeight="1" x14ac:dyDescent="0.2">
      <c r="A169" t="s">
        <v>1247</v>
      </c>
      <c r="B169" t="s">
        <v>1246</v>
      </c>
      <c r="C169" t="s">
        <v>1245</v>
      </c>
      <c r="D169" t="s">
        <v>339</v>
      </c>
      <c r="E169" s="160">
        <v>1073343</v>
      </c>
      <c r="F169">
        <v>20</v>
      </c>
      <c r="G169" s="377">
        <v>36965.31</v>
      </c>
      <c r="H169">
        <v>0</v>
      </c>
      <c r="I169" s="377">
        <v>0</v>
      </c>
      <c r="J169">
        <v>16</v>
      </c>
      <c r="K169" s="180">
        <v>36728.53</v>
      </c>
    </row>
    <row r="170" spans="1:11" ht="15" customHeight="1" x14ac:dyDescent="0.2">
      <c r="A170" t="s">
        <v>1253</v>
      </c>
      <c r="B170" t="s">
        <v>1252</v>
      </c>
      <c r="C170" t="s">
        <v>1251</v>
      </c>
      <c r="D170" t="s">
        <v>321</v>
      </c>
      <c r="E170" s="160">
        <v>5273220</v>
      </c>
      <c r="F170">
        <v>108</v>
      </c>
      <c r="G170" s="377">
        <v>62679.29</v>
      </c>
      <c r="H170">
        <v>0</v>
      </c>
      <c r="I170" s="377">
        <v>0</v>
      </c>
      <c r="J170">
        <v>86</v>
      </c>
      <c r="K170" s="180">
        <v>61683.18</v>
      </c>
    </row>
    <row r="171" spans="1:11" ht="15" customHeight="1" x14ac:dyDescent="0.2">
      <c r="A171" t="s">
        <v>1256</v>
      </c>
      <c r="B171" t="s">
        <v>1255</v>
      </c>
      <c r="C171" t="s">
        <v>1254</v>
      </c>
      <c r="D171" t="s">
        <v>321</v>
      </c>
      <c r="E171" s="160">
        <v>5949332</v>
      </c>
      <c r="F171">
        <v>54</v>
      </c>
      <c r="G171" s="377">
        <v>47761.98</v>
      </c>
      <c r="H171">
        <v>0</v>
      </c>
      <c r="I171" s="377">
        <v>0</v>
      </c>
      <c r="J171">
        <v>52</v>
      </c>
      <c r="K171" s="180">
        <v>47688.480000000003</v>
      </c>
    </row>
    <row r="172" spans="1:11" ht="15" customHeight="1" x14ac:dyDescent="0.2">
      <c r="A172" t="s">
        <v>1259</v>
      </c>
      <c r="B172" t="s">
        <v>1258</v>
      </c>
      <c r="C172" t="s">
        <v>1257</v>
      </c>
      <c r="D172" t="s">
        <v>353</v>
      </c>
      <c r="E172" s="160">
        <v>65437</v>
      </c>
      <c r="F172">
        <v>1</v>
      </c>
      <c r="G172" s="377">
        <v>4348</v>
      </c>
      <c r="H172">
        <v>0</v>
      </c>
      <c r="I172" s="377">
        <v>0</v>
      </c>
      <c r="J172">
        <v>1</v>
      </c>
      <c r="K172" s="180">
        <v>4348</v>
      </c>
    </row>
    <row r="173" spans="1:11" ht="15" customHeight="1" x14ac:dyDescent="0.2">
      <c r="A173" t="s">
        <v>1262</v>
      </c>
      <c r="B173" t="s">
        <v>1261</v>
      </c>
      <c r="C173" t="s">
        <v>1260</v>
      </c>
      <c r="D173" t="s">
        <v>321</v>
      </c>
      <c r="E173" s="160">
        <v>945783</v>
      </c>
      <c r="F173">
        <v>4</v>
      </c>
      <c r="G173" s="377">
        <v>14666</v>
      </c>
      <c r="H173">
        <v>0</v>
      </c>
      <c r="I173" s="377">
        <v>0</v>
      </c>
      <c r="J173">
        <v>4</v>
      </c>
      <c r="K173" s="180">
        <v>14666</v>
      </c>
    </row>
    <row r="174" spans="1:11" ht="15" customHeight="1" x14ac:dyDescent="0.2">
      <c r="A174" t="s">
        <v>1268</v>
      </c>
      <c r="B174" t="s">
        <v>1267</v>
      </c>
      <c r="C174" t="s">
        <v>1266</v>
      </c>
      <c r="D174" t="s">
        <v>321</v>
      </c>
      <c r="E174" s="160">
        <v>2166353</v>
      </c>
      <c r="F174">
        <v>41</v>
      </c>
      <c r="G174" s="377">
        <v>34040.82</v>
      </c>
      <c r="H174">
        <v>0</v>
      </c>
      <c r="I174" s="377">
        <v>0</v>
      </c>
      <c r="J174">
        <v>36</v>
      </c>
      <c r="K174" s="180">
        <v>33998.300000000003</v>
      </c>
    </row>
    <row r="175" spans="1:11" ht="15" customHeight="1" x14ac:dyDescent="0.2">
      <c r="A175" t="s">
        <v>1271</v>
      </c>
      <c r="B175" t="s">
        <v>1270</v>
      </c>
      <c r="C175" t="s">
        <v>1269</v>
      </c>
      <c r="D175" t="s">
        <v>339</v>
      </c>
      <c r="E175" s="160">
        <v>12942721</v>
      </c>
      <c r="F175">
        <v>20</v>
      </c>
      <c r="G175" s="377">
        <v>78616.899999999994</v>
      </c>
      <c r="H175">
        <v>0</v>
      </c>
      <c r="I175" s="377">
        <v>0</v>
      </c>
      <c r="J175">
        <v>19</v>
      </c>
      <c r="K175" s="180">
        <v>78565.100000000006</v>
      </c>
    </row>
    <row r="176" spans="1:11" ht="15" customHeight="1" x14ac:dyDescent="0.2">
      <c r="A176" t="s">
        <v>1276</v>
      </c>
      <c r="B176" t="s">
        <v>1275</v>
      </c>
      <c r="C176" t="s">
        <v>1274</v>
      </c>
      <c r="D176" t="s">
        <v>353</v>
      </c>
      <c r="E176" s="160">
        <v>36500</v>
      </c>
      <c r="F176">
        <v>1</v>
      </c>
      <c r="G176" s="377">
        <v>3528.3</v>
      </c>
      <c r="H176">
        <v>0</v>
      </c>
      <c r="I176" s="377">
        <v>0</v>
      </c>
      <c r="J176">
        <v>1</v>
      </c>
      <c r="K176" s="180">
        <v>3528.3</v>
      </c>
    </row>
    <row r="177" spans="1:11" ht="15" customHeight="1" x14ac:dyDescent="0.2">
      <c r="A177" t="s">
        <v>1282</v>
      </c>
      <c r="B177" t="s">
        <v>1281</v>
      </c>
      <c r="C177" t="s">
        <v>1280</v>
      </c>
      <c r="D177" t="s">
        <v>321</v>
      </c>
      <c r="E177" s="160">
        <v>1395845</v>
      </c>
      <c r="F177">
        <v>22</v>
      </c>
      <c r="G177" s="377">
        <v>39457.699999999997</v>
      </c>
      <c r="H177">
        <v>0</v>
      </c>
      <c r="I177" s="377">
        <v>0</v>
      </c>
      <c r="J177">
        <v>21</v>
      </c>
      <c r="K177" s="180">
        <v>39418.300000000003</v>
      </c>
    </row>
    <row r="178" spans="1:11" ht="15" customHeight="1" x14ac:dyDescent="0.2">
      <c r="A178" t="s">
        <v>1285</v>
      </c>
      <c r="B178" t="s">
        <v>1284</v>
      </c>
      <c r="C178" t="s">
        <v>1283</v>
      </c>
      <c r="D178" t="s">
        <v>321</v>
      </c>
      <c r="E178" s="160">
        <v>6002408</v>
      </c>
      <c r="F178">
        <v>50</v>
      </c>
      <c r="G178" s="377">
        <v>51562</v>
      </c>
      <c r="H178">
        <v>0</v>
      </c>
      <c r="I178" s="377">
        <v>0</v>
      </c>
      <c r="J178">
        <v>47</v>
      </c>
      <c r="K178" s="180">
        <v>51400.3</v>
      </c>
    </row>
    <row r="179" spans="1:11" ht="15" customHeight="1" x14ac:dyDescent="0.2">
      <c r="A179" t="s">
        <v>1288</v>
      </c>
      <c r="B179" t="s">
        <v>1287</v>
      </c>
      <c r="C179" t="s">
        <v>1286</v>
      </c>
      <c r="D179" t="s">
        <v>339</v>
      </c>
      <c r="E179" s="160">
        <v>7070960</v>
      </c>
      <c r="F179">
        <v>29</v>
      </c>
      <c r="G179" s="377">
        <v>58164.7</v>
      </c>
      <c r="H179">
        <v>0</v>
      </c>
      <c r="I179" s="377">
        <v>0</v>
      </c>
      <c r="J179">
        <v>28</v>
      </c>
      <c r="K179" s="180">
        <v>58125.599999999999</v>
      </c>
    </row>
    <row r="180" spans="1:11" ht="15" customHeight="1" x14ac:dyDescent="0.2">
      <c r="A180" t="s">
        <v>1291</v>
      </c>
      <c r="B180" t="s">
        <v>1290</v>
      </c>
      <c r="C180" t="s">
        <v>1289</v>
      </c>
      <c r="D180" t="s">
        <v>321</v>
      </c>
      <c r="E180" s="160">
        <v>2750189</v>
      </c>
      <c r="F180">
        <v>27</v>
      </c>
      <c r="G180" s="377">
        <v>35189.599999999999</v>
      </c>
      <c r="H180">
        <v>0</v>
      </c>
      <c r="I180" s="377">
        <v>0</v>
      </c>
      <c r="J180">
        <v>27</v>
      </c>
      <c r="K180" s="180">
        <v>35189.599999999999</v>
      </c>
    </row>
    <row r="181" spans="1:11" ht="15" customHeight="1" x14ac:dyDescent="0.2">
      <c r="A181" t="s">
        <v>1294</v>
      </c>
      <c r="B181" t="s">
        <v>1293</v>
      </c>
      <c r="C181" t="s">
        <v>1292</v>
      </c>
      <c r="D181" t="s">
        <v>321</v>
      </c>
      <c r="E181" s="160">
        <v>2505225</v>
      </c>
      <c r="F181">
        <v>56</v>
      </c>
      <c r="G181" s="377">
        <v>52407</v>
      </c>
      <c r="H181">
        <v>0</v>
      </c>
      <c r="I181" s="377">
        <v>0</v>
      </c>
      <c r="J181">
        <v>50</v>
      </c>
      <c r="K181" s="180">
        <v>52154</v>
      </c>
    </row>
    <row r="182" spans="1:11" ht="15" customHeight="1" x14ac:dyDescent="0.2">
      <c r="A182" t="s">
        <v>1297</v>
      </c>
      <c r="B182" t="s">
        <v>1296</v>
      </c>
      <c r="C182" t="s">
        <v>1295</v>
      </c>
      <c r="D182" t="s">
        <v>321</v>
      </c>
      <c r="E182" s="160">
        <v>2926539</v>
      </c>
      <c r="F182">
        <v>51</v>
      </c>
      <c r="G182" s="377">
        <v>38784.870000000003</v>
      </c>
      <c r="H182">
        <v>0</v>
      </c>
      <c r="I182" s="377">
        <v>0</v>
      </c>
      <c r="J182">
        <v>48</v>
      </c>
      <c r="K182" s="180">
        <v>38558.89</v>
      </c>
    </row>
    <row r="183" spans="1:11" ht="15" customHeight="1" x14ac:dyDescent="0.2">
      <c r="A183" t="s">
        <v>1300</v>
      </c>
      <c r="B183" t="s">
        <v>1299</v>
      </c>
      <c r="C183" t="s">
        <v>1298</v>
      </c>
      <c r="D183" t="s">
        <v>321</v>
      </c>
      <c r="E183" s="160">
        <v>3087826</v>
      </c>
      <c r="F183">
        <v>10</v>
      </c>
      <c r="G183" s="377">
        <v>34281.9</v>
      </c>
      <c r="H183">
        <v>1</v>
      </c>
      <c r="I183" s="377">
        <v>13978.99</v>
      </c>
      <c r="J183">
        <v>11</v>
      </c>
      <c r="K183" s="180">
        <v>48260.89</v>
      </c>
    </row>
    <row r="184" spans="1:11" ht="15" customHeight="1" x14ac:dyDescent="0.2">
      <c r="A184" t="s">
        <v>1303</v>
      </c>
      <c r="B184" t="s">
        <v>1302</v>
      </c>
      <c r="C184" t="s">
        <v>1301</v>
      </c>
      <c r="D184" t="s">
        <v>321</v>
      </c>
      <c r="E184" s="160">
        <v>2612285</v>
      </c>
      <c r="F184">
        <v>6</v>
      </c>
      <c r="G184" s="377">
        <v>36342.300000000003</v>
      </c>
      <c r="H184">
        <v>0</v>
      </c>
      <c r="I184" s="377">
        <v>0</v>
      </c>
      <c r="J184">
        <v>6</v>
      </c>
      <c r="K184" s="180">
        <v>36342.300000000003</v>
      </c>
    </row>
    <row r="185" spans="1:11" ht="15" customHeight="1" x14ac:dyDescent="0.2">
      <c r="A185" t="s">
        <v>1309</v>
      </c>
      <c r="B185" t="s">
        <v>1308</v>
      </c>
      <c r="C185" t="s">
        <v>1307</v>
      </c>
      <c r="D185" t="s">
        <v>321</v>
      </c>
      <c r="E185" s="160">
        <v>3945607</v>
      </c>
      <c r="F185">
        <v>27</v>
      </c>
      <c r="G185" s="377">
        <v>39831.599999999999</v>
      </c>
      <c r="H185">
        <v>0</v>
      </c>
      <c r="I185" s="377">
        <v>0</v>
      </c>
      <c r="J185">
        <v>27</v>
      </c>
      <c r="K185" s="180">
        <v>39831.599999999999</v>
      </c>
    </row>
    <row r="186" spans="1:11" ht="15" customHeight="1" x14ac:dyDescent="0.2">
      <c r="A186" t="s">
        <v>1312</v>
      </c>
      <c r="B186" t="s">
        <v>1311</v>
      </c>
      <c r="C186" t="s">
        <v>1310</v>
      </c>
      <c r="D186" t="s">
        <v>339</v>
      </c>
      <c r="E186" s="160">
        <v>531935</v>
      </c>
      <c r="F186">
        <v>1</v>
      </c>
      <c r="G186" s="377">
        <v>6670.18</v>
      </c>
      <c r="H186">
        <v>0</v>
      </c>
      <c r="I186" s="377">
        <v>0</v>
      </c>
      <c r="J186">
        <v>1</v>
      </c>
      <c r="K186" s="180">
        <v>6670.18</v>
      </c>
    </row>
    <row r="187" spans="1:11" ht="15" customHeight="1" x14ac:dyDescent="0.2">
      <c r="A187" t="s">
        <v>1315</v>
      </c>
      <c r="B187" t="s">
        <v>1314</v>
      </c>
      <c r="C187" t="s">
        <v>1313</v>
      </c>
      <c r="D187" t="s">
        <v>321</v>
      </c>
      <c r="E187" s="160">
        <v>2371810</v>
      </c>
      <c r="F187">
        <v>64</v>
      </c>
      <c r="G187" s="377">
        <v>26407.79</v>
      </c>
      <c r="H187">
        <v>0</v>
      </c>
      <c r="I187" s="377">
        <v>0</v>
      </c>
      <c r="J187">
        <v>50</v>
      </c>
      <c r="K187" s="180">
        <v>26119.11</v>
      </c>
    </row>
    <row r="188" spans="1:11" ht="15" customHeight="1" x14ac:dyDescent="0.2">
      <c r="A188" t="s">
        <v>1320</v>
      </c>
      <c r="B188" t="s">
        <v>1319</v>
      </c>
      <c r="C188" t="s">
        <v>397</v>
      </c>
      <c r="D188" t="s">
        <v>353</v>
      </c>
      <c r="E188" s="160">
        <v>137296</v>
      </c>
      <c r="F188">
        <v>4</v>
      </c>
      <c r="G188" s="377">
        <v>2461</v>
      </c>
      <c r="H188">
        <v>0</v>
      </c>
      <c r="I188" s="377">
        <v>0</v>
      </c>
      <c r="J188">
        <v>3</v>
      </c>
      <c r="K188" s="180">
        <v>2229</v>
      </c>
    </row>
    <row r="189" spans="1:11" ht="15" customHeight="1" x14ac:dyDescent="0.2">
      <c r="A189" t="s">
        <v>1323</v>
      </c>
      <c r="B189" t="s">
        <v>1322</v>
      </c>
      <c r="C189" t="s">
        <v>1321</v>
      </c>
      <c r="D189" t="s">
        <v>321</v>
      </c>
      <c r="E189" s="160">
        <v>3920549</v>
      </c>
      <c r="F189">
        <v>16</v>
      </c>
      <c r="G189" s="377">
        <v>28221.06</v>
      </c>
      <c r="H189">
        <v>0</v>
      </c>
      <c r="I189" s="377">
        <v>0</v>
      </c>
      <c r="J189">
        <v>16</v>
      </c>
      <c r="K189" s="180">
        <v>28221.06</v>
      </c>
    </row>
    <row r="190" spans="1:11" ht="15" customHeight="1" x14ac:dyDescent="0.2">
      <c r="A190" t="s">
        <v>1326</v>
      </c>
      <c r="B190" t="s">
        <v>1325</v>
      </c>
      <c r="C190" t="s">
        <v>1324</v>
      </c>
      <c r="D190" t="s">
        <v>321</v>
      </c>
      <c r="E190" s="160">
        <v>5186478</v>
      </c>
      <c r="F190">
        <v>57</v>
      </c>
      <c r="G190" s="377">
        <v>40552.160000000003</v>
      </c>
      <c r="H190">
        <v>0</v>
      </c>
      <c r="I190" s="377">
        <v>0</v>
      </c>
      <c r="J190">
        <v>54</v>
      </c>
      <c r="K190" s="180">
        <v>40373.519999999997</v>
      </c>
    </row>
    <row r="191" spans="1:11" ht="15" customHeight="1" x14ac:dyDescent="0.2">
      <c r="A191" t="s">
        <v>1329</v>
      </c>
      <c r="B191" t="s">
        <v>1328</v>
      </c>
      <c r="C191" t="s">
        <v>1327</v>
      </c>
      <c r="D191" t="s">
        <v>321</v>
      </c>
      <c r="E191" s="160">
        <v>5941818</v>
      </c>
      <c r="F191">
        <v>69</v>
      </c>
      <c r="G191" s="377">
        <v>59151.5</v>
      </c>
      <c r="H191">
        <v>0</v>
      </c>
      <c r="I191" s="377">
        <v>0</v>
      </c>
      <c r="J191">
        <v>65</v>
      </c>
      <c r="K191" s="180">
        <v>58979.7</v>
      </c>
    </row>
    <row r="192" spans="1:11" ht="15" customHeight="1" x14ac:dyDescent="0.2">
      <c r="A192" t="s">
        <v>1332</v>
      </c>
      <c r="B192" t="s">
        <v>1331</v>
      </c>
      <c r="C192" t="s">
        <v>1330</v>
      </c>
      <c r="D192" t="s">
        <v>353</v>
      </c>
      <c r="E192" s="160">
        <v>3886998</v>
      </c>
      <c r="F192">
        <v>26</v>
      </c>
      <c r="G192" s="377">
        <v>38412</v>
      </c>
      <c r="H192">
        <v>0</v>
      </c>
      <c r="I192" s="377">
        <v>0</v>
      </c>
      <c r="J192">
        <v>25</v>
      </c>
      <c r="K192" s="180">
        <v>38390</v>
      </c>
    </row>
    <row r="193" spans="1:11" ht="15" customHeight="1" x14ac:dyDescent="0.2">
      <c r="A193" t="s">
        <v>1343</v>
      </c>
      <c r="B193" t="s">
        <v>1342</v>
      </c>
      <c r="C193" t="s">
        <v>407</v>
      </c>
      <c r="D193" t="s">
        <v>339</v>
      </c>
      <c r="E193" s="160">
        <v>3004357</v>
      </c>
      <c r="F193">
        <v>18</v>
      </c>
      <c r="G193" s="377">
        <v>54337</v>
      </c>
      <c r="H193">
        <v>0</v>
      </c>
      <c r="I193" s="377">
        <v>0</v>
      </c>
      <c r="J193">
        <v>17</v>
      </c>
      <c r="K193" s="180">
        <v>54291</v>
      </c>
    </row>
    <row r="194" spans="1:11" ht="15" customHeight="1" x14ac:dyDescent="0.2">
      <c r="A194" t="s">
        <v>1346</v>
      </c>
      <c r="B194" t="s">
        <v>1345</v>
      </c>
      <c r="C194" t="s">
        <v>1344</v>
      </c>
      <c r="D194" t="s">
        <v>321</v>
      </c>
      <c r="E194" s="160">
        <v>2524061</v>
      </c>
      <c r="F194">
        <v>35</v>
      </c>
      <c r="G194" s="377">
        <v>59719.51</v>
      </c>
      <c r="H194">
        <v>0</v>
      </c>
      <c r="I194" s="377">
        <v>0</v>
      </c>
      <c r="J194">
        <v>24</v>
      </c>
      <c r="K194" s="180">
        <v>59701.35</v>
      </c>
    </row>
    <row r="195" spans="1:11" ht="15" customHeight="1" x14ac:dyDescent="0.2">
      <c r="A195" t="s">
        <v>1352</v>
      </c>
      <c r="B195" t="s">
        <v>1351</v>
      </c>
      <c r="C195" t="s">
        <v>1350</v>
      </c>
      <c r="D195" t="s">
        <v>321</v>
      </c>
      <c r="E195" s="160">
        <v>5086527</v>
      </c>
      <c r="F195">
        <v>21</v>
      </c>
      <c r="G195" s="377">
        <v>59096.7</v>
      </c>
      <c r="H195">
        <v>0</v>
      </c>
      <c r="I195" s="377">
        <v>0</v>
      </c>
      <c r="J195">
        <v>21</v>
      </c>
      <c r="K195" s="180">
        <v>59096.7</v>
      </c>
    </row>
    <row r="196" spans="1:11" ht="15" customHeight="1" x14ac:dyDescent="0.2">
      <c r="A196" t="s">
        <v>1355</v>
      </c>
      <c r="B196" t="s">
        <v>1354</v>
      </c>
      <c r="C196" t="s">
        <v>1353</v>
      </c>
      <c r="D196" t="s">
        <v>321</v>
      </c>
      <c r="E196" s="160">
        <v>9767433</v>
      </c>
      <c r="F196">
        <v>42</v>
      </c>
      <c r="G196" s="377">
        <v>69348.7</v>
      </c>
      <c r="H196">
        <v>0</v>
      </c>
      <c r="I196" s="377">
        <v>0</v>
      </c>
      <c r="J196">
        <v>40</v>
      </c>
      <c r="K196" s="180">
        <v>69128.600000000006</v>
      </c>
    </row>
    <row r="197" spans="1:11" ht="15" customHeight="1" x14ac:dyDescent="0.2">
      <c r="A197" t="s">
        <v>1358</v>
      </c>
      <c r="B197" t="s">
        <v>1357</v>
      </c>
      <c r="C197" t="s">
        <v>1356</v>
      </c>
      <c r="D197" t="s">
        <v>321</v>
      </c>
      <c r="E197" s="160">
        <v>2384223</v>
      </c>
      <c r="F197">
        <v>8</v>
      </c>
      <c r="G197" s="377">
        <v>26269.1</v>
      </c>
      <c r="H197">
        <v>0</v>
      </c>
      <c r="I197" s="377">
        <v>0</v>
      </c>
      <c r="J197">
        <v>8</v>
      </c>
      <c r="K197" s="180">
        <v>26269.1</v>
      </c>
    </row>
    <row r="198" spans="1:11" ht="15" customHeight="1" x14ac:dyDescent="0.2">
      <c r="A198" t="s">
        <v>1361</v>
      </c>
      <c r="B198" t="s">
        <v>1360</v>
      </c>
      <c r="C198" t="s">
        <v>1359</v>
      </c>
      <c r="D198" t="s">
        <v>339</v>
      </c>
      <c r="E198" s="160">
        <v>6292469</v>
      </c>
      <c r="F198">
        <v>63</v>
      </c>
      <c r="G198" s="377">
        <v>68511.38</v>
      </c>
      <c r="H198">
        <v>0</v>
      </c>
      <c r="I198" s="377">
        <v>0</v>
      </c>
      <c r="J198">
        <v>56</v>
      </c>
      <c r="K198" s="180">
        <v>68264.100000000006</v>
      </c>
    </row>
    <row r="199" spans="1:11" ht="15" customHeight="1" x14ac:dyDescent="0.2">
      <c r="A199" t="s">
        <v>1364</v>
      </c>
      <c r="B199" t="s">
        <v>1363</v>
      </c>
      <c r="C199" t="s">
        <v>1362</v>
      </c>
      <c r="D199" t="s">
        <v>321</v>
      </c>
      <c r="E199" s="160">
        <v>2450898</v>
      </c>
      <c r="F199">
        <v>55</v>
      </c>
      <c r="G199" s="377">
        <v>22132.28</v>
      </c>
      <c r="H199">
        <v>0</v>
      </c>
      <c r="I199" s="377">
        <v>0</v>
      </c>
      <c r="J199">
        <v>45</v>
      </c>
      <c r="K199" s="180">
        <v>22070.76</v>
      </c>
    </row>
    <row r="200" spans="1:11" ht="15" customHeight="1" x14ac:dyDescent="0.2">
      <c r="A200" t="s">
        <v>1367</v>
      </c>
      <c r="B200" t="s">
        <v>1366</v>
      </c>
      <c r="C200" t="s">
        <v>1365</v>
      </c>
      <c r="D200" t="s">
        <v>321</v>
      </c>
      <c r="E200" s="160">
        <v>805001</v>
      </c>
      <c r="F200">
        <v>21</v>
      </c>
      <c r="G200" s="377">
        <v>24354.09</v>
      </c>
      <c r="H200">
        <v>0</v>
      </c>
      <c r="I200" s="377">
        <v>0</v>
      </c>
      <c r="J200">
        <v>20</v>
      </c>
      <c r="K200" s="180">
        <v>24254.400000000001</v>
      </c>
    </row>
    <row r="201" spans="1:11" ht="15" customHeight="1" x14ac:dyDescent="0.2">
      <c r="A201" t="s">
        <v>1370</v>
      </c>
      <c r="B201" t="s">
        <v>1369</v>
      </c>
      <c r="C201" t="s">
        <v>1368</v>
      </c>
      <c r="D201" t="s">
        <v>321</v>
      </c>
      <c r="E201" s="160">
        <v>2850190</v>
      </c>
      <c r="F201">
        <v>128</v>
      </c>
      <c r="G201" s="377">
        <v>32756.75</v>
      </c>
      <c r="H201">
        <v>0</v>
      </c>
      <c r="I201" s="377">
        <v>0</v>
      </c>
      <c r="J201">
        <v>79</v>
      </c>
      <c r="K201" s="180">
        <v>31384.65</v>
      </c>
    </row>
    <row r="202" spans="1:11" ht="15" customHeight="1" x14ac:dyDescent="0.2">
      <c r="A202" t="s">
        <v>1373</v>
      </c>
      <c r="B202" t="s">
        <v>1372</v>
      </c>
      <c r="C202" t="s">
        <v>1371</v>
      </c>
      <c r="D202" t="s">
        <v>339</v>
      </c>
      <c r="E202" s="160">
        <v>13897588</v>
      </c>
      <c r="F202">
        <v>165</v>
      </c>
      <c r="G202" s="377">
        <v>146150.29999999999</v>
      </c>
      <c r="H202">
        <v>0</v>
      </c>
      <c r="I202" s="377">
        <v>0</v>
      </c>
      <c r="J202">
        <v>141</v>
      </c>
      <c r="K202" s="180">
        <v>144998.39999999999</v>
      </c>
    </row>
    <row r="203" spans="1:11" ht="15" customHeight="1" x14ac:dyDescent="0.2">
      <c r="A203" t="s">
        <v>1376</v>
      </c>
      <c r="B203" t="s">
        <v>1375</v>
      </c>
      <c r="C203" t="s">
        <v>1374</v>
      </c>
      <c r="D203" t="s">
        <v>321</v>
      </c>
      <c r="E203" s="160">
        <v>5840407</v>
      </c>
      <c r="F203">
        <v>81</v>
      </c>
      <c r="G203" s="377">
        <v>48742.33</v>
      </c>
      <c r="H203">
        <v>0</v>
      </c>
      <c r="I203" s="377">
        <v>0</v>
      </c>
      <c r="J203">
        <v>63</v>
      </c>
      <c r="K203" s="180">
        <v>47875.199999999997</v>
      </c>
    </row>
    <row r="204" spans="1:11" ht="15" customHeight="1" x14ac:dyDescent="0.2">
      <c r="A204" t="s">
        <v>1379</v>
      </c>
      <c r="B204" t="s">
        <v>1378</v>
      </c>
      <c r="C204" t="s">
        <v>1377</v>
      </c>
      <c r="D204" t="s">
        <v>321</v>
      </c>
      <c r="E204" s="160">
        <v>5967228</v>
      </c>
      <c r="F204">
        <v>92</v>
      </c>
      <c r="G204" s="377">
        <v>59449.99</v>
      </c>
      <c r="H204">
        <v>0</v>
      </c>
      <c r="I204" s="377">
        <v>0</v>
      </c>
      <c r="J204">
        <v>87</v>
      </c>
      <c r="K204" s="180">
        <v>59179.99</v>
      </c>
    </row>
    <row r="205" spans="1:11" ht="15" customHeight="1" x14ac:dyDescent="0.2">
      <c r="A205" t="s">
        <v>1382</v>
      </c>
      <c r="B205" t="s">
        <v>1381</v>
      </c>
      <c r="C205" t="s">
        <v>1380</v>
      </c>
      <c r="D205" t="s">
        <v>31482</v>
      </c>
      <c r="E205" s="160">
        <v>195621</v>
      </c>
      <c r="F205">
        <v>1</v>
      </c>
      <c r="G205" s="377">
        <v>3739.64</v>
      </c>
      <c r="H205">
        <v>0</v>
      </c>
      <c r="I205" s="377">
        <v>0</v>
      </c>
      <c r="J205">
        <v>1</v>
      </c>
      <c r="K205" s="180">
        <v>3739.64</v>
      </c>
    </row>
    <row r="206" spans="1:11" ht="15" customHeight="1" x14ac:dyDescent="0.2">
      <c r="A206" t="s">
        <v>1385</v>
      </c>
      <c r="B206" t="s">
        <v>1384</v>
      </c>
      <c r="C206" t="s">
        <v>1383</v>
      </c>
      <c r="D206" t="s">
        <v>339</v>
      </c>
      <c r="E206" s="160">
        <v>4599986</v>
      </c>
      <c r="F206">
        <v>145</v>
      </c>
      <c r="G206" s="377">
        <v>96159.8</v>
      </c>
      <c r="H206">
        <v>0</v>
      </c>
      <c r="I206" s="377">
        <v>0</v>
      </c>
      <c r="J206">
        <v>129</v>
      </c>
      <c r="K206" s="180">
        <v>94853.5</v>
      </c>
    </row>
    <row r="207" spans="1:11" ht="15" customHeight="1" x14ac:dyDescent="0.2">
      <c r="A207" t="s">
        <v>1388</v>
      </c>
      <c r="B207" t="s">
        <v>1387</v>
      </c>
      <c r="C207" t="s">
        <v>1386</v>
      </c>
      <c r="D207" t="s">
        <v>353</v>
      </c>
      <c r="E207" s="160">
        <v>110529</v>
      </c>
      <c r="F207">
        <v>2</v>
      </c>
      <c r="G207" s="377">
        <v>3637</v>
      </c>
      <c r="H207">
        <v>0</v>
      </c>
      <c r="I207" s="377">
        <v>0</v>
      </c>
      <c r="J207">
        <v>2</v>
      </c>
      <c r="K207" s="180">
        <v>3637</v>
      </c>
    </row>
    <row r="208" spans="1:11" ht="15" customHeight="1" x14ac:dyDescent="0.2">
      <c r="A208" t="s">
        <v>1391</v>
      </c>
      <c r="B208" t="s">
        <v>1390</v>
      </c>
      <c r="C208" t="s">
        <v>1389</v>
      </c>
      <c r="D208" t="s">
        <v>339</v>
      </c>
      <c r="E208" s="160">
        <v>35413785</v>
      </c>
      <c r="F208">
        <v>252</v>
      </c>
      <c r="G208" s="377">
        <v>195453.54</v>
      </c>
      <c r="H208">
        <v>0</v>
      </c>
      <c r="I208" s="377">
        <v>0</v>
      </c>
      <c r="J208">
        <v>240</v>
      </c>
      <c r="K208" s="180">
        <v>194927.11</v>
      </c>
    </row>
    <row r="209" spans="1:11" ht="15" customHeight="1" x14ac:dyDescent="0.2">
      <c r="A209" t="s">
        <v>1394</v>
      </c>
      <c r="B209" t="s">
        <v>1393</v>
      </c>
      <c r="C209" t="s">
        <v>1392</v>
      </c>
      <c r="D209" t="s">
        <v>321</v>
      </c>
      <c r="E209" s="160">
        <v>4916621</v>
      </c>
      <c r="F209">
        <v>48</v>
      </c>
      <c r="G209" s="377">
        <v>39743.9</v>
      </c>
      <c r="H209">
        <v>0</v>
      </c>
      <c r="I209" s="377">
        <v>0</v>
      </c>
      <c r="J209">
        <v>46</v>
      </c>
      <c r="K209" s="180">
        <v>39619.9</v>
      </c>
    </row>
    <row r="210" spans="1:11" ht="15" customHeight="1" x14ac:dyDescent="0.2">
      <c r="A210" t="s">
        <v>1396</v>
      </c>
      <c r="B210" t="s">
        <v>1395</v>
      </c>
      <c r="C210" t="s">
        <v>417</v>
      </c>
      <c r="D210" t="s">
        <v>339</v>
      </c>
      <c r="E210" s="160">
        <v>2391520</v>
      </c>
      <c r="F210">
        <v>15</v>
      </c>
      <c r="G210" s="377">
        <v>34232.97</v>
      </c>
      <c r="H210">
        <v>0</v>
      </c>
      <c r="I210" s="377">
        <v>0</v>
      </c>
      <c r="J210">
        <v>14</v>
      </c>
      <c r="K210" s="180">
        <v>34147.24</v>
      </c>
    </row>
    <row r="211" spans="1:11" ht="15" customHeight="1" x14ac:dyDescent="0.2">
      <c r="A211" t="s">
        <v>1405</v>
      </c>
      <c r="B211" t="s">
        <v>1404</v>
      </c>
      <c r="C211" t="s">
        <v>1403</v>
      </c>
      <c r="D211" t="s">
        <v>339</v>
      </c>
      <c r="E211" s="160">
        <v>5870735</v>
      </c>
      <c r="F211">
        <v>17</v>
      </c>
      <c r="G211" s="377">
        <v>77780</v>
      </c>
      <c r="H211">
        <v>0</v>
      </c>
      <c r="I211" s="377">
        <v>0</v>
      </c>
      <c r="J211">
        <v>17</v>
      </c>
      <c r="K211" s="180">
        <v>77780</v>
      </c>
    </row>
    <row r="212" spans="1:11" ht="15" customHeight="1" x14ac:dyDescent="0.2">
      <c r="A212" t="s">
        <v>1411</v>
      </c>
      <c r="B212" t="s">
        <v>1410</v>
      </c>
      <c r="C212" t="s">
        <v>1409</v>
      </c>
      <c r="D212" t="s">
        <v>321</v>
      </c>
      <c r="E212" s="160">
        <v>169690</v>
      </c>
      <c r="F212">
        <v>2</v>
      </c>
      <c r="G212" s="377">
        <v>6259</v>
      </c>
      <c r="H212">
        <v>0</v>
      </c>
      <c r="I212" s="377">
        <v>0</v>
      </c>
      <c r="J212">
        <v>2</v>
      </c>
      <c r="K212" s="180">
        <v>6259</v>
      </c>
    </row>
    <row r="213" spans="1:11" ht="15" customHeight="1" x14ac:dyDescent="0.2">
      <c r="A213" t="s">
        <v>1417</v>
      </c>
      <c r="B213" t="s">
        <v>1416</v>
      </c>
      <c r="C213" t="s">
        <v>1415</v>
      </c>
      <c r="D213" t="s">
        <v>321</v>
      </c>
      <c r="E213" s="160">
        <v>3405800</v>
      </c>
      <c r="F213">
        <v>93</v>
      </c>
      <c r="G213" s="377">
        <v>53767.35</v>
      </c>
      <c r="H213">
        <v>0</v>
      </c>
      <c r="I213" s="377">
        <v>0</v>
      </c>
      <c r="J213">
        <v>69</v>
      </c>
      <c r="K213" s="180">
        <v>53533.34</v>
      </c>
    </row>
    <row r="214" spans="1:11" ht="15" customHeight="1" x14ac:dyDescent="0.2">
      <c r="A214" t="s">
        <v>1420</v>
      </c>
      <c r="B214" t="s">
        <v>1419</v>
      </c>
      <c r="C214" t="s">
        <v>1418</v>
      </c>
      <c r="D214" t="s">
        <v>321</v>
      </c>
      <c r="E214" s="160">
        <v>1182613</v>
      </c>
      <c r="F214">
        <v>21</v>
      </c>
      <c r="G214" s="377">
        <v>20272.080000000002</v>
      </c>
      <c r="H214">
        <v>0</v>
      </c>
      <c r="I214" s="377">
        <v>0</v>
      </c>
      <c r="J214">
        <v>21</v>
      </c>
      <c r="K214" s="180">
        <v>20272.080000000002</v>
      </c>
    </row>
    <row r="215" spans="1:11" ht="15" customHeight="1" x14ac:dyDescent="0.2">
      <c r="A215" t="s">
        <v>1423</v>
      </c>
      <c r="B215" t="s">
        <v>1422</v>
      </c>
      <c r="C215" t="s">
        <v>1421</v>
      </c>
      <c r="D215" t="s">
        <v>321</v>
      </c>
      <c r="E215" s="160">
        <v>2384569</v>
      </c>
      <c r="F215">
        <v>13</v>
      </c>
      <c r="G215" s="377">
        <v>35338</v>
      </c>
      <c r="H215">
        <v>0</v>
      </c>
      <c r="I215" s="377">
        <v>0</v>
      </c>
      <c r="J215">
        <v>12</v>
      </c>
      <c r="K215" s="180">
        <v>35240</v>
      </c>
    </row>
    <row r="216" spans="1:11" ht="15" customHeight="1" x14ac:dyDescent="0.2">
      <c r="A216" t="s">
        <v>1426</v>
      </c>
      <c r="B216" t="s">
        <v>1425</v>
      </c>
      <c r="C216" t="s">
        <v>1424</v>
      </c>
      <c r="D216" t="s">
        <v>339</v>
      </c>
      <c r="E216" s="160">
        <v>1119444</v>
      </c>
      <c r="F216">
        <v>31</v>
      </c>
      <c r="G216" s="377">
        <v>30581.68</v>
      </c>
      <c r="H216">
        <v>0</v>
      </c>
      <c r="I216" s="377">
        <v>0</v>
      </c>
      <c r="J216">
        <v>31</v>
      </c>
      <c r="K216" s="180">
        <v>30581.68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E5432-F1D3-4B1D-9162-7BB5E5A9D28C}">
  <sheetPr codeName="Sheet9">
    <tabColor rgb="FF00B050"/>
  </sheetPr>
  <dimension ref="A1:AK10"/>
  <sheetViews>
    <sheetView zoomScale="80" zoomScaleNormal="80" workbookViewId="0">
      <pane ySplit="1" topLeftCell="A2" activePane="bottomLeft" state="frozen"/>
      <selection pane="bottomLeft"/>
    </sheetView>
  </sheetViews>
  <sheetFormatPr defaultColWidth="8.7109375" defaultRowHeight="12.75" x14ac:dyDescent="0.2"/>
  <cols>
    <col min="1" max="16384" width="8.7109375" style="286"/>
  </cols>
  <sheetData>
    <row r="1" spans="1:37" x14ac:dyDescent="0.2">
      <c r="A1" s="285" t="s">
        <v>98</v>
      </c>
      <c r="B1" s="285" t="s">
        <v>31483</v>
      </c>
      <c r="C1" s="285" t="s">
        <v>31484</v>
      </c>
      <c r="D1" s="285" t="s">
        <v>31485</v>
      </c>
      <c r="E1" s="285" t="s">
        <v>31486</v>
      </c>
      <c r="F1" s="285" t="s">
        <v>31487</v>
      </c>
      <c r="G1" s="285" t="s">
        <v>31488</v>
      </c>
      <c r="H1" s="285" t="s">
        <v>31489</v>
      </c>
      <c r="I1" s="285" t="s">
        <v>31490</v>
      </c>
      <c r="J1" s="285" t="s">
        <v>31491</v>
      </c>
      <c r="K1" s="285" t="s">
        <v>31492</v>
      </c>
      <c r="L1" s="285" t="s">
        <v>31493</v>
      </c>
      <c r="M1" s="285" t="s">
        <v>31494</v>
      </c>
      <c r="N1" s="285" t="s">
        <v>31495</v>
      </c>
      <c r="O1" s="285" t="s">
        <v>31496</v>
      </c>
      <c r="P1" s="285" t="s">
        <v>31497</v>
      </c>
      <c r="Q1" s="285" t="s">
        <v>31498</v>
      </c>
      <c r="R1" s="285" t="s">
        <v>31499</v>
      </c>
      <c r="S1" s="285" t="s">
        <v>31500</v>
      </c>
      <c r="T1" s="285" t="s">
        <v>31501</v>
      </c>
      <c r="U1" s="285" t="s">
        <v>31502</v>
      </c>
      <c r="V1" s="285" t="s">
        <v>31503</v>
      </c>
      <c r="W1" s="285" t="s">
        <v>31504</v>
      </c>
      <c r="X1" s="285" t="s">
        <v>31505</v>
      </c>
      <c r="Y1" s="285" t="s">
        <v>31506</v>
      </c>
      <c r="Z1" s="285" t="s">
        <v>31507</v>
      </c>
      <c r="AA1" s="285" t="s">
        <v>31508</v>
      </c>
      <c r="AB1" s="285" t="s">
        <v>31509</v>
      </c>
      <c r="AC1" s="285" t="s">
        <v>31510</v>
      </c>
      <c r="AD1" s="285" t="s">
        <v>31511</v>
      </c>
      <c r="AE1" s="285" t="s">
        <v>31512</v>
      </c>
      <c r="AF1" s="285" t="s">
        <v>31513</v>
      </c>
      <c r="AG1" s="285" t="s">
        <v>31514</v>
      </c>
      <c r="AK1" s="499" t="s">
        <v>31515</v>
      </c>
    </row>
    <row r="2" spans="1:37" x14ac:dyDescent="0.2">
      <c r="B2" s="466"/>
      <c r="C2" s="466"/>
      <c r="D2" s="466"/>
      <c r="E2" s="466"/>
      <c r="F2" s="466"/>
      <c r="G2" s="466"/>
      <c r="H2" s="466"/>
      <c r="I2" s="466"/>
      <c r="J2" s="460"/>
      <c r="K2" s="460"/>
      <c r="L2" s="467"/>
      <c r="M2" s="467"/>
      <c r="N2" s="467"/>
      <c r="O2" s="467"/>
      <c r="P2" s="467"/>
      <c r="Q2" s="467"/>
      <c r="R2" s="460"/>
      <c r="S2" s="460"/>
      <c r="T2" s="460"/>
      <c r="U2" s="460"/>
      <c r="V2" s="460"/>
      <c r="W2" s="460"/>
      <c r="X2" s="460"/>
      <c r="Y2" s="460"/>
      <c r="Z2" s="460"/>
      <c r="AA2" s="460"/>
      <c r="AB2" s="460"/>
      <c r="AC2" s="467"/>
      <c r="AD2" s="467"/>
      <c r="AE2" s="467"/>
      <c r="AF2" s="467"/>
      <c r="AG2" s="460"/>
    </row>
    <row r="10" spans="1:37" x14ac:dyDescent="0.2">
      <c r="A10" s="285"/>
    </row>
  </sheetData>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C119-F167-4EAE-BB0F-13408628080D}">
  <sheetPr codeName="Sheet22">
    <tabColor theme="0" tint="-0.14999847407452621"/>
  </sheetPr>
  <dimension ref="A1:R676"/>
  <sheetViews>
    <sheetView zoomScale="70" zoomScaleNormal="90" workbookViewId="0"/>
  </sheetViews>
  <sheetFormatPr defaultColWidth="8.7109375" defaultRowHeight="12.75" customHeight="1" x14ac:dyDescent="0.2"/>
  <cols>
    <col min="1" max="1" width="10.140625" bestFit="1" customWidth="1"/>
    <col min="2" max="2" width="21.85546875" bestFit="1" customWidth="1"/>
    <col min="3" max="3" width="16.140625" bestFit="1" customWidth="1"/>
    <col min="4" max="4" width="14" style="177" bestFit="1" customWidth="1"/>
    <col min="5" max="5" width="18.42578125" bestFit="1" customWidth="1"/>
    <col min="6" max="6" width="15.5703125" bestFit="1" customWidth="1"/>
    <col min="7" max="7" width="12.5703125" bestFit="1" customWidth="1"/>
    <col min="8" max="8" width="12.85546875" bestFit="1" customWidth="1"/>
    <col min="9" max="9" width="14.42578125" bestFit="1" customWidth="1"/>
    <col min="10" max="12" width="14.42578125" customWidth="1"/>
    <col min="13" max="13" width="20.140625" customWidth="1"/>
    <col min="14" max="14" width="30.28515625" customWidth="1"/>
    <col min="15" max="15" width="21.28515625" style="290" bestFit="1" customWidth="1"/>
    <col min="16" max="17" width="21.42578125" style="290" bestFit="1" customWidth="1"/>
    <col min="18" max="18" width="21.5703125" style="290" bestFit="1" customWidth="1"/>
    <col min="19" max="20" width="17.7109375" style="290" bestFit="1" customWidth="1"/>
    <col min="21" max="21" width="17.5703125" style="290" bestFit="1" customWidth="1"/>
    <col min="22" max="23" width="17.7109375" style="290" bestFit="1" customWidth="1"/>
    <col min="24" max="24" width="18" style="290" bestFit="1" customWidth="1"/>
    <col min="25" max="29" width="13.140625" style="290" bestFit="1" customWidth="1"/>
    <col min="30" max="30" width="13.42578125" style="290" bestFit="1" customWidth="1"/>
    <col min="31" max="32" width="15.140625" style="290" bestFit="1" customWidth="1"/>
    <col min="33" max="33" width="15" style="290" bestFit="1" customWidth="1"/>
    <col min="34" max="35" width="15.140625" style="290" bestFit="1" customWidth="1"/>
    <col min="36" max="36" width="15.42578125" style="290" bestFit="1" customWidth="1"/>
    <col min="37" max="37" width="9.140625" style="290" bestFit="1" customWidth="1"/>
    <col min="38" max="38" width="11.5703125" style="290" bestFit="1" customWidth="1"/>
    <col min="39" max="39" width="11.42578125" style="290" bestFit="1" customWidth="1"/>
    <col min="40" max="40" width="11.85546875" style="290" bestFit="1" customWidth="1"/>
    <col min="41" max="41" width="11.7109375" style="290" bestFit="1" customWidth="1"/>
    <col min="42" max="42" width="11.42578125" style="290" bestFit="1" customWidth="1"/>
    <col min="43" max="43" width="13.7109375" style="290" bestFit="1" customWidth="1"/>
    <col min="44" max="44" width="21.28515625" style="290" bestFit="1" customWidth="1"/>
    <col min="45" max="47" width="11.5703125" style="290" bestFit="1" customWidth="1"/>
    <col min="48" max="48" width="10.85546875" style="290" bestFit="1" customWidth="1"/>
    <col min="49" max="49" width="10.7109375" style="290" bestFit="1" customWidth="1"/>
    <col min="50" max="50" width="14.85546875" style="290" bestFit="1" customWidth="1"/>
    <col min="51" max="51" width="11.42578125" style="290" bestFit="1" customWidth="1"/>
    <col min="52" max="53" width="17" style="290" bestFit="1" customWidth="1"/>
    <col min="54" max="54" width="17.42578125" style="290" bestFit="1" customWidth="1"/>
    <col min="55" max="55" width="17.140625" style="290" bestFit="1" customWidth="1"/>
    <col min="56" max="56" width="17" style="290" bestFit="1" customWidth="1"/>
    <col min="57" max="57" width="17.140625" style="290" bestFit="1" customWidth="1"/>
    <col min="58" max="58" width="17" style="290" bestFit="1" customWidth="1"/>
    <col min="59" max="59" width="17.42578125" style="290" bestFit="1" customWidth="1"/>
    <col min="60" max="60" width="17.28515625" style="290" bestFit="1" customWidth="1"/>
    <col min="61" max="61" width="17" style="290" bestFit="1" customWidth="1"/>
    <col min="62" max="16384" width="8.7109375" style="290"/>
  </cols>
  <sheetData>
    <row r="1" spans="1:14" ht="12.75" customHeight="1" x14ac:dyDescent="0.2">
      <c r="A1" t="s">
        <v>52</v>
      </c>
      <c r="B1" t="s">
        <v>53</v>
      </c>
      <c r="C1" s="26" t="s">
        <v>54</v>
      </c>
      <c r="D1" s="177" t="s">
        <v>55</v>
      </c>
      <c r="E1" t="s">
        <v>56</v>
      </c>
      <c r="F1" t="s">
        <v>57</v>
      </c>
      <c r="G1" t="s">
        <v>58</v>
      </c>
      <c r="H1" t="s">
        <v>59</v>
      </c>
      <c r="I1" t="s">
        <v>60</v>
      </c>
      <c r="J1" t="s">
        <v>61</v>
      </c>
      <c r="K1" t="s">
        <v>62</v>
      </c>
      <c r="L1" t="s">
        <v>63</v>
      </c>
      <c r="M1" t="s">
        <v>64</v>
      </c>
      <c r="N1" s="26" t="s">
        <v>65</v>
      </c>
    </row>
    <row r="2" spans="1:14" ht="12.75" customHeight="1" x14ac:dyDescent="0.2">
      <c r="A2" s="287" t="str">
        <f>IF(CTR1_Local!$D33="",CTR1_Local!B33,CTR1_Local!$D33)</f>
        <v/>
      </c>
      <c r="B2" s="26" t="str">
        <f>IF(A2="","",IF(RIGHT(A2,3)="NEW","Add new / another parish",CTR1_Local!$AN33))</f>
        <v/>
      </c>
      <c r="C2" s="26" t="str">
        <f>IF(OR(B2="",D2=""),"",IF(AND(B2&lt;&gt;"",D2&lt;&gt;"",B2&lt;&gt;"Add new / another parish"),"yes",""))</f>
        <v/>
      </c>
      <c r="D2" s="177" t="str">
        <f>IF(A2="","",IF(RIGHT(A2,3)="NEW",CTR1_Local!$E33,IF(CTR1_Local!$AO33="change",CTR1_Local!$E33,"")))</f>
        <v/>
      </c>
      <c r="E2" t="str">
        <f>IF(CTR1_Local!$F33="","",CTR1_Local!$F33)</f>
        <v/>
      </c>
      <c r="F2" s="261" t="str">
        <f>IF(CTR1_Local!$T33="","",IF(CTR1_Local!$T33="Yes","Removed",""))</f>
        <v/>
      </c>
      <c r="G2" t="str">
        <f>IF(CTR1_Local!$N33="","",IF(F2="Removed","",CTR1_Local!$N33))</f>
        <v/>
      </c>
      <c r="H2" t="str">
        <f>IF(CTR1_Local!$P33="","",IF($F2="Removed","",CTR1_Local!$P33))</f>
        <v/>
      </c>
      <c r="I2" t="str">
        <f>IF(CTR1_Local!$R33="","",IF($F2="Removed","",CTR1_Local!$R33))</f>
        <v/>
      </c>
      <c r="J2" s="160" t="str">
        <f>CTR1_Local!$H33</f>
        <v/>
      </c>
      <c r="K2" s="340" t="str">
        <f>CTR1_Local!$J33</f>
        <v/>
      </c>
      <c r="L2" s="350" t="str">
        <f>CTR1_Local!$L33</f>
        <v/>
      </c>
      <c r="M2" s="261" t="str">
        <f>IF(CTR1_Local!$V33="","",IF(CTR1_Local!$V33="Yes","confirm",""))</f>
        <v/>
      </c>
      <c r="N2" t="str">
        <f>IF(CTR1_Local!$W33="","",CTR1_Local!$W33)</f>
        <v/>
      </c>
    </row>
    <row r="3" spans="1:14" ht="12.75" customHeight="1" x14ac:dyDescent="0.2">
      <c r="A3" s="287" t="str">
        <f>IF(CTR1_Local!$D34="",CTR1_Local!B34,CTR1_Local!$D34)</f>
        <v/>
      </c>
      <c r="B3" s="26" t="str">
        <f>IF(A3="","",IF(RIGHT(A3,3)="NEW","Add new / another parish",CTR1_Local!$AN34))</f>
        <v/>
      </c>
      <c r="C3" s="26" t="str">
        <f t="shared" ref="C3:C66" si="0">IF(OR(B3="",D3=""),"",IF(AND(B3&lt;&gt;"",D3&lt;&gt;"",B3&lt;&gt;"Add new / another parish"),"yes",""))</f>
        <v/>
      </c>
      <c r="D3" s="177" t="str">
        <f>IF(A3="","",IF(RIGHT(A3,3)="NEW",CTR1_Local!$E34,IF(CTR1_Local!$AO34="change",CTR1_Local!$E34,"")))</f>
        <v/>
      </c>
      <c r="E3" t="str">
        <f>IF(CTR1_Local!$F34="","",CTR1_Local!$F34)</f>
        <v/>
      </c>
      <c r="F3" s="261" t="str">
        <f>IF(CTR1_Local!$T34="","",IF(CTR1_Local!$T34="Yes","Removed",""))</f>
        <v/>
      </c>
      <c r="G3" t="str">
        <f>IF(CTR1_Local!$N34="","",IF(F3="Removed","",CTR1_Local!$N34))</f>
        <v/>
      </c>
      <c r="H3" t="str">
        <f>IF(CTR1_Local!$P34="","",IF($F3="Removed","",CTR1_Local!$P34))</f>
        <v/>
      </c>
      <c r="I3" t="str">
        <f>IF(CTR1_Local!$R34="","",IF($F3="Removed","",CTR1_Local!$R34))</f>
        <v/>
      </c>
      <c r="J3" s="160" t="str">
        <f>CTR1_Local!$H34</f>
        <v/>
      </c>
      <c r="K3" s="340" t="str">
        <f>CTR1_Local!$J34</f>
        <v/>
      </c>
      <c r="L3" s="350" t="str">
        <f>CTR1_Local!$L34</f>
        <v/>
      </c>
      <c r="M3" s="261" t="str">
        <f>IF(CTR1_Local!$V34="","",IF(CTR1_Local!$V34="Yes","confirm",""))</f>
        <v/>
      </c>
      <c r="N3" t="str">
        <f>IF(CTR1_Local!$W34="","",CTR1_Local!$W34)</f>
        <v/>
      </c>
    </row>
    <row r="4" spans="1:14" ht="12.75" customHeight="1" x14ac:dyDescent="0.2">
      <c r="A4" s="287" t="str">
        <f>IF(CTR1_Local!$D35="",CTR1_Local!B35,CTR1_Local!$D35)</f>
        <v/>
      </c>
      <c r="B4" s="26" t="str">
        <f>IF(A4="","",IF(RIGHT(A4,3)="NEW","Add new / another parish",CTR1_Local!$AN35))</f>
        <v/>
      </c>
      <c r="C4" s="26" t="str">
        <f t="shared" si="0"/>
        <v/>
      </c>
      <c r="D4" s="177" t="str">
        <f>IF(A4="","",IF(RIGHT(A4,3)="NEW",CTR1_Local!$E35,IF(CTR1_Local!$AO35="change",CTR1_Local!$E35,"")))</f>
        <v/>
      </c>
      <c r="E4" t="str">
        <f>IF(CTR1_Local!$F35="","",CTR1_Local!$F35)</f>
        <v/>
      </c>
      <c r="F4" s="261" t="str">
        <f>IF(CTR1_Local!$T35="","",IF(CTR1_Local!$T35="Yes","Removed",""))</f>
        <v/>
      </c>
      <c r="G4" t="str">
        <f>IF(CTR1_Local!$N35="","",IF(F4="Removed","",CTR1_Local!$N35))</f>
        <v/>
      </c>
      <c r="H4" t="str">
        <f>IF(CTR1_Local!$P35="","",IF($F4="Removed","",CTR1_Local!$P35))</f>
        <v/>
      </c>
      <c r="I4" t="str">
        <f>IF(CTR1_Local!$R35="","",IF($F4="Removed","",CTR1_Local!$R35))</f>
        <v/>
      </c>
      <c r="J4" s="160" t="str">
        <f>CTR1_Local!$H35</f>
        <v/>
      </c>
      <c r="K4" s="340" t="str">
        <f>CTR1_Local!$J35</f>
        <v/>
      </c>
      <c r="L4" s="350" t="str">
        <f>CTR1_Local!$L35</f>
        <v/>
      </c>
      <c r="M4" s="261" t="str">
        <f>IF(CTR1_Local!$V35="","",IF(CTR1_Local!$V35="Yes","confirm",""))</f>
        <v/>
      </c>
      <c r="N4" t="str">
        <f>IF(CTR1_Local!$W35="","",CTR1_Local!$W35)</f>
        <v/>
      </c>
    </row>
    <row r="5" spans="1:14" ht="12.75" customHeight="1" x14ac:dyDescent="0.2">
      <c r="A5" s="287" t="str">
        <f>IF(CTR1_Local!$D36="",CTR1_Local!B36,CTR1_Local!$D36)</f>
        <v/>
      </c>
      <c r="B5" s="26" t="str">
        <f>IF(A5="","",IF(RIGHT(A5,3)="NEW","Add new / another parish",CTR1_Local!$AN36))</f>
        <v/>
      </c>
      <c r="C5" s="26" t="str">
        <f t="shared" si="0"/>
        <v/>
      </c>
      <c r="D5" s="177" t="str">
        <f>IF(A5="","",IF(RIGHT(A5,3)="NEW",CTR1_Local!$E36,IF(CTR1_Local!$AO36="change",CTR1_Local!$E36,"")))</f>
        <v/>
      </c>
      <c r="E5" t="str">
        <f>IF(CTR1_Local!$F36="","",CTR1_Local!$F36)</f>
        <v/>
      </c>
      <c r="F5" s="261" t="str">
        <f>IF(CTR1_Local!$T36="","",IF(CTR1_Local!$T36="Yes","Removed",""))</f>
        <v/>
      </c>
      <c r="G5" t="str">
        <f>IF(CTR1_Local!$N36="","",IF(F5="Removed","",CTR1_Local!$N36))</f>
        <v/>
      </c>
      <c r="H5" t="str">
        <f>IF(CTR1_Local!$P36="","",IF($F5="Removed","",CTR1_Local!$P36))</f>
        <v/>
      </c>
      <c r="I5" t="str">
        <f>IF(CTR1_Local!$R36="","",IF($F5="Removed","",CTR1_Local!$R36))</f>
        <v/>
      </c>
      <c r="J5" s="160" t="str">
        <f>CTR1_Local!$H36</f>
        <v/>
      </c>
      <c r="K5" s="340" t="str">
        <f>CTR1_Local!$J36</f>
        <v/>
      </c>
      <c r="L5" s="350" t="str">
        <f>CTR1_Local!$L36</f>
        <v/>
      </c>
      <c r="M5" s="261" t="str">
        <f>IF(CTR1_Local!$V36="","",IF(CTR1_Local!$V36="Yes","confirm",""))</f>
        <v/>
      </c>
      <c r="N5" t="str">
        <f>IF(CTR1_Local!$W36="","",CTR1_Local!$W36)</f>
        <v/>
      </c>
    </row>
    <row r="6" spans="1:14" ht="12.75" customHeight="1" x14ac:dyDescent="0.2">
      <c r="A6" s="287" t="str">
        <f>IF(CTR1_Local!$D37="",CTR1_Local!B37,CTR1_Local!$D37)</f>
        <v/>
      </c>
      <c r="B6" s="26" t="str">
        <f>IF(A6="","",IF(RIGHT(A6,3)="NEW","Add new / another parish",CTR1_Local!$AN37))</f>
        <v/>
      </c>
      <c r="C6" s="26" t="str">
        <f t="shared" si="0"/>
        <v/>
      </c>
      <c r="D6" s="177" t="str">
        <f>IF(A6="","",IF(RIGHT(A6,3)="NEW",CTR1_Local!$E37,IF(CTR1_Local!$AO37="change",CTR1_Local!$E37,"")))</f>
        <v/>
      </c>
      <c r="E6" t="str">
        <f>IF(CTR1_Local!$F37="","",CTR1_Local!$F37)</f>
        <v/>
      </c>
      <c r="F6" s="261" t="str">
        <f>IF(CTR1_Local!$T37="","",IF(CTR1_Local!$T37="Yes","Removed",""))</f>
        <v/>
      </c>
      <c r="G6" t="str">
        <f>IF(CTR1_Local!$N37="","",IF(F6="Removed","",CTR1_Local!$N37))</f>
        <v/>
      </c>
      <c r="H6" t="str">
        <f>IF(CTR1_Local!$P37="","",IF($F6="Removed","",CTR1_Local!$P37))</f>
        <v/>
      </c>
      <c r="I6" t="str">
        <f>IF(CTR1_Local!$R37="","",IF($F6="Removed","",CTR1_Local!$R37))</f>
        <v/>
      </c>
      <c r="J6" s="160" t="str">
        <f>CTR1_Local!$H37</f>
        <v/>
      </c>
      <c r="K6" s="340" t="str">
        <f>CTR1_Local!$J37</f>
        <v/>
      </c>
      <c r="L6" s="350" t="str">
        <f>CTR1_Local!$L37</f>
        <v/>
      </c>
      <c r="M6" s="261" t="str">
        <f>IF(CTR1_Local!$V37="","",IF(CTR1_Local!$V37="Yes","confirm",""))</f>
        <v/>
      </c>
      <c r="N6" t="str">
        <f>IF(CTR1_Local!$W37="","",CTR1_Local!$W37)</f>
        <v/>
      </c>
    </row>
    <row r="7" spans="1:14" ht="12.75" customHeight="1" x14ac:dyDescent="0.2">
      <c r="A7" s="287" t="str">
        <f>IF(CTR1_Local!$D38="",CTR1_Local!B38,CTR1_Local!$D38)</f>
        <v/>
      </c>
      <c r="B7" s="26" t="str">
        <f>IF(A7="","",IF(RIGHT(A7,3)="NEW","Add new / another parish",CTR1_Local!$AN38))</f>
        <v/>
      </c>
      <c r="C7" s="26" t="str">
        <f t="shared" si="0"/>
        <v/>
      </c>
      <c r="D7" s="177" t="str">
        <f>IF(A7="","",IF(RIGHT(A7,3)="NEW",CTR1_Local!$E38,IF(CTR1_Local!$AO38="change",CTR1_Local!$E38,"")))</f>
        <v/>
      </c>
      <c r="E7" t="str">
        <f>IF(CTR1_Local!$F38="","",CTR1_Local!$F38)</f>
        <v/>
      </c>
      <c r="F7" s="261" t="str">
        <f>IF(CTR1_Local!$T38="","",IF(CTR1_Local!$T38="Yes","Removed",""))</f>
        <v/>
      </c>
      <c r="G7" t="str">
        <f>IF(CTR1_Local!$N38="","",IF(F7="Removed","",CTR1_Local!$N38))</f>
        <v/>
      </c>
      <c r="H7" t="str">
        <f>IF(CTR1_Local!$P38="","",IF($F7="Removed","",CTR1_Local!$P38))</f>
        <v/>
      </c>
      <c r="I7" t="str">
        <f>IF(CTR1_Local!$R38="","",IF($F7="Removed","",CTR1_Local!$R38))</f>
        <v/>
      </c>
      <c r="J7" s="160" t="str">
        <f>CTR1_Local!$H38</f>
        <v/>
      </c>
      <c r="K7" s="340" t="str">
        <f>CTR1_Local!$J38</f>
        <v/>
      </c>
      <c r="L7" s="350" t="str">
        <f>CTR1_Local!$L38</f>
        <v/>
      </c>
      <c r="M7" s="261" t="str">
        <f>IF(CTR1_Local!$V38="","",IF(CTR1_Local!$V38="Yes","confirm",""))</f>
        <v/>
      </c>
      <c r="N7" t="str">
        <f>IF(CTR1_Local!$W38="","",CTR1_Local!$W38)</f>
        <v/>
      </c>
    </row>
    <row r="8" spans="1:14" ht="12.75" customHeight="1" x14ac:dyDescent="0.2">
      <c r="A8" s="287" t="str">
        <f>IF(CTR1_Local!$D39="",CTR1_Local!B39,CTR1_Local!$D39)</f>
        <v/>
      </c>
      <c r="B8" s="26" t="str">
        <f>IF(A8="","",IF(RIGHT(A8,3)="NEW","Add new / another parish",CTR1_Local!$AN39))</f>
        <v/>
      </c>
      <c r="C8" s="26" t="str">
        <f t="shared" si="0"/>
        <v/>
      </c>
      <c r="D8" s="177" t="str">
        <f>IF(A8="","",IF(RIGHT(A8,3)="NEW",CTR1_Local!$E39,IF(CTR1_Local!$AO39="change",CTR1_Local!$E39,"")))</f>
        <v/>
      </c>
      <c r="E8" t="str">
        <f>IF(CTR1_Local!$F39="","",CTR1_Local!$F39)</f>
        <v/>
      </c>
      <c r="F8" s="261" t="str">
        <f>IF(CTR1_Local!$T39="","",IF(CTR1_Local!$T39="Yes","Removed",""))</f>
        <v/>
      </c>
      <c r="G8" t="str">
        <f>IF(CTR1_Local!$N39="","",IF(F8="Removed","",CTR1_Local!$N39))</f>
        <v/>
      </c>
      <c r="H8" t="str">
        <f>IF(CTR1_Local!$P39="","",IF($F8="Removed","",CTR1_Local!$P39))</f>
        <v/>
      </c>
      <c r="I8" t="str">
        <f>IF(CTR1_Local!$R39="","",IF($F8="Removed","",CTR1_Local!$R39))</f>
        <v/>
      </c>
      <c r="J8" s="160" t="str">
        <f>CTR1_Local!$H39</f>
        <v/>
      </c>
      <c r="K8" s="340" t="str">
        <f>CTR1_Local!$J39</f>
        <v/>
      </c>
      <c r="L8" s="350" t="str">
        <f>CTR1_Local!$L39</f>
        <v/>
      </c>
      <c r="M8" s="261" t="str">
        <f>IF(CTR1_Local!$V39="","",IF(CTR1_Local!$V39="Yes","confirm",""))</f>
        <v/>
      </c>
      <c r="N8" t="str">
        <f>IF(CTR1_Local!$W39="","",CTR1_Local!$W39)</f>
        <v/>
      </c>
    </row>
    <row r="9" spans="1:14" ht="12.75" customHeight="1" x14ac:dyDescent="0.2">
      <c r="A9" s="287" t="str">
        <f>IF(CTR1_Local!$D40="",CTR1_Local!B40,CTR1_Local!$D40)</f>
        <v/>
      </c>
      <c r="B9" s="26" t="str">
        <f>IF(A9="","",IF(RIGHT(A9,3)="NEW","Add new / another parish",CTR1_Local!$AN40))</f>
        <v/>
      </c>
      <c r="C9" s="26" t="str">
        <f t="shared" si="0"/>
        <v/>
      </c>
      <c r="D9" s="177" t="str">
        <f>IF(A9="","",IF(RIGHT(A9,3)="NEW",CTR1_Local!$E40,IF(CTR1_Local!$AO40="change",CTR1_Local!$E40,"")))</f>
        <v/>
      </c>
      <c r="E9" t="str">
        <f>IF(CTR1_Local!$F40="","",CTR1_Local!$F40)</f>
        <v/>
      </c>
      <c r="F9" s="261" t="str">
        <f>IF(CTR1_Local!$T40="","",IF(CTR1_Local!$T40="Yes","Removed",""))</f>
        <v/>
      </c>
      <c r="G9" t="str">
        <f>IF(CTR1_Local!$N40="","",IF(F9="Removed","",CTR1_Local!$N40))</f>
        <v/>
      </c>
      <c r="H9" t="str">
        <f>IF(CTR1_Local!$P40="","",IF($F9="Removed","",CTR1_Local!$P40))</f>
        <v/>
      </c>
      <c r="I9" t="str">
        <f>IF(CTR1_Local!$R40="","",IF($F9="Removed","",CTR1_Local!$R40))</f>
        <v/>
      </c>
      <c r="J9" s="160" t="str">
        <f>CTR1_Local!$H40</f>
        <v/>
      </c>
      <c r="K9" s="340" t="str">
        <f>CTR1_Local!$J40</f>
        <v/>
      </c>
      <c r="L9" s="350" t="str">
        <f>CTR1_Local!$L40</f>
        <v/>
      </c>
      <c r="M9" s="261" t="str">
        <f>IF(CTR1_Local!$V40="","",IF(CTR1_Local!$V40="Yes","confirm",""))</f>
        <v/>
      </c>
      <c r="N9" t="str">
        <f>IF(CTR1_Local!$W40="","",CTR1_Local!$W40)</f>
        <v/>
      </c>
    </row>
    <row r="10" spans="1:14" ht="12.75" customHeight="1" x14ac:dyDescent="0.2">
      <c r="A10" s="287" t="str">
        <f>IF(CTR1_Local!$D41="",CTR1_Local!B41,CTR1_Local!$D41)</f>
        <v/>
      </c>
      <c r="B10" s="26" t="str">
        <f>IF(A10="","",IF(RIGHT(A10,3)="NEW","Add new / another parish",CTR1_Local!$AN41))</f>
        <v/>
      </c>
      <c r="C10" s="26" t="str">
        <f t="shared" si="0"/>
        <v/>
      </c>
      <c r="D10" s="177" t="str">
        <f>IF(A10="","",IF(RIGHT(A10,3)="NEW",CTR1_Local!$E41,IF(CTR1_Local!$AO41="change",CTR1_Local!$E41,"")))</f>
        <v/>
      </c>
      <c r="E10" t="str">
        <f>IF(CTR1_Local!$F41="","",CTR1_Local!$F41)</f>
        <v/>
      </c>
      <c r="F10" s="261" t="str">
        <f>IF(CTR1_Local!$T41="","",IF(CTR1_Local!$T41="Yes","Removed",""))</f>
        <v/>
      </c>
      <c r="G10" t="str">
        <f>IF(CTR1_Local!$N41="","",IF(F10="Removed","",CTR1_Local!$N41))</f>
        <v/>
      </c>
      <c r="H10" t="str">
        <f>IF(CTR1_Local!$P41="","",IF($F10="Removed","",CTR1_Local!$P41))</f>
        <v/>
      </c>
      <c r="I10" t="str">
        <f>IF(CTR1_Local!$R41="","",IF($F10="Removed","",CTR1_Local!$R41))</f>
        <v/>
      </c>
      <c r="J10" s="160" t="str">
        <f>CTR1_Local!$H41</f>
        <v/>
      </c>
      <c r="K10" s="340" t="str">
        <f>CTR1_Local!$J41</f>
        <v/>
      </c>
      <c r="L10" s="350" t="str">
        <f>CTR1_Local!$L41</f>
        <v/>
      </c>
      <c r="M10" s="261" t="str">
        <f>IF(CTR1_Local!$V41="","",IF(CTR1_Local!$V41="Yes","confirm",""))</f>
        <v/>
      </c>
      <c r="N10" t="str">
        <f>IF(CTR1_Local!$W41="","",CTR1_Local!$W41)</f>
        <v/>
      </c>
    </row>
    <row r="11" spans="1:14" ht="12.75" customHeight="1" x14ac:dyDescent="0.2">
      <c r="A11" s="287" t="str">
        <f>IF(CTR1_Local!$D42="",CTR1_Local!B42,CTR1_Local!$D42)</f>
        <v/>
      </c>
      <c r="B11" s="26" t="str">
        <f>IF(A11="","",IF(RIGHT(A11,3)="NEW","Add new / another parish",CTR1_Local!$AN42))</f>
        <v/>
      </c>
      <c r="C11" s="26" t="str">
        <f t="shared" si="0"/>
        <v/>
      </c>
      <c r="D11" s="177" t="str">
        <f>IF(A11="","",IF(RIGHT(A11,3)="NEW",CTR1_Local!$E42,IF(CTR1_Local!$AO42="change",CTR1_Local!$E42,"")))</f>
        <v/>
      </c>
      <c r="E11" t="str">
        <f>IF(CTR1_Local!$F42="","",CTR1_Local!$F42)</f>
        <v/>
      </c>
      <c r="F11" s="261" t="str">
        <f>IF(CTR1_Local!$T42="","",IF(CTR1_Local!$T42="Yes","Removed",""))</f>
        <v/>
      </c>
      <c r="G11" t="str">
        <f>IF(CTR1_Local!$N42="","",IF(F11="Removed","",CTR1_Local!$N42))</f>
        <v/>
      </c>
      <c r="H11" t="str">
        <f>IF(CTR1_Local!$P42="","",IF($F11="Removed","",CTR1_Local!$P42))</f>
        <v/>
      </c>
      <c r="I11" t="str">
        <f>IF(CTR1_Local!$R42="","",IF($F11="Removed","",CTR1_Local!$R42))</f>
        <v/>
      </c>
      <c r="J11" s="160" t="str">
        <f>CTR1_Local!$H42</f>
        <v/>
      </c>
      <c r="K11" s="340" t="str">
        <f>CTR1_Local!$J42</f>
        <v/>
      </c>
      <c r="L11" s="350" t="str">
        <f>CTR1_Local!$L42</f>
        <v/>
      </c>
      <c r="M11" s="261" t="str">
        <f>IF(CTR1_Local!$V42="","",IF(CTR1_Local!$V42="Yes","confirm",""))</f>
        <v/>
      </c>
      <c r="N11" t="str">
        <f>IF(CTR1_Local!$W42="","",CTR1_Local!$W42)</f>
        <v/>
      </c>
    </row>
    <row r="12" spans="1:14" ht="12.75" customHeight="1" x14ac:dyDescent="0.2">
      <c r="A12" s="287" t="str">
        <f>IF(CTR1_Local!$D43="",CTR1_Local!B43,CTR1_Local!$D43)</f>
        <v/>
      </c>
      <c r="B12" s="26" t="str">
        <f>IF(A12="","",IF(RIGHT(A12,3)="NEW","Add new / another parish",CTR1_Local!$AN43))</f>
        <v/>
      </c>
      <c r="C12" s="26" t="str">
        <f t="shared" si="0"/>
        <v/>
      </c>
      <c r="D12" s="177" t="str">
        <f>IF(A12="","",IF(RIGHT(A12,3)="NEW",CTR1_Local!$E43,IF(CTR1_Local!$AO43="change",CTR1_Local!$E43,"")))</f>
        <v/>
      </c>
      <c r="E12" t="str">
        <f>IF(CTR1_Local!$F43="","",CTR1_Local!$F43)</f>
        <v/>
      </c>
      <c r="F12" s="261" t="str">
        <f>IF(CTR1_Local!$T43="","",IF(CTR1_Local!$T43="Yes","Removed",""))</f>
        <v/>
      </c>
      <c r="G12" t="str">
        <f>IF(CTR1_Local!$N43="","",IF(F12="Removed","",CTR1_Local!$N43))</f>
        <v/>
      </c>
      <c r="H12" t="str">
        <f>IF(CTR1_Local!$P43="","",IF($F12="Removed","",CTR1_Local!$P43))</f>
        <v/>
      </c>
      <c r="I12" t="str">
        <f>IF(CTR1_Local!$R43="","",IF($F12="Removed","",CTR1_Local!$R43))</f>
        <v/>
      </c>
      <c r="J12" s="160" t="str">
        <f>CTR1_Local!$H43</f>
        <v/>
      </c>
      <c r="K12" s="340" t="str">
        <f>CTR1_Local!$J43</f>
        <v/>
      </c>
      <c r="L12" s="350" t="str">
        <f>CTR1_Local!$L43</f>
        <v/>
      </c>
      <c r="M12" s="261" t="str">
        <f>IF(CTR1_Local!$V43="","",IF(CTR1_Local!$V43="Yes","confirm",""))</f>
        <v/>
      </c>
      <c r="N12" t="str">
        <f>IF(CTR1_Local!$W43="","",CTR1_Local!$W43)</f>
        <v/>
      </c>
    </row>
    <row r="13" spans="1:14" ht="12.75" customHeight="1" x14ac:dyDescent="0.2">
      <c r="A13" s="287" t="str">
        <f>IF(CTR1_Local!$D44="",CTR1_Local!B44,CTR1_Local!$D44)</f>
        <v/>
      </c>
      <c r="B13" s="26" t="str">
        <f>IF(A13="","",IF(RIGHT(A13,3)="NEW","Add new / another parish",CTR1_Local!$AN44))</f>
        <v/>
      </c>
      <c r="C13" s="26" t="str">
        <f t="shared" si="0"/>
        <v/>
      </c>
      <c r="D13" s="177" t="str">
        <f>IF(A13="","",IF(RIGHT(A13,3)="NEW",CTR1_Local!$E44,IF(CTR1_Local!$AO44="change",CTR1_Local!$E44,"")))</f>
        <v/>
      </c>
      <c r="E13" t="str">
        <f>IF(CTR1_Local!$F44="","",CTR1_Local!$F44)</f>
        <v/>
      </c>
      <c r="F13" s="261" t="str">
        <f>IF(CTR1_Local!$T44="","",IF(CTR1_Local!$T44="Yes","Removed",""))</f>
        <v/>
      </c>
      <c r="G13" t="str">
        <f>IF(CTR1_Local!$N44="","",IF(F13="Removed","",CTR1_Local!$N44))</f>
        <v/>
      </c>
      <c r="H13" t="str">
        <f>IF(CTR1_Local!$P44="","",IF($F13="Removed","",CTR1_Local!$P44))</f>
        <v/>
      </c>
      <c r="I13" t="str">
        <f>IF(CTR1_Local!$R44="","",IF($F13="Removed","",CTR1_Local!$R44))</f>
        <v/>
      </c>
      <c r="J13" s="160" t="str">
        <f>CTR1_Local!$H44</f>
        <v/>
      </c>
      <c r="K13" s="340" t="str">
        <f>CTR1_Local!$J44</f>
        <v/>
      </c>
      <c r="L13" s="350" t="str">
        <f>CTR1_Local!$L44</f>
        <v/>
      </c>
      <c r="M13" s="261" t="str">
        <f>IF(CTR1_Local!$V44="","",IF(CTR1_Local!$V44="Yes","confirm",""))</f>
        <v/>
      </c>
      <c r="N13" t="str">
        <f>IF(CTR1_Local!$W44="","",CTR1_Local!$W44)</f>
        <v/>
      </c>
    </row>
    <row r="14" spans="1:14" ht="12.75" customHeight="1" x14ac:dyDescent="0.2">
      <c r="A14" s="287" t="str">
        <f>IF(CTR1_Local!$D45="",CTR1_Local!B45,CTR1_Local!$D45)</f>
        <v/>
      </c>
      <c r="B14" s="26" t="str">
        <f>IF(A14="","",IF(RIGHT(A14,3)="NEW","Add new / another parish",CTR1_Local!$AN45))</f>
        <v/>
      </c>
      <c r="C14" s="26" t="str">
        <f t="shared" si="0"/>
        <v/>
      </c>
      <c r="D14" s="177" t="str">
        <f>IF(A14="","",IF(RIGHT(A14,3)="NEW",CTR1_Local!$E45,IF(CTR1_Local!$AO45="change",CTR1_Local!$E45,"")))</f>
        <v/>
      </c>
      <c r="E14" t="str">
        <f>IF(CTR1_Local!$F45="","",CTR1_Local!$F45)</f>
        <v/>
      </c>
      <c r="F14" s="261" t="str">
        <f>IF(CTR1_Local!$T45="","",IF(CTR1_Local!$T45="Yes","Removed",""))</f>
        <v/>
      </c>
      <c r="G14" t="str">
        <f>IF(CTR1_Local!$N45="","",IF(F14="Removed","",CTR1_Local!$N45))</f>
        <v/>
      </c>
      <c r="H14" t="str">
        <f>IF(CTR1_Local!$P45="","",IF($F14="Removed","",CTR1_Local!$P45))</f>
        <v/>
      </c>
      <c r="I14" t="str">
        <f>IF(CTR1_Local!$R45="","",IF($F14="Removed","",CTR1_Local!$R45))</f>
        <v/>
      </c>
      <c r="J14" s="160" t="str">
        <f>CTR1_Local!$H45</f>
        <v/>
      </c>
      <c r="K14" s="340" t="str">
        <f>CTR1_Local!$J45</f>
        <v/>
      </c>
      <c r="L14" s="350" t="str">
        <f>CTR1_Local!$L45</f>
        <v/>
      </c>
      <c r="M14" s="261" t="str">
        <f>IF(CTR1_Local!$V45="","",IF(CTR1_Local!$V45="Yes","confirm",""))</f>
        <v/>
      </c>
      <c r="N14" t="str">
        <f>IF(CTR1_Local!$W45="","",CTR1_Local!$W45)</f>
        <v/>
      </c>
    </row>
    <row r="15" spans="1:14" ht="12.75" customHeight="1" x14ac:dyDescent="0.2">
      <c r="A15" s="287" t="str">
        <f>IF(CTR1_Local!$D46="",CTR1_Local!B46,CTR1_Local!$D46)</f>
        <v/>
      </c>
      <c r="B15" s="26" t="str">
        <f>IF(A15="","",IF(RIGHT(A15,3)="NEW","Add new / another parish",CTR1_Local!$AN46))</f>
        <v/>
      </c>
      <c r="C15" s="26" t="str">
        <f t="shared" si="0"/>
        <v/>
      </c>
      <c r="D15" s="177" t="str">
        <f>IF(A15="","",IF(RIGHT(A15,3)="NEW",CTR1_Local!$E46,IF(CTR1_Local!$AO46="change",CTR1_Local!$E46,"")))</f>
        <v/>
      </c>
      <c r="E15" t="str">
        <f>IF(CTR1_Local!$F46="","",CTR1_Local!$F46)</f>
        <v/>
      </c>
      <c r="F15" s="261" t="str">
        <f>IF(CTR1_Local!$T46="","",IF(CTR1_Local!$T46="Yes","Removed",""))</f>
        <v/>
      </c>
      <c r="G15" t="str">
        <f>IF(CTR1_Local!$N46="","",IF(F15="Removed","",CTR1_Local!$N46))</f>
        <v/>
      </c>
      <c r="H15" t="str">
        <f>IF(CTR1_Local!$P46="","",IF($F15="Removed","",CTR1_Local!$P46))</f>
        <v/>
      </c>
      <c r="I15" t="str">
        <f>IF(CTR1_Local!$R46="","",IF($F15="Removed","",CTR1_Local!$R46))</f>
        <v/>
      </c>
      <c r="J15" s="160" t="str">
        <f>CTR1_Local!$H46</f>
        <v/>
      </c>
      <c r="K15" s="340" t="str">
        <f>CTR1_Local!$J46</f>
        <v/>
      </c>
      <c r="L15" s="350" t="str">
        <f>CTR1_Local!$L46</f>
        <v/>
      </c>
      <c r="M15" s="261" t="str">
        <f>IF(CTR1_Local!$V46="","",IF(CTR1_Local!$V46="Yes","confirm",""))</f>
        <v/>
      </c>
      <c r="N15" t="str">
        <f>IF(CTR1_Local!$W46="","",CTR1_Local!$W46)</f>
        <v/>
      </c>
    </row>
    <row r="16" spans="1:14" ht="12.75" customHeight="1" x14ac:dyDescent="0.2">
      <c r="A16" s="287" t="str">
        <f>IF(CTR1_Local!$D47="",CTR1_Local!B47,CTR1_Local!$D47)</f>
        <v/>
      </c>
      <c r="B16" s="26" t="str">
        <f>IF(A16="","",IF(RIGHT(A16,3)="NEW","Add new / another parish",CTR1_Local!$AN47))</f>
        <v/>
      </c>
      <c r="C16" s="26" t="str">
        <f t="shared" si="0"/>
        <v/>
      </c>
      <c r="D16" s="177" t="str">
        <f>IF(A16="","",IF(RIGHT(A16,3)="NEW",CTR1_Local!$E47,IF(CTR1_Local!$AO47="change",CTR1_Local!$E47,"")))</f>
        <v/>
      </c>
      <c r="E16" t="str">
        <f>IF(CTR1_Local!$F47="","",CTR1_Local!$F47)</f>
        <v/>
      </c>
      <c r="F16" s="261" t="str">
        <f>IF(CTR1_Local!$T47="","",IF(CTR1_Local!$T47="Yes","Removed",""))</f>
        <v/>
      </c>
      <c r="G16" t="str">
        <f>IF(CTR1_Local!$N47="","",IF(F16="Removed","",CTR1_Local!$N47))</f>
        <v/>
      </c>
      <c r="H16" t="str">
        <f>IF(CTR1_Local!$P47="","",IF($F16="Removed","",CTR1_Local!$P47))</f>
        <v/>
      </c>
      <c r="I16" t="str">
        <f>IF(CTR1_Local!$R47="","",IF($F16="Removed","",CTR1_Local!$R47))</f>
        <v/>
      </c>
      <c r="J16" s="160" t="str">
        <f>CTR1_Local!$H47</f>
        <v/>
      </c>
      <c r="K16" s="340" t="str">
        <f>CTR1_Local!$J47</f>
        <v/>
      </c>
      <c r="L16" s="350" t="str">
        <f>CTR1_Local!$L47</f>
        <v/>
      </c>
      <c r="M16" s="261" t="str">
        <f>IF(CTR1_Local!$V47="","",IF(CTR1_Local!$V47="Yes","confirm",""))</f>
        <v/>
      </c>
      <c r="N16" t="str">
        <f>IF(CTR1_Local!$W47="","",CTR1_Local!$W47)</f>
        <v/>
      </c>
    </row>
    <row r="17" spans="1:18" ht="12.75" customHeight="1" x14ac:dyDescent="0.2">
      <c r="A17" s="287" t="str">
        <f>IF(CTR1_Local!$D48="",CTR1_Local!B48,CTR1_Local!$D48)</f>
        <v/>
      </c>
      <c r="B17" s="26" t="str">
        <f>IF(A17="","",IF(RIGHT(A17,3)="NEW","Add new / another parish",CTR1_Local!$AN48))</f>
        <v/>
      </c>
      <c r="C17" s="26" t="str">
        <f t="shared" si="0"/>
        <v/>
      </c>
      <c r="D17" s="177" t="str">
        <f>IF(A17="","",IF(RIGHT(A17,3)="NEW",CTR1_Local!$E48,IF(CTR1_Local!$AO48="change",CTR1_Local!$E48,"")))</f>
        <v/>
      </c>
      <c r="E17" t="str">
        <f>IF(CTR1_Local!$F48="","",CTR1_Local!$F48)</f>
        <v/>
      </c>
      <c r="F17" s="261" t="str">
        <f>IF(CTR1_Local!$T48="","",IF(CTR1_Local!$T48="Yes","Removed",""))</f>
        <v/>
      </c>
      <c r="G17" t="str">
        <f>IF(CTR1_Local!$N48="","",IF(F17="Removed","",CTR1_Local!$N48))</f>
        <v/>
      </c>
      <c r="H17" t="str">
        <f>IF(CTR1_Local!$P48="","",IF($F17="Removed","",CTR1_Local!$P48))</f>
        <v/>
      </c>
      <c r="I17" t="str">
        <f>IF(CTR1_Local!$R48="","",IF($F17="Removed","",CTR1_Local!$R48))</f>
        <v/>
      </c>
      <c r="J17" s="160" t="str">
        <f>CTR1_Local!$H48</f>
        <v/>
      </c>
      <c r="K17" s="340" t="str">
        <f>CTR1_Local!$J48</f>
        <v/>
      </c>
      <c r="L17" s="350" t="str">
        <f>CTR1_Local!$L48</f>
        <v/>
      </c>
      <c r="M17" s="261" t="str">
        <f>IF(CTR1_Local!$V48="","",IF(CTR1_Local!$V48="Yes","confirm",""))</f>
        <v/>
      </c>
      <c r="N17" t="str">
        <f>IF(CTR1_Local!$W48="","",CTR1_Local!$W48)</f>
        <v/>
      </c>
    </row>
    <row r="18" spans="1:18" ht="12.75" customHeight="1" x14ac:dyDescent="0.2">
      <c r="A18" s="287" t="str">
        <f>IF(CTR1_Local!$D49="",CTR1_Local!B49,CTR1_Local!$D49)</f>
        <v/>
      </c>
      <c r="B18" s="26" t="str">
        <f>IF(A18="","",IF(RIGHT(A18,3)="NEW","Add new / another parish",CTR1_Local!$AN49))</f>
        <v/>
      </c>
      <c r="C18" s="26" t="str">
        <f t="shared" si="0"/>
        <v/>
      </c>
      <c r="D18" s="177" t="str">
        <f>IF(A18="","",IF(RIGHT(A18,3)="NEW",CTR1_Local!$E49,IF(CTR1_Local!$AO49="change",CTR1_Local!$E49,"")))</f>
        <v/>
      </c>
      <c r="E18" t="str">
        <f>IF(CTR1_Local!$F49="","",CTR1_Local!$F49)</f>
        <v/>
      </c>
      <c r="F18" s="261" t="str">
        <f>IF(CTR1_Local!$T49="","",IF(CTR1_Local!$T49="Yes","Removed",""))</f>
        <v/>
      </c>
      <c r="G18" t="str">
        <f>IF(CTR1_Local!$N49="","",IF(F18="Removed","",CTR1_Local!$N49))</f>
        <v/>
      </c>
      <c r="H18" t="str">
        <f>IF(CTR1_Local!$P49="","",IF($F18="Removed","",CTR1_Local!$P49))</f>
        <v/>
      </c>
      <c r="I18" t="str">
        <f>IF(CTR1_Local!$R49="","",IF($F18="Removed","",CTR1_Local!$R49))</f>
        <v/>
      </c>
      <c r="J18" s="160" t="str">
        <f>CTR1_Local!$H49</f>
        <v/>
      </c>
      <c r="K18" s="340" t="str">
        <f>CTR1_Local!$J49</f>
        <v/>
      </c>
      <c r="L18" s="350" t="str">
        <f>CTR1_Local!$L49</f>
        <v/>
      </c>
      <c r="M18" s="261" t="str">
        <f>IF(CTR1_Local!$V49="","",IF(CTR1_Local!$V49="Yes","confirm",""))</f>
        <v/>
      </c>
      <c r="N18" t="str">
        <f>IF(CTR1_Local!$W49="","",CTR1_Local!$W49)</f>
        <v/>
      </c>
    </row>
    <row r="19" spans="1:18" ht="12.75" customHeight="1" x14ac:dyDescent="0.2">
      <c r="A19" s="287" t="str">
        <f>IF(CTR1_Local!$D50="",CTR1_Local!B50,CTR1_Local!$D50)</f>
        <v/>
      </c>
      <c r="B19" s="26" t="str">
        <f>IF(A19="","",IF(RIGHT(A19,3)="NEW","Add new / another parish",CTR1_Local!$AN50))</f>
        <v/>
      </c>
      <c r="C19" s="26" t="str">
        <f t="shared" si="0"/>
        <v/>
      </c>
      <c r="D19" s="177" t="str">
        <f>IF(A19="","",IF(RIGHT(A19,3)="NEW",CTR1_Local!$E50,IF(CTR1_Local!$AO50="change",CTR1_Local!$E50,"")))</f>
        <v/>
      </c>
      <c r="E19" t="str">
        <f>IF(CTR1_Local!$F50="","",CTR1_Local!$F50)</f>
        <v/>
      </c>
      <c r="F19" s="261" t="str">
        <f>IF(CTR1_Local!$T50="","",IF(CTR1_Local!$T50="Yes","Removed",""))</f>
        <v/>
      </c>
      <c r="G19" t="str">
        <f>IF(CTR1_Local!$N50="","",IF(F19="Removed","",CTR1_Local!$N50))</f>
        <v/>
      </c>
      <c r="H19" t="str">
        <f>IF(CTR1_Local!$P50="","",IF($F19="Removed","",CTR1_Local!$P50))</f>
        <v/>
      </c>
      <c r="I19" t="str">
        <f>IF(CTR1_Local!$R50="","",IF($F19="Removed","",CTR1_Local!$R50))</f>
        <v/>
      </c>
      <c r="J19" s="160" t="str">
        <f>CTR1_Local!$H50</f>
        <v/>
      </c>
      <c r="K19" s="340" t="str">
        <f>CTR1_Local!$J50</f>
        <v/>
      </c>
      <c r="L19" s="350" t="str">
        <f>CTR1_Local!$L50</f>
        <v/>
      </c>
      <c r="M19" s="261" t="str">
        <f>IF(CTR1_Local!$V50="","",IF(CTR1_Local!$V50="Yes","confirm",""))</f>
        <v/>
      </c>
      <c r="N19" t="str">
        <f>IF(CTR1_Local!$W50="","",CTR1_Local!$W50)</f>
        <v/>
      </c>
    </row>
    <row r="20" spans="1:18" ht="12.75" customHeight="1" x14ac:dyDescent="0.2">
      <c r="A20" s="287" t="str">
        <f>IF(CTR1_Local!$D51="",CTR1_Local!B51,CTR1_Local!$D51)</f>
        <v/>
      </c>
      <c r="B20" s="26" t="str">
        <f>IF(A20="","",IF(RIGHT(A20,3)="NEW","Add new / another parish",CTR1_Local!$AN51))</f>
        <v/>
      </c>
      <c r="C20" s="26" t="str">
        <f t="shared" si="0"/>
        <v/>
      </c>
      <c r="D20" s="177" t="str">
        <f>IF(A20="","",IF(RIGHT(A20,3)="NEW",CTR1_Local!$E51,IF(CTR1_Local!$AO51="change",CTR1_Local!$E51,"")))</f>
        <v/>
      </c>
      <c r="E20" t="str">
        <f>IF(CTR1_Local!$F51="","",CTR1_Local!$F51)</f>
        <v/>
      </c>
      <c r="F20" s="261" t="str">
        <f>IF(CTR1_Local!$T51="","",IF(CTR1_Local!$T51="Yes","Removed",""))</f>
        <v/>
      </c>
      <c r="G20" t="str">
        <f>IF(CTR1_Local!$N51="","",IF(F20="Removed","",CTR1_Local!$N51))</f>
        <v/>
      </c>
      <c r="H20" t="str">
        <f>IF(CTR1_Local!$P51="","",IF($F20="Removed","",CTR1_Local!$P51))</f>
        <v/>
      </c>
      <c r="I20" t="str">
        <f>IF(CTR1_Local!$R51="","",IF($F20="Removed","",CTR1_Local!$R51))</f>
        <v/>
      </c>
      <c r="J20" s="160" t="str">
        <f>CTR1_Local!$H51</f>
        <v/>
      </c>
      <c r="K20" s="340" t="str">
        <f>CTR1_Local!$J51</f>
        <v/>
      </c>
      <c r="L20" s="350" t="str">
        <f>CTR1_Local!$L51</f>
        <v/>
      </c>
      <c r="M20" s="261" t="str">
        <f>IF(CTR1_Local!$V51="","",IF(CTR1_Local!$V51="Yes","confirm",""))</f>
        <v/>
      </c>
      <c r="N20" t="str">
        <f>IF(CTR1_Local!$W51="","",CTR1_Local!$W51)</f>
        <v/>
      </c>
    </row>
    <row r="21" spans="1:18" ht="12.75" customHeight="1" x14ac:dyDescent="0.2">
      <c r="A21" s="287" t="str">
        <f>IF(CTR1_Local!$D52="",CTR1_Local!B52,CTR1_Local!$D52)</f>
        <v/>
      </c>
      <c r="B21" s="26" t="str">
        <f>IF(A21="","",IF(RIGHT(A21,3)="NEW","Add new / another parish",CTR1_Local!$AN52))</f>
        <v/>
      </c>
      <c r="C21" s="26" t="str">
        <f t="shared" si="0"/>
        <v/>
      </c>
      <c r="D21" s="177" t="str">
        <f>IF(A21="","",IF(RIGHT(A21,3)="NEW",CTR1_Local!$E52,IF(CTR1_Local!$AO52="change",CTR1_Local!$E52,"")))</f>
        <v/>
      </c>
      <c r="E21" t="str">
        <f>IF(CTR1_Local!$F52="","",CTR1_Local!$F52)</f>
        <v/>
      </c>
      <c r="F21" s="261" t="str">
        <f>IF(CTR1_Local!$T52="","",IF(CTR1_Local!$T52="Yes","Removed",""))</f>
        <v/>
      </c>
      <c r="G21" t="str">
        <f>IF(CTR1_Local!$N52="","",IF(F21="Removed","",CTR1_Local!$N52))</f>
        <v/>
      </c>
      <c r="H21" t="str">
        <f>IF(CTR1_Local!$P52="","",IF($F21="Removed","",CTR1_Local!$P52))</f>
        <v/>
      </c>
      <c r="I21" t="str">
        <f>IF(CTR1_Local!$R52="","",IF($F21="Removed","",CTR1_Local!$R52))</f>
        <v/>
      </c>
      <c r="J21" s="160" t="str">
        <f>CTR1_Local!$H52</f>
        <v/>
      </c>
      <c r="K21" s="340" t="str">
        <f>CTR1_Local!$J52</f>
        <v/>
      </c>
      <c r="L21" s="350" t="str">
        <f>CTR1_Local!$L52</f>
        <v/>
      </c>
      <c r="M21" s="261" t="str">
        <f>IF(CTR1_Local!$V52="","",IF(CTR1_Local!$V52="Yes","confirm",""))</f>
        <v/>
      </c>
      <c r="N21" t="str">
        <f>IF(CTR1_Local!$W52="","",CTR1_Local!$W52)</f>
        <v/>
      </c>
    </row>
    <row r="22" spans="1:18" ht="12.75" customHeight="1" x14ac:dyDescent="0.2">
      <c r="A22" s="287" t="str">
        <f>IF(CTR1_Local!$D53="",CTR1_Local!B53,CTR1_Local!$D53)</f>
        <v/>
      </c>
      <c r="B22" s="26" t="str">
        <f>IF(A22="","",IF(RIGHT(A22,3)="NEW","Add new / another parish",CTR1_Local!$AN53))</f>
        <v/>
      </c>
      <c r="C22" s="26" t="str">
        <f t="shared" si="0"/>
        <v/>
      </c>
      <c r="D22" s="177" t="str">
        <f>IF(A22="","",IF(RIGHT(A22,3)="NEW",CTR1_Local!$E53,IF(CTR1_Local!$AO53="change",CTR1_Local!$E53,"")))</f>
        <v/>
      </c>
      <c r="E22" t="str">
        <f>IF(CTR1_Local!$F53="","",CTR1_Local!$F53)</f>
        <v/>
      </c>
      <c r="F22" s="261" t="str">
        <f>IF(CTR1_Local!$T53="","",IF(CTR1_Local!$T53="Yes","Removed",""))</f>
        <v/>
      </c>
      <c r="G22" t="str">
        <f>IF(CTR1_Local!$N53="","",IF(F22="Removed","",CTR1_Local!$N53))</f>
        <v/>
      </c>
      <c r="H22" t="str">
        <f>IF(CTR1_Local!$P53="","",IF($F22="Removed","",CTR1_Local!$P53))</f>
        <v/>
      </c>
      <c r="I22" t="str">
        <f>IF(CTR1_Local!$R53="","",IF($F22="Removed","",CTR1_Local!$R53))</f>
        <v/>
      </c>
      <c r="J22" s="160" t="str">
        <f>CTR1_Local!$H53</f>
        <v/>
      </c>
      <c r="K22" s="340" t="str">
        <f>CTR1_Local!$J53</f>
        <v/>
      </c>
      <c r="L22" s="350" t="str">
        <f>CTR1_Local!$L53</f>
        <v/>
      </c>
      <c r="M22" s="261" t="str">
        <f>IF(CTR1_Local!$V53="","",IF(CTR1_Local!$V53="Yes","confirm",""))</f>
        <v/>
      </c>
      <c r="N22" t="str">
        <f>IF(CTR1_Local!$W53="","",CTR1_Local!$W53)</f>
        <v/>
      </c>
      <c r="O22"/>
      <c r="P22"/>
      <c r="Q22"/>
      <c r="R22"/>
    </row>
    <row r="23" spans="1:18" ht="12.75" customHeight="1" x14ac:dyDescent="0.2">
      <c r="A23" s="287" t="str">
        <f>IF(CTR1_Local!$D54="",CTR1_Local!B54,CTR1_Local!$D54)</f>
        <v/>
      </c>
      <c r="B23" s="26" t="str">
        <f>IF(A23="","",IF(RIGHT(A23,3)="NEW","Add new / another parish",CTR1_Local!$AN54))</f>
        <v/>
      </c>
      <c r="C23" s="26" t="str">
        <f t="shared" si="0"/>
        <v/>
      </c>
      <c r="D23" s="177" t="str">
        <f>IF(A23="","",IF(RIGHT(A23,3)="NEW",CTR1_Local!$E54,IF(CTR1_Local!$AO54="change",CTR1_Local!$E54,"")))</f>
        <v/>
      </c>
      <c r="E23" t="str">
        <f>IF(CTR1_Local!$F54="","",CTR1_Local!$F54)</f>
        <v/>
      </c>
      <c r="F23" s="261" t="str">
        <f>IF(CTR1_Local!$T54="","",IF(CTR1_Local!$T54="Yes","Removed",""))</f>
        <v/>
      </c>
      <c r="G23" t="str">
        <f>IF(CTR1_Local!$N54="","",IF(F23="Removed","",CTR1_Local!$N54))</f>
        <v/>
      </c>
      <c r="H23" t="str">
        <f>IF(CTR1_Local!$P54="","",IF($F23="Removed","",CTR1_Local!$P54))</f>
        <v/>
      </c>
      <c r="I23" t="str">
        <f>IF(CTR1_Local!$R54="","",IF($F23="Removed","",CTR1_Local!$R54))</f>
        <v/>
      </c>
      <c r="J23" s="160" t="str">
        <f>CTR1_Local!$H54</f>
        <v/>
      </c>
      <c r="K23" s="340" t="str">
        <f>CTR1_Local!$J54</f>
        <v/>
      </c>
      <c r="L23" s="350" t="str">
        <f>CTR1_Local!$L54</f>
        <v/>
      </c>
      <c r="M23" s="261" t="str">
        <f>IF(CTR1_Local!$V54="","",IF(CTR1_Local!$V54="Yes","confirm",""))</f>
        <v/>
      </c>
      <c r="N23" t="str">
        <f>IF(CTR1_Local!$W54="","",CTR1_Local!$W54)</f>
        <v/>
      </c>
    </row>
    <row r="24" spans="1:18" ht="12.75" customHeight="1" x14ac:dyDescent="0.2">
      <c r="A24" s="287" t="str">
        <f>IF(CTR1_Local!$D55="",CTR1_Local!B55,CTR1_Local!$D55)</f>
        <v/>
      </c>
      <c r="B24" s="26" t="str">
        <f>IF(A24="","",IF(RIGHT(A24,3)="NEW","Add new / another parish",CTR1_Local!$AN55))</f>
        <v/>
      </c>
      <c r="C24" s="26" t="str">
        <f t="shared" si="0"/>
        <v/>
      </c>
      <c r="D24" s="177" t="str">
        <f>IF(A24="","",IF(RIGHT(A24,3)="NEW",CTR1_Local!$E55,IF(CTR1_Local!$AO55="change",CTR1_Local!$E55,"")))</f>
        <v/>
      </c>
      <c r="E24" t="str">
        <f>IF(CTR1_Local!$F55="","",CTR1_Local!$F55)</f>
        <v/>
      </c>
      <c r="F24" s="261" t="str">
        <f>IF(CTR1_Local!$T55="","",IF(CTR1_Local!$T55="Yes","Removed",""))</f>
        <v/>
      </c>
      <c r="G24" t="str">
        <f>IF(CTR1_Local!$N55="","",IF(F24="Removed","",CTR1_Local!$N55))</f>
        <v/>
      </c>
      <c r="H24" t="str">
        <f>IF(CTR1_Local!$P55="","",IF($F24="Removed","",CTR1_Local!$P55))</f>
        <v/>
      </c>
      <c r="I24" t="str">
        <f>IF(CTR1_Local!$R55="","",IF($F24="Removed","",CTR1_Local!$R55))</f>
        <v/>
      </c>
      <c r="J24" s="160" t="str">
        <f>CTR1_Local!$H55</f>
        <v/>
      </c>
      <c r="K24" s="340" t="str">
        <f>CTR1_Local!$J55</f>
        <v/>
      </c>
      <c r="L24" s="350" t="str">
        <f>CTR1_Local!$L55</f>
        <v/>
      </c>
      <c r="M24" s="261" t="str">
        <f>IF(CTR1_Local!$V55="","",IF(CTR1_Local!$V55="Yes","confirm",""))</f>
        <v/>
      </c>
      <c r="N24" t="str">
        <f>IF(CTR1_Local!$W55="","",CTR1_Local!$W55)</f>
        <v/>
      </c>
    </row>
    <row r="25" spans="1:18" ht="12.75" customHeight="1" x14ac:dyDescent="0.2">
      <c r="A25" s="287" t="str">
        <f>IF(CTR1_Local!$D56="",CTR1_Local!B56,CTR1_Local!$D56)</f>
        <v/>
      </c>
      <c r="B25" s="26" t="str">
        <f>IF(A25="","",IF(RIGHT(A25,3)="NEW","Add new / another parish",CTR1_Local!$AN56))</f>
        <v/>
      </c>
      <c r="C25" s="26" t="str">
        <f t="shared" si="0"/>
        <v/>
      </c>
      <c r="D25" s="177" t="str">
        <f>IF(A25="","",IF(RIGHT(A25,3)="NEW",CTR1_Local!$E56,IF(CTR1_Local!$AO56="change",CTR1_Local!$E56,"")))</f>
        <v/>
      </c>
      <c r="E25" t="str">
        <f>IF(CTR1_Local!$F56="","",CTR1_Local!$F56)</f>
        <v/>
      </c>
      <c r="F25" s="261" t="str">
        <f>IF(CTR1_Local!$T56="","",IF(CTR1_Local!$T56="Yes","Removed",""))</f>
        <v/>
      </c>
      <c r="G25" t="str">
        <f>IF(CTR1_Local!$N56="","",IF(F25="Removed","",CTR1_Local!$N56))</f>
        <v/>
      </c>
      <c r="H25" t="str">
        <f>IF(CTR1_Local!$P56="","",IF($F25="Removed","",CTR1_Local!$P56))</f>
        <v/>
      </c>
      <c r="I25" t="str">
        <f>IF(CTR1_Local!$R56="","",IF($F25="Removed","",CTR1_Local!$R56))</f>
        <v/>
      </c>
      <c r="J25" s="160" t="str">
        <f>CTR1_Local!$H56</f>
        <v/>
      </c>
      <c r="K25" s="340" t="str">
        <f>CTR1_Local!$J56</f>
        <v/>
      </c>
      <c r="L25" s="350" t="str">
        <f>CTR1_Local!$L56</f>
        <v/>
      </c>
      <c r="M25" s="261" t="str">
        <f>IF(CTR1_Local!$V56="","",IF(CTR1_Local!$V56="Yes","confirm",""))</f>
        <v/>
      </c>
      <c r="N25" t="str">
        <f>IF(CTR1_Local!$W56="","",CTR1_Local!$W56)</f>
        <v/>
      </c>
    </row>
    <row r="26" spans="1:18" ht="12.75" customHeight="1" x14ac:dyDescent="0.2">
      <c r="A26" s="287" t="str">
        <f>IF(CTR1_Local!$D57="",CTR1_Local!B57,CTR1_Local!$D57)</f>
        <v/>
      </c>
      <c r="B26" s="26" t="str">
        <f>IF(A26="","",IF(RIGHT(A26,3)="NEW","Add new / another parish",CTR1_Local!$AN57))</f>
        <v/>
      </c>
      <c r="C26" s="26" t="str">
        <f t="shared" si="0"/>
        <v/>
      </c>
      <c r="D26" s="177" t="str">
        <f>IF(A26="","",IF(RIGHT(A26,3)="NEW",CTR1_Local!$E57,IF(CTR1_Local!$AO57="change",CTR1_Local!$E57,"")))</f>
        <v/>
      </c>
      <c r="E26" t="str">
        <f>IF(CTR1_Local!$F57="","",CTR1_Local!$F57)</f>
        <v/>
      </c>
      <c r="F26" s="261" t="str">
        <f>IF(CTR1_Local!$T57="","",IF(CTR1_Local!$T57="Yes","Removed",""))</f>
        <v/>
      </c>
      <c r="G26" t="str">
        <f>IF(CTR1_Local!$N57="","",IF(F26="Removed","",CTR1_Local!$N57))</f>
        <v/>
      </c>
      <c r="H26" t="str">
        <f>IF(CTR1_Local!$P57="","",IF($F26="Removed","",CTR1_Local!$P57))</f>
        <v/>
      </c>
      <c r="I26" t="str">
        <f>IF(CTR1_Local!$R57="","",IF($F26="Removed","",CTR1_Local!$R57))</f>
        <v/>
      </c>
      <c r="J26" s="160" t="str">
        <f>CTR1_Local!$H57</f>
        <v/>
      </c>
      <c r="K26" s="340" t="str">
        <f>CTR1_Local!$J57</f>
        <v/>
      </c>
      <c r="L26" s="350" t="str">
        <f>CTR1_Local!$L57</f>
        <v/>
      </c>
      <c r="M26" s="261" t="str">
        <f>IF(CTR1_Local!$V57="","",IF(CTR1_Local!$V57="Yes","confirm",""))</f>
        <v/>
      </c>
      <c r="N26" t="str">
        <f>IF(CTR1_Local!$W57="","",CTR1_Local!$W57)</f>
        <v/>
      </c>
    </row>
    <row r="27" spans="1:18" ht="12.75" customHeight="1" x14ac:dyDescent="0.2">
      <c r="A27" s="287" t="str">
        <f>IF(CTR1_Local!$D58="",CTR1_Local!B58,CTR1_Local!$D58)</f>
        <v/>
      </c>
      <c r="B27" s="26" t="str">
        <f>IF(A27="","",IF(RIGHT(A27,3)="NEW","Add new / another parish",CTR1_Local!$AN58))</f>
        <v/>
      </c>
      <c r="C27" s="26" t="str">
        <f t="shared" si="0"/>
        <v/>
      </c>
      <c r="D27" s="177" t="str">
        <f>IF(A27="","",IF(RIGHT(A27,3)="NEW",CTR1_Local!$E58,IF(CTR1_Local!$AO58="change",CTR1_Local!$E58,"")))</f>
        <v/>
      </c>
      <c r="E27" t="str">
        <f>IF(CTR1_Local!$F58="","",CTR1_Local!$F58)</f>
        <v/>
      </c>
      <c r="F27" s="261" t="str">
        <f>IF(CTR1_Local!$T58="","",IF(CTR1_Local!$T58="Yes","Removed",""))</f>
        <v/>
      </c>
      <c r="G27" t="str">
        <f>IF(CTR1_Local!$N58="","",IF(F27="Removed","",CTR1_Local!$N58))</f>
        <v/>
      </c>
      <c r="H27" t="str">
        <f>IF(CTR1_Local!$P58="","",IF($F27="Removed","",CTR1_Local!$P58))</f>
        <v/>
      </c>
      <c r="I27" t="str">
        <f>IF(CTR1_Local!$R58="","",IF($F27="Removed","",CTR1_Local!$R58))</f>
        <v/>
      </c>
      <c r="J27" s="160" t="str">
        <f>CTR1_Local!$H58</f>
        <v/>
      </c>
      <c r="K27" s="340" t="str">
        <f>CTR1_Local!$J58</f>
        <v/>
      </c>
      <c r="L27" s="350" t="str">
        <f>CTR1_Local!$L58</f>
        <v/>
      </c>
      <c r="M27" s="261" t="str">
        <f>IF(CTR1_Local!$V58="","",IF(CTR1_Local!$V58="Yes","confirm",""))</f>
        <v/>
      </c>
      <c r="N27" t="str">
        <f>IF(CTR1_Local!$W58="","",CTR1_Local!$W58)</f>
        <v/>
      </c>
    </row>
    <row r="28" spans="1:18" ht="12.75" customHeight="1" x14ac:dyDescent="0.2">
      <c r="A28" s="287" t="str">
        <f>IF(CTR1_Local!$D59="",CTR1_Local!B59,CTR1_Local!$D59)</f>
        <v/>
      </c>
      <c r="B28" s="26" t="str">
        <f>IF(A28="","",IF(RIGHT(A28,3)="NEW","Add new / another parish",CTR1_Local!$AN59))</f>
        <v/>
      </c>
      <c r="C28" s="26" t="str">
        <f t="shared" si="0"/>
        <v/>
      </c>
      <c r="D28" s="177" t="str">
        <f>IF(A28="","",IF(RIGHT(A28,3)="NEW",CTR1_Local!$E59,IF(CTR1_Local!$AO59="change",CTR1_Local!$E59,"")))</f>
        <v/>
      </c>
      <c r="E28" t="str">
        <f>IF(CTR1_Local!$F59="","",CTR1_Local!$F59)</f>
        <v/>
      </c>
      <c r="F28" s="261" t="str">
        <f>IF(CTR1_Local!$T59="","",IF(CTR1_Local!$T59="Yes","Removed",""))</f>
        <v/>
      </c>
      <c r="G28" t="str">
        <f>IF(CTR1_Local!$N59="","",IF(F28="Removed","",CTR1_Local!$N59))</f>
        <v/>
      </c>
      <c r="H28" t="str">
        <f>IF(CTR1_Local!$P59="","",IF($F28="Removed","",CTR1_Local!$P59))</f>
        <v/>
      </c>
      <c r="I28" t="str">
        <f>IF(CTR1_Local!$R59="","",IF($F28="Removed","",CTR1_Local!$R59))</f>
        <v/>
      </c>
      <c r="J28" s="160" t="str">
        <f>CTR1_Local!$H59</f>
        <v/>
      </c>
      <c r="K28" s="340" t="str">
        <f>CTR1_Local!$J59</f>
        <v/>
      </c>
      <c r="L28" s="350" t="str">
        <f>CTR1_Local!$L59</f>
        <v/>
      </c>
      <c r="M28" s="261" t="str">
        <f>IF(CTR1_Local!$V59="","",IF(CTR1_Local!$V59="Yes","confirm",""))</f>
        <v/>
      </c>
      <c r="N28" t="str">
        <f>IF(CTR1_Local!$W59="","",CTR1_Local!$W59)</f>
        <v/>
      </c>
    </row>
    <row r="29" spans="1:18" ht="12.75" customHeight="1" x14ac:dyDescent="0.2">
      <c r="A29" s="287" t="str">
        <f>IF(CTR1_Local!$D60="",CTR1_Local!B60,CTR1_Local!$D60)</f>
        <v/>
      </c>
      <c r="B29" s="26" t="str">
        <f>IF(A29="","",IF(RIGHT(A29,3)="NEW","Add new / another parish",CTR1_Local!$AN60))</f>
        <v/>
      </c>
      <c r="C29" s="26" t="str">
        <f t="shared" si="0"/>
        <v/>
      </c>
      <c r="D29" s="177" t="str">
        <f>IF(A29="","",IF(RIGHT(A29,3)="NEW",CTR1_Local!$E60,IF(CTR1_Local!$AO60="change",CTR1_Local!$E60,"")))</f>
        <v/>
      </c>
      <c r="E29" t="str">
        <f>IF(CTR1_Local!$F60="","",CTR1_Local!$F60)</f>
        <v/>
      </c>
      <c r="F29" s="261" t="str">
        <f>IF(CTR1_Local!$T60="","",IF(CTR1_Local!$T60="Yes","Removed",""))</f>
        <v/>
      </c>
      <c r="G29" t="str">
        <f>IF(CTR1_Local!$N60="","",IF(F29="Removed","",CTR1_Local!$N60))</f>
        <v/>
      </c>
      <c r="H29" t="str">
        <f>IF(CTR1_Local!$P60="","",IF($F29="Removed","",CTR1_Local!$P60))</f>
        <v/>
      </c>
      <c r="I29" t="str">
        <f>IF(CTR1_Local!$R60="","",IF($F29="Removed","",CTR1_Local!$R60))</f>
        <v/>
      </c>
      <c r="J29" s="160" t="str">
        <f>CTR1_Local!$H60</f>
        <v/>
      </c>
      <c r="K29" s="340" t="str">
        <f>CTR1_Local!$J60</f>
        <v/>
      </c>
      <c r="L29" s="350" t="str">
        <f>CTR1_Local!$L60</f>
        <v/>
      </c>
      <c r="M29" s="261" t="str">
        <f>IF(CTR1_Local!$V60="","",IF(CTR1_Local!$V60="Yes","confirm",""))</f>
        <v/>
      </c>
      <c r="N29" t="str">
        <f>IF(CTR1_Local!$W60="","",CTR1_Local!$W60)</f>
        <v/>
      </c>
    </row>
    <row r="30" spans="1:18" ht="12.75" customHeight="1" x14ac:dyDescent="0.2">
      <c r="A30" s="287" t="str">
        <f>IF(CTR1_Local!$D61="",CTR1_Local!B61,CTR1_Local!$D61)</f>
        <v/>
      </c>
      <c r="B30" s="26" t="str">
        <f>IF(A30="","",IF(RIGHT(A30,3)="NEW","Add new / another parish",CTR1_Local!$AN61))</f>
        <v/>
      </c>
      <c r="C30" s="26" t="str">
        <f t="shared" si="0"/>
        <v/>
      </c>
      <c r="D30" s="177" t="str">
        <f>IF(A30="","",IF(RIGHT(A30,3)="NEW",CTR1_Local!$E61,IF(CTR1_Local!$AO61="change",CTR1_Local!$E61,"")))</f>
        <v/>
      </c>
      <c r="E30" t="str">
        <f>IF(CTR1_Local!$F61="","",CTR1_Local!$F61)</f>
        <v/>
      </c>
      <c r="F30" s="261" t="str">
        <f>IF(CTR1_Local!$T61="","",IF(CTR1_Local!$T61="Yes","Removed",""))</f>
        <v/>
      </c>
      <c r="G30" t="str">
        <f>IF(CTR1_Local!$N61="","",IF(F30="Removed","",CTR1_Local!$N61))</f>
        <v/>
      </c>
      <c r="H30" t="str">
        <f>IF(CTR1_Local!$P61="","",IF($F30="Removed","",CTR1_Local!$P61))</f>
        <v/>
      </c>
      <c r="I30" t="str">
        <f>IF(CTR1_Local!$R61="","",IF($F30="Removed","",CTR1_Local!$R61))</f>
        <v/>
      </c>
      <c r="J30" s="160" t="str">
        <f>CTR1_Local!$H61</f>
        <v/>
      </c>
      <c r="K30" s="340" t="str">
        <f>CTR1_Local!$J61</f>
        <v/>
      </c>
      <c r="L30" s="350" t="str">
        <f>CTR1_Local!$L61</f>
        <v/>
      </c>
      <c r="M30" s="261" t="str">
        <f>IF(CTR1_Local!$V61="","",IF(CTR1_Local!$V61="Yes","confirm",""))</f>
        <v/>
      </c>
      <c r="N30" t="str">
        <f>IF(CTR1_Local!$W61="","",CTR1_Local!$W61)</f>
        <v/>
      </c>
    </row>
    <row r="31" spans="1:18" ht="12.75" customHeight="1" x14ac:dyDescent="0.2">
      <c r="A31" s="287" t="str">
        <f>IF(CTR1_Local!$D62="",CTR1_Local!B62,CTR1_Local!$D62)</f>
        <v/>
      </c>
      <c r="B31" s="26" t="str">
        <f>IF(A31="","",IF(RIGHT(A31,3)="NEW","Add new / another parish",CTR1_Local!$AN62))</f>
        <v/>
      </c>
      <c r="C31" s="26" t="str">
        <f t="shared" si="0"/>
        <v/>
      </c>
      <c r="D31" s="177" t="str">
        <f>IF(A31="","",IF(RIGHT(A31,3)="NEW",CTR1_Local!$E62,IF(CTR1_Local!$AO62="change",CTR1_Local!$E62,"")))</f>
        <v/>
      </c>
      <c r="E31" t="str">
        <f>IF(CTR1_Local!$F62="","",CTR1_Local!$F62)</f>
        <v/>
      </c>
      <c r="F31" s="261" t="str">
        <f>IF(CTR1_Local!$T62="","",IF(CTR1_Local!$T62="Yes","Removed",""))</f>
        <v/>
      </c>
      <c r="G31" t="str">
        <f>IF(CTR1_Local!$N62="","",IF(F31="Removed","",CTR1_Local!$N62))</f>
        <v/>
      </c>
      <c r="H31" t="str">
        <f>IF(CTR1_Local!$P62="","",IF($F31="Removed","",CTR1_Local!$P62))</f>
        <v/>
      </c>
      <c r="I31" t="str">
        <f>IF(CTR1_Local!$R62="","",IF($F31="Removed","",CTR1_Local!$R62))</f>
        <v/>
      </c>
      <c r="J31" s="160" t="str">
        <f>CTR1_Local!$H62</f>
        <v/>
      </c>
      <c r="K31" s="340" t="str">
        <f>CTR1_Local!$J62</f>
        <v/>
      </c>
      <c r="L31" s="350" t="str">
        <f>CTR1_Local!$L62</f>
        <v/>
      </c>
      <c r="M31" s="261" t="str">
        <f>IF(CTR1_Local!$V62="","",IF(CTR1_Local!$V62="Yes","confirm",""))</f>
        <v/>
      </c>
      <c r="N31" t="str">
        <f>IF(CTR1_Local!$W62="","",CTR1_Local!$W62)</f>
        <v/>
      </c>
    </row>
    <row r="32" spans="1:18" ht="12.75" customHeight="1" x14ac:dyDescent="0.2">
      <c r="A32" s="287" t="str">
        <f>IF(CTR1_Local!$D63="",CTR1_Local!B63,CTR1_Local!$D63)</f>
        <v/>
      </c>
      <c r="B32" s="26" t="str">
        <f>IF(A32="","",IF(RIGHT(A32,3)="NEW","Add new / another parish",CTR1_Local!$AN63))</f>
        <v/>
      </c>
      <c r="C32" s="26" t="str">
        <f t="shared" si="0"/>
        <v/>
      </c>
      <c r="D32" s="177" t="str">
        <f>IF(A32="","",IF(RIGHT(A32,3)="NEW",CTR1_Local!$E63,IF(CTR1_Local!$AO63="change",CTR1_Local!$E63,"")))</f>
        <v/>
      </c>
      <c r="E32" t="str">
        <f>IF(CTR1_Local!$F63="","",CTR1_Local!$F63)</f>
        <v/>
      </c>
      <c r="F32" s="261" t="str">
        <f>IF(CTR1_Local!$T63="","",IF(CTR1_Local!$T63="Yes","Removed",""))</f>
        <v/>
      </c>
      <c r="G32" t="str">
        <f>IF(CTR1_Local!$N63="","",IF(F32="Removed","",CTR1_Local!$N63))</f>
        <v/>
      </c>
      <c r="H32" t="str">
        <f>IF(CTR1_Local!$P63="","",IF($F32="Removed","",CTR1_Local!$P63))</f>
        <v/>
      </c>
      <c r="I32" t="str">
        <f>IF(CTR1_Local!$R63="","",IF($F32="Removed","",CTR1_Local!$R63))</f>
        <v/>
      </c>
      <c r="J32" s="160" t="str">
        <f>CTR1_Local!$H63</f>
        <v/>
      </c>
      <c r="K32" s="340" t="str">
        <f>CTR1_Local!$J63</f>
        <v/>
      </c>
      <c r="L32" s="350" t="str">
        <f>CTR1_Local!$L63</f>
        <v/>
      </c>
      <c r="M32" s="261" t="str">
        <f>IF(CTR1_Local!$V63="","",IF(CTR1_Local!$V63="Yes","confirm",""))</f>
        <v/>
      </c>
      <c r="N32" t="str">
        <f>IF(CTR1_Local!$W63="","",CTR1_Local!$W63)</f>
        <v/>
      </c>
    </row>
    <row r="33" spans="1:14" ht="12.75" customHeight="1" x14ac:dyDescent="0.2">
      <c r="A33" s="287" t="str">
        <f>IF(CTR1_Local!$D64="",CTR1_Local!B64,CTR1_Local!$D64)</f>
        <v/>
      </c>
      <c r="B33" s="26" t="str">
        <f>IF(A33="","",IF(RIGHT(A33,3)="NEW","Add new / another parish",CTR1_Local!$AN64))</f>
        <v/>
      </c>
      <c r="C33" s="26" t="str">
        <f t="shared" si="0"/>
        <v/>
      </c>
      <c r="D33" s="177" t="str">
        <f>IF(A33="","",IF(RIGHT(A33,3)="NEW",CTR1_Local!$E64,IF(CTR1_Local!$AO64="change",CTR1_Local!$E64,"")))</f>
        <v/>
      </c>
      <c r="E33" t="str">
        <f>IF(CTR1_Local!$F64="","",CTR1_Local!$F64)</f>
        <v/>
      </c>
      <c r="F33" s="261" t="str">
        <f>IF(CTR1_Local!$T64="","",IF(CTR1_Local!$T64="Yes","Removed",""))</f>
        <v/>
      </c>
      <c r="G33" t="str">
        <f>IF(CTR1_Local!$N64="","",IF(F33="Removed","",CTR1_Local!$N64))</f>
        <v/>
      </c>
      <c r="H33" t="str">
        <f>IF(CTR1_Local!$P64="","",IF($F33="Removed","",CTR1_Local!$P64))</f>
        <v/>
      </c>
      <c r="I33" t="str">
        <f>IF(CTR1_Local!$R64="","",IF($F33="Removed","",CTR1_Local!$R64))</f>
        <v/>
      </c>
      <c r="J33" s="160" t="str">
        <f>CTR1_Local!$H64</f>
        <v/>
      </c>
      <c r="K33" s="340" t="str">
        <f>CTR1_Local!$J64</f>
        <v/>
      </c>
      <c r="L33" s="350" t="str">
        <f>CTR1_Local!$L64</f>
        <v/>
      </c>
      <c r="M33" s="261" t="str">
        <f>IF(CTR1_Local!$V64="","",IF(CTR1_Local!$V64="Yes","confirm",""))</f>
        <v/>
      </c>
      <c r="N33" t="str">
        <f>IF(CTR1_Local!$W64="","",CTR1_Local!$W64)</f>
        <v/>
      </c>
    </row>
    <row r="34" spans="1:14" ht="12.75" customHeight="1" x14ac:dyDescent="0.2">
      <c r="A34" s="287" t="str">
        <f>IF(CTR1_Local!$D65="",CTR1_Local!B65,CTR1_Local!$D65)</f>
        <v/>
      </c>
      <c r="B34" s="26" t="str">
        <f>IF(A34="","",IF(RIGHT(A34,3)="NEW","Add new / another parish",CTR1_Local!$AN65))</f>
        <v/>
      </c>
      <c r="C34" s="26" t="str">
        <f t="shared" si="0"/>
        <v/>
      </c>
      <c r="D34" s="177" t="str">
        <f>IF(A34="","",IF(RIGHT(A34,3)="NEW",CTR1_Local!$E65,IF(CTR1_Local!$AO65="change",CTR1_Local!$E65,"")))</f>
        <v/>
      </c>
      <c r="E34" t="str">
        <f>IF(CTR1_Local!$F65="","",CTR1_Local!$F65)</f>
        <v/>
      </c>
      <c r="F34" s="261" t="str">
        <f>IF(CTR1_Local!$T65="","",IF(CTR1_Local!$T65="Yes","Removed",""))</f>
        <v/>
      </c>
      <c r="G34" t="str">
        <f>IF(CTR1_Local!$N65="","",IF(F34="Removed","",CTR1_Local!$N65))</f>
        <v/>
      </c>
      <c r="H34" t="str">
        <f>IF(CTR1_Local!$P65="","",IF($F34="Removed","",CTR1_Local!$P65))</f>
        <v/>
      </c>
      <c r="I34" t="str">
        <f>IF(CTR1_Local!$R65="","",IF($F34="Removed","",CTR1_Local!$R65))</f>
        <v/>
      </c>
      <c r="J34" s="160" t="str">
        <f>CTR1_Local!$H65</f>
        <v/>
      </c>
      <c r="K34" s="340" t="str">
        <f>CTR1_Local!$J65</f>
        <v/>
      </c>
      <c r="L34" s="350" t="str">
        <f>CTR1_Local!$L65</f>
        <v/>
      </c>
      <c r="M34" s="261" t="str">
        <f>IF(CTR1_Local!$V65="","",IF(CTR1_Local!$V65="Yes","confirm",""))</f>
        <v/>
      </c>
      <c r="N34" t="str">
        <f>IF(CTR1_Local!$W65="","",CTR1_Local!$W65)</f>
        <v/>
      </c>
    </row>
    <row r="35" spans="1:14" ht="12.75" customHeight="1" x14ac:dyDescent="0.2">
      <c r="A35" s="287" t="str">
        <f>IF(CTR1_Local!$D66="",CTR1_Local!B66,CTR1_Local!$D66)</f>
        <v/>
      </c>
      <c r="B35" s="26" t="str">
        <f>IF(A35="","",IF(RIGHT(A35,3)="NEW","Add new / another parish",CTR1_Local!$AN66))</f>
        <v/>
      </c>
      <c r="C35" s="26" t="str">
        <f t="shared" si="0"/>
        <v/>
      </c>
      <c r="D35" s="177" t="str">
        <f>IF(A35="","",IF(RIGHT(A35,3)="NEW",CTR1_Local!$E66,IF(CTR1_Local!$AO66="change",CTR1_Local!$E66,"")))</f>
        <v/>
      </c>
      <c r="E35" t="str">
        <f>IF(CTR1_Local!$F66="","",CTR1_Local!$F66)</f>
        <v/>
      </c>
      <c r="F35" s="261" t="str">
        <f>IF(CTR1_Local!$T66="","",IF(CTR1_Local!$T66="Yes","Removed",""))</f>
        <v/>
      </c>
      <c r="G35" t="str">
        <f>IF(CTR1_Local!$N66="","",IF(F35="Removed","",CTR1_Local!$N66))</f>
        <v/>
      </c>
      <c r="H35" t="str">
        <f>IF(CTR1_Local!$P66="","",IF($F35="Removed","",CTR1_Local!$P66))</f>
        <v/>
      </c>
      <c r="I35" t="str">
        <f>IF(CTR1_Local!$R66="","",IF($F35="Removed","",CTR1_Local!$R66))</f>
        <v/>
      </c>
      <c r="J35" s="160" t="str">
        <f>CTR1_Local!$H66</f>
        <v/>
      </c>
      <c r="K35" s="340" t="str">
        <f>CTR1_Local!$J66</f>
        <v/>
      </c>
      <c r="L35" s="350" t="str">
        <f>CTR1_Local!$L66</f>
        <v/>
      </c>
      <c r="M35" s="261" t="str">
        <f>IF(CTR1_Local!$V66="","",IF(CTR1_Local!$V66="Yes","confirm",""))</f>
        <v/>
      </c>
      <c r="N35" t="str">
        <f>IF(CTR1_Local!$W66="","",CTR1_Local!$W66)</f>
        <v/>
      </c>
    </row>
    <row r="36" spans="1:14" ht="12.75" customHeight="1" x14ac:dyDescent="0.2">
      <c r="A36" s="287" t="str">
        <f>IF(CTR1_Local!$D67="",CTR1_Local!B67,CTR1_Local!$D67)</f>
        <v/>
      </c>
      <c r="B36" s="26" t="str">
        <f>IF(A36="","",IF(RIGHT(A36,3)="NEW","Add new / another parish",CTR1_Local!$AN67))</f>
        <v/>
      </c>
      <c r="C36" s="26" t="str">
        <f t="shared" si="0"/>
        <v/>
      </c>
      <c r="D36" s="177" t="str">
        <f>IF(A36="","",IF(RIGHT(A36,3)="NEW",CTR1_Local!$E67,IF(CTR1_Local!$AO67="change",CTR1_Local!$E67,"")))</f>
        <v/>
      </c>
      <c r="E36" t="str">
        <f>IF(CTR1_Local!$F67="","",CTR1_Local!$F67)</f>
        <v/>
      </c>
      <c r="F36" s="261" t="str">
        <f>IF(CTR1_Local!$T67="","",IF(CTR1_Local!$T67="Yes","Removed",""))</f>
        <v/>
      </c>
      <c r="G36" t="str">
        <f>IF(CTR1_Local!$N67="","",IF(F36="Removed","",CTR1_Local!$N67))</f>
        <v/>
      </c>
      <c r="H36" t="str">
        <f>IF(CTR1_Local!$P67="","",IF($F36="Removed","",CTR1_Local!$P67))</f>
        <v/>
      </c>
      <c r="I36" t="str">
        <f>IF(CTR1_Local!$R67="","",IF($F36="Removed","",CTR1_Local!$R67))</f>
        <v/>
      </c>
      <c r="J36" s="160" t="str">
        <f>CTR1_Local!$H67</f>
        <v/>
      </c>
      <c r="K36" s="340" t="str">
        <f>CTR1_Local!$J67</f>
        <v/>
      </c>
      <c r="L36" s="350" t="str">
        <f>CTR1_Local!$L67</f>
        <v/>
      </c>
      <c r="M36" s="261" t="str">
        <f>IF(CTR1_Local!$V67="","",IF(CTR1_Local!$V67="Yes","confirm",""))</f>
        <v/>
      </c>
      <c r="N36" t="str">
        <f>IF(CTR1_Local!$W67="","",CTR1_Local!$W67)</f>
        <v/>
      </c>
    </row>
    <row r="37" spans="1:14" ht="12.75" customHeight="1" x14ac:dyDescent="0.2">
      <c r="A37" s="287" t="str">
        <f>IF(CTR1_Local!$D68="",CTR1_Local!B68,CTR1_Local!$D68)</f>
        <v/>
      </c>
      <c r="B37" s="26" t="str">
        <f>IF(A37="","",IF(RIGHT(A37,3)="NEW","Add new / another parish",CTR1_Local!$AN68))</f>
        <v/>
      </c>
      <c r="C37" s="26" t="str">
        <f t="shared" si="0"/>
        <v/>
      </c>
      <c r="D37" s="177" t="str">
        <f>IF(A37="","",IF(RIGHT(A37,3)="NEW",CTR1_Local!$E68,IF(CTR1_Local!$AO68="change",CTR1_Local!$E68,"")))</f>
        <v/>
      </c>
      <c r="E37" t="str">
        <f>IF(CTR1_Local!$F68="","",CTR1_Local!$F68)</f>
        <v/>
      </c>
      <c r="F37" s="261" t="str">
        <f>IF(CTR1_Local!$T68="","",IF(CTR1_Local!$T68="Yes","Removed",""))</f>
        <v/>
      </c>
      <c r="G37" t="str">
        <f>IF(CTR1_Local!$N68="","",IF(F37="Removed","",CTR1_Local!$N68))</f>
        <v/>
      </c>
      <c r="H37" t="str">
        <f>IF(CTR1_Local!$P68="","",IF($F37="Removed","",CTR1_Local!$P68))</f>
        <v/>
      </c>
      <c r="I37" t="str">
        <f>IF(CTR1_Local!$R68="","",IF($F37="Removed","",CTR1_Local!$R68))</f>
        <v/>
      </c>
      <c r="J37" s="160" t="str">
        <f>CTR1_Local!$H68</f>
        <v/>
      </c>
      <c r="K37" s="340" t="str">
        <f>CTR1_Local!$J68</f>
        <v/>
      </c>
      <c r="L37" s="350" t="str">
        <f>CTR1_Local!$L68</f>
        <v/>
      </c>
      <c r="M37" s="261" t="str">
        <f>IF(CTR1_Local!$V68="","",IF(CTR1_Local!$V68="Yes","confirm",""))</f>
        <v/>
      </c>
      <c r="N37" t="str">
        <f>IF(CTR1_Local!$W68="","",CTR1_Local!$W68)</f>
        <v/>
      </c>
    </row>
    <row r="38" spans="1:14" ht="12.75" customHeight="1" x14ac:dyDescent="0.2">
      <c r="A38" s="287" t="str">
        <f>IF(CTR1_Local!$D69="",CTR1_Local!B69,CTR1_Local!$D69)</f>
        <v/>
      </c>
      <c r="B38" s="26" t="str">
        <f>IF(A38="","",IF(RIGHT(A38,3)="NEW","Add new / another parish",CTR1_Local!$AN69))</f>
        <v/>
      </c>
      <c r="C38" s="26" t="str">
        <f t="shared" si="0"/>
        <v/>
      </c>
      <c r="D38" s="177" t="str">
        <f>IF(A38="","",IF(RIGHT(A38,3)="NEW",CTR1_Local!$E69,IF(CTR1_Local!$AO69="change",CTR1_Local!$E69,"")))</f>
        <v/>
      </c>
      <c r="E38" t="str">
        <f>IF(CTR1_Local!$F69="","",CTR1_Local!$F69)</f>
        <v/>
      </c>
      <c r="F38" s="261" t="str">
        <f>IF(CTR1_Local!$T69="","",IF(CTR1_Local!$T69="Yes","Removed",""))</f>
        <v/>
      </c>
      <c r="G38" t="str">
        <f>IF(CTR1_Local!$N69="","",IF(F38="Removed","",CTR1_Local!$N69))</f>
        <v/>
      </c>
      <c r="H38" t="str">
        <f>IF(CTR1_Local!$P69="","",IF($F38="Removed","",CTR1_Local!$P69))</f>
        <v/>
      </c>
      <c r="I38" t="str">
        <f>IF(CTR1_Local!$R69="","",IF($F38="Removed","",CTR1_Local!$R69))</f>
        <v/>
      </c>
      <c r="J38" s="160" t="str">
        <f>CTR1_Local!$H69</f>
        <v/>
      </c>
      <c r="K38" s="340" t="str">
        <f>CTR1_Local!$J69</f>
        <v/>
      </c>
      <c r="L38" s="350" t="str">
        <f>CTR1_Local!$L69</f>
        <v/>
      </c>
      <c r="M38" s="261" t="str">
        <f>IF(CTR1_Local!$V69="","",IF(CTR1_Local!$V69="Yes","confirm",""))</f>
        <v/>
      </c>
      <c r="N38" t="str">
        <f>IF(CTR1_Local!$W69="","",CTR1_Local!$W69)</f>
        <v/>
      </c>
    </row>
    <row r="39" spans="1:14" ht="12.75" customHeight="1" x14ac:dyDescent="0.2">
      <c r="A39" s="287" t="str">
        <f>IF(CTR1_Local!$D70="",CTR1_Local!B70,CTR1_Local!$D70)</f>
        <v/>
      </c>
      <c r="B39" s="26" t="str">
        <f>IF(A39="","",IF(RIGHT(A39,3)="NEW","Add new / another parish",CTR1_Local!$AN70))</f>
        <v/>
      </c>
      <c r="C39" s="26" t="str">
        <f t="shared" si="0"/>
        <v/>
      </c>
      <c r="D39" s="177" t="str">
        <f>IF(A39="","",IF(RIGHT(A39,3)="NEW",CTR1_Local!$E70,IF(CTR1_Local!$AO70="change",CTR1_Local!$E70,"")))</f>
        <v/>
      </c>
      <c r="E39" t="str">
        <f>IF(CTR1_Local!$F70="","",CTR1_Local!$F70)</f>
        <v/>
      </c>
      <c r="F39" s="261" t="str">
        <f>IF(CTR1_Local!$T70="","",IF(CTR1_Local!$T70="Yes","Removed",""))</f>
        <v/>
      </c>
      <c r="G39" t="str">
        <f>IF(CTR1_Local!$N70="","",IF(F39="Removed","",CTR1_Local!$N70))</f>
        <v/>
      </c>
      <c r="H39" t="str">
        <f>IF(CTR1_Local!$P70="","",IF($F39="Removed","",CTR1_Local!$P70))</f>
        <v/>
      </c>
      <c r="I39" t="str">
        <f>IF(CTR1_Local!$R70="","",IF($F39="Removed","",CTR1_Local!$R70))</f>
        <v/>
      </c>
      <c r="J39" s="160" t="str">
        <f>CTR1_Local!$H70</f>
        <v/>
      </c>
      <c r="K39" s="340" t="str">
        <f>CTR1_Local!$J70</f>
        <v/>
      </c>
      <c r="L39" s="350" t="str">
        <f>CTR1_Local!$L70</f>
        <v/>
      </c>
      <c r="M39" s="261" t="str">
        <f>IF(CTR1_Local!$V70="","",IF(CTR1_Local!$V70="Yes","confirm",""))</f>
        <v/>
      </c>
      <c r="N39" t="str">
        <f>IF(CTR1_Local!$W70="","",CTR1_Local!$W70)</f>
        <v/>
      </c>
    </row>
    <row r="40" spans="1:14" ht="12.75" customHeight="1" x14ac:dyDescent="0.2">
      <c r="A40" s="287" t="str">
        <f>IF(CTR1_Local!$D71="",CTR1_Local!B71,CTR1_Local!$D71)</f>
        <v/>
      </c>
      <c r="B40" s="26" t="str">
        <f>IF(A40="","",IF(RIGHT(A40,3)="NEW","Add new / another parish",CTR1_Local!$AN71))</f>
        <v/>
      </c>
      <c r="C40" s="26" t="str">
        <f t="shared" si="0"/>
        <v/>
      </c>
      <c r="D40" s="177" t="str">
        <f>IF(A40="","",IF(RIGHT(A40,3)="NEW",CTR1_Local!$E71,IF(CTR1_Local!$AO71="change",CTR1_Local!$E71,"")))</f>
        <v/>
      </c>
      <c r="E40" t="str">
        <f>IF(CTR1_Local!$F71="","",CTR1_Local!$F71)</f>
        <v/>
      </c>
      <c r="F40" s="261" t="str">
        <f>IF(CTR1_Local!$T71="","",IF(CTR1_Local!$T71="Yes","Removed",""))</f>
        <v/>
      </c>
      <c r="G40" t="str">
        <f>IF(CTR1_Local!$N71="","",IF(F40="Removed","",CTR1_Local!$N71))</f>
        <v/>
      </c>
      <c r="H40" t="str">
        <f>IF(CTR1_Local!$P71="","",IF($F40="Removed","",CTR1_Local!$P71))</f>
        <v/>
      </c>
      <c r="I40" t="str">
        <f>IF(CTR1_Local!$R71="","",IF($F40="Removed","",CTR1_Local!$R71))</f>
        <v/>
      </c>
      <c r="J40" s="160" t="str">
        <f>CTR1_Local!$H71</f>
        <v/>
      </c>
      <c r="K40" s="340" t="str">
        <f>CTR1_Local!$J71</f>
        <v/>
      </c>
      <c r="L40" s="350" t="str">
        <f>CTR1_Local!$L71</f>
        <v/>
      </c>
      <c r="M40" s="261" t="str">
        <f>IF(CTR1_Local!$V71="","",IF(CTR1_Local!$V71="Yes","confirm",""))</f>
        <v/>
      </c>
      <c r="N40" t="str">
        <f>IF(CTR1_Local!$W71="","",CTR1_Local!$W71)</f>
        <v/>
      </c>
    </row>
    <row r="41" spans="1:14" ht="12.75" customHeight="1" x14ac:dyDescent="0.2">
      <c r="A41" s="287" t="str">
        <f>IF(CTR1_Local!$D72="",CTR1_Local!B72,CTR1_Local!$D72)</f>
        <v/>
      </c>
      <c r="B41" s="26" t="str">
        <f>IF(A41="","",IF(RIGHT(A41,3)="NEW","Add new / another parish",CTR1_Local!$AN72))</f>
        <v/>
      </c>
      <c r="C41" s="26" t="str">
        <f t="shared" si="0"/>
        <v/>
      </c>
      <c r="D41" s="177" t="str">
        <f>IF(A41="","",IF(RIGHT(A41,3)="NEW",CTR1_Local!$E72,IF(CTR1_Local!$AO72="change",CTR1_Local!$E72,"")))</f>
        <v/>
      </c>
      <c r="E41" t="str">
        <f>IF(CTR1_Local!$F72="","",CTR1_Local!$F72)</f>
        <v/>
      </c>
      <c r="F41" s="261" t="str">
        <f>IF(CTR1_Local!$T72="","",IF(CTR1_Local!$T72="Yes","Removed",""))</f>
        <v/>
      </c>
      <c r="G41" t="str">
        <f>IF(CTR1_Local!$N72="","",IF(F41="Removed","",CTR1_Local!$N72))</f>
        <v/>
      </c>
      <c r="H41" t="str">
        <f>IF(CTR1_Local!$P72="","",IF($F41="Removed","",CTR1_Local!$P72))</f>
        <v/>
      </c>
      <c r="I41" t="str">
        <f>IF(CTR1_Local!$R72="","",IF($F41="Removed","",CTR1_Local!$R72))</f>
        <v/>
      </c>
      <c r="J41" s="160" t="str">
        <f>CTR1_Local!$H72</f>
        <v/>
      </c>
      <c r="K41" s="340" t="str">
        <f>CTR1_Local!$J72</f>
        <v/>
      </c>
      <c r="L41" s="350" t="str">
        <f>CTR1_Local!$L72</f>
        <v/>
      </c>
      <c r="M41" s="261" t="str">
        <f>IF(CTR1_Local!$V72="","",IF(CTR1_Local!$V72="Yes","confirm",""))</f>
        <v/>
      </c>
      <c r="N41" t="str">
        <f>IF(CTR1_Local!$W72="","",CTR1_Local!$W72)</f>
        <v/>
      </c>
    </row>
    <row r="42" spans="1:14" ht="12.75" customHeight="1" x14ac:dyDescent="0.2">
      <c r="A42" s="287" t="str">
        <f>IF(CTR1_Local!$D73="",CTR1_Local!B73,CTR1_Local!$D73)</f>
        <v/>
      </c>
      <c r="B42" s="26" t="str">
        <f>IF(A42="","",IF(RIGHT(A42,3)="NEW","Add new / another parish",CTR1_Local!$AN73))</f>
        <v/>
      </c>
      <c r="C42" s="26" t="str">
        <f t="shared" si="0"/>
        <v/>
      </c>
      <c r="D42" s="177" t="str">
        <f>IF(A42="","",IF(RIGHT(A42,3)="NEW",CTR1_Local!$E73,IF(CTR1_Local!$AO73="change",CTR1_Local!$E73,"")))</f>
        <v/>
      </c>
      <c r="E42" t="str">
        <f>IF(CTR1_Local!$F73="","",CTR1_Local!$F73)</f>
        <v/>
      </c>
      <c r="F42" s="261" t="str">
        <f>IF(CTR1_Local!$T73="","",IF(CTR1_Local!$T73="Yes","Removed",""))</f>
        <v/>
      </c>
      <c r="G42" t="str">
        <f>IF(CTR1_Local!$N73="","",IF(F42="Removed","",CTR1_Local!$N73))</f>
        <v/>
      </c>
      <c r="H42" t="str">
        <f>IF(CTR1_Local!$P73="","",IF($F42="Removed","",CTR1_Local!$P73))</f>
        <v/>
      </c>
      <c r="I42" t="str">
        <f>IF(CTR1_Local!$R73="","",IF($F42="Removed","",CTR1_Local!$R73))</f>
        <v/>
      </c>
      <c r="J42" s="160" t="str">
        <f>CTR1_Local!$H73</f>
        <v/>
      </c>
      <c r="K42" s="340" t="str">
        <f>CTR1_Local!$J73</f>
        <v/>
      </c>
      <c r="L42" s="350" t="str">
        <f>CTR1_Local!$L73</f>
        <v/>
      </c>
      <c r="M42" s="261" t="str">
        <f>IF(CTR1_Local!$V73="","",IF(CTR1_Local!$V73="Yes","confirm",""))</f>
        <v/>
      </c>
      <c r="N42" t="str">
        <f>IF(CTR1_Local!$W73="","",CTR1_Local!$W73)</f>
        <v/>
      </c>
    </row>
    <row r="43" spans="1:14" ht="12.75" customHeight="1" x14ac:dyDescent="0.2">
      <c r="A43" s="287" t="str">
        <f>IF(CTR1_Local!$D74="",CTR1_Local!B74,CTR1_Local!$D74)</f>
        <v/>
      </c>
      <c r="B43" s="26" t="str">
        <f>IF(A43="","",IF(RIGHT(A43,3)="NEW","Add new / another parish",CTR1_Local!$AN74))</f>
        <v/>
      </c>
      <c r="C43" s="26" t="str">
        <f t="shared" si="0"/>
        <v/>
      </c>
      <c r="D43" s="177" t="str">
        <f>IF(A43="","",IF(RIGHT(A43,3)="NEW",CTR1_Local!$E74,IF(CTR1_Local!$AO74="change",CTR1_Local!$E74,"")))</f>
        <v/>
      </c>
      <c r="E43" t="str">
        <f>IF(CTR1_Local!$F74="","",CTR1_Local!$F74)</f>
        <v/>
      </c>
      <c r="F43" s="261" t="str">
        <f>IF(CTR1_Local!$T74="","",IF(CTR1_Local!$T74="Yes","Removed",""))</f>
        <v/>
      </c>
      <c r="G43" t="str">
        <f>IF(CTR1_Local!$N74="","",IF(F43="Removed","",CTR1_Local!$N74))</f>
        <v/>
      </c>
      <c r="H43" t="str">
        <f>IF(CTR1_Local!$P74="","",IF($F43="Removed","",CTR1_Local!$P74))</f>
        <v/>
      </c>
      <c r="I43" t="str">
        <f>IF(CTR1_Local!$R74="","",IF($F43="Removed","",CTR1_Local!$R74))</f>
        <v/>
      </c>
      <c r="J43" s="160" t="str">
        <f>CTR1_Local!$H74</f>
        <v/>
      </c>
      <c r="K43" s="340" t="str">
        <f>CTR1_Local!$J74</f>
        <v/>
      </c>
      <c r="L43" s="350" t="str">
        <f>CTR1_Local!$L74</f>
        <v/>
      </c>
      <c r="M43" s="261" t="str">
        <f>IF(CTR1_Local!$V74="","",IF(CTR1_Local!$V74="Yes","confirm",""))</f>
        <v/>
      </c>
      <c r="N43" t="str">
        <f>IF(CTR1_Local!$W74="","",CTR1_Local!$W74)</f>
        <v/>
      </c>
    </row>
    <row r="44" spans="1:14" ht="12.75" customHeight="1" x14ac:dyDescent="0.2">
      <c r="A44" s="287" t="str">
        <f>IF(CTR1_Local!$D75="",CTR1_Local!B75,CTR1_Local!$D75)</f>
        <v/>
      </c>
      <c r="B44" s="26" t="str">
        <f>IF(A44="","",IF(RIGHT(A44,3)="NEW","Add new / another parish",CTR1_Local!$AN75))</f>
        <v/>
      </c>
      <c r="C44" s="26" t="str">
        <f t="shared" si="0"/>
        <v/>
      </c>
      <c r="D44" s="177" t="str">
        <f>IF(A44="","",IF(RIGHT(A44,3)="NEW",CTR1_Local!$E75,IF(CTR1_Local!$AO75="change",CTR1_Local!$E75,"")))</f>
        <v/>
      </c>
      <c r="E44" t="str">
        <f>IF(CTR1_Local!$F75="","",CTR1_Local!$F75)</f>
        <v/>
      </c>
      <c r="F44" s="261" t="str">
        <f>IF(CTR1_Local!$T75="","",IF(CTR1_Local!$T75="Yes","Removed",""))</f>
        <v/>
      </c>
      <c r="G44" t="str">
        <f>IF(CTR1_Local!$N75="","",IF(F44="Removed","",CTR1_Local!$N75))</f>
        <v/>
      </c>
      <c r="H44" t="str">
        <f>IF(CTR1_Local!$P75="","",IF($F44="Removed","",CTR1_Local!$P75))</f>
        <v/>
      </c>
      <c r="I44" t="str">
        <f>IF(CTR1_Local!$R75="","",IF($F44="Removed","",CTR1_Local!$R75))</f>
        <v/>
      </c>
      <c r="J44" s="160" t="str">
        <f>CTR1_Local!$H75</f>
        <v/>
      </c>
      <c r="K44" s="340" t="str">
        <f>CTR1_Local!$J75</f>
        <v/>
      </c>
      <c r="L44" s="350" t="str">
        <f>CTR1_Local!$L75</f>
        <v/>
      </c>
      <c r="M44" s="261" t="str">
        <f>IF(CTR1_Local!$V75="","",IF(CTR1_Local!$V75="Yes","confirm",""))</f>
        <v/>
      </c>
      <c r="N44" t="str">
        <f>IF(CTR1_Local!$W75="","",CTR1_Local!$W75)</f>
        <v/>
      </c>
    </row>
    <row r="45" spans="1:14" ht="12.75" customHeight="1" x14ac:dyDescent="0.2">
      <c r="A45" s="287" t="str">
        <f>IF(CTR1_Local!$D76="",CTR1_Local!B76,CTR1_Local!$D76)</f>
        <v/>
      </c>
      <c r="B45" s="26" t="str">
        <f>IF(A45="","",IF(RIGHT(A45,3)="NEW","Add new / another parish",CTR1_Local!$AN76))</f>
        <v/>
      </c>
      <c r="C45" s="26" t="str">
        <f t="shared" si="0"/>
        <v/>
      </c>
      <c r="D45" s="177" t="str">
        <f>IF(A45="","",IF(RIGHT(A45,3)="NEW",CTR1_Local!$E76,IF(CTR1_Local!$AO76="change",CTR1_Local!$E76,"")))</f>
        <v/>
      </c>
      <c r="E45" t="str">
        <f>IF(CTR1_Local!$F76="","",CTR1_Local!$F76)</f>
        <v/>
      </c>
      <c r="F45" s="261" t="str">
        <f>IF(CTR1_Local!$T76="","",IF(CTR1_Local!$T76="Yes","Removed",""))</f>
        <v/>
      </c>
      <c r="G45" t="str">
        <f>IF(CTR1_Local!$N76="","",IF(F45="Removed","",CTR1_Local!$N76))</f>
        <v/>
      </c>
      <c r="H45" t="str">
        <f>IF(CTR1_Local!$P76="","",IF($F45="Removed","",CTR1_Local!$P76))</f>
        <v/>
      </c>
      <c r="I45" t="str">
        <f>IF(CTR1_Local!$R76="","",IF($F45="Removed","",CTR1_Local!$R76))</f>
        <v/>
      </c>
      <c r="J45" s="160" t="str">
        <f>CTR1_Local!$H76</f>
        <v/>
      </c>
      <c r="K45" s="340" t="str">
        <f>CTR1_Local!$J76</f>
        <v/>
      </c>
      <c r="L45" s="350" t="str">
        <f>CTR1_Local!$L76</f>
        <v/>
      </c>
      <c r="M45" s="261" t="str">
        <f>IF(CTR1_Local!$V76="","",IF(CTR1_Local!$V76="Yes","confirm",""))</f>
        <v/>
      </c>
      <c r="N45" t="str">
        <f>IF(CTR1_Local!$W76="","",CTR1_Local!$W76)</f>
        <v/>
      </c>
    </row>
    <row r="46" spans="1:14" ht="12.75" customHeight="1" x14ac:dyDescent="0.2">
      <c r="A46" s="287" t="str">
        <f>IF(CTR1_Local!$D77="",CTR1_Local!B77,CTR1_Local!$D77)</f>
        <v/>
      </c>
      <c r="B46" s="26" t="str">
        <f>IF(A46="","",IF(RIGHT(A46,3)="NEW","Add new / another parish",CTR1_Local!$AN77))</f>
        <v/>
      </c>
      <c r="C46" s="26" t="str">
        <f t="shared" si="0"/>
        <v/>
      </c>
      <c r="D46" s="177" t="str">
        <f>IF(A46="","",IF(RIGHT(A46,3)="NEW",CTR1_Local!$E77,IF(CTR1_Local!$AO77="change",CTR1_Local!$E77,"")))</f>
        <v/>
      </c>
      <c r="E46" t="str">
        <f>IF(CTR1_Local!$F77="","",CTR1_Local!$F77)</f>
        <v/>
      </c>
      <c r="F46" s="261" t="str">
        <f>IF(CTR1_Local!$T77="","",IF(CTR1_Local!$T77="Yes","Removed",""))</f>
        <v/>
      </c>
      <c r="G46" t="str">
        <f>IF(CTR1_Local!$N77="","",IF(F46="Removed","",CTR1_Local!$N77))</f>
        <v/>
      </c>
      <c r="H46" t="str">
        <f>IF(CTR1_Local!$P77="","",IF($F46="Removed","",CTR1_Local!$P77))</f>
        <v/>
      </c>
      <c r="I46" t="str">
        <f>IF(CTR1_Local!$R77="","",IF($F46="Removed","",CTR1_Local!$R77))</f>
        <v/>
      </c>
      <c r="J46" s="160" t="str">
        <f>CTR1_Local!$H77</f>
        <v/>
      </c>
      <c r="K46" s="340" t="str">
        <f>CTR1_Local!$J77</f>
        <v/>
      </c>
      <c r="L46" s="350" t="str">
        <f>CTR1_Local!$L77</f>
        <v/>
      </c>
      <c r="M46" s="261" t="str">
        <f>IF(CTR1_Local!$V77="","",IF(CTR1_Local!$V77="Yes","confirm",""))</f>
        <v/>
      </c>
      <c r="N46" t="str">
        <f>IF(CTR1_Local!$W77="","",CTR1_Local!$W77)</f>
        <v/>
      </c>
    </row>
    <row r="47" spans="1:14" ht="12.75" customHeight="1" x14ac:dyDescent="0.2">
      <c r="A47" s="287" t="str">
        <f>IF(CTR1_Local!$D78="",CTR1_Local!B78,CTR1_Local!$D78)</f>
        <v/>
      </c>
      <c r="B47" s="26" t="str">
        <f>IF(A47="","",IF(RIGHT(A47,3)="NEW","Add new / another parish",CTR1_Local!$AN78))</f>
        <v/>
      </c>
      <c r="C47" s="26" t="str">
        <f t="shared" si="0"/>
        <v/>
      </c>
      <c r="D47" s="177" t="str">
        <f>IF(A47="","",IF(RIGHT(A47,3)="NEW",CTR1_Local!$E78,IF(CTR1_Local!$AO78="change",CTR1_Local!$E78,"")))</f>
        <v/>
      </c>
      <c r="E47" t="str">
        <f>IF(CTR1_Local!$F78="","",CTR1_Local!$F78)</f>
        <v/>
      </c>
      <c r="F47" s="261" t="str">
        <f>IF(CTR1_Local!$T78="","",IF(CTR1_Local!$T78="Yes","Removed",""))</f>
        <v/>
      </c>
      <c r="G47" t="str">
        <f>IF(CTR1_Local!$N78="","",IF(F47="Removed","",CTR1_Local!$N78))</f>
        <v/>
      </c>
      <c r="H47" t="str">
        <f>IF(CTR1_Local!$P78="","",IF($F47="Removed","",CTR1_Local!$P78))</f>
        <v/>
      </c>
      <c r="I47" t="str">
        <f>IF(CTR1_Local!$R78="","",IF($F47="Removed","",CTR1_Local!$R78))</f>
        <v/>
      </c>
      <c r="J47" s="160" t="str">
        <f>CTR1_Local!$H78</f>
        <v/>
      </c>
      <c r="K47" s="340" t="str">
        <f>CTR1_Local!$J78</f>
        <v/>
      </c>
      <c r="L47" s="350" t="str">
        <f>CTR1_Local!$L78</f>
        <v/>
      </c>
      <c r="M47" s="261" t="str">
        <f>IF(CTR1_Local!$V78="","",IF(CTR1_Local!$V78="Yes","confirm",""))</f>
        <v/>
      </c>
      <c r="N47" t="str">
        <f>IF(CTR1_Local!$W78="","",CTR1_Local!$W78)</f>
        <v/>
      </c>
    </row>
    <row r="48" spans="1:14" ht="12.75" customHeight="1" x14ac:dyDescent="0.2">
      <c r="A48" s="287" t="str">
        <f>IF(CTR1_Local!$D79="",CTR1_Local!B79,CTR1_Local!$D79)</f>
        <v/>
      </c>
      <c r="B48" s="26" t="str">
        <f>IF(A48="","",IF(RIGHT(A48,3)="NEW","Add new / another parish",CTR1_Local!$AN79))</f>
        <v/>
      </c>
      <c r="C48" s="26" t="str">
        <f t="shared" si="0"/>
        <v/>
      </c>
      <c r="D48" s="177" t="str">
        <f>IF(A48="","",IF(RIGHT(A48,3)="NEW",CTR1_Local!$E79,IF(CTR1_Local!$AO79="change",CTR1_Local!$E79,"")))</f>
        <v/>
      </c>
      <c r="E48" t="str">
        <f>IF(CTR1_Local!$F79="","",CTR1_Local!$F79)</f>
        <v/>
      </c>
      <c r="F48" s="261" t="str">
        <f>IF(CTR1_Local!$T79="","",IF(CTR1_Local!$T79="Yes","Removed",""))</f>
        <v/>
      </c>
      <c r="G48" t="str">
        <f>IF(CTR1_Local!$N79="","",IF(F48="Removed","",CTR1_Local!$N79))</f>
        <v/>
      </c>
      <c r="H48" t="str">
        <f>IF(CTR1_Local!$P79="","",IF($F48="Removed","",CTR1_Local!$P79))</f>
        <v/>
      </c>
      <c r="I48" t="str">
        <f>IF(CTR1_Local!$R79="","",IF($F48="Removed","",CTR1_Local!$R79))</f>
        <v/>
      </c>
      <c r="J48" s="160" t="str">
        <f>CTR1_Local!$H79</f>
        <v/>
      </c>
      <c r="K48" s="340" t="str">
        <f>CTR1_Local!$J79</f>
        <v/>
      </c>
      <c r="L48" s="350" t="str">
        <f>CTR1_Local!$L79</f>
        <v/>
      </c>
      <c r="M48" s="261" t="str">
        <f>IF(CTR1_Local!$V79="","",IF(CTR1_Local!$V79="Yes","confirm",""))</f>
        <v/>
      </c>
      <c r="N48" t="str">
        <f>IF(CTR1_Local!$W79="","",CTR1_Local!$W79)</f>
        <v/>
      </c>
    </row>
    <row r="49" spans="1:14" ht="12.75" customHeight="1" x14ac:dyDescent="0.2">
      <c r="A49" s="287" t="str">
        <f>IF(CTR1_Local!$D80="",CTR1_Local!B80,CTR1_Local!$D80)</f>
        <v/>
      </c>
      <c r="B49" s="26" t="str">
        <f>IF(A49="","",IF(RIGHT(A49,3)="NEW","Add new / another parish",CTR1_Local!$AN80))</f>
        <v/>
      </c>
      <c r="C49" s="26" t="str">
        <f t="shared" si="0"/>
        <v/>
      </c>
      <c r="D49" s="177" t="str">
        <f>IF(A49="","",IF(RIGHT(A49,3)="NEW",CTR1_Local!$E80,IF(CTR1_Local!$AO80="change",CTR1_Local!$E80,"")))</f>
        <v/>
      </c>
      <c r="E49" t="str">
        <f>IF(CTR1_Local!$F80="","",CTR1_Local!$F80)</f>
        <v/>
      </c>
      <c r="F49" s="261" t="str">
        <f>IF(CTR1_Local!$T80="","",IF(CTR1_Local!$T80="Yes","Removed",""))</f>
        <v/>
      </c>
      <c r="G49" t="str">
        <f>IF(CTR1_Local!$N80="","",IF(F49="Removed","",CTR1_Local!$N80))</f>
        <v/>
      </c>
      <c r="H49" t="str">
        <f>IF(CTR1_Local!$P80="","",IF($F49="Removed","",CTR1_Local!$P80))</f>
        <v/>
      </c>
      <c r="I49" t="str">
        <f>IF(CTR1_Local!$R80="","",IF($F49="Removed","",CTR1_Local!$R80))</f>
        <v/>
      </c>
      <c r="J49" s="160" t="str">
        <f>CTR1_Local!$H80</f>
        <v/>
      </c>
      <c r="K49" s="340" t="str">
        <f>CTR1_Local!$J80</f>
        <v/>
      </c>
      <c r="L49" s="350" t="str">
        <f>CTR1_Local!$L80</f>
        <v/>
      </c>
      <c r="M49" s="261" t="str">
        <f>IF(CTR1_Local!$V80="","",IF(CTR1_Local!$V80="Yes","confirm",""))</f>
        <v/>
      </c>
      <c r="N49" t="str">
        <f>IF(CTR1_Local!$W80="","",CTR1_Local!$W80)</f>
        <v/>
      </c>
    </row>
    <row r="50" spans="1:14" ht="12.75" customHeight="1" x14ac:dyDescent="0.2">
      <c r="A50" s="287" t="str">
        <f>IF(CTR1_Local!$D81="",CTR1_Local!B81,CTR1_Local!$D81)</f>
        <v/>
      </c>
      <c r="B50" s="26" t="str">
        <f>IF(A50="","",IF(RIGHT(A50,3)="NEW","Add new / another parish",CTR1_Local!$AN81))</f>
        <v/>
      </c>
      <c r="C50" s="26" t="str">
        <f t="shared" si="0"/>
        <v/>
      </c>
      <c r="D50" s="177" t="str">
        <f>IF(A50="","",IF(RIGHT(A50,3)="NEW",CTR1_Local!$E81,IF(CTR1_Local!$AO81="change",CTR1_Local!$E81,"")))</f>
        <v/>
      </c>
      <c r="E50" t="str">
        <f>IF(CTR1_Local!$F81="","",CTR1_Local!$F81)</f>
        <v/>
      </c>
      <c r="F50" s="261" t="str">
        <f>IF(CTR1_Local!$T81="","",IF(CTR1_Local!$T81="Yes","Removed",""))</f>
        <v/>
      </c>
      <c r="G50" t="str">
        <f>IF(CTR1_Local!$N81="","",IF(F50="Removed","",CTR1_Local!$N81))</f>
        <v/>
      </c>
      <c r="H50" t="str">
        <f>IF(CTR1_Local!$P81="","",IF($F50="Removed","",CTR1_Local!$P81))</f>
        <v/>
      </c>
      <c r="I50" t="str">
        <f>IF(CTR1_Local!$R81="","",IF($F50="Removed","",CTR1_Local!$R81))</f>
        <v/>
      </c>
      <c r="J50" s="160" t="str">
        <f>CTR1_Local!$H81</f>
        <v/>
      </c>
      <c r="K50" s="340" t="str">
        <f>CTR1_Local!$J81</f>
        <v/>
      </c>
      <c r="L50" s="350" t="str">
        <f>CTR1_Local!$L81</f>
        <v/>
      </c>
      <c r="M50" s="261" t="str">
        <f>IF(CTR1_Local!$V81="","",IF(CTR1_Local!$V81="Yes","confirm",""))</f>
        <v/>
      </c>
      <c r="N50" t="str">
        <f>IF(CTR1_Local!$W81="","",CTR1_Local!$W81)</f>
        <v/>
      </c>
    </row>
    <row r="51" spans="1:14" x14ac:dyDescent="0.2">
      <c r="A51" s="287" t="str">
        <f>IF(CTR1_Local!$D82="",CTR1_Local!B82,CTR1_Local!$D82)</f>
        <v/>
      </c>
      <c r="B51" s="26" t="str">
        <f>IF(A51="","",IF(RIGHT(A51,3)="NEW","Add new / another parish",CTR1_Local!$AN82))</f>
        <v/>
      </c>
      <c r="C51" s="26" t="str">
        <f t="shared" si="0"/>
        <v/>
      </c>
      <c r="D51" s="177" t="str">
        <f>IF(A51="","",IF(RIGHT(A51,3)="NEW",CTR1_Local!$E82,IF(CTR1_Local!$AO82="change",CTR1_Local!$E82,"")))</f>
        <v/>
      </c>
      <c r="E51" t="str">
        <f>IF(CTR1_Local!$F82="","",CTR1_Local!$F82)</f>
        <v/>
      </c>
      <c r="F51" s="261" t="str">
        <f>IF(CTR1_Local!$T82="","",IF(CTR1_Local!$T82="Yes","Removed",""))</f>
        <v/>
      </c>
      <c r="G51" t="str">
        <f>IF(CTR1_Local!$N82="","",IF(F51="Removed","",CTR1_Local!$N82))</f>
        <v/>
      </c>
      <c r="H51" t="str">
        <f>IF(CTR1_Local!$P82="","",IF($F51="Removed","",CTR1_Local!$P82))</f>
        <v/>
      </c>
      <c r="I51" t="str">
        <f>IF(CTR1_Local!$R82="","",IF($F51="Removed","",CTR1_Local!$R82))</f>
        <v/>
      </c>
      <c r="J51" s="160" t="str">
        <f>CTR1_Local!$H82</f>
        <v/>
      </c>
      <c r="K51" s="340" t="str">
        <f>CTR1_Local!$J82</f>
        <v/>
      </c>
      <c r="L51" s="350" t="str">
        <f>CTR1_Local!$L82</f>
        <v/>
      </c>
      <c r="M51" s="261" t="str">
        <f>IF(CTR1_Local!$V82="","",IF(CTR1_Local!$V82="Yes","confirm",""))</f>
        <v/>
      </c>
      <c r="N51" t="str">
        <f>IF(CTR1_Local!$W82="","",CTR1_Local!$W82)</f>
        <v/>
      </c>
    </row>
    <row r="52" spans="1:14" x14ac:dyDescent="0.2">
      <c r="A52" s="287" t="str">
        <f>IF(CTR1_Local!$D83="",CTR1_Local!B83,CTR1_Local!$D83)</f>
        <v/>
      </c>
      <c r="B52" s="26" t="str">
        <f>IF(A52="","",IF(RIGHT(A52,3)="NEW","Add new / another parish",CTR1_Local!$AN83))</f>
        <v/>
      </c>
      <c r="C52" s="26" t="str">
        <f t="shared" si="0"/>
        <v/>
      </c>
      <c r="D52" s="177" t="str">
        <f>IF(A52="","",IF(RIGHT(A52,3)="NEW",CTR1_Local!$E83,IF(CTR1_Local!$AO83="change",CTR1_Local!$E83,"")))</f>
        <v/>
      </c>
      <c r="E52" t="str">
        <f>IF(CTR1_Local!$F83="","",CTR1_Local!$F83)</f>
        <v/>
      </c>
      <c r="F52" s="261" t="str">
        <f>IF(CTR1_Local!$T83="","",IF(CTR1_Local!$T83="Yes","Removed",""))</f>
        <v/>
      </c>
      <c r="G52" t="str">
        <f>IF(CTR1_Local!$N83="","",IF(F52="Removed","",CTR1_Local!$N83))</f>
        <v/>
      </c>
      <c r="H52" t="str">
        <f>IF(CTR1_Local!$P83="","",IF($F52="Removed","",CTR1_Local!$P83))</f>
        <v/>
      </c>
      <c r="I52" t="str">
        <f>IF(CTR1_Local!$R83="","",IF($F52="Removed","",CTR1_Local!$R83))</f>
        <v/>
      </c>
      <c r="J52" s="160" t="str">
        <f>CTR1_Local!$H83</f>
        <v/>
      </c>
      <c r="K52" s="340" t="str">
        <f>CTR1_Local!$J83</f>
        <v/>
      </c>
      <c r="L52" s="350" t="str">
        <f>CTR1_Local!$L83</f>
        <v/>
      </c>
      <c r="M52" s="261" t="str">
        <f>IF(CTR1_Local!$V83="","",IF(CTR1_Local!$V83="Yes","confirm",""))</f>
        <v/>
      </c>
      <c r="N52" t="str">
        <f>IF(CTR1_Local!$W83="","",CTR1_Local!$W83)</f>
        <v/>
      </c>
    </row>
    <row r="53" spans="1:14" x14ac:dyDescent="0.2">
      <c r="A53" s="287" t="str">
        <f>IF(CTR1_Local!$D84="",CTR1_Local!B84,CTR1_Local!$D84)</f>
        <v/>
      </c>
      <c r="B53" s="26" t="str">
        <f>IF(A53="","",IF(RIGHT(A53,3)="NEW","Add new / another parish",CTR1_Local!$AN84))</f>
        <v/>
      </c>
      <c r="C53" s="26" t="str">
        <f t="shared" si="0"/>
        <v/>
      </c>
      <c r="D53" s="177" t="str">
        <f>IF(A53="","",IF(RIGHT(A53,3)="NEW",CTR1_Local!$E84,IF(CTR1_Local!$AO84="change",CTR1_Local!$E84,"")))</f>
        <v/>
      </c>
      <c r="E53" t="str">
        <f>IF(CTR1_Local!$F84="","",CTR1_Local!$F84)</f>
        <v/>
      </c>
      <c r="F53" s="261" t="str">
        <f>IF(CTR1_Local!$T84="","",IF(CTR1_Local!$T84="Yes","Removed",""))</f>
        <v/>
      </c>
      <c r="G53" t="str">
        <f>IF(CTR1_Local!$N84="","",IF(F53="Removed","",CTR1_Local!$N84))</f>
        <v/>
      </c>
      <c r="H53" t="str">
        <f>IF(CTR1_Local!$P84="","",IF($F53="Removed","",CTR1_Local!$P84))</f>
        <v/>
      </c>
      <c r="I53" t="str">
        <f>IF(CTR1_Local!$R84="","",IF($F53="Removed","",CTR1_Local!$R84))</f>
        <v/>
      </c>
      <c r="J53" s="160" t="str">
        <f>CTR1_Local!$H84</f>
        <v/>
      </c>
      <c r="K53" s="340" t="str">
        <f>CTR1_Local!$J84</f>
        <v/>
      </c>
      <c r="L53" s="350" t="str">
        <f>CTR1_Local!$L84</f>
        <v/>
      </c>
      <c r="M53" s="261" t="str">
        <f>IF(CTR1_Local!$V84="","",IF(CTR1_Local!$V84="Yes","confirm",""))</f>
        <v/>
      </c>
      <c r="N53" t="str">
        <f>IF(CTR1_Local!$W84="","",CTR1_Local!$W84)</f>
        <v/>
      </c>
    </row>
    <row r="54" spans="1:14" x14ac:dyDescent="0.2">
      <c r="A54" s="287" t="str">
        <f>IF(CTR1_Local!$D85="",CTR1_Local!B85,CTR1_Local!$D85)</f>
        <v/>
      </c>
      <c r="B54" s="26" t="str">
        <f>IF(A54="","",IF(RIGHT(A54,3)="NEW","Add new / another parish",CTR1_Local!$AN85))</f>
        <v/>
      </c>
      <c r="C54" s="26" t="str">
        <f t="shared" si="0"/>
        <v/>
      </c>
      <c r="D54" s="177" t="str">
        <f>IF(A54="","",IF(RIGHT(A54,3)="NEW",CTR1_Local!$E85,IF(CTR1_Local!$AO85="change",CTR1_Local!$E85,"")))</f>
        <v/>
      </c>
      <c r="E54" t="str">
        <f>IF(CTR1_Local!$F85="","",CTR1_Local!$F85)</f>
        <v/>
      </c>
      <c r="F54" s="261" t="str">
        <f>IF(CTR1_Local!$T85="","",IF(CTR1_Local!$T85="Yes","Removed",""))</f>
        <v/>
      </c>
      <c r="G54" t="str">
        <f>IF(CTR1_Local!$N85="","",IF(F54="Removed","",CTR1_Local!$N85))</f>
        <v/>
      </c>
      <c r="H54" t="str">
        <f>IF(CTR1_Local!$P85="","",IF($F54="Removed","",CTR1_Local!$P85))</f>
        <v/>
      </c>
      <c r="I54" t="str">
        <f>IF(CTR1_Local!$R85="","",IF($F54="Removed","",CTR1_Local!$R85))</f>
        <v/>
      </c>
      <c r="J54" s="160" t="str">
        <f>CTR1_Local!$H85</f>
        <v/>
      </c>
      <c r="K54" s="340" t="str">
        <f>CTR1_Local!$J85</f>
        <v/>
      </c>
      <c r="L54" s="350" t="str">
        <f>CTR1_Local!$L85</f>
        <v/>
      </c>
      <c r="M54" s="261" t="str">
        <f>IF(CTR1_Local!$V85="","",IF(CTR1_Local!$V85="Yes","confirm",""))</f>
        <v/>
      </c>
      <c r="N54" t="str">
        <f>IF(CTR1_Local!$W85="","",CTR1_Local!$W85)</f>
        <v/>
      </c>
    </row>
    <row r="55" spans="1:14" x14ac:dyDescent="0.2">
      <c r="A55" s="287" t="str">
        <f>IF(CTR1_Local!$D86="",CTR1_Local!B86,CTR1_Local!$D86)</f>
        <v/>
      </c>
      <c r="B55" s="26" t="str">
        <f>IF(A55="","",IF(RIGHT(A55,3)="NEW","Add new / another parish",CTR1_Local!$AN86))</f>
        <v/>
      </c>
      <c r="C55" s="26" t="str">
        <f t="shared" si="0"/>
        <v/>
      </c>
      <c r="D55" s="177" t="str">
        <f>IF(A55="","",IF(RIGHT(A55,3)="NEW",CTR1_Local!$E86,IF(CTR1_Local!$AO86="change",CTR1_Local!$E86,"")))</f>
        <v/>
      </c>
      <c r="E55" t="str">
        <f>IF(CTR1_Local!$F86="","",CTR1_Local!$F86)</f>
        <v/>
      </c>
      <c r="F55" s="261" t="str">
        <f>IF(CTR1_Local!$T86="","",IF(CTR1_Local!$T86="Yes","Removed",""))</f>
        <v/>
      </c>
      <c r="G55" t="str">
        <f>IF(CTR1_Local!$N86="","",IF(F55="Removed","",CTR1_Local!$N86))</f>
        <v/>
      </c>
      <c r="H55" t="str">
        <f>IF(CTR1_Local!$P86="","",IF($F55="Removed","",CTR1_Local!$P86))</f>
        <v/>
      </c>
      <c r="I55" t="str">
        <f>IF(CTR1_Local!$R86="","",IF($F55="Removed","",CTR1_Local!$R86))</f>
        <v/>
      </c>
      <c r="J55" s="160" t="str">
        <f>CTR1_Local!$H86</f>
        <v/>
      </c>
      <c r="K55" s="340" t="str">
        <f>CTR1_Local!$J86</f>
        <v/>
      </c>
      <c r="L55" s="350" t="str">
        <f>CTR1_Local!$L86</f>
        <v/>
      </c>
      <c r="M55" s="261" t="str">
        <f>IF(CTR1_Local!$V86="","",IF(CTR1_Local!$V86="Yes","confirm",""))</f>
        <v/>
      </c>
      <c r="N55" t="str">
        <f>IF(CTR1_Local!$W86="","",CTR1_Local!$W86)</f>
        <v/>
      </c>
    </row>
    <row r="56" spans="1:14" x14ac:dyDescent="0.2">
      <c r="A56" s="287" t="str">
        <f>IF(CTR1_Local!$D87="",CTR1_Local!B87,CTR1_Local!$D87)</f>
        <v/>
      </c>
      <c r="B56" s="26" t="str">
        <f>IF(A56="","",IF(RIGHT(A56,3)="NEW","Add new / another parish",CTR1_Local!$AN87))</f>
        <v/>
      </c>
      <c r="C56" s="26" t="str">
        <f t="shared" si="0"/>
        <v/>
      </c>
      <c r="D56" s="177" t="str">
        <f>IF(A56="","",IF(RIGHT(A56,3)="NEW",CTR1_Local!$E87,IF(CTR1_Local!$AO87="change",CTR1_Local!$E87,"")))</f>
        <v/>
      </c>
      <c r="E56" t="str">
        <f>IF(CTR1_Local!$F87="","",CTR1_Local!$F87)</f>
        <v/>
      </c>
      <c r="F56" s="261" t="str">
        <f>IF(CTR1_Local!$T87="","",IF(CTR1_Local!$T87="Yes","Removed",""))</f>
        <v/>
      </c>
      <c r="G56" t="str">
        <f>IF(CTR1_Local!$N87="","",IF(F56="Removed","",CTR1_Local!$N87))</f>
        <v/>
      </c>
      <c r="H56" t="str">
        <f>IF(CTR1_Local!$P87="","",IF($F56="Removed","",CTR1_Local!$P87))</f>
        <v/>
      </c>
      <c r="I56" t="str">
        <f>IF(CTR1_Local!$R87="","",IF($F56="Removed","",CTR1_Local!$R87))</f>
        <v/>
      </c>
      <c r="J56" s="160" t="str">
        <f>CTR1_Local!$H87</f>
        <v/>
      </c>
      <c r="K56" s="340" t="str">
        <f>CTR1_Local!$J87</f>
        <v/>
      </c>
      <c r="L56" s="350" t="str">
        <f>CTR1_Local!$L87</f>
        <v/>
      </c>
      <c r="M56" s="261" t="str">
        <f>IF(CTR1_Local!$V87="","",IF(CTR1_Local!$V87="Yes","confirm",""))</f>
        <v/>
      </c>
      <c r="N56" t="str">
        <f>IF(CTR1_Local!$W87="","",CTR1_Local!$W87)</f>
        <v/>
      </c>
    </row>
    <row r="57" spans="1:14" x14ac:dyDescent="0.2">
      <c r="A57" s="287" t="str">
        <f>IF(CTR1_Local!$D88="",CTR1_Local!B88,CTR1_Local!$D88)</f>
        <v/>
      </c>
      <c r="B57" s="26" t="str">
        <f>IF(A57="","",IF(RIGHT(A57,3)="NEW","Add new / another parish",CTR1_Local!$AN88))</f>
        <v/>
      </c>
      <c r="C57" s="26" t="str">
        <f t="shared" si="0"/>
        <v/>
      </c>
      <c r="D57" s="177" t="str">
        <f>IF(A57="","",IF(RIGHT(A57,3)="NEW",CTR1_Local!$E88,IF(CTR1_Local!$AO88="change",CTR1_Local!$E88,"")))</f>
        <v/>
      </c>
      <c r="E57" t="str">
        <f>IF(CTR1_Local!$F88="","",CTR1_Local!$F88)</f>
        <v/>
      </c>
      <c r="F57" s="261" t="str">
        <f>IF(CTR1_Local!$T88="","",IF(CTR1_Local!$T88="Yes","Removed",""))</f>
        <v/>
      </c>
      <c r="G57" t="str">
        <f>IF(CTR1_Local!$N88="","",IF(F57="Removed","",CTR1_Local!$N88))</f>
        <v/>
      </c>
      <c r="H57" t="str">
        <f>IF(CTR1_Local!$P88="","",IF($F57="Removed","",CTR1_Local!$P88))</f>
        <v/>
      </c>
      <c r="I57" t="str">
        <f>IF(CTR1_Local!$R88="","",IF($F57="Removed","",CTR1_Local!$R88))</f>
        <v/>
      </c>
      <c r="J57" s="160" t="str">
        <f>CTR1_Local!$H88</f>
        <v/>
      </c>
      <c r="K57" s="340" t="str">
        <f>CTR1_Local!$J88</f>
        <v/>
      </c>
      <c r="L57" s="350" t="str">
        <f>CTR1_Local!$L88</f>
        <v/>
      </c>
      <c r="M57" s="261" t="str">
        <f>IF(CTR1_Local!$V88="","",IF(CTR1_Local!$V88="Yes","confirm",""))</f>
        <v/>
      </c>
      <c r="N57" t="str">
        <f>IF(CTR1_Local!$W88="","",CTR1_Local!$W88)</f>
        <v/>
      </c>
    </row>
    <row r="58" spans="1:14" x14ac:dyDescent="0.2">
      <c r="A58" s="287" t="str">
        <f>IF(CTR1_Local!$D89="",CTR1_Local!B89,CTR1_Local!$D89)</f>
        <v/>
      </c>
      <c r="B58" s="26" t="str">
        <f>IF(A58="","",IF(RIGHT(A58,3)="NEW","Add new / another parish",CTR1_Local!$AN89))</f>
        <v/>
      </c>
      <c r="C58" s="26" t="str">
        <f t="shared" si="0"/>
        <v/>
      </c>
      <c r="D58" s="177" t="str">
        <f>IF(A58="","",IF(RIGHT(A58,3)="NEW",CTR1_Local!$E89,IF(CTR1_Local!$AO89="change",CTR1_Local!$E89,"")))</f>
        <v/>
      </c>
      <c r="E58" t="str">
        <f>IF(CTR1_Local!$F89="","",CTR1_Local!$F89)</f>
        <v/>
      </c>
      <c r="F58" s="261" t="str">
        <f>IF(CTR1_Local!$T89="","",IF(CTR1_Local!$T89="Yes","Removed",""))</f>
        <v/>
      </c>
      <c r="G58" t="str">
        <f>IF(CTR1_Local!$N89="","",IF(F58="Removed","",CTR1_Local!$N89))</f>
        <v/>
      </c>
      <c r="H58" t="str">
        <f>IF(CTR1_Local!$P89="","",IF($F58="Removed","",CTR1_Local!$P89))</f>
        <v/>
      </c>
      <c r="I58" t="str">
        <f>IF(CTR1_Local!$R89="","",IF($F58="Removed","",CTR1_Local!$R89))</f>
        <v/>
      </c>
      <c r="J58" s="160" t="str">
        <f>CTR1_Local!$H89</f>
        <v/>
      </c>
      <c r="K58" s="340" t="str">
        <f>CTR1_Local!$J89</f>
        <v/>
      </c>
      <c r="L58" s="350" t="str">
        <f>CTR1_Local!$L89</f>
        <v/>
      </c>
      <c r="M58" s="261" t="str">
        <f>IF(CTR1_Local!$V89="","",IF(CTR1_Local!$V89="Yes","confirm",""))</f>
        <v/>
      </c>
      <c r="N58" t="str">
        <f>IF(CTR1_Local!$W89="","",CTR1_Local!$W89)</f>
        <v/>
      </c>
    </row>
    <row r="59" spans="1:14" x14ac:dyDescent="0.2">
      <c r="A59" s="287" t="str">
        <f>IF(CTR1_Local!$D90="",CTR1_Local!B90,CTR1_Local!$D90)</f>
        <v/>
      </c>
      <c r="B59" s="26" t="str">
        <f>IF(A59="","",IF(RIGHT(A59,3)="NEW","Add new / another parish",CTR1_Local!$AN90))</f>
        <v/>
      </c>
      <c r="C59" s="26" t="str">
        <f t="shared" si="0"/>
        <v/>
      </c>
      <c r="D59" s="177" t="str">
        <f>IF(A59="","",IF(RIGHT(A59,3)="NEW",CTR1_Local!$E90,IF(CTR1_Local!$AO90="change",CTR1_Local!$E90,"")))</f>
        <v/>
      </c>
      <c r="E59" t="str">
        <f>IF(CTR1_Local!$F90="","",CTR1_Local!$F90)</f>
        <v/>
      </c>
      <c r="F59" s="261" t="str">
        <f>IF(CTR1_Local!$T90="","",IF(CTR1_Local!$T90="Yes","Removed",""))</f>
        <v/>
      </c>
      <c r="G59" t="str">
        <f>IF(CTR1_Local!$N90="","",IF(F59="Removed","",CTR1_Local!$N90))</f>
        <v/>
      </c>
      <c r="H59" t="str">
        <f>IF(CTR1_Local!$P90="","",IF($F59="Removed","",CTR1_Local!$P90))</f>
        <v/>
      </c>
      <c r="I59" t="str">
        <f>IF(CTR1_Local!$R90="","",IF($F59="Removed","",CTR1_Local!$R90))</f>
        <v/>
      </c>
      <c r="J59" s="160" t="str">
        <f>CTR1_Local!$H90</f>
        <v/>
      </c>
      <c r="K59" s="340" t="str">
        <f>CTR1_Local!$J90</f>
        <v/>
      </c>
      <c r="L59" s="350" t="str">
        <f>CTR1_Local!$L90</f>
        <v/>
      </c>
      <c r="M59" s="261" t="str">
        <f>IF(CTR1_Local!$V90="","",IF(CTR1_Local!$V90="Yes","confirm",""))</f>
        <v/>
      </c>
      <c r="N59" t="str">
        <f>IF(CTR1_Local!$W90="","",CTR1_Local!$W90)</f>
        <v/>
      </c>
    </row>
    <row r="60" spans="1:14" x14ac:dyDescent="0.2">
      <c r="A60" s="287" t="str">
        <f>IF(CTR1_Local!$D91="",CTR1_Local!B91,CTR1_Local!$D91)</f>
        <v/>
      </c>
      <c r="B60" s="26" t="str">
        <f>IF(A60="","",IF(RIGHT(A60,3)="NEW","Add new / another parish",CTR1_Local!$AN91))</f>
        <v/>
      </c>
      <c r="C60" s="26" t="str">
        <f t="shared" si="0"/>
        <v/>
      </c>
      <c r="D60" s="177" t="str">
        <f>IF(A60="","",IF(RIGHT(A60,3)="NEW",CTR1_Local!$E91,IF(CTR1_Local!$AO91="change",CTR1_Local!$E91,"")))</f>
        <v/>
      </c>
      <c r="E60" t="str">
        <f>IF(CTR1_Local!$F91="","",CTR1_Local!$F91)</f>
        <v/>
      </c>
      <c r="F60" s="261" t="str">
        <f>IF(CTR1_Local!$T91="","",IF(CTR1_Local!$T91="Yes","Removed",""))</f>
        <v/>
      </c>
      <c r="G60" t="str">
        <f>IF(CTR1_Local!$N91="","",IF(F60="Removed","",CTR1_Local!$N91))</f>
        <v/>
      </c>
      <c r="H60" t="str">
        <f>IF(CTR1_Local!$P91="","",IF($F60="Removed","",CTR1_Local!$P91))</f>
        <v/>
      </c>
      <c r="I60" t="str">
        <f>IF(CTR1_Local!$R91="","",IF($F60="Removed","",CTR1_Local!$R91))</f>
        <v/>
      </c>
      <c r="J60" s="160" t="str">
        <f>CTR1_Local!$H91</f>
        <v/>
      </c>
      <c r="K60" s="340" t="str">
        <f>CTR1_Local!$J91</f>
        <v/>
      </c>
      <c r="L60" s="350" t="str">
        <f>CTR1_Local!$L91</f>
        <v/>
      </c>
      <c r="M60" s="261" t="str">
        <f>IF(CTR1_Local!$V91="","",IF(CTR1_Local!$V91="Yes","confirm",""))</f>
        <v/>
      </c>
      <c r="N60" t="str">
        <f>IF(CTR1_Local!$W91="","",CTR1_Local!$W91)</f>
        <v/>
      </c>
    </row>
    <row r="61" spans="1:14" x14ac:dyDescent="0.2">
      <c r="A61" s="287" t="str">
        <f>IF(CTR1_Local!$D92="",CTR1_Local!B92,CTR1_Local!$D92)</f>
        <v/>
      </c>
      <c r="B61" s="26" t="str">
        <f>IF(A61="","",IF(RIGHT(A61,3)="NEW","Add new / another parish",CTR1_Local!$AN92))</f>
        <v/>
      </c>
      <c r="C61" s="26" t="str">
        <f t="shared" si="0"/>
        <v/>
      </c>
      <c r="D61" s="177" t="str">
        <f>IF(A61="","",IF(RIGHT(A61,3)="NEW",CTR1_Local!$E92,IF(CTR1_Local!$AO92="change",CTR1_Local!$E92,"")))</f>
        <v/>
      </c>
      <c r="E61" t="str">
        <f>IF(CTR1_Local!$F92="","",CTR1_Local!$F92)</f>
        <v/>
      </c>
      <c r="F61" s="261" t="str">
        <f>IF(CTR1_Local!$T92="","",IF(CTR1_Local!$T92="Yes","Removed",""))</f>
        <v/>
      </c>
      <c r="G61" t="str">
        <f>IF(CTR1_Local!$N92="","",IF(F61="Removed","",CTR1_Local!$N92))</f>
        <v/>
      </c>
      <c r="H61" t="str">
        <f>IF(CTR1_Local!$P92="","",IF($F61="Removed","",CTR1_Local!$P92))</f>
        <v/>
      </c>
      <c r="I61" t="str">
        <f>IF(CTR1_Local!$R92="","",IF($F61="Removed","",CTR1_Local!$R92))</f>
        <v/>
      </c>
      <c r="J61" s="160" t="str">
        <f>CTR1_Local!$H92</f>
        <v/>
      </c>
      <c r="K61" s="340" t="str">
        <f>CTR1_Local!$J92</f>
        <v/>
      </c>
      <c r="L61" s="350" t="str">
        <f>CTR1_Local!$L92</f>
        <v/>
      </c>
      <c r="M61" s="261" t="str">
        <f>IF(CTR1_Local!$V92="","",IF(CTR1_Local!$V92="Yes","confirm",""))</f>
        <v/>
      </c>
      <c r="N61" t="str">
        <f>IF(CTR1_Local!$W92="","",CTR1_Local!$W92)</f>
        <v/>
      </c>
    </row>
    <row r="62" spans="1:14" x14ac:dyDescent="0.2">
      <c r="A62" s="287" t="str">
        <f>IF(CTR1_Local!$D93="",CTR1_Local!B93,CTR1_Local!$D93)</f>
        <v/>
      </c>
      <c r="B62" s="26" t="str">
        <f>IF(A62="","",IF(RIGHT(A62,3)="NEW","Add new / another parish",CTR1_Local!$AN93))</f>
        <v/>
      </c>
      <c r="C62" s="26" t="str">
        <f t="shared" si="0"/>
        <v/>
      </c>
      <c r="D62" s="177" t="str">
        <f>IF(A62="","",IF(RIGHT(A62,3)="NEW",CTR1_Local!$E93,IF(CTR1_Local!$AO93="change",CTR1_Local!$E93,"")))</f>
        <v/>
      </c>
      <c r="E62" t="str">
        <f>IF(CTR1_Local!$F93="","",CTR1_Local!$F93)</f>
        <v/>
      </c>
      <c r="F62" s="261" t="str">
        <f>IF(CTR1_Local!$T93="","",IF(CTR1_Local!$T93="Yes","Removed",""))</f>
        <v/>
      </c>
      <c r="G62" t="str">
        <f>IF(CTR1_Local!$N93="","",IF(F62="Removed","",CTR1_Local!$N93))</f>
        <v/>
      </c>
      <c r="H62" t="str">
        <f>IF(CTR1_Local!$P93="","",IF($F62="Removed","",CTR1_Local!$P93))</f>
        <v/>
      </c>
      <c r="I62" t="str">
        <f>IF(CTR1_Local!$R93="","",IF($F62="Removed","",CTR1_Local!$R93))</f>
        <v/>
      </c>
      <c r="J62" s="160" t="str">
        <f>CTR1_Local!$H93</f>
        <v/>
      </c>
      <c r="K62" s="340" t="str">
        <f>CTR1_Local!$J93</f>
        <v/>
      </c>
      <c r="L62" s="350" t="str">
        <f>CTR1_Local!$L93</f>
        <v/>
      </c>
      <c r="M62" s="261" t="str">
        <f>IF(CTR1_Local!$V93="","",IF(CTR1_Local!$V93="Yes","confirm",""))</f>
        <v/>
      </c>
      <c r="N62" t="str">
        <f>IF(CTR1_Local!$W93="","",CTR1_Local!$W93)</f>
        <v/>
      </c>
    </row>
    <row r="63" spans="1:14" x14ac:dyDescent="0.2">
      <c r="A63" s="287" t="str">
        <f>IF(CTR1_Local!$D94="",CTR1_Local!B94,CTR1_Local!$D94)</f>
        <v/>
      </c>
      <c r="B63" s="26" t="str">
        <f>IF(A63="","",IF(RIGHT(A63,3)="NEW","Add new / another parish",CTR1_Local!$AN94))</f>
        <v/>
      </c>
      <c r="C63" s="26" t="str">
        <f t="shared" si="0"/>
        <v/>
      </c>
      <c r="D63" s="177" t="str">
        <f>IF(A63="","",IF(RIGHT(A63,3)="NEW",CTR1_Local!$E94,IF(CTR1_Local!$AO94="change",CTR1_Local!$E94,"")))</f>
        <v/>
      </c>
      <c r="E63" t="str">
        <f>IF(CTR1_Local!$F94="","",CTR1_Local!$F94)</f>
        <v/>
      </c>
      <c r="F63" s="261" t="str">
        <f>IF(CTR1_Local!$T94="","",IF(CTR1_Local!$T94="Yes","Removed",""))</f>
        <v/>
      </c>
      <c r="G63" t="str">
        <f>IF(CTR1_Local!$N94="","",IF(F63="Removed","",CTR1_Local!$N94))</f>
        <v/>
      </c>
      <c r="H63" t="str">
        <f>IF(CTR1_Local!$P94="","",IF($F63="Removed","",CTR1_Local!$P94))</f>
        <v/>
      </c>
      <c r="I63" t="str">
        <f>IF(CTR1_Local!$R94="","",IF($F63="Removed","",CTR1_Local!$R94))</f>
        <v/>
      </c>
      <c r="J63" s="160" t="str">
        <f>CTR1_Local!$H94</f>
        <v/>
      </c>
      <c r="K63" s="340" t="str">
        <f>CTR1_Local!$J94</f>
        <v/>
      </c>
      <c r="L63" s="350" t="str">
        <f>CTR1_Local!$L94</f>
        <v/>
      </c>
      <c r="M63" s="261" t="str">
        <f>IF(CTR1_Local!$V94="","",IF(CTR1_Local!$V94="Yes","confirm",""))</f>
        <v/>
      </c>
      <c r="N63" t="str">
        <f>IF(CTR1_Local!$W94="","",CTR1_Local!$W94)</f>
        <v/>
      </c>
    </row>
    <row r="64" spans="1:14" x14ac:dyDescent="0.2">
      <c r="A64" s="287" t="str">
        <f>IF(CTR1_Local!$D95="",CTR1_Local!B95,CTR1_Local!$D95)</f>
        <v/>
      </c>
      <c r="B64" s="26" t="str">
        <f>IF(A64="","",IF(RIGHT(A64,3)="NEW","Add new / another parish",CTR1_Local!$AN95))</f>
        <v/>
      </c>
      <c r="C64" s="26" t="str">
        <f t="shared" si="0"/>
        <v/>
      </c>
      <c r="D64" s="177" t="str">
        <f>IF(A64="","",IF(RIGHT(A64,3)="NEW",CTR1_Local!$E95,IF(CTR1_Local!$AO95="change",CTR1_Local!$E95,"")))</f>
        <v/>
      </c>
      <c r="E64" t="str">
        <f>IF(CTR1_Local!$F95="","",CTR1_Local!$F95)</f>
        <v/>
      </c>
      <c r="F64" s="261" t="str">
        <f>IF(CTR1_Local!$T95="","",IF(CTR1_Local!$T95="Yes","Removed",""))</f>
        <v/>
      </c>
      <c r="G64" t="str">
        <f>IF(CTR1_Local!$N95="","",IF(F64="Removed","",CTR1_Local!$N95))</f>
        <v/>
      </c>
      <c r="H64" t="str">
        <f>IF(CTR1_Local!$P95="","",IF($F64="Removed","",CTR1_Local!$P95))</f>
        <v/>
      </c>
      <c r="I64" t="str">
        <f>IF(CTR1_Local!$R95="","",IF($F64="Removed","",CTR1_Local!$R95))</f>
        <v/>
      </c>
      <c r="J64" s="160" t="str">
        <f>CTR1_Local!$H95</f>
        <v/>
      </c>
      <c r="K64" s="340" t="str">
        <f>CTR1_Local!$J95</f>
        <v/>
      </c>
      <c r="L64" s="350" t="str">
        <f>CTR1_Local!$L95</f>
        <v/>
      </c>
      <c r="M64" s="261" t="str">
        <f>IF(CTR1_Local!$V95="","",IF(CTR1_Local!$V95="Yes","confirm",""))</f>
        <v/>
      </c>
      <c r="N64" t="str">
        <f>IF(CTR1_Local!$W95="","",CTR1_Local!$W95)</f>
        <v/>
      </c>
    </row>
    <row r="65" spans="1:14" x14ac:dyDescent="0.2">
      <c r="A65" s="287" t="str">
        <f>IF(CTR1_Local!$D96="",CTR1_Local!B96,CTR1_Local!$D96)</f>
        <v/>
      </c>
      <c r="B65" s="26" t="str">
        <f>IF(A65="","",IF(RIGHT(A65,3)="NEW","Add new / another parish",CTR1_Local!$AN96))</f>
        <v/>
      </c>
      <c r="C65" s="26" t="str">
        <f t="shared" si="0"/>
        <v/>
      </c>
      <c r="D65" s="177" t="str">
        <f>IF(A65="","",IF(RIGHT(A65,3)="NEW",CTR1_Local!$E96,IF(CTR1_Local!$AO96="change",CTR1_Local!$E96,"")))</f>
        <v/>
      </c>
      <c r="E65" t="str">
        <f>IF(CTR1_Local!$F96="","",CTR1_Local!$F96)</f>
        <v/>
      </c>
      <c r="F65" s="261" t="str">
        <f>IF(CTR1_Local!$T96="","",IF(CTR1_Local!$T96="Yes","Removed",""))</f>
        <v/>
      </c>
      <c r="G65" t="str">
        <f>IF(CTR1_Local!$N96="","",IF(F65="Removed","",CTR1_Local!$N96))</f>
        <v/>
      </c>
      <c r="H65" t="str">
        <f>IF(CTR1_Local!$P96="","",IF($F65="Removed","",CTR1_Local!$P96))</f>
        <v/>
      </c>
      <c r="I65" t="str">
        <f>IF(CTR1_Local!$R96="","",IF($F65="Removed","",CTR1_Local!$R96))</f>
        <v/>
      </c>
      <c r="J65" s="160" t="str">
        <f>CTR1_Local!$H96</f>
        <v/>
      </c>
      <c r="K65" s="340" t="str">
        <f>CTR1_Local!$J96</f>
        <v/>
      </c>
      <c r="L65" s="350" t="str">
        <f>CTR1_Local!$L96</f>
        <v/>
      </c>
      <c r="M65" s="261" t="str">
        <f>IF(CTR1_Local!$V96="","",IF(CTR1_Local!$V96="Yes","confirm",""))</f>
        <v/>
      </c>
      <c r="N65" t="str">
        <f>IF(CTR1_Local!$W96="","",CTR1_Local!$W96)</f>
        <v/>
      </c>
    </row>
    <row r="66" spans="1:14" x14ac:dyDescent="0.2">
      <c r="A66" s="287" t="str">
        <f>IF(CTR1_Local!$D97="",CTR1_Local!B97,CTR1_Local!$D97)</f>
        <v/>
      </c>
      <c r="B66" s="26" t="str">
        <f>IF(A66="","",IF(RIGHT(A66,3)="NEW","Add new / another parish",CTR1_Local!$AN97))</f>
        <v/>
      </c>
      <c r="C66" s="26" t="str">
        <f t="shared" si="0"/>
        <v/>
      </c>
      <c r="D66" s="177" t="str">
        <f>IF(A66="","",IF(RIGHT(A66,3)="NEW",CTR1_Local!$E97,IF(CTR1_Local!$AO97="change",CTR1_Local!$E97,"")))</f>
        <v/>
      </c>
      <c r="E66" t="str">
        <f>IF(CTR1_Local!$F97="","",CTR1_Local!$F97)</f>
        <v/>
      </c>
      <c r="F66" s="261" t="str">
        <f>IF(CTR1_Local!$T97="","",IF(CTR1_Local!$T97="Yes","Removed",""))</f>
        <v/>
      </c>
      <c r="G66" t="str">
        <f>IF(CTR1_Local!$N97="","",IF(F66="Removed","",CTR1_Local!$N97))</f>
        <v/>
      </c>
      <c r="H66" t="str">
        <f>IF(CTR1_Local!$P97="","",IF($F66="Removed","",CTR1_Local!$P97))</f>
        <v/>
      </c>
      <c r="I66" t="str">
        <f>IF(CTR1_Local!$R97="","",IF($F66="Removed","",CTR1_Local!$R97))</f>
        <v/>
      </c>
      <c r="J66" s="160" t="str">
        <f>CTR1_Local!$H97</f>
        <v/>
      </c>
      <c r="K66" s="340" t="str">
        <f>CTR1_Local!$J97</f>
        <v/>
      </c>
      <c r="L66" s="350" t="str">
        <f>CTR1_Local!$L97</f>
        <v/>
      </c>
      <c r="M66" s="261" t="str">
        <f>IF(CTR1_Local!$V97="","",IF(CTR1_Local!$V97="Yes","confirm",""))</f>
        <v/>
      </c>
      <c r="N66" t="str">
        <f>IF(CTR1_Local!$W97="","",CTR1_Local!$W97)</f>
        <v/>
      </c>
    </row>
    <row r="67" spans="1:14" x14ac:dyDescent="0.2">
      <c r="A67" s="287" t="str">
        <f>IF(CTR1_Local!$D98="",CTR1_Local!B98,CTR1_Local!$D98)</f>
        <v/>
      </c>
      <c r="B67" s="26" t="str">
        <f>IF(A67="","",IF(RIGHT(A67,3)="NEW","Add new / another parish",CTR1_Local!$AN98))</f>
        <v/>
      </c>
      <c r="C67" s="26" t="str">
        <f t="shared" ref="C67:C130" si="1">IF(OR(B67="",D67=""),"",IF(AND(B67&lt;&gt;"",D67&lt;&gt;"",B67&lt;&gt;"Add new / another parish"),"yes",""))</f>
        <v/>
      </c>
      <c r="D67" s="177" t="str">
        <f>IF(A67="","",IF(RIGHT(A67,3)="NEW",CTR1_Local!$E98,IF(CTR1_Local!$AO98="change",CTR1_Local!$E98,"")))</f>
        <v/>
      </c>
      <c r="E67" t="str">
        <f>IF(CTR1_Local!$F98="","",CTR1_Local!$F98)</f>
        <v/>
      </c>
      <c r="F67" s="261" t="str">
        <f>IF(CTR1_Local!$T98="","",IF(CTR1_Local!$T98="Yes","Removed",""))</f>
        <v/>
      </c>
      <c r="G67" t="str">
        <f>IF(CTR1_Local!$N98="","",IF(F67="Removed","",CTR1_Local!$N98))</f>
        <v/>
      </c>
      <c r="H67" t="str">
        <f>IF(CTR1_Local!$P98="","",IF($F67="Removed","",CTR1_Local!$P98))</f>
        <v/>
      </c>
      <c r="I67" t="str">
        <f>IF(CTR1_Local!$R98="","",IF($F67="Removed","",CTR1_Local!$R98))</f>
        <v/>
      </c>
      <c r="J67" s="160" t="str">
        <f>CTR1_Local!$H98</f>
        <v/>
      </c>
      <c r="K67" s="340" t="str">
        <f>CTR1_Local!$J98</f>
        <v/>
      </c>
      <c r="L67" s="350" t="str">
        <f>CTR1_Local!$L98</f>
        <v/>
      </c>
      <c r="M67" s="261" t="str">
        <f>IF(CTR1_Local!$V98="","",IF(CTR1_Local!$V98="Yes","confirm",""))</f>
        <v/>
      </c>
      <c r="N67" t="str">
        <f>IF(CTR1_Local!$W98="","",CTR1_Local!$W98)</f>
        <v/>
      </c>
    </row>
    <row r="68" spans="1:14" x14ac:dyDescent="0.2">
      <c r="A68" s="287" t="str">
        <f>IF(CTR1_Local!$D99="",CTR1_Local!B99,CTR1_Local!$D99)</f>
        <v/>
      </c>
      <c r="B68" s="26" t="str">
        <f>IF(A68="","",IF(RIGHT(A68,3)="NEW","Add new / another parish",CTR1_Local!$AN99))</f>
        <v/>
      </c>
      <c r="C68" s="26" t="str">
        <f t="shared" si="1"/>
        <v/>
      </c>
      <c r="D68" s="177" t="str">
        <f>IF(A68="","",IF(RIGHT(A68,3)="NEW",CTR1_Local!$E99,IF(CTR1_Local!$AO99="change",CTR1_Local!$E99,"")))</f>
        <v/>
      </c>
      <c r="E68" t="str">
        <f>IF(CTR1_Local!$F99="","",CTR1_Local!$F99)</f>
        <v/>
      </c>
      <c r="F68" s="261" t="str">
        <f>IF(CTR1_Local!$T99="","",IF(CTR1_Local!$T99="Yes","Removed",""))</f>
        <v/>
      </c>
      <c r="G68" t="str">
        <f>IF(CTR1_Local!$N99="","",IF(F68="Removed","",CTR1_Local!$N99))</f>
        <v/>
      </c>
      <c r="H68" t="str">
        <f>IF(CTR1_Local!$P99="","",IF($F68="Removed","",CTR1_Local!$P99))</f>
        <v/>
      </c>
      <c r="I68" t="str">
        <f>IF(CTR1_Local!$R99="","",IF($F68="Removed","",CTR1_Local!$R99))</f>
        <v/>
      </c>
      <c r="J68" s="160" t="str">
        <f>CTR1_Local!$H99</f>
        <v/>
      </c>
      <c r="K68" s="340" t="str">
        <f>CTR1_Local!$J99</f>
        <v/>
      </c>
      <c r="L68" s="350" t="str">
        <f>CTR1_Local!$L99</f>
        <v/>
      </c>
      <c r="M68" s="261" t="str">
        <f>IF(CTR1_Local!$V99="","",IF(CTR1_Local!$V99="Yes","confirm",""))</f>
        <v/>
      </c>
      <c r="N68" t="str">
        <f>IF(CTR1_Local!$W99="","",CTR1_Local!$W99)</f>
        <v/>
      </c>
    </row>
    <row r="69" spans="1:14" x14ac:dyDescent="0.2">
      <c r="A69" s="287" t="str">
        <f>IF(CTR1_Local!$D100="",CTR1_Local!B100,CTR1_Local!$D100)</f>
        <v/>
      </c>
      <c r="B69" s="26" t="str">
        <f>IF(A69="","",IF(RIGHT(A69,3)="NEW","Add new / another parish",CTR1_Local!$AN100))</f>
        <v/>
      </c>
      <c r="C69" s="26" t="str">
        <f t="shared" si="1"/>
        <v/>
      </c>
      <c r="D69" s="177" t="str">
        <f>IF(A69="","",IF(RIGHT(A69,3)="NEW",CTR1_Local!$E100,IF(CTR1_Local!$AO100="change",CTR1_Local!$E100,"")))</f>
        <v/>
      </c>
      <c r="E69" t="str">
        <f>IF(CTR1_Local!$F100="","",CTR1_Local!$F100)</f>
        <v/>
      </c>
      <c r="F69" s="261" t="str">
        <f>IF(CTR1_Local!$T100="","",IF(CTR1_Local!$T100="Yes","Removed",""))</f>
        <v/>
      </c>
      <c r="G69" t="str">
        <f>IF(CTR1_Local!$N100="","",IF(F69="Removed","",CTR1_Local!$N100))</f>
        <v/>
      </c>
      <c r="H69" t="str">
        <f>IF(CTR1_Local!$P100="","",IF($F69="Removed","",CTR1_Local!$P100))</f>
        <v/>
      </c>
      <c r="I69" t="str">
        <f>IF(CTR1_Local!$R100="","",IF($F69="Removed","",CTR1_Local!$R100))</f>
        <v/>
      </c>
      <c r="J69" s="160" t="str">
        <f>CTR1_Local!$H100</f>
        <v/>
      </c>
      <c r="K69" s="340" t="str">
        <f>CTR1_Local!$J100</f>
        <v/>
      </c>
      <c r="L69" s="350" t="str">
        <f>CTR1_Local!$L100</f>
        <v/>
      </c>
      <c r="M69" s="261" t="str">
        <f>IF(CTR1_Local!$V100="","",IF(CTR1_Local!$V100="Yes","confirm",""))</f>
        <v/>
      </c>
      <c r="N69" t="str">
        <f>IF(CTR1_Local!$W100="","",CTR1_Local!$W100)</f>
        <v/>
      </c>
    </row>
    <row r="70" spans="1:14" x14ac:dyDescent="0.2">
      <c r="A70" s="287" t="str">
        <f>IF(CTR1_Local!$D101="",CTR1_Local!B101,CTR1_Local!$D101)</f>
        <v/>
      </c>
      <c r="B70" s="26" t="str">
        <f>IF(A70="","",IF(RIGHT(A70,3)="NEW","Add new / another parish",CTR1_Local!$AN101))</f>
        <v/>
      </c>
      <c r="C70" s="26" t="str">
        <f t="shared" si="1"/>
        <v/>
      </c>
      <c r="D70" s="177" t="str">
        <f>IF(A70="","",IF(RIGHT(A70,3)="NEW",CTR1_Local!$E101,IF(CTR1_Local!$AO101="change",CTR1_Local!$E101,"")))</f>
        <v/>
      </c>
      <c r="E70" t="str">
        <f>IF(CTR1_Local!$F101="","",CTR1_Local!$F101)</f>
        <v/>
      </c>
      <c r="F70" s="261" t="str">
        <f>IF(CTR1_Local!$T101="","",IF(CTR1_Local!$T101="Yes","Removed",""))</f>
        <v/>
      </c>
      <c r="G70" t="str">
        <f>IF(CTR1_Local!$N101="","",IF(F70="Removed","",CTR1_Local!$N101))</f>
        <v/>
      </c>
      <c r="H70" t="str">
        <f>IF(CTR1_Local!$P101="","",IF($F70="Removed","",CTR1_Local!$P101))</f>
        <v/>
      </c>
      <c r="I70" t="str">
        <f>IF(CTR1_Local!$R101="","",IF($F70="Removed","",CTR1_Local!$R101))</f>
        <v/>
      </c>
      <c r="J70" s="160" t="str">
        <f>CTR1_Local!$H101</f>
        <v/>
      </c>
      <c r="K70" s="340" t="str">
        <f>CTR1_Local!$J101</f>
        <v/>
      </c>
      <c r="L70" s="350" t="str">
        <f>CTR1_Local!$L101</f>
        <v/>
      </c>
      <c r="M70" s="261" t="str">
        <f>IF(CTR1_Local!$V101="","",IF(CTR1_Local!$V101="Yes","confirm",""))</f>
        <v/>
      </c>
      <c r="N70" t="str">
        <f>IF(CTR1_Local!$W101="","",CTR1_Local!$W101)</f>
        <v/>
      </c>
    </row>
    <row r="71" spans="1:14" x14ac:dyDescent="0.2">
      <c r="A71" s="287" t="str">
        <f>IF(CTR1_Local!$D102="",CTR1_Local!B102,CTR1_Local!$D102)</f>
        <v/>
      </c>
      <c r="B71" s="26" t="str">
        <f>IF(A71="","",IF(RIGHT(A71,3)="NEW","Add new / another parish",CTR1_Local!$AN102))</f>
        <v/>
      </c>
      <c r="C71" s="26" t="str">
        <f t="shared" si="1"/>
        <v/>
      </c>
      <c r="D71" s="177" t="str">
        <f>IF(A71="","",IF(RIGHT(A71,3)="NEW",CTR1_Local!$E102,IF(CTR1_Local!$AO102="change",CTR1_Local!$E102,"")))</f>
        <v/>
      </c>
      <c r="E71" t="str">
        <f>IF(CTR1_Local!$F102="","",CTR1_Local!$F102)</f>
        <v/>
      </c>
      <c r="F71" s="261" t="str">
        <f>IF(CTR1_Local!$T102="","",IF(CTR1_Local!$T102="Yes","Removed",""))</f>
        <v/>
      </c>
      <c r="G71" t="str">
        <f>IF(CTR1_Local!$N102="","",IF(F71="Removed","",CTR1_Local!$N102))</f>
        <v/>
      </c>
      <c r="H71" t="str">
        <f>IF(CTR1_Local!$P102="","",IF($F71="Removed","",CTR1_Local!$P102))</f>
        <v/>
      </c>
      <c r="I71" t="str">
        <f>IF(CTR1_Local!$R102="","",IF($F71="Removed","",CTR1_Local!$R102))</f>
        <v/>
      </c>
      <c r="J71" s="160" t="str">
        <f>CTR1_Local!$H102</f>
        <v/>
      </c>
      <c r="K71" s="340" t="str">
        <f>CTR1_Local!$J102</f>
        <v/>
      </c>
      <c r="L71" s="350" t="str">
        <f>CTR1_Local!$L102</f>
        <v/>
      </c>
      <c r="M71" s="261" t="str">
        <f>IF(CTR1_Local!$V102="","",IF(CTR1_Local!$V102="Yes","confirm",""))</f>
        <v/>
      </c>
      <c r="N71" t="str">
        <f>IF(CTR1_Local!$W102="","",CTR1_Local!$W102)</f>
        <v/>
      </c>
    </row>
    <row r="72" spans="1:14" x14ac:dyDescent="0.2">
      <c r="A72" s="287" t="str">
        <f>IF(CTR1_Local!$D103="",CTR1_Local!B103,CTR1_Local!$D103)</f>
        <v/>
      </c>
      <c r="B72" s="26" t="str">
        <f>IF(A72="","",IF(RIGHT(A72,3)="NEW","Add new / another parish",CTR1_Local!$AN103))</f>
        <v/>
      </c>
      <c r="C72" s="26" t="str">
        <f t="shared" si="1"/>
        <v/>
      </c>
      <c r="D72" s="177" t="str">
        <f>IF(A72="","",IF(RIGHT(A72,3)="NEW",CTR1_Local!$E103,IF(CTR1_Local!$AO103="change",CTR1_Local!$E103,"")))</f>
        <v/>
      </c>
      <c r="E72" t="str">
        <f>IF(CTR1_Local!$F103="","",CTR1_Local!$F103)</f>
        <v/>
      </c>
      <c r="F72" s="261" t="str">
        <f>IF(CTR1_Local!$T103="","",IF(CTR1_Local!$T103="Yes","Removed",""))</f>
        <v/>
      </c>
      <c r="G72" t="str">
        <f>IF(CTR1_Local!$N103="","",IF(F72="Removed","",CTR1_Local!$N103))</f>
        <v/>
      </c>
      <c r="H72" t="str">
        <f>IF(CTR1_Local!$P103="","",IF($F72="Removed","",CTR1_Local!$P103))</f>
        <v/>
      </c>
      <c r="I72" t="str">
        <f>IF(CTR1_Local!$R103="","",IF($F72="Removed","",CTR1_Local!$R103))</f>
        <v/>
      </c>
      <c r="J72" s="160" t="str">
        <f>CTR1_Local!$H103</f>
        <v/>
      </c>
      <c r="K72" s="340" t="str">
        <f>CTR1_Local!$J103</f>
        <v/>
      </c>
      <c r="L72" s="350" t="str">
        <f>CTR1_Local!$L103</f>
        <v/>
      </c>
      <c r="M72" s="261" t="str">
        <f>IF(CTR1_Local!$V103="","",IF(CTR1_Local!$V103="Yes","confirm",""))</f>
        <v/>
      </c>
      <c r="N72" t="str">
        <f>IF(CTR1_Local!$W103="","",CTR1_Local!$W103)</f>
        <v/>
      </c>
    </row>
    <row r="73" spans="1:14" x14ac:dyDescent="0.2">
      <c r="A73" s="287" t="str">
        <f>IF(CTR1_Local!$D104="",CTR1_Local!B104,CTR1_Local!$D104)</f>
        <v/>
      </c>
      <c r="B73" s="26" t="str">
        <f>IF(A73="","",IF(RIGHT(A73,3)="NEW","Add new / another parish",CTR1_Local!$AN104))</f>
        <v/>
      </c>
      <c r="C73" s="26" t="str">
        <f t="shared" si="1"/>
        <v/>
      </c>
      <c r="D73" s="177" t="str">
        <f>IF(A73="","",IF(RIGHT(A73,3)="NEW",CTR1_Local!$E104,IF(CTR1_Local!$AO104="change",CTR1_Local!$E104,"")))</f>
        <v/>
      </c>
      <c r="E73" t="str">
        <f>IF(CTR1_Local!$F104="","",CTR1_Local!$F104)</f>
        <v/>
      </c>
      <c r="F73" s="261" t="str">
        <f>IF(CTR1_Local!$T104="","",IF(CTR1_Local!$T104="Yes","Removed",""))</f>
        <v/>
      </c>
      <c r="G73" t="str">
        <f>IF(CTR1_Local!$N104="","",IF(F73="Removed","",CTR1_Local!$N104))</f>
        <v/>
      </c>
      <c r="H73" t="str">
        <f>IF(CTR1_Local!$P104="","",IF($F73="Removed","",CTR1_Local!$P104))</f>
        <v/>
      </c>
      <c r="I73" t="str">
        <f>IF(CTR1_Local!$R104="","",IF($F73="Removed","",CTR1_Local!$R104))</f>
        <v/>
      </c>
      <c r="J73" s="160" t="str">
        <f>CTR1_Local!$H104</f>
        <v/>
      </c>
      <c r="K73" s="340" t="str">
        <f>CTR1_Local!$J104</f>
        <v/>
      </c>
      <c r="L73" s="350" t="str">
        <f>CTR1_Local!$L104</f>
        <v/>
      </c>
      <c r="M73" s="261" t="str">
        <f>IF(CTR1_Local!$V104="","",IF(CTR1_Local!$V104="Yes","confirm",""))</f>
        <v/>
      </c>
      <c r="N73" t="str">
        <f>IF(CTR1_Local!$W104="","",CTR1_Local!$W104)</f>
        <v/>
      </c>
    </row>
    <row r="74" spans="1:14" x14ac:dyDescent="0.2">
      <c r="A74" s="287" t="str">
        <f>IF(CTR1_Local!$D105="",CTR1_Local!B105,CTR1_Local!$D105)</f>
        <v/>
      </c>
      <c r="B74" s="26" t="str">
        <f>IF(A74="","",IF(RIGHT(A74,3)="NEW","Add new / another parish",CTR1_Local!$AN105))</f>
        <v/>
      </c>
      <c r="C74" s="26" t="str">
        <f t="shared" si="1"/>
        <v/>
      </c>
      <c r="D74" s="177" t="str">
        <f>IF(A74="","",IF(RIGHT(A74,3)="NEW",CTR1_Local!$E105,IF(CTR1_Local!$AO105="change",CTR1_Local!$E105,"")))</f>
        <v/>
      </c>
      <c r="E74" t="str">
        <f>IF(CTR1_Local!$F105="","",CTR1_Local!$F105)</f>
        <v/>
      </c>
      <c r="F74" s="261" t="str">
        <f>IF(CTR1_Local!$T105="","",IF(CTR1_Local!$T105="Yes","Removed",""))</f>
        <v/>
      </c>
      <c r="G74" t="str">
        <f>IF(CTR1_Local!$N105="","",IF(F74="Removed","",CTR1_Local!$N105))</f>
        <v/>
      </c>
      <c r="H74" t="str">
        <f>IF(CTR1_Local!$P105="","",IF($F74="Removed","",CTR1_Local!$P105))</f>
        <v/>
      </c>
      <c r="I74" t="str">
        <f>IF(CTR1_Local!$R105="","",IF($F74="Removed","",CTR1_Local!$R105))</f>
        <v/>
      </c>
      <c r="J74" s="160" t="str">
        <f>CTR1_Local!$H105</f>
        <v/>
      </c>
      <c r="K74" s="340" t="str">
        <f>CTR1_Local!$J105</f>
        <v/>
      </c>
      <c r="L74" s="350" t="str">
        <f>CTR1_Local!$L105</f>
        <v/>
      </c>
      <c r="M74" s="261" t="str">
        <f>IF(CTR1_Local!$V105="","",IF(CTR1_Local!$V105="Yes","confirm",""))</f>
        <v/>
      </c>
      <c r="N74" t="str">
        <f>IF(CTR1_Local!$W105="","",CTR1_Local!$W105)</f>
        <v/>
      </c>
    </row>
    <row r="75" spans="1:14" x14ac:dyDescent="0.2">
      <c r="A75" s="287" t="str">
        <f>IF(CTR1_Local!$D106="",CTR1_Local!B106,CTR1_Local!$D106)</f>
        <v/>
      </c>
      <c r="B75" s="26" t="str">
        <f>IF(A75="","",IF(RIGHT(A75,3)="NEW","Add new / another parish",CTR1_Local!$AN106))</f>
        <v/>
      </c>
      <c r="C75" s="26" t="str">
        <f t="shared" si="1"/>
        <v/>
      </c>
      <c r="D75" s="177" t="str">
        <f>IF(A75="","",IF(RIGHT(A75,3)="NEW",CTR1_Local!$E106,IF(CTR1_Local!$AO106="change",CTR1_Local!$E106,"")))</f>
        <v/>
      </c>
      <c r="E75" t="str">
        <f>IF(CTR1_Local!$F106="","",CTR1_Local!$F106)</f>
        <v/>
      </c>
      <c r="F75" s="261" t="str">
        <f>IF(CTR1_Local!$T106="","",IF(CTR1_Local!$T106="Yes","Removed",""))</f>
        <v/>
      </c>
      <c r="G75" t="str">
        <f>IF(CTR1_Local!$N106="","",IF(F75="Removed","",CTR1_Local!$N106))</f>
        <v/>
      </c>
      <c r="H75" t="str">
        <f>IF(CTR1_Local!$P106="","",IF($F75="Removed","",CTR1_Local!$P106))</f>
        <v/>
      </c>
      <c r="I75" t="str">
        <f>IF(CTR1_Local!$R106="","",IF($F75="Removed","",CTR1_Local!$R106))</f>
        <v/>
      </c>
      <c r="J75" s="160" t="str">
        <f>CTR1_Local!$H106</f>
        <v/>
      </c>
      <c r="K75" s="340" t="str">
        <f>CTR1_Local!$J106</f>
        <v/>
      </c>
      <c r="L75" s="350" t="str">
        <f>CTR1_Local!$L106</f>
        <v/>
      </c>
      <c r="M75" s="261" t="str">
        <f>IF(CTR1_Local!$V106="","",IF(CTR1_Local!$V106="Yes","confirm",""))</f>
        <v/>
      </c>
      <c r="N75" t="str">
        <f>IF(CTR1_Local!$W106="","",CTR1_Local!$W106)</f>
        <v/>
      </c>
    </row>
    <row r="76" spans="1:14" x14ac:dyDescent="0.2">
      <c r="A76" s="287" t="str">
        <f>IF(CTR1_Local!$D107="",CTR1_Local!B107,CTR1_Local!$D107)</f>
        <v/>
      </c>
      <c r="B76" s="26" t="str">
        <f>IF(A76="","",IF(RIGHT(A76,3)="NEW","Add new / another parish",CTR1_Local!$AN107))</f>
        <v/>
      </c>
      <c r="C76" s="26" t="str">
        <f t="shared" si="1"/>
        <v/>
      </c>
      <c r="D76" s="177" t="str">
        <f>IF(A76="","",IF(RIGHT(A76,3)="NEW",CTR1_Local!$E107,IF(CTR1_Local!$AO107="change",CTR1_Local!$E107,"")))</f>
        <v/>
      </c>
      <c r="E76" t="str">
        <f>IF(CTR1_Local!$F107="","",CTR1_Local!$F107)</f>
        <v/>
      </c>
      <c r="F76" s="261" t="str">
        <f>IF(CTR1_Local!$T107="","",IF(CTR1_Local!$T107="Yes","Removed",""))</f>
        <v/>
      </c>
      <c r="G76" t="str">
        <f>IF(CTR1_Local!$N107="","",IF(F76="Removed","",CTR1_Local!$N107))</f>
        <v/>
      </c>
      <c r="H76" t="str">
        <f>IF(CTR1_Local!$P107="","",IF($F76="Removed","",CTR1_Local!$P107))</f>
        <v/>
      </c>
      <c r="I76" t="str">
        <f>IF(CTR1_Local!$R107="","",IF($F76="Removed","",CTR1_Local!$R107))</f>
        <v/>
      </c>
      <c r="J76" s="160" t="str">
        <f>CTR1_Local!$H107</f>
        <v/>
      </c>
      <c r="K76" s="340" t="str">
        <f>CTR1_Local!$J107</f>
        <v/>
      </c>
      <c r="L76" s="350" t="str">
        <f>CTR1_Local!$L107</f>
        <v/>
      </c>
      <c r="M76" s="261" t="str">
        <f>IF(CTR1_Local!$V107="","",IF(CTR1_Local!$V107="Yes","confirm",""))</f>
        <v/>
      </c>
      <c r="N76" t="str">
        <f>IF(CTR1_Local!$W107="","",CTR1_Local!$W107)</f>
        <v/>
      </c>
    </row>
    <row r="77" spans="1:14" x14ac:dyDescent="0.2">
      <c r="A77" s="287" t="str">
        <f>IF(CTR1_Local!$D108="",CTR1_Local!B108,CTR1_Local!$D108)</f>
        <v/>
      </c>
      <c r="B77" s="26" t="str">
        <f>IF(A77="","",IF(RIGHT(A77,3)="NEW","Add new / another parish",CTR1_Local!$AN108))</f>
        <v/>
      </c>
      <c r="C77" s="26" t="str">
        <f t="shared" si="1"/>
        <v/>
      </c>
      <c r="D77" s="177" t="str">
        <f>IF(A77="","",IF(RIGHT(A77,3)="NEW",CTR1_Local!$E108,IF(CTR1_Local!$AO108="change",CTR1_Local!$E108,"")))</f>
        <v/>
      </c>
      <c r="E77" t="str">
        <f>IF(CTR1_Local!$F108="","",CTR1_Local!$F108)</f>
        <v/>
      </c>
      <c r="F77" s="261" t="str">
        <f>IF(CTR1_Local!$T108="","",IF(CTR1_Local!$T108="Yes","Removed",""))</f>
        <v/>
      </c>
      <c r="G77" t="str">
        <f>IF(CTR1_Local!$N108="","",IF(F77="Removed","",CTR1_Local!$N108))</f>
        <v/>
      </c>
      <c r="H77" t="str">
        <f>IF(CTR1_Local!$P108="","",IF($F77="Removed","",CTR1_Local!$P108))</f>
        <v/>
      </c>
      <c r="I77" t="str">
        <f>IF(CTR1_Local!$R108="","",IF($F77="Removed","",CTR1_Local!$R108))</f>
        <v/>
      </c>
      <c r="J77" s="160" t="str">
        <f>CTR1_Local!$H108</f>
        <v/>
      </c>
      <c r="K77" s="340" t="str">
        <f>CTR1_Local!$J108</f>
        <v/>
      </c>
      <c r="L77" s="350" t="str">
        <f>CTR1_Local!$L108</f>
        <v/>
      </c>
      <c r="M77" s="261" t="str">
        <f>IF(CTR1_Local!$V108="","",IF(CTR1_Local!$V108="Yes","confirm",""))</f>
        <v/>
      </c>
      <c r="N77" t="str">
        <f>IF(CTR1_Local!$W108="","",CTR1_Local!$W108)</f>
        <v/>
      </c>
    </row>
    <row r="78" spans="1:14" x14ac:dyDescent="0.2">
      <c r="A78" s="287" t="str">
        <f>IF(CTR1_Local!$D109="",CTR1_Local!B109,CTR1_Local!$D109)</f>
        <v/>
      </c>
      <c r="B78" s="26" t="str">
        <f>IF(A78="","",IF(RIGHT(A78,3)="NEW","Add new / another parish",CTR1_Local!$AN109))</f>
        <v/>
      </c>
      <c r="C78" s="26" t="str">
        <f t="shared" si="1"/>
        <v/>
      </c>
      <c r="D78" s="177" t="str">
        <f>IF(A78="","",IF(RIGHT(A78,3)="NEW",CTR1_Local!$E109,IF(CTR1_Local!$AO109="change",CTR1_Local!$E109,"")))</f>
        <v/>
      </c>
      <c r="E78" t="str">
        <f>IF(CTR1_Local!$F109="","",CTR1_Local!$F109)</f>
        <v/>
      </c>
      <c r="F78" s="261" t="str">
        <f>IF(CTR1_Local!$T109="","",IF(CTR1_Local!$T109="Yes","Removed",""))</f>
        <v/>
      </c>
      <c r="G78" t="str">
        <f>IF(CTR1_Local!$N109="","",IF(F78="Removed","",CTR1_Local!$N109))</f>
        <v/>
      </c>
      <c r="H78" t="str">
        <f>IF(CTR1_Local!$P109="","",IF($F78="Removed","",CTR1_Local!$P109))</f>
        <v/>
      </c>
      <c r="I78" t="str">
        <f>IF(CTR1_Local!$R109="","",IF($F78="Removed","",CTR1_Local!$R109))</f>
        <v/>
      </c>
      <c r="J78" s="160" t="str">
        <f>CTR1_Local!$H109</f>
        <v/>
      </c>
      <c r="K78" s="340" t="str">
        <f>CTR1_Local!$J109</f>
        <v/>
      </c>
      <c r="L78" s="350" t="str">
        <f>CTR1_Local!$L109</f>
        <v/>
      </c>
      <c r="M78" s="261" t="str">
        <f>IF(CTR1_Local!$V109="","",IF(CTR1_Local!$V109="Yes","confirm",""))</f>
        <v/>
      </c>
      <c r="N78" t="str">
        <f>IF(CTR1_Local!$W109="","",CTR1_Local!$W109)</f>
        <v/>
      </c>
    </row>
    <row r="79" spans="1:14" x14ac:dyDescent="0.2">
      <c r="A79" s="287" t="str">
        <f>IF(CTR1_Local!$D110="",CTR1_Local!B110,CTR1_Local!$D110)</f>
        <v/>
      </c>
      <c r="B79" s="26" t="str">
        <f>IF(A79="","",IF(RIGHT(A79,3)="NEW","Add new / another parish",CTR1_Local!$AN110))</f>
        <v/>
      </c>
      <c r="C79" s="26" t="str">
        <f t="shared" si="1"/>
        <v/>
      </c>
      <c r="D79" s="177" t="str">
        <f>IF(A79="","",IF(RIGHT(A79,3)="NEW",CTR1_Local!$E110,IF(CTR1_Local!$AO110="change",CTR1_Local!$E110,"")))</f>
        <v/>
      </c>
      <c r="E79" t="str">
        <f>IF(CTR1_Local!$F110="","",CTR1_Local!$F110)</f>
        <v/>
      </c>
      <c r="F79" s="261" t="str">
        <f>IF(CTR1_Local!$T110="","",IF(CTR1_Local!$T110="Yes","Removed",""))</f>
        <v/>
      </c>
      <c r="G79" t="str">
        <f>IF(CTR1_Local!$N110="","",IF(F79="Removed","",CTR1_Local!$N110))</f>
        <v/>
      </c>
      <c r="H79" t="str">
        <f>IF(CTR1_Local!$P110="","",IF($F79="Removed","",CTR1_Local!$P110))</f>
        <v/>
      </c>
      <c r="I79" t="str">
        <f>IF(CTR1_Local!$R110="","",IF($F79="Removed","",CTR1_Local!$R110))</f>
        <v/>
      </c>
      <c r="J79" s="160" t="str">
        <f>CTR1_Local!$H110</f>
        <v/>
      </c>
      <c r="K79" s="340" t="str">
        <f>CTR1_Local!$J110</f>
        <v/>
      </c>
      <c r="L79" s="350" t="str">
        <f>CTR1_Local!$L110</f>
        <v/>
      </c>
      <c r="M79" s="261" t="str">
        <f>IF(CTR1_Local!$V110="","",IF(CTR1_Local!$V110="Yes","confirm",""))</f>
        <v/>
      </c>
      <c r="N79" t="str">
        <f>IF(CTR1_Local!$W110="","",CTR1_Local!$W110)</f>
        <v/>
      </c>
    </row>
    <row r="80" spans="1:14" x14ac:dyDescent="0.2">
      <c r="A80" s="287" t="str">
        <f>IF(CTR1_Local!$D111="",CTR1_Local!B111,CTR1_Local!$D111)</f>
        <v/>
      </c>
      <c r="B80" s="26" t="str">
        <f>IF(A80="","",IF(RIGHT(A80,3)="NEW","Add new / another parish",CTR1_Local!$AN111))</f>
        <v/>
      </c>
      <c r="C80" s="26" t="str">
        <f t="shared" si="1"/>
        <v/>
      </c>
      <c r="D80" s="177" t="str">
        <f>IF(A80="","",IF(RIGHT(A80,3)="NEW",CTR1_Local!$E111,IF(CTR1_Local!$AO111="change",CTR1_Local!$E111,"")))</f>
        <v/>
      </c>
      <c r="E80" t="str">
        <f>IF(CTR1_Local!$F111="","",CTR1_Local!$F111)</f>
        <v/>
      </c>
      <c r="F80" s="261" t="str">
        <f>IF(CTR1_Local!$T111="","",IF(CTR1_Local!$T111="Yes","Removed",""))</f>
        <v/>
      </c>
      <c r="G80" t="str">
        <f>IF(CTR1_Local!$N111="","",IF(F80="Removed","",CTR1_Local!$N111))</f>
        <v/>
      </c>
      <c r="H80" t="str">
        <f>IF(CTR1_Local!$P111="","",IF($F80="Removed","",CTR1_Local!$P111))</f>
        <v/>
      </c>
      <c r="I80" t="str">
        <f>IF(CTR1_Local!$R111="","",IF($F80="Removed","",CTR1_Local!$R111))</f>
        <v/>
      </c>
      <c r="J80" s="160" t="str">
        <f>CTR1_Local!$H111</f>
        <v/>
      </c>
      <c r="K80" s="340" t="str">
        <f>CTR1_Local!$J111</f>
        <v/>
      </c>
      <c r="L80" s="350" t="str">
        <f>CTR1_Local!$L111</f>
        <v/>
      </c>
      <c r="M80" s="261" t="str">
        <f>IF(CTR1_Local!$V111="","",IF(CTR1_Local!$V111="Yes","confirm",""))</f>
        <v/>
      </c>
      <c r="N80" t="str">
        <f>IF(CTR1_Local!$W111="","",CTR1_Local!$W111)</f>
        <v/>
      </c>
    </row>
    <row r="81" spans="1:14" x14ac:dyDescent="0.2">
      <c r="A81" s="287" t="str">
        <f>IF(CTR1_Local!$D112="",CTR1_Local!B112,CTR1_Local!$D112)</f>
        <v/>
      </c>
      <c r="B81" s="26" t="str">
        <f>IF(A81="","",IF(RIGHT(A81,3)="NEW","Add new / another parish",CTR1_Local!$AN112))</f>
        <v/>
      </c>
      <c r="C81" s="26" t="str">
        <f t="shared" si="1"/>
        <v/>
      </c>
      <c r="D81" s="177" t="str">
        <f>IF(A81="","",IF(RIGHT(A81,3)="NEW",CTR1_Local!$E112,IF(CTR1_Local!$AO112="change",CTR1_Local!$E112,"")))</f>
        <v/>
      </c>
      <c r="E81" t="str">
        <f>IF(CTR1_Local!$F112="","",CTR1_Local!$F112)</f>
        <v/>
      </c>
      <c r="F81" s="261" t="str">
        <f>IF(CTR1_Local!$T112="","",IF(CTR1_Local!$T112="Yes","Removed",""))</f>
        <v/>
      </c>
      <c r="G81" t="str">
        <f>IF(CTR1_Local!$N112="","",IF(F81="Removed","",CTR1_Local!$N112))</f>
        <v/>
      </c>
      <c r="H81" t="str">
        <f>IF(CTR1_Local!$P112="","",IF($F81="Removed","",CTR1_Local!$P112))</f>
        <v/>
      </c>
      <c r="I81" t="str">
        <f>IF(CTR1_Local!$R112="","",IF($F81="Removed","",CTR1_Local!$R112))</f>
        <v/>
      </c>
      <c r="J81" s="160" t="str">
        <f>CTR1_Local!$H112</f>
        <v/>
      </c>
      <c r="K81" s="340" t="str">
        <f>CTR1_Local!$J112</f>
        <v/>
      </c>
      <c r="L81" s="350" t="str">
        <f>CTR1_Local!$L112</f>
        <v/>
      </c>
      <c r="M81" s="261" t="str">
        <f>IF(CTR1_Local!$V112="","",IF(CTR1_Local!$V112="Yes","confirm",""))</f>
        <v/>
      </c>
      <c r="N81" t="str">
        <f>IF(CTR1_Local!$W112="","",CTR1_Local!$W112)</f>
        <v/>
      </c>
    </row>
    <row r="82" spans="1:14" x14ac:dyDescent="0.2">
      <c r="A82" s="287" t="str">
        <f>IF(CTR1_Local!$D113="",CTR1_Local!B113,CTR1_Local!$D113)</f>
        <v/>
      </c>
      <c r="B82" s="26" t="str">
        <f>IF(A82="","",IF(RIGHT(A82,3)="NEW","Add new / another parish",CTR1_Local!$AN113))</f>
        <v/>
      </c>
      <c r="C82" s="26" t="str">
        <f t="shared" si="1"/>
        <v/>
      </c>
      <c r="D82" s="177" t="str">
        <f>IF(A82="","",IF(RIGHT(A82,3)="NEW",CTR1_Local!$E113,IF(CTR1_Local!$AO113="change",CTR1_Local!$E113,"")))</f>
        <v/>
      </c>
      <c r="E82" t="str">
        <f>IF(CTR1_Local!$F113="","",CTR1_Local!$F113)</f>
        <v/>
      </c>
      <c r="F82" s="261" t="str">
        <f>IF(CTR1_Local!$T113="","",IF(CTR1_Local!$T113="Yes","Removed",""))</f>
        <v/>
      </c>
      <c r="G82" t="str">
        <f>IF(CTR1_Local!$N113="","",IF(F82="Removed","",CTR1_Local!$N113))</f>
        <v/>
      </c>
      <c r="H82" t="str">
        <f>IF(CTR1_Local!$P113="","",IF($F82="Removed","",CTR1_Local!$P113))</f>
        <v/>
      </c>
      <c r="I82" t="str">
        <f>IF(CTR1_Local!$R113="","",IF($F82="Removed","",CTR1_Local!$R113))</f>
        <v/>
      </c>
      <c r="J82" s="160" t="str">
        <f>CTR1_Local!$H113</f>
        <v/>
      </c>
      <c r="K82" s="340" t="str">
        <f>CTR1_Local!$J113</f>
        <v/>
      </c>
      <c r="L82" s="350" t="str">
        <f>CTR1_Local!$L113</f>
        <v/>
      </c>
      <c r="M82" s="261" t="str">
        <f>IF(CTR1_Local!$V113="","",IF(CTR1_Local!$V113="Yes","confirm",""))</f>
        <v/>
      </c>
      <c r="N82" t="str">
        <f>IF(CTR1_Local!$W113="","",CTR1_Local!$W113)</f>
        <v/>
      </c>
    </row>
    <row r="83" spans="1:14" x14ac:dyDescent="0.2">
      <c r="A83" s="287" t="str">
        <f>IF(CTR1_Local!$D114="",CTR1_Local!B114,CTR1_Local!$D114)</f>
        <v/>
      </c>
      <c r="B83" s="26" t="str">
        <f>IF(A83="","",IF(RIGHT(A83,3)="NEW","Add new / another parish",CTR1_Local!$AN114))</f>
        <v/>
      </c>
      <c r="C83" s="26" t="str">
        <f t="shared" si="1"/>
        <v/>
      </c>
      <c r="D83" s="177" t="str">
        <f>IF(A83="","",IF(RIGHT(A83,3)="NEW",CTR1_Local!$E114,IF(CTR1_Local!$AO114="change",CTR1_Local!$E114,"")))</f>
        <v/>
      </c>
      <c r="E83" t="str">
        <f>IF(CTR1_Local!$F114="","",CTR1_Local!$F114)</f>
        <v/>
      </c>
      <c r="F83" s="261" t="str">
        <f>IF(CTR1_Local!$T114="","",IF(CTR1_Local!$T114="Yes","Removed",""))</f>
        <v/>
      </c>
      <c r="G83" t="str">
        <f>IF(CTR1_Local!$N114="","",IF(F83="Removed","",CTR1_Local!$N114))</f>
        <v/>
      </c>
      <c r="H83" t="str">
        <f>IF(CTR1_Local!$P114="","",IF($F83="Removed","",CTR1_Local!$P114))</f>
        <v/>
      </c>
      <c r="I83" t="str">
        <f>IF(CTR1_Local!$R114="","",IF($F83="Removed","",CTR1_Local!$R114))</f>
        <v/>
      </c>
      <c r="J83" s="160" t="str">
        <f>CTR1_Local!$H114</f>
        <v/>
      </c>
      <c r="K83" s="340" t="str">
        <f>CTR1_Local!$J114</f>
        <v/>
      </c>
      <c r="L83" s="350" t="str">
        <f>CTR1_Local!$L114</f>
        <v/>
      </c>
      <c r="M83" s="261" t="str">
        <f>IF(CTR1_Local!$V114="","",IF(CTR1_Local!$V114="Yes","confirm",""))</f>
        <v/>
      </c>
      <c r="N83" t="str">
        <f>IF(CTR1_Local!$W114="","",CTR1_Local!$W114)</f>
        <v/>
      </c>
    </row>
    <row r="84" spans="1:14" x14ac:dyDescent="0.2">
      <c r="A84" s="287" t="str">
        <f>IF(CTR1_Local!$D115="",CTR1_Local!B115,CTR1_Local!$D115)</f>
        <v/>
      </c>
      <c r="B84" s="26" t="str">
        <f>IF(A84="","",IF(RIGHT(A84,3)="NEW","Add new / another parish",CTR1_Local!$AN115))</f>
        <v/>
      </c>
      <c r="C84" s="26" t="str">
        <f t="shared" si="1"/>
        <v/>
      </c>
      <c r="D84" s="177" t="str">
        <f>IF(A84="","",IF(RIGHT(A84,3)="NEW",CTR1_Local!$E115,IF(CTR1_Local!$AO115="change",CTR1_Local!$E115,"")))</f>
        <v/>
      </c>
      <c r="E84" t="str">
        <f>IF(CTR1_Local!$F115="","",CTR1_Local!$F115)</f>
        <v/>
      </c>
      <c r="F84" s="261" t="str">
        <f>IF(CTR1_Local!$T115="","",IF(CTR1_Local!$T115="Yes","Removed",""))</f>
        <v/>
      </c>
      <c r="G84" t="str">
        <f>IF(CTR1_Local!$N115="","",IF(F84="Removed","",CTR1_Local!$N115))</f>
        <v/>
      </c>
      <c r="H84" t="str">
        <f>IF(CTR1_Local!$P115="","",IF($F84="Removed","",CTR1_Local!$P115))</f>
        <v/>
      </c>
      <c r="I84" t="str">
        <f>IF(CTR1_Local!$R115="","",IF($F84="Removed","",CTR1_Local!$R115))</f>
        <v/>
      </c>
      <c r="J84" s="160" t="str">
        <f>CTR1_Local!$H115</f>
        <v/>
      </c>
      <c r="K84" s="340" t="str">
        <f>CTR1_Local!$J115</f>
        <v/>
      </c>
      <c r="L84" s="350" t="str">
        <f>CTR1_Local!$L115</f>
        <v/>
      </c>
      <c r="M84" s="261" t="str">
        <f>IF(CTR1_Local!$V115="","",IF(CTR1_Local!$V115="Yes","confirm",""))</f>
        <v/>
      </c>
      <c r="N84" t="str">
        <f>IF(CTR1_Local!$W115="","",CTR1_Local!$W115)</f>
        <v/>
      </c>
    </row>
    <row r="85" spans="1:14" x14ac:dyDescent="0.2">
      <c r="A85" s="287" t="str">
        <f>IF(CTR1_Local!$D116="",CTR1_Local!B116,CTR1_Local!$D116)</f>
        <v/>
      </c>
      <c r="B85" s="26" t="str">
        <f>IF(A85="","",IF(RIGHT(A85,3)="NEW","Add new / another parish",CTR1_Local!$AN116))</f>
        <v/>
      </c>
      <c r="C85" s="26" t="str">
        <f t="shared" si="1"/>
        <v/>
      </c>
      <c r="D85" s="177" t="str">
        <f>IF(A85="","",IF(RIGHT(A85,3)="NEW",CTR1_Local!$E116,IF(CTR1_Local!$AO116="change",CTR1_Local!$E116,"")))</f>
        <v/>
      </c>
      <c r="E85" t="str">
        <f>IF(CTR1_Local!$F116="","",CTR1_Local!$F116)</f>
        <v/>
      </c>
      <c r="F85" s="261" t="str">
        <f>IF(CTR1_Local!$T116="","",IF(CTR1_Local!$T116="Yes","Removed",""))</f>
        <v/>
      </c>
      <c r="G85" t="str">
        <f>IF(CTR1_Local!$N116="","",IF(F85="Removed","",CTR1_Local!$N116))</f>
        <v/>
      </c>
      <c r="H85" t="str">
        <f>IF(CTR1_Local!$P116="","",IF($F85="Removed","",CTR1_Local!$P116))</f>
        <v/>
      </c>
      <c r="I85" t="str">
        <f>IF(CTR1_Local!$R116="","",IF($F85="Removed","",CTR1_Local!$R116))</f>
        <v/>
      </c>
      <c r="J85" s="160" t="str">
        <f>CTR1_Local!$H116</f>
        <v/>
      </c>
      <c r="K85" s="340" t="str">
        <f>CTR1_Local!$J116</f>
        <v/>
      </c>
      <c r="L85" s="350" t="str">
        <f>CTR1_Local!$L116</f>
        <v/>
      </c>
      <c r="M85" s="261" t="str">
        <f>IF(CTR1_Local!$V116="","",IF(CTR1_Local!$V116="Yes","confirm",""))</f>
        <v/>
      </c>
      <c r="N85" t="str">
        <f>IF(CTR1_Local!$W116="","",CTR1_Local!$W116)</f>
        <v/>
      </c>
    </row>
    <row r="86" spans="1:14" x14ac:dyDescent="0.2">
      <c r="A86" s="287" t="str">
        <f>IF(CTR1_Local!$D117="",CTR1_Local!B117,CTR1_Local!$D117)</f>
        <v/>
      </c>
      <c r="B86" s="26" t="str">
        <f>IF(A86="","",IF(RIGHT(A86,3)="NEW","Add new / another parish",CTR1_Local!$AN117))</f>
        <v/>
      </c>
      <c r="C86" s="26" t="str">
        <f t="shared" si="1"/>
        <v/>
      </c>
      <c r="D86" s="177" t="str">
        <f>IF(A86="","",IF(RIGHT(A86,3)="NEW",CTR1_Local!$E117,IF(CTR1_Local!$AO117="change",CTR1_Local!$E117,"")))</f>
        <v/>
      </c>
      <c r="E86" t="str">
        <f>IF(CTR1_Local!$F117="","",CTR1_Local!$F117)</f>
        <v/>
      </c>
      <c r="F86" s="261" t="str">
        <f>IF(CTR1_Local!$T117="","",IF(CTR1_Local!$T117="Yes","Removed",""))</f>
        <v/>
      </c>
      <c r="G86" t="str">
        <f>IF(CTR1_Local!$N117="","",IF(F86="Removed","",CTR1_Local!$N117))</f>
        <v/>
      </c>
      <c r="H86" t="str">
        <f>IF(CTR1_Local!$P117="","",IF($F86="Removed","",CTR1_Local!$P117))</f>
        <v/>
      </c>
      <c r="I86" t="str">
        <f>IF(CTR1_Local!$R117="","",IF($F86="Removed","",CTR1_Local!$R117))</f>
        <v/>
      </c>
      <c r="J86" s="160" t="str">
        <f>CTR1_Local!$H117</f>
        <v/>
      </c>
      <c r="K86" s="340" t="str">
        <f>CTR1_Local!$J117</f>
        <v/>
      </c>
      <c r="L86" s="350" t="str">
        <f>CTR1_Local!$L117</f>
        <v/>
      </c>
      <c r="M86" s="261" t="str">
        <f>IF(CTR1_Local!$V117="","",IF(CTR1_Local!$V117="Yes","confirm",""))</f>
        <v/>
      </c>
      <c r="N86" t="str">
        <f>IF(CTR1_Local!$W117="","",CTR1_Local!$W117)</f>
        <v/>
      </c>
    </row>
    <row r="87" spans="1:14" x14ac:dyDescent="0.2">
      <c r="A87" s="287" t="str">
        <f>IF(CTR1_Local!$D118="",CTR1_Local!B118,CTR1_Local!$D118)</f>
        <v/>
      </c>
      <c r="B87" s="26" t="str">
        <f>IF(A87="","",IF(RIGHT(A87,3)="NEW","Add new / another parish",CTR1_Local!$AN118))</f>
        <v/>
      </c>
      <c r="C87" s="26" t="str">
        <f t="shared" si="1"/>
        <v/>
      </c>
      <c r="D87" s="177" t="str">
        <f>IF(A87="","",IF(RIGHT(A87,3)="NEW",CTR1_Local!$E118,IF(CTR1_Local!$AO118="change",CTR1_Local!$E118,"")))</f>
        <v/>
      </c>
      <c r="E87" t="str">
        <f>IF(CTR1_Local!$F118="","",CTR1_Local!$F118)</f>
        <v/>
      </c>
      <c r="F87" s="261" t="str">
        <f>IF(CTR1_Local!$T118="","",IF(CTR1_Local!$T118="Yes","Removed",""))</f>
        <v/>
      </c>
      <c r="G87" t="str">
        <f>IF(CTR1_Local!$N118="","",IF(F87="Removed","",CTR1_Local!$N118))</f>
        <v/>
      </c>
      <c r="H87" t="str">
        <f>IF(CTR1_Local!$P118="","",IF($F87="Removed","",CTR1_Local!$P118))</f>
        <v/>
      </c>
      <c r="I87" t="str">
        <f>IF(CTR1_Local!$R118="","",IF($F87="Removed","",CTR1_Local!$R118))</f>
        <v/>
      </c>
      <c r="J87" s="160" t="str">
        <f>CTR1_Local!$H118</f>
        <v/>
      </c>
      <c r="K87" s="340" t="str">
        <f>CTR1_Local!$J118</f>
        <v/>
      </c>
      <c r="L87" s="350" t="str">
        <f>CTR1_Local!$L118</f>
        <v/>
      </c>
      <c r="M87" s="261" t="str">
        <f>IF(CTR1_Local!$V118="","",IF(CTR1_Local!$V118="Yes","confirm",""))</f>
        <v/>
      </c>
      <c r="N87" t="str">
        <f>IF(CTR1_Local!$W118="","",CTR1_Local!$W118)</f>
        <v/>
      </c>
    </row>
    <row r="88" spans="1:14" x14ac:dyDescent="0.2">
      <c r="A88" s="287" t="str">
        <f>IF(CTR1_Local!$D119="",CTR1_Local!B119,CTR1_Local!$D119)</f>
        <v/>
      </c>
      <c r="B88" s="26" t="str">
        <f>IF(A88="","",IF(RIGHT(A88,3)="NEW","Add new / another parish",CTR1_Local!$AN119))</f>
        <v/>
      </c>
      <c r="C88" s="26" t="str">
        <f t="shared" si="1"/>
        <v/>
      </c>
      <c r="D88" s="177" t="str">
        <f>IF(A88="","",IF(RIGHT(A88,3)="NEW",CTR1_Local!$E119,IF(CTR1_Local!$AO119="change",CTR1_Local!$E119,"")))</f>
        <v/>
      </c>
      <c r="E88" t="str">
        <f>IF(CTR1_Local!$F119="","",CTR1_Local!$F119)</f>
        <v/>
      </c>
      <c r="F88" s="261" t="str">
        <f>IF(CTR1_Local!$T119="","",IF(CTR1_Local!$T119="Yes","Removed",""))</f>
        <v/>
      </c>
      <c r="G88" t="str">
        <f>IF(CTR1_Local!$N119="","",IF(F88="Removed","",CTR1_Local!$N119))</f>
        <v/>
      </c>
      <c r="H88" t="str">
        <f>IF(CTR1_Local!$P119="","",IF($F88="Removed","",CTR1_Local!$P119))</f>
        <v/>
      </c>
      <c r="I88" t="str">
        <f>IF(CTR1_Local!$R119="","",IF($F88="Removed","",CTR1_Local!$R119))</f>
        <v/>
      </c>
      <c r="J88" s="160" t="str">
        <f>CTR1_Local!$H119</f>
        <v/>
      </c>
      <c r="K88" s="340" t="str">
        <f>CTR1_Local!$J119</f>
        <v/>
      </c>
      <c r="L88" s="350" t="str">
        <f>CTR1_Local!$L119</f>
        <v/>
      </c>
      <c r="M88" s="261" t="str">
        <f>IF(CTR1_Local!$V119="","",IF(CTR1_Local!$V119="Yes","confirm",""))</f>
        <v/>
      </c>
      <c r="N88" t="str">
        <f>IF(CTR1_Local!$W119="","",CTR1_Local!$W119)</f>
        <v/>
      </c>
    </row>
    <row r="89" spans="1:14" x14ac:dyDescent="0.2">
      <c r="A89" s="287" t="str">
        <f>IF(CTR1_Local!$D120="",CTR1_Local!B120,CTR1_Local!$D120)</f>
        <v/>
      </c>
      <c r="B89" s="26" t="str">
        <f>IF(A89="","",IF(RIGHT(A89,3)="NEW","Add new / another parish",CTR1_Local!$AN120))</f>
        <v/>
      </c>
      <c r="C89" s="26" t="str">
        <f t="shared" si="1"/>
        <v/>
      </c>
      <c r="D89" s="177" t="str">
        <f>IF(A89="","",IF(RIGHT(A89,3)="NEW",CTR1_Local!$E120,IF(CTR1_Local!$AO120="change",CTR1_Local!$E120,"")))</f>
        <v/>
      </c>
      <c r="E89" t="str">
        <f>IF(CTR1_Local!$F120="","",CTR1_Local!$F120)</f>
        <v/>
      </c>
      <c r="F89" s="261" t="str">
        <f>IF(CTR1_Local!$T120="","",IF(CTR1_Local!$T120="Yes","Removed",""))</f>
        <v/>
      </c>
      <c r="G89" t="str">
        <f>IF(CTR1_Local!$N120="","",IF(F89="Removed","",CTR1_Local!$N120))</f>
        <v/>
      </c>
      <c r="H89" t="str">
        <f>IF(CTR1_Local!$P120="","",IF($F89="Removed","",CTR1_Local!$P120))</f>
        <v/>
      </c>
      <c r="I89" t="str">
        <f>IF(CTR1_Local!$R120="","",IF($F89="Removed","",CTR1_Local!$R120))</f>
        <v/>
      </c>
      <c r="J89" s="160" t="str">
        <f>CTR1_Local!$H120</f>
        <v/>
      </c>
      <c r="K89" s="340" t="str">
        <f>CTR1_Local!$J120</f>
        <v/>
      </c>
      <c r="L89" s="350" t="str">
        <f>CTR1_Local!$L120</f>
        <v/>
      </c>
      <c r="M89" s="261" t="str">
        <f>IF(CTR1_Local!$V120="","",IF(CTR1_Local!$V120="Yes","confirm",""))</f>
        <v/>
      </c>
      <c r="N89" t="str">
        <f>IF(CTR1_Local!$W120="","",CTR1_Local!$W120)</f>
        <v/>
      </c>
    </row>
    <row r="90" spans="1:14" x14ac:dyDescent="0.2">
      <c r="A90" s="287" t="str">
        <f>IF(CTR1_Local!$D121="",CTR1_Local!B121,CTR1_Local!$D121)</f>
        <v/>
      </c>
      <c r="B90" s="26" t="str">
        <f>IF(A90="","",IF(RIGHT(A90,3)="NEW","Add new / another parish",CTR1_Local!$AN121))</f>
        <v/>
      </c>
      <c r="C90" s="26" t="str">
        <f t="shared" si="1"/>
        <v/>
      </c>
      <c r="D90" s="177" t="str">
        <f>IF(A90="","",IF(RIGHT(A90,3)="NEW",CTR1_Local!$E121,IF(CTR1_Local!$AO121="change",CTR1_Local!$E121,"")))</f>
        <v/>
      </c>
      <c r="E90" t="str">
        <f>IF(CTR1_Local!$F121="","",CTR1_Local!$F121)</f>
        <v/>
      </c>
      <c r="F90" s="261" t="str">
        <f>IF(CTR1_Local!$T121="","",IF(CTR1_Local!$T121="Yes","Removed",""))</f>
        <v/>
      </c>
      <c r="G90" t="str">
        <f>IF(CTR1_Local!$N121="","",IF(F90="Removed","",CTR1_Local!$N121))</f>
        <v/>
      </c>
      <c r="H90" t="str">
        <f>IF(CTR1_Local!$P121="","",IF($F90="Removed","",CTR1_Local!$P121))</f>
        <v/>
      </c>
      <c r="I90" t="str">
        <f>IF(CTR1_Local!$R121="","",IF($F90="Removed","",CTR1_Local!$R121))</f>
        <v/>
      </c>
      <c r="J90" s="160" t="str">
        <f>CTR1_Local!$H121</f>
        <v/>
      </c>
      <c r="K90" s="340" t="str">
        <f>CTR1_Local!$J121</f>
        <v/>
      </c>
      <c r="L90" s="350" t="str">
        <f>CTR1_Local!$L121</f>
        <v/>
      </c>
      <c r="M90" s="261" t="str">
        <f>IF(CTR1_Local!$V121="","",IF(CTR1_Local!$V121="Yes","confirm",""))</f>
        <v/>
      </c>
      <c r="N90" t="str">
        <f>IF(CTR1_Local!$W121="","",CTR1_Local!$W121)</f>
        <v/>
      </c>
    </row>
    <row r="91" spans="1:14" x14ac:dyDescent="0.2">
      <c r="A91" s="287" t="str">
        <f>IF(CTR1_Local!$D122="",CTR1_Local!B122,CTR1_Local!$D122)</f>
        <v/>
      </c>
      <c r="B91" s="26" t="str">
        <f>IF(A91="","",IF(RIGHT(A91,3)="NEW","Add new / another parish",CTR1_Local!$AN122))</f>
        <v/>
      </c>
      <c r="C91" s="26" t="str">
        <f t="shared" si="1"/>
        <v/>
      </c>
      <c r="D91" s="177" t="str">
        <f>IF(A91="","",IF(RIGHT(A91,3)="NEW",CTR1_Local!$E122,IF(CTR1_Local!$AO122="change",CTR1_Local!$E122,"")))</f>
        <v/>
      </c>
      <c r="E91" t="str">
        <f>IF(CTR1_Local!$F122="","",CTR1_Local!$F122)</f>
        <v/>
      </c>
      <c r="F91" s="261" t="str">
        <f>IF(CTR1_Local!$T122="","",IF(CTR1_Local!$T122="Yes","Removed",""))</f>
        <v/>
      </c>
      <c r="G91" t="str">
        <f>IF(CTR1_Local!$N122="","",IF(F91="Removed","",CTR1_Local!$N122))</f>
        <v/>
      </c>
      <c r="H91" t="str">
        <f>IF(CTR1_Local!$P122="","",IF($F91="Removed","",CTR1_Local!$P122))</f>
        <v/>
      </c>
      <c r="I91" t="str">
        <f>IF(CTR1_Local!$R122="","",IF($F91="Removed","",CTR1_Local!$R122))</f>
        <v/>
      </c>
      <c r="J91" s="160" t="str">
        <f>CTR1_Local!$H122</f>
        <v/>
      </c>
      <c r="K91" s="340" t="str">
        <f>CTR1_Local!$J122</f>
        <v/>
      </c>
      <c r="L91" s="350" t="str">
        <f>CTR1_Local!$L122</f>
        <v/>
      </c>
      <c r="M91" s="261" t="str">
        <f>IF(CTR1_Local!$V122="","",IF(CTR1_Local!$V122="Yes","confirm",""))</f>
        <v/>
      </c>
      <c r="N91" t="str">
        <f>IF(CTR1_Local!$W122="","",CTR1_Local!$W122)</f>
        <v/>
      </c>
    </row>
    <row r="92" spans="1:14" x14ac:dyDescent="0.2">
      <c r="A92" s="287" t="str">
        <f>IF(CTR1_Local!$D123="",CTR1_Local!B123,CTR1_Local!$D123)</f>
        <v/>
      </c>
      <c r="B92" s="26" t="str">
        <f>IF(A92="","",IF(RIGHT(A92,3)="NEW","Add new / another parish",CTR1_Local!$AN123))</f>
        <v/>
      </c>
      <c r="C92" s="26" t="str">
        <f t="shared" si="1"/>
        <v/>
      </c>
      <c r="D92" s="177" t="str">
        <f>IF(A92="","",IF(RIGHT(A92,3)="NEW",CTR1_Local!$E123,IF(CTR1_Local!$AO123="change",CTR1_Local!$E123,"")))</f>
        <v/>
      </c>
      <c r="E92" t="str">
        <f>IF(CTR1_Local!$F123="","",CTR1_Local!$F123)</f>
        <v/>
      </c>
      <c r="F92" s="261" t="str">
        <f>IF(CTR1_Local!$T123="","",IF(CTR1_Local!$T123="Yes","Removed",""))</f>
        <v/>
      </c>
      <c r="G92" t="str">
        <f>IF(CTR1_Local!$N123="","",IF(F92="Removed","",CTR1_Local!$N123))</f>
        <v/>
      </c>
      <c r="H92" t="str">
        <f>IF(CTR1_Local!$P123="","",IF($F92="Removed","",CTR1_Local!$P123))</f>
        <v/>
      </c>
      <c r="I92" t="str">
        <f>IF(CTR1_Local!$R123="","",IF($F92="Removed","",CTR1_Local!$R123))</f>
        <v/>
      </c>
      <c r="J92" s="160" t="str">
        <f>CTR1_Local!$H123</f>
        <v/>
      </c>
      <c r="K92" s="340" t="str">
        <f>CTR1_Local!$J123</f>
        <v/>
      </c>
      <c r="L92" s="350" t="str">
        <f>CTR1_Local!$L123</f>
        <v/>
      </c>
      <c r="M92" s="261" t="str">
        <f>IF(CTR1_Local!$V123="","",IF(CTR1_Local!$V123="Yes","confirm",""))</f>
        <v/>
      </c>
      <c r="N92" t="str">
        <f>IF(CTR1_Local!$W123="","",CTR1_Local!$W123)</f>
        <v/>
      </c>
    </row>
    <row r="93" spans="1:14" x14ac:dyDescent="0.2">
      <c r="A93" s="287" t="str">
        <f>IF(CTR1_Local!$D124="",CTR1_Local!B124,CTR1_Local!$D124)</f>
        <v/>
      </c>
      <c r="B93" s="26" t="str">
        <f>IF(A93="","",IF(RIGHT(A93,3)="NEW","Add new / another parish",CTR1_Local!$AN124))</f>
        <v/>
      </c>
      <c r="C93" s="26" t="str">
        <f t="shared" si="1"/>
        <v/>
      </c>
      <c r="D93" s="177" t="str">
        <f>IF(A93="","",IF(RIGHT(A93,3)="NEW",CTR1_Local!$E124,IF(CTR1_Local!$AO124="change",CTR1_Local!$E124,"")))</f>
        <v/>
      </c>
      <c r="E93" t="str">
        <f>IF(CTR1_Local!$F124="","",CTR1_Local!$F124)</f>
        <v/>
      </c>
      <c r="F93" s="261" t="str">
        <f>IF(CTR1_Local!$T124="","",IF(CTR1_Local!$T124="Yes","Removed",""))</f>
        <v/>
      </c>
      <c r="G93" t="str">
        <f>IF(CTR1_Local!$N124="","",IF(F93="Removed","",CTR1_Local!$N124))</f>
        <v/>
      </c>
      <c r="H93" t="str">
        <f>IF(CTR1_Local!$P124="","",IF($F93="Removed","",CTR1_Local!$P124))</f>
        <v/>
      </c>
      <c r="I93" t="str">
        <f>IF(CTR1_Local!$R124="","",IF($F93="Removed","",CTR1_Local!$R124))</f>
        <v/>
      </c>
      <c r="J93" s="160" t="str">
        <f>CTR1_Local!$H124</f>
        <v/>
      </c>
      <c r="K93" s="340" t="str">
        <f>CTR1_Local!$J124</f>
        <v/>
      </c>
      <c r="L93" s="350" t="str">
        <f>CTR1_Local!$L124</f>
        <v/>
      </c>
      <c r="M93" s="261" t="str">
        <f>IF(CTR1_Local!$V124="","",IF(CTR1_Local!$V124="Yes","confirm",""))</f>
        <v/>
      </c>
      <c r="N93" t="str">
        <f>IF(CTR1_Local!$W124="","",CTR1_Local!$W124)</f>
        <v/>
      </c>
    </row>
    <row r="94" spans="1:14" x14ac:dyDescent="0.2">
      <c r="A94" s="287" t="str">
        <f>IF(CTR1_Local!$D125="",CTR1_Local!B125,CTR1_Local!$D125)</f>
        <v/>
      </c>
      <c r="B94" s="26" t="str">
        <f>IF(A94="","",IF(RIGHT(A94,3)="NEW","Add new / another parish",CTR1_Local!$AN125))</f>
        <v/>
      </c>
      <c r="C94" s="26" t="str">
        <f t="shared" si="1"/>
        <v/>
      </c>
      <c r="D94" s="177" t="str">
        <f>IF(A94="","",IF(RIGHT(A94,3)="NEW",CTR1_Local!$E125,IF(CTR1_Local!$AO125="change",CTR1_Local!$E125,"")))</f>
        <v/>
      </c>
      <c r="E94" t="str">
        <f>IF(CTR1_Local!$F125="","",CTR1_Local!$F125)</f>
        <v/>
      </c>
      <c r="F94" s="261" t="str">
        <f>IF(CTR1_Local!$T125="","",IF(CTR1_Local!$T125="Yes","Removed",""))</f>
        <v/>
      </c>
      <c r="G94" t="str">
        <f>IF(CTR1_Local!$N125="","",IF(F94="Removed","",CTR1_Local!$N125))</f>
        <v/>
      </c>
      <c r="H94" t="str">
        <f>IF(CTR1_Local!$P125="","",IF($F94="Removed","",CTR1_Local!$P125))</f>
        <v/>
      </c>
      <c r="I94" t="str">
        <f>IF(CTR1_Local!$R125="","",IF($F94="Removed","",CTR1_Local!$R125))</f>
        <v/>
      </c>
      <c r="J94" s="160" t="str">
        <f>CTR1_Local!$H125</f>
        <v/>
      </c>
      <c r="K94" s="340" t="str">
        <f>CTR1_Local!$J125</f>
        <v/>
      </c>
      <c r="L94" s="350" t="str">
        <f>CTR1_Local!$L125</f>
        <v/>
      </c>
      <c r="M94" s="261" t="str">
        <f>IF(CTR1_Local!$V125="","",IF(CTR1_Local!$V125="Yes","confirm",""))</f>
        <v/>
      </c>
      <c r="N94" t="str">
        <f>IF(CTR1_Local!$W125="","",CTR1_Local!$W125)</f>
        <v/>
      </c>
    </row>
    <row r="95" spans="1:14" x14ac:dyDescent="0.2">
      <c r="A95" s="287" t="str">
        <f>IF(CTR1_Local!$D126="",CTR1_Local!B126,CTR1_Local!$D126)</f>
        <v/>
      </c>
      <c r="B95" s="26" t="str">
        <f>IF(A95="","",IF(RIGHT(A95,3)="NEW","Add new / another parish",CTR1_Local!$AN126))</f>
        <v/>
      </c>
      <c r="C95" s="26" t="str">
        <f t="shared" si="1"/>
        <v/>
      </c>
      <c r="D95" s="177" t="str">
        <f>IF(A95="","",IF(RIGHT(A95,3)="NEW",CTR1_Local!$E126,IF(CTR1_Local!$AO126="change",CTR1_Local!$E126,"")))</f>
        <v/>
      </c>
      <c r="E95" t="str">
        <f>IF(CTR1_Local!$F126="","",CTR1_Local!$F126)</f>
        <v/>
      </c>
      <c r="F95" s="261" t="str">
        <f>IF(CTR1_Local!$T126="","",IF(CTR1_Local!$T126="Yes","Removed",""))</f>
        <v/>
      </c>
      <c r="G95" t="str">
        <f>IF(CTR1_Local!$N126="","",IF(F95="Removed","",CTR1_Local!$N126))</f>
        <v/>
      </c>
      <c r="H95" t="str">
        <f>IF(CTR1_Local!$P126="","",IF($F95="Removed","",CTR1_Local!$P126))</f>
        <v/>
      </c>
      <c r="I95" t="str">
        <f>IF(CTR1_Local!$R126="","",IF($F95="Removed","",CTR1_Local!$R126))</f>
        <v/>
      </c>
      <c r="J95" s="160" t="str">
        <f>CTR1_Local!$H126</f>
        <v/>
      </c>
      <c r="K95" s="340" t="str">
        <f>CTR1_Local!$J126</f>
        <v/>
      </c>
      <c r="L95" s="350" t="str">
        <f>CTR1_Local!$L126</f>
        <v/>
      </c>
      <c r="M95" s="261" t="str">
        <f>IF(CTR1_Local!$V126="","",IF(CTR1_Local!$V126="Yes","confirm",""))</f>
        <v/>
      </c>
      <c r="N95" t="str">
        <f>IF(CTR1_Local!$W126="","",CTR1_Local!$W126)</f>
        <v/>
      </c>
    </row>
    <row r="96" spans="1:14" x14ac:dyDescent="0.2">
      <c r="A96" s="287" t="str">
        <f>IF(CTR1_Local!$D127="",CTR1_Local!B127,CTR1_Local!$D127)</f>
        <v/>
      </c>
      <c r="B96" s="26" t="str">
        <f>IF(A96="","",IF(RIGHT(A96,3)="NEW","Add new / another parish",CTR1_Local!$AN127))</f>
        <v/>
      </c>
      <c r="C96" s="26" t="str">
        <f t="shared" si="1"/>
        <v/>
      </c>
      <c r="D96" s="177" t="str">
        <f>IF(A96="","",IF(RIGHT(A96,3)="NEW",CTR1_Local!$E127,IF(CTR1_Local!$AO127="change",CTR1_Local!$E127,"")))</f>
        <v/>
      </c>
      <c r="E96" t="str">
        <f>IF(CTR1_Local!$F127="","",CTR1_Local!$F127)</f>
        <v/>
      </c>
      <c r="F96" s="261" t="str">
        <f>IF(CTR1_Local!$T127="","",IF(CTR1_Local!$T127="Yes","Removed",""))</f>
        <v/>
      </c>
      <c r="G96" t="str">
        <f>IF(CTR1_Local!$N127="","",IF(F96="Removed","",CTR1_Local!$N127))</f>
        <v/>
      </c>
      <c r="H96" t="str">
        <f>IF(CTR1_Local!$P127="","",IF($F96="Removed","",CTR1_Local!$P127))</f>
        <v/>
      </c>
      <c r="I96" t="str">
        <f>IF(CTR1_Local!$R127="","",IF($F96="Removed","",CTR1_Local!$R127))</f>
        <v/>
      </c>
      <c r="J96" s="160" t="str">
        <f>CTR1_Local!$H127</f>
        <v/>
      </c>
      <c r="K96" s="340" t="str">
        <f>CTR1_Local!$J127</f>
        <v/>
      </c>
      <c r="L96" s="350" t="str">
        <f>CTR1_Local!$L127</f>
        <v/>
      </c>
      <c r="M96" s="261" t="str">
        <f>IF(CTR1_Local!$V127="","",IF(CTR1_Local!$V127="Yes","confirm",""))</f>
        <v/>
      </c>
      <c r="N96" t="str">
        <f>IF(CTR1_Local!$W127="","",CTR1_Local!$W127)</f>
        <v/>
      </c>
    </row>
    <row r="97" spans="1:14" x14ac:dyDescent="0.2">
      <c r="A97" s="287" t="str">
        <f>IF(CTR1_Local!$D128="",CTR1_Local!B128,CTR1_Local!$D128)</f>
        <v/>
      </c>
      <c r="B97" s="26" t="str">
        <f>IF(A97="","",IF(RIGHT(A97,3)="NEW","Add new / another parish",CTR1_Local!$AN128))</f>
        <v/>
      </c>
      <c r="C97" s="26" t="str">
        <f t="shared" si="1"/>
        <v/>
      </c>
      <c r="D97" s="177" t="str">
        <f>IF(A97="","",IF(RIGHT(A97,3)="NEW",CTR1_Local!$E128,IF(CTR1_Local!$AO128="change",CTR1_Local!$E128,"")))</f>
        <v/>
      </c>
      <c r="E97" t="str">
        <f>IF(CTR1_Local!$F128="","",CTR1_Local!$F128)</f>
        <v/>
      </c>
      <c r="F97" s="261" t="str">
        <f>IF(CTR1_Local!$T128="","",IF(CTR1_Local!$T128="Yes","Removed",""))</f>
        <v/>
      </c>
      <c r="G97" t="str">
        <f>IF(CTR1_Local!$N128="","",IF(F97="Removed","",CTR1_Local!$N128))</f>
        <v/>
      </c>
      <c r="H97" t="str">
        <f>IF(CTR1_Local!$P128="","",IF($F97="Removed","",CTR1_Local!$P128))</f>
        <v/>
      </c>
      <c r="I97" t="str">
        <f>IF(CTR1_Local!$R128="","",IF($F97="Removed","",CTR1_Local!$R128))</f>
        <v/>
      </c>
      <c r="J97" s="160" t="str">
        <f>CTR1_Local!$H128</f>
        <v/>
      </c>
      <c r="K97" s="340" t="str">
        <f>CTR1_Local!$J128</f>
        <v/>
      </c>
      <c r="L97" s="350" t="str">
        <f>CTR1_Local!$L128</f>
        <v/>
      </c>
      <c r="M97" s="261" t="str">
        <f>IF(CTR1_Local!$V128="","",IF(CTR1_Local!$V128="Yes","confirm",""))</f>
        <v/>
      </c>
      <c r="N97" t="str">
        <f>IF(CTR1_Local!$W128="","",CTR1_Local!$W128)</f>
        <v/>
      </c>
    </row>
    <row r="98" spans="1:14" x14ac:dyDescent="0.2">
      <c r="A98" s="287" t="str">
        <f>IF(CTR1_Local!$D129="",CTR1_Local!B129,CTR1_Local!$D129)</f>
        <v/>
      </c>
      <c r="B98" s="26" t="str">
        <f>IF(A98="","",IF(RIGHT(A98,3)="NEW","Add new / another parish",CTR1_Local!$AN129))</f>
        <v/>
      </c>
      <c r="C98" s="26" t="str">
        <f t="shared" si="1"/>
        <v/>
      </c>
      <c r="D98" s="177" t="str">
        <f>IF(A98="","",IF(RIGHT(A98,3)="NEW",CTR1_Local!$E129,IF(CTR1_Local!$AO129="change",CTR1_Local!$E129,"")))</f>
        <v/>
      </c>
      <c r="E98" t="str">
        <f>IF(CTR1_Local!$F129="","",CTR1_Local!$F129)</f>
        <v/>
      </c>
      <c r="F98" s="261" t="str">
        <f>IF(CTR1_Local!$T129="","",IF(CTR1_Local!$T129="Yes","Removed",""))</f>
        <v/>
      </c>
      <c r="G98" t="str">
        <f>IF(CTR1_Local!$N129="","",IF(F98="Removed","",CTR1_Local!$N129))</f>
        <v/>
      </c>
      <c r="H98" t="str">
        <f>IF(CTR1_Local!$P129="","",IF($F98="Removed","",CTR1_Local!$P129))</f>
        <v/>
      </c>
      <c r="I98" t="str">
        <f>IF(CTR1_Local!$R129="","",IF($F98="Removed","",CTR1_Local!$R129))</f>
        <v/>
      </c>
      <c r="J98" s="160" t="str">
        <f>CTR1_Local!$H129</f>
        <v/>
      </c>
      <c r="K98" s="340" t="str">
        <f>CTR1_Local!$J129</f>
        <v/>
      </c>
      <c r="L98" s="350" t="str">
        <f>CTR1_Local!$L129</f>
        <v/>
      </c>
      <c r="M98" s="261" t="str">
        <f>IF(CTR1_Local!$V129="","",IF(CTR1_Local!$V129="Yes","confirm",""))</f>
        <v/>
      </c>
      <c r="N98" t="str">
        <f>IF(CTR1_Local!$W129="","",CTR1_Local!$W129)</f>
        <v/>
      </c>
    </row>
    <row r="99" spans="1:14" x14ac:dyDescent="0.2">
      <c r="A99" s="287" t="str">
        <f>IF(CTR1_Local!$D130="",CTR1_Local!B130,CTR1_Local!$D130)</f>
        <v/>
      </c>
      <c r="B99" s="26" t="str">
        <f>IF(A99="","",IF(RIGHT(A99,3)="NEW","Add new / another parish",CTR1_Local!$AN130))</f>
        <v/>
      </c>
      <c r="C99" s="26" t="str">
        <f t="shared" si="1"/>
        <v/>
      </c>
      <c r="D99" s="177" t="str">
        <f>IF(A99="","",IF(RIGHT(A99,3)="NEW",CTR1_Local!$E130,IF(CTR1_Local!$AO130="change",CTR1_Local!$E130,"")))</f>
        <v/>
      </c>
      <c r="E99" t="str">
        <f>IF(CTR1_Local!$F130="","",CTR1_Local!$F130)</f>
        <v/>
      </c>
      <c r="F99" s="261" t="str">
        <f>IF(CTR1_Local!$T130="","",IF(CTR1_Local!$T130="Yes","Removed",""))</f>
        <v/>
      </c>
      <c r="G99" t="str">
        <f>IF(CTR1_Local!$N130="","",IF(F99="Removed","",CTR1_Local!$N130))</f>
        <v/>
      </c>
      <c r="H99" t="str">
        <f>IF(CTR1_Local!$P130="","",IF($F99="Removed","",CTR1_Local!$P130))</f>
        <v/>
      </c>
      <c r="I99" t="str">
        <f>IF(CTR1_Local!$R130="","",IF($F99="Removed","",CTR1_Local!$R130))</f>
        <v/>
      </c>
      <c r="J99" s="160" t="str">
        <f>CTR1_Local!$H130</f>
        <v/>
      </c>
      <c r="K99" s="340" t="str">
        <f>CTR1_Local!$J130</f>
        <v/>
      </c>
      <c r="L99" s="350" t="str">
        <f>CTR1_Local!$L130</f>
        <v/>
      </c>
      <c r="M99" s="261" t="str">
        <f>IF(CTR1_Local!$V130="","",IF(CTR1_Local!$V130="Yes","confirm",""))</f>
        <v/>
      </c>
      <c r="N99" t="str">
        <f>IF(CTR1_Local!$W130="","",CTR1_Local!$W130)</f>
        <v/>
      </c>
    </row>
    <row r="100" spans="1:14" x14ac:dyDescent="0.2">
      <c r="A100" s="287" t="str">
        <f>IF(CTR1_Local!$D131="",CTR1_Local!B131,CTR1_Local!$D131)</f>
        <v/>
      </c>
      <c r="B100" s="26" t="str">
        <f>IF(A100="","",IF(RIGHT(A100,3)="NEW","Add new / another parish",CTR1_Local!$AN131))</f>
        <v/>
      </c>
      <c r="C100" s="26" t="str">
        <f t="shared" si="1"/>
        <v/>
      </c>
      <c r="D100" s="177" t="str">
        <f>IF(A100="","",IF(RIGHT(A100,3)="NEW",CTR1_Local!$E131,IF(CTR1_Local!$AO131="change",CTR1_Local!$E131,"")))</f>
        <v/>
      </c>
      <c r="E100" t="str">
        <f>IF(CTR1_Local!$F131="","",CTR1_Local!$F131)</f>
        <v/>
      </c>
      <c r="F100" s="261" t="str">
        <f>IF(CTR1_Local!$T131="","",IF(CTR1_Local!$T131="Yes","Removed",""))</f>
        <v/>
      </c>
      <c r="G100" t="str">
        <f>IF(CTR1_Local!$N131="","",IF(F100="Removed","",CTR1_Local!$N131))</f>
        <v/>
      </c>
      <c r="H100" t="str">
        <f>IF(CTR1_Local!$P131="","",IF($F100="Removed","",CTR1_Local!$P131))</f>
        <v/>
      </c>
      <c r="I100" t="str">
        <f>IF(CTR1_Local!$R131="","",IF($F100="Removed","",CTR1_Local!$R131))</f>
        <v/>
      </c>
      <c r="J100" s="160" t="str">
        <f>CTR1_Local!$H131</f>
        <v/>
      </c>
      <c r="K100" s="340" t="str">
        <f>CTR1_Local!$J131</f>
        <v/>
      </c>
      <c r="L100" s="350" t="str">
        <f>CTR1_Local!$L131</f>
        <v/>
      </c>
      <c r="M100" s="261" t="str">
        <f>IF(CTR1_Local!$V131="","",IF(CTR1_Local!$V131="Yes","confirm",""))</f>
        <v/>
      </c>
      <c r="N100" t="str">
        <f>IF(CTR1_Local!$W131="","",CTR1_Local!$W131)</f>
        <v/>
      </c>
    </row>
    <row r="101" spans="1:14" x14ac:dyDescent="0.2">
      <c r="A101" s="287" t="str">
        <f>IF(CTR1_Local!$D132="",CTR1_Local!B132,CTR1_Local!$D132)</f>
        <v/>
      </c>
      <c r="B101" s="26" t="str">
        <f>IF(A101="","",IF(RIGHT(A101,3)="NEW","Add new / another parish",CTR1_Local!$AN132))</f>
        <v/>
      </c>
      <c r="C101" s="26" t="str">
        <f t="shared" si="1"/>
        <v/>
      </c>
      <c r="D101" s="177" t="str">
        <f>IF(A101="","",IF(RIGHT(A101,3)="NEW",CTR1_Local!$E132,IF(CTR1_Local!$AO132="change",CTR1_Local!$E132,"")))</f>
        <v/>
      </c>
      <c r="E101" t="str">
        <f>IF(CTR1_Local!$F132="","",CTR1_Local!$F132)</f>
        <v/>
      </c>
      <c r="F101" s="261" t="str">
        <f>IF(CTR1_Local!$T132="","",IF(CTR1_Local!$T132="Yes","Removed",""))</f>
        <v/>
      </c>
      <c r="G101" t="str">
        <f>IF(CTR1_Local!$N132="","",IF(F101="Removed","",CTR1_Local!$N132))</f>
        <v/>
      </c>
      <c r="H101" t="str">
        <f>IF(CTR1_Local!$P132="","",IF($F101="Removed","",CTR1_Local!$P132))</f>
        <v/>
      </c>
      <c r="I101" t="str">
        <f>IF(CTR1_Local!$R132="","",IF($F101="Removed","",CTR1_Local!$R132))</f>
        <v/>
      </c>
      <c r="J101" s="160" t="str">
        <f>CTR1_Local!$H132</f>
        <v/>
      </c>
      <c r="K101" s="340" t="str">
        <f>CTR1_Local!$J132</f>
        <v/>
      </c>
      <c r="L101" s="350" t="str">
        <f>CTR1_Local!$L132</f>
        <v/>
      </c>
      <c r="M101" s="261" t="str">
        <f>IF(CTR1_Local!$V132="","",IF(CTR1_Local!$V132="Yes","confirm",""))</f>
        <v/>
      </c>
      <c r="N101" t="str">
        <f>IF(CTR1_Local!$W132="","",CTR1_Local!$W132)</f>
        <v/>
      </c>
    </row>
    <row r="102" spans="1:14" x14ac:dyDescent="0.2">
      <c r="A102" s="287" t="str">
        <f>IF(CTR1_Local!$D133="",CTR1_Local!B133,CTR1_Local!$D133)</f>
        <v/>
      </c>
      <c r="B102" s="26" t="str">
        <f>IF(A102="","",IF(RIGHT(A102,3)="NEW","Add new / another parish",CTR1_Local!$AN133))</f>
        <v/>
      </c>
      <c r="C102" s="26" t="str">
        <f t="shared" si="1"/>
        <v/>
      </c>
      <c r="D102" s="177" t="str">
        <f>IF(A102="","",IF(RIGHT(A102,3)="NEW",CTR1_Local!$E133,IF(CTR1_Local!$AO133="change",CTR1_Local!$E133,"")))</f>
        <v/>
      </c>
      <c r="E102" t="str">
        <f>IF(CTR1_Local!$F133="","",CTR1_Local!$F133)</f>
        <v/>
      </c>
      <c r="F102" s="261" t="str">
        <f>IF(CTR1_Local!$T133="","",IF(CTR1_Local!$T133="Yes","Removed",""))</f>
        <v/>
      </c>
      <c r="G102" t="str">
        <f>IF(CTR1_Local!$N133="","",IF(F102="Removed","",CTR1_Local!$N133))</f>
        <v/>
      </c>
      <c r="H102" t="str">
        <f>IF(CTR1_Local!$P133="","",IF($F102="Removed","",CTR1_Local!$P133))</f>
        <v/>
      </c>
      <c r="I102" t="str">
        <f>IF(CTR1_Local!$R133="","",IF($F102="Removed","",CTR1_Local!$R133))</f>
        <v/>
      </c>
      <c r="J102" s="160" t="str">
        <f>CTR1_Local!$H133</f>
        <v/>
      </c>
      <c r="K102" s="340" t="str">
        <f>CTR1_Local!$J133</f>
        <v/>
      </c>
      <c r="L102" s="350" t="str">
        <f>CTR1_Local!$L133</f>
        <v/>
      </c>
      <c r="M102" s="261" t="str">
        <f>IF(CTR1_Local!$V133="","",IF(CTR1_Local!$V133="Yes","confirm",""))</f>
        <v/>
      </c>
      <c r="N102" t="str">
        <f>IF(CTR1_Local!$W133="","",CTR1_Local!$W133)</f>
        <v/>
      </c>
    </row>
    <row r="103" spans="1:14" x14ac:dyDescent="0.2">
      <c r="A103" s="287" t="str">
        <f>IF(CTR1_Local!$D134="",CTR1_Local!B134,CTR1_Local!$D134)</f>
        <v/>
      </c>
      <c r="B103" s="26" t="str">
        <f>IF(A103="","",IF(RIGHT(A103,3)="NEW","Add new / another parish",CTR1_Local!$AN134))</f>
        <v/>
      </c>
      <c r="C103" s="26" t="str">
        <f t="shared" si="1"/>
        <v/>
      </c>
      <c r="D103" s="177" t="str">
        <f>IF(A103="","",IF(RIGHT(A103,3)="NEW",CTR1_Local!$E134,IF(CTR1_Local!$AO134="change",CTR1_Local!$E134,"")))</f>
        <v/>
      </c>
      <c r="E103" t="str">
        <f>IF(CTR1_Local!$F134="","",CTR1_Local!$F134)</f>
        <v/>
      </c>
      <c r="F103" s="261" t="str">
        <f>IF(CTR1_Local!$T134="","",IF(CTR1_Local!$T134="Yes","Removed",""))</f>
        <v/>
      </c>
      <c r="G103" t="str">
        <f>IF(CTR1_Local!$N134="","",IF(F103="Removed","",CTR1_Local!$N134))</f>
        <v/>
      </c>
      <c r="H103" t="str">
        <f>IF(CTR1_Local!$P134="","",IF($F103="Removed","",CTR1_Local!$P134))</f>
        <v/>
      </c>
      <c r="I103" t="str">
        <f>IF(CTR1_Local!$R134="","",IF($F103="Removed","",CTR1_Local!$R134))</f>
        <v/>
      </c>
      <c r="J103" s="160" t="str">
        <f>CTR1_Local!$H134</f>
        <v/>
      </c>
      <c r="K103" s="340" t="str">
        <f>CTR1_Local!$J134</f>
        <v/>
      </c>
      <c r="L103" s="350" t="str">
        <f>CTR1_Local!$L134</f>
        <v/>
      </c>
      <c r="M103" s="261" t="str">
        <f>IF(CTR1_Local!$V134="","",IF(CTR1_Local!$V134="Yes","confirm",""))</f>
        <v/>
      </c>
      <c r="N103" t="str">
        <f>IF(CTR1_Local!$W134="","",CTR1_Local!$W134)</f>
        <v/>
      </c>
    </row>
    <row r="104" spans="1:14" x14ac:dyDescent="0.2">
      <c r="A104" s="287" t="str">
        <f>IF(CTR1_Local!$D135="",CTR1_Local!B135,CTR1_Local!$D135)</f>
        <v/>
      </c>
      <c r="B104" s="26" t="str">
        <f>IF(A104="","",IF(RIGHT(A104,3)="NEW","Add new / another parish",CTR1_Local!$AN135))</f>
        <v/>
      </c>
      <c r="C104" s="26" t="str">
        <f t="shared" si="1"/>
        <v/>
      </c>
      <c r="D104" s="177" t="str">
        <f>IF(A104="","",IF(RIGHT(A104,3)="NEW",CTR1_Local!$E135,IF(CTR1_Local!$AO135="change",CTR1_Local!$E135,"")))</f>
        <v/>
      </c>
      <c r="E104" t="str">
        <f>IF(CTR1_Local!$F135="","",CTR1_Local!$F135)</f>
        <v/>
      </c>
      <c r="F104" s="261" t="str">
        <f>IF(CTR1_Local!$T135="","",IF(CTR1_Local!$T135="Yes","Removed",""))</f>
        <v/>
      </c>
      <c r="G104" t="str">
        <f>IF(CTR1_Local!$N135="","",IF(F104="Removed","",CTR1_Local!$N135))</f>
        <v/>
      </c>
      <c r="H104" t="str">
        <f>IF(CTR1_Local!$P135="","",IF($F104="Removed","",CTR1_Local!$P135))</f>
        <v/>
      </c>
      <c r="I104" t="str">
        <f>IF(CTR1_Local!$R135="","",IF($F104="Removed","",CTR1_Local!$R135))</f>
        <v/>
      </c>
      <c r="J104" s="160" t="str">
        <f>CTR1_Local!$H135</f>
        <v/>
      </c>
      <c r="K104" s="340" t="str">
        <f>CTR1_Local!$J135</f>
        <v/>
      </c>
      <c r="L104" s="350" t="str">
        <f>CTR1_Local!$L135</f>
        <v/>
      </c>
      <c r="M104" s="261" t="str">
        <f>IF(CTR1_Local!$V135="","",IF(CTR1_Local!$V135="Yes","confirm",""))</f>
        <v/>
      </c>
      <c r="N104" t="str">
        <f>IF(CTR1_Local!$W135="","",CTR1_Local!$W135)</f>
        <v/>
      </c>
    </row>
    <row r="105" spans="1:14" x14ac:dyDescent="0.2">
      <c r="A105" s="287" t="str">
        <f>IF(CTR1_Local!$D136="",CTR1_Local!B136,CTR1_Local!$D136)</f>
        <v/>
      </c>
      <c r="B105" s="26" t="str">
        <f>IF(A105="","",IF(RIGHT(A105,3)="NEW","Add new / another parish",CTR1_Local!$AN136))</f>
        <v/>
      </c>
      <c r="C105" s="26" t="str">
        <f t="shared" si="1"/>
        <v/>
      </c>
      <c r="D105" s="177" t="str">
        <f>IF(A105="","",IF(RIGHT(A105,3)="NEW",CTR1_Local!$E136,IF(CTR1_Local!$AO136="change",CTR1_Local!$E136,"")))</f>
        <v/>
      </c>
      <c r="E105" t="str">
        <f>IF(CTR1_Local!$F136="","",CTR1_Local!$F136)</f>
        <v/>
      </c>
      <c r="F105" s="261" t="str">
        <f>IF(CTR1_Local!$T136="","",IF(CTR1_Local!$T136="Yes","Removed",""))</f>
        <v/>
      </c>
      <c r="G105" t="str">
        <f>IF(CTR1_Local!$N136="","",IF(F105="Removed","",CTR1_Local!$N136))</f>
        <v/>
      </c>
      <c r="H105" t="str">
        <f>IF(CTR1_Local!$P136="","",IF($F105="Removed","",CTR1_Local!$P136))</f>
        <v/>
      </c>
      <c r="I105" t="str">
        <f>IF(CTR1_Local!$R136="","",IF($F105="Removed","",CTR1_Local!$R136))</f>
        <v/>
      </c>
      <c r="J105" s="160" t="str">
        <f>CTR1_Local!$H136</f>
        <v/>
      </c>
      <c r="K105" s="340" t="str">
        <f>CTR1_Local!$J136</f>
        <v/>
      </c>
      <c r="L105" s="350" t="str">
        <f>CTR1_Local!$L136</f>
        <v/>
      </c>
      <c r="M105" s="261" t="str">
        <f>IF(CTR1_Local!$V136="","",IF(CTR1_Local!$V136="Yes","confirm",""))</f>
        <v/>
      </c>
      <c r="N105" t="str">
        <f>IF(CTR1_Local!$W136="","",CTR1_Local!$W136)</f>
        <v/>
      </c>
    </row>
    <row r="106" spans="1:14" x14ac:dyDescent="0.2">
      <c r="A106" s="287" t="str">
        <f>IF(CTR1_Local!$D137="",CTR1_Local!B137,CTR1_Local!$D137)</f>
        <v/>
      </c>
      <c r="B106" s="26" t="str">
        <f>IF(A106="","",IF(RIGHT(A106,3)="NEW","Add new / another parish",CTR1_Local!$AN137))</f>
        <v/>
      </c>
      <c r="C106" s="26" t="str">
        <f t="shared" si="1"/>
        <v/>
      </c>
      <c r="D106" s="177" t="str">
        <f>IF(A106="","",IF(RIGHT(A106,3)="NEW",CTR1_Local!$E137,IF(CTR1_Local!$AO137="change",CTR1_Local!$E137,"")))</f>
        <v/>
      </c>
      <c r="E106" t="str">
        <f>IF(CTR1_Local!$F137="","",CTR1_Local!$F137)</f>
        <v/>
      </c>
      <c r="F106" s="261" t="str">
        <f>IF(CTR1_Local!$T137="","",IF(CTR1_Local!$T137="Yes","Removed",""))</f>
        <v/>
      </c>
      <c r="G106" t="str">
        <f>IF(CTR1_Local!$N137="","",IF(F106="Removed","",CTR1_Local!$N137))</f>
        <v/>
      </c>
      <c r="H106" t="str">
        <f>IF(CTR1_Local!$P137="","",IF($F106="Removed","",CTR1_Local!$P137))</f>
        <v/>
      </c>
      <c r="I106" t="str">
        <f>IF(CTR1_Local!$R137="","",IF($F106="Removed","",CTR1_Local!$R137))</f>
        <v/>
      </c>
      <c r="J106" s="160" t="str">
        <f>CTR1_Local!$H137</f>
        <v/>
      </c>
      <c r="K106" s="340" t="str">
        <f>CTR1_Local!$J137</f>
        <v/>
      </c>
      <c r="L106" s="350" t="str">
        <f>CTR1_Local!$L137</f>
        <v/>
      </c>
      <c r="M106" s="261" t="str">
        <f>IF(CTR1_Local!$V137="","",IF(CTR1_Local!$V137="Yes","confirm",""))</f>
        <v/>
      </c>
      <c r="N106" t="str">
        <f>IF(CTR1_Local!$W137="","",CTR1_Local!$W137)</f>
        <v/>
      </c>
    </row>
    <row r="107" spans="1:14" x14ac:dyDescent="0.2">
      <c r="A107" s="287" t="str">
        <f>IF(CTR1_Local!$D138="",CTR1_Local!B138,CTR1_Local!$D138)</f>
        <v/>
      </c>
      <c r="B107" s="26" t="str">
        <f>IF(A107="","",IF(RIGHT(A107,3)="NEW","Add new / another parish",CTR1_Local!$AN138))</f>
        <v/>
      </c>
      <c r="C107" s="26" t="str">
        <f t="shared" si="1"/>
        <v/>
      </c>
      <c r="D107" s="177" t="str">
        <f>IF(A107="","",IF(RIGHT(A107,3)="NEW",CTR1_Local!$E138,IF(CTR1_Local!$AO138="change",CTR1_Local!$E138,"")))</f>
        <v/>
      </c>
      <c r="E107" t="str">
        <f>IF(CTR1_Local!$F138="","",CTR1_Local!$F138)</f>
        <v/>
      </c>
      <c r="F107" s="261" t="str">
        <f>IF(CTR1_Local!$T138="","",IF(CTR1_Local!$T138="Yes","Removed",""))</f>
        <v/>
      </c>
      <c r="G107" t="str">
        <f>IF(CTR1_Local!$N138="","",IF(F107="Removed","",CTR1_Local!$N138))</f>
        <v/>
      </c>
      <c r="H107" t="str">
        <f>IF(CTR1_Local!$P138="","",IF($F107="Removed","",CTR1_Local!$P138))</f>
        <v/>
      </c>
      <c r="I107" t="str">
        <f>IF(CTR1_Local!$R138="","",IF($F107="Removed","",CTR1_Local!$R138))</f>
        <v/>
      </c>
      <c r="J107" s="160" t="str">
        <f>CTR1_Local!$H138</f>
        <v/>
      </c>
      <c r="K107" s="340" t="str">
        <f>CTR1_Local!$J138</f>
        <v/>
      </c>
      <c r="L107" s="350" t="str">
        <f>CTR1_Local!$L138</f>
        <v/>
      </c>
      <c r="M107" s="261" t="str">
        <f>IF(CTR1_Local!$V138="","",IF(CTR1_Local!$V138="Yes","confirm",""))</f>
        <v/>
      </c>
      <c r="N107" t="str">
        <f>IF(CTR1_Local!$W138="","",CTR1_Local!$W138)</f>
        <v/>
      </c>
    </row>
    <row r="108" spans="1:14" x14ac:dyDescent="0.2">
      <c r="A108" s="287" t="str">
        <f>IF(CTR1_Local!$D139="",CTR1_Local!B139,CTR1_Local!$D139)</f>
        <v/>
      </c>
      <c r="B108" s="26" t="str">
        <f>IF(A108="","",IF(RIGHT(A108,3)="NEW","Add new / another parish",CTR1_Local!$AN139))</f>
        <v/>
      </c>
      <c r="C108" s="26" t="str">
        <f t="shared" si="1"/>
        <v/>
      </c>
      <c r="D108" s="177" t="str">
        <f>IF(A108="","",IF(RIGHT(A108,3)="NEW",CTR1_Local!$E139,IF(CTR1_Local!$AO139="change",CTR1_Local!$E139,"")))</f>
        <v/>
      </c>
      <c r="E108" t="str">
        <f>IF(CTR1_Local!$F139="","",CTR1_Local!$F139)</f>
        <v/>
      </c>
      <c r="F108" s="261" t="str">
        <f>IF(CTR1_Local!$T139="","",IF(CTR1_Local!$T139="Yes","Removed",""))</f>
        <v/>
      </c>
      <c r="G108" t="str">
        <f>IF(CTR1_Local!$N139="","",IF(F108="Removed","",CTR1_Local!$N139))</f>
        <v/>
      </c>
      <c r="H108" t="str">
        <f>IF(CTR1_Local!$P139="","",IF($F108="Removed","",CTR1_Local!$P139))</f>
        <v/>
      </c>
      <c r="I108" t="str">
        <f>IF(CTR1_Local!$R139="","",IF($F108="Removed","",CTR1_Local!$R139))</f>
        <v/>
      </c>
      <c r="J108" s="160" t="str">
        <f>CTR1_Local!$H139</f>
        <v/>
      </c>
      <c r="K108" s="340" t="str">
        <f>CTR1_Local!$J139</f>
        <v/>
      </c>
      <c r="L108" s="350" t="str">
        <f>CTR1_Local!$L139</f>
        <v/>
      </c>
      <c r="M108" s="261" t="str">
        <f>IF(CTR1_Local!$V139="","",IF(CTR1_Local!$V139="Yes","confirm",""))</f>
        <v/>
      </c>
      <c r="N108" t="str">
        <f>IF(CTR1_Local!$W139="","",CTR1_Local!$W139)</f>
        <v/>
      </c>
    </row>
    <row r="109" spans="1:14" x14ac:dyDescent="0.2">
      <c r="A109" s="287" t="str">
        <f>IF(CTR1_Local!$D140="",CTR1_Local!B140,CTR1_Local!$D140)</f>
        <v/>
      </c>
      <c r="B109" s="26" t="str">
        <f>IF(A109="","",IF(RIGHT(A109,3)="NEW","Add new / another parish",CTR1_Local!$AN140))</f>
        <v/>
      </c>
      <c r="C109" s="26" t="str">
        <f t="shared" si="1"/>
        <v/>
      </c>
      <c r="D109" s="177" t="str">
        <f>IF(A109="","",IF(RIGHT(A109,3)="NEW",CTR1_Local!$E140,IF(CTR1_Local!$AO140="change",CTR1_Local!$E140,"")))</f>
        <v/>
      </c>
      <c r="E109" t="str">
        <f>IF(CTR1_Local!$F140="","",CTR1_Local!$F140)</f>
        <v/>
      </c>
      <c r="F109" s="261" t="str">
        <f>IF(CTR1_Local!$T140="","",IF(CTR1_Local!$T140="Yes","Removed",""))</f>
        <v/>
      </c>
      <c r="G109" t="str">
        <f>IF(CTR1_Local!$N140="","",IF(F109="Removed","",CTR1_Local!$N140))</f>
        <v/>
      </c>
      <c r="H109" t="str">
        <f>IF(CTR1_Local!$P140="","",IF($F109="Removed","",CTR1_Local!$P140))</f>
        <v/>
      </c>
      <c r="I109" t="str">
        <f>IF(CTR1_Local!$R140="","",IF($F109="Removed","",CTR1_Local!$R140))</f>
        <v/>
      </c>
      <c r="J109" s="160" t="str">
        <f>CTR1_Local!$H140</f>
        <v/>
      </c>
      <c r="K109" s="340" t="str">
        <f>CTR1_Local!$J140</f>
        <v/>
      </c>
      <c r="L109" s="350" t="str">
        <f>CTR1_Local!$L140</f>
        <v/>
      </c>
      <c r="M109" s="261" t="str">
        <f>IF(CTR1_Local!$V140="","",IF(CTR1_Local!$V140="Yes","confirm",""))</f>
        <v/>
      </c>
      <c r="N109" t="str">
        <f>IF(CTR1_Local!$W140="","",CTR1_Local!$W140)</f>
        <v/>
      </c>
    </row>
    <row r="110" spans="1:14" x14ac:dyDescent="0.2">
      <c r="A110" s="287" t="str">
        <f>IF(CTR1_Local!$D141="",CTR1_Local!B141,CTR1_Local!$D141)</f>
        <v/>
      </c>
      <c r="B110" s="26" t="str">
        <f>IF(A110="","",IF(RIGHT(A110,3)="NEW","Add new / another parish",CTR1_Local!$AN141))</f>
        <v/>
      </c>
      <c r="C110" s="26" t="str">
        <f t="shared" si="1"/>
        <v/>
      </c>
      <c r="D110" s="177" t="str">
        <f>IF(A110="","",IF(RIGHT(A110,3)="NEW",CTR1_Local!$E141,IF(CTR1_Local!$AO141="change",CTR1_Local!$E141,"")))</f>
        <v/>
      </c>
      <c r="E110" t="str">
        <f>IF(CTR1_Local!$F141="","",CTR1_Local!$F141)</f>
        <v/>
      </c>
      <c r="F110" s="261" t="str">
        <f>IF(CTR1_Local!$T141="","",IF(CTR1_Local!$T141="Yes","Removed",""))</f>
        <v/>
      </c>
      <c r="G110" t="str">
        <f>IF(CTR1_Local!$N141="","",IF(F110="Removed","",CTR1_Local!$N141))</f>
        <v/>
      </c>
      <c r="H110" t="str">
        <f>IF(CTR1_Local!$P141="","",IF($F110="Removed","",CTR1_Local!$P141))</f>
        <v/>
      </c>
      <c r="I110" t="str">
        <f>IF(CTR1_Local!$R141="","",IF($F110="Removed","",CTR1_Local!$R141))</f>
        <v/>
      </c>
      <c r="J110" s="160" t="str">
        <f>CTR1_Local!$H141</f>
        <v/>
      </c>
      <c r="K110" s="340" t="str">
        <f>CTR1_Local!$J141</f>
        <v/>
      </c>
      <c r="L110" s="350" t="str">
        <f>CTR1_Local!$L141</f>
        <v/>
      </c>
      <c r="M110" s="261" t="str">
        <f>IF(CTR1_Local!$V141="","",IF(CTR1_Local!$V141="Yes","confirm",""))</f>
        <v/>
      </c>
      <c r="N110" t="str">
        <f>IF(CTR1_Local!$W141="","",CTR1_Local!$W141)</f>
        <v/>
      </c>
    </row>
    <row r="111" spans="1:14" x14ac:dyDescent="0.2">
      <c r="A111" s="287" t="str">
        <f>IF(CTR1_Local!$D142="",CTR1_Local!B142,CTR1_Local!$D142)</f>
        <v/>
      </c>
      <c r="B111" s="26" t="str">
        <f>IF(A111="","",IF(RIGHT(A111,3)="NEW","Add new / another parish",CTR1_Local!$AN142))</f>
        <v/>
      </c>
      <c r="C111" s="26" t="str">
        <f t="shared" si="1"/>
        <v/>
      </c>
      <c r="D111" s="177" t="str">
        <f>IF(A111="","",IF(RIGHT(A111,3)="NEW",CTR1_Local!$E142,IF(CTR1_Local!$AO142="change",CTR1_Local!$E142,"")))</f>
        <v/>
      </c>
      <c r="E111" t="str">
        <f>IF(CTR1_Local!$F142="","",CTR1_Local!$F142)</f>
        <v/>
      </c>
      <c r="F111" s="261" t="str">
        <f>IF(CTR1_Local!$T142="","",IF(CTR1_Local!$T142="Yes","Removed",""))</f>
        <v/>
      </c>
      <c r="G111" t="str">
        <f>IF(CTR1_Local!$N142="","",IF(F111="Removed","",CTR1_Local!$N142))</f>
        <v/>
      </c>
      <c r="H111" t="str">
        <f>IF(CTR1_Local!$P142="","",IF($F111="Removed","",CTR1_Local!$P142))</f>
        <v/>
      </c>
      <c r="I111" t="str">
        <f>IF(CTR1_Local!$R142="","",IF($F111="Removed","",CTR1_Local!$R142))</f>
        <v/>
      </c>
      <c r="J111" s="160" t="str">
        <f>CTR1_Local!$H142</f>
        <v/>
      </c>
      <c r="K111" s="340" t="str">
        <f>CTR1_Local!$J142</f>
        <v/>
      </c>
      <c r="L111" s="350" t="str">
        <f>CTR1_Local!$L142</f>
        <v/>
      </c>
      <c r="M111" s="261" t="str">
        <f>IF(CTR1_Local!$V142="","",IF(CTR1_Local!$V142="Yes","confirm",""))</f>
        <v/>
      </c>
      <c r="N111" t="str">
        <f>IF(CTR1_Local!$W142="","",CTR1_Local!$W142)</f>
        <v/>
      </c>
    </row>
    <row r="112" spans="1:14" x14ac:dyDescent="0.2">
      <c r="A112" s="287" t="str">
        <f>IF(CTR1_Local!$D143="",CTR1_Local!B143,CTR1_Local!$D143)</f>
        <v/>
      </c>
      <c r="B112" s="26" t="str">
        <f>IF(A112="","",IF(RIGHT(A112,3)="NEW","Add new / another parish",CTR1_Local!$AN143))</f>
        <v/>
      </c>
      <c r="C112" s="26" t="str">
        <f t="shared" si="1"/>
        <v/>
      </c>
      <c r="D112" s="177" t="str">
        <f>IF(A112="","",IF(RIGHT(A112,3)="NEW",CTR1_Local!$E143,IF(CTR1_Local!$AO143="change",CTR1_Local!$E143,"")))</f>
        <v/>
      </c>
      <c r="E112" t="str">
        <f>IF(CTR1_Local!$F143="","",CTR1_Local!$F143)</f>
        <v/>
      </c>
      <c r="F112" s="261" t="str">
        <f>IF(CTR1_Local!$T143="","",IF(CTR1_Local!$T143="Yes","Removed",""))</f>
        <v/>
      </c>
      <c r="G112" t="str">
        <f>IF(CTR1_Local!$N143="","",IF(F112="Removed","",CTR1_Local!$N143))</f>
        <v/>
      </c>
      <c r="H112" t="str">
        <f>IF(CTR1_Local!$P143="","",IF($F112="Removed","",CTR1_Local!$P143))</f>
        <v/>
      </c>
      <c r="I112" t="str">
        <f>IF(CTR1_Local!$R143="","",IF($F112="Removed","",CTR1_Local!$R143))</f>
        <v/>
      </c>
      <c r="J112" s="160" t="str">
        <f>CTR1_Local!$H143</f>
        <v/>
      </c>
      <c r="K112" s="340" t="str">
        <f>CTR1_Local!$J143</f>
        <v/>
      </c>
      <c r="L112" s="350" t="str">
        <f>CTR1_Local!$L143</f>
        <v/>
      </c>
      <c r="M112" s="261" t="str">
        <f>IF(CTR1_Local!$V143="","",IF(CTR1_Local!$V143="Yes","confirm",""))</f>
        <v/>
      </c>
      <c r="N112" t="str">
        <f>IF(CTR1_Local!$W143="","",CTR1_Local!$W143)</f>
        <v/>
      </c>
    </row>
    <row r="113" spans="1:14" x14ac:dyDescent="0.2">
      <c r="A113" s="287" t="str">
        <f>IF(CTR1_Local!$D144="",CTR1_Local!B144,CTR1_Local!$D144)</f>
        <v/>
      </c>
      <c r="B113" s="26" t="str">
        <f>IF(A113="","",IF(RIGHT(A113,3)="NEW","Add new / another parish",CTR1_Local!$AN144))</f>
        <v/>
      </c>
      <c r="C113" s="26" t="str">
        <f t="shared" si="1"/>
        <v/>
      </c>
      <c r="D113" s="177" t="str">
        <f>IF(A113="","",IF(RIGHT(A113,3)="NEW",CTR1_Local!$E144,IF(CTR1_Local!$AO144="change",CTR1_Local!$E144,"")))</f>
        <v/>
      </c>
      <c r="E113" t="str">
        <f>IF(CTR1_Local!$F144="","",CTR1_Local!$F144)</f>
        <v/>
      </c>
      <c r="F113" s="261" t="str">
        <f>IF(CTR1_Local!$T144="","",IF(CTR1_Local!$T144="Yes","Removed",""))</f>
        <v/>
      </c>
      <c r="G113" t="str">
        <f>IF(CTR1_Local!$N144="","",IF(F113="Removed","",CTR1_Local!$N144))</f>
        <v/>
      </c>
      <c r="H113" t="str">
        <f>IF(CTR1_Local!$P144="","",IF($F113="Removed","",CTR1_Local!$P144))</f>
        <v/>
      </c>
      <c r="I113" t="str">
        <f>IF(CTR1_Local!$R144="","",IF($F113="Removed","",CTR1_Local!$R144))</f>
        <v/>
      </c>
      <c r="J113" s="160" t="str">
        <f>CTR1_Local!$H144</f>
        <v/>
      </c>
      <c r="K113" s="340" t="str">
        <f>CTR1_Local!$J144</f>
        <v/>
      </c>
      <c r="L113" s="350" t="str">
        <f>CTR1_Local!$L144</f>
        <v/>
      </c>
      <c r="M113" s="261" t="str">
        <f>IF(CTR1_Local!$V144="","",IF(CTR1_Local!$V144="Yes","confirm",""))</f>
        <v/>
      </c>
      <c r="N113" t="str">
        <f>IF(CTR1_Local!$W144="","",CTR1_Local!$W144)</f>
        <v/>
      </c>
    </row>
    <row r="114" spans="1:14" x14ac:dyDescent="0.2">
      <c r="A114" s="287" t="str">
        <f>IF(CTR1_Local!$D145="",CTR1_Local!B145,CTR1_Local!$D145)</f>
        <v/>
      </c>
      <c r="B114" s="26" t="str">
        <f>IF(A114="","",IF(RIGHT(A114,3)="NEW","Add new / another parish",CTR1_Local!$AN145))</f>
        <v/>
      </c>
      <c r="C114" s="26" t="str">
        <f t="shared" si="1"/>
        <v/>
      </c>
      <c r="D114" s="177" t="str">
        <f>IF(A114="","",IF(RIGHT(A114,3)="NEW",CTR1_Local!$E145,IF(CTR1_Local!$AO145="change",CTR1_Local!$E145,"")))</f>
        <v/>
      </c>
      <c r="E114" t="str">
        <f>IF(CTR1_Local!$F145="","",CTR1_Local!$F145)</f>
        <v/>
      </c>
      <c r="F114" s="261" t="str">
        <f>IF(CTR1_Local!$T145="","",IF(CTR1_Local!$T145="Yes","Removed",""))</f>
        <v/>
      </c>
      <c r="G114" t="str">
        <f>IF(CTR1_Local!$N145="","",IF(F114="Removed","",CTR1_Local!$N145))</f>
        <v/>
      </c>
      <c r="H114" t="str">
        <f>IF(CTR1_Local!$P145="","",IF($F114="Removed","",CTR1_Local!$P145))</f>
        <v/>
      </c>
      <c r="I114" t="str">
        <f>IF(CTR1_Local!$R145="","",IF($F114="Removed","",CTR1_Local!$R145))</f>
        <v/>
      </c>
      <c r="J114" s="160" t="str">
        <f>CTR1_Local!$H145</f>
        <v/>
      </c>
      <c r="K114" s="340" t="str">
        <f>CTR1_Local!$J145</f>
        <v/>
      </c>
      <c r="L114" s="350" t="str">
        <f>CTR1_Local!$L145</f>
        <v/>
      </c>
      <c r="M114" s="261" t="str">
        <f>IF(CTR1_Local!$V145="","",IF(CTR1_Local!$V145="Yes","confirm",""))</f>
        <v/>
      </c>
      <c r="N114" t="str">
        <f>IF(CTR1_Local!$W145="","",CTR1_Local!$W145)</f>
        <v/>
      </c>
    </row>
    <row r="115" spans="1:14" x14ac:dyDescent="0.2">
      <c r="A115" s="287" t="str">
        <f>IF(CTR1_Local!$D146="",CTR1_Local!B146,CTR1_Local!$D146)</f>
        <v/>
      </c>
      <c r="B115" s="26" t="str">
        <f>IF(A115="","",IF(RIGHT(A115,3)="NEW","Add new / another parish",CTR1_Local!$AN146))</f>
        <v/>
      </c>
      <c r="C115" s="26" t="str">
        <f t="shared" si="1"/>
        <v/>
      </c>
      <c r="D115" s="177" t="str">
        <f>IF(A115="","",IF(RIGHT(A115,3)="NEW",CTR1_Local!$E146,IF(CTR1_Local!$AO146="change",CTR1_Local!$E146,"")))</f>
        <v/>
      </c>
      <c r="E115" t="str">
        <f>IF(CTR1_Local!$F146="","",CTR1_Local!$F146)</f>
        <v/>
      </c>
      <c r="F115" s="261" t="str">
        <f>IF(CTR1_Local!$T146="","",IF(CTR1_Local!$T146="Yes","Removed",""))</f>
        <v/>
      </c>
      <c r="G115" t="str">
        <f>IF(CTR1_Local!$N146="","",IF(F115="Removed","",CTR1_Local!$N146))</f>
        <v/>
      </c>
      <c r="H115" t="str">
        <f>IF(CTR1_Local!$P146="","",IF($F115="Removed","",CTR1_Local!$P146))</f>
        <v/>
      </c>
      <c r="I115" t="str">
        <f>IF(CTR1_Local!$R146="","",IF($F115="Removed","",CTR1_Local!$R146))</f>
        <v/>
      </c>
      <c r="J115" s="160" t="str">
        <f>CTR1_Local!$H146</f>
        <v/>
      </c>
      <c r="K115" s="340" t="str">
        <f>CTR1_Local!$J146</f>
        <v/>
      </c>
      <c r="L115" s="350" t="str">
        <f>CTR1_Local!$L146</f>
        <v/>
      </c>
      <c r="M115" s="261" t="str">
        <f>IF(CTR1_Local!$V146="","",IF(CTR1_Local!$V146="Yes","confirm",""))</f>
        <v/>
      </c>
      <c r="N115" t="str">
        <f>IF(CTR1_Local!$W146="","",CTR1_Local!$W146)</f>
        <v/>
      </c>
    </row>
    <row r="116" spans="1:14" x14ac:dyDescent="0.2">
      <c r="A116" s="287" t="str">
        <f>IF(CTR1_Local!$D147="",CTR1_Local!B147,CTR1_Local!$D147)</f>
        <v/>
      </c>
      <c r="B116" s="26" t="str">
        <f>IF(A116="","",IF(RIGHT(A116,3)="NEW","Add new / another parish",CTR1_Local!$AN147))</f>
        <v/>
      </c>
      <c r="C116" s="26" t="str">
        <f t="shared" si="1"/>
        <v/>
      </c>
      <c r="D116" s="177" t="str">
        <f>IF(A116="","",IF(RIGHT(A116,3)="NEW",CTR1_Local!$E147,IF(CTR1_Local!$AO147="change",CTR1_Local!$E147,"")))</f>
        <v/>
      </c>
      <c r="E116" t="str">
        <f>IF(CTR1_Local!$F147="","",CTR1_Local!$F147)</f>
        <v/>
      </c>
      <c r="F116" s="261" t="str">
        <f>IF(CTR1_Local!$T147="","",IF(CTR1_Local!$T147="Yes","Removed",""))</f>
        <v/>
      </c>
      <c r="G116" t="str">
        <f>IF(CTR1_Local!$N147="","",IF(F116="Removed","",CTR1_Local!$N147))</f>
        <v/>
      </c>
      <c r="H116" t="str">
        <f>IF(CTR1_Local!$P147="","",IF($F116="Removed","",CTR1_Local!$P147))</f>
        <v/>
      </c>
      <c r="I116" t="str">
        <f>IF(CTR1_Local!$R147="","",IF($F116="Removed","",CTR1_Local!$R147))</f>
        <v/>
      </c>
      <c r="J116" s="160" t="str">
        <f>CTR1_Local!$H147</f>
        <v/>
      </c>
      <c r="K116" s="340" t="str">
        <f>CTR1_Local!$J147</f>
        <v/>
      </c>
      <c r="L116" s="350" t="str">
        <f>CTR1_Local!$L147</f>
        <v/>
      </c>
      <c r="M116" s="261" t="str">
        <f>IF(CTR1_Local!$V147="","",IF(CTR1_Local!$V147="Yes","confirm",""))</f>
        <v/>
      </c>
      <c r="N116" t="str">
        <f>IF(CTR1_Local!$W147="","",CTR1_Local!$W147)</f>
        <v/>
      </c>
    </row>
    <row r="117" spans="1:14" x14ac:dyDescent="0.2">
      <c r="A117" s="287" t="str">
        <f>IF(CTR1_Local!$D148="",CTR1_Local!B148,CTR1_Local!$D148)</f>
        <v/>
      </c>
      <c r="B117" s="26" t="str">
        <f>IF(A117="","",IF(RIGHT(A117,3)="NEW","Add new / another parish",CTR1_Local!$AN148))</f>
        <v/>
      </c>
      <c r="C117" s="26" t="str">
        <f t="shared" si="1"/>
        <v/>
      </c>
      <c r="D117" s="177" t="str">
        <f>IF(A117="","",IF(RIGHT(A117,3)="NEW",CTR1_Local!$E148,IF(CTR1_Local!$AO148="change",CTR1_Local!$E148,"")))</f>
        <v/>
      </c>
      <c r="E117" t="str">
        <f>IF(CTR1_Local!$F148="","",CTR1_Local!$F148)</f>
        <v/>
      </c>
      <c r="F117" s="261" t="str">
        <f>IF(CTR1_Local!$T148="","",IF(CTR1_Local!$T148="Yes","Removed",""))</f>
        <v/>
      </c>
      <c r="G117" t="str">
        <f>IF(CTR1_Local!$N148="","",IF(F117="Removed","",CTR1_Local!$N148))</f>
        <v/>
      </c>
      <c r="H117" t="str">
        <f>IF(CTR1_Local!$P148="","",IF($F117="Removed","",CTR1_Local!$P148))</f>
        <v/>
      </c>
      <c r="I117" t="str">
        <f>IF(CTR1_Local!$R148="","",IF($F117="Removed","",CTR1_Local!$R148))</f>
        <v/>
      </c>
      <c r="J117" s="160" t="str">
        <f>CTR1_Local!$H148</f>
        <v/>
      </c>
      <c r="K117" s="340" t="str">
        <f>CTR1_Local!$J148</f>
        <v/>
      </c>
      <c r="L117" s="350" t="str">
        <f>CTR1_Local!$L148</f>
        <v/>
      </c>
      <c r="M117" s="261" t="str">
        <f>IF(CTR1_Local!$V148="","",IF(CTR1_Local!$V148="Yes","confirm",""))</f>
        <v/>
      </c>
      <c r="N117" t="str">
        <f>IF(CTR1_Local!$W148="","",CTR1_Local!$W148)</f>
        <v/>
      </c>
    </row>
    <row r="118" spans="1:14" x14ac:dyDescent="0.2">
      <c r="A118" s="287" t="str">
        <f>IF(CTR1_Local!$D149="",CTR1_Local!B149,CTR1_Local!$D149)</f>
        <v/>
      </c>
      <c r="B118" s="26" t="str">
        <f>IF(A118="","",IF(RIGHT(A118,3)="NEW","Add new / another parish",CTR1_Local!$AN149))</f>
        <v/>
      </c>
      <c r="C118" s="26" t="str">
        <f t="shared" si="1"/>
        <v/>
      </c>
      <c r="D118" s="177" t="str">
        <f>IF(A118="","",IF(RIGHT(A118,3)="NEW",CTR1_Local!$E149,IF(CTR1_Local!$AO149="change",CTR1_Local!$E149,"")))</f>
        <v/>
      </c>
      <c r="E118" t="str">
        <f>IF(CTR1_Local!$F149="","",CTR1_Local!$F149)</f>
        <v/>
      </c>
      <c r="F118" s="261" t="str">
        <f>IF(CTR1_Local!$T149="","",IF(CTR1_Local!$T149="Yes","Removed",""))</f>
        <v/>
      </c>
      <c r="G118" t="str">
        <f>IF(CTR1_Local!$N149="","",IF(F118="Removed","",CTR1_Local!$N149))</f>
        <v/>
      </c>
      <c r="H118" t="str">
        <f>IF(CTR1_Local!$P149="","",IF($F118="Removed","",CTR1_Local!$P149))</f>
        <v/>
      </c>
      <c r="I118" t="str">
        <f>IF(CTR1_Local!$R149="","",IF($F118="Removed","",CTR1_Local!$R149))</f>
        <v/>
      </c>
      <c r="J118" s="160" t="str">
        <f>CTR1_Local!$H149</f>
        <v/>
      </c>
      <c r="K118" s="340" t="str">
        <f>CTR1_Local!$J149</f>
        <v/>
      </c>
      <c r="L118" s="350" t="str">
        <f>CTR1_Local!$L149</f>
        <v/>
      </c>
      <c r="M118" s="261" t="str">
        <f>IF(CTR1_Local!$V149="","",IF(CTR1_Local!$V149="Yes","confirm",""))</f>
        <v/>
      </c>
      <c r="N118" t="str">
        <f>IF(CTR1_Local!$W149="","",CTR1_Local!$W149)</f>
        <v/>
      </c>
    </row>
    <row r="119" spans="1:14" x14ac:dyDescent="0.2">
      <c r="A119" s="287" t="str">
        <f>IF(CTR1_Local!$D150="",CTR1_Local!B150,CTR1_Local!$D150)</f>
        <v/>
      </c>
      <c r="B119" s="26" t="str">
        <f>IF(A119="","",IF(RIGHT(A119,3)="NEW","Add new / another parish",CTR1_Local!$AN150))</f>
        <v/>
      </c>
      <c r="C119" s="26" t="str">
        <f t="shared" si="1"/>
        <v/>
      </c>
      <c r="D119" s="177" t="str">
        <f>IF(A119="","",IF(RIGHT(A119,3)="NEW",CTR1_Local!$E150,IF(CTR1_Local!$AO150="change",CTR1_Local!$E150,"")))</f>
        <v/>
      </c>
      <c r="E119" t="str">
        <f>IF(CTR1_Local!$F150="","",CTR1_Local!$F150)</f>
        <v/>
      </c>
      <c r="F119" s="261" t="str">
        <f>IF(CTR1_Local!$T150="","",IF(CTR1_Local!$T150="Yes","Removed",""))</f>
        <v/>
      </c>
      <c r="G119" t="str">
        <f>IF(CTR1_Local!$N150="","",IF(F119="Removed","",CTR1_Local!$N150))</f>
        <v/>
      </c>
      <c r="H119" t="str">
        <f>IF(CTR1_Local!$P150="","",IF($F119="Removed","",CTR1_Local!$P150))</f>
        <v/>
      </c>
      <c r="I119" t="str">
        <f>IF(CTR1_Local!$R150="","",IF($F119="Removed","",CTR1_Local!$R150))</f>
        <v/>
      </c>
      <c r="J119" s="160" t="str">
        <f>CTR1_Local!$H150</f>
        <v/>
      </c>
      <c r="K119" s="340" t="str">
        <f>CTR1_Local!$J150</f>
        <v/>
      </c>
      <c r="L119" s="350" t="str">
        <f>CTR1_Local!$L150</f>
        <v/>
      </c>
      <c r="M119" s="261" t="str">
        <f>IF(CTR1_Local!$V150="","",IF(CTR1_Local!$V150="Yes","confirm",""))</f>
        <v/>
      </c>
      <c r="N119" t="str">
        <f>IF(CTR1_Local!$W150="","",CTR1_Local!$W150)</f>
        <v/>
      </c>
    </row>
    <row r="120" spans="1:14" x14ac:dyDescent="0.2">
      <c r="A120" s="287" t="str">
        <f>IF(CTR1_Local!$D151="",CTR1_Local!B151,CTR1_Local!$D151)</f>
        <v/>
      </c>
      <c r="B120" s="26" t="str">
        <f>IF(A120="","",IF(RIGHT(A120,3)="NEW","Add new / another parish",CTR1_Local!$AN151))</f>
        <v/>
      </c>
      <c r="C120" s="26" t="str">
        <f t="shared" si="1"/>
        <v/>
      </c>
      <c r="D120" s="177" t="str">
        <f>IF(A120="","",IF(RIGHT(A120,3)="NEW",CTR1_Local!$E151,IF(CTR1_Local!$AO151="change",CTR1_Local!$E151,"")))</f>
        <v/>
      </c>
      <c r="E120" t="str">
        <f>IF(CTR1_Local!$F151="","",CTR1_Local!$F151)</f>
        <v/>
      </c>
      <c r="F120" s="261" t="str">
        <f>IF(CTR1_Local!$T151="","",IF(CTR1_Local!$T151="Yes","Removed",""))</f>
        <v/>
      </c>
      <c r="G120" t="str">
        <f>IF(CTR1_Local!$N151="","",IF(F120="Removed","",CTR1_Local!$N151))</f>
        <v/>
      </c>
      <c r="H120" t="str">
        <f>IF(CTR1_Local!$P151="","",IF($F120="Removed","",CTR1_Local!$P151))</f>
        <v/>
      </c>
      <c r="I120" t="str">
        <f>IF(CTR1_Local!$R151="","",IF($F120="Removed","",CTR1_Local!$R151))</f>
        <v/>
      </c>
      <c r="J120" s="160" t="str">
        <f>CTR1_Local!$H151</f>
        <v/>
      </c>
      <c r="K120" s="340" t="str">
        <f>CTR1_Local!$J151</f>
        <v/>
      </c>
      <c r="L120" s="350" t="str">
        <f>CTR1_Local!$L151</f>
        <v/>
      </c>
      <c r="M120" s="261" t="str">
        <f>IF(CTR1_Local!$V151="","",IF(CTR1_Local!$V151="Yes","confirm",""))</f>
        <v/>
      </c>
      <c r="N120" t="str">
        <f>IF(CTR1_Local!$W151="","",CTR1_Local!$W151)</f>
        <v/>
      </c>
    </row>
    <row r="121" spans="1:14" x14ac:dyDescent="0.2">
      <c r="A121" s="287" t="str">
        <f>IF(CTR1_Local!$D152="",CTR1_Local!B152,CTR1_Local!$D152)</f>
        <v/>
      </c>
      <c r="B121" s="26" t="str">
        <f>IF(A121="","",IF(RIGHT(A121,3)="NEW","Add new / another parish",CTR1_Local!$AN152))</f>
        <v/>
      </c>
      <c r="C121" s="26" t="str">
        <f t="shared" si="1"/>
        <v/>
      </c>
      <c r="D121" s="177" t="str">
        <f>IF(A121="","",IF(RIGHT(A121,3)="NEW",CTR1_Local!$E152,IF(CTR1_Local!$AO152="change",CTR1_Local!$E152,"")))</f>
        <v/>
      </c>
      <c r="E121" t="str">
        <f>IF(CTR1_Local!$F152="","",CTR1_Local!$F152)</f>
        <v/>
      </c>
      <c r="F121" s="261" t="str">
        <f>IF(CTR1_Local!$T152="","",IF(CTR1_Local!$T152="Yes","Removed",""))</f>
        <v/>
      </c>
      <c r="G121" t="str">
        <f>IF(CTR1_Local!$N152="","",IF(F121="Removed","",CTR1_Local!$N152))</f>
        <v/>
      </c>
      <c r="H121" t="str">
        <f>IF(CTR1_Local!$P152="","",IF($F121="Removed","",CTR1_Local!$P152))</f>
        <v/>
      </c>
      <c r="I121" t="str">
        <f>IF(CTR1_Local!$R152="","",IF($F121="Removed","",CTR1_Local!$R152))</f>
        <v/>
      </c>
      <c r="J121" s="160" t="str">
        <f>CTR1_Local!$H152</f>
        <v/>
      </c>
      <c r="K121" s="340" t="str">
        <f>CTR1_Local!$J152</f>
        <v/>
      </c>
      <c r="L121" s="350" t="str">
        <f>CTR1_Local!$L152</f>
        <v/>
      </c>
      <c r="M121" s="261" t="str">
        <f>IF(CTR1_Local!$V152="","",IF(CTR1_Local!$V152="Yes","confirm",""))</f>
        <v/>
      </c>
      <c r="N121" t="str">
        <f>IF(CTR1_Local!$W152="","",CTR1_Local!$W152)</f>
        <v/>
      </c>
    </row>
    <row r="122" spans="1:14" x14ac:dyDescent="0.2">
      <c r="A122" s="287" t="str">
        <f>IF(CTR1_Local!$D153="",CTR1_Local!B153,CTR1_Local!$D153)</f>
        <v/>
      </c>
      <c r="B122" s="26" t="str">
        <f>IF(A122="","",IF(RIGHT(A122,3)="NEW","Add new / another parish",CTR1_Local!$AN153))</f>
        <v/>
      </c>
      <c r="C122" s="26" t="str">
        <f t="shared" si="1"/>
        <v/>
      </c>
      <c r="D122" s="177" t="str">
        <f>IF(A122="","",IF(RIGHT(A122,3)="NEW",CTR1_Local!$E153,IF(CTR1_Local!$AO153="change",CTR1_Local!$E153,"")))</f>
        <v/>
      </c>
      <c r="E122" t="str">
        <f>IF(CTR1_Local!$F153="","",CTR1_Local!$F153)</f>
        <v/>
      </c>
      <c r="F122" s="261" t="str">
        <f>IF(CTR1_Local!$T153="","",IF(CTR1_Local!$T153="Yes","Removed",""))</f>
        <v/>
      </c>
      <c r="G122" t="str">
        <f>IF(CTR1_Local!$N153="","",IF(F122="Removed","",CTR1_Local!$N153))</f>
        <v/>
      </c>
      <c r="H122" t="str">
        <f>IF(CTR1_Local!$P153="","",IF($F122="Removed","",CTR1_Local!$P153))</f>
        <v/>
      </c>
      <c r="I122" t="str">
        <f>IF(CTR1_Local!$R153="","",IF($F122="Removed","",CTR1_Local!$R153))</f>
        <v/>
      </c>
      <c r="J122" s="160" t="str">
        <f>CTR1_Local!$H153</f>
        <v/>
      </c>
      <c r="K122" s="340" t="str">
        <f>CTR1_Local!$J153</f>
        <v/>
      </c>
      <c r="L122" s="350" t="str">
        <f>CTR1_Local!$L153</f>
        <v/>
      </c>
      <c r="M122" s="261" t="str">
        <f>IF(CTR1_Local!$V153="","",IF(CTR1_Local!$V153="Yes","confirm",""))</f>
        <v/>
      </c>
      <c r="N122" t="str">
        <f>IF(CTR1_Local!$W153="","",CTR1_Local!$W153)</f>
        <v/>
      </c>
    </row>
    <row r="123" spans="1:14" x14ac:dyDescent="0.2">
      <c r="A123" s="287" t="str">
        <f>IF(CTR1_Local!$D154="",CTR1_Local!B154,CTR1_Local!$D154)</f>
        <v/>
      </c>
      <c r="B123" s="26" t="str">
        <f>IF(A123="","",IF(RIGHT(A123,3)="NEW","Add new / another parish",CTR1_Local!$AN154))</f>
        <v/>
      </c>
      <c r="C123" s="26" t="str">
        <f t="shared" si="1"/>
        <v/>
      </c>
      <c r="D123" s="177" t="str">
        <f>IF(A123="","",IF(RIGHT(A123,3)="NEW",CTR1_Local!$E154,IF(CTR1_Local!$AO154="change",CTR1_Local!$E154,"")))</f>
        <v/>
      </c>
      <c r="E123" t="str">
        <f>IF(CTR1_Local!$F154="","",CTR1_Local!$F154)</f>
        <v/>
      </c>
      <c r="F123" s="261" t="str">
        <f>IF(CTR1_Local!$T154="","",IF(CTR1_Local!$T154="Yes","Removed",""))</f>
        <v/>
      </c>
      <c r="G123" t="str">
        <f>IF(CTR1_Local!$N154="","",IF(F123="Removed","",CTR1_Local!$N154))</f>
        <v/>
      </c>
      <c r="H123" t="str">
        <f>IF(CTR1_Local!$P154="","",IF($F123="Removed","",CTR1_Local!$P154))</f>
        <v/>
      </c>
      <c r="I123" t="str">
        <f>IF(CTR1_Local!$R154="","",IF($F123="Removed","",CTR1_Local!$R154))</f>
        <v/>
      </c>
      <c r="J123" s="160" t="str">
        <f>CTR1_Local!$H154</f>
        <v/>
      </c>
      <c r="K123" s="340" t="str">
        <f>CTR1_Local!$J154</f>
        <v/>
      </c>
      <c r="L123" s="350" t="str">
        <f>CTR1_Local!$L154</f>
        <v/>
      </c>
      <c r="M123" s="261" t="str">
        <f>IF(CTR1_Local!$V154="","",IF(CTR1_Local!$V154="Yes","confirm",""))</f>
        <v/>
      </c>
      <c r="N123" t="str">
        <f>IF(CTR1_Local!$W154="","",CTR1_Local!$W154)</f>
        <v/>
      </c>
    </row>
    <row r="124" spans="1:14" x14ac:dyDescent="0.2">
      <c r="A124" s="287" t="str">
        <f>IF(CTR1_Local!$D155="",CTR1_Local!B155,CTR1_Local!$D155)</f>
        <v/>
      </c>
      <c r="B124" s="26" t="str">
        <f>IF(A124="","",IF(RIGHT(A124,3)="NEW","Add new / another parish",CTR1_Local!$AN155))</f>
        <v/>
      </c>
      <c r="C124" s="26" t="str">
        <f t="shared" si="1"/>
        <v/>
      </c>
      <c r="D124" s="177" t="str">
        <f>IF(A124="","",IF(RIGHT(A124,3)="NEW",CTR1_Local!$E155,IF(CTR1_Local!$AO155="change",CTR1_Local!$E155,"")))</f>
        <v/>
      </c>
      <c r="E124" t="str">
        <f>IF(CTR1_Local!$F155="","",CTR1_Local!$F155)</f>
        <v/>
      </c>
      <c r="F124" s="261" t="str">
        <f>IF(CTR1_Local!$T155="","",IF(CTR1_Local!$T155="Yes","Removed",""))</f>
        <v/>
      </c>
      <c r="G124" t="str">
        <f>IF(CTR1_Local!$N155="","",IF(F124="Removed","",CTR1_Local!$N155))</f>
        <v/>
      </c>
      <c r="H124" t="str">
        <f>IF(CTR1_Local!$P155="","",IF($F124="Removed","",CTR1_Local!$P155))</f>
        <v/>
      </c>
      <c r="I124" t="str">
        <f>IF(CTR1_Local!$R155="","",IF($F124="Removed","",CTR1_Local!$R155))</f>
        <v/>
      </c>
      <c r="J124" s="160" t="str">
        <f>CTR1_Local!$H155</f>
        <v/>
      </c>
      <c r="K124" s="340" t="str">
        <f>CTR1_Local!$J155</f>
        <v/>
      </c>
      <c r="L124" s="350" t="str">
        <f>CTR1_Local!$L155</f>
        <v/>
      </c>
      <c r="M124" s="261" t="str">
        <f>IF(CTR1_Local!$V155="","",IF(CTR1_Local!$V155="Yes","confirm",""))</f>
        <v/>
      </c>
      <c r="N124" t="str">
        <f>IF(CTR1_Local!$W155="","",CTR1_Local!$W155)</f>
        <v/>
      </c>
    </row>
    <row r="125" spans="1:14" x14ac:dyDescent="0.2">
      <c r="A125" s="287" t="str">
        <f>IF(CTR1_Local!$D156="",CTR1_Local!B156,CTR1_Local!$D156)</f>
        <v/>
      </c>
      <c r="B125" s="26" t="str">
        <f>IF(A125="","",IF(RIGHT(A125,3)="NEW","Add new / another parish",CTR1_Local!$AN156))</f>
        <v/>
      </c>
      <c r="C125" s="26" t="str">
        <f t="shared" si="1"/>
        <v/>
      </c>
      <c r="D125" s="177" t="str">
        <f>IF(A125="","",IF(RIGHT(A125,3)="NEW",CTR1_Local!$E156,IF(CTR1_Local!$AO156="change",CTR1_Local!$E156,"")))</f>
        <v/>
      </c>
      <c r="E125" t="str">
        <f>IF(CTR1_Local!$F156="","",CTR1_Local!$F156)</f>
        <v/>
      </c>
      <c r="F125" s="261" t="str">
        <f>IF(CTR1_Local!$T156="","",IF(CTR1_Local!$T156="Yes","Removed",""))</f>
        <v/>
      </c>
      <c r="G125" t="str">
        <f>IF(CTR1_Local!$N156="","",IF(F125="Removed","",CTR1_Local!$N156))</f>
        <v/>
      </c>
      <c r="H125" t="str">
        <f>IF(CTR1_Local!$P156="","",IF($F125="Removed","",CTR1_Local!$P156))</f>
        <v/>
      </c>
      <c r="I125" t="str">
        <f>IF(CTR1_Local!$R156="","",IF($F125="Removed","",CTR1_Local!$R156))</f>
        <v/>
      </c>
      <c r="J125" s="160" t="str">
        <f>CTR1_Local!$H156</f>
        <v/>
      </c>
      <c r="K125" s="340" t="str">
        <f>CTR1_Local!$J156</f>
        <v/>
      </c>
      <c r="L125" s="350" t="str">
        <f>CTR1_Local!$L156</f>
        <v/>
      </c>
      <c r="M125" s="261" t="str">
        <f>IF(CTR1_Local!$V156="","",IF(CTR1_Local!$V156="Yes","confirm",""))</f>
        <v/>
      </c>
      <c r="N125" t="str">
        <f>IF(CTR1_Local!$W156="","",CTR1_Local!$W156)</f>
        <v/>
      </c>
    </row>
    <row r="126" spans="1:14" x14ac:dyDescent="0.2">
      <c r="A126" s="287" t="str">
        <f>IF(CTR1_Local!$D157="",CTR1_Local!B157,CTR1_Local!$D157)</f>
        <v/>
      </c>
      <c r="B126" s="26" t="str">
        <f>IF(A126="","",IF(RIGHT(A126,3)="NEW","Add new / another parish",CTR1_Local!$AN157))</f>
        <v/>
      </c>
      <c r="C126" s="26" t="str">
        <f t="shared" si="1"/>
        <v/>
      </c>
      <c r="D126" s="177" t="str">
        <f>IF(A126="","",IF(RIGHT(A126,3)="NEW",CTR1_Local!$E157,IF(CTR1_Local!$AO157="change",CTR1_Local!$E157,"")))</f>
        <v/>
      </c>
      <c r="E126" t="str">
        <f>IF(CTR1_Local!$F157="","",CTR1_Local!$F157)</f>
        <v/>
      </c>
      <c r="F126" s="261" t="str">
        <f>IF(CTR1_Local!$T157="","",IF(CTR1_Local!$T157="Yes","Removed",""))</f>
        <v/>
      </c>
      <c r="G126" t="str">
        <f>IF(CTR1_Local!$N157="","",IF(F126="Removed","",CTR1_Local!$N157))</f>
        <v/>
      </c>
      <c r="H126" t="str">
        <f>IF(CTR1_Local!$P157="","",IF($F126="Removed","",CTR1_Local!$P157))</f>
        <v/>
      </c>
      <c r="I126" t="str">
        <f>IF(CTR1_Local!$R157="","",IF($F126="Removed","",CTR1_Local!$R157))</f>
        <v/>
      </c>
      <c r="J126" s="160" t="str">
        <f>CTR1_Local!$H157</f>
        <v/>
      </c>
      <c r="K126" s="340" t="str">
        <f>CTR1_Local!$J157</f>
        <v/>
      </c>
      <c r="L126" s="350" t="str">
        <f>CTR1_Local!$L157</f>
        <v/>
      </c>
      <c r="M126" s="261" t="str">
        <f>IF(CTR1_Local!$V157="","",IF(CTR1_Local!$V157="Yes","confirm",""))</f>
        <v/>
      </c>
      <c r="N126" t="str">
        <f>IF(CTR1_Local!$W157="","",CTR1_Local!$W157)</f>
        <v/>
      </c>
    </row>
    <row r="127" spans="1:14" x14ac:dyDescent="0.2">
      <c r="A127" s="287" t="str">
        <f>IF(CTR1_Local!$D158="",CTR1_Local!B158,CTR1_Local!$D158)</f>
        <v/>
      </c>
      <c r="B127" s="26" t="str">
        <f>IF(A127="","",IF(RIGHT(A127,3)="NEW","Add new / another parish",CTR1_Local!$AN158))</f>
        <v/>
      </c>
      <c r="C127" s="26" t="str">
        <f t="shared" si="1"/>
        <v/>
      </c>
      <c r="D127" s="177" t="str">
        <f>IF(A127="","",IF(RIGHT(A127,3)="NEW",CTR1_Local!$E158,IF(CTR1_Local!$AO158="change",CTR1_Local!$E158,"")))</f>
        <v/>
      </c>
      <c r="E127" t="str">
        <f>IF(CTR1_Local!$F158="","",CTR1_Local!$F158)</f>
        <v/>
      </c>
      <c r="F127" s="261" t="str">
        <f>IF(CTR1_Local!$T158="","",IF(CTR1_Local!$T158="Yes","Removed",""))</f>
        <v/>
      </c>
      <c r="G127" t="str">
        <f>IF(CTR1_Local!$N158="","",IF(F127="Removed","",CTR1_Local!$N158))</f>
        <v/>
      </c>
      <c r="H127" t="str">
        <f>IF(CTR1_Local!$P158="","",IF($F127="Removed","",CTR1_Local!$P158))</f>
        <v/>
      </c>
      <c r="I127" t="str">
        <f>IF(CTR1_Local!$R158="","",IF($F127="Removed","",CTR1_Local!$R158))</f>
        <v/>
      </c>
      <c r="J127" s="160" t="str">
        <f>CTR1_Local!$H158</f>
        <v/>
      </c>
      <c r="K127" s="340" t="str">
        <f>CTR1_Local!$J158</f>
        <v/>
      </c>
      <c r="L127" s="350" t="str">
        <f>CTR1_Local!$L158</f>
        <v/>
      </c>
      <c r="M127" s="261" t="str">
        <f>IF(CTR1_Local!$V158="","",IF(CTR1_Local!$V158="Yes","confirm",""))</f>
        <v/>
      </c>
      <c r="N127" t="str">
        <f>IF(CTR1_Local!$W158="","",CTR1_Local!$W158)</f>
        <v/>
      </c>
    </row>
    <row r="128" spans="1:14" x14ac:dyDescent="0.2">
      <c r="A128" s="287" t="str">
        <f>IF(CTR1_Local!$D159="",CTR1_Local!B159,CTR1_Local!$D159)</f>
        <v/>
      </c>
      <c r="B128" s="26" t="str">
        <f>IF(A128="","",IF(RIGHT(A128,3)="NEW","Add new / another parish",CTR1_Local!$AN159))</f>
        <v/>
      </c>
      <c r="C128" s="26" t="str">
        <f t="shared" si="1"/>
        <v/>
      </c>
      <c r="D128" s="177" t="str">
        <f>IF(A128="","",IF(RIGHT(A128,3)="NEW",CTR1_Local!$E159,IF(CTR1_Local!$AO159="change",CTR1_Local!$E159,"")))</f>
        <v/>
      </c>
      <c r="E128" t="str">
        <f>IF(CTR1_Local!$F159="","",CTR1_Local!$F159)</f>
        <v/>
      </c>
      <c r="F128" s="261" t="str">
        <f>IF(CTR1_Local!$T159="","",IF(CTR1_Local!$T159="Yes","Removed",""))</f>
        <v/>
      </c>
      <c r="G128" t="str">
        <f>IF(CTR1_Local!$N159="","",IF(F128="Removed","",CTR1_Local!$N159))</f>
        <v/>
      </c>
      <c r="H128" t="str">
        <f>IF(CTR1_Local!$P159="","",IF($F128="Removed","",CTR1_Local!$P159))</f>
        <v/>
      </c>
      <c r="I128" t="str">
        <f>IF(CTR1_Local!$R159="","",IF($F128="Removed","",CTR1_Local!$R159))</f>
        <v/>
      </c>
      <c r="J128" s="160" t="str">
        <f>CTR1_Local!$H159</f>
        <v/>
      </c>
      <c r="K128" s="340" t="str">
        <f>CTR1_Local!$J159</f>
        <v/>
      </c>
      <c r="L128" s="350" t="str">
        <f>CTR1_Local!$L159</f>
        <v/>
      </c>
      <c r="M128" s="261" t="str">
        <f>IF(CTR1_Local!$V159="","",IF(CTR1_Local!$V159="Yes","confirm",""))</f>
        <v/>
      </c>
      <c r="N128" t="str">
        <f>IF(CTR1_Local!$W159="","",CTR1_Local!$W159)</f>
        <v/>
      </c>
    </row>
    <row r="129" spans="1:14" x14ac:dyDescent="0.2">
      <c r="A129" s="287" t="str">
        <f>IF(CTR1_Local!$D160="",CTR1_Local!B160,CTR1_Local!$D160)</f>
        <v/>
      </c>
      <c r="B129" s="26" t="str">
        <f>IF(A129="","",IF(RIGHT(A129,3)="NEW","Add new / another parish",CTR1_Local!$AN160))</f>
        <v/>
      </c>
      <c r="C129" s="26" t="str">
        <f t="shared" si="1"/>
        <v/>
      </c>
      <c r="D129" s="177" t="str">
        <f>IF(A129="","",IF(RIGHT(A129,3)="NEW",CTR1_Local!$E160,IF(CTR1_Local!$AO160="change",CTR1_Local!$E160,"")))</f>
        <v/>
      </c>
      <c r="E129" t="str">
        <f>IF(CTR1_Local!$F160="","",CTR1_Local!$F160)</f>
        <v/>
      </c>
      <c r="F129" s="261" t="str">
        <f>IF(CTR1_Local!$T160="","",IF(CTR1_Local!$T160="Yes","Removed",""))</f>
        <v/>
      </c>
      <c r="G129" t="str">
        <f>IF(CTR1_Local!$N160="","",IF(F129="Removed","",CTR1_Local!$N160))</f>
        <v/>
      </c>
      <c r="H129" t="str">
        <f>IF(CTR1_Local!$P160="","",IF($F129="Removed","",CTR1_Local!$P160))</f>
        <v/>
      </c>
      <c r="I129" t="str">
        <f>IF(CTR1_Local!$R160="","",IF($F129="Removed","",CTR1_Local!$R160))</f>
        <v/>
      </c>
      <c r="J129" s="160" t="str">
        <f>CTR1_Local!$H160</f>
        <v/>
      </c>
      <c r="K129" s="340" t="str">
        <f>CTR1_Local!$J160</f>
        <v/>
      </c>
      <c r="L129" s="350" t="str">
        <f>CTR1_Local!$L160</f>
        <v/>
      </c>
      <c r="M129" s="261" t="str">
        <f>IF(CTR1_Local!$V160="","",IF(CTR1_Local!$V160="Yes","confirm",""))</f>
        <v/>
      </c>
      <c r="N129" t="str">
        <f>IF(CTR1_Local!$W160="","",CTR1_Local!$W160)</f>
        <v/>
      </c>
    </row>
    <row r="130" spans="1:14" x14ac:dyDescent="0.2">
      <c r="A130" s="287" t="str">
        <f>IF(CTR1_Local!$D161="",CTR1_Local!B161,CTR1_Local!$D161)</f>
        <v/>
      </c>
      <c r="B130" s="26" t="str">
        <f>IF(A130="","",IF(RIGHT(A130,3)="NEW","Add new / another parish",CTR1_Local!$AN161))</f>
        <v/>
      </c>
      <c r="C130" s="26" t="str">
        <f t="shared" si="1"/>
        <v/>
      </c>
      <c r="D130" s="177" t="str">
        <f>IF(A130="","",IF(RIGHT(A130,3)="NEW",CTR1_Local!$E161,IF(CTR1_Local!$AO161="change",CTR1_Local!$E161,"")))</f>
        <v/>
      </c>
      <c r="E130" t="str">
        <f>IF(CTR1_Local!$F161="","",CTR1_Local!$F161)</f>
        <v/>
      </c>
      <c r="F130" s="261" t="str">
        <f>IF(CTR1_Local!$T161="","",IF(CTR1_Local!$T161="Yes","Removed",""))</f>
        <v/>
      </c>
      <c r="G130" t="str">
        <f>IF(CTR1_Local!$N161="","",IF(F130="Removed","",CTR1_Local!$N161))</f>
        <v/>
      </c>
      <c r="H130" t="str">
        <f>IF(CTR1_Local!$P161="","",IF($F130="Removed","",CTR1_Local!$P161))</f>
        <v/>
      </c>
      <c r="I130" t="str">
        <f>IF(CTR1_Local!$R161="","",IF($F130="Removed","",CTR1_Local!$R161))</f>
        <v/>
      </c>
      <c r="J130" s="160" t="str">
        <f>CTR1_Local!$H161</f>
        <v/>
      </c>
      <c r="K130" s="340" t="str">
        <f>CTR1_Local!$J161</f>
        <v/>
      </c>
      <c r="L130" s="350" t="str">
        <f>CTR1_Local!$L161</f>
        <v/>
      </c>
      <c r="M130" s="261" t="str">
        <f>IF(CTR1_Local!$V161="","",IF(CTR1_Local!$V161="Yes","confirm",""))</f>
        <v/>
      </c>
      <c r="N130" t="str">
        <f>IF(CTR1_Local!$W161="","",CTR1_Local!$W161)</f>
        <v/>
      </c>
    </row>
    <row r="131" spans="1:14" x14ac:dyDescent="0.2">
      <c r="A131" s="287" t="str">
        <f>IF(CTR1_Local!$D162="",CTR1_Local!B162,CTR1_Local!$D162)</f>
        <v/>
      </c>
      <c r="B131" s="26" t="str">
        <f>IF(A131="","",IF(RIGHT(A131,3)="NEW","Add new / another parish",CTR1_Local!$AN162))</f>
        <v/>
      </c>
      <c r="C131" s="26" t="str">
        <f t="shared" ref="C131:C194" si="2">IF(OR(B131="",D131=""),"",IF(AND(B131&lt;&gt;"",D131&lt;&gt;"",B131&lt;&gt;"Add new / another parish"),"yes",""))</f>
        <v/>
      </c>
      <c r="D131" s="177" t="str">
        <f>IF(A131="","",IF(RIGHT(A131,3)="NEW",CTR1_Local!$E162,IF(CTR1_Local!$AO162="change",CTR1_Local!$E162,"")))</f>
        <v/>
      </c>
      <c r="E131" t="str">
        <f>IF(CTR1_Local!$F162="","",CTR1_Local!$F162)</f>
        <v/>
      </c>
      <c r="F131" s="261" t="str">
        <f>IF(CTR1_Local!$T162="","",IF(CTR1_Local!$T162="Yes","Removed",""))</f>
        <v/>
      </c>
      <c r="G131" t="str">
        <f>IF(CTR1_Local!$N162="","",IF(F131="Removed","",CTR1_Local!$N162))</f>
        <v/>
      </c>
      <c r="H131" t="str">
        <f>IF(CTR1_Local!$P162="","",IF($F131="Removed","",CTR1_Local!$P162))</f>
        <v/>
      </c>
      <c r="I131" t="str">
        <f>IF(CTR1_Local!$R162="","",IF($F131="Removed","",CTR1_Local!$R162))</f>
        <v/>
      </c>
      <c r="J131" s="160" t="str">
        <f>CTR1_Local!$H162</f>
        <v/>
      </c>
      <c r="K131" s="340" t="str">
        <f>CTR1_Local!$J162</f>
        <v/>
      </c>
      <c r="L131" s="350" t="str">
        <f>CTR1_Local!$L162</f>
        <v/>
      </c>
      <c r="M131" s="261" t="str">
        <f>IF(CTR1_Local!$V162="","",IF(CTR1_Local!$V162="Yes","confirm",""))</f>
        <v/>
      </c>
      <c r="N131" t="str">
        <f>IF(CTR1_Local!$W162="","",CTR1_Local!$W162)</f>
        <v/>
      </c>
    </row>
    <row r="132" spans="1:14" x14ac:dyDescent="0.2">
      <c r="A132" s="287" t="str">
        <f>IF(CTR1_Local!$D163="",CTR1_Local!B163,CTR1_Local!$D163)</f>
        <v/>
      </c>
      <c r="B132" s="26" t="str">
        <f>IF(A132="","",IF(RIGHT(A132,3)="NEW","Add new / another parish",CTR1_Local!$AN163))</f>
        <v/>
      </c>
      <c r="C132" s="26" t="str">
        <f t="shared" si="2"/>
        <v/>
      </c>
      <c r="D132" s="177" t="str">
        <f>IF(A132="","",IF(RIGHT(A132,3)="NEW",CTR1_Local!$E163,IF(CTR1_Local!$AO163="change",CTR1_Local!$E163,"")))</f>
        <v/>
      </c>
      <c r="E132" t="str">
        <f>IF(CTR1_Local!$F163="","",CTR1_Local!$F163)</f>
        <v/>
      </c>
      <c r="F132" s="261" t="str">
        <f>IF(CTR1_Local!$T163="","",IF(CTR1_Local!$T163="Yes","Removed",""))</f>
        <v/>
      </c>
      <c r="G132" t="str">
        <f>IF(CTR1_Local!$N163="","",IF(F132="Removed","",CTR1_Local!$N163))</f>
        <v/>
      </c>
      <c r="H132" t="str">
        <f>IF(CTR1_Local!$P163="","",IF($F132="Removed","",CTR1_Local!$P163))</f>
        <v/>
      </c>
      <c r="I132" t="str">
        <f>IF(CTR1_Local!$R163="","",IF($F132="Removed","",CTR1_Local!$R163))</f>
        <v/>
      </c>
      <c r="J132" s="160" t="str">
        <f>CTR1_Local!$H163</f>
        <v/>
      </c>
      <c r="K132" s="340" t="str">
        <f>CTR1_Local!$J163</f>
        <v/>
      </c>
      <c r="L132" s="350" t="str">
        <f>CTR1_Local!$L163</f>
        <v/>
      </c>
      <c r="M132" s="261" t="str">
        <f>IF(CTR1_Local!$V163="","",IF(CTR1_Local!$V163="Yes","confirm",""))</f>
        <v/>
      </c>
      <c r="N132" t="str">
        <f>IF(CTR1_Local!$W163="","",CTR1_Local!$W163)</f>
        <v/>
      </c>
    </row>
    <row r="133" spans="1:14" x14ac:dyDescent="0.2">
      <c r="A133" s="287" t="str">
        <f>IF(CTR1_Local!$D164="",CTR1_Local!B164,CTR1_Local!$D164)</f>
        <v/>
      </c>
      <c r="B133" s="26" t="str">
        <f>IF(A133="","",IF(RIGHT(A133,3)="NEW","Add new / another parish",CTR1_Local!$AN164))</f>
        <v/>
      </c>
      <c r="C133" s="26" t="str">
        <f t="shared" si="2"/>
        <v/>
      </c>
      <c r="D133" s="177" t="str">
        <f>IF(A133="","",IF(RIGHT(A133,3)="NEW",CTR1_Local!$E164,IF(CTR1_Local!$AO164="change",CTR1_Local!$E164,"")))</f>
        <v/>
      </c>
      <c r="E133" t="str">
        <f>IF(CTR1_Local!$F164="","",CTR1_Local!$F164)</f>
        <v/>
      </c>
      <c r="F133" s="261" t="str">
        <f>IF(CTR1_Local!$T164="","",IF(CTR1_Local!$T164="Yes","Removed",""))</f>
        <v/>
      </c>
      <c r="G133" t="str">
        <f>IF(CTR1_Local!$N164="","",IF(F133="Removed","",CTR1_Local!$N164))</f>
        <v/>
      </c>
      <c r="H133" t="str">
        <f>IF(CTR1_Local!$P164="","",IF($F133="Removed","",CTR1_Local!$P164))</f>
        <v/>
      </c>
      <c r="I133" t="str">
        <f>IF(CTR1_Local!$R164="","",IF($F133="Removed","",CTR1_Local!$R164))</f>
        <v/>
      </c>
      <c r="J133" s="160" t="str">
        <f>CTR1_Local!$H164</f>
        <v/>
      </c>
      <c r="K133" s="340" t="str">
        <f>CTR1_Local!$J164</f>
        <v/>
      </c>
      <c r="L133" s="350" t="str">
        <f>CTR1_Local!$L164</f>
        <v/>
      </c>
      <c r="M133" s="261" t="str">
        <f>IF(CTR1_Local!$V164="","",IF(CTR1_Local!$V164="Yes","confirm",""))</f>
        <v/>
      </c>
      <c r="N133" t="str">
        <f>IF(CTR1_Local!$W164="","",CTR1_Local!$W164)</f>
        <v/>
      </c>
    </row>
    <row r="134" spans="1:14" x14ac:dyDescent="0.2">
      <c r="A134" s="287" t="str">
        <f>IF(CTR1_Local!$D165="",CTR1_Local!B165,CTR1_Local!$D165)</f>
        <v/>
      </c>
      <c r="B134" s="26" t="str">
        <f>IF(A134="","",IF(RIGHT(A134,3)="NEW","Add new / another parish",CTR1_Local!$AN165))</f>
        <v/>
      </c>
      <c r="C134" s="26" t="str">
        <f t="shared" si="2"/>
        <v/>
      </c>
      <c r="D134" s="177" t="str">
        <f>IF(A134="","",IF(RIGHT(A134,3)="NEW",CTR1_Local!$E165,IF(CTR1_Local!$AO165="change",CTR1_Local!$E165,"")))</f>
        <v/>
      </c>
      <c r="E134" t="str">
        <f>IF(CTR1_Local!$F165="","",CTR1_Local!$F165)</f>
        <v/>
      </c>
      <c r="F134" s="261" t="str">
        <f>IF(CTR1_Local!$T165="","",IF(CTR1_Local!$T165="Yes","Removed",""))</f>
        <v/>
      </c>
      <c r="G134" t="str">
        <f>IF(CTR1_Local!$N165="","",IF(F134="Removed","",CTR1_Local!$N165))</f>
        <v/>
      </c>
      <c r="H134" t="str">
        <f>IF(CTR1_Local!$P165="","",IF($F134="Removed","",CTR1_Local!$P165))</f>
        <v/>
      </c>
      <c r="I134" t="str">
        <f>IF(CTR1_Local!$R165="","",IF($F134="Removed","",CTR1_Local!$R165))</f>
        <v/>
      </c>
      <c r="J134" s="160" t="str">
        <f>CTR1_Local!$H165</f>
        <v/>
      </c>
      <c r="K134" s="340" t="str">
        <f>CTR1_Local!$J165</f>
        <v/>
      </c>
      <c r="L134" s="350" t="str">
        <f>CTR1_Local!$L165</f>
        <v/>
      </c>
      <c r="M134" s="261" t="str">
        <f>IF(CTR1_Local!$V165="","",IF(CTR1_Local!$V165="Yes","confirm",""))</f>
        <v/>
      </c>
      <c r="N134" t="str">
        <f>IF(CTR1_Local!$W165="","",CTR1_Local!$W165)</f>
        <v/>
      </c>
    </row>
    <row r="135" spans="1:14" x14ac:dyDescent="0.2">
      <c r="A135" s="287" t="str">
        <f>IF(CTR1_Local!$D166="",CTR1_Local!B166,CTR1_Local!$D166)</f>
        <v/>
      </c>
      <c r="B135" s="26" t="str">
        <f>IF(A135="","",IF(RIGHT(A135,3)="NEW","Add new / another parish",CTR1_Local!$AN166))</f>
        <v/>
      </c>
      <c r="C135" s="26" t="str">
        <f t="shared" si="2"/>
        <v/>
      </c>
      <c r="D135" s="177" t="str">
        <f>IF(A135="","",IF(RIGHT(A135,3)="NEW",CTR1_Local!$E166,IF(CTR1_Local!$AO166="change",CTR1_Local!$E166,"")))</f>
        <v/>
      </c>
      <c r="E135" t="str">
        <f>IF(CTR1_Local!$F166="","",CTR1_Local!$F166)</f>
        <v/>
      </c>
      <c r="F135" s="261" t="str">
        <f>IF(CTR1_Local!$T166="","",IF(CTR1_Local!$T166="Yes","Removed",""))</f>
        <v/>
      </c>
      <c r="G135" t="str">
        <f>IF(CTR1_Local!$N166="","",IF(F135="Removed","",CTR1_Local!$N166))</f>
        <v/>
      </c>
      <c r="H135" t="str">
        <f>IF(CTR1_Local!$P166="","",IF($F135="Removed","",CTR1_Local!$P166))</f>
        <v/>
      </c>
      <c r="I135" t="str">
        <f>IF(CTR1_Local!$R166="","",IF($F135="Removed","",CTR1_Local!$R166))</f>
        <v/>
      </c>
      <c r="J135" s="160" t="str">
        <f>CTR1_Local!$H166</f>
        <v/>
      </c>
      <c r="K135" s="340" t="str">
        <f>CTR1_Local!$J166</f>
        <v/>
      </c>
      <c r="L135" s="350" t="str">
        <f>CTR1_Local!$L166</f>
        <v/>
      </c>
      <c r="M135" s="261" t="str">
        <f>IF(CTR1_Local!$V166="","",IF(CTR1_Local!$V166="Yes","confirm",""))</f>
        <v/>
      </c>
      <c r="N135" t="str">
        <f>IF(CTR1_Local!$W166="","",CTR1_Local!$W166)</f>
        <v/>
      </c>
    </row>
    <row r="136" spans="1:14" x14ac:dyDescent="0.2">
      <c r="A136" s="287" t="str">
        <f>IF(CTR1_Local!$D167="",CTR1_Local!B167,CTR1_Local!$D167)</f>
        <v/>
      </c>
      <c r="B136" s="26" t="str">
        <f>IF(A136="","",IF(RIGHT(A136,3)="NEW","Add new / another parish",CTR1_Local!$AN167))</f>
        <v/>
      </c>
      <c r="C136" s="26" t="str">
        <f t="shared" si="2"/>
        <v/>
      </c>
      <c r="D136" s="177" t="str">
        <f>IF(A136="","",IF(RIGHT(A136,3)="NEW",CTR1_Local!$E167,IF(CTR1_Local!$AO167="change",CTR1_Local!$E167,"")))</f>
        <v/>
      </c>
      <c r="E136" t="str">
        <f>IF(CTR1_Local!$F167="","",CTR1_Local!$F167)</f>
        <v/>
      </c>
      <c r="F136" s="261" t="str">
        <f>IF(CTR1_Local!$T167="","",IF(CTR1_Local!$T167="Yes","Removed",""))</f>
        <v/>
      </c>
      <c r="G136" t="str">
        <f>IF(CTR1_Local!$N167="","",IF(F136="Removed","",CTR1_Local!$N167))</f>
        <v/>
      </c>
      <c r="H136" t="str">
        <f>IF(CTR1_Local!$P167="","",IF($F136="Removed","",CTR1_Local!$P167))</f>
        <v/>
      </c>
      <c r="I136" t="str">
        <f>IF(CTR1_Local!$R167="","",IF($F136="Removed","",CTR1_Local!$R167))</f>
        <v/>
      </c>
      <c r="J136" s="160" t="str">
        <f>CTR1_Local!$H167</f>
        <v/>
      </c>
      <c r="K136" s="340" t="str">
        <f>CTR1_Local!$J167</f>
        <v/>
      </c>
      <c r="L136" s="350" t="str">
        <f>CTR1_Local!$L167</f>
        <v/>
      </c>
      <c r="M136" s="261" t="str">
        <f>IF(CTR1_Local!$V167="","",IF(CTR1_Local!$V167="Yes","confirm",""))</f>
        <v/>
      </c>
      <c r="N136" t="str">
        <f>IF(CTR1_Local!$W167="","",CTR1_Local!$W167)</f>
        <v/>
      </c>
    </row>
    <row r="137" spans="1:14" x14ac:dyDescent="0.2">
      <c r="A137" s="287" t="str">
        <f>IF(CTR1_Local!$D168="",CTR1_Local!B168,CTR1_Local!$D168)</f>
        <v/>
      </c>
      <c r="B137" s="26" t="str">
        <f>IF(A137="","",IF(RIGHT(A137,3)="NEW","Add new / another parish",CTR1_Local!$AN168))</f>
        <v/>
      </c>
      <c r="C137" s="26" t="str">
        <f t="shared" si="2"/>
        <v/>
      </c>
      <c r="D137" s="177" t="str">
        <f>IF(A137="","",IF(RIGHT(A137,3)="NEW",CTR1_Local!$E168,IF(CTR1_Local!$AO168="change",CTR1_Local!$E168,"")))</f>
        <v/>
      </c>
      <c r="E137" t="str">
        <f>IF(CTR1_Local!$F168="","",CTR1_Local!$F168)</f>
        <v/>
      </c>
      <c r="F137" s="261" t="str">
        <f>IF(CTR1_Local!$T168="","",IF(CTR1_Local!$T168="Yes","Removed",""))</f>
        <v/>
      </c>
      <c r="G137" t="str">
        <f>IF(CTR1_Local!$N168="","",IF(F137="Removed","",CTR1_Local!$N168))</f>
        <v/>
      </c>
      <c r="H137" t="str">
        <f>IF(CTR1_Local!$P168="","",IF($F137="Removed","",CTR1_Local!$P168))</f>
        <v/>
      </c>
      <c r="I137" t="str">
        <f>IF(CTR1_Local!$R168="","",IF($F137="Removed","",CTR1_Local!$R168))</f>
        <v/>
      </c>
      <c r="J137" s="160" t="str">
        <f>CTR1_Local!$H168</f>
        <v/>
      </c>
      <c r="K137" s="340" t="str">
        <f>CTR1_Local!$J168</f>
        <v/>
      </c>
      <c r="L137" s="350" t="str">
        <f>CTR1_Local!$L168</f>
        <v/>
      </c>
      <c r="M137" s="261" t="str">
        <f>IF(CTR1_Local!$V168="","",IF(CTR1_Local!$V168="Yes","confirm",""))</f>
        <v/>
      </c>
      <c r="N137" t="str">
        <f>IF(CTR1_Local!$W168="","",CTR1_Local!$W168)</f>
        <v/>
      </c>
    </row>
    <row r="138" spans="1:14" x14ac:dyDescent="0.2">
      <c r="A138" s="287" t="str">
        <f>IF(CTR1_Local!$D169="",CTR1_Local!B169,CTR1_Local!$D169)</f>
        <v/>
      </c>
      <c r="B138" s="26" t="str">
        <f>IF(A138="","",IF(RIGHT(A138,3)="NEW","Add new / another parish",CTR1_Local!$AN169))</f>
        <v/>
      </c>
      <c r="C138" s="26" t="str">
        <f t="shared" si="2"/>
        <v/>
      </c>
      <c r="D138" s="177" t="str">
        <f>IF(A138="","",IF(RIGHT(A138,3)="NEW",CTR1_Local!$E169,IF(CTR1_Local!$AO169="change",CTR1_Local!$E169,"")))</f>
        <v/>
      </c>
      <c r="E138" t="str">
        <f>IF(CTR1_Local!$F169="","",CTR1_Local!$F169)</f>
        <v/>
      </c>
      <c r="F138" s="261" t="str">
        <f>IF(CTR1_Local!$T169="","",IF(CTR1_Local!$T169="Yes","Removed",""))</f>
        <v/>
      </c>
      <c r="G138" t="str">
        <f>IF(CTR1_Local!$N169="","",IF(F138="Removed","",CTR1_Local!$N169))</f>
        <v/>
      </c>
      <c r="H138" t="str">
        <f>IF(CTR1_Local!$P169="","",IF($F138="Removed","",CTR1_Local!$P169))</f>
        <v/>
      </c>
      <c r="I138" t="str">
        <f>IF(CTR1_Local!$R169="","",IF($F138="Removed","",CTR1_Local!$R169))</f>
        <v/>
      </c>
      <c r="J138" s="160" t="str">
        <f>CTR1_Local!$H169</f>
        <v/>
      </c>
      <c r="K138" s="340" t="str">
        <f>CTR1_Local!$J169</f>
        <v/>
      </c>
      <c r="L138" s="350" t="str">
        <f>CTR1_Local!$L169</f>
        <v/>
      </c>
      <c r="M138" s="261" t="str">
        <f>IF(CTR1_Local!$V169="","",IF(CTR1_Local!$V169="Yes","confirm",""))</f>
        <v/>
      </c>
      <c r="N138" t="str">
        <f>IF(CTR1_Local!$W169="","",CTR1_Local!$W169)</f>
        <v/>
      </c>
    </row>
    <row r="139" spans="1:14" x14ac:dyDescent="0.2">
      <c r="A139" s="287" t="str">
        <f>IF(CTR1_Local!$D170="",CTR1_Local!B170,CTR1_Local!$D170)</f>
        <v/>
      </c>
      <c r="B139" s="26" t="str">
        <f>IF(A139="","",IF(RIGHT(A139,3)="NEW","Add new / another parish",CTR1_Local!$AN170))</f>
        <v/>
      </c>
      <c r="C139" s="26" t="str">
        <f t="shared" si="2"/>
        <v/>
      </c>
      <c r="D139" s="177" t="str">
        <f>IF(A139="","",IF(RIGHT(A139,3)="NEW",CTR1_Local!$E170,IF(CTR1_Local!$AO170="change",CTR1_Local!$E170,"")))</f>
        <v/>
      </c>
      <c r="E139" t="str">
        <f>IF(CTR1_Local!$F170="","",CTR1_Local!$F170)</f>
        <v/>
      </c>
      <c r="F139" s="261" t="str">
        <f>IF(CTR1_Local!$T170="","",IF(CTR1_Local!$T170="Yes","Removed",""))</f>
        <v/>
      </c>
      <c r="G139" t="str">
        <f>IF(CTR1_Local!$N170="","",IF(F139="Removed","",CTR1_Local!$N170))</f>
        <v/>
      </c>
      <c r="H139" t="str">
        <f>IF(CTR1_Local!$P170="","",IF($F139="Removed","",CTR1_Local!$P170))</f>
        <v/>
      </c>
      <c r="I139" t="str">
        <f>IF(CTR1_Local!$R170="","",IF($F139="Removed","",CTR1_Local!$R170))</f>
        <v/>
      </c>
      <c r="J139" s="160" t="str">
        <f>CTR1_Local!$H170</f>
        <v/>
      </c>
      <c r="K139" s="340" t="str">
        <f>CTR1_Local!$J170</f>
        <v/>
      </c>
      <c r="L139" s="350" t="str">
        <f>CTR1_Local!$L170</f>
        <v/>
      </c>
      <c r="M139" s="261" t="str">
        <f>IF(CTR1_Local!$V170="","",IF(CTR1_Local!$V170="Yes","confirm",""))</f>
        <v/>
      </c>
      <c r="N139" t="str">
        <f>IF(CTR1_Local!$W170="","",CTR1_Local!$W170)</f>
        <v/>
      </c>
    </row>
    <row r="140" spans="1:14" x14ac:dyDescent="0.2">
      <c r="A140" s="287" t="str">
        <f>IF(CTR1_Local!$D171="",CTR1_Local!B171,CTR1_Local!$D171)</f>
        <v/>
      </c>
      <c r="B140" s="26" t="str">
        <f>IF(A140="","",IF(RIGHT(A140,3)="NEW","Add new / another parish",CTR1_Local!$AN171))</f>
        <v/>
      </c>
      <c r="C140" s="26" t="str">
        <f t="shared" si="2"/>
        <v/>
      </c>
      <c r="D140" s="177" t="str">
        <f>IF(A140="","",IF(RIGHT(A140,3)="NEW",CTR1_Local!$E171,IF(CTR1_Local!$AO171="change",CTR1_Local!$E171,"")))</f>
        <v/>
      </c>
      <c r="E140" t="str">
        <f>IF(CTR1_Local!$F171="","",CTR1_Local!$F171)</f>
        <v/>
      </c>
      <c r="F140" s="261" t="str">
        <f>IF(CTR1_Local!$T171="","",IF(CTR1_Local!$T171="Yes","Removed",""))</f>
        <v/>
      </c>
      <c r="G140" t="str">
        <f>IF(CTR1_Local!$N171="","",IF(F140="Removed","",CTR1_Local!$N171))</f>
        <v/>
      </c>
      <c r="H140" t="str">
        <f>IF(CTR1_Local!$P171="","",IF($F140="Removed","",CTR1_Local!$P171))</f>
        <v/>
      </c>
      <c r="I140" t="str">
        <f>IF(CTR1_Local!$R171="","",IF($F140="Removed","",CTR1_Local!$R171))</f>
        <v/>
      </c>
      <c r="J140" s="160" t="str">
        <f>CTR1_Local!$H171</f>
        <v/>
      </c>
      <c r="K140" s="340" t="str">
        <f>CTR1_Local!$J171</f>
        <v/>
      </c>
      <c r="L140" s="350" t="str">
        <f>CTR1_Local!$L171</f>
        <v/>
      </c>
      <c r="M140" s="261" t="str">
        <f>IF(CTR1_Local!$V171="","",IF(CTR1_Local!$V171="Yes","confirm",""))</f>
        <v/>
      </c>
      <c r="N140" t="str">
        <f>IF(CTR1_Local!$W171="","",CTR1_Local!$W171)</f>
        <v/>
      </c>
    </row>
    <row r="141" spans="1:14" x14ac:dyDescent="0.2">
      <c r="A141" s="287" t="str">
        <f>IF(CTR1_Local!$D172="",CTR1_Local!B172,CTR1_Local!$D172)</f>
        <v/>
      </c>
      <c r="B141" s="26" t="str">
        <f>IF(A141="","",IF(RIGHT(A141,3)="NEW","Add new / another parish",CTR1_Local!$AN172))</f>
        <v/>
      </c>
      <c r="C141" s="26" t="str">
        <f t="shared" si="2"/>
        <v/>
      </c>
      <c r="D141" s="177" t="str">
        <f>IF(A141="","",IF(RIGHT(A141,3)="NEW",CTR1_Local!$E172,IF(CTR1_Local!$AO172="change",CTR1_Local!$E172,"")))</f>
        <v/>
      </c>
      <c r="E141" t="str">
        <f>IF(CTR1_Local!$F172="","",CTR1_Local!$F172)</f>
        <v/>
      </c>
      <c r="F141" s="261" t="str">
        <f>IF(CTR1_Local!$T172="","",IF(CTR1_Local!$T172="Yes","Removed",""))</f>
        <v/>
      </c>
      <c r="G141" t="str">
        <f>IF(CTR1_Local!$N172="","",IF(F141="Removed","",CTR1_Local!$N172))</f>
        <v/>
      </c>
      <c r="H141" t="str">
        <f>IF(CTR1_Local!$P172="","",IF($F141="Removed","",CTR1_Local!$P172))</f>
        <v/>
      </c>
      <c r="I141" t="str">
        <f>IF(CTR1_Local!$R172="","",IF($F141="Removed","",CTR1_Local!$R172))</f>
        <v/>
      </c>
      <c r="J141" s="160" t="str">
        <f>CTR1_Local!$H172</f>
        <v/>
      </c>
      <c r="K141" s="340" t="str">
        <f>CTR1_Local!$J172</f>
        <v/>
      </c>
      <c r="L141" s="350" t="str">
        <f>CTR1_Local!$L172</f>
        <v/>
      </c>
      <c r="M141" s="261" t="str">
        <f>IF(CTR1_Local!$V172="","",IF(CTR1_Local!$V172="Yes","confirm",""))</f>
        <v/>
      </c>
      <c r="N141" t="str">
        <f>IF(CTR1_Local!$W172="","",CTR1_Local!$W172)</f>
        <v/>
      </c>
    </row>
    <row r="142" spans="1:14" x14ac:dyDescent="0.2">
      <c r="A142" s="287" t="str">
        <f>IF(CTR1_Local!$D173="",CTR1_Local!B173,CTR1_Local!$D173)</f>
        <v/>
      </c>
      <c r="B142" s="26" t="str">
        <f>IF(A142="","",IF(RIGHT(A142,3)="NEW","Add new / another parish",CTR1_Local!$AN173))</f>
        <v/>
      </c>
      <c r="C142" s="26" t="str">
        <f t="shared" si="2"/>
        <v/>
      </c>
      <c r="D142" s="177" t="str">
        <f>IF(A142="","",IF(RIGHT(A142,3)="NEW",CTR1_Local!$E173,IF(CTR1_Local!$AO173="change",CTR1_Local!$E173,"")))</f>
        <v/>
      </c>
      <c r="E142" t="str">
        <f>IF(CTR1_Local!$F173="","",CTR1_Local!$F173)</f>
        <v/>
      </c>
      <c r="F142" s="261" t="str">
        <f>IF(CTR1_Local!$T173="","",IF(CTR1_Local!$T173="Yes","Removed",""))</f>
        <v/>
      </c>
      <c r="G142" t="str">
        <f>IF(CTR1_Local!$N173="","",IF(F142="Removed","",CTR1_Local!$N173))</f>
        <v/>
      </c>
      <c r="H142" t="str">
        <f>IF(CTR1_Local!$P173="","",IF($F142="Removed","",CTR1_Local!$P173))</f>
        <v/>
      </c>
      <c r="I142" t="str">
        <f>IF(CTR1_Local!$R173="","",IF($F142="Removed","",CTR1_Local!$R173))</f>
        <v/>
      </c>
      <c r="J142" s="160" t="str">
        <f>CTR1_Local!$H173</f>
        <v/>
      </c>
      <c r="K142" s="340" t="str">
        <f>CTR1_Local!$J173</f>
        <v/>
      </c>
      <c r="L142" s="350" t="str">
        <f>CTR1_Local!$L173</f>
        <v/>
      </c>
      <c r="M142" s="261" t="str">
        <f>IF(CTR1_Local!$V173="","",IF(CTR1_Local!$V173="Yes","confirm",""))</f>
        <v/>
      </c>
      <c r="N142" t="str">
        <f>IF(CTR1_Local!$W173="","",CTR1_Local!$W173)</f>
        <v/>
      </c>
    </row>
    <row r="143" spans="1:14" x14ac:dyDescent="0.2">
      <c r="A143" s="287" t="str">
        <f>IF(CTR1_Local!$D174="",CTR1_Local!B174,CTR1_Local!$D174)</f>
        <v/>
      </c>
      <c r="B143" s="26" t="str">
        <f>IF(A143="","",IF(RIGHT(A143,3)="NEW","Add new / another parish",CTR1_Local!$AN174))</f>
        <v/>
      </c>
      <c r="C143" s="26" t="str">
        <f t="shared" si="2"/>
        <v/>
      </c>
      <c r="D143" s="177" t="str">
        <f>IF(A143="","",IF(RIGHT(A143,3)="NEW",CTR1_Local!$E174,IF(CTR1_Local!$AO174="change",CTR1_Local!$E174,"")))</f>
        <v/>
      </c>
      <c r="E143" t="str">
        <f>IF(CTR1_Local!$F174="","",CTR1_Local!$F174)</f>
        <v/>
      </c>
      <c r="F143" s="261" t="str">
        <f>IF(CTR1_Local!$T174="","",IF(CTR1_Local!$T174="Yes","Removed",""))</f>
        <v/>
      </c>
      <c r="G143" t="str">
        <f>IF(CTR1_Local!$N174="","",IF(F143="Removed","",CTR1_Local!$N174))</f>
        <v/>
      </c>
      <c r="H143" t="str">
        <f>IF(CTR1_Local!$P174="","",IF($F143="Removed","",CTR1_Local!$P174))</f>
        <v/>
      </c>
      <c r="I143" t="str">
        <f>IF(CTR1_Local!$R174="","",IF($F143="Removed","",CTR1_Local!$R174))</f>
        <v/>
      </c>
      <c r="J143" s="160" t="str">
        <f>CTR1_Local!$H174</f>
        <v/>
      </c>
      <c r="K143" s="340" t="str">
        <f>CTR1_Local!$J174</f>
        <v/>
      </c>
      <c r="L143" s="350" t="str">
        <f>CTR1_Local!$L174</f>
        <v/>
      </c>
      <c r="M143" s="261" t="str">
        <f>IF(CTR1_Local!$V174="","",IF(CTR1_Local!$V174="Yes","confirm",""))</f>
        <v/>
      </c>
      <c r="N143" t="str">
        <f>IF(CTR1_Local!$W174="","",CTR1_Local!$W174)</f>
        <v/>
      </c>
    </row>
    <row r="144" spans="1:14" x14ac:dyDescent="0.2">
      <c r="A144" s="287" t="str">
        <f>IF(CTR1_Local!$D175="",CTR1_Local!B175,CTR1_Local!$D175)</f>
        <v/>
      </c>
      <c r="B144" s="26" t="str">
        <f>IF(A144="","",IF(RIGHT(A144,3)="NEW","Add new / another parish",CTR1_Local!$AN175))</f>
        <v/>
      </c>
      <c r="C144" s="26" t="str">
        <f t="shared" si="2"/>
        <v/>
      </c>
      <c r="D144" s="177" t="str">
        <f>IF(A144="","",IF(RIGHT(A144,3)="NEW",CTR1_Local!$E175,IF(CTR1_Local!$AO175="change",CTR1_Local!$E175,"")))</f>
        <v/>
      </c>
      <c r="E144" t="str">
        <f>IF(CTR1_Local!$F175="","",CTR1_Local!$F175)</f>
        <v/>
      </c>
      <c r="F144" s="261" t="str">
        <f>IF(CTR1_Local!$T175="","",IF(CTR1_Local!$T175="Yes","Removed",""))</f>
        <v/>
      </c>
      <c r="G144" t="str">
        <f>IF(CTR1_Local!$N175="","",IF(F144="Removed","",CTR1_Local!$N175))</f>
        <v/>
      </c>
      <c r="H144" t="str">
        <f>IF(CTR1_Local!$P175="","",IF($F144="Removed","",CTR1_Local!$P175))</f>
        <v/>
      </c>
      <c r="I144" t="str">
        <f>IF(CTR1_Local!$R175="","",IF($F144="Removed","",CTR1_Local!$R175))</f>
        <v/>
      </c>
      <c r="J144" s="160" t="str">
        <f>CTR1_Local!$H175</f>
        <v/>
      </c>
      <c r="K144" s="340" t="str">
        <f>CTR1_Local!$J175</f>
        <v/>
      </c>
      <c r="L144" s="350" t="str">
        <f>CTR1_Local!$L175</f>
        <v/>
      </c>
      <c r="M144" s="261" t="str">
        <f>IF(CTR1_Local!$V175="","",IF(CTR1_Local!$V175="Yes","confirm",""))</f>
        <v/>
      </c>
      <c r="N144" t="str">
        <f>IF(CTR1_Local!$W175="","",CTR1_Local!$W175)</f>
        <v/>
      </c>
    </row>
    <row r="145" spans="1:14" x14ac:dyDescent="0.2">
      <c r="A145" s="287" t="str">
        <f>IF(CTR1_Local!$D176="",CTR1_Local!B176,CTR1_Local!$D176)</f>
        <v/>
      </c>
      <c r="B145" s="26" t="str">
        <f>IF(A145="","",IF(RIGHT(A145,3)="NEW","Add new / another parish",CTR1_Local!$AN176))</f>
        <v/>
      </c>
      <c r="C145" s="26" t="str">
        <f t="shared" si="2"/>
        <v/>
      </c>
      <c r="D145" s="177" t="str">
        <f>IF(A145="","",IF(RIGHT(A145,3)="NEW",CTR1_Local!$E176,IF(CTR1_Local!$AO176="change",CTR1_Local!$E176,"")))</f>
        <v/>
      </c>
      <c r="E145" t="str">
        <f>IF(CTR1_Local!$F176="","",CTR1_Local!$F176)</f>
        <v/>
      </c>
      <c r="F145" s="261" t="str">
        <f>IF(CTR1_Local!$T176="","",IF(CTR1_Local!$T176="Yes","Removed",""))</f>
        <v/>
      </c>
      <c r="G145" t="str">
        <f>IF(CTR1_Local!$N176="","",IF(F145="Removed","",CTR1_Local!$N176))</f>
        <v/>
      </c>
      <c r="H145" t="str">
        <f>IF(CTR1_Local!$P176="","",IF($F145="Removed","",CTR1_Local!$P176))</f>
        <v/>
      </c>
      <c r="I145" t="str">
        <f>IF(CTR1_Local!$R176="","",IF($F145="Removed","",CTR1_Local!$R176))</f>
        <v/>
      </c>
      <c r="J145" s="160" t="str">
        <f>CTR1_Local!$H176</f>
        <v/>
      </c>
      <c r="K145" s="340" t="str">
        <f>CTR1_Local!$J176</f>
        <v/>
      </c>
      <c r="L145" s="350" t="str">
        <f>CTR1_Local!$L176</f>
        <v/>
      </c>
      <c r="M145" s="261" t="str">
        <f>IF(CTR1_Local!$V176="","",IF(CTR1_Local!$V176="Yes","confirm",""))</f>
        <v/>
      </c>
      <c r="N145" t="str">
        <f>IF(CTR1_Local!$W176="","",CTR1_Local!$W176)</f>
        <v/>
      </c>
    </row>
    <row r="146" spans="1:14" x14ac:dyDescent="0.2">
      <c r="A146" s="287" t="str">
        <f>IF(CTR1_Local!$D177="",CTR1_Local!B177,CTR1_Local!$D177)</f>
        <v/>
      </c>
      <c r="B146" s="26" t="str">
        <f>IF(A146="","",IF(RIGHT(A146,3)="NEW","Add new / another parish",CTR1_Local!$AN177))</f>
        <v/>
      </c>
      <c r="C146" s="26" t="str">
        <f t="shared" si="2"/>
        <v/>
      </c>
      <c r="D146" s="177" t="str">
        <f>IF(A146="","",IF(RIGHT(A146,3)="NEW",CTR1_Local!$E177,IF(CTR1_Local!$AO177="change",CTR1_Local!$E177,"")))</f>
        <v/>
      </c>
      <c r="E146" t="str">
        <f>IF(CTR1_Local!$F177="","",CTR1_Local!$F177)</f>
        <v/>
      </c>
      <c r="F146" s="261" t="str">
        <f>IF(CTR1_Local!$T177="","",IF(CTR1_Local!$T177="Yes","Removed",""))</f>
        <v/>
      </c>
      <c r="G146" t="str">
        <f>IF(CTR1_Local!$N177="","",IF(F146="Removed","",CTR1_Local!$N177))</f>
        <v/>
      </c>
      <c r="H146" t="str">
        <f>IF(CTR1_Local!$P177="","",IF($F146="Removed","",CTR1_Local!$P177))</f>
        <v/>
      </c>
      <c r="I146" t="str">
        <f>IF(CTR1_Local!$R177="","",IF($F146="Removed","",CTR1_Local!$R177))</f>
        <v/>
      </c>
      <c r="J146" s="160" t="str">
        <f>CTR1_Local!$H177</f>
        <v/>
      </c>
      <c r="K146" s="340" t="str">
        <f>CTR1_Local!$J177</f>
        <v/>
      </c>
      <c r="L146" s="350" t="str">
        <f>CTR1_Local!$L177</f>
        <v/>
      </c>
      <c r="M146" s="261" t="str">
        <f>IF(CTR1_Local!$V177="","",IF(CTR1_Local!$V177="Yes","confirm",""))</f>
        <v/>
      </c>
      <c r="N146" t="str">
        <f>IF(CTR1_Local!$W177="","",CTR1_Local!$W177)</f>
        <v/>
      </c>
    </row>
    <row r="147" spans="1:14" x14ac:dyDescent="0.2">
      <c r="A147" s="287" t="str">
        <f>IF(CTR1_Local!$D178="",CTR1_Local!B178,CTR1_Local!$D178)</f>
        <v/>
      </c>
      <c r="B147" s="26" t="str">
        <f>IF(A147="","",IF(RIGHT(A147,3)="NEW","Add new / another parish",CTR1_Local!$AN178))</f>
        <v/>
      </c>
      <c r="C147" s="26" t="str">
        <f t="shared" si="2"/>
        <v/>
      </c>
      <c r="D147" s="177" t="str">
        <f>IF(A147="","",IF(RIGHT(A147,3)="NEW",CTR1_Local!$E178,IF(CTR1_Local!$AO178="change",CTR1_Local!$E178,"")))</f>
        <v/>
      </c>
      <c r="E147" t="str">
        <f>IF(CTR1_Local!$F178="","",CTR1_Local!$F178)</f>
        <v/>
      </c>
      <c r="F147" s="261" t="str">
        <f>IF(CTR1_Local!$T178="","",IF(CTR1_Local!$T178="Yes","Removed",""))</f>
        <v/>
      </c>
      <c r="G147" t="str">
        <f>IF(CTR1_Local!$N178="","",IF(F147="Removed","",CTR1_Local!$N178))</f>
        <v/>
      </c>
      <c r="H147" t="str">
        <f>IF(CTR1_Local!$P178="","",IF($F147="Removed","",CTR1_Local!$P178))</f>
        <v/>
      </c>
      <c r="I147" t="str">
        <f>IF(CTR1_Local!$R178="","",IF($F147="Removed","",CTR1_Local!$R178))</f>
        <v/>
      </c>
      <c r="J147" s="160" t="str">
        <f>CTR1_Local!$H178</f>
        <v/>
      </c>
      <c r="K147" s="340" t="str">
        <f>CTR1_Local!$J178</f>
        <v/>
      </c>
      <c r="L147" s="350" t="str">
        <f>CTR1_Local!$L178</f>
        <v/>
      </c>
      <c r="M147" s="261" t="str">
        <f>IF(CTR1_Local!$V178="","",IF(CTR1_Local!$V178="Yes","confirm",""))</f>
        <v/>
      </c>
      <c r="N147" t="str">
        <f>IF(CTR1_Local!$W178="","",CTR1_Local!$W178)</f>
        <v/>
      </c>
    </row>
    <row r="148" spans="1:14" x14ac:dyDescent="0.2">
      <c r="A148" s="287" t="str">
        <f>IF(CTR1_Local!$D179="",CTR1_Local!B179,CTR1_Local!$D179)</f>
        <v/>
      </c>
      <c r="B148" s="26" t="str">
        <f>IF(A148="","",IF(RIGHT(A148,3)="NEW","Add new / another parish",CTR1_Local!$AN179))</f>
        <v/>
      </c>
      <c r="C148" s="26" t="str">
        <f t="shared" si="2"/>
        <v/>
      </c>
      <c r="D148" s="177" t="str">
        <f>IF(A148="","",IF(RIGHT(A148,3)="NEW",CTR1_Local!$E179,IF(CTR1_Local!$AO179="change",CTR1_Local!$E179,"")))</f>
        <v/>
      </c>
      <c r="E148" t="str">
        <f>IF(CTR1_Local!$F179="","",CTR1_Local!$F179)</f>
        <v/>
      </c>
      <c r="F148" s="261" t="str">
        <f>IF(CTR1_Local!$T179="","",IF(CTR1_Local!$T179="Yes","Removed",""))</f>
        <v/>
      </c>
      <c r="G148" t="str">
        <f>IF(CTR1_Local!$N179="","",IF(F148="Removed","",CTR1_Local!$N179))</f>
        <v/>
      </c>
      <c r="H148" t="str">
        <f>IF(CTR1_Local!$P179="","",IF($F148="Removed","",CTR1_Local!$P179))</f>
        <v/>
      </c>
      <c r="I148" t="str">
        <f>IF(CTR1_Local!$R179="","",IF($F148="Removed","",CTR1_Local!$R179))</f>
        <v/>
      </c>
      <c r="J148" s="160" t="str">
        <f>CTR1_Local!$H179</f>
        <v/>
      </c>
      <c r="K148" s="340" t="str">
        <f>CTR1_Local!$J179</f>
        <v/>
      </c>
      <c r="L148" s="350" t="str">
        <f>CTR1_Local!$L179</f>
        <v/>
      </c>
      <c r="M148" s="261" t="str">
        <f>IF(CTR1_Local!$V179="","",IF(CTR1_Local!$V179="Yes","confirm",""))</f>
        <v/>
      </c>
      <c r="N148" t="str">
        <f>IF(CTR1_Local!$W179="","",CTR1_Local!$W179)</f>
        <v/>
      </c>
    </row>
    <row r="149" spans="1:14" x14ac:dyDescent="0.2">
      <c r="A149" s="287" t="str">
        <f>IF(CTR1_Local!$D180="",CTR1_Local!B180,CTR1_Local!$D180)</f>
        <v/>
      </c>
      <c r="B149" s="26" t="str">
        <f>IF(A149="","",IF(RIGHT(A149,3)="NEW","Add new / another parish",CTR1_Local!$AN180))</f>
        <v/>
      </c>
      <c r="C149" s="26" t="str">
        <f t="shared" si="2"/>
        <v/>
      </c>
      <c r="D149" s="177" t="str">
        <f>IF(A149="","",IF(RIGHT(A149,3)="NEW",CTR1_Local!$E180,IF(CTR1_Local!$AO180="change",CTR1_Local!$E180,"")))</f>
        <v/>
      </c>
      <c r="E149" t="str">
        <f>IF(CTR1_Local!$F180="","",CTR1_Local!$F180)</f>
        <v/>
      </c>
      <c r="F149" s="261" t="str">
        <f>IF(CTR1_Local!$T180="","",IF(CTR1_Local!$T180="Yes","Removed",""))</f>
        <v/>
      </c>
      <c r="G149" t="str">
        <f>IF(CTR1_Local!$N180="","",IF(F149="Removed","",CTR1_Local!$N180))</f>
        <v/>
      </c>
      <c r="H149" t="str">
        <f>IF(CTR1_Local!$P180="","",IF($F149="Removed","",CTR1_Local!$P180))</f>
        <v/>
      </c>
      <c r="I149" t="str">
        <f>IF(CTR1_Local!$R180="","",IF($F149="Removed","",CTR1_Local!$R180))</f>
        <v/>
      </c>
      <c r="J149" s="160" t="str">
        <f>CTR1_Local!$H180</f>
        <v/>
      </c>
      <c r="K149" s="340" t="str">
        <f>CTR1_Local!$J180</f>
        <v/>
      </c>
      <c r="L149" s="350" t="str">
        <f>CTR1_Local!$L180</f>
        <v/>
      </c>
      <c r="M149" s="261" t="str">
        <f>IF(CTR1_Local!$V180="","",IF(CTR1_Local!$V180="Yes","confirm",""))</f>
        <v/>
      </c>
      <c r="N149" t="str">
        <f>IF(CTR1_Local!$W180="","",CTR1_Local!$W180)</f>
        <v/>
      </c>
    </row>
    <row r="150" spans="1:14" x14ac:dyDescent="0.2">
      <c r="A150" s="287" t="str">
        <f>IF(CTR1_Local!$D181="",CTR1_Local!B181,CTR1_Local!$D181)</f>
        <v/>
      </c>
      <c r="B150" s="26" t="str">
        <f>IF(A150="","",IF(RIGHT(A150,3)="NEW","Add new / another parish",CTR1_Local!$AN181))</f>
        <v/>
      </c>
      <c r="C150" s="26" t="str">
        <f t="shared" si="2"/>
        <v/>
      </c>
      <c r="D150" s="177" t="str">
        <f>IF(A150="","",IF(RIGHT(A150,3)="NEW",CTR1_Local!$E181,IF(CTR1_Local!$AO181="change",CTR1_Local!$E181,"")))</f>
        <v/>
      </c>
      <c r="E150" t="str">
        <f>IF(CTR1_Local!$F181="","",CTR1_Local!$F181)</f>
        <v/>
      </c>
      <c r="F150" s="261" t="str">
        <f>IF(CTR1_Local!$T181="","",IF(CTR1_Local!$T181="Yes","Removed",""))</f>
        <v/>
      </c>
      <c r="G150" t="str">
        <f>IF(CTR1_Local!$N181="","",IF(F150="Removed","",CTR1_Local!$N181))</f>
        <v/>
      </c>
      <c r="H150" t="str">
        <f>IF(CTR1_Local!$P181="","",IF($F150="Removed","",CTR1_Local!$P181))</f>
        <v/>
      </c>
      <c r="I150" t="str">
        <f>IF(CTR1_Local!$R181="","",IF($F150="Removed","",CTR1_Local!$R181))</f>
        <v/>
      </c>
      <c r="J150" s="160" t="str">
        <f>CTR1_Local!$H181</f>
        <v/>
      </c>
      <c r="K150" s="340" t="str">
        <f>CTR1_Local!$J181</f>
        <v/>
      </c>
      <c r="L150" s="350" t="str">
        <f>CTR1_Local!$L181</f>
        <v/>
      </c>
      <c r="M150" s="261" t="str">
        <f>IF(CTR1_Local!$V181="","",IF(CTR1_Local!$V181="Yes","confirm",""))</f>
        <v/>
      </c>
      <c r="N150" t="str">
        <f>IF(CTR1_Local!$W181="","",CTR1_Local!$W181)</f>
        <v/>
      </c>
    </row>
    <row r="151" spans="1:14" x14ac:dyDescent="0.2">
      <c r="A151" s="287" t="str">
        <f>IF(CTR1_Local!$D182="",CTR1_Local!B182,CTR1_Local!$D182)</f>
        <v/>
      </c>
      <c r="B151" s="26" t="str">
        <f>IF(A151="","",IF(RIGHT(A151,3)="NEW","Add new / another parish",CTR1_Local!$AN182))</f>
        <v/>
      </c>
      <c r="C151" s="26" t="str">
        <f t="shared" si="2"/>
        <v/>
      </c>
      <c r="D151" s="177" t="str">
        <f>IF(A151="","",IF(RIGHT(A151,3)="NEW",CTR1_Local!$E182,IF(CTR1_Local!$AO182="change",CTR1_Local!$E182,"")))</f>
        <v/>
      </c>
      <c r="E151" t="str">
        <f>IF(CTR1_Local!$F182="","",CTR1_Local!$F182)</f>
        <v/>
      </c>
      <c r="F151" s="261" t="str">
        <f>IF(CTR1_Local!$T182="","",IF(CTR1_Local!$T182="Yes","Removed",""))</f>
        <v/>
      </c>
      <c r="G151" t="str">
        <f>IF(CTR1_Local!$N182="","",IF(F151="Removed","",CTR1_Local!$N182))</f>
        <v/>
      </c>
      <c r="H151" t="str">
        <f>IF(CTR1_Local!$P182="","",IF($F151="Removed","",CTR1_Local!$P182))</f>
        <v/>
      </c>
      <c r="I151" t="str">
        <f>IF(CTR1_Local!$R182="","",IF($F151="Removed","",CTR1_Local!$R182))</f>
        <v/>
      </c>
      <c r="J151" s="160" t="str">
        <f>CTR1_Local!$H182</f>
        <v/>
      </c>
      <c r="K151" s="340" t="str">
        <f>CTR1_Local!$J182</f>
        <v/>
      </c>
      <c r="L151" s="350" t="str">
        <f>CTR1_Local!$L182</f>
        <v/>
      </c>
      <c r="M151" s="261" t="str">
        <f>IF(CTR1_Local!$V182="","",IF(CTR1_Local!$V182="Yes","confirm",""))</f>
        <v/>
      </c>
      <c r="N151" t="str">
        <f>IF(CTR1_Local!$W182="","",CTR1_Local!$W182)</f>
        <v/>
      </c>
    </row>
    <row r="152" spans="1:14" x14ac:dyDescent="0.2">
      <c r="A152" s="287" t="str">
        <f>IF(CTR1_Local!$D183="",CTR1_Local!B183,CTR1_Local!$D183)</f>
        <v/>
      </c>
      <c r="B152" s="26" t="str">
        <f>IF(A152="","",IF(RIGHT(A152,3)="NEW","Add new / another parish",CTR1_Local!$AN183))</f>
        <v/>
      </c>
      <c r="C152" s="26" t="str">
        <f t="shared" si="2"/>
        <v/>
      </c>
      <c r="D152" s="177" t="str">
        <f>IF(A152="","",IF(RIGHT(A152,3)="NEW",CTR1_Local!$E183,IF(CTR1_Local!$AO183="change",CTR1_Local!$E183,"")))</f>
        <v/>
      </c>
      <c r="E152" t="str">
        <f>IF(CTR1_Local!$F183="","",CTR1_Local!$F183)</f>
        <v/>
      </c>
      <c r="F152" s="261" t="str">
        <f>IF(CTR1_Local!$T183="","",IF(CTR1_Local!$T183="Yes","Removed",""))</f>
        <v/>
      </c>
      <c r="G152" t="str">
        <f>IF(CTR1_Local!$N183="","",IF(F152="Removed","",CTR1_Local!$N183))</f>
        <v/>
      </c>
      <c r="H152" t="str">
        <f>IF(CTR1_Local!$P183="","",IF($F152="Removed","",CTR1_Local!$P183))</f>
        <v/>
      </c>
      <c r="I152" t="str">
        <f>IF(CTR1_Local!$R183="","",IF($F152="Removed","",CTR1_Local!$R183))</f>
        <v/>
      </c>
      <c r="J152" s="160" t="str">
        <f>CTR1_Local!$H183</f>
        <v/>
      </c>
      <c r="K152" s="340" t="str">
        <f>CTR1_Local!$J183</f>
        <v/>
      </c>
      <c r="L152" s="350" t="str">
        <f>CTR1_Local!$L183</f>
        <v/>
      </c>
      <c r="M152" s="261" t="str">
        <f>IF(CTR1_Local!$V183="","",IF(CTR1_Local!$V183="Yes","confirm",""))</f>
        <v/>
      </c>
      <c r="N152" t="str">
        <f>IF(CTR1_Local!$W183="","",CTR1_Local!$W183)</f>
        <v/>
      </c>
    </row>
    <row r="153" spans="1:14" x14ac:dyDescent="0.2">
      <c r="A153" s="287" t="str">
        <f>IF(CTR1_Local!$D184="",CTR1_Local!B184,CTR1_Local!$D184)</f>
        <v/>
      </c>
      <c r="B153" s="26" t="str">
        <f>IF(A153="","",IF(RIGHT(A153,3)="NEW","Add new / another parish",CTR1_Local!$AN184))</f>
        <v/>
      </c>
      <c r="C153" s="26" t="str">
        <f t="shared" si="2"/>
        <v/>
      </c>
      <c r="D153" s="177" t="str">
        <f>IF(A153="","",IF(RIGHT(A153,3)="NEW",CTR1_Local!$E184,IF(CTR1_Local!$AO184="change",CTR1_Local!$E184,"")))</f>
        <v/>
      </c>
      <c r="E153" t="str">
        <f>IF(CTR1_Local!$F184="","",CTR1_Local!$F184)</f>
        <v/>
      </c>
      <c r="F153" s="261" t="str">
        <f>IF(CTR1_Local!$T184="","",IF(CTR1_Local!$T184="Yes","Removed",""))</f>
        <v/>
      </c>
      <c r="G153" t="str">
        <f>IF(CTR1_Local!$N184="","",IF(F153="Removed","",CTR1_Local!$N184))</f>
        <v/>
      </c>
      <c r="H153" t="str">
        <f>IF(CTR1_Local!$P184="","",IF($F153="Removed","",CTR1_Local!$P184))</f>
        <v/>
      </c>
      <c r="I153" t="str">
        <f>IF(CTR1_Local!$R184="","",IF($F153="Removed","",CTR1_Local!$R184))</f>
        <v/>
      </c>
      <c r="J153" s="160" t="str">
        <f>CTR1_Local!$H184</f>
        <v/>
      </c>
      <c r="K153" s="340" t="str">
        <f>CTR1_Local!$J184</f>
        <v/>
      </c>
      <c r="L153" s="350" t="str">
        <f>CTR1_Local!$L184</f>
        <v/>
      </c>
      <c r="M153" s="261" t="str">
        <f>IF(CTR1_Local!$V184="","",IF(CTR1_Local!$V184="Yes","confirm",""))</f>
        <v/>
      </c>
      <c r="N153" t="str">
        <f>IF(CTR1_Local!$W184="","",CTR1_Local!$W184)</f>
        <v/>
      </c>
    </row>
    <row r="154" spans="1:14" x14ac:dyDescent="0.2">
      <c r="A154" s="287" t="str">
        <f>IF(CTR1_Local!$D185="",CTR1_Local!B185,CTR1_Local!$D185)</f>
        <v/>
      </c>
      <c r="B154" s="26" t="str">
        <f>IF(A154="","",IF(RIGHT(A154,3)="NEW","Add new / another parish",CTR1_Local!$AN185))</f>
        <v/>
      </c>
      <c r="C154" s="26" t="str">
        <f t="shared" si="2"/>
        <v/>
      </c>
      <c r="D154" s="177" t="str">
        <f>IF(A154="","",IF(RIGHT(A154,3)="NEW",CTR1_Local!$E185,IF(CTR1_Local!$AO185="change",CTR1_Local!$E185,"")))</f>
        <v/>
      </c>
      <c r="E154" t="str">
        <f>IF(CTR1_Local!$F185="","",CTR1_Local!$F185)</f>
        <v/>
      </c>
      <c r="F154" s="261" t="str">
        <f>IF(CTR1_Local!$T185="","",IF(CTR1_Local!$T185="Yes","Removed",""))</f>
        <v/>
      </c>
      <c r="G154" t="str">
        <f>IF(CTR1_Local!$N185="","",IF(F154="Removed","",CTR1_Local!$N185))</f>
        <v/>
      </c>
      <c r="H154" t="str">
        <f>IF(CTR1_Local!$P185="","",IF($F154="Removed","",CTR1_Local!$P185))</f>
        <v/>
      </c>
      <c r="I154" t="str">
        <f>IF(CTR1_Local!$R185="","",IF($F154="Removed","",CTR1_Local!$R185))</f>
        <v/>
      </c>
      <c r="J154" s="160" t="str">
        <f>CTR1_Local!$H185</f>
        <v/>
      </c>
      <c r="K154" s="340" t="str">
        <f>CTR1_Local!$J185</f>
        <v/>
      </c>
      <c r="L154" s="350" t="str">
        <f>CTR1_Local!$L185</f>
        <v/>
      </c>
      <c r="M154" s="261" t="str">
        <f>IF(CTR1_Local!$V185="","",IF(CTR1_Local!$V185="Yes","confirm",""))</f>
        <v/>
      </c>
      <c r="N154" t="str">
        <f>IF(CTR1_Local!$W185="","",CTR1_Local!$W185)</f>
        <v/>
      </c>
    </row>
    <row r="155" spans="1:14" x14ac:dyDescent="0.2">
      <c r="A155" s="287" t="str">
        <f>IF(CTR1_Local!$D186="",CTR1_Local!B186,CTR1_Local!$D186)</f>
        <v/>
      </c>
      <c r="B155" s="26" t="str">
        <f>IF(A155="","",IF(RIGHT(A155,3)="NEW","Add new / another parish",CTR1_Local!$AN186))</f>
        <v/>
      </c>
      <c r="C155" s="26" t="str">
        <f t="shared" si="2"/>
        <v/>
      </c>
      <c r="D155" s="177" t="str">
        <f>IF(A155="","",IF(RIGHT(A155,3)="NEW",CTR1_Local!$E186,IF(CTR1_Local!$AO186="change",CTR1_Local!$E186,"")))</f>
        <v/>
      </c>
      <c r="E155" t="str">
        <f>IF(CTR1_Local!$F186="","",CTR1_Local!$F186)</f>
        <v/>
      </c>
      <c r="F155" s="261" t="str">
        <f>IF(CTR1_Local!$T186="","",IF(CTR1_Local!$T186="Yes","Removed",""))</f>
        <v/>
      </c>
      <c r="G155" t="str">
        <f>IF(CTR1_Local!$N186="","",IF(F155="Removed","",CTR1_Local!$N186))</f>
        <v/>
      </c>
      <c r="H155" t="str">
        <f>IF(CTR1_Local!$P186="","",IF($F155="Removed","",CTR1_Local!$P186))</f>
        <v/>
      </c>
      <c r="I155" t="str">
        <f>IF(CTR1_Local!$R186="","",IF($F155="Removed","",CTR1_Local!$R186))</f>
        <v/>
      </c>
      <c r="J155" s="160" t="str">
        <f>CTR1_Local!$H186</f>
        <v/>
      </c>
      <c r="K155" s="340" t="str">
        <f>CTR1_Local!$J186</f>
        <v/>
      </c>
      <c r="L155" s="350" t="str">
        <f>CTR1_Local!$L186</f>
        <v/>
      </c>
      <c r="M155" s="261" t="str">
        <f>IF(CTR1_Local!$V186="","",IF(CTR1_Local!$V186="Yes","confirm",""))</f>
        <v/>
      </c>
      <c r="N155" t="str">
        <f>IF(CTR1_Local!$W186="","",CTR1_Local!$W186)</f>
        <v/>
      </c>
    </row>
    <row r="156" spans="1:14" x14ac:dyDescent="0.2">
      <c r="A156" s="287" t="str">
        <f>IF(CTR1_Local!$D187="",CTR1_Local!B187,CTR1_Local!$D187)</f>
        <v/>
      </c>
      <c r="B156" s="26" t="str">
        <f>IF(A156="","",IF(RIGHT(A156,3)="NEW","Add new / another parish",CTR1_Local!$AN187))</f>
        <v/>
      </c>
      <c r="C156" s="26" t="str">
        <f t="shared" si="2"/>
        <v/>
      </c>
      <c r="D156" s="177" t="str">
        <f>IF(A156="","",IF(RIGHT(A156,3)="NEW",CTR1_Local!$E187,IF(CTR1_Local!$AO187="change",CTR1_Local!$E187,"")))</f>
        <v/>
      </c>
      <c r="E156" t="str">
        <f>IF(CTR1_Local!$F187="","",CTR1_Local!$F187)</f>
        <v/>
      </c>
      <c r="F156" s="261" t="str">
        <f>IF(CTR1_Local!$T187="","",IF(CTR1_Local!$T187="Yes","Removed",""))</f>
        <v/>
      </c>
      <c r="G156" t="str">
        <f>IF(CTR1_Local!$N187="","",IF(F156="Removed","",CTR1_Local!$N187))</f>
        <v/>
      </c>
      <c r="H156" t="str">
        <f>IF(CTR1_Local!$P187="","",IF($F156="Removed","",CTR1_Local!$P187))</f>
        <v/>
      </c>
      <c r="I156" t="str">
        <f>IF(CTR1_Local!$R187="","",IF($F156="Removed","",CTR1_Local!$R187))</f>
        <v/>
      </c>
      <c r="J156" s="160" t="str">
        <f>CTR1_Local!$H187</f>
        <v/>
      </c>
      <c r="K156" s="340" t="str">
        <f>CTR1_Local!$J187</f>
        <v/>
      </c>
      <c r="L156" s="350" t="str">
        <f>CTR1_Local!$L187</f>
        <v/>
      </c>
      <c r="M156" s="261" t="str">
        <f>IF(CTR1_Local!$V187="","",IF(CTR1_Local!$V187="Yes","confirm",""))</f>
        <v/>
      </c>
      <c r="N156" t="str">
        <f>IF(CTR1_Local!$W187="","",CTR1_Local!$W187)</f>
        <v/>
      </c>
    </row>
    <row r="157" spans="1:14" x14ac:dyDescent="0.2">
      <c r="A157" s="287" t="str">
        <f>IF(CTR1_Local!$D188="",CTR1_Local!B188,CTR1_Local!$D188)</f>
        <v/>
      </c>
      <c r="B157" s="26" t="str">
        <f>IF(A157="","",IF(RIGHT(A157,3)="NEW","Add new / another parish",CTR1_Local!$AN188))</f>
        <v/>
      </c>
      <c r="C157" s="26" t="str">
        <f t="shared" si="2"/>
        <v/>
      </c>
      <c r="D157" s="177" t="str">
        <f>IF(A157="","",IF(RIGHT(A157,3)="NEW",CTR1_Local!$E188,IF(CTR1_Local!$AO188="change",CTR1_Local!$E188,"")))</f>
        <v/>
      </c>
      <c r="E157" t="str">
        <f>IF(CTR1_Local!$F188="","",CTR1_Local!$F188)</f>
        <v/>
      </c>
      <c r="F157" s="261" t="str">
        <f>IF(CTR1_Local!$T188="","",IF(CTR1_Local!$T188="Yes","Removed",""))</f>
        <v/>
      </c>
      <c r="G157" t="str">
        <f>IF(CTR1_Local!$N188="","",IF(F157="Removed","",CTR1_Local!$N188))</f>
        <v/>
      </c>
      <c r="H157" t="str">
        <f>IF(CTR1_Local!$P188="","",IF($F157="Removed","",CTR1_Local!$P188))</f>
        <v/>
      </c>
      <c r="I157" t="str">
        <f>IF(CTR1_Local!$R188="","",IF($F157="Removed","",CTR1_Local!$R188))</f>
        <v/>
      </c>
      <c r="J157" s="160" t="str">
        <f>CTR1_Local!$H188</f>
        <v/>
      </c>
      <c r="K157" s="340" t="str">
        <f>CTR1_Local!$J188</f>
        <v/>
      </c>
      <c r="L157" s="350" t="str">
        <f>CTR1_Local!$L188</f>
        <v/>
      </c>
      <c r="M157" s="261" t="str">
        <f>IF(CTR1_Local!$V188="","",IF(CTR1_Local!$V188="Yes","confirm",""))</f>
        <v/>
      </c>
      <c r="N157" t="str">
        <f>IF(CTR1_Local!$W188="","",CTR1_Local!$W188)</f>
        <v/>
      </c>
    </row>
    <row r="158" spans="1:14" x14ac:dyDescent="0.2">
      <c r="A158" s="287" t="str">
        <f>IF(CTR1_Local!$D189="",CTR1_Local!B189,CTR1_Local!$D189)</f>
        <v/>
      </c>
      <c r="B158" s="26" t="str">
        <f>IF(A158="","",IF(RIGHT(A158,3)="NEW","Add new / another parish",CTR1_Local!$AN189))</f>
        <v/>
      </c>
      <c r="C158" s="26" t="str">
        <f t="shared" si="2"/>
        <v/>
      </c>
      <c r="D158" s="177" t="str">
        <f>IF(A158="","",IF(RIGHT(A158,3)="NEW",CTR1_Local!$E189,IF(CTR1_Local!$AO189="change",CTR1_Local!$E189,"")))</f>
        <v/>
      </c>
      <c r="E158" t="str">
        <f>IF(CTR1_Local!$F189="","",CTR1_Local!$F189)</f>
        <v/>
      </c>
      <c r="F158" s="261" t="str">
        <f>IF(CTR1_Local!$T189="","",IF(CTR1_Local!$T189="Yes","Removed",""))</f>
        <v/>
      </c>
      <c r="G158" t="str">
        <f>IF(CTR1_Local!$N189="","",IF(F158="Removed","",CTR1_Local!$N189))</f>
        <v/>
      </c>
      <c r="H158" t="str">
        <f>IF(CTR1_Local!$P189="","",IF($F158="Removed","",CTR1_Local!$P189))</f>
        <v/>
      </c>
      <c r="I158" t="str">
        <f>IF(CTR1_Local!$R189="","",IF($F158="Removed","",CTR1_Local!$R189))</f>
        <v/>
      </c>
      <c r="J158" s="160" t="str">
        <f>CTR1_Local!$H189</f>
        <v/>
      </c>
      <c r="K158" s="340" t="str">
        <f>CTR1_Local!$J189</f>
        <v/>
      </c>
      <c r="L158" s="350" t="str">
        <f>CTR1_Local!$L189</f>
        <v/>
      </c>
      <c r="M158" s="261" t="str">
        <f>IF(CTR1_Local!$V189="","",IF(CTR1_Local!$V189="Yes","confirm",""))</f>
        <v/>
      </c>
      <c r="N158" t="str">
        <f>IF(CTR1_Local!$W189="","",CTR1_Local!$W189)</f>
        <v/>
      </c>
    </row>
    <row r="159" spans="1:14" x14ac:dyDescent="0.2">
      <c r="A159" s="287" t="str">
        <f>IF(CTR1_Local!$D190="",CTR1_Local!B190,CTR1_Local!$D190)</f>
        <v/>
      </c>
      <c r="B159" s="26" t="str">
        <f>IF(A159="","",IF(RIGHT(A159,3)="NEW","Add new / another parish",CTR1_Local!$AN190))</f>
        <v/>
      </c>
      <c r="C159" s="26" t="str">
        <f t="shared" si="2"/>
        <v/>
      </c>
      <c r="D159" s="177" t="str">
        <f>IF(A159="","",IF(RIGHT(A159,3)="NEW",CTR1_Local!$E190,IF(CTR1_Local!$AO190="change",CTR1_Local!$E190,"")))</f>
        <v/>
      </c>
      <c r="E159" t="str">
        <f>IF(CTR1_Local!$F190="","",CTR1_Local!$F190)</f>
        <v/>
      </c>
      <c r="F159" s="261" t="str">
        <f>IF(CTR1_Local!$T190="","",IF(CTR1_Local!$T190="Yes","Removed",""))</f>
        <v/>
      </c>
      <c r="G159" t="str">
        <f>IF(CTR1_Local!$N190="","",IF(F159="Removed","",CTR1_Local!$N190))</f>
        <v/>
      </c>
      <c r="H159" t="str">
        <f>IF(CTR1_Local!$P190="","",IF($F159="Removed","",CTR1_Local!$P190))</f>
        <v/>
      </c>
      <c r="I159" t="str">
        <f>IF(CTR1_Local!$R190="","",IF($F159="Removed","",CTR1_Local!$R190))</f>
        <v/>
      </c>
      <c r="J159" s="160" t="str">
        <f>CTR1_Local!$H190</f>
        <v/>
      </c>
      <c r="K159" s="340" t="str">
        <f>CTR1_Local!$J190</f>
        <v/>
      </c>
      <c r="L159" s="350" t="str">
        <f>CTR1_Local!$L190</f>
        <v/>
      </c>
      <c r="M159" s="261" t="str">
        <f>IF(CTR1_Local!$V190="","",IF(CTR1_Local!$V190="Yes","confirm",""))</f>
        <v/>
      </c>
      <c r="N159" t="str">
        <f>IF(CTR1_Local!$W190="","",CTR1_Local!$W190)</f>
        <v/>
      </c>
    </row>
    <row r="160" spans="1:14" x14ac:dyDescent="0.2">
      <c r="A160" s="287" t="str">
        <f>IF(CTR1_Local!$D191="",CTR1_Local!B191,CTR1_Local!$D191)</f>
        <v/>
      </c>
      <c r="B160" s="26" t="str">
        <f>IF(A160="","",IF(RIGHT(A160,3)="NEW","Add new / another parish",CTR1_Local!$AN191))</f>
        <v/>
      </c>
      <c r="C160" s="26" t="str">
        <f t="shared" si="2"/>
        <v/>
      </c>
      <c r="D160" s="177" t="str">
        <f>IF(A160="","",IF(RIGHT(A160,3)="NEW",CTR1_Local!$E191,IF(CTR1_Local!$AO191="change",CTR1_Local!$E191,"")))</f>
        <v/>
      </c>
      <c r="E160" t="str">
        <f>IF(CTR1_Local!$F191="","",CTR1_Local!$F191)</f>
        <v/>
      </c>
      <c r="F160" s="261" t="str">
        <f>IF(CTR1_Local!$T191="","",IF(CTR1_Local!$T191="Yes","Removed",""))</f>
        <v/>
      </c>
      <c r="G160" t="str">
        <f>IF(CTR1_Local!$N191="","",IF(F160="Removed","",CTR1_Local!$N191))</f>
        <v/>
      </c>
      <c r="H160" t="str">
        <f>IF(CTR1_Local!$P191="","",IF($F160="Removed","",CTR1_Local!$P191))</f>
        <v/>
      </c>
      <c r="I160" t="str">
        <f>IF(CTR1_Local!$R191="","",IF($F160="Removed","",CTR1_Local!$R191))</f>
        <v/>
      </c>
      <c r="J160" s="160" t="str">
        <f>CTR1_Local!$H191</f>
        <v/>
      </c>
      <c r="K160" s="340" t="str">
        <f>CTR1_Local!$J191</f>
        <v/>
      </c>
      <c r="L160" s="350" t="str">
        <f>CTR1_Local!$L191</f>
        <v/>
      </c>
      <c r="M160" s="261" t="str">
        <f>IF(CTR1_Local!$V191="","",IF(CTR1_Local!$V191="Yes","confirm",""))</f>
        <v/>
      </c>
      <c r="N160" t="str">
        <f>IF(CTR1_Local!$W191="","",CTR1_Local!$W191)</f>
        <v/>
      </c>
    </row>
    <row r="161" spans="1:14" x14ac:dyDescent="0.2">
      <c r="A161" s="287" t="str">
        <f>IF(CTR1_Local!$D192="",CTR1_Local!B192,CTR1_Local!$D192)</f>
        <v/>
      </c>
      <c r="B161" s="26" t="str">
        <f>IF(A161="","",IF(RIGHT(A161,3)="NEW","Add new / another parish",CTR1_Local!$AN192))</f>
        <v/>
      </c>
      <c r="C161" s="26" t="str">
        <f t="shared" si="2"/>
        <v/>
      </c>
      <c r="D161" s="177" t="str">
        <f>IF(A161="","",IF(RIGHT(A161,3)="NEW",CTR1_Local!$E192,IF(CTR1_Local!$AO192="change",CTR1_Local!$E192,"")))</f>
        <v/>
      </c>
      <c r="E161" t="str">
        <f>IF(CTR1_Local!$F192="","",CTR1_Local!$F192)</f>
        <v/>
      </c>
      <c r="F161" s="261" t="str">
        <f>IF(CTR1_Local!$T192="","",IF(CTR1_Local!$T192="Yes","Removed",""))</f>
        <v/>
      </c>
      <c r="G161" t="str">
        <f>IF(CTR1_Local!$N192="","",IF(F161="Removed","",CTR1_Local!$N192))</f>
        <v/>
      </c>
      <c r="H161" t="str">
        <f>IF(CTR1_Local!$P192="","",IF($F161="Removed","",CTR1_Local!$P192))</f>
        <v/>
      </c>
      <c r="I161" t="str">
        <f>IF(CTR1_Local!$R192="","",IF($F161="Removed","",CTR1_Local!$R192))</f>
        <v/>
      </c>
      <c r="J161" s="160" t="str">
        <f>CTR1_Local!$H192</f>
        <v/>
      </c>
      <c r="K161" s="340" t="str">
        <f>CTR1_Local!$J192</f>
        <v/>
      </c>
      <c r="L161" s="350" t="str">
        <f>CTR1_Local!$L192</f>
        <v/>
      </c>
      <c r="M161" s="261" t="str">
        <f>IF(CTR1_Local!$V192="","",IF(CTR1_Local!$V192="Yes","confirm",""))</f>
        <v/>
      </c>
      <c r="N161" t="str">
        <f>IF(CTR1_Local!$W192="","",CTR1_Local!$W192)</f>
        <v/>
      </c>
    </row>
    <row r="162" spans="1:14" x14ac:dyDescent="0.2">
      <c r="A162" s="287" t="str">
        <f>IF(CTR1_Local!$D193="",CTR1_Local!B193,CTR1_Local!$D193)</f>
        <v/>
      </c>
      <c r="B162" s="26" t="str">
        <f>IF(A162="","",IF(RIGHT(A162,3)="NEW","Add new / another parish",CTR1_Local!$AN193))</f>
        <v/>
      </c>
      <c r="C162" s="26" t="str">
        <f t="shared" si="2"/>
        <v/>
      </c>
      <c r="D162" s="177" t="str">
        <f>IF(A162="","",IF(RIGHT(A162,3)="NEW",CTR1_Local!$E193,IF(CTR1_Local!$AO193="change",CTR1_Local!$E193,"")))</f>
        <v/>
      </c>
      <c r="E162" t="str">
        <f>IF(CTR1_Local!$F193="","",CTR1_Local!$F193)</f>
        <v/>
      </c>
      <c r="F162" s="261" t="str">
        <f>IF(CTR1_Local!$T193="","",IF(CTR1_Local!$T193="Yes","Removed",""))</f>
        <v/>
      </c>
      <c r="G162" t="str">
        <f>IF(CTR1_Local!$N193="","",IF(F162="Removed","",CTR1_Local!$N193))</f>
        <v/>
      </c>
      <c r="H162" t="str">
        <f>IF(CTR1_Local!$P193="","",IF($F162="Removed","",CTR1_Local!$P193))</f>
        <v/>
      </c>
      <c r="I162" t="str">
        <f>IF(CTR1_Local!$R193="","",IF($F162="Removed","",CTR1_Local!$R193))</f>
        <v/>
      </c>
      <c r="J162" s="160" t="str">
        <f>CTR1_Local!$H193</f>
        <v/>
      </c>
      <c r="K162" s="340" t="str">
        <f>CTR1_Local!$J193</f>
        <v/>
      </c>
      <c r="L162" s="350" t="str">
        <f>CTR1_Local!$L193</f>
        <v/>
      </c>
      <c r="M162" s="261" t="str">
        <f>IF(CTR1_Local!$V193="","",IF(CTR1_Local!$V193="Yes","confirm",""))</f>
        <v/>
      </c>
      <c r="N162" t="str">
        <f>IF(CTR1_Local!$W193="","",CTR1_Local!$W193)</f>
        <v/>
      </c>
    </row>
    <row r="163" spans="1:14" x14ac:dyDescent="0.2">
      <c r="A163" s="287" t="str">
        <f>IF(CTR1_Local!$D194="",CTR1_Local!B194,CTR1_Local!$D194)</f>
        <v/>
      </c>
      <c r="B163" s="26" t="str">
        <f>IF(A163="","",IF(RIGHT(A163,3)="NEW","Add new / another parish",CTR1_Local!$AN194))</f>
        <v/>
      </c>
      <c r="C163" s="26" t="str">
        <f t="shared" si="2"/>
        <v/>
      </c>
      <c r="D163" s="177" t="str">
        <f>IF(A163="","",IF(RIGHT(A163,3)="NEW",CTR1_Local!$E194,IF(CTR1_Local!$AO194="change",CTR1_Local!$E194,"")))</f>
        <v/>
      </c>
      <c r="E163" t="str">
        <f>IF(CTR1_Local!$F194="","",CTR1_Local!$F194)</f>
        <v/>
      </c>
      <c r="F163" s="261" t="str">
        <f>IF(CTR1_Local!$T194="","",IF(CTR1_Local!$T194="Yes","Removed",""))</f>
        <v/>
      </c>
      <c r="G163" t="str">
        <f>IF(CTR1_Local!$N194="","",IF(F163="Removed","",CTR1_Local!$N194))</f>
        <v/>
      </c>
      <c r="H163" t="str">
        <f>IF(CTR1_Local!$P194="","",IF($F163="Removed","",CTR1_Local!$P194))</f>
        <v/>
      </c>
      <c r="I163" t="str">
        <f>IF(CTR1_Local!$R194="","",IF($F163="Removed","",CTR1_Local!$R194))</f>
        <v/>
      </c>
      <c r="J163" s="160" t="str">
        <f>CTR1_Local!$H194</f>
        <v/>
      </c>
      <c r="K163" s="340" t="str">
        <f>CTR1_Local!$J194</f>
        <v/>
      </c>
      <c r="L163" s="350" t="str">
        <f>CTR1_Local!$L194</f>
        <v/>
      </c>
      <c r="M163" s="261" t="str">
        <f>IF(CTR1_Local!$V194="","",IF(CTR1_Local!$V194="Yes","confirm",""))</f>
        <v/>
      </c>
      <c r="N163" t="str">
        <f>IF(CTR1_Local!$W194="","",CTR1_Local!$W194)</f>
        <v/>
      </c>
    </row>
    <row r="164" spans="1:14" x14ac:dyDescent="0.2">
      <c r="A164" s="287" t="str">
        <f>IF(CTR1_Local!$D195="",CTR1_Local!B195,CTR1_Local!$D195)</f>
        <v/>
      </c>
      <c r="B164" s="26" t="str">
        <f>IF(A164="","",IF(RIGHT(A164,3)="NEW","Add new / another parish",CTR1_Local!$AN195))</f>
        <v/>
      </c>
      <c r="C164" s="26" t="str">
        <f t="shared" si="2"/>
        <v/>
      </c>
      <c r="D164" s="177" t="str">
        <f>IF(A164="","",IF(RIGHT(A164,3)="NEW",CTR1_Local!$E195,IF(CTR1_Local!$AO195="change",CTR1_Local!$E195,"")))</f>
        <v/>
      </c>
      <c r="E164" t="str">
        <f>IF(CTR1_Local!$F195="","",CTR1_Local!$F195)</f>
        <v/>
      </c>
      <c r="F164" s="261" t="str">
        <f>IF(CTR1_Local!$T195="","",IF(CTR1_Local!$T195="Yes","Removed",""))</f>
        <v/>
      </c>
      <c r="G164" t="str">
        <f>IF(CTR1_Local!$N195="","",IF(F164="Removed","",CTR1_Local!$N195))</f>
        <v/>
      </c>
      <c r="H164" t="str">
        <f>IF(CTR1_Local!$P195="","",IF($F164="Removed","",CTR1_Local!$P195))</f>
        <v/>
      </c>
      <c r="I164" t="str">
        <f>IF(CTR1_Local!$R195="","",IF($F164="Removed","",CTR1_Local!$R195))</f>
        <v/>
      </c>
      <c r="J164" s="160" t="str">
        <f>CTR1_Local!$H195</f>
        <v/>
      </c>
      <c r="K164" s="340" t="str">
        <f>CTR1_Local!$J195</f>
        <v/>
      </c>
      <c r="L164" s="350" t="str">
        <f>CTR1_Local!$L195</f>
        <v/>
      </c>
      <c r="M164" s="261" t="str">
        <f>IF(CTR1_Local!$V195="","",IF(CTR1_Local!$V195="Yes","confirm",""))</f>
        <v/>
      </c>
      <c r="N164" t="str">
        <f>IF(CTR1_Local!$W195="","",CTR1_Local!$W195)</f>
        <v/>
      </c>
    </row>
    <row r="165" spans="1:14" x14ac:dyDescent="0.2">
      <c r="A165" s="287" t="str">
        <f>IF(CTR1_Local!$D196="",CTR1_Local!B196,CTR1_Local!$D196)</f>
        <v/>
      </c>
      <c r="B165" s="26" t="str">
        <f>IF(A165="","",IF(RIGHT(A165,3)="NEW","Add new / another parish",CTR1_Local!$AN196))</f>
        <v/>
      </c>
      <c r="C165" s="26" t="str">
        <f t="shared" si="2"/>
        <v/>
      </c>
      <c r="D165" s="177" t="str">
        <f>IF(A165="","",IF(RIGHT(A165,3)="NEW",CTR1_Local!$E196,IF(CTR1_Local!$AO196="change",CTR1_Local!$E196,"")))</f>
        <v/>
      </c>
      <c r="E165" t="str">
        <f>IF(CTR1_Local!$F196="","",CTR1_Local!$F196)</f>
        <v/>
      </c>
      <c r="F165" s="261" t="str">
        <f>IF(CTR1_Local!$T196="","",IF(CTR1_Local!$T196="Yes","Removed",""))</f>
        <v/>
      </c>
      <c r="G165" t="str">
        <f>IF(CTR1_Local!$N196="","",IF(F165="Removed","",CTR1_Local!$N196))</f>
        <v/>
      </c>
      <c r="H165" t="str">
        <f>IF(CTR1_Local!$P196="","",IF($F165="Removed","",CTR1_Local!$P196))</f>
        <v/>
      </c>
      <c r="I165" t="str">
        <f>IF(CTR1_Local!$R196="","",IF($F165="Removed","",CTR1_Local!$R196))</f>
        <v/>
      </c>
      <c r="J165" s="160" t="str">
        <f>CTR1_Local!$H196</f>
        <v/>
      </c>
      <c r="K165" s="340" t="str">
        <f>CTR1_Local!$J196</f>
        <v/>
      </c>
      <c r="L165" s="350" t="str">
        <f>CTR1_Local!$L196</f>
        <v/>
      </c>
      <c r="M165" s="261" t="str">
        <f>IF(CTR1_Local!$V196="","",IF(CTR1_Local!$V196="Yes","confirm",""))</f>
        <v/>
      </c>
      <c r="N165" t="str">
        <f>IF(CTR1_Local!$W196="","",CTR1_Local!$W196)</f>
        <v/>
      </c>
    </row>
    <row r="166" spans="1:14" x14ac:dyDescent="0.2">
      <c r="A166" s="287" t="str">
        <f>IF(CTR1_Local!$D197="",CTR1_Local!B197,CTR1_Local!$D197)</f>
        <v/>
      </c>
      <c r="B166" s="26" t="str">
        <f>IF(A166="","",IF(RIGHT(A166,3)="NEW","Add new / another parish",CTR1_Local!$AN197))</f>
        <v/>
      </c>
      <c r="C166" s="26" t="str">
        <f t="shared" si="2"/>
        <v/>
      </c>
      <c r="D166" s="177" t="str">
        <f>IF(A166="","",IF(RIGHT(A166,3)="NEW",CTR1_Local!$E197,IF(CTR1_Local!$AO197="change",CTR1_Local!$E197,"")))</f>
        <v/>
      </c>
      <c r="E166" t="str">
        <f>IF(CTR1_Local!$F197="","",CTR1_Local!$F197)</f>
        <v/>
      </c>
      <c r="F166" s="261" t="str">
        <f>IF(CTR1_Local!$T197="","",IF(CTR1_Local!$T197="Yes","Removed",""))</f>
        <v/>
      </c>
      <c r="G166" t="str">
        <f>IF(CTR1_Local!$N197="","",IF(F166="Removed","",CTR1_Local!$N197))</f>
        <v/>
      </c>
      <c r="H166" t="str">
        <f>IF(CTR1_Local!$P197="","",IF($F166="Removed","",CTR1_Local!$P197))</f>
        <v/>
      </c>
      <c r="I166" t="str">
        <f>IF(CTR1_Local!$R197="","",IF($F166="Removed","",CTR1_Local!$R197))</f>
        <v/>
      </c>
      <c r="J166" s="160" t="str">
        <f>CTR1_Local!$H197</f>
        <v/>
      </c>
      <c r="K166" s="340" t="str">
        <f>CTR1_Local!$J197</f>
        <v/>
      </c>
      <c r="L166" s="350" t="str">
        <f>CTR1_Local!$L197</f>
        <v/>
      </c>
      <c r="M166" s="261" t="str">
        <f>IF(CTR1_Local!$V197="","",IF(CTR1_Local!$V197="Yes","confirm",""))</f>
        <v/>
      </c>
      <c r="N166" t="str">
        <f>IF(CTR1_Local!$W197="","",CTR1_Local!$W197)</f>
        <v/>
      </c>
    </row>
    <row r="167" spans="1:14" x14ac:dyDescent="0.2">
      <c r="A167" s="287" t="str">
        <f>IF(CTR1_Local!$D198="",CTR1_Local!B198,CTR1_Local!$D198)</f>
        <v/>
      </c>
      <c r="B167" s="26" t="str">
        <f>IF(A167="","",IF(RIGHT(A167,3)="NEW","Add new / another parish",CTR1_Local!$AN198))</f>
        <v/>
      </c>
      <c r="C167" s="26" t="str">
        <f t="shared" si="2"/>
        <v/>
      </c>
      <c r="D167" s="177" t="str">
        <f>IF(A167="","",IF(RIGHT(A167,3)="NEW",CTR1_Local!$E198,IF(CTR1_Local!$AO198="change",CTR1_Local!$E198,"")))</f>
        <v/>
      </c>
      <c r="E167" t="str">
        <f>IF(CTR1_Local!$F198="","",CTR1_Local!$F198)</f>
        <v/>
      </c>
      <c r="F167" s="261" t="str">
        <f>IF(CTR1_Local!$T198="","",IF(CTR1_Local!$T198="Yes","Removed",""))</f>
        <v/>
      </c>
      <c r="G167" t="str">
        <f>IF(CTR1_Local!$N198="","",IF(F167="Removed","",CTR1_Local!$N198))</f>
        <v/>
      </c>
      <c r="H167" t="str">
        <f>IF(CTR1_Local!$P198="","",IF($F167="Removed","",CTR1_Local!$P198))</f>
        <v/>
      </c>
      <c r="I167" t="str">
        <f>IF(CTR1_Local!$R198="","",IF($F167="Removed","",CTR1_Local!$R198))</f>
        <v/>
      </c>
      <c r="J167" s="160" t="str">
        <f>CTR1_Local!$H198</f>
        <v/>
      </c>
      <c r="K167" s="340" t="str">
        <f>CTR1_Local!$J198</f>
        <v/>
      </c>
      <c r="L167" s="350" t="str">
        <f>CTR1_Local!$L198</f>
        <v/>
      </c>
      <c r="M167" s="261" t="str">
        <f>IF(CTR1_Local!$V198="","",IF(CTR1_Local!$V198="Yes","confirm",""))</f>
        <v/>
      </c>
      <c r="N167" t="str">
        <f>IF(CTR1_Local!$W198="","",CTR1_Local!$W198)</f>
        <v/>
      </c>
    </row>
    <row r="168" spans="1:14" x14ac:dyDescent="0.2">
      <c r="A168" s="287" t="str">
        <f>IF(CTR1_Local!$D199="",CTR1_Local!B199,CTR1_Local!$D199)</f>
        <v/>
      </c>
      <c r="B168" s="26" t="str">
        <f>IF(A168="","",IF(RIGHT(A168,3)="NEW","Add new / another parish",CTR1_Local!$AN199))</f>
        <v/>
      </c>
      <c r="C168" s="26" t="str">
        <f t="shared" si="2"/>
        <v/>
      </c>
      <c r="D168" s="177" t="str">
        <f>IF(A168="","",IF(RIGHT(A168,3)="NEW",CTR1_Local!$E199,IF(CTR1_Local!$AO199="change",CTR1_Local!$E199,"")))</f>
        <v/>
      </c>
      <c r="E168" t="str">
        <f>IF(CTR1_Local!$F199="","",CTR1_Local!$F199)</f>
        <v/>
      </c>
      <c r="F168" s="261" t="str">
        <f>IF(CTR1_Local!$T199="","",IF(CTR1_Local!$T199="Yes","Removed",""))</f>
        <v/>
      </c>
      <c r="G168" t="str">
        <f>IF(CTR1_Local!$N199="","",IF(F168="Removed","",CTR1_Local!$N199))</f>
        <v/>
      </c>
      <c r="H168" t="str">
        <f>IF(CTR1_Local!$P199="","",IF($F168="Removed","",CTR1_Local!$P199))</f>
        <v/>
      </c>
      <c r="I168" t="str">
        <f>IF(CTR1_Local!$R199="","",IF($F168="Removed","",CTR1_Local!$R199))</f>
        <v/>
      </c>
      <c r="J168" s="160" t="str">
        <f>CTR1_Local!$H199</f>
        <v/>
      </c>
      <c r="K168" s="340" t="str">
        <f>CTR1_Local!$J199</f>
        <v/>
      </c>
      <c r="L168" s="350" t="str">
        <f>CTR1_Local!$L199</f>
        <v/>
      </c>
      <c r="M168" s="261" t="str">
        <f>IF(CTR1_Local!$V199="","",IF(CTR1_Local!$V199="Yes","confirm",""))</f>
        <v/>
      </c>
      <c r="N168" t="str">
        <f>IF(CTR1_Local!$W199="","",CTR1_Local!$W199)</f>
        <v/>
      </c>
    </row>
    <row r="169" spans="1:14" x14ac:dyDescent="0.2">
      <c r="A169" s="287" t="str">
        <f>IF(CTR1_Local!$D200="",CTR1_Local!B200,CTR1_Local!$D200)</f>
        <v/>
      </c>
      <c r="B169" s="26" t="str">
        <f>IF(A169="","",IF(RIGHT(A169,3)="NEW","Add new / another parish",CTR1_Local!$AN200))</f>
        <v/>
      </c>
      <c r="C169" s="26" t="str">
        <f t="shared" si="2"/>
        <v/>
      </c>
      <c r="D169" s="177" t="str">
        <f>IF(A169="","",IF(RIGHT(A169,3)="NEW",CTR1_Local!$E200,IF(CTR1_Local!$AO200="change",CTR1_Local!$E200,"")))</f>
        <v/>
      </c>
      <c r="E169" t="str">
        <f>IF(CTR1_Local!$F200="","",CTR1_Local!$F200)</f>
        <v/>
      </c>
      <c r="F169" s="261" t="str">
        <f>IF(CTR1_Local!$T200="","",IF(CTR1_Local!$T200="Yes","Removed",""))</f>
        <v/>
      </c>
      <c r="G169" t="str">
        <f>IF(CTR1_Local!$N200="","",IF(F169="Removed","",CTR1_Local!$N200))</f>
        <v/>
      </c>
      <c r="H169" t="str">
        <f>IF(CTR1_Local!$P200="","",IF($F169="Removed","",CTR1_Local!$P200))</f>
        <v/>
      </c>
      <c r="I169" t="str">
        <f>IF(CTR1_Local!$R200="","",IF($F169="Removed","",CTR1_Local!$R200))</f>
        <v/>
      </c>
      <c r="J169" s="160" t="str">
        <f>CTR1_Local!$H200</f>
        <v/>
      </c>
      <c r="K169" s="340" t="str">
        <f>CTR1_Local!$J200</f>
        <v/>
      </c>
      <c r="L169" s="350" t="str">
        <f>CTR1_Local!$L200</f>
        <v/>
      </c>
      <c r="M169" s="261" t="str">
        <f>IF(CTR1_Local!$V200="","",IF(CTR1_Local!$V200="Yes","confirm",""))</f>
        <v/>
      </c>
      <c r="N169" t="str">
        <f>IF(CTR1_Local!$W200="","",CTR1_Local!$W200)</f>
        <v/>
      </c>
    </row>
    <row r="170" spans="1:14" x14ac:dyDescent="0.2">
      <c r="A170" s="287" t="str">
        <f>IF(CTR1_Local!$D201="",CTR1_Local!B201,CTR1_Local!$D201)</f>
        <v/>
      </c>
      <c r="B170" s="26" t="str">
        <f>IF(A170="","",IF(RIGHT(A170,3)="NEW","Add new / another parish",CTR1_Local!$AN201))</f>
        <v/>
      </c>
      <c r="C170" s="26" t="str">
        <f t="shared" si="2"/>
        <v/>
      </c>
      <c r="D170" s="177" t="str">
        <f>IF(A170="","",IF(RIGHT(A170,3)="NEW",CTR1_Local!$E201,IF(CTR1_Local!$AO201="change",CTR1_Local!$E201,"")))</f>
        <v/>
      </c>
      <c r="E170" t="str">
        <f>IF(CTR1_Local!$F201="","",CTR1_Local!$F201)</f>
        <v/>
      </c>
      <c r="F170" s="261" t="str">
        <f>IF(CTR1_Local!$T201="","",IF(CTR1_Local!$T201="Yes","Removed",""))</f>
        <v/>
      </c>
      <c r="G170" t="str">
        <f>IF(CTR1_Local!$N201="","",IF(F170="Removed","",CTR1_Local!$N201))</f>
        <v/>
      </c>
      <c r="H170" t="str">
        <f>IF(CTR1_Local!$P201="","",IF($F170="Removed","",CTR1_Local!$P201))</f>
        <v/>
      </c>
      <c r="I170" t="str">
        <f>IF(CTR1_Local!$R201="","",IF($F170="Removed","",CTR1_Local!$R201))</f>
        <v/>
      </c>
      <c r="J170" s="160" t="str">
        <f>CTR1_Local!$H201</f>
        <v/>
      </c>
      <c r="K170" s="340" t="str">
        <f>CTR1_Local!$J201</f>
        <v/>
      </c>
      <c r="L170" s="350" t="str">
        <f>CTR1_Local!$L201</f>
        <v/>
      </c>
      <c r="M170" s="261" t="str">
        <f>IF(CTR1_Local!$V201="","",IF(CTR1_Local!$V201="Yes","confirm",""))</f>
        <v/>
      </c>
      <c r="N170" t="str">
        <f>IF(CTR1_Local!$W201="","",CTR1_Local!$W201)</f>
        <v/>
      </c>
    </row>
    <row r="171" spans="1:14" x14ac:dyDescent="0.2">
      <c r="A171" s="287" t="str">
        <f>IF(CTR1_Local!$D202="",CTR1_Local!B202,CTR1_Local!$D202)</f>
        <v/>
      </c>
      <c r="B171" s="26" t="str">
        <f>IF(A171="","",IF(RIGHT(A171,3)="NEW","Add new / another parish",CTR1_Local!$AN202))</f>
        <v/>
      </c>
      <c r="C171" s="26" t="str">
        <f t="shared" si="2"/>
        <v/>
      </c>
      <c r="D171" s="177" t="str">
        <f>IF(A171="","",IF(RIGHT(A171,3)="NEW",CTR1_Local!$E202,IF(CTR1_Local!$AO202="change",CTR1_Local!$E202,"")))</f>
        <v/>
      </c>
      <c r="E171" t="str">
        <f>IF(CTR1_Local!$F202="","",CTR1_Local!$F202)</f>
        <v/>
      </c>
      <c r="F171" s="261" t="str">
        <f>IF(CTR1_Local!$T202="","",IF(CTR1_Local!$T202="Yes","Removed",""))</f>
        <v/>
      </c>
      <c r="G171" t="str">
        <f>IF(CTR1_Local!$N202="","",IF(F171="Removed","",CTR1_Local!$N202))</f>
        <v/>
      </c>
      <c r="H171" t="str">
        <f>IF(CTR1_Local!$P202="","",IF($F171="Removed","",CTR1_Local!$P202))</f>
        <v/>
      </c>
      <c r="I171" t="str">
        <f>IF(CTR1_Local!$R202="","",IF($F171="Removed","",CTR1_Local!$R202))</f>
        <v/>
      </c>
      <c r="J171" s="160" t="str">
        <f>CTR1_Local!$H202</f>
        <v/>
      </c>
      <c r="K171" s="340" t="str">
        <f>CTR1_Local!$J202</f>
        <v/>
      </c>
      <c r="L171" s="350" t="str">
        <f>CTR1_Local!$L202</f>
        <v/>
      </c>
      <c r="M171" s="261" t="str">
        <f>IF(CTR1_Local!$V202="","",IF(CTR1_Local!$V202="Yes","confirm",""))</f>
        <v/>
      </c>
      <c r="N171" t="str">
        <f>IF(CTR1_Local!$W202="","",CTR1_Local!$W202)</f>
        <v/>
      </c>
    </row>
    <row r="172" spans="1:14" x14ac:dyDescent="0.2">
      <c r="A172" s="287" t="str">
        <f>IF(CTR1_Local!$D203="",CTR1_Local!B203,CTR1_Local!$D203)</f>
        <v/>
      </c>
      <c r="B172" s="26" t="str">
        <f>IF(A172="","",IF(RIGHT(A172,3)="NEW","Add new / another parish",CTR1_Local!$AN203))</f>
        <v/>
      </c>
      <c r="C172" s="26" t="str">
        <f t="shared" si="2"/>
        <v/>
      </c>
      <c r="D172" s="177" t="str">
        <f>IF(A172="","",IF(RIGHT(A172,3)="NEW",CTR1_Local!$E203,IF(CTR1_Local!$AO203="change",CTR1_Local!$E203,"")))</f>
        <v/>
      </c>
      <c r="E172" t="str">
        <f>IF(CTR1_Local!$F203="","",CTR1_Local!$F203)</f>
        <v/>
      </c>
      <c r="F172" s="261" t="str">
        <f>IF(CTR1_Local!$T203="","",IF(CTR1_Local!$T203="Yes","Removed",""))</f>
        <v/>
      </c>
      <c r="G172" t="str">
        <f>IF(CTR1_Local!$N203="","",IF(F172="Removed","",CTR1_Local!$N203))</f>
        <v/>
      </c>
      <c r="H172" t="str">
        <f>IF(CTR1_Local!$P203="","",IF($F172="Removed","",CTR1_Local!$P203))</f>
        <v/>
      </c>
      <c r="I172" t="str">
        <f>IF(CTR1_Local!$R203="","",IF($F172="Removed","",CTR1_Local!$R203))</f>
        <v/>
      </c>
      <c r="J172" s="160" t="str">
        <f>CTR1_Local!$H203</f>
        <v/>
      </c>
      <c r="K172" s="340" t="str">
        <f>CTR1_Local!$J203</f>
        <v/>
      </c>
      <c r="L172" s="350" t="str">
        <f>CTR1_Local!$L203</f>
        <v/>
      </c>
      <c r="M172" s="261" t="str">
        <f>IF(CTR1_Local!$V203="","",IF(CTR1_Local!$V203="Yes","confirm",""))</f>
        <v/>
      </c>
      <c r="N172" t="str">
        <f>IF(CTR1_Local!$W203="","",CTR1_Local!$W203)</f>
        <v/>
      </c>
    </row>
    <row r="173" spans="1:14" x14ac:dyDescent="0.2">
      <c r="A173" s="287" t="str">
        <f>IF(CTR1_Local!$D204="",CTR1_Local!B204,CTR1_Local!$D204)</f>
        <v/>
      </c>
      <c r="B173" s="26" t="str">
        <f>IF(A173="","",IF(RIGHT(A173,3)="NEW","Add new / another parish",CTR1_Local!$AN204))</f>
        <v/>
      </c>
      <c r="C173" s="26" t="str">
        <f t="shared" si="2"/>
        <v/>
      </c>
      <c r="D173" s="177" t="str">
        <f>IF(A173="","",IF(RIGHT(A173,3)="NEW",CTR1_Local!$E204,IF(CTR1_Local!$AO204="change",CTR1_Local!$E204,"")))</f>
        <v/>
      </c>
      <c r="E173" t="str">
        <f>IF(CTR1_Local!$F204="","",CTR1_Local!$F204)</f>
        <v/>
      </c>
      <c r="F173" s="261" t="str">
        <f>IF(CTR1_Local!$T204="","",IF(CTR1_Local!$T204="Yes","Removed",""))</f>
        <v/>
      </c>
      <c r="G173" t="str">
        <f>IF(CTR1_Local!$N204="","",IF(F173="Removed","",CTR1_Local!$N204))</f>
        <v/>
      </c>
      <c r="H173" t="str">
        <f>IF(CTR1_Local!$P204="","",IF($F173="Removed","",CTR1_Local!$P204))</f>
        <v/>
      </c>
      <c r="I173" t="str">
        <f>IF(CTR1_Local!$R204="","",IF($F173="Removed","",CTR1_Local!$R204))</f>
        <v/>
      </c>
      <c r="J173" s="160" t="str">
        <f>CTR1_Local!$H204</f>
        <v/>
      </c>
      <c r="K173" s="340" t="str">
        <f>CTR1_Local!$J204</f>
        <v/>
      </c>
      <c r="L173" s="350" t="str">
        <f>CTR1_Local!$L204</f>
        <v/>
      </c>
      <c r="M173" s="261" t="str">
        <f>IF(CTR1_Local!$V204="","",IF(CTR1_Local!$V204="Yes","confirm",""))</f>
        <v/>
      </c>
      <c r="N173" t="str">
        <f>IF(CTR1_Local!$W204="","",CTR1_Local!$W204)</f>
        <v/>
      </c>
    </row>
    <row r="174" spans="1:14" x14ac:dyDescent="0.2">
      <c r="A174" s="287" t="str">
        <f>IF(CTR1_Local!$D205="",CTR1_Local!B205,CTR1_Local!$D205)</f>
        <v/>
      </c>
      <c r="B174" s="26" t="str">
        <f>IF(A174="","",IF(RIGHT(A174,3)="NEW","Add new / another parish",CTR1_Local!$AN205))</f>
        <v/>
      </c>
      <c r="C174" s="26" t="str">
        <f t="shared" si="2"/>
        <v/>
      </c>
      <c r="D174" s="177" t="str">
        <f>IF(A174="","",IF(RIGHT(A174,3)="NEW",CTR1_Local!$E205,IF(CTR1_Local!$AO205="change",CTR1_Local!$E205,"")))</f>
        <v/>
      </c>
      <c r="E174" t="str">
        <f>IF(CTR1_Local!$F205="","",CTR1_Local!$F205)</f>
        <v/>
      </c>
      <c r="F174" s="261" t="str">
        <f>IF(CTR1_Local!$T205="","",IF(CTR1_Local!$T205="Yes","Removed",""))</f>
        <v/>
      </c>
      <c r="G174" t="str">
        <f>IF(CTR1_Local!$N205="","",IF(F174="Removed","",CTR1_Local!$N205))</f>
        <v/>
      </c>
      <c r="H174" t="str">
        <f>IF(CTR1_Local!$P205="","",IF($F174="Removed","",CTR1_Local!$P205))</f>
        <v/>
      </c>
      <c r="I174" t="str">
        <f>IF(CTR1_Local!$R205="","",IF($F174="Removed","",CTR1_Local!$R205))</f>
        <v/>
      </c>
      <c r="J174" s="160" t="str">
        <f>CTR1_Local!$H205</f>
        <v/>
      </c>
      <c r="K174" s="340" t="str">
        <f>CTR1_Local!$J205</f>
        <v/>
      </c>
      <c r="L174" s="350" t="str">
        <f>CTR1_Local!$L205</f>
        <v/>
      </c>
      <c r="M174" s="261" t="str">
        <f>IF(CTR1_Local!$V205="","",IF(CTR1_Local!$V205="Yes","confirm",""))</f>
        <v/>
      </c>
      <c r="N174" t="str">
        <f>IF(CTR1_Local!$W205="","",CTR1_Local!$W205)</f>
        <v/>
      </c>
    </row>
    <row r="175" spans="1:14" x14ac:dyDescent="0.2">
      <c r="A175" s="287" t="str">
        <f>IF(CTR1_Local!$D206="",CTR1_Local!B206,CTR1_Local!$D206)</f>
        <v/>
      </c>
      <c r="B175" s="26" t="str">
        <f>IF(A175="","",IF(RIGHT(A175,3)="NEW","Add new / another parish",CTR1_Local!$AN206))</f>
        <v/>
      </c>
      <c r="C175" s="26" t="str">
        <f t="shared" si="2"/>
        <v/>
      </c>
      <c r="D175" s="177" t="str">
        <f>IF(A175="","",IF(RIGHT(A175,3)="NEW",CTR1_Local!$E206,IF(CTR1_Local!$AO206="change",CTR1_Local!$E206,"")))</f>
        <v/>
      </c>
      <c r="E175" t="str">
        <f>IF(CTR1_Local!$F206="","",CTR1_Local!$F206)</f>
        <v/>
      </c>
      <c r="F175" s="261" t="str">
        <f>IF(CTR1_Local!$T206="","",IF(CTR1_Local!$T206="Yes","Removed",""))</f>
        <v/>
      </c>
      <c r="G175" t="str">
        <f>IF(CTR1_Local!$N206="","",IF(F175="Removed","",CTR1_Local!$N206))</f>
        <v/>
      </c>
      <c r="H175" t="str">
        <f>IF(CTR1_Local!$P206="","",IF($F175="Removed","",CTR1_Local!$P206))</f>
        <v/>
      </c>
      <c r="I175" t="str">
        <f>IF(CTR1_Local!$R206="","",IF($F175="Removed","",CTR1_Local!$R206))</f>
        <v/>
      </c>
      <c r="J175" s="160" t="str">
        <f>CTR1_Local!$H206</f>
        <v/>
      </c>
      <c r="K175" s="340" t="str">
        <f>CTR1_Local!$J206</f>
        <v/>
      </c>
      <c r="L175" s="350" t="str">
        <f>CTR1_Local!$L206</f>
        <v/>
      </c>
      <c r="M175" s="261" t="str">
        <f>IF(CTR1_Local!$V206="","",IF(CTR1_Local!$V206="Yes","confirm",""))</f>
        <v/>
      </c>
      <c r="N175" t="str">
        <f>IF(CTR1_Local!$W206="","",CTR1_Local!$W206)</f>
        <v/>
      </c>
    </row>
    <row r="176" spans="1:14" x14ac:dyDescent="0.2">
      <c r="A176" s="287" t="str">
        <f>IF(CTR1_Local!$D207="",CTR1_Local!B207,CTR1_Local!$D207)</f>
        <v/>
      </c>
      <c r="B176" s="26" t="str">
        <f>IF(A176="","",IF(RIGHT(A176,3)="NEW","Add new / another parish",CTR1_Local!$AN207))</f>
        <v/>
      </c>
      <c r="C176" s="26" t="str">
        <f t="shared" si="2"/>
        <v/>
      </c>
      <c r="D176" s="177" t="str">
        <f>IF(A176="","",IF(RIGHT(A176,3)="NEW",CTR1_Local!$E207,IF(CTR1_Local!$AO207="change",CTR1_Local!$E207,"")))</f>
        <v/>
      </c>
      <c r="E176" t="str">
        <f>IF(CTR1_Local!$F207="","",CTR1_Local!$F207)</f>
        <v/>
      </c>
      <c r="F176" s="261" t="str">
        <f>IF(CTR1_Local!$T207="","",IF(CTR1_Local!$T207="Yes","Removed",""))</f>
        <v/>
      </c>
      <c r="G176" t="str">
        <f>IF(CTR1_Local!$N207="","",IF(F176="Removed","",CTR1_Local!$N207))</f>
        <v/>
      </c>
      <c r="H176" t="str">
        <f>IF(CTR1_Local!$P207="","",IF($F176="Removed","",CTR1_Local!$P207))</f>
        <v/>
      </c>
      <c r="I176" t="str">
        <f>IF(CTR1_Local!$R207="","",IF($F176="Removed","",CTR1_Local!$R207))</f>
        <v/>
      </c>
      <c r="J176" s="160" t="str">
        <f>CTR1_Local!$H207</f>
        <v/>
      </c>
      <c r="K176" s="340" t="str">
        <f>CTR1_Local!$J207</f>
        <v/>
      </c>
      <c r="L176" s="350" t="str">
        <f>CTR1_Local!$L207</f>
        <v/>
      </c>
      <c r="M176" s="261" t="str">
        <f>IF(CTR1_Local!$V207="","",IF(CTR1_Local!$V207="Yes","confirm",""))</f>
        <v/>
      </c>
      <c r="N176" t="str">
        <f>IF(CTR1_Local!$W207="","",CTR1_Local!$W207)</f>
        <v/>
      </c>
    </row>
    <row r="177" spans="1:14" x14ac:dyDescent="0.2">
      <c r="A177" s="287" t="str">
        <f>IF(CTR1_Local!$D208="",CTR1_Local!B208,CTR1_Local!$D208)</f>
        <v/>
      </c>
      <c r="B177" s="26" t="str">
        <f>IF(A177="","",IF(RIGHT(A177,3)="NEW","Add new / another parish",CTR1_Local!$AN208))</f>
        <v/>
      </c>
      <c r="C177" s="26" t="str">
        <f t="shared" si="2"/>
        <v/>
      </c>
      <c r="D177" s="177" t="str">
        <f>IF(A177="","",IF(RIGHT(A177,3)="NEW",CTR1_Local!$E208,IF(CTR1_Local!$AO208="change",CTR1_Local!$E208,"")))</f>
        <v/>
      </c>
      <c r="E177" t="str">
        <f>IF(CTR1_Local!$F208="","",CTR1_Local!$F208)</f>
        <v/>
      </c>
      <c r="F177" s="261" t="str">
        <f>IF(CTR1_Local!$T208="","",IF(CTR1_Local!$T208="Yes","Removed",""))</f>
        <v/>
      </c>
      <c r="G177" t="str">
        <f>IF(CTR1_Local!$N208="","",IF(F177="Removed","",CTR1_Local!$N208))</f>
        <v/>
      </c>
      <c r="H177" t="str">
        <f>IF(CTR1_Local!$P208="","",IF($F177="Removed","",CTR1_Local!$P208))</f>
        <v/>
      </c>
      <c r="I177" t="str">
        <f>IF(CTR1_Local!$R208="","",IF($F177="Removed","",CTR1_Local!$R208))</f>
        <v/>
      </c>
      <c r="J177" s="160" t="str">
        <f>CTR1_Local!$H208</f>
        <v/>
      </c>
      <c r="K177" s="340" t="str">
        <f>CTR1_Local!$J208</f>
        <v/>
      </c>
      <c r="L177" s="350" t="str">
        <f>CTR1_Local!$L208</f>
        <v/>
      </c>
      <c r="M177" s="261" t="str">
        <f>IF(CTR1_Local!$V208="","",IF(CTR1_Local!$V208="Yes","confirm",""))</f>
        <v/>
      </c>
      <c r="N177" t="str">
        <f>IF(CTR1_Local!$W208="","",CTR1_Local!$W208)</f>
        <v/>
      </c>
    </row>
    <row r="178" spans="1:14" x14ac:dyDescent="0.2">
      <c r="A178" s="287" t="str">
        <f>IF(CTR1_Local!$D209="",CTR1_Local!B209,CTR1_Local!$D209)</f>
        <v/>
      </c>
      <c r="B178" s="26" t="str">
        <f>IF(A178="","",IF(RIGHT(A178,3)="NEW","Add new / another parish",CTR1_Local!$AN209))</f>
        <v/>
      </c>
      <c r="C178" s="26" t="str">
        <f t="shared" si="2"/>
        <v/>
      </c>
      <c r="D178" s="177" t="str">
        <f>IF(A178="","",IF(RIGHT(A178,3)="NEW",CTR1_Local!$E209,IF(CTR1_Local!$AO209="change",CTR1_Local!$E209,"")))</f>
        <v/>
      </c>
      <c r="E178" t="str">
        <f>IF(CTR1_Local!$F209="","",CTR1_Local!$F209)</f>
        <v/>
      </c>
      <c r="F178" s="261" t="str">
        <f>IF(CTR1_Local!$T209="","",IF(CTR1_Local!$T209="Yes","Removed",""))</f>
        <v/>
      </c>
      <c r="G178" t="str">
        <f>IF(CTR1_Local!$N209="","",IF(F178="Removed","",CTR1_Local!$N209))</f>
        <v/>
      </c>
      <c r="H178" t="str">
        <f>IF(CTR1_Local!$P209="","",IF($F178="Removed","",CTR1_Local!$P209))</f>
        <v/>
      </c>
      <c r="I178" t="str">
        <f>IF(CTR1_Local!$R209="","",IF($F178="Removed","",CTR1_Local!$R209))</f>
        <v/>
      </c>
      <c r="J178" s="160" t="str">
        <f>CTR1_Local!$H209</f>
        <v/>
      </c>
      <c r="K178" s="340" t="str">
        <f>CTR1_Local!$J209</f>
        <v/>
      </c>
      <c r="L178" s="350" t="str">
        <f>CTR1_Local!$L209</f>
        <v/>
      </c>
      <c r="M178" s="261" t="str">
        <f>IF(CTR1_Local!$V209="","",IF(CTR1_Local!$V209="Yes","confirm",""))</f>
        <v/>
      </c>
      <c r="N178" t="str">
        <f>IF(CTR1_Local!$W209="","",CTR1_Local!$W209)</f>
        <v/>
      </c>
    </row>
    <row r="179" spans="1:14" x14ac:dyDescent="0.2">
      <c r="A179" s="287" t="str">
        <f>IF(CTR1_Local!$D210="",CTR1_Local!B210,CTR1_Local!$D210)</f>
        <v/>
      </c>
      <c r="B179" s="26" t="str">
        <f>IF(A179="","",IF(RIGHT(A179,3)="NEW","Add new / another parish",CTR1_Local!$AN210))</f>
        <v/>
      </c>
      <c r="C179" s="26" t="str">
        <f t="shared" si="2"/>
        <v/>
      </c>
      <c r="D179" s="177" t="str">
        <f>IF(A179="","",IF(RIGHT(A179,3)="NEW",CTR1_Local!$E210,IF(CTR1_Local!$AO210="change",CTR1_Local!$E210,"")))</f>
        <v/>
      </c>
      <c r="E179" t="str">
        <f>IF(CTR1_Local!$F210="","",CTR1_Local!$F210)</f>
        <v/>
      </c>
      <c r="F179" s="261" t="str">
        <f>IF(CTR1_Local!$T210="","",IF(CTR1_Local!$T210="Yes","Removed",""))</f>
        <v/>
      </c>
      <c r="G179" t="str">
        <f>IF(CTR1_Local!$N210="","",IF(F179="Removed","",CTR1_Local!$N210))</f>
        <v/>
      </c>
      <c r="H179" t="str">
        <f>IF(CTR1_Local!$P210="","",IF($F179="Removed","",CTR1_Local!$P210))</f>
        <v/>
      </c>
      <c r="I179" t="str">
        <f>IF(CTR1_Local!$R210="","",IF($F179="Removed","",CTR1_Local!$R210))</f>
        <v/>
      </c>
      <c r="J179" s="160" t="str">
        <f>CTR1_Local!$H210</f>
        <v/>
      </c>
      <c r="K179" s="340" t="str">
        <f>CTR1_Local!$J210</f>
        <v/>
      </c>
      <c r="L179" s="350" t="str">
        <f>CTR1_Local!$L210</f>
        <v/>
      </c>
      <c r="M179" s="261" t="str">
        <f>IF(CTR1_Local!$V210="","",IF(CTR1_Local!$V210="Yes","confirm",""))</f>
        <v/>
      </c>
      <c r="N179" t="str">
        <f>IF(CTR1_Local!$W210="","",CTR1_Local!$W210)</f>
        <v/>
      </c>
    </row>
    <row r="180" spans="1:14" x14ac:dyDescent="0.2">
      <c r="A180" s="287" t="str">
        <f>IF(CTR1_Local!$D211="",CTR1_Local!B211,CTR1_Local!$D211)</f>
        <v/>
      </c>
      <c r="B180" s="26" t="str">
        <f>IF(A180="","",IF(RIGHT(A180,3)="NEW","Add new / another parish",CTR1_Local!$AN211))</f>
        <v/>
      </c>
      <c r="C180" s="26" t="str">
        <f t="shared" si="2"/>
        <v/>
      </c>
      <c r="D180" s="177" t="str">
        <f>IF(A180="","",IF(RIGHT(A180,3)="NEW",CTR1_Local!$E211,IF(CTR1_Local!$AO211="change",CTR1_Local!$E211,"")))</f>
        <v/>
      </c>
      <c r="E180" t="str">
        <f>IF(CTR1_Local!$F211="","",CTR1_Local!$F211)</f>
        <v/>
      </c>
      <c r="F180" s="261" t="str">
        <f>IF(CTR1_Local!$T211="","",IF(CTR1_Local!$T211="Yes","Removed",""))</f>
        <v/>
      </c>
      <c r="G180" t="str">
        <f>IF(CTR1_Local!$N211="","",IF(F180="Removed","",CTR1_Local!$N211))</f>
        <v/>
      </c>
      <c r="H180" t="str">
        <f>IF(CTR1_Local!$P211="","",IF($F180="Removed","",CTR1_Local!$P211))</f>
        <v/>
      </c>
      <c r="I180" t="str">
        <f>IF(CTR1_Local!$R211="","",IF($F180="Removed","",CTR1_Local!$R211))</f>
        <v/>
      </c>
      <c r="J180" s="160" t="str">
        <f>CTR1_Local!$H211</f>
        <v/>
      </c>
      <c r="K180" s="340" t="str">
        <f>CTR1_Local!$J211</f>
        <v/>
      </c>
      <c r="L180" s="350" t="str">
        <f>CTR1_Local!$L211</f>
        <v/>
      </c>
      <c r="M180" s="261" t="str">
        <f>IF(CTR1_Local!$V211="","",IF(CTR1_Local!$V211="Yes","confirm",""))</f>
        <v/>
      </c>
      <c r="N180" t="str">
        <f>IF(CTR1_Local!$W211="","",CTR1_Local!$W211)</f>
        <v/>
      </c>
    </row>
    <row r="181" spans="1:14" x14ac:dyDescent="0.2">
      <c r="A181" s="287" t="str">
        <f>IF(CTR1_Local!$D212="",CTR1_Local!B212,CTR1_Local!$D212)</f>
        <v/>
      </c>
      <c r="B181" s="26" t="str">
        <f>IF(A181="","",IF(RIGHT(A181,3)="NEW","Add new / another parish",CTR1_Local!$AN212))</f>
        <v/>
      </c>
      <c r="C181" s="26" t="str">
        <f t="shared" si="2"/>
        <v/>
      </c>
      <c r="D181" s="177" t="str">
        <f>IF(A181="","",IF(RIGHT(A181,3)="NEW",CTR1_Local!$E212,IF(CTR1_Local!$AO212="change",CTR1_Local!$E212,"")))</f>
        <v/>
      </c>
      <c r="E181" t="str">
        <f>IF(CTR1_Local!$F212="","",CTR1_Local!$F212)</f>
        <v/>
      </c>
      <c r="F181" s="261" t="str">
        <f>IF(CTR1_Local!$T212="","",IF(CTR1_Local!$T212="Yes","Removed",""))</f>
        <v/>
      </c>
      <c r="G181" t="str">
        <f>IF(CTR1_Local!$N212="","",IF(F181="Removed","",CTR1_Local!$N212))</f>
        <v/>
      </c>
      <c r="H181" t="str">
        <f>IF(CTR1_Local!$P212="","",IF($F181="Removed","",CTR1_Local!$P212))</f>
        <v/>
      </c>
      <c r="I181" t="str">
        <f>IF(CTR1_Local!$R212="","",IF($F181="Removed","",CTR1_Local!$R212))</f>
        <v/>
      </c>
      <c r="J181" s="160" t="str">
        <f>CTR1_Local!$H212</f>
        <v/>
      </c>
      <c r="K181" s="340" t="str">
        <f>CTR1_Local!$J212</f>
        <v/>
      </c>
      <c r="L181" s="350" t="str">
        <f>CTR1_Local!$L212</f>
        <v/>
      </c>
      <c r="M181" s="261" t="str">
        <f>IF(CTR1_Local!$V212="","",IF(CTR1_Local!$V212="Yes","confirm",""))</f>
        <v/>
      </c>
      <c r="N181" t="str">
        <f>IF(CTR1_Local!$W212="","",CTR1_Local!$W212)</f>
        <v/>
      </c>
    </row>
    <row r="182" spans="1:14" x14ac:dyDescent="0.2">
      <c r="A182" s="287" t="str">
        <f>IF(CTR1_Local!$D213="",CTR1_Local!B213,CTR1_Local!$D213)</f>
        <v/>
      </c>
      <c r="B182" s="26" t="str">
        <f>IF(A182="","",IF(RIGHT(A182,3)="NEW","Add new / another parish",CTR1_Local!$AN213))</f>
        <v/>
      </c>
      <c r="C182" s="26" t="str">
        <f t="shared" si="2"/>
        <v/>
      </c>
      <c r="D182" s="177" t="str">
        <f>IF(A182="","",IF(RIGHT(A182,3)="NEW",CTR1_Local!$E213,IF(CTR1_Local!$AO213="change",CTR1_Local!$E213,"")))</f>
        <v/>
      </c>
      <c r="E182" t="str">
        <f>IF(CTR1_Local!$F213="","",CTR1_Local!$F213)</f>
        <v/>
      </c>
      <c r="F182" s="261" t="str">
        <f>IF(CTR1_Local!$T213="","",IF(CTR1_Local!$T213="Yes","Removed",""))</f>
        <v/>
      </c>
      <c r="G182" t="str">
        <f>IF(CTR1_Local!$N213="","",IF(F182="Removed","",CTR1_Local!$N213))</f>
        <v/>
      </c>
      <c r="H182" t="str">
        <f>IF(CTR1_Local!$P213="","",IF($F182="Removed","",CTR1_Local!$P213))</f>
        <v/>
      </c>
      <c r="I182" t="str">
        <f>IF(CTR1_Local!$R213="","",IF($F182="Removed","",CTR1_Local!$R213))</f>
        <v/>
      </c>
      <c r="J182" s="160" t="str">
        <f>CTR1_Local!$H213</f>
        <v/>
      </c>
      <c r="K182" s="340" t="str">
        <f>CTR1_Local!$J213</f>
        <v/>
      </c>
      <c r="L182" s="350" t="str">
        <f>CTR1_Local!$L213</f>
        <v/>
      </c>
      <c r="M182" s="261" t="str">
        <f>IF(CTR1_Local!$V213="","",IF(CTR1_Local!$V213="Yes","confirm",""))</f>
        <v/>
      </c>
      <c r="N182" t="str">
        <f>IF(CTR1_Local!$W213="","",CTR1_Local!$W213)</f>
        <v/>
      </c>
    </row>
    <row r="183" spans="1:14" x14ac:dyDescent="0.2">
      <c r="A183" s="287" t="str">
        <f>IF(CTR1_Local!$D214="",CTR1_Local!B214,CTR1_Local!$D214)</f>
        <v/>
      </c>
      <c r="B183" s="26" t="str">
        <f>IF(A183="","",IF(RIGHT(A183,3)="NEW","Add new / another parish",CTR1_Local!$AN214))</f>
        <v/>
      </c>
      <c r="C183" s="26" t="str">
        <f t="shared" si="2"/>
        <v/>
      </c>
      <c r="D183" s="177" t="str">
        <f>IF(A183="","",IF(RIGHT(A183,3)="NEW",CTR1_Local!$E214,IF(CTR1_Local!$AO214="change",CTR1_Local!$E214,"")))</f>
        <v/>
      </c>
      <c r="E183" t="str">
        <f>IF(CTR1_Local!$F214="","",CTR1_Local!$F214)</f>
        <v/>
      </c>
      <c r="F183" s="261" t="str">
        <f>IF(CTR1_Local!$T214="","",IF(CTR1_Local!$T214="Yes","Removed",""))</f>
        <v/>
      </c>
      <c r="G183" t="str">
        <f>IF(CTR1_Local!$N214="","",IF(F183="Removed","",CTR1_Local!$N214))</f>
        <v/>
      </c>
      <c r="H183" t="str">
        <f>IF(CTR1_Local!$P214="","",IF($F183="Removed","",CTR1_Local!$P214))</f>
        <v/>
      </c>
      <c r="I183" t="str">
        <f>IF(CTR1_Local!$R214="","",IF($F183="Removed","",CTR1_Local!$R214))</f>
        <v/>
      </c>
      <c r="J183" s="160" t="str">
        <f>CTR1_Local!$H214</f>
        <v/>
      </c>
      <c r="K183" s="340" t="str">
        <f>CTR1_Local!$J214</f>
        <v/>
      </c>
      <c r="L183" s="350" t="str">
        <f>CTR1_Local!$L214</f>
        <v/>
      </c>
      <c r="M183" s="261" t="str">
        <f>IF(CTR1_Local!$V214="","",IF(CTR1_Local!$V214="Yes","confirm",""))</f>
        <v/>
      </c>
      <c r="N183" t="str">
        <f>IF(CTR1_Local!$W214="","",CTR1_Local!$W214)</f>
        <v/>
      </c>
    </row>
    <row r="184" spans="1:14" x14ac:dyDescent="0.2">
      <c r="A184" s="287" t="str">
        <f>IF(CTR1_Local!$D215="",CTR1_Local!B215,CTR1_Local!$D215)</f>
        <v/>
      </c>
      <c r="B184" s="26" t="str">
        <f>IF(A184="","",IF(RIGHT(A184,3)="NEW","Add new / another parish",CTR1_Local!$AN215))</f>
        <v/>
      </c>
      <c r="C184" s="26" t="str">
        <f t="shared" si="2"/>
        <v/>
      </c>
      <c r="D184" s="177" t="str">
        <f>IF(A184="","",IF(RIGHT(A184,3)="NEW",CTR1_Local!$E215,IF(CTR1_Local!$AO215="change",CTR1_Local!$E215,"")))</f>
        <v/>
      </c>
      <c r="E184" t="str">
        <f>IF(CTR1_Local!$F215="","",CTR1_Local!$F215)</f>
        <v/>
      </c>
      <c r="F184" s="261" t="str">
        <f>IF(CTR1_Local!$T215="","",IF(CTR1_Local!$T215="Yes","Removed",""))</f>
        <v/>
      </c>
      <c r="G184" t="str">
        <f>IF(CTR1_Local!$N215="","",IF(F184="Removed","",CTR1_Local!$N215))</f>
        <v/>
      </c>
      <c r="H184" t="str">
        <f>IF(CTR1_Local!$P215="","",IF($F184="Removed","",CTR1_Local!$P215))</f>
        <v/>
      </c>
      <c r="I184" t="str">
        <f>IF(CTR1_Local!$R215="","",IF($F184="Removed","",CTR1_Local!$R215))</f>
        <v/>
      </c>
      <c r="J184" s="160" t="str">
        <f>CTR1_Local!$H215</f>
        <v/>
      </c>
      <c r="K184" s="340" t="str">
        <f>CTR1_Local!$J215</f>
        <v/>
      </c>
      <c r="L184" s="350" t="str">
        <f>CTR1_Local!$L215</f>
        <v/>
      </c>
      <c r="M184" s="261" t="str">
        <f>IF(CTR1_Local!$V215="","",IF(CTR1_Local!$V215="Yes","confirm",""))</f>
        <v/>
      </c>
      <c r="N184" t="str">
        <f>IF(CTR1_Local!$W215="","",CTR1_Local!$W215)</f>
        <v/>
      </c>
    </row>
    <row r="185" spans="1:14" x14ac:dyDescent="0.2">
      <c r="A185" s="287" t="str">
        <f>IF(CTR1_Local!$D216="",CTR1_Local!B216,CTR1_Local!$D216)</f>
        <v/>
      </c>
      <c r="B185" s="26" t="str">
        <f>IF(A185="","",IF(RIGHT(A185,3)="NEW","Add new / another parish",CTR1_Local!$AN216))</f>
        <v/>
      </c>
      <c r="C185" s="26" t="str">
        <f t="shared" si="2"/>
        <v/>
      </c>
      <c r="D185" s="177" t="str">
        <f>IF(A185="","",IF(RIGHT(A185,3)="NEW",CTR1_Local!$E216,IF(CTR1_Local!$AO216="change",CTR1_Local!$E216,"")))</f>
        <v/>
      </c>
      <c r="E185" t="str">
        <f>IF(CTR1_Local!$F216="","",CTR1_Local!$F216)</f>
        <v/>
      </c>
      <c r="F185" s="261" t="str">
        <f>IF(CTR1_Local!$T216="","",IF(CTR1_Local!$T216="Yes","Removed",""))</f>
        <v/>
      </c>
      <c r="G185" t="str">
        <f>IF(CTR1_Local!$N216="","",IF(F185="Removed","",CTR1_Local!$N216))</f>
        <v/>
      </c>
      <c r="H185" t="str">
        <f>IF(CTR1_Local!$P216="","",IF($F185="Removed","",CTR1_Local!$P216))</f>
        <v/>
      </c>
      <c r="I185" t="str">
        <f>IF(CTR1_Local!$R216="","",IF($F185="Removed","",CTR1_Local!$R216))</f>
        <v/>
      </c>
      <c r="J185" s="160" t="str">
        <f>CTR1_Local!$H216</f>
        <v/>
      </c>
      <c r="K185" s="340" t="str">
        <f>CTR1_Local!$J216</f>
        <v/>
      </c>
      <c r="L185" s="350" t="str">
        <f>CTR1_Local!$L216</f>
        <v/>
      </c>
      <c r="M185" s="261" t="str">
        <f>IF(CTR1_Local!$V216="","",IF(CTR1_Local!$V216="Yes","confirm",""))</f>
        <v/>
      </c>
      <c r="N185" t="str">
        <f>IF(CTR1_Local!$W216="","",CTR1_Local!$W216)</f>
        <v/>
      </c>
    </row>
    <row r="186" spans="1:14" x14ac:dyDescent="0.2">
      <c r="A186" s="287" t="str">
        <f>IF(CTR1_Local!$D217="",CTR1_Local!B217,CTR1_Local!$D217)</f>
        <v/>
      </c>
      <c r="B186" s="26" t="str">
        <f>IF(A186="","",IF(RIGHT(A186,3)="NEW","Add new / another parish",CTR1_Local!$AN217))</f>
        <v/>
      </c>
      <c r="C186" s="26" t="str">
        <f t="shared" si="2"/>
        <v/>
      </c>
      <c r="D186" s="177" t="str">
        <f>IF(A186="","",IF(RIGHT(A186,3)="NEW",CTR1_Local!$E217,IF(CTR1_Local!$AO217="change",CTR1_Local!$E217,"")))</f>
        <v/>
      </c>
      <c r="E186" t="str">
        <f>IF(CTR1_Local!$F217="","",CTR1_Local!$F217)</f>
        <v/>
      </c>
      <c r="F186" s="261" t="str">
        <f>IF(CTR1_Local!$T217="","",IF(CTR1_Local!$T217="Yes","Removed",""))</f>
        <v/>
      </c>
      <c r="G186" t="str">
        <f>IF(CTR1_Local!$N217="","",IF(F186="Removed","",CTR1_Local!$N217))</f>
        <v/>
      </c>
      <c r="H186" t="str">
        <f>IF(CTR1_Local!$P217="","",IF($F186="Removed","",CTR1_Local!$P217))</f>
        <v/>
      </c>
      <c r="I186" t="str">
        <f>IF(CTR1_Local!$R217="","",IF($F186="Removed","",CTR1_Local!$R217))</f>
        <v/>
      </c>
      <c r="J186" s="160" t="str">
        <f>CTR1_Local!$H217</f>
        <v/>
      </c>
      <c r="K186" s="340" t="str">
        <f>CTR1_Local!$J217</f>
        <v/>
      </c>
      <c r="L186" s="350" t="str">
        <f>CTR1_Local!$L217</f>
        <v/>
      </c>
      <c r="M186" s="261" t="str">
        <f>IF(CTR1_Local!$V217="","",IF(CTR1_Local!$V217="Yes","confirm",""))</f>
        <v/>
      </c>
      <c r="N186" t="str">
        <f>IF(CTR1_Local!$W217="","",CTR1_Local!$W217)</f>
        <v/>
      </c>
    </row>
    <row r="187" spans="1:14" x14ac:dyDescent="0.2">
      <c r="A187" s="287" t="str">
        <f>IF(CTR1_Local!$D218="",CTR1_Local!B218,CTR1_Local!$D218)</f>
        <v/>
      </c>
      <c r="B187" s="26" t="str">
        <f>IF(A187="","",IF(RIGHT(A187,3)="NEW","Add new / another parish",CTR1_Local!$AN218))</f>
        <v/>
      </c>
      <c r="C187" s="26" t="str">
        <f t="shared" si="2"/>
        <v/>
      </c>
      <c r="D187" s="177" t="str">
        <f>IF(A187="","",IF(RIGHT(A187,3)="NEW",CTR1_Local!$E218,IF(CTR1_Local!$AO218="change",CTR1_Local!$E218,"")))</f>
        <v/>
      </c>
      <c r="E187" t="str">
        <f>IF(CTR1_Local!$F218="","",CTR1_Local!$F218)</f>
        <v/>
      </c>
      <c r="F187" s="261" t="str">
        <f>IF(CTR1_Local!$T218="","",IF(CTR1_Local!$T218="Yes","Removed",""))</f>
        <v/>
      </c>
      <c r="G187" t="str">
        <f>IF(CTR1_Local!$N218="","",IF(F187="Removed","",CTR1_Local!$N218))</f>
        <v/>
      </c>
      <c r="H187" t="str">
        <f>IF(CTR1_Local!$P218="","",IF($F187="Removed","",CTR1_Local!$P218))</f>
        <v/>
      </c>
      <c r="I187" t="str">
        <f>IF(CTR1_Local!$R218="","",IF($F187="Removed","",CTR1_Local!$R218))</f>
        <v/>
      </c>
      <c r="J187" s="160" t="str">
        <f>CTR1_Local!$H218</f>
        <v/>
      </c>
      <c r="K187" s="340" t="str">
        <f>CTR1_Local!$J218</f>
        <v/>
      </c>
      <c r="L187" s="350" t="str">
        <f>CTR1_Local!$L218</f>
        <v/>
      </c>
      <c r="M187" s="261" t="str">
        <f>IF(CTR1_Local!$V218="","",IF(CTR1_Local!$V218="Yes","confirm",""))</f>
        <v/>
      </c>
      <c r="N187" t="str">
        <f>IF(CTR1_Local!$W218="","",CTR1_Local!$W218)</f>
        <v/>
      </c>
    </row>
    <row r="188" spans="1:14" x14ac:dyDescent="0.2">
      <c r="A188" s="287" t="str">
        <f>IF(CTR1_Local!$D219="",CTR1_Local!B219,CTR1_Local!$D219)</f>
        <v/>
      </c>
      <c r="B188" s="26" t="str">
        <f>IF(A188="","",IF(RIGHT(A188,3)="NEW","Add new / another parish",CTR1_Local!$AN219))</f>
        <v/>
      </c>
      <c r="C188" s="26" t="str">
        <f t="shared" si="2"/>
        <v/>
      </c>
      <c r="D188" s="177" t="str">
        <f>IF(A188="","",IF(RIGHT(A188,3)="NEW",CTR1_Local!$E219,IF(CTR1_Local!$AO219="change",CTR1_Local!$E219,"")))</f>
        <v/>
      </c>
      <c r="E188" t="str">
        <f>IF(CTR1_Local!$F219="","",CTR1_Local!$F219)</f>
        <v/>
      </c>
      <c r="F188" s="261" t="str">
        <f>IF(CTR1_Local!$T219="","",IF(CTR1_Local!$T219="Yes","Removed",""))</f>
        <v/>
      </c>
      <c r="G188" t="str">
        <f>IF(CTR1_Local!$N219="","",IF(F188="Removed","",CTR1_Local!$N219))</f>
        <v/>
      </c>
      <c r="H188" t="str">
        <f>IF(CTR1_Local!$P219="","",IF($F188="Removed","",CTR1_Local!$P219))</f>
        <v/>
      </c>
      <c r="I188" t="str">
        <f>IF(CTR1_Local!$R219="","",IF($F188="Removed","",CTR1_Local!$R219))</f>
        <v/>
      </c>
      <c r="J188" s="160" t="str">
        <f>CTR1_Local!$H219</f>
        <v/>
      </c>
      <c r="K188" s="340" t="str">
        <f>CTR1_Local!$J219</f>
        <v/>
      </c>
      <c r="L188" s="350" t="str">
        <f>CTR1_Local!$L219</f>
        <v/>
      </c>
      <c r="M188" s="261" t="str">
        <f>IF(CTR1_Local!$V219="","",IF(CTR1_Local!$V219="Yes","confirm",""))</f>
        <v/>
      </c>
      <c r="N188" t="str">
        <f>IF(CTR1_Local!$W219="","",CTR1_Local!$W219)</f>
        <v/>
      </c>
    </row>
    <row r="189" spans="1:14" x14ac:dyDescent="0.2">
      <c r="A189" s="287" t="str">
        <f>IF(CTR1_Local!$D220="",CTR1_Local!B220,CTR1_Local!$D220)</f>
        <v/>
      </c>
      <c r="B189" s="26" t="str">
        <f>IF(A189="","",IF(RIGHT(A189,3)="NEW","Add new / another parish",CTR1_Local!$AN220))</f>
        <v/>
      </c>
      <c r="C189" s="26" t="str">
        <f t="shared" si="2"/>
        <v/>
      </c>
      <c r="D189" s="177" t="str">
        <f>IF(A189="","",IF(RIGHT(A189,3)="NEW",CTR1_Local!$E220,IF(CTR1_Local!$AO220="change",CTR1_Local!$E220,"")))</f>
        <v/>
      </c>
      <c r="E189" t="str">
        <f>IF(CTR1_Local!$F220="","",CTR1_Local!$F220)</f>
        <v/>
      </c>
      <c r="F189" s="261" t="str">
        <f>IF(CTR1_Local!$T220="","",IF(CTR1_Local!$T220="Yes","Removed",""))</f>
        <v/>
      </c>
      <c r="G189" t="str">
        <f>IF(CTR1_Local!$N220="","",IF(F189="Removed","",CTR1_Local!$N220))</f>
        <v/>
      </c>
      <c r="H189" t="str">
        <f>IF(CTR1_Local!$P220="","",IF($F189="Removed","",CTR1_Local!$P220))</f>
        <v/>
      </c>
      <c r="I189" t="str">
        <f>IF(CTR1_Local!$R220="","",IF($F189="Removed","",CTR1_Local!$R220))</f>
        <v/>
      </c>
      <c r="J189" s="160" t="str">
        <f>CTR1_Local!$H220</f>
        <v/>
      </c>
      <c r="K189" s="340" t="str">
        <f>CTR1_Local!$J220</f>
        <v/>
      </c>
      <c r="L189" s="350" t="str">
        <f>CTR1_Local!$L220</f>
        <v/>
      </c>
      <c r="M189" s="261" t="str">
        <f>IF(CTR1_Local!$V220="","",IF(CTR1_Local!$V220="Yes","confirm",""))</f>
        <v/>
      </c>
      <c r="N189" t="str">
        <f>IF(CTR1_Local!$W220="","",CTR1_Local!$W220)</f>
        <v/>
      </c>
    </row>
    <row r="190" spans="1:14" x14ac:dyDescent="0.2">
      <c r="A190" s="287" t="str">
        <f>IF(CTR1_Local!$D221="",CTR1_Local!B221,CTR1_Local!$D221)</f>
        <v/>
      </c>
      <c r="B190" s="26" t="str">
        <f>IF(A190="","",IF(RIGHT(A190,3)="NEW","Add new / another parish",CTR1_Local!$AN221))</f>
        <v/>
      </c>
      <c r="C190" s="26" t="str">
        <f t="shared" si="2"/>
        <v/>
      </c>
      <c r="D190" s="177" t="str">
        <f>IF(A190="","",IF(RIGHT(A190,3)="NEW",CTR1_Local!$E221,IF(CTR1_Local!$AO221="change",CTR1_Local!$E221,"")))</f>
        <v/>
      </c>
      <c r="E190" t="str">
        <f>IF(CTR1_Local!$F221="","",CTR1_Local!$F221)</f>
        <v/>
      </c>
      <c r="F190" s="261" t="str">
        <f>IF(CTR1_Local!$T221="","",IF(CTR1_Local!$T221="Yes","Removed",""))</f>
        <v/>
      </c>
      <c r="G190" t="str">
        <f>IF(CTR1_Local!$N221="","",IF(F190="Removed","",CTR1_Local!$N221))</f>
        <v/>
      </c>
      <c r="H190" t="str">
        <f>IF(CTR1_Local!$P221="","",IF($F190="Removed","",CTR1_Local!$P221))</f>
        <v/>
      </c>
      <c r="I190" t="str">
        <f>IF(CTR1_Local!$R221="","",IF($F190="Removed","",CTR1_Local!$R221))</f>
        <v/>
      </c>
      <c r="J190" s="160" t="str">
        <f>CTR1_Local!$H221</f>
        <v/>
      </c>
      <c r="K190" s="340" t="str">
        <f>CTR1_Local!$J221</f>
        <v/>
      </c>
      <c r="L190" s="350" t="str">
        <f>CTR1_Local!$L221</f>
        <v/>
      </c>
      <c r="M190" s="261" t="str">
        <f>IF(CTR1_Local!$V221="","",IF(CTR1_Local!$V221="Yes","confirm",""))</f>
        <v/>
      </c>
      <c r="N190" t="str">
        <f>IF(CTR1_Local!$W221="","",CTR1_Local!$W221)</f>
        <v/>
      </c>
    </row>
    <row r="191" spans="1:14" x14ac:dyDescent="0.2">
      <c r="A191" s="287" t="str">
        <f>IF(CTR1_Local!$D222="",CTR1_Local!B222,CTR1_Local!$D222)</f>
        <v/>
      </c>
      <c r="B191" s="26" t="str">
        <f>IF(A191="","",IF(RIGHT(A191,3)="NEW","Add new / another parish",CTR1_Local!$AN222))</f>
        <v/>
      </c>
      <c r="C191" s="26" t="str">
        <f t="shared" si="2"/>
        <v/>
      </c>
      <c r="D191" s="177" t="str">
        <f>IF(A191="","",IF(RIGHT(A191,3)="NEW",CTR1_Local!$E222,IF(CTR1_Local!$AO222="change",CTR1_Local!$E222,"")))</f>
        <v/>
      </c>
      <c r="E191" t="str">
        <f>IF(CTR1_Local!$F222="","",CTR1_Local!$F222)</f>
        <v/>
      </c>
      <c r="F191" s="261" t="str">
        <f>IF(CTR1_Local!$T222="","",IF(CTR1_Local!$T222="Yes","Removed",""))</f>
        <v/>
      </c>
      <c r="G191" t="str">
        <f>IF(CTR1_Local!$N222="","",IF(F191="Removed","",CTR1_Local!$N222))</f>
        <v/>
      </c>
      <c r="H191" t="str">
        <f>IF(CTR1_Local!$P222="","",IF($F191="Removed","",CTR1_Local!$P222))</f>
        <v/>
      </c>
      <c r="I191" t="str">
        <f>IF(CTR1_Local!$R222="","",IF($F191="Removed","",CTR1_Local!$R222))</f>
        <v/>
      </c>
      <c r="J191" s="160" t="str">
        <f>CTR1_Local!$H222</f>
        <v/>
      </c>
      <c r="K191" s="340" t="str">
        <f>CTR1_Local!$J222</f>
        <v/>
      </c>
      <c r="L191" s="350" t="str">
        <f>CTR1_Local!$L222</f>
        <v/>
      </c>
      <c r="M191" s="261" t="str">
        <f>IF(CTR1_Local!$V222="","",IF(CTR1_Local!$V222="Yes","confirm",""))</f>
        <v/>
      </c>
      <c r="N191" t="str">
        <f>IF(CTR1_Local!$W222="","",CTR1_Local!$W222)</f>
        <v/>
      </c>
    </row>
    <row r="192" spans="1:14" x14ac:dyDescent="0.2">
      <c r="A192" s="287" t="str">
        <f>IF(CTR1_Local!$D223="",CTR1_Local!B223,CTR1_Local!$D223)</f>
        <v/>
      </c>
      <c r="B192" s="26" t="str">
        <f>IF(A192="","",IF(RIGHT(A192,3)="NEW","Add new / another parish",CTR1_Local!$AN223))</f>
        <v/>
      </c>
      <c r="C192" s="26" t="str">
        <f t="shared" si="2"/>
        <v/>
      </c>
      <c r="D192" s="177" t="str">
        <f>IF(A192="","",IF(RIGHT(A192,3)="NEW",CTR1_Local!$E223,IF(CTR1_Local!$AO223="change",CTR1_Local!$E223,"")))</f>
        <v/>
      </c>
      <c r="E192" t="str">
        <f>IF(CTR1_Local!$F223="","",CTR1_Local!$F223)</f>
        <v/>
      </c>
      <c r="F192" s="261" t="str">
        <f>IF(CTR1_Local!$T223="","",IF(CTR1_Local!$T223="Yes","Removed",""))</f>
        <v/>
      </c>
      <c r="G192" t="str">
        <f>IF(CTR1_Local!$N223="","",IF(F192="Removed","",CTR1_Local!$N223))</f>
        <v/>
      </c>
      <c r="H192" t="str">
        <f>IF(CTR1_Local!$P223="","",IF($F192="Removed","",CTR1_Local!$P223))</f>
        <v/>
      </c>
      <c r="I192" t="str">
        <f>IF(CTR1_Local!$R223="","",IF($F192="Removed","",CTR1_Local!$R223))</f>
        <v/>
      </c>
      <c r="J192" s="160" t="str">
        <f>CTR1_Local!$H223</f>
        <v/>
      </c>
      <c r="K192" s="340" t="str">
        <f>CTR1_Local!$J223</f>
        <v/>
      </c>
      <c r="L192" s="350" t="str">
        <f>CTR1_Local!$L223</f>
        <v/>
      </c>
      <c r="M192" s="261" t="str">
        <f>IF(CTR1_Local!$V223="","",IF(CTR1_Local!$V223="Yes","confirm",""))</f>
        <v/>
      </c>
      <c r="N192" t="str">
        <f>IF(CTR1_Local!$W223="","",CTR1_Local!$W223)</f>
        <v/>
      </c>
    </row>
    <row r="193" spans="1:14" x14ac:dyDescent="0.2">
      <c r="A193" s="287" t="str">
        <f>IF(CTR1_Local!$D224="",CTR1_Local!B224,CTR1_Local!$D224)</f>
        <v/>
      </c>
      <c r="B193" s="26" t="str">
        <f>IF(A193="","",IF(RIGHT(A193,3)="NEW","Add new / another parish",CTR1_Local!$AN224))</f>
        <v/>
      </c>
      <c r="C193" s="26" t="str">
        <f t="shared" si="2"/>
        <v/>
      </c>
      <c r="D193" s="177" t="str">
        <f>IF(A193="","",IF(RIGHT(A193,3)="NEW",CTR1_Local!$E224,IF(CTR1_Local!$AO224="change",CTR1_Local!$E224,"")))</f>
        <v/>
      </c>
      <c r="E193" t="str">
        <f>IF(CTR1_Local!$F224="","",CTR1_Local!$F224)</f>
        <v/>
      </c>
      <c r="F193" s="261" t="str">
        <f>IF(CTR1_Local!$T224="","",IF(CTR1_Local!$T224="Yes","Removed",""))</f>
        <v/>
      </c>
      <c r="G193" t="str">
        <f>IF(CTR1_Local!$N224="","",IF(F193="Removed","",CTR1_Local!$N224))</f>
        <v/>
      </c>
      <c r="H193" t="str">
        <f>IF(CTR1_Local!$P224="","",IF($F193="Removed","",CTR1_Local!$P224))</f>
        <v/>
      </c>
      <c r="I193" t="str">
        <f>IF(CTR1_Local!$R224="","",IF($F193="Removed","",CTR1_Local!$R224))</f>
        <v/>
      </c>
      <c r="J193" s="160" t="str">
        <f>CTR1_Local!$H224</f>
        <v/>
      </c>
      <c r="K193" s="340" t="str">
        <f>CTR1_Local!$J224</f>
        <v/>
      </c>
      <c r="L193" s="350" t="str">
        <f>CTR1_Local!$L224</f>
        <v/>
      </c>
      <c r="M193" s="261" t="str">
        <f>IF(CTR1_Local!$V224="","",IF(CTR1_Local!$V224="Yes","confirm",""))</f>
        <v/>
      </c>
      <c r="N193" t="str">
        <f>IF(CTR1_Local!$W224="","",CTR1_Local!$W224)</f>
        <v/>
      </c>
    </row>
    <row r="194" spans="1:14" x14ac:dyDescent="0.2">
      <c r="A194" s="287" t="str">
        <f>IF(CTR1_Local!$D225="",CTR1_Local!B225,CTR1_Local!$D225)</f>
        <v/>
      </c>
      <c r="B194" s="26" t="str">
        <f>IF(A194="","",IF(RIGHT(A194,3)="NEW","Add new / another parish",CTR1_Local!$AN225))</f>
        <v/>
      </c>
      <c r="C194" s="26" t="str">
        <f t="shared" si="2"/>
        <v/>
      </c>
      <c r="D194" s="177" t="str">
        <f>IF(A194="","",IF(RIGHT(A194,3)="NEW",CTR1_Local!$E225,IF(CTR1_Local!$AO225="change",CTR1_Local!$E225,"")))</f>
        <v/>
      </c>
      <c r="E194" t="str">
        <f>IF(CTR1_Local!$F225="","",CTR1_Local!$F225)</f>
        <v/>
      </c>
      <c r="F194" s="261" t="str">
        <f>IF(CTR1_Local!$T225="","",IF(CTR1_Local!$T225="Yes","Removed",""))</f>
        <v/>
      </c>
      <c r="G194" t="str">
        <f>IF(CTR1_Local!$N225="","",IF(F194="Removed","",CTR1_Local!$N225))</f>
        <v/>
      </c>
      <c r="H194" t="str">
        <f>IF(CTR1_Local!$P225="","",IF($F194="Removed","",CTR1_Local!$P225))</f>
        <v/>
      </c>
      <c r="I194" t="str">
        <f>IF(CTR1_Local!$R225="","",IF($F194="Removed","",CTR1_Local!$R225))</f>
        <v/>
      </c>
      <c r="J194" s="160" t="str">
        <f>CTR1_Local!$H225</f>
        <v/>
      </c>
      <c r="K194" s="340" t="str">
        <f>CTR1_Local!$J225</f>
        <v/>
      </c>
      <c r="L194" s="350" t="str">
        <f>CTR1_Local!$L225</f>
        <v/>
      </c>
      <c r="M194" s="261" t="str">
        <f>IF(CTR1_Local!$V225="","",IF(CTR1_Local!$V225="Yes","confirm",""))</f>
        <v/>
      </c>
      <c r="N194" t="str">
        <f>IF(CTR1_Local!$W225="","",CTR1_Local!$W225)</f>
        <v/>
      </c>
    </row>
    <row r="195" spans="1:14" x14ac:dyDescent="0.2">
      <c r="A195" s="287" t="str">
        <f>IF(CTR1_Local!$D226="",CTR1_Local!B226,CTR1_Local!$D226)</f>
        <v/>
      </c>
      <c r="B195" s="26" t="str">
        <f>IF(A195="","",IF(RIGHT(A195,3)="NEW","Add new / another parish",CTR1_Local!$AN226))</f>
        <v/>
      </c>
      <c r="C195" s="26" t="str">
        <f t="shared" ref="C195:C258" si="3">IF(OR(B195="",D195=""),"",IF(AND(B195&lt;&gt;"",D195&lt;&gt;"",B195&lt;&gt;"Add new / another parish"),"yes",""))</f>
        <v/>
      </c>
      <c r="D195" s="177" t="str">
        <f>IF(A195="","",IF(RIGHT(A195,3)="NEW",CTR1_Local!$E226,IF(CTR1_Local!$AO226="change",CTR1_Local!$E226,"")))</f>
        <v/>
      </c>
      <c r="E195" t="str">
        <f>IF(CTR1_Local!$F226="","",CTR1_Local!$F226)</f>
        <v/>
      </c>
      <c r="F195" s="261" t="str">
        <f>IF(CTR1_Local!$T226="","",IF(CTR1_Local!$T226="Yes","Removed",""))</f>
        <v/>
      </c>
      <c r="G195" t="str">
        <f>IF(CTR1_Local!$N226="","",IF(F195="Removed","",CTR1_Local!$N226))</f>
        <v/>
      </c>
      <c r="H195" t="str">
        <f>IF(CTR1_Local!$P226="","",IF($F195="Removed","",CTR1_Local!$P226))</f>
        <v/>
      </c>
      <c r="I195" t="str">
        <f>IF(CTR1_Local!$R226="","",IF($F195="Removed","",CTR1_Local!$R226))</f>
        <v/>
      </c>
      <c r="J195" s="160" t="str">
        <f>CTR1_Local!$H226</f>
        <v/>
      </c>
      <c r="K195" s="340" t="str">
        <f>CTR1_Local!$J226</f>
        <v/>
      </c>
      <c r="L195" s="350" t="str">
        <f>CTR1_Local!$L226</f>
        <v/>
      </c>
      <c r="M195" s="261" t="str">
        <f>IF(CTR1_Local!$V226="","",IF(CTR1_Local!$V226="Yes","confirm",""))</f>
        <v/>
      </c>
      <c r="N195" t="str">
        <f>IF(CTR1_Local!$W226="","",CTR1_Local!$W226)</f>
        <v/>
      </c>
    </row>
    <row r="196" spans="1:14" x14ac:dyDescent="0.2">
      <c r="A196" s="287" t="str">
        <f>IF(CTR1_Local!$D227="",CTR1_Local!B227,CTR1_Local!$D227)</f>
        <v/>
      </c>
      <c r="B196" s="26" t="str">
        <f>IF(A196="","",IF(RIGHT(A196,3)="NEW","Add new / another parish",CTR1_Local!$AN227))</f>
        <v/>
      </c>
      <c r="C196" s="26" t="str">
        <f t="shared" si="3"/>
        <v/>
      </c>
      <c r="D196" s="177" t="str">
        <f>IF(A196="","",IF(RIGHT(A196,3)="NEW",CTR1_Local!$E227,IF(CTR1_Local!$AO227="change",CTR1_Local!$E227,"")))</f>
        <v/>
      </c>
      <c r="E196" t="str">
        <f>IF(CTR1_Local!$F227="","",CTR1_Local!$F227)</f>
        <v/>
      </c>
      <c r="F196" s="261" t="str">
        <f>IF(CTR1_Local!$T227="","",IF(CTR1_Local!$T227="Yes","Removed",""))</f>
        <v/>
      </c>
      <c r="G196" t="str">
        <f>IF(CTR1_Local!$N227="","",IF(F196="Removed","",CTR1_Local!$N227))</f>
        <v/>
      </c>
      <c r="H196" t="str">
        <f>IF(CTR1_Local!$P227="","",IF($F196="Removed","",CTR1_Local!$P227))</f>
        <v/>
      </c>
      <c r="I196" t="str">
        <f>IF(CTR1_Local!$R227="","",IF($F196="Removed","",CTR1_Local!$R227))</f>
        <v/>
      </c>
      <c r="J196" s="160" t="str">
        <f>CTR1_Local!$H227</f>
        <v/>
      </c>
      <c r="K196" s="340" t="str">
        <f>CTR1_Local!$J227</f>
        <v/>
      </c>
      <c r="L196" s="350" t="str">
        <f>CTR1_Local!$L227</f>
        <v/>
      </c>
      <c r="M196" s="261" t="str">
        <f>IF(CTR1_Local!$V227="","",IF(CTR1_Local!$V227="Yes","confirm",""))</f>
        <v/>
      </c>
      <c r="N196" t="str">
        <f>IF(CTR1_Local!$W227="","",CTR1_Local!$W227)</f>
        <v/>
      </c>
    </row>
    <row r="197" spans="1:14" x14ac:dyDescent="0.2">
      <c r="A197" s="287" t="str">
        <f>IF(CTR1_Local!$D228="",CTR1_Local!B228,CTR1_Local!$D228)</f>
        <v/>
      </c>
      <c r="B197" s="26" t="str">
        <f>IF(A197="","",IF(RIGHT(A197,3)="NEW","Add new / another parish",CTR1_Local!$AN228))</f>
        <v/>
      </c>
      <c r="C197" s="26" t="str">
        <f t="shared" si="3"/>
        <v/>
      </c>
      <c r="D197" s="177" t="str">
        <f>IF(A197="","",IF(RIGHT(A197,3)="NEW",CTR1_Local!$E228,IF(CTR1_Local!$AO228="change",CTR1_Local!$E228,"")))</f>
        <v/>
      </c>
      <c r="E197" t="str">
        <f>IF(CTR1_Local!$F228="","",CTR1_Local!$F228)</f>
        <v/>
      </c>
      <c r="F197" s="261" t="str">
        <f>IF(CTR1_Local!$T228="","",IF(CTR1_Local!$T228="Yes","Removed",""))</f>
        <v/>
      </c>
      <c r="G197" t="str">
        <f>IF(CTR1_Local!$N228="","",IF(F197="Removed","",CTR1_Local!$N228))</f>
        <v/>
      </c>
      <c r="H197" t="str">
        <f>IF(CTR1_Local!$P228="","",IF($F197="Removed","",CTR1_Local!$P228))</f>
        <v/>
      </c>
      <c r="I197" t="str">
        <f>IF(CTR1_Local!$R228="","",IF($F197="Removed","",CTR1_Local!$R228))</f>
        <v/>
      </c>
      <c r="J197" s="160" t="str">
        <f>CTR1_Local!$H228</f>
        <v/>
      </c>
      <c r="K197" s="340" t="str">
        <f>CTR1_Local!$J228</f>
        <v/>
      </c>
      <c r="L197" s="350" t="str">
        <f>CTR1_Local!$L228</f>
        <v/>
      </c>
      <c r="M197" s="261" t="str">
        <f>IF(CTR1_Local!$V228="","",IF(CTR1_Local!$V228="Yes","confirm",""))</f>
        <v/>
      </c>
      <c r="N197" t="str">
        <f>IF(CTR1_Local!$W228="","",CTR1_Local!$W228)</f>
        <v/>
      </c>
    </row>
    <row r="198" spans="1:14" x14ac:dyDescent="0.2">
      <c r="A198" s="287" t="str">
        <f>IF(CTR1_Local!$D229="",CTR1_Local!B229,CTR1_Local!$D229)</f>
        <v/>
      </c>
      <c r="B198" s="26" t="str">
        <f>IF(A198="","",IF(RIGHT(A198,3)="NEW","Add new / another parish",CTR1_Local!$AN229))</f>
        <v/>
      </c>
      <c r="C198" s="26" t="str">
        <f t="shared" si="3"/>
        <v/>
      </c>
      <c r="D198" s="177" t="str">
        <f>IF(A198="","",IF(RIGHT(A198,3)="NEW",CTR1_Local!$E229,IF(CTR1_Local!$AO229="change",CTR1_Local!$E229,"")))</f>
        <v/>
      </c>
      <c r="E198" t="str">
        <f>IF(CTR1_Local!$F229="","",CTR1_Local!$F229)</f>
        <v/>
      </c>
      <c r="F198" s="261" t="str">
        <f>IF(CTR1_Local!$T229="","",IF(CTR1_Local!$T229="Yes","Removed",""))</f>
        <v/>
      </c>
      <c r="G198" t="str">
        <f>IF(CTR1_Local!$N229="","",IF(F198="Removed","",CTR1_Local!$N229))</f>
        <v/>
      </c>
      <c r="H198" t="str">
        <f>IF(CTR1_Local!$P229="","",IF($F198="Removed","",CTR1_Local!$P229))</f>
        <v/>
      </c>
      <c r="I198" t="str">
        <f>IF(CTR1_Local!$R229="","",IF($F198="Removed","",CTR1_Local!$R229))</f>
        <v/>
      </c>
      <c r="J198" s="160" t="str">
        <f>CTR1_Local!$H229</f>
        <v/>
      </c>
      <c r="K198" s="340" t="str">
        <f>CTR1_Local!$J229</f>
        <v/>
      </c>
      <c r="L198" s="350" t="str">
        <f>CTR1_Local!$L229</f>
        <v/>
      </c>
      <c r="M198" s="261" t="str">
        <f>IF(CTR1_Local!$V229="","",IF(CTR1_Local!$V229="Yes","confirm",""))</f>
        <v/>
      </c>
      <c r="N198" t="str">
        <f>IF(CTR1_Local!$W229="","",CTR1_Local!$W229)</f>
        <v/>
      </c>
    </row>
    <row r="199" spans="1:14" x14ac:dyDescent="0.2">
      <c r="A199" s="287" t="str">
        <f>IF(CTR1_Local!$D230="",CTR1_Local!B230,CTR1_Local!$D230)</f>
        <v/>
      </c>
      <c r="B199" s="26" t="str">
        <f>IF(A199="","",IF(RIGHT(A199,3)="NEW","Add new / another parish",CTR1_Local!$AN230))</f>
        <v/>
      </c>
      <c r="C199" s="26" t="str">
        <f t="shared" si="3"/>
        <v/>
      </c>
      <c r="D199" s="177" t="str">
        <f>IF(A199="","",IF(RIGHT(A199,3)="NEW",CTR1_Local!$E230,IF(CTR1_Local!$AO230="change",CTR1_Local!$E230,"")))</f>
        <v/>
      </c>
      <c r="E199" t="str">
        <f>IF(CTR1_Local!$F230="","",CTR1_Local!$F230)</f>
        <v/>
      </c>
      <c r="F199" s="261" t="str">
        <f>IF(CTR1_Local!$T230="","",IF(CTR1_Local!$T230="Yes","Removed",""))</f>
        <v/>
      </c>
      <c r="G199" t="str">
        <f>IF(CTR1_Local!$N230="","",IF(F199="Removed","",CTR1_Local!$N230))</f>
        <v/>
      </c>
      <c r="H199" t="str">
        <f>IF(CTR1_Local!$P230="","",IF($F199="Removed","",CTR1_Local!$P230))</f>
        <v/>
      </c>
      <c r="I199" t="str">
        <f>IF(CTR1_Local!$R230="","",IF($F199="Removed","",CTR1_Local!$R230))</f>
        <v/>
      </c>
      <c r="J199" s="160" t="str">
        <f>CTR1_Local!$H230</f>
        <v/>
      </c>
      <c r="K199" s="340" t="str">
        <f>CTR1_Local!$J230</f>
        <v/>
      </c>
      <c r="L199" s="350" t="str">
        <f>CTR1_Local!$L230</f>
        <v/>
      </c>
      <c r="M199" s="261" t="str">
        <f>IF(CTR1_Local!$V230="","",IF(CTR1_Local!$V230="Yes","confirm",""))</f>
        <v/>
      </c>
      <c r="N199" t="str">
        <f>IF(CTR1_Local!$W230="","",CTR1_Local!$W230)</f>
        <v/>
      </c>
    </row>
    <row r="200" spans="1:14" x14ac:dyDescent="0.2">
      <c r="A200" s="287" t="str">
        <f>IF(CTR1_Local!$D231="",CTR1_Local!B231,CTR1_Local!$D231)</f>
        <v/>
      </c>
      <c r="B200" s="26" t="str">
        <f>IF(A200="","",IF(RIGHT(A200,3)="NEW","Add new / another parish",CTR1_Local!$AN231))</f>
        <v/>
      </c>
      <c r="C200" s="26" t="str">
        <f t="shared" si="3"/>
        <v/>
      </c>
      <c r="D200" s="177" t="str">
        <f>IF(A200="","",IF(RIGHT(A200,3)="NEW",CTR1_Local!$E231,IF(CTR1_Local!$AO231="change",CTR1_Local!$E231,"")))</f>
        <v/>
      </c>
      <c r="E200" t="str">
        <f>IF(CTR1_Local!$F231="","",CTR1_Local!$F231)</f>
        <v/>
      </c>
      <c r="F200" s="261" t="str">
        <f>IF(CTR1_Local!$T231="","",IF(CTR1_Local!$T231="Yes","Removed",""))</f>
        <v/>
      </c>
      <c r="G200" t="str">
        <f>IF(CTR1_Local!$N231="","",IF(F200="Removed","",CTR1_Local!$N231))</f>
        <v/>
      </c>
      <c r="H200" t="str">
        <f>IF(CTR1_Local!$P231="","",IF($F200="Removed","",CTR1_Local!$P231))</f>
        <v/>
      </c>
      <c r="I200" t="str">
        <f>IF(CTR1_Local!$R231="","",IF($F200="Removed","",CTR1_Local!$R231))</f>
        <v/>
      </c>
      <c r="J200" s="160" t="str">
        <f>CTR1_Local!$H231</f>
        <v/>
      </c>
      <c r="K200" s="340" t="str">
        <f>CTR1_Local!$J231</f>
        <v/>
      </c>
      <c r="L200" s="350" t="str">
        <f>CTR1_Local!$L231</f>
        <v/>
      </c>
      <c r="M200" s="261" t="str">
        <f>IF(CTR1_Local!$V231="","",IF(CTR1_Local!$V231="Yes","confirm",""))</f>
        <v/>
      </c>
      <c r="N200" t="str">
        <f>IF(CTR1_Local!$W231="","",CTR1_Local!$W231)</f>
        <v/>
      </c>
    </row>
    <row r="201" spans="1:14" x14ac:dyDescent="0.2">
      <c r="A201" s="287" t="str">
        <f>IF(CTR1_Local!$D232="",CTR1_Local!B232,CTR1_Local!$D232)</f>
        <v/>
      </c>
      <c r="B201" s="26" t="str">
        <f>IF(A201="","",IF(RIGHT(A201,3)="NEW","Add new / another parish",CTR1_Local!$AN232))</f>
        <v/>
      </c>
      <c r="C201" s="26" t="str">
        <f t="shared" si="3"/>
        <v/>
      </c>
      <c r="D201" s="177" t="str">
        <f>IF(A201="","",IF(RIGHT(A201,3)="NEW",CTR1_Local!$E232,IF(CTR1_Local!$AO232="change",CTR1_Local!$E232,"")))</f>
        <v/>
      </c>
      <c r="E201" t="str">
        <f>IF(CTR1_Local!$F232="","",CTR1_Local!$F232)</f>
        <v/>
      </c>
      <c r="F201" s="261" t="str">
        <f>IF(CTR1_Local!$T232="","",IF(CTR1_Local!$T232="Yes","Removed",""))</f>
        <v/>
      </c>
      <c r="G201" t="str">
        <f>IF(CTR1_Local!$N232="","",IF(F201="Removed","",CTR1_Local!$N232))</f>
        <v/>
      </c>
      <c r="H201" t="str">
        <f>IF(CTR1_Local!$P232="","",IF($F201="Removed","",CTR1_Local!$P232))</f>
        <v/>
      </c>
      <c r="I201" t="str">
        <f>IF(CTR1_Local!$R232="","",IF($F201="Removed","",CTR1_Local!$R232))</f>
        <v/>
      </c>
      <c r="J201" s="160" t="str">
        <f>CTR1_Local!$H232</f>
        <v/>
      </c>
      <c r="K201" s="340" t="str">
        <f>CTR1_Local!$J232</f>
        <v/>
      </c>
      <c r="L201" s="350" t="str">
        <f>CTR1_Local!$L232</f>
        <v/>
      </c>
      <c r="M201" s="261" t="str">
        <f>IF(CTR1_Local!$V232="","",IF(CTR1_Local!$V232="Yes","confirm",""))</f>
        <v/>
      </c>
      <c r="N201" t="str">
        <f>IF(CTR1_Local!$W232="","",CTR1_Local!$W232)</f>
        <v/>
      </c>
    </row>
    <row r="202" spans="1:14" x14ac:dyDescent="0.2">
      <c r="A202" s="287" t="str">
        <f>IF(CTR1_Local!$D233="",CTR1_Local!B233,CTR1_Local!$D233)</f>
        <v/>
      </c>
      <c r="B202" s="26" t="str">
        <f>IF(A202="","",IF(RIGHT(A202,3)="NEW","Add new / another parish",CTR1_Local!$AN233))</f>
        <v/>
      </c>
      <c r="C202" s="26" t="str">
        <f t="shared" si="3"/>
        <v/>
      </c>
      <c r="D202" s="177" t="str">
        <f>IF(A202="","",IF(RIGHT(A202,3)="NEW",CTR1_Local!$E233,IF(CTR1_Local!$AO233="change",CTR1_Local!$E233,"")))</f>
        <v/>
      </c>
      <c r="E202" t="str">
        <f>IF(CTR1_Local!$F233="","",CTR1_Local!$F233)</f>
        <v/>
      </c>
      <c r="F202" s="261" t="str">
        <f>IF(CTR1_Local!$T233="","",IF(CTR1_Local!$T233="Yes","Removed",""))</f>
        <v/>
      </c>
      <c r="G202" t="str">
        <f>IF(CTR1_Local!$N233="","",IF(F202="Removed","",CTR1_Local!$N233))</f>
        <v/>
      </c>
      <c r="H202" t="str">
        <f>IF(CTR1_Local!$P233="","",IF($F202="Removed","",CTR1_Local!$P233))</f>
        <v/>
      </c>
      <c r="I202" t="str">
        <f>IF(CTR1_Local!$R233="","",IF($F202="Removed","",CTR1_Local!$R233))</f>
        <v/>
      </c>
      <c r="J202" s="160" t="str">
        <f>CTR1_Local!$H233</f>
        <v/>
      </c>
      <c r="K202" s="340" t="str">
        <f>CTR1_Local!$J233</f>
        <v/>
      </c>
      <c r="L202" s="350" t="str">
        <f>CTR1_Local!$L233</f>
        <v/>
      </c>
      <c r="M202" s="261" t="str">
        <f>IF(CTR1_Local!$V233="","",IF(CTR1_Local!$V233="Yes","confirm",""))</f>
        <v/>
      </c>
      <c r="N202" t="str">
        <f>IF(CTR1_Local!$W233="","",CTR1_Local!$W233)</f>
        <v/>
      </c>
    </row>
    <row r="203" spans="1:14" x14ac:dyDescent="0.2">
      <c r="A203" s="287" t="str">
        <f>IF(CTR1_Local!$D234="",CTR1_Local!B234,CTR1_Local!$D234)</f>
        <v/>
      </c>
      <c r="B203" s="26" t="str">
        <f>IF(A203="","",IF(RIGHT(A203,3)="NEW","Add new / another parish",CTR1_Local!$AN234))</f>
        <v/>
      </c>
      <c r="C203" s="26" t="str">
        <f t="shared" si="3"/>
        <v/>
      </c>
      <c r="D203" s="177" t="str">
        <f>IF(A203="","",IF(RIGHT(A203,3)="NEW",CTR1_Local!$E234,IF(CTR1_Local!$AO234="change",CTR1_Local!$E234,"")))</f>
        <v/>
      </c>
      <c r="E203" t="str">
        <f>IF(CTR1_Local!$F234="","",CTR1_Local!$F234)</f>
        <v/>
      </c>
      <c r="F203" s="261" t="str">
        <f>IF(CTR1_Local!$T234="","",IF(CTR1_Local!$T234="Yes","Removed",""))</f>
        <v/>
      </c>
      <c r="G203" t="str">
        <f>IF(CTR1_Local!$N234="","",IF(F203="Removed","",CTR1_Local!$N234))</f>
        <v/>
      </c>
      <c r="H203" t="str">
        <f>IF(CTR1_Local!$P234="","",IF($F203="Removed","",CTR1_Local!$P234))</f>
        <v/>
      </c>
      <c r="I203" t="str">
        <f>IF(CTR1_Local!$R234="","",IF($F203="Removed","",CTR1_Local!$R234))</f>
        <v/>
      </c>
      <c r="J203" s="160" t="str">
        <f>CTR1_Local!$H234</f>
        <v/>
      </c>
      <c r="K203" s="340" t="str">
        <f>CTR1_Local!$J234</f>
        <v/>
      </c>
      <c r="L203" s="350" t="str">
        <f>CTR1_Local!$L234</f>
        <v/>
      </c>
      <c r="M203" s="261" t="str">
        <f>IF(CTR1_Local!$V234="","",IF(CTR1_Local!$V234="Yes","confirm",""))</f>
        <v/>
      </c>
      <c r="N203" t="str">
        <f>IF(CTR1_Local!$W234="","",CTR1_Local!$W234)</f>
        <v/>
      </c>
    </row>
    <row r="204" spans="1:14" x14ac:dyDescent="0.2">
      <c r="A204" s="287" t="str">
        <f>IF(CTR1_Local!$D235="",CTR1_Local!B235,CTR1_Local!$D235)</f>
        <v/>
      </c>
      <c r="B204" s="26" t="str">
        <f>IF(A204="","",IF(RIGHT(A204,3)="NEW","Add new / another parish",CTR1_Local!$AN235))</f>
        <v/>
      </c>
      <c r="C204" s="26" t="str">
        <f t="shared" si="3"/>
        <v/>
      </c>
      <c r="D204" s="177" t="str">
        <f>IF(A204="","",IF(RIGHT(A204,3)="NEW",CTR1_Local!$E235,IF(CTR1_Local!$AO235="change",CTR1_Local!$E235,"")))</f>
        <v/>
      </c>
      <c r="E204" t="str">
        <f>IF(CTR1_Local!$F235="","",CTR1_Local!$F235)</f>
        <v/>
      </c>
      <c r="F204" s="261" t="str">
        <f>IF(CTR1_Local!$T235="","",IF(CTR1_Local!$T235="Yes","Removed",""))</f>
        <v/>
      </c>
      <c r="G204" t="str">
        <f>IF(CTR1_Local!$N235="","",IF(F204="Removed","",CTR1_Local!$N235))</f>
        <v/>
      </c>
      <c r="H204" t="str">
        <f>IF(CTR1_Local!$P235="","",IF($F204="Removed","",CTR1_Local!$P235))</f>
        <v/>
      </c>
      <c r="I204" t="str">
        <f>IF(CTR1_Local!$R235="","",IF($F204="Removed","",CTR1_Local!$R235))</f>
        <v/>
      </c>
      <c r="J204" s="160" t="str">
        <f>CTR1_Local!$H235</f>
        <v/>
      </c>
      <c r="K204" s="340" t="str">
        <f>CTR1_Local!$J235</f>
        <v/>
      </c>
      <c r="L204" s="350" t="str">
        <f>CTR1_Local!$L235</f>
        <v/>
      </c>
      <c r="M204" s="261" t="str">
        <f>IF(CTR1_Local!$V235="","",IF(CTR1_Local!$V235="Yes","confirm",""))</f>
        <v/>
      </c>
      <c r="N204" t="str">
        <f>IF(CTR1_Local!$W235="","",CTR1_Local!$W235)</f>
        <v/>
      </c>
    </row>
    <row r="205" spans="1:14" x14ac:dyDescent="0.2">
      <c r="A205" s="287" t="str">
        <f>IF(CTR1_Local!$D236="",CTR1_Local!B236,CTR1_Local!$D236)</f>
        <v/>
      </c>
      <c r="B205" s="26" t="str">
        <f>IF(A205="","",IF(RIGHT(A205,3)="NEW","Add new / another parish",CTR1_Local!$AN236))</f>
        <v/>
      </c>
      <c r="C205" s="26" t="str">
        <f t="shared" si="3"/>
        <v/>
      </c>
      <c r="D205" s="177" t="str">
        <f>IF(A205="","",IF(RIGHT(A205,3)="NEW",CTR1_Local!$E236,IF(CTR1_Local!$AO236="change",CTR1_Local!$E236,"")))</f>
        <v/>
      </c>
      <c r="E205" t="str">
        <f>IF(CTR1_Local!$F236="","",CTR1_Local!$F236)</f>
        <v/>
      </c>
      <c r="F205" s="261" t="str">
        <f>IF(CTR1_Local!$T236="","",IF(CTR1_Local!$T236="Yes","Removed",""))</f>
        <v/>
      </c>
      <c r="G205" t="str">
        <f>IF(CTR1_Local!$N236="","",IF(F205="Removed","",CTR1_Local!$N236))</f>
        <v/>
      </c>
      <c r="H205" t="str">
        <f>IF(CTR1_Local!$P236="","",IF($F205="Removed","",CTR1_Local!$P236))</f>
        <v/>
      </c>
      <c r="I205" t="str">
        <f>IF(CTR1_Local!$R236="","",IF($F205="Removed","",CTR1_Local!$R236))</f>
        <v/>
      </c>
      <c r="J205" s="160" t="str">
        <f>CTR1_Local!$H236</f>
        <v/>
      </c>
      <c r="K205" s="340" t="str">
        <f>CTR1_Local!$J236</f>
        <v/>
      </c>
      <c r="L205" s="350" t="str">
        <f>CTR1_Local!$L236</f>
        <v/>
      </c>
      <c r="M205" s="261" t="str">
        <f>IF(CTR1_Local!$V236="","",IF(CTR1_Local!$V236="Yes","confirm",""))</f>
        <v/>
      </c>
      <c r="N205" t="str">
        <f>IF(CTR1_Local!$W236="","",CTR1_Local!$W236)</f>
        <v/>
      </c>
    </row>
    <row r="206" spans="1:14" x14ac:dyDescent="0.2">
      <c r="A206" s="287" t="str">
        <f>IF(CTR1_Local!$D237="",CTR1_Local!B237,CTR1_Local!$D237)</f>
        <v/>
      </c>
      <c r="B206" s="26" t="str">
        <f>IF(A206="","",IF(RIGHT(A206,3)="NEW","Add new / another parish",CTR1_Local!$AN237))</f>
        <v/>
      </c>
      <c r="C206" s="26" t="str">
        <f t="shared" si="3"/>
        <v/>
      </c>
      <c r="D206" s="177" t="str">
        <f>IF(A206="","",IF(RIGHT(A206,3)="NEW",CTR1_Local!$E237,IF(CTR1_Local!$AO237="change",CTR1_Local!$E237,"")))</f>
        <v/>
      </c>
      <c r="E206" t="str">
        <f>IF(CTR1_Local!$F237="","",CTR1_Local!$F237)</f>
        <v/>
      </c>
      <c r="F206" s="261" t="str">
        <f>IF(CTR1_Local!$T237="","",IF(CTR1_Local!$T237="Yes","Removed",""))</f>
        <v/>
      </c>
      <c r="G206" t="str">
        <f>IF(CTR1_Local!$N237="","",IF(F206="Removed","",CTR1_Local!$N237))</f>
        <v/>
      </c>
      <c r="H206" t="str">
        <f>IF(CTR1_Local!$P237="","",IF($F206="Removed","",CTR1_Local!$P237))</f>
        <v/>
      </c>
      <c r="I206" t="str">
        <f>IF(CTR1_Local!$R237="","",IF($F206="Removed","",CTR1_Local!$R237))</f>
        <v/>
      </c>
      <c r="J206" s="160" t="str">
        <f>CTR1_Local!$H237</f>
        <v/>
      </c>
      <c r="K206" s="340" t="str">
        <f>CTR1_Local!$J237</f>
        <v/>
      </c>
      <c r="L206" s="350" t="str">
        <f>CTR1_Local!$L237</f>
        <v/>
      </c>
      <c r="M206" s="261" t="str">
        <f>IF(CTR1_Local!$V237="","",IF(CTR1_Local!$V237="Yes","confirm",""))</f>
        <v/>
      </c>
      <c r="N206" t="str">
        <f>IF(CTR1_Local!$W237="","",CTR1_Local!$W237)</f>
        <v/>
      </c>
    </row>
    <row r="207" spans="1:14" x14ac:dyDescent="0.2">
      <c r="A207" s="287" t="str">
        <f>IF(CTR1_Local!$D238="",CTR1_Local!B238,CTR1_Local!$D238)</f>
        <v/>
      </c>
      <c r="B207" s="26" t="str">
        <f>IF(A207="","",IF(RIGHT(A207,3)="NEW","Add new / another parish",CTR1_Local!$AN238))</f>
        <v/>
      </c>
      <c r="C207" s="26" t="str">
        <f t="shared" si="3"/>
        <v/>
      </c>
      <c r="D207" s="177" t="str">
        <f>IF(A207="","",IF(RIGHT(A207,3)="NEW",CTR1_Local!$E238,IF(CTR1_Local!$AO238="change",CTR1_Local!$E238,"")))</f>
        <v/>
      </c>
      <c r="E207" t="str">
        <f>IF(CTR1_Local!$F238="","",CTR1_Local!$F238)</f>
        <v/>
      </c>
      <c r="F207" s="261" t="str">
        <f>IF(CTR1_Local!$T238="","",IF(CTR1_Local!$T238="Yes","Removed",""))</f>
        <v/>
      </c>
      <c r="G207" t="str">
        <f>IF(CTR1_Local!$N238="","",IF(F207="Removed","",CTR1_Local!$N238))</f>
        <v/>
      </c>
      <c r="H207" t="str">
        <f>IF(CTR1_Local!$P238="","",IF($F207="Removed","",CTR1_Local!$P238))</f>
        <v/>
      </c>
      <c r="I207" t="str">
        <f>IF(CTR1_Local!$R238="","",IF($F207="Removed","",CTR1_Local!$R238))</f>
        <v/>
      </c>
      <c r="J207" s="160" t="str">
        <f>CTR1_Local!$H238</f>
        <v/>
      </c>
      <c r="K207" s="340" t="str">
        <f>CTR1_Local!$J238</f>
        <v/>
      </c>
      <c r="L207" s="350" t="str">
        <f>CTR1_Local!$L238</f>
        <v/>
      </c>
      <c r="M207" s="261" t="str">
        <f>IF(CTR1_Local!$V238="","",IF(CTR1_Local!$V238="Yes","confirm",""))</f>
        <v/>
      </c>
      <c r="N207" t="str">
        <f>IF(CTR1_Local!$W238="","",CTR1_Local!$W238)</f>
        <v/>
      </c>
    </row>
    <row r="208" spans="1:14" x14ac:dyDescent="0.2">
      <c r="A208" s="287" t="str">
        <f>IF(CTR1_Local!$D239="",CTR1_Local!B239,CTR1_Local!$D239)</f>
        <v/>
      </c>
      <c r="B208" s="26" t="str">
        <f>IF(A208="","",IF(RIGHT(A208,3)="NEW","Add new / another parish",CTR1_Local!$AN239))</f>
        <v/>
      </c>
      <c r="C208" s="26" t="str">
        <f t="shared" si="3"/>
        <v/>
      </c>
      <c r="D208" s="177" t="str">
        <f>IF(A208="","",IF(RIGHT(A208,3)="NEW",CTR1_Local!$E239,IF(CTR1_Local!$AO239="change",CTR1_Local!$E239,"")))</f>
        <v/>
      </c>
      <c r="E208" t="str">
        <f>IF(CTR1_Local!$F239="","",CTR1_Local!$F239)</f>
        <v/>
      </c>
      <c r="F208" s="261" t="str">
        <f>IF(CTR1_Local!$T239="","",IF(CTR1_Local!$T239="Yes","Removed",""))</f>
        <v/>
      </c>
      <c r="G208" t="str">
        <f>IF(CTR1_Local!$N239="","",IF(F208="Removed","",CTR1_Local!$N239))</f>
        <v/>
      </c>
      <c r="H208" t="str">
        <f>IF(CTR1_Local!$P239="","",IF($F208="Removed","",CTR1_Local!$P239))</f>
        <v/>
      </c>
      <c r="I208" t="str">
        <f>IF(CTR1_Local!$R239="","",IF($F208="Removed","",CTR1_Local!$R239))</f>
        <v/>
      </c>
      <c r="J208" s="160" t="str">
        <f>CTR1_Local!$H239</f>
        <v/>
      </c>
      <c r="K208" s="340" t="str">
        <f>CTR1_Local!$J239</f>
        <v/>
      </c>
      <c r="L208" s="350" t="str">
        <f>CTR1_Local!$L239</f>
        <v/>
      </c>
      <c r="M208" s="261" t="str">
        <f>IF(CTR1_Local!$V239="","",IF(CTR1_Local!$V239="Yes","confirm",""))</f>
        <v/>
      </c>
      <c r="N208" t="str">
        <f>IF(CTR1_Local!$W239="","",CTR1_Local!$W239)</f>
        <v/>
      </c>
    </row>
    <row r="209" spans="1:14" x14ac:dyDescent="0.2">
      <c r="A209" s="287" t="str">
        <f>IF(CTR1_Local!$D240="",CTR1_Local!B240,CTR1_Local!$D240)</f>
        <v/>
      </c>
      <c r="B209" s="26" t="str">
        <f>IF(A209="","",IF(RIGHT(A209,3)="NEW","Add new / another parish",CTR1_Local!$AN240))</f>
        <v/>
      </c>
      <c r="C209" s="26" t="str">
        <f t="shared" si="3"/>
        <v/>
      </c>
      <c r="D209" s="177" t="str">
        <f>IF(A209="","",IF(RIGHT(A209,3)="NEW",CTR1_Local!$E240,IF(CTR1_Local!$AO240="change",CTR1_Local!$E240,"")))</f>
        <v/>
      </c>
      <c r="E209" t="str">
        <f>IF(CTR1_Local!$F240="","",CTR1_Local!$F240)</f>
        <v/>
      </c>
      <c r="F209" s="261" t="str">
        <f>IF(CTR1_Local!$T240="","",IF(CTR1_Local!$T240="Yes","Removed",""))</f>
        <v/>
      </c>
      <c r="G209" t="str">
        <f>IF(CTR1_Local!$N240="","",IF(F209="Removed","",CTR1_Local!$N240))</f>
        <v/>
      </c>
      <c r="H209" t="str">
        <f>IF(CTR1_Local!$P240="","",IF($F209="Removed","",CTR1_Local!$P240))</f>
        <v/>
      </c>
      <c r="I209" t="str">
        <f>IF(CTR1_Local!$R240="","",IF($F209="Removed","",CTR1_Local!$R240))</f>
        <v/>
      </c>
      <c r="J209" s="160" t="str">
        <f>CTR1_Local!$H240</f>
        <v/>
      </c>
      <c r="K209" s="340" t="str">
        <f>CTR1_Local!$J240</f>
        <v/>
      </c>
      <c r="L209" s="350" t="str">
        <f>CTR1_Local!$L240</f>
        <v/>
      </c>
      <c r="M209" s="261" t="str">
        <f>IF(CTR1_Local!$V240="","",IF(CTR1_Local!$V240="Yes","confirm",""))</f>
        <v/>
      </c>
      <c r="N209" t="str">
        <f>IF(CTR1_Local!$W240="","",CTR1_Local!$W240)</f>
        <v/>
      </c>
    </row>
    <row r="210" spans="1:14" x14ac:dyDescent="0.2">
      <c r="A210" s="287" t="str">
        <f>IF(CTR1_Local!$D241="",CTR1_Local!B241,CTR1_Local!$D241)</f>
        <v/>
      </c>
      <c r="B210" s="26" t="str">
        <f>IF(A210="","",IF(RIGHT(A210,3)="NEW","Add new / another parish",CTR1_Local!$AN241))</f>
        <v/>
      </c>
      <c r="C210" s="26" t="str">
        <f t="shared" si="3"/>
        <v/>
      </c>
      <c r="D210" s="177" t="str">
        <f>IF(A210="","",IF(RIGHT(A210,3)="NEW",CTR1_Local!$E241,IF(CTR1_Local!$AO241="change",CTR1_Local!$E241,"")))</f>
        <v/>
      </c>
      <c r="E210" t="str">
        <f>IF(CTR1_Local!$F241="","",CTR1_Local!$F241)</f>
        <v/>
      </c>
      <c r="F210" s="261" t="str">
        <f>IF(CTR1_Local!$T241="","",IF(CTR1_Local!$T241="Yes","Removed",""))</f>
        <v/>
      </c>
      <c r="G210" t="str">
        <f>IF(CTR1_Local!$N241="","",IF(F210="Removed","",CTR1_Local!$N241))</f>
        <v/>
      </c>
      <c r="H210" t="str">
        <f>IF(CTR1_Local!$P241="","",IF($F210="Removed","",CTR1_Local!$P241))</f>
        <v/>
      </c>
      <c r="I210" t="str">
        <f>IF(CTR1_Local!$R241="","",IF($F210="Removed","",CTR1_Local!$R241))</f>
        <v/>
      </c>
      <c r="J210" s="160" t="str">
        <f>CTR1_Local!$H241</f>
        <v/>
      </c>
      <c r="K210" s="340" t="str">
        <f>CTR1_Local!$J241</f>
        <v/>
      </c>
      <c r="L210" s="350" t="str">
        <f>CTR1_Local!$L241</f>
        <v/>
      </c>
      <c r="M210" s="261" t="str">
        <f>IF(CTR1_Local!$V241="","",IF(CTR1_Local!$V241="Yes","confirm",""))</f>
        <v/>
      </c>
      <c r="N210" t="str">
        <f>IF(CTR1_Local!$W241="","",CTR1_Local!$W241)</f>
        <v/>
      </c>
    </row>
    <row r="211" spans="1:14" x14ac:dyDescent="0.2">
      <c r="A211" s="287" t="str">
        <f>IF(CTR1_Local!$D242="",CTR1_Local!B242,CTR1_Local!$D242)</f>
        <v/>
      </c>
      <c r="B211" s="26" t="str">
        <f>IF(A211="","",IF(RIGHT(A211,3)="NEW","Add new / another parish",CTR1_Local!$AN242))</f>
        <v/>
      </c>
      <c r="C211" s="26" t="str">
        <f t="shared" si="3"/>
        <v/>
      </c>
      <c r="D211" s="177" t="str">
        <f>IF(A211="","",IF(RIGHT(A211,3)="NEW",CTR1_Local!$E242,IF(CTR1_Local!$AO242="change",CTR1_Local!$E242,"")))</f>
        <v/>
      </c>
      <c r="E211" t="str">
        <f>IF(CTR1_Local!$F242="","",CTR1_Local!$F242)</f>
        <v/>
      </c>
      <c r="F211" s="261" t="str">
        <f>IF(CTR1_Local!$T242="","",IF(CTR1_Local!$T242="Yes","Removed",""))</f>
        <v/>
      </c>
      <c r="G211" t="str">
        <f>IF(CTR1_Local!$N242="","",IF(F211="Removed","",CTR1_Local!$N242))</f>
        <v/>
      </c>
      <c r="H211" t="str">
        <f>IF(CTR1_Local!$P242="","",IF($F211="Removed","",CTR1_Local!$P242))</f>
        <v/>
      </c>
      <c r="I211" t="str">
        <f>IF(CTR1_Local!$R242="","",IF($F211="Removed","",CTR1_Local!$R242))</f>
        <v/>
      </c>
      <c r="J211" s="160" t="str">
        <f>CTR1_Local!$H242</f>
        <v/>
      </c>
      <c r="K211" s="340" t="str">
        <f>CTR1_Local!$J242</f>
        <v/>
      </c>
      <c r="L211" s="350" t="str">
        <f>CTR1_Local!$L242</f>
        <v/>
      </c>
      <c r="M211" s="261" t="str">
        <f>IF(CTR1_Local!$V242="","",IF(CTR1_Local!$V242="Yes","confirm",""))</f>
        <v/>
      </c>
      <c r="N211" t="str">
        <f>IF(CTR1_Local!$W242="","",CTR1_Local!$W242)</f>
        <v/>
      </c>
    </row>
    <row r="212" spans="1:14" x14ac:dyDescent="0.2">
      <c r="A212" s="287" t="str">
        <f>IF(CTR1_Local!$D243="",CTR1_Local!B243,CTR1_Local!$D243)</f>
        <v/>
      </c>
      <c r="B212" s="26" t="str">
        <f>IF(A212="","",IF(RIGHT(A212,3)="NEW","Add new / another parish",CTR1_Local!$AN243))</f>
        <v/>
      </c>
      <c r="C212" s="26" t="str">
        <f t="shared" si="3"/>
        <v/>
      </c>
      <c r="D212" s="177" t="str">
        <f>IF(A212="","",IF(RIGHT(A212,3)="NEW",CTR1_Local!$E243,IF(CTR1_Local!$AO243="change",CTR1_Local!$E243,"")))</f>
        <v/>
      </c>
      <c r="E212" t="str">
        <f>IF(CTR1_Local!$F243="","",CTR1_Local!$F243)</f>
        <v/>
      </c>
      <c r="F212" s="261" t="str">
        <f>IF(CTR1_Local!$T243="","",IF(CTR1_Local!$T243="Yes","Removed",""))</f>
        <v/>
      </c>
      <c r="G212" t="str">
        <f>IF(CTR1_Local!$N243="","",IF(F212="Removed","",CTR1_Local!$N243))</f>
        <v/>
      </c>
      <c r="H212" t="str">
        <f>IF(CTR1_Local!$P243="","",IF($F212="Removed","",CTR1_Local!$P243))</f>
        <v/>
      </c>
      <c r="I212" t="str">
        <f>IF(CTR1_Local!$R243="","",IF($F212="Removed","",CTR1_Local!$R243))</f>
        <v/>
      </c>
      <c r="J212" s="160" t="str">
        <f>CTR1_Local!$H243</f>
        <v/>
      </c>
      <c r="K212" s="340" t="str">
        <f>CTR1_Local!$J243</f>
        <v/>
      </c>
      <c r="L212" s="350" t="str">
        <f>CTR1_Local!$L243</f>
        <v/>
      </c>
      <c r="M212" s="261" t="str">
        <f>IF(CTR1_Local!$V243="","",IF(CTR1_Local!$V243="Yes","confirm",""))</f>
        <v/>
      </c>
      <c r="N212" t="str">
        <f>IF(CTR1_Local!$W243="","",CTR1_Local!$W243)</f>
        <v/>
      </c>
    </row>
    <row r="213" spans="1:14" x14ac:dyDescent="0.2">
      <c r="A213" s="287" t="str">
        <f>IF(CTR1_Local!$D244="",CTR1_Local!B244,CTR1_Local!$D244)</f>
        <v/>
      </c>
      <c r="B213" s="26" t="str">
        <f>IF(A213="","",IF(RIGHT(A213,3)="NEW","Add new / another parish",CTR1_Local!$AN244))</f>
        <v/>
      </c>
      <c r="C213" s="26" t="str">
        <f t="shared" si="3"/>
        <v/>
      </c>
      <c r="D213" s="177" t="str">
        <f>IF(A213="","",IF(RIGHT(A213,3)="NEW",CTR1_Local!$E244,IF(CTR1_Local!$AO244="change",CTR1_Local!$E244,"")))</f>
        <v/>
      </c>
      <c r="E213" t="str">
        <f>IF(CTR1_Local!$F244="","",CTR1_Local!$F244)</f>
        <v/>
      </c>
      <c r="F213" s="261" t="str">
        <f>IF(CTR1_Local!$T244="","",IF(CTR1_Local!$T244="Yes","Removed",""))</f>
        <v/>
      </c>
      <c r="G213" t="str">
        <f>IF(CTR1_Local!$N244="","",IF(F213="Removed","",CTR1_Local!$N244))</f>
        <v/>
      </c>
      <c r="H213" t="str">
        <f>IF(CTR1_Local!$P244="","",IF($F213="Removed","",CTR1_Local!$P244))</f>
        <v/>
      </c>
      <c r="I213" t="str">
        <f>IF(CTR1_Local!$R244="","",IF($F213="Removed","",CTR1_Local!$R244))</f>
        <v/>
      </c>
      <c r="J213" s="160" t="str">
        <f>CTR1_Local!$H244</f>
        <v/>
      </c>
      <c r="K213" s="340" t="str">
        <f>CTR1_Local!$J244</f>
        <v/>
      </c>
      <c r="L213" s="350" t="str">
        <f>CTR1_Local!$L244</f>
        <v/>
      </c>
      <c r="M213" s="261" t="str">
        <f>IF(CTR1_Local!$V244="","",IF(CTR1_Local!$V244="Yes","confirm",""))</f>
        <v/>
      </c>
      <c r="N213" t="str">
        <f>IF(CTR1_Local!$W244="","",CTR1_Local!$W244)</f>
        <v/>
      </c>
    </row>
    <row r="214" spans="1:14" x14ac:dyDescent="0.2">
      <c r="A214" s="287" t="str">
        <f>IF(CTR1_Local!$D245="",CTR1_Local!B245,CTR1_Local!$D245)</f>
        <v/>
      </c>
      <c r="B214" s="26" t="str">
        <f>IF(A214="","",IF(RIGHT(A214,3)="NEW","Add new / another parish",CTR1_Local!$AN245))</f>
        <v/>
      </c>
      <c r="C214" s="26" t="str">
        <f t="shared" si="3"/>
        <v/>
      </c>
      <c r="D214" s="177" t="str">
        <f>IF(A214="","",IF(RIGHT(A214,3)="NEW",CTR1_Local!$E245,IF(CTR1_Local!$AO245="change",CTR1_Local!$E245,"")))</f>
        <v/>
      </c>
      <c r="E214" t="str">
        <f>IF(CTR1_Local!$F245="","",CTR1_Local!$F245)</f>
        <v/>
      </c>
      <c r="F214" s="261" t="str">
        <f>IF(CTR1_Local!$T245="","",IF(CTR1_Local!$T245="Yes","Removed",""))</f>
        <v/>
      </c>
      <c r="G214" t="str">
        <f>IF(CTR1_Local!$N245="","",IF(F214="Removed","",CTR1_Local!$N245))</f>
        <v/>
      </c>
      <c r="H214" t="str">
        <f>IF(CTR1_Local!$P245="","",IF($F214="Removed","",CTR1_Local!$P245))</f>
        <v/>
      </c>
      <c r="I214" t="str">
        <f>IF(CTR1_Local!$R245="","",IF($F214="Removed","",CTR1_Local!$R245))</f>
        <v/>
      </c>
      <c r="J214" s="160" t="str">
        <f>CTR1_Local!$H245</f>
        <v/>
      </c>
      <c r="K214" s="340" t="str">
        <f>CTR1_Local!$J245</f>
        <v/>
      </c>
      <c r="L214" s="350" t="str">
        <f>CTR1_Local!$L245</f>
        <v/>
      </c>
      <c r="M214" s="261" t="str">
        <f>IF(CTR1_Local!$V245="","",IF(CTR1_Local!$V245="Yes","confirm",""))</f>
        <v/>
      </c>
      <c r="N214" t="str">
        <f>IF(CTR1_Local!$W245="","",CTR1_Local!$W245)</f>
        <v/>
      </c>
    </row>
    <row r="215" spans="1:14" x14ac:dyDescent="0.2">
      <c r="A215" s="287" t="str">
        <f>IF(CTR1_Local!$D246="",CTR1_Local!B246,CTR1_Local!$D246)</f>
        <v/>
      </c>
      <c r="B215" s="26" t="str">
        <f>IF(A215="","",IF(RIGHT(A215,3)="NEW","Add new / another parish",CTR1_Local!$AN246))</f>
        <v/>
      </c>
      <c r="C215" s="26" t="str">
        <f t="shared" si="3"/>
        <v/>
      </c>
      <c r="D215" s="177" t="str">
        <f>IF(A215="","",IF(RIGHT(A215,3)="NEW",CTR1_Local!$E246,IF(CTR1_Local!$AO246="change",CTR1_Local!$E246,"")))</f>
        <v/>
      </c>
      <c r="E215" t="str">
        <f>IF(CTR1_Local!$F246="","",CTR1_Local!$F246)</f>
        <v/>
      </c>
      <c r="F215" s="261" t="str">
        <f>IF(CTR1_Local!$T246="","",IF(CTR1_Local!$T246="Yes","Removed",""))</f>
        <v/>
      </c>
      <c r="G215" t="str">
        <f>IF(CTR1_Local!$N246="","",IF(F215="Removed","",CTR1_Local!$N246))</f>
        <v/>
      </c>
      <c r="H215" t="str">
        <f>IF(CTR1_Local!$P246="","",IF($F215="Removed","",CTR1_Local!$P246))</f>
        <v/>
      </c>
      <c r="I215" t="str">
        <f>IF(CTR1_Local!$R246="","",IF($F215="Removed","",CTR1_Local!$R246))</f>
        <v/>
      </c>
      <c r="J215" s="160" t="str">
        <f>CTR1_Local!$H246</f>
        <v/>
      </c>
      <c r="K215" s="340" t="str">
        <f>CTR1_Local!$J246</f>
        <v/>
      </c>
      <c r="L215" s="350" t="str">
        <f>CTR1_Local!$L246</f>
        <v/>
      </c>
      <c r="M215" s="261" t="str">
        <f>IF(CTR1_Local!$V246="","",IF(CTR1_Local!$V246="Yes","confirm",""))</f>
        <v/>
      </c>
      <c r="N215" t="str">
        <f>IF(CTR1_Local!$W246="","",CTR1_Local!$W246)</f>
        <v/>
      </c>
    </row>
    <row r="216" spans="1:14" x14ac:dyDescent="0.2">
      <c r="A216" s="287" t="str">
        <f>IF(CTR1_Local!$D247="",CTR1_Local!B247,CTR1_Local!$D247)</f>
        <v/>
      </c>
      <c r="B216" s="26" t="str">
        <f>IF(A216="","",IF(RIGHT(A216,3)="NEW","Add new / another parish",CTR1_Local!$AN247))</f>
        <v/>
      </c>
      <c r="C216" s="26" t="str">
        <f t="shared" si="3"/>
        <v/>
      </c>
      <c r="D216" s="177" t="str">
        <f>IF(A216="","",IF(RIGHT(A216,3)="NEW",CTR1_Local!$E247,IF(CTR1_Local!$AO247="change",CTR1_Local!$E247,"")))</f>
        <v/>
      </c>
      <c r="E216" t="str">
        <f>IF(CTR1_Local!$F247="","",CTR1_Local!$F247)</f>
        <v/>
      </c>
      <c r="F216" s="261" t="str">
        <f>IF(CTR1_Local!$T247="","",IF(CTR1_Local!$T247="Yes","Removed",""))</f>
        <v/>
      </c>
      <c r="G216" t="str">
        <f>IF(CTR1_Local!$N247="","",IF(F216="Removed","",CTR1_Local!$N247))</f>
        <v/>
      </c>
      <c r="H216" t="str">
        <f>IF(CTR1_Local!$P247="","",IF($F216="Removed","",CTR1_Local!$P247))</f>
        <v/>
      </c>
      <c r="I216" t="str">
        <f>IF(CTR1_Local!$R247="","",IF($F216="Removed","",CTR1_Local!$R247))</f>
        <v/>
      </c>
      <c r="J216" s="160" t="str">
        <f>CTR1_Local!$H247</f>
        <v/>
      </c>
      <c r="K216" s="340" t="str">
        <f>CTR1_Local!$J247</f>
        <v/>
      </c>
      <c r="L216" s="350" t="str">
        <f>CTR1_Local!$L247</f>
        <v/>
      </c>
      <c r="M216" s="261" t="str">
        <f>IF(CTR1_Local!$V247="","",IF(CTR1_Local!$V247="Yes","confirm",""))</f>
        <v/>
      </c>
      <c r="N216" t="str">
        <f>IF(CTR1_Local!$W247="","",CTR1_Local!$W247)</f>
        <v/>
      </c>
    </row>
    <row r="217" spans="1:14" x14ac:dyDescent="0.2">
      <c r="A217" s="287" t="str">
        <f>IF(CTR1_Local!$D248="",CTR1_Local!B248,CTR1_Local!$D248)</f>
        <v/>
      </c>
      <c r="B217" s="26" t="str">
        <f>IF(A217="","",IF(RIGHT(A217,3)="NEW","Add new / another parish",CTR1_Local!$AN248))</f>
        <v/>
      </c>
      <c r="C217" s="26" t="str">
        <f t="shared" si="3"/>
        <v/>
      </c>
      <c r="D217" s="177" t="str">
        <f>IF(A217="","",IF(RIGHT(A217,3)="NEW",CTR1_Local!$E248,IF(CTR1_Local!$AO248="change",CTR1_Local!$E248,"")))</f>
        <v/>
      </c>
      <c r="E217" t="str">
        <f>IF(CTR1_Local!$F248="","",CTR1_Local!$F248)</f>
        <v/>
      </c>
      <c r="F217" s="261" t="str">
        <f>IF(CTR1_Local!$T248="","",IF(CTR1_Local!$T248="Yes","Removed",""))</f>
        <v/>
      </c>
      <c r="G217" t="str">
        <f>IF(CTR1_Local!$N248="","",IF(F217="Removed","",CTR1_Local!$N248))</f>
        <v/>
      </c>
      <c r="H217" t="str">
        <f>IF(CTR1_Local!$P248="","",IF($F217="Removed","",CTR1_Local!$P248))</f>
        <v/>
      </c>
      <c r="I217" t="str">
        <f>IF(CTR1_Local!$R248="","",IF($F217="Removed","",CTR1_Local!$R248))</f>
        <v/>
      </c>
      <c r="J217" s="160" t="str">
        <f>CTR1_Local!$H248</f>
        <v/>
      </c>
      <c r="K217" s="340" t="str">
        <f>CTR1_Local!$J248</f>
        <v/>
      </c>
      <c r="L217" s="350" t="str">
        <f>CTR1_Local!$L248</f>
        <v/>
      </c>
      <c r="M217" s="261" t="str">
        <f>IF(CTR1_Local!$V248="","",IF(CTR1_Local!$V248="Yes","confirm",""))</f>
        <v/>
      </c>
      <c r="N217" t="str">
        <f>IF(CTR1_Local!$W248="","",CTR1_Local!$W248)</f>
        <v/>
      </c>
    </row>
    <row r="218" spans="1:14" x14ac:dyDescent="0.2">
      <c r="A218" s="287" t="str">
        <f>IF(CTR1_Local!$D249="",CTR1_Local!B249,CTR1_Local!$D249)</f>
        <v/>
      </c>
      <c r="B218" s="26" t="str">
        <f>IF(A218="","",IF(RIGHT(A218,3)="NEW","Add new / another parish",CTR1_Local!$AN249))</f>
        <v/>
      </c>
      <c r="C218" s="26" t="str">
        <f t="shared" si="3"/>
        <v/>
      </c>
      <c r="D218" s="177" t="str">
        <f>IF(A218="","",IF(RIGHT(A218,3)="NEW",CTR1_Local!$E249,IF(CTR1_Local!$AO249="change",CTR1_Local!$E249,"")))</f>
        <v/>
      </c>
      <c r="E218" t="str">
        <f>IF(CTR1_Local!$F249="","",CTR1_Local!$F249)</f>
        <v/>
      </c>
      <c r="F218" s="261" t="str">
        <f>IF(CTR1_Local!$T249="","",IF(CTR1_Local!$T249="Yes","Removed",""))</f>
        <v/>
      </c>
      <c r="G218" t="str">
        <f>IF(CTR1_Local!$N249="","",IF(F218="Removed","",CTR1_Local!$N249))</f>
        <v/>
      </c>
      <c r="H218" t="str">
        <f>IF(CTR1_Local!$P249="","",IF($F218="Removed","",CTR1_Local!$P249))</f>
        <v/>
      </c>
      <c r="I218" t="str">
        <f>IF(CTR1_Local!$R249="","",IF($F218="Removed","",CTR1_Local!$R249))</f>
        <v/>
      </c>
      <c r="J218" s="160" t="str">
        <f>CTR1_Local!$H249</f>
        <v/>
      </c>
      <c r="K218" s="340" t="str">
        <f>CTR1_Local!$J249</f>
        <v/>
      </c>
      <c r="L218" s="350" t="str">
        <f>CTR1_Local!$L249</f>
        <v/>
      </c>
      <c r="M218" s="261" t="str">
        <f>IF(CTR1_Local!$V249="","",IF(CTR1_Local!$V249="Yes","confirm",""))</f>
        <v/>
      </c>
      <c r="N218" t="str">
        <f>IF(CTR1_Local!$W249="","",CTR1_Local!$W249)</f>
        <v/>
      </c>
    </row>
    <row r="219" spans="1:14" x14ac:dyDescent="0.2">
      <c r="A219" s="287" t="str">
        <f>IF(CTR1_Local!$D250="",CTR1_Local!B250,CTR1_Local!$D250)</f>
        <v/>
      </c>
      <c r="B219" s="26" t="str">
        <f>IF(A219="","",IF(RIGHT(A219,3)="NEW","Add new / another parish",CTR1_Local!$AN250))</f>
        <v/>
      </c>
      <c r="C219" s="26" t="str">
        <f t="shared" si="3"/>
        <v/>
      </c>
      <c r="D219" s="177" t="str">
        <f>IF(A219="","",IF(RIGHT(A219,3)="NEW",CTR1_Local!$E250,IF(CTR1_Local!$AO250="change",CTR1_Local!$E250,"")))</f>
        <v/>
      </c>
      <c r="E219" t="str">
        <f>IF(CTR1_Local!$F250="","",CTR1_Local!$F250)</f>
        <v/>
      </c>
      <c r="F219" s="261" t="str">
        <f>IF(CTR1_Local!$T250="","",IF(CTR1_Local!$T250="Yes","Removed",""))</f>
        <v/>
      </c>
      <c r="G219" t="str">
        <f>IF(CTR1_Local!$N250="","",IF(F219="Removed","",CTR1_Local!$N250))</f>
        <v/>
      </c>
      <c r="H219" t="str">
        <f>IF(CTR1_Local!$P250="","",IF($F219="Removed","",CTR1_Local!$P250))</f>
        <v/>
      </c>
      <c r="I219" t="str">
        <f>IF(CTR1_Local!$R250="","",IF($F219="Removed","",CTR1_Local!$R250))</f>
        <v/>
      </c>
      <c r="J219" s="160" t="str">
        <f>CTR1_Local!$H250</f>
        <v/>
      </c>
      <c r="K219" s="340" t="str">
        <f>CTR1_Local!$J250</f>
        <v/>
      </c>
      <c r="L219" s="350" t="str">
        <f>CTR1_Local!$L250</f>
        <v/>
      </c>
      <c r="M219" s="261" t="str">
        <f>IF(CTR1_Local!$V250="","",IF(CTR1_Local!$V250="Yes","confirm",""))</f>
        <v/>
      </c>
      <c r="N219" t="str">
        <f>IF(CTR1_Local!$W250="","",CTR1_Local!$W250)</f>
        <v/>
      </c>
    </row>
    <row r="220" spans="1:14" x14ac:dyDescent="0.2">
      <c r="A220" s="287" t="str">
        <f>IF(CTR1_Local!$D251="",CTR1_Local!B251,CTR1_Local!$D251)</f>
        <v/>
      </c>
      <c r="B220" s="26" t="str">
        <f>IF(A220="","",IF(RIGHT(A220,3)="NEW","Add new / another parish",CTR1_Local!$AN251))</f>
        <v/>
      </c>
      <c r="C220" s="26" t="str">
        <f t="shared" si="3"/>
        <v/>
      </c>
      <c r="D220" s="177" t="str">
        <f>IF(A220="","",IF(RIGHT(A220,3)="NEW",CTR1_Local!$E251,IF(CTR1_Local!$AO251="change",CTR1_Local!$E251,"")))</f>
        <v/>
      </c>
      <c r="E220" t="str">
        <f>IF(CTR1_Local!$F251="","",CTR1_Local!$F251)</f>
        <v/>
      </c>
      <c r="F220" s="261" t="str">
        <f>IF(CTR1_Local!$T251="","",IF(CTR1_Local!$T251="Yes","Removed",""))</f>
        <v/>
      </c>
      <c r="G220" t="str">
        <f>IF(CTR1_Local!$N251="","",IF(F220="Removed","",CTR1_Local!$N251))</f>
        <v/>
      </c>
      <c r="H220" t="str">
        <f>IF(CTR1_Local!$P251="","",IF($F220="Removed","",CTR1_Local!$P251))</f>
        <v/>
      </c>
      <c r="I220" t="str">
        <f>IF(CTR1_Local!$R251="","",IF($F220="Removed","",CTR1_Local!$R251))</f>
        <v/>
      </c>
      <c r="J220" s="160" t="str">
        <f>CTR1_Local!$H251</f>
        <v/>
      </c>
      <c r="K220" s="340" t="str">
        <f>CTR1_Local!$J251</f>
        <v/>
      </c>
      <c r="L220" s="350" t="str">
        <f>CTR1_Local!$L251</f>
        <v/>
      </c>
      <c r="M220" s="261" t="str">
        <f>IF(CTR1_Local!$V251="","",IF(CTR1_Local!$V251="Yes","confirm",""))</f>
        <v/>
      </c>
      <c r="N220" t="str">
        <f>IF(CTR1_Local!$W251="","",CTR1_Local!$W251)</f>
        <v/>
      </c>
    </row>
    <row r="221" spans="1:14" x14ac:dyDescent="0.2">
      <c r="A221" s="287" t="str">
        <f>IF(CTR1_Local!$D252="",CTR1_Local!B252,CTR1_Local!$D252)</f>
        <v/>
      </c>
      <c r="B221" s="26" t="str">
        <f>IF(A221="","",IF(RIGHT(A221,3)="NEW","Add new / another parish",CTR1_Local!$AN252))</f>
        <v/>
      </c>
      <c r="C221" s="26" t="str">
        <f t="shared" si="3"/>
        <v/>
      </c>
      <c r="D221" s="177" t="str">
        <f>IF(A221="","",IF(RIGHT(A221,3)="NEW",CTR1_Local!$E252,IF(CTR1_Local!$AO252="change",CTR1_Local!$E252,"")))</f>
        <v/>
      </c>
      <c r="E221" t="str">
        <f>IF(CTR1_Local!$F252="","",CTR1_Local!$F252)</f>
        <v/>
      </c>
      <c r="F221" s="261" t="str">
        <f>IF(CTR1_Local!$T252="","",IF(CTR1_Local!$T252="Yes","Removed",""))</f>
        <v/>
      </c>
      <c r="G221" t="str">
        <f>IF(CTR1_Local!$N252="","",IF(F221="Removed","",CTR1_Local!$N252))</f>
        <v/>
      </c>
      <c r="H221" t="str">
        <f>IF(CTR1_Local!$P252="","",IF($F221="Removed","",CTR1_Local!$P252))</f>
        <v/>
      </c>
      <c r="I221" t="str">
        <f>IF(CTR1_Local!$R252="","",IF($F221="Removed","",CTR1_Local!$R252))</f>
        <v/>
      </c>
      <c r="J221" s="160" t="str">
        <f>CTR1_Local!$H252</f>
        <v/>
      </c>
      <c r="K221" s="340" t="str">
        <f>CTR1_Local!$J252</f>
        <v/>
      </c>
      <c r="L221" s="350" t="str">
        <f>CTR1_Local!$L252</f>
        <v/>
      </c>
      <c r="M221" s="261" t="str">
        <f>IF(CTR1_Local!$V252="","",IF(CTR1_Local!$V252="Yes","confirm",""))</f>
        <v/>
      </c>
      <c r="N221" t="str">
        <f>IF(CTR1_Local!$W252="","",CTR1_Local!$W252)</f>
        <v/>
      </c>
    </row>
    <row r="222" spans="1:14" x14ac:dyDescent="0.2">
      <c r="A222" s="287" t="str">
        <f>IF(CTR1_Local!$D253="",CTR1_Local!B253,CTR1_Local!$D253)</f>
        <v/>
      </c>
      <c r="B222" s="26" t="str">
        <f>IF(A222="","",IF(RIGHT(A222,3)="NEW","Add new / another parish",CTR1_Local!$AN253))</f>
        <v/>
      </c>
      <c r="C222" s="26" t="str">
        <f t="shared" si="3"/>
        <v/>
      </c>
      <c r="D222" s="177" t="str">
        <f>IF(A222="","",IF(RIGHT(A222,3)="NEW",CTR1_Local!$E253,IF(CTR1_Local!$AO253="change",CTR1_Local!$E253,"")))</f>
        <v/>
      </c>
      <c r="E222" t="str">
        <f>IF(CTR1_Local!$F253="","",CTR1_Local!$F253)</f>
        <v/>
      </c>
      <c r="F222" s="261" t="str">
        <f>IF(CTR1_Local!$T253="","",IF(CTR1_Local!$T253="Yes","Removed",""))</f>
        <v/>
      </c>
      <c r="G222" t="str">
        <f>IF(CTR1_Local!$N253="","",IF(F222="Removed","",CTR1_Local!$N253))</f>
        <v/>
      </c>
      <c r="H222" t="str">
        <f>IF(CTR1_Local!$P253="","",IF($F222="Removed","",CTR1_Local!$P253))</f>
        <v/>
      </c>
      <c r="I222" t="str">
        <f>IF(CTR1_Local!$R253="","",IF($F222="Removed","",CTR1_Local!$R253))</f>
        <v/>
      </c>
      <c r="J222" s="160" t="str">
        <f>CTR1_Local!$H253</f>
        <v/>
      </c>
      <c r="K222" s="340" t="str">
        <f>CTR1_Local!$J253</f>
        <v/>
      </c>
      <c r="L222" s="350" t="str">
        <f>CTR1_Local!$L253</f>
        <v/>
      </c>
      <c r="M222" s="261" t="str">
        <f>IF(CTR1_Local!$V253="","",IF(CTR1_Local!$V253="Yes","confirm",""))</f>
        <v/>
      </c>
      <c r="N222" t="str">
        <f>IF(CTR1_Local!$W253="","",CTR1_Local!$W253)</f>
        <v/>
      </c>
    </row>
    <row r="223" spans="1:14" x14ac:dyDescent="0.2">
      <c r="A223" s="287" t="str">
        <f>IF(CTR1_Local!$D254="",CTR1_Local!B254,CTR1_Local!$D254)</f>
        <v/>
      </c>
      <c r="B223" s="26" t="str">
        <f>IF(A223="","",IF(RIGHT(A223,3)="NEW","Add new / another parish",CTR1_Local!$AN254))</f>
        <v/>
      </c>
      <c r="C223" s="26" t="str">
        <f t="shared" si="3"/>
        <v/>
      </c>
      <c r="D223" s="177" t="str">
        <f>IF(A223="","",IF(RIGHT(A223,3)="NEW",CTR1_Local!$E254,IF(CTR1_Local!$AO254="change",CTR1_Local!$E254,"")))</f>
        <v/>
      </c>
      <c r="E223" t="str">
        <f>IF(CTR1_Local!$F254="","",CTR1_Local!$F254)</f>
        <v/>
      </c>
      <c r="F223" s="261" t="str">
        <f>IF(CTR1_Local!$T254="","",IF(CTR1_Local!$T254="Yes","Removed",""))</f>
        <v/>
      </c>
      <c r="G223" t="str">
        <f>IF(CTR1_Local!$N254="","",IF(F223="Removed","",CTR1_Local!$N254))</f>
        <v/>
      </c>
      <c r="H223" t="str">
        <f>IF(CTR1_Local!$P254="","",IF($F223="Removed","",CTR1_Local!$P254))</f>
        <v/>
      </c>
      <c r="I223" t="str">
        <f>IF(CTR1_Local!$R254="","",IF($F223="Removed","",CTR1_Local!$R254))</f>
        <v/>
      </c>
      <c r="J223" s="160" t="str">
        <f>CTR1_Local!$H254</f>
        <v/>
      </c>
      <c r="K223" s="340" t="str">
        <f>CTR1_Local!$J254</f>
        <v/>
      </c>
      <c r="L223" s="350" t="str">
        <f>CTR1_Local!$L254</f>
        <v/>
      </c>
      <c r="M223" s="261" t="str">
        <f>IF(CTR1_Local!$V254="","",IF(CTR1_Local!$V254="Yes","confirm",""))</f>
        <v/>
      </c>
      <c r="N223" t="str">
        <f>IF(CTR1_Local!$W254="","",CTR1_Local!$W254)</f>
        <v/>
      </c>
    </row>
    <row r="224" spans="1:14" x14ac:dyDescent="0.2">
      <c r="A224" s="287" t="str">
        <f>IF(CTR1_Local!$D255="",CTR1_Local!B255,CTR1_Local!$D255)</f>
        <v/>
      </c>
      <c r="B224" s="26" t="str">
        <f>IF(A224="","",IF(RIGHT(A224,3)="NEW","Add new / another parish",CTR1_Local!$AN255))</f>
        <v/>
      </c>
      <c r="C224" s="26" t="str">
        <f t="shared" si="3"/>
        <v/>
      </c>
      <c r="D224" s="177" t="str">
        <f>IF(A224="","",IF(RIGHT(A224,3)="NEW",CTR1_Local!$E255,IF(CTR1_Local!$AO255="change",CTR1_Local!$E255,"")))</f>
        <v/>
      </c>
      <c r="E224" t="str">
        <f>IF(CTR1_Local!$F255="","",CTR1_Local!$F255)</f>
        <v/>
      </c>
      <c r="F224" s="261" t="str">
        <f>IF(CTR1_Local!$T255="","",IF(CTR1_Local!$T255="Yes","Removed",""))</f>
        <v/>
      </c>
      <c r="G224" t="str">
        <f>IF(CTR1_Local!$N255="","",IF(F224="Removed","",CTR1_Local!$N255))</f>
        <v/>
      </c>
      <c r="H224" t="str">
        <f>IF(CTR1_Local!$P255="","",IF($F224="Removed","",CTR1_Local!$P255))</f>
        <v/>
      </c>
      <c r="I224" t="str">
        <f>IF(CTR1_Local!$R255="","",IF($F224="Removed","",CTR1_Local!$R255))</f>
        <v/>
      </c>
      <c r="J224" s="160" t="str">
        <f>CTR1_Local!$H255</f>
        <v/>
      </c>
      <c r="K224" s="340" t="str">
        <f>CTR1_Local!$J255</f>
        <v/>
      </c>
      <c r="L224" s="350" t="str">
        <f>CTR1_Local!$L255</f>
        <v/>
      </c>
      <c r="M224" s="261" t="str">
        <f>IF(CTR1_Local!$V255="","",IF(CTR1_Local!$V255="Yes","confirm",""))</f>
        <v/>
      </c>
      <c r="N224" t="str">
        <f>IF(CTR1_Local!$W255="","",CTR1_Local!$W255)</f>
        <v/>
      </c>
    </row>
    <row r="225" spans="1:14" x14ac:dyDescent="0.2">
      <c r="A225" s="287" t="str">
        <f>IF(CTR1_Local!$D256="",CTR1_Local!B256,CTR1_Local!$D256)</f>
        <v/>
      </c>
      <c r="B225" s="26" t="str">
        <f>IF(A225="","",IF(RIGHT(A225,3)="NEW","Add new / another parish",CTR1_Local!$AN256))</f>
        <v/>
      </c>
      <c r="C225" s="26" t="str">
        <f t="shared" si="3"/>
        <v/>
      </c>
      <c r="D225" s="177" t="str">
        <f>IF(A225="","",IF(RIGHT(A225,3)="NEW",CTR1_Local!$E256,IF(CTR1_Local!$AO256="change",CTR1_Local!$E256,"")))</f>
        <v/>
      </c>
      <c r="E225" t="str">
        <f>IF(CTR1_Local!$F256="","",CTR1_Local!$F256)</f>
        <v/>
      </c>
      <c r="F225" s="261" t="str">
        <f>IF(CTR1_Local!$T256="","",IF(CTR1_Local!$T256="Yes","Removed",""))</f>
        <v/>
      </c>
      <c r="G225" t="str">
        <f>IF(CTR1_Local!$N256="","",IF(F225="Removed","",CTR1_Local!$N256))</f>
        <v/>
      </c>
      <c r="H225" t="str">
        <f>IF(CTR1_Local!$P256="","",IF($F225="Removed","",CTR1_Local!$P256))</f>
        <v/>
      </c>
      <c r="I225" t="str">
        <f>IF(CTR1_Local!$R256="","",IF($F225="Removed","",CTR1_Local!$R256))</f>
        <v/>
      </c>
      <c r="J225" s="160" t="str">
        <f>CTR1_Local!$H256</f>
        <v/>
      </c>
      <c r="K225" s="340" t="str">
        <f>CTR1_Local!$J256</f>
        <v/>
      </c>
      <c r="L225" s="350" t="str">
        <f>CTR1_Local!$L256</f>
        <v/>
      </c>
      <c r="M225" s="261" t="str">
        <f>IF(CTR1_Local!$V256="","",IF(CTR1_Local!$V256="Yes","confirm",""))</f>
        <v/>
      </c>
      <c r="N225" t="str">
        <f>IF(CTR1_Local!$W256="","",CTR1_Local!$W256)</f>
        <v/>
      </c>
    </row>
    <row r="226" spans="1:14" x14ac:dyDescent="0.2">
      <c r="A226" s="287" t="str">
        <f>IF(CTR1_Local!$D257="",CTR1_Local!B257,CTR1_Local!$D257)</f>
        <v/>
      </c>
      <c r="B226" s="26" t="str">
        <f>IF(A226="","",IF(RIGHT(A226,3)="NEW","Add new / another parish",CTR1_Local!$AN257))</f>
        <v/>
      </c>
      <c r="C226" s="26" t="str">
        <f t="shared" si="3"/>
        <v/>
      </c>
      <c r="D226" s="177" t="str">
        <f>IF(A226="","",IF(RIGHT(A226,3)="NEW",CTR1_Local!$E257,IF(CTR1_Local!$AO257="change",CTR1_Local!$E257,"")))</f>
        <v/>
      </c>
      <c r="E226" t="str">
        <f>IF(CTR1_Local!$F257="","",CTR1_Local!$F257)</f>
        <v/>
      </c>
      <c r="F226" s="261" t="str">
        <f>IF(CTR1_Local!$T257="","",IF(CTR1_Local!$T257="Yes","Removed",""))</f>
        <v/>
      </c>
      <c r="G226" t="str">
        <f>IF(CTR1_Local!$N257="","",IF(F226="Removed","",CTR1_Local!$N257))</f>
        <v/>
      </c>
      <c r="H226" t="str">
        <f>IF(CTR1_Local!$P257="","",IF($F226="Removed","",CTR1_Local!$P257))</f>
        <v/>
      </c>
      <c r="I226" t="str">
        <f>IF(CTR1_Local!$R257="","",IF($F226="Removed","",CTR1_Local!$R257))</f>
        <v/>
      </c>
      <c r="J226" s="160" t="str">
        <f>CTR1_Local!$H257</f>
        <v/>
      </c>
      <c r="K226" s="340" t="str">
        <f>CTR1_Local!$J257</f>
        <v/>
      </c>
      <c r="L226" s="350" t="str">
        <f>CTR1_Local!$L257</f>
        <v/>
      </c>
      <c r="M226" s="261" t="str">
        <f>IF(CTR1_Local!$V257="","",IF(CTR1_Local!$V257="Yes","confirm",""))</f>
        <v/>
      </c>
      <c r="N226" t="str">
        <f>IF(CTR1_Local!$W257="","",CTR1_Local!$W257)</f>
        <v/>
      </c>
    </row>
    <row r="227" spans="1:14" x14ac:dyDescent="0.2">
      <c r="A227" s="287" t="str">
        <f>IF(CTR1_Local!$D258="",CTR1_Local!B258,CTR1_Local!$D258)</f>
        <v/>
      </c>
      <c r="B227" s="26" t="str">
        <f>IF(A227="","",IF(RIGHT(A227,3)="NEW","Add new / another parish",CTR1_Local!$AN258))</f>
        <v/>
      </c>
      <c r="C227" s="26" t="str">
        <f t="shared" si="3"/>
        <v/>
      </c>
      <c r="D227" s="177" t="str">
        <f>IF(A227="","",IF(RIGHT(A227,3)="NEW",CTR1_Local!$E258,IF(CTR1_Local!$AO258="change",CTR1_Local!$E258,"")))</f>
        <v/>
      </c>
      <c r="E227" t="str">
        <f>IF(CTR1_Local!$F258="","",CTR1_Local!$F258)</f>
        <v/>
      </c>
      <c r="F227" s="261" t="str">
        <f>IF(CTR1_Local!$T258="","",IF(CTR1_Local!$T258="Yes","Removed",""))</f>
        <v/>
      </c>
      <c r="G227" t="str">
        <f>IF(CTR1_Local!$N258="","",IF(F227="Removed","",CTR1_Local!$N258))</f>
        <v/>
      </c>
      <c r="H227" t="str">
        <f>IF(CTR1_Local!$P258="","",IF($F227="Removed","",CTR1_Local!$P258))</f>
        <v/>
      </c>
      <c r="I227" t="str">
        <f>IF(CTR1_Local!$R258="","",IF($F227="Removed","",CTR1_Local!$R258))</f>
        <v/>
      </c>
      <c r="J227" s="160" t="str">
        <f>CTR1_Local!$H258</f>
        <v/>
      </c>
      <c r="K227" s="340" t="str">
        <f>CTR1_Local!$J258</f>
        <v/>
      </c>
      <c r="L227" s="350" t="str">
        <f>CTR1_Local!$L258</f>
        <v/>
      </c>
      <c r="M227" s="261" t="str">
        <f>IF(CTR1_Local!$V258="","",IF(CTR1_Local!$V258="Yes","confirm",""))</f>
        <v/>
      </c>
      <c r="N227" t="str">
        <f>IF(CTR1_Local!$W258="","",CTR1_Local!$W258)</f>
        <v/>
      </c>
    </row>
    <row r="228" spans="1:14" x14ac:dyDescent="0.2">
      <c r="A228" s="287" t="str">
        <f>IF(CTR1_Local!$D259="",CTR1_Local!B259,CTR1_Local!$D259)</f>
        <v/>
      </c>
      <c r="B228" s="26" t="str">
        <f>IF(A228="","",IF(RIGHT(A228,3)="NEW","Add new / another parish",CTR1_Local!$AN259))</f>
        <v/>
      </c>
      <c r="C228" s="26" t="str">
        <f t="shared" si="3"/>
        <v/>
      </c>
      <c r="D228" s="177" t="str">
        <f>IF(A228="","",IF(RIGHT(A228,3)="NEW",CTR1_Local!$E259,IF(CTR1_Local!$AO259="change",CTR1_Local!$E259,"")))</f>
        <v/>
      </c>
      <c r="E228" t="str">
        <f>IF(CTR1_Local!$F259="","",CTR1_Local!$F259)</f>
        <v/>
      </c>
      <c r="F228" s="261" t="str">
        <f>IF(CTR1_Local!$T259="","",IF(CTR1_Local!$T259="Yes","Removed",""))</f>
        <v/>
      </c>
      <c r="G228" t="str">
        <f>IF(CTR1_Local!$N259="","",IF(F228="Removed","",CTR1_Local!$N259))</f>
        <v/>
      </c>
      <c r="H228" t="str">
        <f>IF(CTR1_Local!$P259="","",IF($F228="Removed","",CTR1_Local!$P259))</f>
        <v/>
      </c>
      <c r="I228" t="str">
        <f>IF(CTR1_Local!$R259="","",IF($F228="Removed","",CTR1_Local!$R259))</f>
        <v/>
      </c>
      <c r="J228" s="160" t="str">
        <f>CTR1_Local!$H259</f>
        <v/>
      </c>
      <c r="K228" s="340" t="str">
        <f>CTR1_Local!$J259</f>
        <v/>
      </c>
      <c r="L228" s="350" t="str">
        <f>CTR1_Local!$L259</f>
        <v/>
      </c>
      <c r="M228" s="261" t="str">
        <f>IF(CTR1_Local!$V259="","",IF(CTR1_Local!$V259="Yes","confirm",""))</f>
        <v/>
      </c>
      <c r="N228" t="str">
        <f>IF(CTR1_Local!$W259="","",CTR1_Local!$W259)</f>
        <v/>
      </c>
    </row>
    <row r="229" spans="1:14" x14ac:dyDescent="0.2">
      <c r="A229" s="287" t="str">
        <f>IF(CTR1_Local!$D260="",CTR1_Local!B260,CTR1_Local!$D260)</f>
        <v/>
      </c>
      <c r="B229" s="26" t="str">
        <f>IF(A229="","",IF(RIGHT(A229,3)="NEW","Add new / another parish",CTR1_Local!$AN260))</f>
        <v/>
      </c>
      <c r="C229" s="26" t="str">
        <f t="shared" si="3"/>
        <v/>
      </c>
      <c r="D229" s="177" t="str">
        <f>IF(A229="","",IF(RIGHT(A229,3)="NEW",CTR1_Local!$E260,IF(CTR1_Local!$AO260="change",CTR1_Local!$E260,"")))</f>
        <v/>
      </c>
      <c r="E229" t="str">
        <f>IF(CTR1_Local!$F260="","",CTR1_Local!$F260)</f>
        <v/>
      </c>
      <c r="F229" s="261" t="str">
        <f>IF(CTR1_Local!$T260="","",IF(CTR1_Local!$T260="Yes","Removed",""))</f>
        <v/>
      </c>
      <c r="G229" t="str">
        <f>IF(CTR1_Local!$N260="","",IF(F229="Removed","",CTR1_Local!$N260))</f>
        <v/>
      </c>
      <c r="H229" t="str">
        <f>IF(CTR1_Local!$P260="","",IF($F229="Removed","",CTR1_Local!$P260))</f>
        <v/>
      </c>
      <c r="I229" t="str">
        <f>IF(CTR1_Local!$R260="","",IF($F229="Removed","",CTR1_Local!$R260))</f>
        <v/>
      </c>
      <c r="J229" s="160" t="str">
        <f>CTR1_Local!$H260</f>
        <v/>
      </c>
      <c r="K229" s="340" t="str">
        <f>CTR1_Local!$J260</f>
        <v/>
      </c>
      <c r="L229" s="350" t="str">
        <f>CTR1_Local!$L260</f>
        <v/>
      </c>
      <c r="M229" s="261" t="str">
        <f>IF(CTR1_Local!$V260="","",IF(CTR1_Local!$V260="Yes","confirm",""))</f>
        <v/>
      </c>
      <c r="N229" t="str">
        <f>IF(CTR1_Local!$W260="","",CTR1_Local!$W260)</f>
        <v/>
      </c>
    </row>
    <row r="230" spans="1:14" x14ac:dyDescent="0.2">
      <c r="A230" s="287" t="str">
        <f>IF(CTR1_Local!$D261="",CTR1_Local!B261,CTR1_Local!$D261)</f>
        <v/>
      </c>
      <c r="B230" s="26" t="str">
        <f>IF(A230="","",IF(RIGHT(A230,3)="NEW","Add new / another parish",CTR1_Local!$AN261))</f>
        <v/>
      </c>
      <c r="C230" s="26" t="str">
        <f t="shared" si="3"/>
        <v/>
      </c>
      <c r="D230" s="177" t="str">
        <f>IF(A230="","",IF(RIGHT(A230,3)="NEW",CTR1_Local!$E261,IF(CTR1_Local!$AO261="change",CTR1_Local!$E261,"")))</f>
        <v/>
      </c>
      <c r="E230" t="str">
        <f>IF(CTR1_Local!$F261="","",CTR1_Local!$F261)</f>
        <v/>
      </c>
      <c r="F230" s="261" t="str">
        <f>IF(CTR1_Local!$T261="","",IF(CTR1_Local!$T261="Yes","Removed",""))</f>
        <v/>
      </c>
      <c r="G230" t="str">
        <f>IF(CTR1_Local!$N261="","",IF(F230="Removed","",CTR1_Local!$N261))</f>
        <v/>
      </c>
      <c r="H230" t="str">
        <f>IF(CTR1_Local!$P261="","",IF($F230="Removed","",CTR1_Local!$P261))</f>
        <v/>
      </c>
      <c r="I230" t="str">
        <f>IF(CTR1_Local!$R261="","",IF($F230="Removed","",CTR1_Local!$R261))</f>
        <v/>
      </c>
      <c r="J230" s="160" t="str">
        <f>CTR1_Local!$H261</f>
        <v/>
      </c>
      <c r="K230" s="340" t="str">
        <f>CTR1_Local!$J261</f>
        <v/>
      </c>
      <c r="L230" s="350" t="str">
        <f>CTR1_Local!$L261</f>
        <v/>
      </c>
      <c r="M230" s="261" t="str">
        <f>IF(CTR1_Local!$V261="","",IF(CTR1_Local!$V261="Yes","confirm",""))</f>
        <v/>
      </c>
      <c r="N230" t="str">
        <f>IF(CTR1_Local!$W261="","",CTR1_Local!$W261)</f>
        <v/>
      </c>
    </row>
    <row r="231" spans="1:14" x14ac:dyDescent="0.2">
      <c r="A231" s="287" t="str">
        <f>IF(CTR1_Local!$D262="",CTR1_Local!B262,CTR1_Local!$D262)</f>
        <v/>
      </c>
      <c r="B231" s="26" t="str">
        <f>IF(A231="","",IF(RIGHT(A231,3)="NEW","Add new / another parish",CTR1_Local!$AN262))</f>
        <v/>
      </c>
      <c r="C231" s="26" t="str">
        <f t="shared" si="3"/>
        <v/>
      </c>
      <c r="D231" s="177" t="str">
        <f>IF(A231="","",IF(RIGHT(A231,3)="NEW",CTR1_Local!$E262,IF(CTR1_Local!$AO262="change",CTR1_Local!$E262,"")))</f>
        <v/>
      </c>
      <c r="E231" t="str">
        <f>IF(CTR1_Local!$F262="","",CTR1_Local!$F262)</f>
        <v/>
      </c>
      <c r="F231" s="261" t="str">
        <f>IF(CTR1_Local!$T262="","",IF(CTR1_Local!$T262="Yes","Removed",""))</f>
        <v/>
      </c>
      <c r="G231" t="str">
        <f>IF(CTR1_Local!$N262="","",IF(F231="Removed","",CTR1_Local!$N262))</f>
        <v/>
      </c>
      <c r="H231" t="str">
        <f>IF(CTR1_Local!$P262="","",IF($F231="Removed","",CTR1_Local!$P262))</f>
        <v/>
      </c>
      <c r="I231" t="str">
        <f>IF(CTR1_Local!$R262="","",IF($F231="Removed","",CTR1_Local!$R262))</f>
        <v/>
      </c>
      <c r="J231" s="160" t="str">
        <f>CTR1_Local!$H262</f>
        <v/>
      </c>
      <c r="K231" s="340" t="str">
        <f>CTR1_Local!$J262</f>
        <v/>
      </c>
      <c r="L231" s="350" t="str">
        <f>CTR1_Local!$L262</f>
        <v/>
      </c>
      <c r="M231" s="261" t="str">
        <f>IF(CTR1_Local!$V262="","",IF(CTR1_Local!$V262="Yes","confirm",""))</f>
        <v/>
      </c>
      <c r="N231" t="str">
        <f>IF(CTR1_Local!$W262="","",CTR1_Local!$W262)</f>
        <v/>
      </c>
    </row>
    <row r="232" spans="1:14" x14ac:dyDescent="0.2">
      <c r="A232" s="287" t="str">
        <f>IF(CTR1_Local!$D263="",CTR1_Local!B263,CTR1_Local!$D263)</f>
        <v/>
      </c>
      <c r="B232" s="26" t="str">
        <f>IF(A232="","",IF(RIGHT(A232,3)="NEW","Add new / another parish",CTR1_Local!$AN263))</f>
        <v/>
      </c>
      <c r="C232" s="26" t="str">
        <f t="shared" si="3"/>
        <v/>
      </c>
      <c r="D232" s="177" t="str">
        <f>IF(A232="","",IF(RIGHT(A232,3)="NEW",CTR1_Local!$E263,IF(CTR1_Local!$AO263="change",CTR1_Local!$E263,"")))</f>
        <v/>
      </c>
      <c r="E232" t="str">
        <f>IF(CTR1_Local!$F263="","",CTR1_Local!$F263)</f>
        <v/>
      </c>
      <c r="F232" s="261" t="str">
        <f>IF(CTR1_Local!$T263="","",IF(CTR1_Local!$T263="Yes","Removed",""))</f>
        <v/>
      </c>
      <c r="G232" t="str">
        <f>IF(CTR1_Local!$N263="","",IF(F232="Removed","",CTR1_Local!$N263))</f>
        <v/>
      </c>
      <c r="H232" t="str">
        <f>IF(CTR1_Local!$P263="","",IF($F232="Removed","",CTR1_Local!$P263))</f>
        <v/>
      </c>
      <c r="I232" t="str">
        <f>IF(CTR1_Local!$R263="","",IF($F232="Removed","",CTR1_Local!$R263))</f>
        <v/>
      </c>
      <c r="J232" s="160" t="str">
        <f>CTR1_Local!$H263</f>
        <v/>
      </c>
      <c r="K232" s="340" t="str">
        <f>CTR1_Local!$J263</f>
        <v/>
      </c>
      <c r="L232" s="350" t="str">
        <f>CTR1_Local!$L263</f>
        <v/>
      </c>
      <c r="M232" s="261" t="str">
        <f>IF(CTR1_Local!$V263="","",IF(CTR1_Local!$V263="Yes","confirm",""))</f>
        <v/>
      </c>
      <c r="N232" t="str">
        <f>IF(CTR1_Local!$W263="","",CTR1_Local!$W263)</f>
        <v/>
      </c>
    </row>
    <row r="233" spans="1:14" x14ac:dyDescent="0.2">
      <c r="A233" s="287" t="str">
        <f>IF(CTR1_Local!$D264="",CTR1_Local!B264,CTR1_Local!$D264)</f>
        <v/>
      </c>
      <c r="B233" s="26" t="str">
        <f>IF(A233="","",IF(RIGHT(A233,3)="NEW","Add new / another parish",CTR1_Local!$AN264))</f>
        <v/>
      </c>
      <c r="C233" s="26" t="str">
        <f t="shared" si="3"/>
        <v/>
      </c>
      <c r="D233" s="177" t="str">
        <f>IF(A233="","",IF(RIGHT(A233,3)="NEW",CTR1_Local!$E264,IF(CTR1_Local!$AO264="change",CTR1_Local!$E264,"")))</f>
        <v/>
      </c>
      <c r="E233" t="str">
        <f>IF(CTR1_Local!$F264="","",CTR1_Local!$F264)</f>
        <v/>
      </c>
      <c r="F233" s="261" t="str">
        <f>IF(CTR1_Local!$T264="","",IF(CTR1_Local!$T264="Yes","Removed",""))</f>
        <v/>
      </c>
      <c r="G233" t="str">
        <f>IF(CTR1_Local!$N264="","",IF(F233="Removed","",CTR1_Local!$N264))</f>
        <v/>
      </c>
      <c r="H233" t="str">
        <f>IF(CTR1_Local!$P264="","",IF($F233="Removed","",CTR1_Local!$P264))</f>
        <v/>
      </c>
      <c r="I233" t="str">
        <f>IF(CTR1_Local!$R264="","",IF($F233="Removed","",CTR1_Local!$R264))</f>
        <v/>
      </c>
      <c r="J233" s="160" t="str">
        <f>CTR1_Local!$H264</f>
        <v/>
      </c>
      <c r="K233" s="340" t="str">
        <f>CTR1_Local!$J264</f>
        <v/>
      </c>
      <c r="L233" s="350" t="str">
        <f>CTR1_Local!$L264</f>
        <v/>
      </c>
      <c r="M233" s="261" t="str">
        <f>IF(CTR1_Local!$V264="","",IF(CTR1_Local!$V264="Yes","confirm",""))</f>
        <v/>
      </c>
      <c r="N233" t="str">
        <f>IF(CTR1_Local!$W264="","",CTR1_Local!$W264)</f>
        <v/>
      </c>
    </row>
    <row r="234" spans="1:14" x14ac:dyDescent="0.2">
      <c r="A234" s="287" t="str">
        <f>IF(CTR1_Local!$D265="",CTR1_Local!B265,CTR1_Local!$D265)</f>
        <v/>
      </c>
      <c r="B234" s="26" t="str">
        <f>IF(A234="","",IF(RIGHT(A234,3)="NEW","Add new / another parish",CTR1_Local!$AN265))</f>
        <v/>
      </c>
      <c r="C234" s="26" t="str">
        <f t="shared" si="3"/>
        <v/>
      </c>
      <c r="D234" s="177" t="str">
        <f>IF(A234="","",IF(RIGHT(A234,3)="NEW",CTR1_Local!$E265,IF(CTR1_Local!$AO265="change",CTR1_Local!$E265,"")))</f>
        <v/>
      </c>
      <c r="E234" t="str">
        <f>IF(CTR1_Local!$F265="","",CTR1_Local!$F265)</f>
        <v/>
      </c>
      <c r="F234" s="261" t="str">
        <f>IF(CTR1_Local!$T265="","",IF(CTR1_Local!$T265="Yes","Removed",""))</f>
        <v/>
      </c>
      <c r="G234" t="str">
        <f>IF(CTR1_Local!$N265="","",IF(F234="Removed","",CTR1_Local!$N265))</f>
        <v/>
      </c>
      <c r="H234" t="str">
        <f>IF(CTR1_Local!$P265="","",IF($F234="Removed","",CTR1_Local!$P265))</f>
        <v/>
      </c>
      <c r="I234" t="str">
        <f>IF(CTR1_Local!$R265="","",IF($F234="Removed","",CTR1_Local!$R265))</f>
        <v/>
      </c>
      <c r="J234" s="160" t="str">
        <f>CTR1_Local!$H265</f>
        <v/>
      </c>
      <c r="K234" s="340" t="str">
        <f>CTR1_Local!$J265</f>
        <v/>
      </c>
      <c r="L234" s="350" t="str">
        <f>CTR1_Local!$L265</f>
        <v/>
      </c>
      <c r="M234" s="261" t="str">
        <f>IF(CTR1_Local!$V265="","",IF(CTR1_Local!$V265="Yes","confirm",""))</f>
        <v/>
      </c>
      <c r="N234" t="str">
        <f>IF(CTR1_Local!$W265="","",CTR1_Local!$W265)</f>
        <v/>
      </c>
    </row>
    <row r="235" spans="1:14" x14ac:dyDescent="0.2">
      <c r="A235" s="287" t="str">
        <f>IF(CTR1_Local!$D266="",CTR1_Local!B266,CTR1_Local!$D266)</f>
        <v/>
      </c>
      <c r="B235" s="26" t="str">
        <f>IF(A235="","",IF(RIGHT(A235,3)="NEW","Add new / another parish",CTR1_Local!$AN266))</f>
        <v/>
      </c>
      <c r="C235" s="26" t="str">
        <f t="shared" si="3"/>
        <v/>
      </c>
      <c r="D235" s="177" t="str">
        <f>IF(A235="","",IF(RIGHT(A235,3)="NEW",CTR1_Local!$E266,IF(CTR1_Local!$AO266="change",CTR1_Local!$E266,"")))</f>
        <v/>
      </c>
      <c r="E235" t="str">
        <f>IF(CTR1_Local!$F266="","",CTR1_Local!$F266)</f>
        <v/>
      </c>
      <c r="F235" s="261" t="str">
        <f>IF(CTR1_Local!$T266="","",IF(CTR1_Local!$T266="Yes","Removed",""))</f>
        <v/>
      </c>
      <c r="G235" t="str">
        <f>IF(CTR1_Local!$N266="","",IF(F235="Removed","",CTR1_Local!$N266))</f>
        <v/>
      </c>
      <c r="H235" t="str">
        <f>IF(CTR1_Local!$P266="","",IF($F235="Removed","",CTR1_Local!$P266))</f>
        <v/>
      </c>
      <c r="I235" t="str">
        <f>IF(CTR1_Local!$R266="","",IF($F235="Removed","",CTR1_Local!$R266))</f>
        <v/>
      </c>
      <c r="J235" s="160" t="str">
        <f>CTR1_Local!$H266</f>
        <v/>
      </c>
      <c r="K235" s="340" t="str">
        <f>CTR1_Local!$J266</f>
        <v/>
      </c>
      <c r="L235" s="350" t="str">
        <f>CTR1_Local!$L266</f>
        <v/>
      </c>
      <c r="M235" s="261" t="str">
        <f>IF(CTR1_Local!$V266="","",IF(CTR1_Local!$V266="Yes","confirm",""))</f>
        <v/>
      </c>
      <c r="N235" t="str">
        <f>IF(CTR1_Local!$W266="","",CTR1_Local!$W266)</f>
        <v/>
      </c>
    </row>
    <row r="236" spans="1:14" x14ac:dyDescent="0.2">
      <c r="A236" s="287" t="str">
        <f>IF(CTR1_Local!$D267="",CTR1_Local!B267,CTR1_Local!$D267)</f>
        <v/>
      </c>
      <c r="B236" s="26" t="str">
        <f>IF(A236="","",IF(RIGHT(A236,3)="NEW","Add new / another parish",CTR1_Local!$AN267))</f>
        <v/>
      </c>
      <c r="C236" s="26" t="str">
        <f t="shared" si="3"/>
        <v/>
      </c>
      <c r="D236" s="177" t="str">
        <f>IF(A236="","",IF(RIGHT(A236,3)="NEW",CTR1_Local!$E267,IF(CTR1_Local!$AO267="change",CTR1_Local!$E267,"")))</f>
        <v/>
      </c>
      <c r="E236" t="str">
        <f>IF(CTR1_Local!$F267="","",CTR1_Local!$F267)</f>
        <v/>
      </c>
      <c r="F236" s="261" t="str">
        <f>IF(CTR1_Local!$T267="","",IF(CTR1_Local!$T267="Yes","Removed",""))</f>
        <v/>
      </c>
      <c r="G236" t="str">
        <f>IF(CTR1_Local!$N267="","",IF(F236="Removed","",CTR1_Local!$N267))</f>
        <v/>
      </c>
      <c r="H236" t="str">
        <f>IF(CTR1_Local!$P267="","",IF($F236="Removed","",CTR1_Local!$P267))</f>
        <v/>
      </c>
      <c r="I236" t="str">
        <f>IF(CTR1_Local!$R267="","",IF($F236="Removed","",CTR1_Local!$R267))</f>
        <v/>
      </c>
      <c r="J236" s="160" t="str">
        <f>CTR1_Local!$H267</f>
        <v/>
      </c>
      <c r="K236" s="340" t="str">
        <f>CTR1_Local!$J267</f>
        <v/>
      </c>
      <c r="L236" s="350" t="str">
        <f>CTR1_Local!$L267</f>
        <v/>
      </c>
      <c r="M236" s="261" t="str">
        <f>IF(CTR1_Local!$V267="","",IF(CTR1_Local!$V267="Yes","confirm",""))</f>
        <v/>
      </c>
      <c r="N236" t="str">
        <f>IF(CTR1_Local!$W267="","",CTR1_Local!$W267)</f>
        <v/>
      </c>
    </row>
    <row r="237" spans="1:14" x14ac:dyDescent="0.2">
      <c r="A237" s="287" t="str">
        <f>IF(CTR1_Local!$D268="",CTR1_Local!B268,CTR1_Local!$D268)</f>
        <v/>
      </c>
      <c r="B237" s="26" t="str">
        <f>IF(A237="","",IF(RIGHT(A237,3)="NEW","Add new / another parish",CTR1_Local!$AN268))</f>
        <v/>
      </c>
      <c r="C237" s="26" t="str">
        <f t="shared" si="3"/>
        <v/>
      </c>
      <c r="D237" s="177" t="str">
        <f>IF(A237="","",IF(RIGHT(A237,3)="NEW",CTR1_Local!$E268,IF(CTR1_Local!$AO268="change",CTR1_Local!$E268,"")))</f>
        <v/>
      </c>
      <c r="E237" t="str">
        <f>IF(CTR1_Local!$F268="","",CTR1_Local!$F268)</f>
        <v/>
      </c>
      <c r="F237" s="261" t="str">
        <f>IF(CTR1_Local!$T268="","",IF(CTR1_Local!$T268="Yes","Removed",""))</f>
        <v/>
      </c>
      <c r="G237" t="str">
        <f>IF(CTR1_Local!$N268="","",IF(F237="Removed","",CTR1_Local!$N268))</f>
        <v/>
      </c>
      <c r="H237" t="str">
        <f>IF(CTR1_Local!$P268="","",IF($F237="Removed","",CTR1_Local!$P268))</f>
        <v/>
      </c>
      <c r="I237" t="str">
        <f>IF(CTR1_Local!$R268="","",IF($F237="Removed","",CTR1_Local!$R268))</f>
        <v/>
      </c>
      <c r="J237" s="160" t="str">
        <f>CTR1_Local!$H268</f>
        <v/>
      </c>
      <c r="K237" s="340" t="str">
        <f>CTR1_Local!$J268</f>
        <v/>
      </c>
      <c r="L237" s="350" t="str">
        <f>CTR1_Local!$L268</f>
        <v/>
      </c>
      <c r="M237" s="261" t="str">
        <f>IF(CTR1_Local!$V268="","",IF(CTR1_Local!$V268="Yes","confirm",""))</f>
        <v/>
      </c>
      <c r="N237" t="str">
        <f>IF(CTR1_Local!$W268="","",CTR1_Local!$W268)</f>
        <v/>
      </c>
    </row>
    <row r="238" spans="1:14" x14ac:dyDescent="0.2">
      <c r="A238" s="287" t="str">
        <f>IF(CTR1_Local!$D269="",CTR1_Local!B269,CTR1_Local!$D269)</f>
        <v/>
      </c>
      <c r="B238" s="26" t="str">
        <f>IF(A238="","",IF(RIGHT(A238,3)="NEW","Add new / another parish",CTR1_Local!$AN269))</f>
        <v/>
      </c>
      <c r="C238" s="26" t="str">
        <f t="shared" si="3"/>
        <v/>
      </c>
      <c r="D238" s="177" t="str">
        <f>IF(A238="","",IF(RIGHT(A238,3)="NEW",CTR1_Local!$E269,IF(CTR1_Local!$AO269="change",CTR1_Local!$E269,"")))</f>
        <v/>
      </c>
      <c r="E238" t="str">
        <f>IF(CTR1_Local!$F269="","",CTR1_Local!$F269)</f>
        <v/>
      </c>
      <c r="F238" s="261" t="str">
        <f>IF(CTR1_Local!$T269="","",IF(CTR1_Local!$T269="Yes","Removed",""))</f>
        <v/>
      </c>
      <c r="G238" t="str">
        <f>IF(CTR1_Local!$N269="","",IF(F238="Removed","",CTR1_Local!$N269))</f>
        <v/>
      </c>
      <c r="H238" t="str">
        <f>IF(CTR1_Local!$P269="","",IF($F238="Removed","",CTR1_Local!$P269))</f>
        <v/>
      </c>
      <c r="I238" t="str">
        <f>IF(CTR1_Local!$R269="","",IF($F238="Removed","",CTR1_Local!$R269))</f>
        <v/>
      </c>
      <c r="J238" s="160" t="str">
        <f>CTR1_Local!$H269</f>
        <v/>
      </c>
      <c r="K238" s="340" t="str">
        <f>CTR1_Local!$J269</f>
        <v/>
      </c>
      <c r="L238" s="350" t="str">
        <f>CTR1_Local!$L269</f>
        <v/>
      </c>
      <c r="M238" s="261" t="str">
        <f>IF(CTR1_Local!$V269="","",IF(CTR1_Local!$V269="Yes","confirm",""))</f>
        <v/>
      </c>
      <c r="N238" t="str">
        <f>IF(CTR1_Local!$W269="","",CTR1_Local!$W269)</f>
        <v/>
      </c>
    </row>
    <row r="239" spans="1:14" x14ac:dyDescent="0.2">
      <c r="A239" s="287" t="str">
        <f>IF(CTR1_Local!$D270="",CTR1_Local!B270,CTR1_Local!$D270)</f>
        <v/>
      </c>
      <c r="B239" s="26" t="str">
        <f>IF(A239="","",IF(RIGHT(A239,3)="NEW","Add new / another parish",CTR1_Local!$AN270))</f>
        <v/>
      </c>
      <c r="C239" s="26" t="str">
        <f t="shared" si="3"/>
        <v/>
      </c>
      <c r="D239" s="177" t="str">
        <f>IF(A239="","",IF(RIGHT(A239,3)="NEW",CTR1_Local!$E270,IF(CTR1_Local!$AO270="change",CTR1_Local!$E270,"")))</f>
        <v/>
      </c>
      <c r="E239" t="str">
        <f>IF(CTR1_Local!$F270="","",CTR1_Local!$F270)</f>
        <v/>
      </c>
      <c r="F239" s="261" t="str">
        <f>IF(CTR1_Local!$T270="","",IF(CTR1_Local!$T270="Yes","Removed",""))</f>
        <v/>
      </c>
      <c r="G239" t="str">
        <f>IF(CTR1_Local!$N270="","",IF(F239="Removed","",CTR1_Local!$N270))</f>
        <v/>
      </c>
      <c r="H239" t="str">
        <f>IF(CTR1_Local!$P270="","",IF($F239="Removed","",CTR1_Local!$P270))</f>
        <v/>
      </c>
      <c r="I239" t="str">
        <f>IF(CTR1_Local!$R270="","",IF($F239="Removed","",CTR1_Local!$R270))</f>
        <v/>
      </c>
      <c r="J239" s="160" t="str">
        <f>CTR1_Local!$H270</f>
        <v/>
      </c>
      <c r="K239" s="340" t="str">
        <f>CTR1_Local!$J270</f>
        <v/>
      </c>
      <c r="L239" s="350" t="str">
        <f>CTR1_Local!$L270</f>
        <v/>
      </c>
      <c r="M239" s="261" t="str">
        <f>IF(CTR1_Local!$V270="","",IF(CTR1_Local!$V270="Yes","confirm",""))</f>
        <v/>
      </c>
      <c r="N239" t="str">
        <f>IF(CTR1_Local!$W270="","",CTR1_Local!$W270)</f>
        <v/>
      </c>
    </row>
    <row r="240" spans="1:14" x14ac:dyDescent="0.2">
      <c r="A240" s="287" t="str">
        <f>IF(CTR1_Local!$D271="",CTR1_Local!B271,CTR1_Local!$D271)</f>
        <v/>
      </c>
      <c r="B240" s="26" t="str">
        <f>IF(A240="","",IF(RIGHT(A240,3)="NEW","Add new / another parish",CTR1_Local!$AN271))</f>
        <v/>
      </c>
      <c r="C240" s="26" t="str">
        <f t="shared" si="3"/>
        <v/>
      </c>
      <c r="D240" s="177" t="str">
        <f>IF(A240="","",IF(RIGHT(A240,3)="NEW",CTR1_Local!$E271,IF(CTR1_Local!$AO271="change",CTR1_Local!$E271,"")))</f>
        <v/>
      </c>
      <c r="E240" t="str">
        <f>IF(CTR1_Local!$F271="","",CTR1_Local!$F271)</f>
        <v/>
      </c>
      <c r="F240" s="261" t="str">
        <f>IF(CTR1_Local!$T271="","",IF(CTR1_Local!$T271="Yes","Removed",""))</f>
        <v/>
      </c>
      <c r="G240" t="str">
        <f>IF(CTR1_Local!$N271="","",IF(F240="Removed","",CTR1_Local!$N271))</f>
        <v/>
      </c>
      <c r="H240" t="str">
        <f>IF(CTR1_Local!$P271="","",IF($F240="Removed","",CTR1_Local!$P271))</f>
        <v/>
      </c>
      <c r="I240" t="str">
        <f>IF(CTR1_Local!$R271="","",IF($F240="Removed","",CTR1_Local!$R271))</f>
        <v/>
      </c>
      <c r="J240" s="160" t="str">
        <f>CTR1_Local!$H271</f>
        <v/>
      </c>
      <c r="K240" s="340" t="str">
        <f>CTR1_Local!$J271</f>
        <v/>
      </c>
      <c r="L240" s="350" t="str">
        <f>CTR1_Local!$L271</f>
        <v/>
      </c>
      <c r="M240" s="261" t="str">
        <f>IF(CTR1_Local!$V271="","",IF(CTR1_Local!$V271="Yes","confirm",""))</f>
        <v/>
      </c>
      <c r="N240" t="str">
        <f>IF(CTR1_Local!$W271="","",CTR1_Local!$W271)</f>
        <v/>
      </c>
    </row>
    <row r="241" spans="1:14" x14ac:dyDescent="0.2">
      <c r="A241" s="287" t="str">
        <f>IF(CTR1_Local!$D272="",CTR1_Local!B272,CTR1_Local!$D272)</f>
        <v/>
      </c>
      <c r="B241" s="26" t="str">
        <f>IF(A241="","",IF(RIGHT(A241,3)="NEW","Add new / another parish",CTR1_Local!$AN272))</f>
        <v/>
      </c>
      <c r="C241" s="26" t="str">
        <f t="shared" si="3"/>
        <v/>
      </c>
      <c r="D241" s="177" t="str">
        <f>IF(A241="","",IF(RIGHT(A241,3)="NEW",CTR1_Local!$E272,IF(CTR1_Local!$AO272="change",CTR1_Local!$E272,"")))</f>
        <v/>
      </c>
      <c r="E241" t="str">
        <f>IF(CTR1_Local!$F272="","",CTR1_Local!$F272)</f>
        <v/>
      </c>
      <c r="F241" s="261" t="str">
        <f>IF(CTR1_Local!$T272="","",IF(CTR1_Local!$T272="Yes","Removed",""))</f>
        <v/>
      </c>
      <c r="G241" t="str">
        <f>IF(CTR1_Local!$N272="","",IF(F241="Removed","",CTR1_Local!$N272))</f>
        <v/>
      </c>
      <c r="H241" t="str">
        <f>IF(CTR1_Local!$P272="","",IF($F241="Removed","",CTR1_Local!$P272))</f>
        <v/>
      </c>
      <c r="I241" t="str">
        <f>IF(CTR1_Local!$R272="","",IF($F241="Removed","",CTR1_Local!$R272))</f>
        <v/>
      </c>
      <c r="J241" s="160" t="str">
        <f>CTR1_Local!$H272</f>
        <v/>
      </c>
      <c r="K241" s="340" t="str">
        <f>CTR1_Local!$J272</f>
        <v/>
      </c>
      <c r="L241" s="350" t="str">
        <f>CTR1_Local!$L272</f>
        <v/>
      </c>
      <c r="M241" s="261" t="str">
        <f>IF(CTR1_Local!$V272="","",IF(CTR1_Local!$V272="Yes","confirm",""))</f>
        <v/>
      </c>
      <c r="N241" t="str">
        <f>IF(CTR1_Local!$W272="","",CTR1_Local!$W272)</f>
        <v/>
      </c>
    </row>
    <row r="242" spans="1:14" x14ac:dyDescent="0.2">
      <c r="A242" s="287" t="str">
        <f>IF(CTR1_Local!$D273="",CTR1_Local!B273,CTR1_Local!$D273)</f>
        <v/>
      </c>
      <c r="B242" s="26" t="str">
        <f>IF(A242="","",IF(RIGHT(A242,3)="NEW","Add new / another parish",CTR1_Local!$AN273))</f>
        <v/>
      </c>
      <c r="C242" s="26" t="str">
        <f t="shared" si="3"/>
        <v/>
      </c>
      <c r="D242" s="177" t="str">
        <f>IF(A242="","",IF(RIGHT(A242,3)="NEW",CTR1_Local!$E273,IF(CTR1_Local!$AO273="change",CTR1_Local!$E273,"")))</f>
        <v/>
      </c>
      <c r="E242" t="str">
        <f>IF(CTR1_Local!$F273="","",CTR1_Local!$F273)</f>
        <v/>
      </c>
      <c r="F242" s="261" t="str">
        <f>IF(CTR1_Local!$T273="","",IF(CTR1_Local!$T273="Yes","Removed",""))</f>
        <v/>
      </c>
      <c r="G242" t="str">
        <f>IF(CTR1_Local!$N273="","",IF(F242="Removed","",CTR1_Local!$N273))</f>
        <v/>
      </c>
      <c r="H242" t="str">
        <f>IF(CTR1_Local!$P273="","",IF($F242="Removed","",CTR1_Local!$P273))</f>
        <v/>
      </c>
      <c r="I242" t="str">
        <f>IF(CTR1_Local!$R273="","",IF($F242="Removed","",CTR1_Local!$R273))</f>
        <v/>
      </c>
      <c r="J242" s="160" t="str">
        <f>CTR1_Local!$H273</f>
        <v/>
      </c>
      <c r="K242" s="340" t="str">
        <f>CTR1_Local!$J273</f>
        <v/>
      </c>
      <c r="L242" s="350" t="str">
        <f>CTR1_Local!$L273</f>
        <v/>
      </c>
      <c r="M242" s="261" t="str">
        <f>IF(CTR1_Local!$V273="","",IF(CTR1_Local!$V273="Yes","confirm",""))</f>
        <v/>
      </c>
      <c r="N242" t="str">
        <f>IF(CTR1_Local!$W273="","",CTR1_Local!$W273)</f>
        <v/>
      </c>
    </row>
    <row r="243" spans="1:14" x14ac:dyDescent="0.2">
      <c r="A243" s="287" t="str">
        <f>IF(CTR1_Local!$D274="",CTR1_Local!B274,CTR1_Local!$D274)</f>
        <v/>
      </c>
      <c r="B243" s="26" t="str">
        <f>IF(A243="","",IF(RIGHT(A243,3)="NEW","Add new / another parish",CTR1_Local!$AN274))</f>
        <v/>
      </c>
      <c r="C243" s="26" t="str">
        <f t="shared" si="3"/>
        <v/>
      </c>
      <c r="D243" s="177" t="str">
        <f>IF(A243="","",IF(RIGHT(A243,3)="NEW",CTR1_Local!$E274,IF(CTR1_Local!$AO274="change",CTR1_Local!$E274,"")))</f>
        <v/>
      </c>
      <c r="E243" t="str">
        <f>IF(CTR1_Local!$F274="","",CTR1_Local!$F274)</f>
        <v/>
      </c>
      <c r="F243" s="261" t="str">
        <f>IF(CTR1_Local!$T274="","",IF(CTR1_Local!$T274="Yes","Removed",""))</f>
        <v/>
      </c>
      <c r="G243" t="str">
        <f>IF(CTR1_Local!$N274="","",IF(F243="Removed","",CTR1_Local!$N274))</f>
        <v/>
      </c>
      <c r="H243" t="str">
        <f>IF(CTR1_Local!$P274="","",IF($F243="Removed","",CTR1_Local!$P274))</f>
        <v/>
      </c>
      <c r="I243" t="str">
        <f>IF(CTR1_Local!$R274="","",IF($F243="Removed","",CTR1_Local!$R274))</f>
        <v/>
      </c>
      <c r="J243" s="160" t="str">
        <f>CTR1_Local!$H274</f>
        <v/>
      </c>
      <c r="K243" s="340" t="str">
        <f>CTR1_Local!$J274</f>
        <v/>
      </c>
      <c r="L243" s="350" t="str">
        <f>CTR1_Local!$L274</f>
        <v/>
      </c>
      <c r="M243" s="261" t="str">
        <f>IF(CTR1_Local!$V274="","",IF(CTR1_Local!$V274="Yes","confirm",""))</f>
        <v/>
      </c>
      <c r="N243" t="str">
        <f>IF(CTR1_Local!$W274="","",CTR1_Local!$W274)</f>
        <v/>
      </c>
    </row>
    <row r="244" spans="1:14" x14ac:dyDescent="0.2">
      <c r="A244" s="287" t="str">
        <f>IF(CTR1_Local!$D275="",CTR1_Local!B275,CTR1_Local!$D275)</f>
        <v/>
      </c>
      <c r="B244" s="26" t="str">
        <f>IF(A244="","",IF(RIGHT(A244,3)="NEW","Add new / another parish",CTR1_Local!$AN275))</f>
        <v/>
      </c>
      <c r="C244" s="26" t="str">
        <f t="shared" si="3"/>
        <v/>
      </c>
      <c r="D244" s="177" t="str">
        <f>IF(A244="","",IF(RIGHT(A244,3)="NEW",CTR1_Local!$E275,IF(CTR1_Local!$AO275="change",CTR1_Local!$E275,"")))</f>
        <v/>
      </c>
      <c r="E244" t="str">
        <f>IF(CTR1_Local!$F275="","",CTR1_Local!$F275)</f>
        <v/>
      </c>
      <c r="F244" s="261" t="str">
        <f>IF(CTR1_Local!$T275="","",IF(CTR1_Local!$T275="Yes","Removed",""))</f>
        <v/>
      </c>
      <c r="G244" t="str">
        <f>IF(CTR1_Local!$N275="","",IF(F244="Removed","",CTR1_Local!$N275))</f>
        <v/>
      </c>
      <c r="H244" t="str">
        <f>IF(CTR1_Local!$P275="","",IF($F244="Removed","",CTR1_Local!$P275))</f>
        <v/>
      </c>
      <c r="I244" t="str">
        <f>IF(CTR1_Local!$R275="","",IF($F244="Removed","",CTR1_Local!$R275))</f>
        <v/>
      </c>
      <c r="J244" s="160" t="str">
        <f>CTR1_Local!$H275</f>
        <v/>
      </c>
      <c r="K244" s="340" t="str">
        <f>CTR1_Local!$J275</f>
        <v/>
      </c>
      <c r="L244" s="350" t="str">
        <f>CTR1_Local!$L275</f>
        <v/>
      </c>
      <c r="M244" s="261" t="str">
        <f>IF(CTR1_Local!$V275="","",IF(CTR1_Local!$V275="Yes","confirm",""))</f>
        <v/>
      </c>
      <c r="N244" t="str">
        <f>IF(CTR1_Local!$W275="","",CTR1_Local!$W275)</f>
        <v/>
      </c>
    </row>
    <row r="245" spans="1:14" x14ac:dyDescent="0.2">
      <c r="A245" s="287" t="str">
        <f>IF(CTR1_Local!$D276="",CTR1_Local!B276,CTR1_Local!$D276)</f>
        <v/>
      </c>
      <c r="B245" s="26" t="str">
        <f>IF(A245="","",IF(RIGHT(A245,3)="NEW","Add new / another parish",CTR1_Local!$AN276))</f>
        <v/>
      </c>
      <c r="C245" s="26" t="str">
        <f t="shared" si="3"/>
        <v/>
      </c>
      <c r="D245" s="177" t="str">
        <f>IF(A245="","",IF(RIGHT(A245,3)="NEW",CTR1_Local!$E276,IF(CTR1_Local!$AO276="change",CTR1_Local!$E276,"")))</f>
        <v/>
      </c>
      <c r="E245" t="str">
        <f>IF(CTR1_Local!$F276="","",CTR1_Local!$F276)</f>
        <v/>
      </c>
      <c r="F245" s="261" t="str">
        <f>IF(CTR1_Local!$T276="","",IF(CTR1_Local!$T276="Yes","Removed",""))</f>
        <v/>
      </c>
      <c r="G245" t="str">
        <f>IF(CTR1_Local!$N276="","",IF(F245="Removed","",CTR1_Local!$N276))</f>
        <v/>
      </c>
      <c r="H245" t="str">
        <f>IF(CTR1_Local!$P276="","",IF($F245="Removed","",CTR1_Local!$P276))</f>
        <v/>
      </c>
      <c r="I245" t="str">
        <f>IF(CTR1_Local!$R276="","",IF($F245="Removed","",CTR1_Local!$R276))</f>
        <v/>
      </c>
      <c r="J245" s="160" t="str">
        <f>CTR1_Local!$H276</f>
        <v/>
      </c>
      <c r="K245" s="340" t="str">
        <f>CTR1_Local!$J276</f>
        <v/>
      </c>
      <c r="L245" s="350" t="str">
        <f>CTR1_Local!$L276</f>
        <v/>
      </c>
      <c r="M245" s="261" t="str">
        <f>IF(CTR1_Local!$V276="","",IF(CTR1_Local!$V276="Yes","confirm",""))</f>
        <v/>
      </c>
      <c r="N245" t="str">
        <f>IF(CTR1_Local!$W276="","",CTR1_Local!$W276)</f>
        <v/>
      </c>
    </row>
    <row r="246" spans="1:14" x14ac:dyDescent="0.2">
      <c r="A246" s="287" t="str">
        <f>IF(CTR1_Local!$D277="",CTR1_Local!B277,CTR1_Local!$D277)</f>
        <v/>
      </c>
      <c r="B246" s="26" t="str">
        <f>IF(A246="","",IF(RIGHT(A246,3)="NEW","Add new / another parish",CTR1_Local!$AN277))</f>
        <v/>
      </c>
      <c r="C246" s="26" t="str">
        <f t="shared" si="3"/>
        <v/>
      </c>
      <c r="D246" s="177" t="str">
        <f>IF(A246="","",IF(RIGHT(A246,3)="NEW",CTR1_Local!$E277,IF(CTR1_Local!$AO277="change",CTR1_Local!$E277,"")))</f>
        <v/>
      </c>
      <c r="E246" t="str">
        <f>IF(CTR1_Local!$F277="","",CTR1_Local!$F277)</f>
        <v/>
      </c>
      <c r="F246" s="261" t="str">
        <f>IF(CTR1_Local!$T277="","",IF(CTR1_Local!$T277="Yes","Removed",""))</f>
        <v/>
      </c>
      <c r="G246" t="str">
        <f>IF(CTR1_Local!$N277="","",IF(F246="Removed","",CTR1_Local!$N277))</f>
        <v/>
      </c>
      <c r="H246" t="str">
        <f>IF(CTR1_Local!$P277="","",IF($F246="Removed","",CTR1_Local!$P277))</f>
        <v/>
      </c>
      <c r="I246" t="str">
        <f>IF(CTR1_Local!$R277="","",IF($F246="Removed","",CTR1_Local!$R277))</f>
        <v/>
      </c>
      <c r="J246" s="160" t="str">
        <f>CTR1_Local!$H277</f>
        <v/>
      </c>
      <c r="K246" s="340" t="str">
        <f>CTR1_Local!$J277</f>
        <v/>
      </c>
      <c r="L246" s="350" t="str">
        <f>CTR1_Local!$L277</f>
        <v/>
      </c>
      <c r="M246" s="261" t="str">
        <f>IF(CTR1_Local!$V277="","",IF(CTR1_Local!$V277="Yes","confirm",""))</f>
        <v/>
      </c>
      <c r="N246" t="str">
        <f>IF(CTR1_Local!$W277="","",CTR1_Local!$W277)</f>
        <v/>
      </c>
    </row>
    <row r="247" spans="1:14" x14ac:dyDescent="0.2">
      <c r="A247" s="287" t="str">
        <f>IF(CTR1_Local!$D278="",CTR1_Local!B278,CTR1_Local!$D278)</f>
        <v/>
      </c>
      <c r="B247" s="26" t="str">
        <f>IF(A247="","",IF(RIGHT(A247,3)="NEW","Add new / another parish",CTR1_Local!$AN278))</f>
        <v/>
      </c>
      <c r="C247" s="26" t="str">
        <f t="shared" si="3"/>
        <v/>
      </c>
      <c r="D247" s="177" t="str">
        <f>IF(A247="","",IF(RIGHT(A247,3)="NEW",CTR1_Local!$E278,IF(CTR1_Local!$AO278="change",CTR1_Local!$E278,"")))</f>
        <v/>
      </c>
      <c r="E247" t="str">
        <f>IF(CTR1_Local!$F278="","",CTR1_Local!$F278)</f>
        <v/>
      </c>
      <c r="F247" s="261" t="str">
        <f>IF(CTR1_Local!$T278="","",IF(CTR1_Local!$T278="Yes","Removed",""))</f>
        <v/>
      </c>
      <c r="G247" t="str">
        <f>IF(CTR1_Local!$N278="","",IF(F247="Removed","",CTR1_Local!$N278))</f>
        <v/>
      </c>
      <c r="H247" t="str">
        <f>IF(CTR1_Local!$P278="","",IF($F247="Removed","",CTR1_Local!$P278))</f>
        <v/>
      </c>
      <c r="I247" t="str">
        <f>IF(CTR1_Local!$R278="","",IF($F247="Removed","",CTR1_Local!$R278))</f>
        <v/>
      </c>
      <c r="J247" s="160" t="str">
        <f>CTR1_Local!$H278</f>
        <v/>
      </c>
      <c r="K247" s="340" t="str">
        <f>CTR1_Local!$J278</f>
        <v/>
      </c>
      <c r="L247" s="350" t="str">
        <f>CTR1_Local!$L278</f>
        <v/>
      </c>
      <c r="M247" s="261" t="str">
        <f>IF(CTR1_Local!$V278="","",IF(CTR1_Local!$V278="Yes","confirm",""))</f>
        <v/>
      </c>
      <c r="N247" t="str">
        <f>IF(CTR1_Local!$W278="","",CTR1_Local!$W278)</f>
        <v/>
      </c>
    </row>
    <row r="248" spans="1:14" x14ac:dyDescent="0.2">
      <c r="A248" s="287" t="str">
        <f>IF(CTR1_Local!$D279="",CTR1_Local!B279,CTR1_Local!$D279)</f>
        <v/>
      </c>
      <c r="B248" s="26" t="str">
        <f>IF(A248="","",IF(RIGHT(A248,3)="NEW","Add new / another parish",CTR1_Local!$AN279))</f>
        <v/>
      </c>
      <c r="C248" s="26" t="str">
        <f t="shared" si="3"/>
        <v/>
      </c>
      <c r="D248" s="177" t="str">
        <f>IF(A248="","",IF(RIGHT(A248,3)="NEW",CTR1_Local!$E279,IF(CTR1_Local!$AO279="change",CTR1_Local!$E279,"")))</f>
        <v/>
      </c>
      <c r="E248" t="str">
        <f>IF(CTR1_Local!$F279="","",CTR1_Local!$F279)</f>
        <v/>
      </c>
      <c r="F248" s="261" t="str">
        <f>IF(CTR1_Local!$T279="","",IF(CTR1_Local!$T279="Yes","Removed",""))</f>
        <v/>
      </c>
      <c r="G248" t="str">
        <f>IF(CTR1_Local!$N279="","",IF(F248="Removed","",CTR1_Local!$N279))</f>
        <v/>
      </c>
      <c r="H248" t="str">
        <f>IF(CTR1_Local!$P279="","",IF($F248="Removed","",CTR1_Local!$P279))</f>
        <v/>
      </c>
      <c r="I248" t="str">
        <f>IF(CTR1_Local!$R279="","",IF($F248="Removed","",CTR1_Local!$R279))</f>
        <v/>
      </c>
      <c r="J248" s="160" t="str">
        <f>CTR1_Local!$H279</f>
        <v/>
      </c>
      <c r="K248" s="340" t="str">
        <f>CTR1_Local!$J279</f>
        <v/>
      </c>
      <c r="L248" s="350" t="str">
        <f>CTR1_Local!$L279</f>
        <v/>
      </c>
      <c r="M248" s="261" t="str">
        <f>IF(CTR1_Local!$V279="","",IF(CTR1_Local!$V279="Yes","confirm",""))</f>
        <v/>
      </c>
      <c r="N248" t="str">
        <f>IF(CTR1_Local!$W279="","",CTR1_Local!$W279)</f>
        <v/>
      </c>
    </row>
    <row r="249" spans="1:14" x14ac:dyDescent="0.2">
      <c r="A249" s="287" t="str">
        <f>IF(CTR1_Local!$D280="",CTR1_Local!B280,CTR1_Local!$D280)</f>
        <v/>
      </c>
      <c r="B249" s="26" t="str">
        <f>IF(A249="","",IF(RIGHT(A249,3)="NEW","Add new / another parish",CTR1_Local!$AN280))</f>
        <v/>
      </c>
      <c r="C249" s="26" t="str">
        <f t="shared" si="3"/>
        <v/>
      </c>
      <c r="D249" s="177" t="str">
        <f>IF(A249="","",IF(RIGHT(A249,3)="NEW",CTR1_Local!$E280,IF(CTR1_Local!$AO280="change",CTR1_Local!$E280,"")))</f>
        <v/>
      </c>
      <c r="E249" t="str">
        <f>IF(CTR1_Local!$F280="","",CTR1_Local!$F280)</f>
        <v/>
      </c>
      <c r="F249" s="261" t="str">
        <f>IF(CTR1_Local!$T280="","",IF(CTR1_Local!$T280="Yes","Removed",""))</f>
        <v/>
      </c>
      <c r="G249" t="str">
        <f>IF(CTR1_Local!$N280="","",IF(F249="Removed","",CTR1_Local!$N280))</f>
        <v/>
      </c>
      <c r="H249" t="str">
        <f>IF(CTR1_Local!$P280="","",IF($F249="Removed","",CTR1_Local!$P280))</f>
        <v/>
      </c>
      <c r="I249" t="str">
        <f>IF(CTR1_Local!$R280="","",IF($F249="Removed","",CTR1_Local!$R280))</f>
        <v/>
      </c>
      <c r="J249" s="160" t="str">
        <f>CTR1_Local!$H280</f>
        <v/>
      </c>
      <c r="K249" s="340" t="str">
        <f>CTR1_Local!$J280</f>
        <v/>
      </c>
      <c r="L249" s="350" t="str">
        <f>CTR1_Local!$L280</f>
        <v/>
      </c>
      <c r="M249" s="261" t="str">
        <f>IF(CTR1_Local!$V280="","",IF(CTR1_Local!$V280="Yes","confirm",""))</f>
        <v/>
      </c>
      <c r="N249" t="str">
        <f>IF(CTR1_Local!$W280="","",CTR1_Local!$W280)</f>
        <v/>
      </c>
    </row>
    <row r="250" spans="1:14" x14ac:dyDescent="0.2">
      <c r="A250" s="287" t="str">
        <f>IF(CTR1_Local!$D281="",CTR1_Local!B281,CTR1_Local!$D281)</f>
        <v/>
      </c>
      <c r="B250" s="26" t="str">
        <f>IF(A250="","",IF(RIGHT(A250,3)="NEW","Add new / another parish",CTR1_Local!$AN281))</f>
        <v/>
      </c>
      <c r="C250" s="26" t="str">
        <f t="shared" si="3"/>
        <v/>
      </c>
      <c r="D250" s="177" t="str">
        <f>IF(A250="","",IF(RIGHT(A250,3)="NEW",CTR1_Local!$E281,IF(CTR1_Local!$AO281="change",CTR1_Local!$E281,"")))</f>
        <v/>
      </c>
      <c r="E250" t="str">
        <f>IF(CTR1_Local!$F281="","",CTR1_Local!$F281)</f>
        <v/>
      </c>
      <c r="F250" s="261" t="str">
        <f>IF(CTR1_Local!$T281="","",IF(CTR1_Local!$T281="Yes","Removed",""))</f>
        <v/>
      </c>
      <c r="G250" t="str">
        <f>IF(CTR1_Local!$N281="","",IF(F250="Removed","",CTR1_Local!$N281))</f>
        <v/>
      </c>
      <c r="H250" t="str">
        <f>IF(CTR1_Local!$P281="","",IF($F250="Removed","",CTR1_Local!$P281))</f>
        <v/>
      </c>
      <c r="I250" t="str">
        <f>IF(CTR1_Local!$R281="","",IF($F250="Removed","",CTR1_Local!$R281))</f>
        <v/>
      </c>
      <c r="J250" s="160" t="str">
        <f>CTR1_Local!$H281</f>
        <v/>
      </c>
      <c r="K250" s="340" t="str">
        <f>CTR1_Local!$J281</f>
        <v/>
      </c>
      <c r="L250" s="350" t="str">
        <f>CTR1_Local!$L281</f>
        <v/>
      </c>
      <c r="M250" s="261" t="str">
        <f>IF(CTR1_Local!$V281="","",IF(CTR1_Local!$V281="Yes","confirm",""))</f>
        <v/>
      </c>
      <c r="N250" t="str">
        <f>IF(CTR1_Local!$W281="","",CTR1_Local!$W281)</f>
        <v/>
      </c>
    </row>
    <row r="251" spans="1:14" x14ac:dyDescent="0.2">
      <c r="A251" s="287" t="str">
        <f>IF(CTR1_Local!$D282="",CTR1_Local!B282,CTR1_Local!$D282)</f>
        <v/>
      </c>
      <c r="B251" s="26" t="str">
        <f>IF(A251="","",IF(RIGHT(A251,3)="NEW","Add new / another parish",CTR1_Local!$AN282))</f>
        <v/>
      </c>
      <c r="C251" s="26" t="str">
        <f t="shared" si="3"/>
        <v/>
      </c>
      <c r="D251" s="177" t="str">
        <f>IF(A251="","",IF(RIGHT(A251,3)="NEW",CTR1_Local!$E282,IF(CTR1_Local!$AO282="change",CTR1_Local!$E282,"")))</f>
        <v/>
      </c>
      <c r="E251" t="str">
        <f>IF(CTR1_Local!$F282="","",CTR1_Local!$F282)</f>
        <v/>
      </c>
      <c r="F251" s="261" t="str">
        <f>IF(CTR1_Local!$T282="","",IF(CTR1_Local!$T282="Yes","Removed",""))</f>
        <v/>
      </c>
      <c r="G251" t="str">
        <f>IF(CTR1_Local!$N282="","",IF(F251="Removed","",CTR1_Local!$N282))</f>
        <v/>
      </c>
      <c r="H251" t="str">
        <f>IF(CTR1_Local!$P282="","",IF($F251="Removed","",CTR1_Local!$P282))</f>
        <v/>
      </c>
      <c r="I251" t="str">
        <f>IF(CTR1_Local!$R282="","",IF($F251="Removed","",CTR1_Local!$R282))</f>
        <v/>
      </c>
      <c r="J251" s="160" t="str">
        <f>CTR1_Local!$H282</f>
        <v/>
      </c>
      <c r="K251" s="340" t="str">
        <f>CTR1_Local!$J282</f>
        <v/>
      </c>
      <c r="L251" s="350" t="str">
        <f>CTR1_Local!$L282</f>
        <v/>
      </c>
      <c r="M251" s="261" t="str">
        <f>IF(CTR1_Local!$V282="","",IF(CTR1_Local!$V282="Yes","confirm",""))</f>
        <v/>
      </c>
      <c r="N251" t="str">
        <f>IF(CTR1_Local!$W282="","",CTR1_Local!$W282)</f>
        <v/>
      </c>
    </row>
    <row r="252" spans="1:14" x14ac:dyDescent="0.2">
      <c r="A252" s="287" t="str">
        <f>IF(CTR1_Local!$D283="",CTR1_Local!B283,CTR1_Local!$D283)</f>
        <v/>
      </c>
      <c r="B252" s="26" t="str">
        <f>IF(A252="","",IF(RIGHT(A252,3)="NEW","Add new / another parish",CTR1_Local!$AN283))</f>
        <v/>
      </c>
      <c r="C252" s="26" t="str">
        <f t="shared" si="3"/>
        <v/>
      </c>
      <c r="D252" s="177" t="str">
        <f>IF(A252="","",IF(RIGHT(A252,3)="NEW",CTR1_Local!$E283,IF(CTR1_Local!$AO283="change",CTR1_Local!$E283,"")))</f>
        <v/>
      </c>
      <c r="E252" t="str">
        <f>IF(CTR1_Local!$F283="","",CTR1_Local!$F283)</f>
        <v/>
      </c>
      <c r="F252" s="261" t="str">
        <f>IF(CTR1_Local!$T283="","",IF(CTR1_Local!$T283="Yes","Removed",""))</f>
        <v/>
      </c>
      <c r="G252" t="str">
        <f>IF(CTR1_Local!$N283="","",IF(F252="Removed","",CTR1_Local!$N283))</f>
        <v/>
      </c>
      <c r="H252" t="str">
        <f>IF(CTR1_Local!$P283="","",IF($F252="Removed","",CTR1_Local!$P283))</f>
        <v/>
      </c>
      <c r="I252" t="str">
        <f>IF(CTR1_Local!$R283="","",IF($F252="Removed","",CTR1_Local!$R283))</f>
        <v/>
      </c>
      <c r="J252" s="160" t="str">
        <f>CTR1_Local!$H283</f>
        <v/>
      </c>
      <c r="K252" s="340" t="str">
        <f>CTR1_Local!$J283</f>
        <v/>
      </c>
      <c r="L252" s="350" t="str">
        <f>CTR1_Local!$L283</f>
        <v/>
      </c>
      <c r="M252" s="261" t="str">
        <f>IF(CTR1_Local!$V283="","",IF(CTR1_Local!$V283="Yes","confirm",""))</f>
        <v/>
      </c>
      <c r="N252" t="str">
        <f>IF(CTR1_Local!$W283="","",CTR1_Local!$W283)</f>
        <v/>
      </c>
    </row>
    <row r="253" spans="1:14" x14ac:dyDescent="0.2">
      <c r="A253" s="287" t="str">
        <f>IF(CTR1_Local!$D284="",CTR1_Local!B284,CTR1_Local!$D284)</f>
        <v/>
      </c>
      <c r="B253" s="26" t="str">
        <f>IF(A253="","",IF(RIGHT(A253,3)="NEW","Add new / another parish",CTR1_Local!$AN284))</f>
        <v/>
      </c>
      <c r="C253" s="26" t="str">
        <f t="shared" si="3"/>
        <v/>
      </c>
      <c r="D253" s="177" t="str">
        <f>IF(A253="","",IF(RIGHT(A253,3)="NEW",CTR1_Local!$E284,IF(CTR1_Local!$AO284="change",CTR1_Local!$E284,"")))</f>
        <v/>
      </c>
      <c r="E253" t="str">
        <f>IF(CTR1_Local!$F284="","",CTR1_Local!$F284)</f>
        <v/>
      </c>
      <c r="F253" s="261" t="str">
        <f>IF(CTR1_Local!$T284="","",IF(CTR1_Local!$T284="Yes","Removed",""))</f>
        <v/>
      </c>
      <c r="G253" t="str">
        <f>IF(CTR1_Local!$N284="","",IF(F253="Removed","",CTR1_Local!$N284))</f>
        <v/>
      </c>
      <c r="H253" t="str">
        <f>IF(CTR1_Local!$P284="","",IF($F253="Removed","",CTR1_Local!$P284))</f>
        <v/>
      </c>
      <c r="I253" t="str">
        <f>IF(CTR1_Local!$R284="","",IF($F253="Removed","",CTR1_Local!$R284))</f>
        <v/>
      </c>
      <c r="J253" s="160" t="str">
        <f>CTR1_Local!$H284</f>
        <v/>
      </c>
      <c r="K253" s="340" t="str">
        <f>CTR1_Local!$J284</f>
        <v/>
      </c>
      <c r="L253" s="350" t="str">
        <f>CTR1_Local!$L284</f>
        <v/>
      </c>
      <c r="M253" s="261" t="str">
        <f>IF(CTR1_Local!$V284="","",IF(CTR1_Local!$V284="Yes","confirm",""))</f>
        <v/>
      </c>
      <c r="N253" t="str">
        <f>IF(CTR1_Local!$W284="","",CTR1_Local!$W284)</f>
        <v/>
      </c>
    </row>
    <row r="254" spans="1:14" x14ac:dyDescent="0.2">
      <c r="A254" s="287" t="str">
        <f>IF(CTR1_Local!$D285="",CTR1_Local!B285,CTR1_Local!$D285)</f>
        <v/>
      </c>
      <c r="B254" s="26" t="str">
        <f>IF(A254="","",IF(RIGHT(A254,3)="NEW","Add new / another parish",CTR1_Local!$AN285))</f>
        <v/>
      </c>
      <c r="C254" s="26" t="str">
        <f t="shared" si="3"/>
        <v/>
      </c>
      <c r="D254" s="177" t="str">
        <f>IF(A254="","",IF(RIGHT(A254,3)="NEW",CTR1_Local!$E285,IF(CTR1_Local!$AO285="change",CTR1_Local!$E285,"")))</f>
        <v/>
      </c>
      <c r="E254" t="str">
        <f>IF(CTR1_Local!$F285="","",CTR1_Local!$F285)</f>
        <v/>
      </c>
      <c r="F254" s="261" t="str">
        <f>IF(CTR1_Local!$T285="","",IF(CTR1_Local!$T285="Yes","Removed",""))</f>
        <v/>
      </c>
      <c r="G254" t="str">
        <f>IF(CTR1_Local!$N285="","",IF(F254="Removed","",CTR1_Local!$N285))</f>
        <v/>
      </c>
      <c r="H254" t="str">
        <f>IF(CTR1_Local!$P285="","",IF($F254="Removed","",CTR1_Local!$P285))</f>
        <v/>
      </c>
      <c r="I254" t="str">
        <f>IF(CTR1_Local!$R285="","",IF($F254="Removed","",CTR1_Local!$R285))</f>
        <v/>
      </c>
      <c r="J254" s="160" t="str">
        <f>CTR1_Local!$H285</f>
        <v/>
      </c>
      <c r="K254" s="340" t="str">
        <f>CTR1_Local!$J285</f>
        <v/>
      </c>
      <c r="L254" s="350" t="str">
        <f>CTR1_Local!$L285</f>
        <v/>
      </c>
      <c r="M254" s="261" t="str">
        <f>IF(CTR1_Local!$V285="","",IF(CTR1_Local!$V285="Yes","confirm",""))</f>
        <v/>
      </c>
      <c r="N254" t="str">
        <f>IF(CTR1_Local!$W285="","",CTR1_Local!$W285)</f>
        <v/>
      </c>
    </row>
    <row r="255" spans="1:14" x14ac:dyDescent="0.2">
      <c r="A255" s="287" t="str">
        <f>IF(CTR1_Local!$D286="",CTR1_Local!B286,CTR1_Local!$D286)</f>
        <v/>
      </c>
      <c r="B255" s="26" t="str">
        <f>IF(A255="","",IF(RIGHT(A255,3)="NEW","Add new / another parish",CTR1_Local!$AN286))</f>
        <v/>
      </c>
      <c r="C255" s="26" t="str">
        <f t="shared" si="3"/>
        <v/>
      </c>
      <c r="D255" s="177" t="str">
        <f>IF(A255="","",IF(RIGHT(A255,3)="NEW",CTR1_Local!$E286,IF(CTR1_Local!$AO286="change",CTR1_Local!$E286,"")))</f>
        <v/>
      </c>
      <c r="E255" t="str">
        <f>IF(CTR1_Local!$F286="","",CTR1_Local!$F286)</f>
        <v/>
      </c>
      <c r="F255" s="261" t="str">
        <f>IF(CTR1_Local!$T286="","",IF(CTR1_Local!$T286="Yes","Removed",""))</f>
        <v/>
      </c>
      <c r="G255" t="str">
        <f>IF(CTR1_Local!$N286="","",IF(F255="Removed","",CTR1_Local!$N286))</f>
        <v/>
      </c>
      <c r="H255" t="str">
        <f>IF(CTR1_Local!$P286="","",IF($F255="Removed","",CTR1_Local!$P286))</f>
        <v/>
      </c>
      <c r="I255" t="str">
        <f>IF(CTR1_Local!$R286="","",IF($F255="Removed","",CTR1_Local!$R286))</f>
        <v/>
      </c>
      <c r="J255" s="160" t="str">
        <f>CTR1_Local!$H286</f>
        <v/>
      </c>
      <c r="K255" s="340" t="str">
        <f>CTR1_Local!$J286</f>
        <v/>
      </c>
      <c r="L255" s="350" t="str">
        <f>CTR1_Local!$L286</f>
        <v/>
      </c>
      <c r="M255" s="261" t="str">
        <f>IF(CTR1_Local!$V286="","",IF(CTR1_Local!$V286="Yes","confirm",""))</f>
        <v/>
      </c>
      <c r="N255" t="str">
        <f>IF(CTR1_Local!$W286="","",CTR1_Local!$W286)</f>
        <v/>
      </c>
    </row>
    <row r="256" spans="1:14" x14ac:dyDescent="0.2">
      <c r="A256" s="287" t="str">
        <f>IF(CTR1_Local!$D287="",CTR1_Local!B287,CTR1_Local!$D287)</f>
        <v/>
      </c>
      <c r="B256" s="26" t="str">
        <f>IF(A256="","",IF(RIGHT(A256,3)="NEW","Add new / another parish",CTR1_Local!$AN287))</f>
        <v/>
      </c>
      <c r="C256" s="26" t="str">
        <f t="shared" si="3"/>
        <v/>
      </c>
      <c r="D256" s="177" t="str">
        <f>IF(A256="","",IF(RIGHT(A256,3)="NEW",CTR1_Local!$E287,IF(CTR1_Local!$AO287="change",CTR1_Local!$E287,"")))</f>
        <v/>
      </c>
      <c r="E256" t="str">
        <f>IF(CTR1_Local!$F287="","",CTR1_Local!$F287)</f>
        <v/>
      </c>
      <c r="F256" s="261" t="str">
        <f>IF(CTR1_Local!$T287="","",IF(CTR1_Local!$T287="Yes","Removed",""))</f>
        <v/>
      </c>
      <c r="G256" t="str">
        <f>IF(CTR1_Local!$N287="","",IF(F256="Removed","",CTR1_Local!$N287))</f>
        <v/>
      </c>
      <c r="H256" t="str">
        <f>IF(CTR1_Local!$P287="","",IF($F256="Removed","",CTR1_Local!$P287))</f>
        <v/>
      </c>
      <c r="I256" t="str">
        <f>IF(CTR1_Local!$R287="","",IF($F256="Removed","",CTR1_Local!$R287))</f>
        <v/>
      </c>
      <c r="J256" s="160" t="str">
        <f>CTR1_Local!$H287</f>
        <v/>
      </c>
      <c r="K256" s="340" t="str">
        <f>CTR1_Local!$J287</f>
        <v/>
      </c>
      <c r="L256" s="350" t="str">
        <f>CTR1_Local!$L287</f>
        <v/>
      </c>
      <c r="M256" s="261" t="str">
        <f>IF(CTR1_Local!$V287="","",IF(CTR1_Local!$V287="Yes","confirm",""))</f>
        <v/>
      </c>
      <c r="N256" t="str">
        <f>IF(CTR1_Local!$W287="","",CTR1_Local!$W287)</f>
        <v/>
      </c>
    </row>
    <row r="257" spans="1:14" x14ac:dyDescent="0.2">
      <c r="A257" s="287" t="str">
        <f>IF(CTR1_Local!$D288="",CTR1_Local!B288,CTR1_Local!$D288)</f>
        <v/>
      </c>
      <c r="B257" s="26" t="str">
        <f>IF(A257="","",IF(RIGHT(A257,3)="NEW","Add new / another parish",CTR1_Local!$AN288))</f>
        <v/>
      </c>
      <c r="C257" s="26" t="str">
        <f t="shared" si="3"/>
        <v/>
      </c>
      <c r="D257" s="177" t="str">
        <f>IF(A257="","",IF(RIGHT(A257,3)="NEW",CTR1_Local!$E288,IF(CTR1_Local!$AO288="change",CTR1_Local!$E288,"")))</f>
        <v/>
      </c>
      <c r="E257" t="str">
        <f>IF(CTR1_Local!$F288="","",CTR1_Local!$F288)</f>
        <v/>
      </c>
      <c r="F257" s="261" t="str">
        <f>IF(CTR1_Local!$T288="","",IF(CTR1_Local!$T288="Yes","Removed",""))</f>
        <v/>
      </c>
      <c r="G257" t="str">
        <f>IF(CTR1_Local!$N288="","",IF(F257="Removed","",CTR1_Local!$N288))</f>
        <v/>
      </c>
      <c r="H257" t="str">
        <f>IF(CTR1_Local!$P288="","",IF($F257="Removed","",CTR1_Local!$P288))</f>
        <v/>
      </c>
      <c r="I257" t="str">
        <f>IF(CTR1_Local!$R288="","",IF($F257="Removed","",CTR1_Local!$R288))</f>
        <v/>
      </c>
      <c r="J257" s="160" t="str">
        <f>CTR1_Local!$H288</f>
        <v/>
      </c>
      <c r="K257" s="340" t="str">
        <f>CTR1_Local!$J288</f>
        <v/>
      </c>
      <c r="L257" s="350" t="str">
        <f>CTR1_Local!$L288</f>
        <v/>
      </c>
      <c r="M257" s="261" t="str">
        <f>IF(CTR1_Local!$V288="","",IF(CTR1_Local!$V288="Yes","confirm",""))</f>
        <v/>
      </c>
      <c r="N257" t="str">
        <f>IF(CTR1_Local!$W288="","",CTR1_Local!$W288)</f>
        <v/>
      </c>
    </row>
    <row r="258" spans="1:14" x14ac:dyDescent="0.2">
      <c r="A258" s="287" t="str">
        <f>IF(CTR1_Local!$D289="",CTR1_Local!B289,CTR1_Local!$D289)</f>
        <v/>
      </c>
      <c r="B258" s="26" t="str">
        <f>IF(A258="","",IF(RIGHT(A258,3)="NEW","Add new / another parish",CTR1_Local!$AN289))</f>
        <v/>
      </c>
      <c r="C258" s="26" t="str">
        <f t="shared" si="3"/>
        <v/>
      </c>
      <c r="D258" s="177" t="str">
        <f>IF(A258="","",IF(RIGHT(A258,3)="NEW",CTR1_Local!$E289,IF(CTR1_Local!$AO289="change",CTR1_Local!$E289,"")))</f>
        <v/>
      </c>
      <c r="E258" t="str">
        <f>IF(CTR1_Local!$F289="","",CTR1_Local!$F289)</f>
        <v/>
      </c>
      <c r="F258" s="261" t="str">
        <f>IF(CTR1_Local!$T289="","",IF(CTR1_Local!$T289="Yes","Removed",""))</f>
        <v/>
      </c>
      <c r="G258" t="str">
        <f>IF(CTR1_Local!$N289="","",IF(F258="Removed","",CTR1_Local!$N289))</f>
        <v/>
      </c>
      <c r="H258" t="str">
        <f>IF(CTR1_Local!$P289="","",IF($F258="Removed","",CTR1_Local!$P289))</f>
        <v/>
      </c>
      <c r="I258" t="str">
        <f>IF(CTR1_Local!$R289="","",IF($F258="Removed","",CTR1_Local!$R289))</f>
        <v/>
      </c>
      <c r="J258" s="160" t="str">
        <f>CTR1_Local!$H289</f>
        <v/>
      </c>
      <c r="K258" s="340" t="str">
        <f>CTR1_Local!$J289</f>
        <v/>
      </c>
      <c r="L258" s="350" t="str">
        <f>CTR1_Local!$L289</f>
        <v/>
      </c>
      <c r="M258" s="261" t="str">
        <f>IF(CTR1_Local!$V289="","",IF(CTR1_Local!$V289="Yes","confirm",""))</f>
        <v/>
      </c>
      <c r="N258" t="str">
        <f>IF(CTR1_Local!$W289="","",CTR1_Local!$W289)</f>
        <v/>
      </c>
    </row>
    <row r="259" spans="1:14" x14ac:dyDescent="0.2">
      <c r="A259" s="287" t="str">
        <f>IF(CTR1_Local!$D290="",CTR1_Local!B290,CTR1_Local!$D290)</f>
        <v/>
      </c>
      <c r="B259" s="26" t="str">
        <f>IF(A259="","",IF(RIGHT(A259,3)="NEW","Add new / another parish",CTR1_Local!$AN290))</f>
        <v/>
      </c>
      <c r="C259" s="26" t="str">
        <f t="shared" ref="C259:C322" si="4">IF(OR(B259="",D259=""),"",IF(AND(B259&lt;&gt;"",D259&lt;&gt;"",B259&lt;&gt;"Add new / another parish"),"yes",""))</f>
        <v/>
      </c>
      <c r="D259" s="177" t="str">
        <f>IF(A259="","",IF(RIGHT(A259,3)="NEW",CTR1_Local!$E290,IF(CTR1_Local!$AO290="change",CTR1_Local!$E290,"")))</f>
        <v/>
      </c>
      <c r="E259" t="str">
        <f>IF(CTR1_Local!$F290="","",CTR1_Local!$F290)</f>
        <v/>
      </c>
      <c r="F259" s="261" t="str">
        <f>IF(CTR1_Local!$T290="","",IF(CTR1_Local!$T290="Yes","Removed",""))</f>
        <v/>
      </c>
      <c r="G259" t="str">
        <f>IF(CTR1_Local!$N290="","",IF(F259="Removed","",CTR1_Local!$N290))</f>
        <v/>
      </c>
      <c r="H259" t="str">
        <f>IF(CTR1_Local!$P290="","",IF($F259="Removed","",CTR1_Local!$P290))</f>
        <v/>
      </c>
      <c r="I259" t="str">
        <f>IF(CTR1_Local!$R290="","",IF($F259="Removed","",CTR1_Local!$R290))</f>
        <v/>
      </c>
      <c r="J259" s="160" t="str">
        <f>CTR1_Local!$H290</f>
        <v/>
      </c>
      <c r="K259" s="340" t="str">
        <f>CTR1_Local!$J290</f>
        <v/>
      </c>
      <c r="L259" s="350" t="str">
        <f>CTR1_Local!$L290</f>
        <v/>
      </c>
      <c r="M259" s="261" t="str">
        <f>IF(CTR1_Local!$V290="","",IF(CTR1_Local!$V290="Yes","confirm",""))</f>
        <v/>
      </c>
      <c r="N259" t="str">
        <f>IF(CTR1_Local!$W290="","",CTR1_Local!$W290)</f>
        <v/>
      </c>
    </row>
    <row r="260" spans="1:14" x14ac:dyDescent="0.2">
      <c r="A260" s="287" t="str">
        <f>IF(CTR1_Local!$D291="",CTR1_Local!B291,CTR1_Local!$D291)</f>
        <v/>
      </c>
      <c r="B260" s="26" t="str">
        <f>IF(A260="","",IF(RIGHT(A260,3)="NEW","Add new / another parish",CTR1_Local!$AN291))</f>
        <v/>
      </c>
      <c r="C260" s="26" t="str">
        <f t="shared" si="4"/>
        <v/>
      </c>
      <c r="D260" s="177" t="str">
        <f>IF(A260="","",IF(RIGHT(A260,3)="NEW",CTR1_Local!$E291,IF(CTR1_Local!$AO291="change",CTR1_Local!$E291,"")))</f>
        <v/>
      </c>
      <c r="E260" t="str">
        <f>IF(CTR1_Local!$F291="","",CTR1_Local!$F291)</f>
        <v/>
      </c>
      <c r="F260" s="261" t="str">
        <f>IF(CTR1_Local!$T291="","",IF(CTR1_Local!$T291="Yes","Removed",""))</f>
        <v/>
      </c>
      <c r="G260" t="str">
        <f>IF(CTR1_Local!$N291="","",IF(F260="Removed","",CTR1_Local!$N291))</f>
        <v/>
      </c>
      <c r="H260" t="str">
        <f>IF(CTR1_Local!$P291="","",IF($F260="Removed","",CTR1_Local!$P291))</f>
        <v/>
      </c>
      <c r="I260" t="str">
        <f>IF(CTR1_Local!$R291="","",IF($F260="Removed","",CTR1_Local!$R291))</f>
        <v/>
      </c>
      <c r="J260" s="160" t="str">
        <f>CTR1_Local!$H291</f>
        <v/>
      </c>
      <c r="K260" s="340" t="str">
        <f>CTR1_Local!$J291</f>
        <v/>
      </c>
      <c r="L260" s="350" t="str">
        <f>CTR1_Local!$L291</f>
        <v/>
      </c>
      <c r="M260" s="261" t="str">
        <f>IF(CTR1_Local!$V291="","",IF(CTR1_Local!$V291="Yes","confirm",""))</f>
        <v/>
      </c>
      <c r="N260" t="str">
        <f>IF(CTR1_Local!$W291="","",CTR1_Local!$W291)</f>
        <v/>
      </c>
    </row>
    <row r="261" spans="1:14" x14ac:dyDescent="0.2">
      <c r="A261" s="287" t="str">
        <f>IF(CTR1_Local!$D292="",CTR1_Local!B292,CTR1_Local!$D292)</f>
        <v/>
      </c>
      <c r="B261" s="26" t="str">
        <f>IF(A261="","",IF(RIGHT(A261,3)="NEW","Add new / another parish",CTR1_Local!$AN292))</f>
        <v/>
      </c>
      <c r="C261" s="26" t="str">
        <f t="shared" si="4"/>
        <v/>
      </c>
      <c r="D261" s="177" t="str">
        <f>IF(A261="","",IF(RIGHT(A261,3)="NEW",CTR1_Local!$E292,IF(CTR1_Local!$AO292="change",CTR1_Local!$E292,"")))</f>
        <v/>
      </c>
      <c r="E261" t="str">
        <f>IF(CTR1_Local!$F292="","",CTR1_Local!$F292)</f>
        <v/>
      </c>
      <c r="F261" s="261" t="str">
        <f>IF(CTR1_Local!$T292="","",IF(CTR1_Local!$T292="Yes","Removed",""))</f>
        <v/>
      </c>
      <c r="G261" t="str">
        <f>IF(CTR1_Local!$N292="","",IF(F261="Removed","",CTR1_Local!$N292))</f>
        <v/>
      </c>
      <c r="H261" t="str">
        <f>IF(CTR1_Local!$P292="","",IF($F261="Removed","",CTR1_Local!$P292))</f>
        <v/>
      </c>
      <c r="I261" t="str">
        <f>IF(CTR1_Local!$R292="","",IF($F261="Removed","",CTR1_Local!$R292))</f>
        <v/>
      </c>
      <c r="J261" s="160" t="str">
        <f>CTR1_Local!$H292</f>
        <v/>
      </c>
      <c r="K261" s="340" t="str">
        <f>CTR1_Local!$J292</f>
        <v/>
      </c>
      <c r="L261" s="350" t="str">
        <f>CTR1_Local!$L292</f>
        <v/>
      </c>
      <c r="M261" s="261" t="str">
        <f>IF(CTR1_Local!$V292="","",IF(CTR1_Local!$V292="Yes","confirm",""))</f>
        <v/>
      </c>
      <c r="N261" t="str">
        <f>IF(CTR1_Local!$W292="","",CTR1_Local!$W292)</f>
        <v/>
      </c>
    </row>
    <row r="262" spans="1:14" x14ac:dyDescent="0.2">
      <c r="A262" s="287" t="str">
        <f>IF(CTR1_Local!$D293="",CTR1_Local!B293,CTR1_Local!$D293)</f>
        <v/>
      </c>
      <c r="B262" s="26" t="str">
        <f>IF(A262="","",IF(RIGHT(A262,3)="NEW","Add new / another parish",CTR1_Local!$AN293))</f>
        <v/>
      </c>
      <c r="C262" s="26" t="str">
        <f t="shared" si="4"/>
        <v/>
      </c>
      <c r="D262" s="177" t="str">
        <f>IF(A262="","",IF(RIGHT(A262,3)="NEW",CTR1_Local!$E293,IF(CTR1_Local!$AO293="change",CTR1_Local!$E293,"")))</f>
        <v/>
      </c>
      <c r="E262" t="str">
        <f>IF(CTR1_Local!$F293="","",CTR1_Local!$F293)</f>
        <v/>
      </c>
      <c r="F262" s="261" t="str">
        <f>IF(CTR1_Local!$T293="","",IF(CTR1_Local!$T293="Yes","Removed",""))</f>
        <v/>
      </c>
      <c r="G262" t="str">
        <f>IF(CTR1_Local!$N293="","",IF(F262="Removed","",CTR1_Local!$N293))</f>
        <v/>
      </c>
      <c r="H262" t="str">
        <f>IF(CTR1_Local!$P293="","",IF($F262="Removed","",CTR1_Local!$P293))</f>
        <v/>
      </c>
      <c r="I262" t="str">
        <f>IF(CTR1_Local!$R293="","",IF($F262="Removed","",CTR1_Local!$R293))</f>
        <v/>
      </c>
      <c r="J262" s="160" t="str">
        <f>CTR1_Local!$H293</f>
        <v/>
      </c>
      <c r="K262" s="340" t="str">
        <f>CTR1_Local!$J293</f>
        <v/>
      </c>
      <c r="L262" s="350" t="str">
        <f>CTR1_Local!$L293</f>
        <v/>
      </c>
      <c r="M262" s="261" t="str">
        <f>IF(CTR1_Local!$V293="","",IF(CTR1_Local!$V293="Yes","confirm",""))</f>
        <v/>
      </c>
      <c r="N262" t="str">
        <f>IF(CTR1_Local!$W293="","",CTR1_Local!$W293)</f>
        <v/>
      </c>
    </row>
    <row r="263" spans="1:14" x14ac:dyDescent="0.2">
      <c r="A263" s="287" t="str">
        <f>IF(CTR1_Local!$D294="",CTR1_Local!B294,CTR1_Local!$D294)</f>
        <v/>
      </c>
      <c r="B263" s="26" t="str">
        <f>IF(A263="","",IF(RIGHT(A263,3)="NEW","Add new / another parish",CTR1_Local!$AN294))</f>
        <v/>
      </c>
      <c r="C263" s="26" t="str">
        <f t="shared" si="4"/>
        <v/>
      </c>
      <c r="D263" s="177" t="str">
        <f>IF(A263="","",IF(RIGHT(A263,3)="NEW",CTR1_Local!$E294,IF(CTR1_Local!$AO294="change",CTR1_Local!$E294,"")))</f>
        <v/>
      </c>
      <c r="E263" t="str">
        <f>IF(CTR1_Local!$F294="","",CTR1_Local!$F294)</f>
        <v/>
      </c>
      <c r="F263" s="261" t="str">
        <f>IF(CTR1_Local!$T294="","",IF(CTR1_Local!$T294="Yes","Removed",""))</f>
        <v/>
      </c>
      <c r="G263" t="str">
        <f>IF(CTR1_Local!$N294="","",IF(F263="Removed","",CTR1_Local!$N294))</f>
        <v/>
      </c>
      <c r="H263" t="str">
        <f>IF(CTR1_Local!$P294="","",IF($F263="Removed","",CTR1_Local!$P294))</f>
        <v/>
      </c>
      <c r="I263" t="str">
        <f>IF(CTR1_Local!$R294="","",IF($F263="Removed","",CTR1_Local!$R294))</f>
        <v/>
      </c>
      <c r="J263" s="160" t="str">
        <f>CTR1_Local!$H294</f>
        <v/>
      </c>
      <c r="K263" s="340" t="str">
        <f>CTR1_Local!$J294</f>
        <v/>
      </c>
      <c r="L263" s="350" t="str">
        <f>CTR1_Local!$L294</f>
        <v/>
      </c>
      <c r="M263" s="261" t="str">
        <f>IF(CTR1_Local!$V294="","",IF(CTR1_Local!$V294="Yes","confirm",""))</f>
        <v/>
      </c>
      <c r="N263" t="str">
        <f>IF(CTR1_Local!$W294="","",CTR1_Local!$W294)</f>
        <v/>
      </c>
    </row>
    <row r="264" spans="1:14" x14ac:dyDescent="0.2">
      <c r="A264" s="287" t="str">
        <f>IF(CTR1_Local!$D295="",CTR1_Local!B295,CTR1_Local!$D295)</f>
        <v/>
      </c>
      <c r="B264" s="26" t="str">
        <f>IF(A264="","",IF(RIGHT(A264,3)="NEW","Add new / another parish",CTR1_Local!$AN295))</f>
        <v/>
      </c>
      <c r="C264" s="26" t="str">
        <f t="shared" si="4"/>
        <v/>
      </c>
      <c r="D264" s="177" t="str">
        <f>IF(A264="","",IF(RIGHT(A264,3)="NEW",CTR1_Local!$E295,IF(CTR1_Local!$AO295="change",CTR1_Local!$E295,"")))</f>
        <v/>
      </c>
      <c r="E264" t="str">
        <f>IF(CTR1_Local!$F295="","",CTR1_Local!$F295)</f>
        <v/>
      </c>
      <c r="F264" s="261" t="str">
        <f>IF(CTR1_Local!$T295="","",IF(CTR1_Local!$T295="Yes","Removed",""))</f>
        <v/>
      </c>
      <c r="G264" t="str">
        <f>IF(CTR1_Local!$N295="","",IF(F264="Removed","",CTR1_Local!$N295))</f>
        <v/>
      </c>
      <c r="H264" t="str">
        <f>IF(CTR1_Local!$P295="","",IF($F264="Removed","",CTR1_Local!$P295))</f>
        <v/>
      </c>
      <c r="I264" t="str">
        <f>IF(CTR1_Local!$R295="","",IF($F264="Removed","",CTR1_Local!$R295))</f>
        <v/>
      </c>
      <c r="J264" s="160" t="str">
        <f>CTR1_Local!$H295</f>
        <v/>
      </c>
      <c r="K264" s="340" t="str">
        <f>CTR1_Local!$J295</f>
        <v/>
      </c>
      <c r="L264" s="350" t="str">
        <f>CTR1_Local!$L295</f>
        <v/>
      </c>
      <c r="M264" s="261" t="str">
        <f>IF(CTR1_Local!$V295="","",IF(CTR1_Local!$V295="Yes","confirm",""))</f>
        <v/>
      </c>
      <c r="N264" t="str">
        <f>IF(CTR1_Local!$W295="","",CTR1_Local!$W295)</f>
        <v/>
      </c>
    </row>
    <row r="265" spans="1:14" x14ac:dyDescent="0.2">
      <c r="A265" s="287" t="str">
        <f>IF(CTR1_Local!$D296="",CTR1_Local!B296,CTR1_Local!$D296)</f>
        <v/>
      </c>
      <c r="B265" s="26" t="str">
        <f>IF(A265="","",IF(RIGHT(A265,3)="NEW","Add new / another parish",CTR1_Local!$AN296))</f>
        <v/>
      </c>
      <c r="C265" s="26" t="str">
        <f t="shared" si="4"/>
        <v/>
      </c>
      <c r="D265" s="177" t="str">
        <f>IF(A265="","",IF(RIGHT(A265,3)="NEW",CTR1_Local!$E296,IF(CTR1_Local!$AO296="change",CTR1_Local!$E296,"")))</f>
        <v/>
      </c>
      <c r="E265" t="str">
        <f>IF(CTR1_Local!$F296="","",CTR1_Local!$F296)</f>
        <v/>
      </c>
      <c r="F265" s="261" t="str">
        <f>IF(CTR1_Local!$T296="","",IF(CTR1_Local!$T296="Yes","Removed",""))</f>
        <v/>
      </c>
      <c r="G265" t="str">
        <f>IF(CTR1_Local!$N296="","",IF(F265="Removed","",CTR1_Local!$N296))</f>
        <v/>
      </c>
      <c r="H265" t="str">
        <f>IF(CTR1_Local!$P296="","",IF($F265="Removed","",CTR1_Local!$P296))</f>
        <v/>
      </c>
      <c r="I265" t="str">
        <f>IF(CTR1_Local!$R296="","",IF($F265="Removed","",CTR1_Local!$R296))</f>
        <v/>
      </c>
      <c r="J265" s="160" t="str">
        <f>CTR1_Local!$H296</f>
        <v/>
      </c>
      <c r="K265" s="340" t="str">
        <f>CTR1_Local!$J296</f>
        <v/>
      </c>
      <c r="L265" s="350" t="str">
        <f>CTR1_Local!$L296</f>
        <v/>
      </c>
      <c r="M265" s="261" t="str">
        <f>IF(CTR1_Local!$V296="","",IF(CTR1_Local!$V296="Yes","confirm",""))</f>
        <v/>
      </c>
      <c r="N265" t="str">
        <f>IF(CTR1_Local!$W296="","",CTR1_Local!$W296)</f>
        <v/>
      </c>
    </row>
    <row r="266" spans="1:14" x14ac:dyDescent="0.2">
      <c r="A266" s="287" t="str">
        <f>IF(CTR1_Local!$D297="",CTR1_Local!B297,CTR1_Local!$D297)</f>
        <v/>
      </c>
      <c r="B266" s="26" t="str">
        <f>IF(A266="","",IF(RIGHT(A266,3)="NEW","Add new / another parish",CTR1_Local!$AN297))</f>
        <v/>
      </c>
      <c r="C266" s="26" t="str">
        <f t="shared" si="4"/>
        <v/>
      </c>
      <c r="D266" s="177" t="str">
        <f>IF(A266="","",IF(RIGHT(A266,3)="NEW",CTR1_Local!$E297,IF(CTR1_Local!$AO297="change",CTR1_Local!$E297,"")))</f>
        <v/>
      </c>
      <c r="E266" t="str">
        <f>IF(CTR1_Local!$F297="","",CTR1_Local!$F297)</f>
        <v/>
      </c>
      <c r="F266" s="261" t="str">
        <f>IF(CTR1_Local!$T297="","",IF(CTR1_Local!$T297="Yes","Removed",""))</f>
        <v/>
      </c>
      <c r="G266" t="str">
        <f>IF(CTR1_Local!$N297="","",IF(F266="Removed","",CTR1_Local!$N297))</f>
        <v/>
      </c>
      <c r="H266" t="str">
        <f>IF(CTR1_Local!$P297="","",IF($F266="Removed","",CTR1_Local!$P297))</f>
        <v/>
      </c>
      <c r="I266" t="str">
        <f>IF(CTR1_Local!$R297="","",IF($F266="Removed","",CTR1_Local!$R297))</f>
        <v/>
      </c>
      <c r="J266" s="160" t="str">
        <f>CTR1_Local!$H297</f>
        <v/>
      </c>
      <c r="K266" s="340" t="str">
        <f>CTR1_Local!$J297</f>
        <v/>
      </c>
      <c r="L266" s="350" t="str">
        <f>CTR1_Local!$L297</f>
        <v/>
      </c>
      <c r="M266" s="261" t="str">
        <f>IF(CTR1_Local!$V297="","",IF(CTR1_Local!$V297="Yes","confirm",""))</f>
        <v/>
      </c>
      <c r="N266" t="str">
        <f>IF(CTR1_Local!$W297="","",CTR1_Local!$W297)</f>
        <v/>
      </c>
    </row>
    <row r="267" spans="1:14" x14ac:dyDescent="0.2">
      <c r="A267" s="287" t="str">
        <f>IF(CTR1_Local!$D298="",CTR1_Local!B298,CTR1_Local!$D298)</f>
        <v/>
      </c>
      <c r="B267" s="26" t="str">
        <f>IF(A267="","",IF(RIGHT(A267,3)="NEW","Add new / another parish",CTR1_Local!$AN298))</f>
        <v/>
      </c>
      <c r="C267" s="26" t="str">
        <f t="shared" si="4"/>
        <v/>
      </c>
      <c r="D267" s="177" t="str">
        <f>IF(A267="","",IF(RIGHT(A267,3)="NEW",CTR1_Local!$E298,IF(CTR1_Local!$AO298="change",CTR1_Local!$E298,"")))</f>
        <v/>
      </c>
      <c r="E267" t="str">
        <f>IF(CTR1_Local!$F298="","",CTR1_Local!$F298)</f>
        <v/>
      </c>
      <c r="F267" s="261" t="str">
        <f>IF(CTR1_Local!$T298="","",IF(CTR1_Local!$T298="Yes","Removed",""))</f>
        <v/>
      </c>
      <c r="G267" t="str">
        <f>IF(CTR1_Local!$N298="","",IF(F267="Removed","",CTR1_Local!$N298))</f>
        <v/>
      </c>
      <c r="H267" t="str">
        <f>IF(CTR1_Local!$P298="","",IF($F267="Removed","",CTR1_Local!$P298))</f>
        <v/>
      </c>
      <c r="I267" t="str">
        <f>IF(CTR1_Local!$R298="","",IF($F267="Removed","",CTR1_Local!$R298))</f>
        <v/>
      </c>
      <c r="J267" s="160" t="str">
        <f>CTR1_Local!$H298</f>
        <v/>
      </c>
      <c r="K267" s="340" t="str">
        <f>CTR1_Local!$J298</f>
        <v/>
      </c>
      <c r="L267" s="350" t="str">
        <f>CTR1_Local!$L298</f>
        <v/>
      </c>
      <c r="M267" s="261" t="str">
        <f>IF(CTR1_Local!$V298="","",IF(CTR1_Local!$V298="Yes","confirm",""))</f>
        <v/>
      </c>
      <c r="N267" t="str">
        <f>IF(CTR1_Local!$W298="","",CTR1_Local!$W298)</f>
        <v/>
      </c>
    </row>
    <row r="268" spans="1:14" x14ac:dyDescent="0.2">
      <c r="A268" s="287" t="str">
        <f>IF(CTR1_Local!$D299="",CTR1_Local!B299,CTR1_Local!$D299)</f>
        <v/>
      </c>
      <c r="B268" s="26" t="str">
        <f>IF(A268="","",IF(RIGHT(A268,3)="NEW","Add new / another parish",CTR1_Local!$AN299))</f>
        <v/>
      </c>
      <c r="C268" s="26" t="str">
        <f t="shared" si="4"/>
        <v/>
      </c>
      <c r="D268" s="177" t="str">
        <f>IF(A268="","",IF(RIGHT(A268,3)="NEW",CTR1_Local!$E299,IF(CTR1_Local!$AO299="change",CTR1_Local!$E299,"")))</f>
        <v/>
      </c>
      <c r="E268" t="str">
        <f>IF(CTR1_Local!$F299="","",CTR1_Local!$F299)</f>
        <v/>
      </c>
      <c r="F268" s="261" t="str">
        <f>IF(CTR1_Local!$T299="","",IF(CTR1_Local!$T299="Yes","Removed",""))</f>
        <v/>
      </c>
      <c r="G268" t="str">
        <f>IF(CTR1_Local!$N299="","",IF(F268="Removed","",CTR1_Local!$N299))</f>
        <v/>
      </c>
      <c r="H268" t="str">
        <f>IF(CTR1_Local!$P299="","",IF($F268="Removed","",CTR1_Local!$P299))</f>
        <v/>
      </c>
      <c r="I268" t="str">
        <f>IF(CTR1_Local!$R299="","",IF($F268="Removed","",CTR1_Local!$R299))</f>
        <v/>
      </c>
      <c r="J268" s="160" t="str">
        <f>CTR1_Local!$H299</f>
        <v/>
      </c>
      <c r="K268" s="340" t="str">
        <f>CTR1_Local!$J299</f>
        <v/>
      </c>
      <c r="L268" s="350" t="str">
        <f>CTR1_Local!$L299</f>
        <v/>
      </c>
      <c r="M268" s="261" t="str">
        <f>IF(CTR1_Local!$V299="","",IF(CTR1_Local!$V299="Yes","confirm",""))</f>
        <v/>
      </c>
      <c r="N268" t="str">
        <f>IF(CTR1_Local!$W299="","",CTR1_Local!$W299)</f>
        <v/>
      </c>
    </row>
    <row r="269" spans="1:14" x14ac:dyDescent="0.2">
      <c r="A269" s="287" t="str">
        <f>IF(CTR1_Local!$D300="",CTR1_Local!B300,CTR1_Local!$D300)</f>
        <v/>
      </c>
      <c r="B269" s="26" t="str">
        <f>IF(A269="","",IF(RIGHT(A269,3)="NEW","Add new / another parish",CTR1_Local!$AN300))</f>
        <v/>
      </c>
      <c r="C269" s="26" t="str">
        <f t="shared" si="4"/>
        <v/>
      </c>
      <c r="D269" s="177" t="str">
        <f>IF(A269="","",IF(RIGHT(A269,3)="NEW",CTR1_Local!$E300,IF(CTR1_Local!$AO300="change",CTR1_Local!$E300,"")))</f>
        <v/>
      </c>
      <c r="E269" t="str">
        <f>IF(CTR1_Local!$F300="","",CTR1_Local!$F300)</f>
        <v/>
      </c>
      <c r="F269" s="261" t="str">
        <f>IF(CTR1_Local!$T300="","",IF(CTR1_Local!$T300="Yes","Removed",""))</f>
        <v/>
      </c>
      <c r="G269" t="str">
        <f>IF(CTR1_Local!$N300="","",IF(F269="Removed","",CTR1_Local!$N300))</f>
        <v/>
      </c>
      <c r="H269" t="str">
        <f>IF(CTR1_Local!$P300="","",IF($F269="Removed","",CTR1_Local!$P300))</f>
        <v/>
      </c>
      <c r="I269" t="str">
        <f>IF(CTR1_Local!$R300="","",IF($F269="Removed","",CTR1_Local!$R300))</f>
        <v/>
      </c>
      <c r="J269" s="160" t="str">
        <f>CTR1_Local!$H300</f>
        <v/>
      </c>
      <c r="K269" s="340" t="str">
        <f>CTR1_Local!$J300</f>
        <v/>
      </c>
      <c r="L269" s="350" t="str">
        <f>CTR1_Local!$L300</f>
        <v/>
      </c>
      <c r="M269" s="261" t="str">
        <f>IF(CTR1_Local!$V300="","",IF(CTR1_Local!$V300="Yes","confirm",""))</f>
        <v/>
      </c>
      <c r="N269" t="str">
        <f>IF(CTR1_Local!$W300="","",CTR1_Local!$W300)</f>
        <v/>
      </c>
    </row>
    <row r="270" spans="1:14" x14ac:dyDescent="0.2">
      <c r="A270" s="287" t="str">
        <f>IF(CTR1_Local!$D301="",CTR1_Local!B301,CTR1_Local!$D301)</f>
        <v/>
      </c>
      <c r="B270" s="26" t="str">
        <f>IF(A270="","",IF(RIGHT(A270,3)="NEW","Add new / another parish",CTR1_Local!$AN301))</f>
        <v/>
      </c>
      <c r="C270" s="26" t="str">
        <f t="shared" si="4"/>
        <v/>
      </c>
      <c r="D270" s="177" t="str">
        <f>IF(A270="","",IF(RIGHT(A270,3)="NEW",CTR1_Local!$E301,IF(CTR1_Local!$AO301="change",CTR1_Local!$E301,"")))</f>
        <v/>
      </c>
      <c r="E270" t="str">
        <f>IF(CTR1_Local!$F301="","",CTR1_Local!$F301)</f>
        <v/>
      </c>
      <c r="F270" s="261" t="str">
        <f>IF(CTR1_Local!$T301="","",IF(CTR1_Local!$T301="Yes","Removed",""))</f>
        <v/>
      </c>
      <c r="G270" t="str">
        <f>IF(CTR1_Local!$N301="","",IF(F270="Removed","",CTR1_Local!$N301))</f>
        <v/>
      </c>
      <c r="H270" t="str">
        <f>IF(CTR1_Local!$P301="","",IF($F270="Removed","",CTR1_Local!$P301))</f>
        <v/>
      </c>
      <c r="I270" t="str">
        <f>IF(CTR1_Local!$R301="","",IF($F270="Removed","",CTR1_Local!$R301))</f>
        <v/>
      </c>
      <c r="J270" s="160" t="str">
        <f>CTR1_Local!$H301</f>
        <v/>
      </c>
      <c r="K270" s="340" t="str">
        <f>CTR1_Local!$J301</f>
        <v/>
      </c>
      <c r="L270" s="350" t="str">
        <f>CTR1_Local!$L301</f>
        <v/>
      </c>
      <c r="M270" s="261" t="str">
        <f>IF(CTR1_Local!$V301="","",IF(CTR1_Local!$V301="Yes","confirm",""))</f>
        <v/>
      </c>
      <c r="N270" t="str">
        <f>IF(CTR1_Local!$W301="","",CTR1_Local!$W301)</f>
        <v/>
      </c>
    </row>
    <row r="271" spans="1:14" x14ac:dyDescent="0.2">
      <c r="A271" s="287" t="str">
        <f>IF(CTR1_Local!$D302="",CTR1_Local!B302,CTR1_Local!$D302)</f>
        <v/>
      </c>
      <c r="B271" s="26" t="str">
        <f>IF(A271="","",IF(RIGHT(A271,3)="NEW","Add new / another parish",CTR1_Local!$AN302))</f>
        <v/>
      </c>
      <c r="C271" s="26" t="str">
        <f t="shared" si="4"/>
        <v/>
      </c>
      <c r="D271" s="177" t="str">
        <f>IF(A271="","",IF(RIGHT(A271,3)="NEW",CTR1_Local!$E302,IF(CTR1_Local!$AO302="change",CTR1_Local!$E302,"")))</f>
        <v/>
      </c>
      <c r="E271" t="str">
        <f>IF(CTR1_Local!$F302="","",CTR1_Local!$F302)</f>
        <v/>
      </c>
      <c r="F271" s="261" t="str">
        <f>IF(CTR1_Local!$T302="","",IF(CTR1_Local!$T302="Yes","Removed",""))</f>
        <v/>
      </c>
      <c r="G271" t="str">
        <f>IF(CTR1_Local!$N302="","",IF(F271="Removed","",CTR1_Local!$N302))</f>
        <v/>
      </c>
      <c r="H271" t="str">
        <f>IF(CTR1_Local!$P302="","",IF($F271="Removed","",CTR1_Local!$P302))</f>
        <v/>
      </c>
      <c r="I271" t="str">
        <f>IF(CTR1_Local!$R302="","",IF($F271="Removed","",CTR1_Local!$R302))</f>
        <v/>
      </c>
      <c r="J271" s="160" t="str">
        <f>CTR1_Local!$H302</f>
        <v/>
      </c>
      <c r="K271" s="340" t="str">
        <f>CTR1_Local!$J302</f>
        <v/>
      </c>
      <c r="L271" s="350" t="str">
        <f>CTR1_Local!$L302</f>
        <v/>
      </c>
      <c r="M271" s="261" t="str">
        <f>IF(CTR1_Local!$V302="","",IF(CTR1_Local!$V302="Yes","confirm",""))</f>
        <v/>
      </c>
      <c r="N271" t="str">
        <f>IF(CTR1_Local!$W302="","",CTR1_Local!$W302)</f>
        <v/>
      </c>
    </row>
    <row r="272" spans="1:14" x14ac:dyDescent="0.2">
      <c r="A272" s="287" t="str">
        <f>IF(CTR1_Local!$D303="",CTR1_Local!B303,CTR1_Local!$D303)</f>
        <v/>
      </c>
      <c r="B272" s="26" t="str">
        <f>IF(A272="","",IF(RIGHT(A272,3)="NEW","Add new / another parish",CTR1_Local!$AN303))</f>
        <v/>
      </c>
      <c r="C272" s="26" t="str">
        <f t="shared" si="4"/>
        <v/>
      </c>
      <c r="D272" s="177" t="str">
        <f>IF(A272="","",IF(RIGHT(A272,3)="NEW",CTR1_Local!$E303,IF(CTR1_Local!$AO303="change",CTR1_Local!$E303,"")))</f>
        <v/>
      </c>
      <c r="E272" t="str">
        <f>IF(CTR1_Local!$F303="","",CTR1_Local!$F303)</f>
        <v/>
      </c>
      <c r="F272" s="261" t="str">
        <f>IF(CTR1_Local!$T303="","",IF(CTR1_Local!$T303="Yes","Removed",""))</f>
        <v/>
      </c>
      <c r="G272" t="str">
        <f>IF(CTR1_Local!$N303="","",IF(F272="Removed","",CTR1_Local!$N303))</f>
        <v/>
      </c>
      <c r="H272" t="str">
        <f>IF(CTR1_Local!$P303="","",IF($F272="Removed","",CTR1_Local!$P303))</f>
        <v/>
      </c>
      <c r="I272" t="str">
        <f>IF(CTR1_Local!$R303="","",IF($F272="Removed","",CTR1_Local!$R303))</f>
        <v/>
      </c>
      <c r="J272" s="160" t="str">
        <f>CTR1_Local!$H303</f>
        <v/>
      </c>
      <c r="K272" s="340" t="str">
        <f>CTR1_Local!$J303</f>
        <v/>
      </c>
      <c r="L272" s="350" t="str">
        <f>CTR1_Local!$L303</f>
        <v/>
      </c>
      <c r="M272" s="261" t="str">
        <f>IF(CTR1_Local!$V303="","",IF(CTR1_Local!$V303="Yes","confirm",""))</f>
        <v/>
      </c>
      <c r="N272" t="str">
        <f>IF(CTR1_Local!$W303="","",CTR1_Local!$W303)</f>
        <v/>
      </c>
    </row>
    <row r="273" spans="1:14" x14ac:dyDescent="0.2">
      <c r="A273" s="287" t="str">
        <f>IF(CTR1_Local!$D304="",CTR1_Local!B304,CTR1_Local!$D304)</f>
        <v/>
      </c>
      <c r="B273" s="26" t="str">
        <f>IF(A273="","",IF(RIGHT(A273,3)="NEW","Add new / another parish",CTR1_Local!$AN304))</f>
        <v/>
      </c>
      <c r="C273" s="26" t="str">
        <f t="shared" si="4"/>
        <v/>
      </c>
      <c r="D273" s="177" t="str">
        <f>IF(A273="","",IF(RIGHT(A273,3)="NEW",CTR1_Local!$E304,IF(CTR1_Local!$AO304="change",CTR1_Local!$E304,"")))</f>
        <v/>
      </c>
      <c r="E273" t="str">
        <f>IF(CTR1_Local!$F304="","",CTR1_Local!$F304)</f>
        <v/>
      </c>
      <c r="F273" s="261" t="str">
        <f>IF(CTR1_Local!$T304="","",IF(CTR1_Local!$T304="Yes","Removed",""))</f>
        <v/>
      </c>
      <c r="G273" t="str">
        <f>IF(CTR1_Local!$N304="","",IF(F273="Removed","",CTR1_Local!$N304))</f>
        <v/>
      </c>
      <c r="H273" t="str">
        <f>IF(CTR1_Local!$P304="","",IF($F273="Removed","",CTR1_Local!$P304))</f>
        <v/>
      </c>
      <c r="I273" t="str">
        <f>IF(CTR1_Local!$R304="","",IF($F273="Removed","",CTR1_Local!$R304))</f>
        <v/>
      </c>
      <c r="J273" s="160" t="str">
        <f>CTR1_Local!$H304</f>
        <v/>
      </c>
      <c r="K273" s="340" t="str">
        <f>CTR1_Local!$J304</f>
        <v/>
      </c>
      <c r="L273" s="350" t="str">
        <f>CTR1_Local!$L304</f>
        <v/>
      </c>
      <c r="M273" s="261" t="str">
        <f>IF(CTR1_Local!$V304="","",IF(CTR1_Local!$V304="Yes","confirm",""))</f>
        <v/>
      </c>
      <c r="N273" t="str">
        <f>IF(CTR1_Local!$W304="","",CTR1_Local!$W304)</f>
        <v/>
      </c>
    </row>
    <row r="274" spans="1:14" x14ac:dyDescent="0.2">
      <c r="A274" s="287" t="str">
        <f>IF(CTR1_Local!$D305="",CTR1_Local!B305,CTR1_Local!$D305)</f>
        <v/>
      </c>
      <c r="B274" s="26" t="str">
        <f>IF(A274="","",IF(RIGHT(A274,3)="NEW","Add new / another parish",CTR1_Local!$AN305))</f>
        <v/>
      </c>
      <c r="C274" s="26" t="str">
        <f t="shared" si="4"/>
        <v/>
      </c>
      <c r="D274" s="177" t="str">
        <f>IF(A274="","",IF(RIGHT(A274,3)="NEW",CTR1_Local!$E305,IF(CTR1_Local!$AO305="change",CTR1_Local!$E305,"")))</f>
        <v/>
      </c>
      <c r="E274" t="str">
        <f>IF(CTR1_Local!$F305="","",CTR1_Local!$F305)</f>
        <v/>
      </c>
      <c r="F274" s="261" t="str">
        <f>IF(CTR1_Local!$T305="","",IF(CTR1_Local!$T305="Yes","Removed",""))</f>
        <v/>
      </c>
      <c r="G274" t="str">
        <f>IF(CTR1_Local!$N305="","",IF(F274="Removed","",CTR1_Local!$N305))</f>
        <v/>
      </c>
      <c r="H274" t="str">
        <f>IF(CTR1_Local!$P305="","",IF($F274="Removed","",CTR1_Local!$P305))</f>
        <v/>
      </c>
      <c r="I274" t="str">
        <f>IF(CTR1_Local!$R305="","",IF($F274="Removed","",CTR1_Local!$R305))</f>
        <v/>
      </c>
      <c r="J274" s="160" t="str">
        <f>CTR1_Local!$H305</f>
        <v/>
      </c>
      <c r="K274" s="340" t="str">
        <f>CTR1_Local!$J305</f>
        <v/>
      </c>
      <c r="L274" s="350" t="str">
        <f>CTR1_Local!$L305</f>
        <v/>
      </c>
      <c r="M274" s="261" t="str">
        <f>IF(CTR1_Local!$V305="","",IF(CTR1_Local!$V305="Yes","confirm",""))</f>
        <v/>
      </c>
      <c r="N274" t="str">
        <f>IF(CTR1_Local!$W305="","",CTR1_Local!$W305)</f>
        <v/>
      </c>
    </row>
    <row r="275" spans="1:14" x14ac:dyDescent="0.2">
      <c r="A275" s="287" t="str">
        <f>IF(CTR1_Local!$D306="",CTR1_Local!B306,CTR1_Local!$D306)</f>
        <v/>
      </c>
      <c r="B275" s="26" t="str">
        <f>IF(A275="","",IF(RIGHT(A275,3)="NEW","Add new / another parish",CTR1_Local!$AN306))</f>
        <v/>
      </c>
      <c r="C275" s="26" t="str">
        <f t="shared" si="4"/>
        <v/>
      </c>
      <c r="D275" s="177" t="str">
        <f>IF(A275="","",IF(RIGHT(A275,3)="NEW",CTR1_Local!$E306,IF(CTR1_Local!$AO306="change",CTR1_Local!$E306,"")))</f>
        <v/>
      </c>
      <c r="E275" t="str">
        <f>IF(CTR1_Local!$F306="","",CTR1_Local!$F306)</f>
        <v/>
      </c>
      <c r="F275" s="261" t="str">
        <f>IF(CTR1_Local!$T306="","",IF(CTR1_Local!$T306="Yes","Removed",""))</f>
        <v/>
      </c>
      <c r="G275" t="str">
        <f>IF(CTR1_Local!$N306="","",IF(F275="Removed","",CTR1_Local!$N306))</f>
        <v/>
      </c>
      <c r="H275" t="str">
        <f>IF(CTR1_Local!$P306="","",IF($F275="Removed","",CTR1_Local!$P306))</f>
        <v/>
      </c>
      <c r="I275" t="str">
        <f>IF(CTR1_Local!$R306="","",IF($F275="Removed","",CTR1_Local!$R306))</f>
        <v/>
      </c>
      <c r="J275" s="160" t="str">
        <f>CTR1_Local!$H306</f>
        <v/>
      </c>
      <c r="K275" s="340" t="str">
        <f>CTR1_Local!$J306</f>
        <v/>
      </c>
      <c r="L275" s="350" t="str">
        <f>CTR1_Local!$L306</f>
        <v/>
      </c>
      <c r="M275" s="261" t="str">
        <f>IF(CTR1_Local!$V306="","",IF(CTR1_Local!$V306="Yes","confirm",""))</f>
        <v/>
      </c>
      <c r="N275" t="str">
        <f>IF(CTR1_Local!$W306="","",CTR1_Local!$W306)</f>
        <v/>
      </c>
    </row>
    <row r="276" spans="1:14" x14ac:dyDescent="0.2">
      <c r="A276" s="287" t="str">
        <f>IF(CTR1_Local!$D307="",CTR1_Local!B307,CTR1_Local!$D307)</f>
        <v/>
      </c>
      <c r="B276" s="26" t="str">
        <f>IF(A276="","",IF(RIGHT(A276,3)="NEW","Add new / another parish",CTR1_Local!$AN307))</f>
        <v/>
      </c>
      <c r="C276" s="26" t="str">
        <f t="shared" si="4"/>
        <v/>
      </c>
      <c r="D276" s="177" t="str">
        <f>IF(A276="","",IF(RIGHT(A276,3)="NEW",CTR1_Local!$E307,IF(CTR1_Local!$AO307="change",CTR1_Local!$E307,"")))</f>
        <v/>
      </c>
      <c r="E276" t="str">
        <f>IF(CTR1_Local!$F307="","",CTR1_Local!$F307)</f>
        <v/>
      </c>
      <c r="F276" s="261" t="str">
        <f>IF(CTR1_Local!$T307="","",IF(CTR1_Local!$T307="Yes","Removed",""))</f>
        <v/>
      </c>
      <c r="G276" t="str">
        <f>IF(CTR1_Local!$N307="","",IF(F276="Removed","",CTR1_Local!$N307))</f>
        <v/>
      </c>
      <c r="H276" t="str">
        <f>IF(CTR1_Local!$P307="","",IF($F276="Removed","",CTR1_Local!$P307))</f>
        <v/>
      </c>
      <c r="I276" t="str">
        <f>IF(CTR1_Local!$R307="","",IF($F276="Removed","",CTR1_Local!$R307))</f>
        <v/>
      </c>
      <c r="J276" s="160" t="str">
        <f>CTR1_Local!$H307</f>
        <v/>
      </c>
      <c r="K276" s="340" t="str">
        <f>CTR1_Local!$J307</f>
        <v/>
      </c>
      <c r="L276" s="350" t="str">
        <f>CTR1_Local!$L307</f>
        <v/>
      </c>
      <c r="M276" s="261" t="str">
        <f>IF(CTR1_Local!$V307="","",IF(CTR1_Local!$V307="Yes","confirm",""))</f>
        <v/>
      </c>
      <c r="N276" t="str">
        <f>IF(CTR1_Local!$W307="","",CTR1_Local!$W307)</f>
        <v/>
      </c>
    </row>
    <row r="277" spans="1:14" x14ac:dyDescent="0.2">
      <c r="A277" s="287" t="str">
        <f>IF(CTR1_Local!$D308="",CTR1_Local!B308,CTR1_Local!$D308)</f>
        <v/>
      </c>
      <c r="B277" s="26" t="str">
        <f>IF(A277="","",IF(RIGHT(A277,3)="NEW","Add new / another parish",CTR1_Local!$AN308))</f>
        <v/>
      </c>
      <c r="C277" s="26" t="str">
        <f t="shared" si="4"/>
        <v/>
      </c>
      <c r="D277" s="177" t="str">
        <f>IF(A277="","",IF(RIGHT(A277,3)="NEW",CTR1_Local!$E308,IF(CTR1_Local!$AO308="change",CTR1_Local!$E308,"")))</f>
        <v/>
      </c>
      <c r="E277" t="str">
        <f>IF(CTR1_Local!$F308="","",CTR1_Local!$F308)</f>
        <v/>
      </c>
      <c r="F277" s="261" t="str">
        <f>IF(CTR1_Local!$T308="","",IF(CTR1_Local!$T308="Yes","Removed",""))</f>
        <v/>
      </c>
      <c r="G277" t="str">
        <f>IF(CTR1_Local!$N308="","",IF(F277="Removed","",CTR1_Local!$N308))</f>
        <v/>
      </c>
      <c r="H277" t="str">
        <f>IF(CTR1_Local!$P308="","",IF($F277="Removed","",CTR1_Local!$P308))</f>
        <v/>
      </c>
      <c r="I277" t="str">
        <f>IF(CTR1_Local!$R308="","",IF($F277="Removed","",CTR1_Local!$R308))</f>
        <v/>
      </c>
      <c r="J277" s="160" t="str">
        <f>CTR1_Local!$H308</f>
        <v/>
      </c>
      <c r="K277" s="340" t="str">
        <f>CTR1_Local!$J308</f>
        <v/>
      </c>
      <c r="L277" s="350" t="str">
        <f>CTR1_Local!$L308</f>
        <v/>
      </c>
      <c r="M277" s="261" t="str">
        <f>IF(CTR1_Local!$V308="","",IF(CTR1_Local!$V308="Yes","confirm",""))</f>
        <v/>
      </c>
      <c r="N277" t="str">
        <f>IF(CTR1_Local!$W308="","",CTR1_Local!$W308)</f>
        <v/>
      </c>
    </row>
    <row r="278" spans="1:14" x14ac:dyDescent="0.2">
      <c r="A278" s="287" t="str">
        <f>IF(CTR1_Local!$D309="",CTR1_Local!B309,CTR1_Local!$D309)</f>
        <v/>
      </c>
      <c r="B278" s="26" t="str">
        <f>IF(A278="","",IF(RIGHT(A278,3)="NEW","Add new / another parish",CTR1_Local!$AN309))</f>
        <v/>
      </c>
      <c r="C278" s="26" t="str">
        <f t="shared" si="4"/>
        <v/>
      </c>
      <c r="D278" s="177" t="str">
        <f>IF(A278="","",IF(RIGHT(A278,3)="NEW",CTR1_Local!$E309,IF(CTR1_Local!$AO309="change",CTR1_Local!$E309,"")))</f>
        <v/>
      </c>
      <c r="E278" t="str">
        <f>IF(CTR1_Local!$F309="","",CTR1_Local!$F309)</f>
        <v/>
      </c>
      <c r="F278" s="261" t="str">
        <f>IF(CTR1_Local!$T309="","",IF(CTR1_Local!$T309="Yes","Removed",""))</f>
        <v/>
      </c>
      <c r="G278" t="str">
        <f>IF(CTR1_Local!$N309="","",IF(F278="Removed","",CTR1_Local!$N309))</f>
        <v/>
      </c>
      <c r="H278" t="str">
        <f>IF(CTR1_Local!$P309="","",IF($F278="Removed","",CTR1_Local!$P309))</f>
        <v/>
      </c>
      <c r="I278" t="str">
        <f>IF(CTR1_Local!$R309="","",IF($F278="Removed","",CTR1_Local!$R309))</f>
        <v/>
      </c>
      <c r="J278" s="160" t="str">
        <f>CTR1_Local!$H309</f>
        <v/>
      </c>
      <c r="K278" s="340" t="str">
        <f>CTR1_Local!$J309</f>
        <v/>
      </c>
      <c r="L278" s="350" t="str">
        <f>CTR1_Local!$L309</f>
        <v/>
      </c>
      <c r="M278" s="261" t="str">
        <f>IF(CTR1_Local!$V309="","",IF(CTR1_Local!$V309="Yes","confirm",""))</f>
        <v/>
      </c>
      <c r="N278" t="str">
        <f>IF(CTR1_Local!$W309="","",CTR1_Local!$W309)</f>
        <v/>
      </c>
    </row>
    <row r="279" spans="1:14" x14ac:dyDescent="0.2">
      <c r="A279" s="287" t="str">
        <f>IF(CTR1_Local!$D310="",CTR1_Local!B310,CTR1_Local!$D310)</f>
        <v/>
      </c>
      <c r="B279" s="26" t="str">
        <f>IF(A279="","",IF(RIGHT(A279,3)="NEW","Add new / another parish",CTR1_Local!$AN310))</f>
        <v/>
      </c>
      <c r="C279" s="26" t="str">
        <f t="shared" si="4"/>
        <v/>
      </c>
      <c r="D279" s="177" t="str">
        <f>IF(A279="","",IF(RIGHT(A279,3)="NEW",CTR1_Local!$E310,IF(CTR1_Local!$AO310="change",CTR1_Local!$E310,"")))</f>
        <v/>
      </c>
      <c r="E279" t="str">
        <f>IF(CTR1_Local!$F310="","",CTR1_Local!$F310)</f>
        <v/>
      </c>
      <c r="F279" s="261" t="str">
        <f>IF(CTR1_Local!$T310="","",IF(CTR1_Local!$T310="Yes","Removed",""))</f>
        <v/>
      </c>
      <c r="G279" t="str">
        <f>IF(CTR1_Local!$N310="","",IF(F279="Removed","",CTR1_Local!$N310))</f>
        <v/>
      </c>
      <c r="H279" t="str">
        <f>IF(CTR1_Local!$P310="","",IF($F279="Removed","",CTR1_Local!$P310))</f>
        <v/>
      </c>
      <c r="I279" t="str">
        <f>IF(CTR1_Local!$R310="","",IF($F279="Removed","",CTR1_Local!$R310))</f>
        <v/>
      </c>
      <c r="J279" s="160" t="str">
        <f>CTR1_Local!$H310</f>
        <v/>
      </c>
      <c r="K279" s="340" t="str">
        <f>CTR1_Local!$J310</f>
        <v/>
      </c>
      <c r="L279" s="350" t="str">
        <f>CTR1_Local!$L310</f>
        <v/>
      </c>
      <c r="M279" s="261" t="str">
        <f>IF(CTR1_Local!$V310="","",IF(CTR1_Local!$V310="Yes","confirm",""))</f>
        <v/>
      </c>
      <c r="N279" t="str">
        <f>IF(CTR1_Local!$W310="","",CTR1_Local!$W310)</f>
        <v/>
      </c>
    </row>
    <row r="280" spans="1:14" x14ac:dyDescent="0.2">
      <c r="A280" s="287" t="str">
        <f>IF(CTR1_Local!$D311="",CTR1_Local!B311,CTR1_Local!$D311)</f>
        <v/>
      </c>
      <c r="B280" s="26" t="str">
        <f>IF(A280="","",IF(RIGHT(A280,3)="NEW","Add new / another parish",CTR1_Local!$AN311))</f>
        <v/>
      </c>
      <c r="C280" s="26" t="str">
        <f t="shared" si="4"/>
        <v/>
      </c>
      <c r="D280" s="177" t="str">
        <f>IF(A280="","",IF(RIGHT(A280,3)="NEW",CTR1_Local!$E311,IF(CTR1_Local!$AO311="change",CTR1_Local!$E311,"")))</f>
        <v/>
      </c>
      <c r="E280" t="str">
        <f>IF(CTR1_Local!$F311="","",CTR1_Local!$F311)</f>
        <v/>
      </c>
      <c r="F280" s="261" t="str">
        <f>IF(CTR1_Local!$T311="","",IF(CTR1_Local!$T311="Yes","Removed",""))</f>
        <v/>
      </c>
      <c r="G280" t="str">
        <f>IF(CTR1_Local!$N311="","",IF(F280="Removed","",CTR1_Local!$N311))</f>
        <v/>
      </c>
      <c r="H280" t="str">
        <f>IF(CTR1_Local!$P311="","",IF($F280="Removed","",CTR1_Local!$P311))</f>
        <v/>
      </c>
      <c r="I280" t="str">
        <f>IF(CTR1_Local!$R311="","",IF($F280="Removed","",CTR1_Local!$R311))</f>
        <v/>
      </c>
      <c r="J280" s="160" t="str">
        <f>CTR1_Local!$H311</f>
        <v/>
      </c>
      <c r="K280" s="340" t="str">
        <f>CTR1_Local!$J311</f>
        <v/>
      </c>
      <c r="L280" s="350" t="str">
        <f>CTR1_Local!$L311</f>
        <v/>
      </c>
      <c r="M280" s="261" t="str">
        <f>IF(CTR1_Local!$V311="","",IF(CTR1_Local!$V311="Yes","confirm",""))</f>
        <v/>
      </c>
      <c r="N280" t="str">
        <f>IF(CTR1_Local!$W311="","",CTR1_Local!$W311)</f>
        <v/>
      </c>
    </row>
    <row r="281" spans="1:14" x14ac:dyDescent="0.2">
      <c r="A281" s="287" t="str">
        <f>IF(CTR1_Local!$D312="",CTR1_Local!B312,CTR1_Local!$D312)</f>
        <v/>
      </c>
      <c r="B281" s="26" t="str">
        <f>IF(A281="","",IF(RIGHT(A281,3)="NEW","Add new / another parish",CTR1_Local!$AN312))</f>
        <v/>
      </c>
      <c r="C281" s="26" t="str">
        <f t="shared" si="4"/>
        <v/>
      </c>
      <c r="D281" s="177" t="str">
        <f>IF(A281="","",IF(RIGHT(A281,3)="NEW",CTR1_Local!$E312,IF(CTR1_Local!$AO312="change",CTR1_Local!$E312,"")))</f>
        <v/>
      </c>
      <c r="E281" t="str">
        <f>IF(CTR1_Local!$F312="","",CTR1_Local!$F312)</f>
        <v/>
      </c>
      <c r="F281" s="261" t="str">
        <f>IF(CTR1_Local!$T312="","",IF(CTR1_Local!$T312="Yes","Removed",""))</f>
        <v/>
      </c>
      <c r="G281" t="str">
        <f>IF(CTR1_Local!$N312="","",IF(F281="Removed","",CTR1_Local!$N312))</f>
        <v/>
      </c>
      <c r="H281" t="str">
        <f>IF(CTR1_Local!$P312="","",IF($F281="Removed","",CTR1_Local!$P312))</f>
        <v/>
      </c>
      <c r="I281" t="str">
        <f>IF(CTR1_Local!$R312="","",IF($F281="Removed","",CTR1_Local!$R312))</f>
        <v/>
      </c>
      <c r="J281" s="160" t="str">
        <f>CTR1_Local!$H312</f>
        <v/>
      </c>
      <c r="K281" s="340" t="str">
        <f>CTR1_Local!$J312</f>
        <v/>
      </c>
      <c r="L281" s="350" t="str">
        <f>CTR1_Local!$L312</f>
        <v/>
      </c>
      <c r="M281" s="261" t="str">
        <f>IF(CTR1_Local!$V312="","",IF(CTR1_Local!$V312="Yes","confirm",""))</f>
        <v/>
      </c>
      <c r="N281" t="str">
        <f>IF(CTR1_Local!$W312="","",CTR1_Local!$W312)</f>
        <v/>
      </c>
    </row>
    <row r="282" spans="1:14" x14ac:dyDescent="0.2">
      <c r="A282" s="287" t="str">
        <f>IF(CTR1_Local!$D313="",CTR1_Local!B313,CTR1_Local!$D313)</f>
        <v/>
      </c>
      <c r="B282" s="26" t="str">
        <f>IF(A282="","",IF(RIGHT(A282,3)="NEW","Add new / another parish",CTR1_Local!$AN313))</f>
        <v/>
      </c>
      <c r="C282" s="26" t="str">
        <f t="shared" si="4"/>
        <v/>
      </c>
      <c r="D282" s="177" t="str">
        <f>IF(A282="","",IF(RIGHT(A282,3)="NEW",CTR1_Local!$E313,IF(CTR1_Local!$AO313="change",CTR1_Local!$E313,"")))</f>
        <v/>
      </c>
      <c r="E282" t="str">
        <f>IF(CTR1_Local!$F313="","",CTR1_Local!$F313)</f>
        <v/>
      </c>
      <c r="F282" s="261" t="str">
        <f>IF(CTR1_Local!$T313="","",IF(CTR1_Local!$T313="Yes","Removed",""))</f>
        <v/>
      </c>
      <c r="G282" t="str">
        <f>IF(CTR1_Local!$N313="","",IF(F282="Removed","",CTR1_Local!$N313))</f>
        <v/>
      </c>
      <c r="H282" t="str">
        <f>IF(CTR1_Local!$P313="","",IF($F282="Removed","",CTR1_Local!$P313))</f>
        <v/>
      </c>
      <c r="I282" t="str">
        <f>IF(CTR1_Local!$R313="","",IF($F282="Removed","",CTR1_Local!$R313))</f>
        <v/>
      </c>
      <c r="J282" s="160" t="str">
        <f>CTR1_Local!$H313</f>
        <v/>
      </c>
      <c r="K282" s="340" t="str">
        <f>CTR1_Local!$J313</f>
        <v/>
      </c>
      <c r="L282" s="350" t="str">
        <f>CTR1_Local!$L313</f>
        <v/>
      </c>
      <c r="M282" s="261" t="str">
        <f>IF(CTR1_Local!$V313="","",IF(CTR1_Local!$V313="Yes","confirm",""))</f>
        <v/>
      </c>
      <c r="N282" t="str">
        <f>IF(CTR1_Local!$W313="","",CTR1_Local!$W313)</f>
        <v/>
      </c>
    </row>
    <row r="283" spans="1:14" x14ac:dyDescent="0.2">
      <c r="A283" s="287" t="str">
        <f>IF(CTR1_Local!$D314="",CTR1_Local!B314,CTR1_Local!$D314)</f>
        <v/>
      </c>
      <c r="B283" s="26" t="str">
        <f>IF(A283="","",IF(RIGHT(A283,3)="NEW","Add new / another parish",CTR1_Local!$AN314))</f>
        <v/>
      </c>
      <c r="C283" s="26" t="str">
        <f t="shared" si="4"/>
        <v/>
      </c>
      <c r="D283" s="177" t="str">
        <f>IF(A283="","",IF(RIGHT(A283,3)="NEW",CTR1_Local!$E314,IF(CTR1_Local!$AO314="change",CTR1_Local!$E314,"")))</f>
        <v/>
      </c>
      <c r="E283" t="str">
        <f>IF(CTR1_Local!$F314="","",CTR1_Local!$F314)</f>
        <v/>
      </c>
      <c r="F283" s="261" t="str">
        <f>IF(CTR1_Local!$T314="","",IF(CTR1_Local!$T314="Yes","Removed",""))</f>
        <v/>
      </c>
      <c r="G283" t="str">
        <f>IF(CTR1_Local!$N314="","",IF(F283="Removed","",CTR1_Local!$N314))</f>
        <v/>
      </c>
      <c r="H283" t="str">
        <f>IF(CTR1_Local!$P314="","",IF($F283="Removed","",CTR1_Local!$P314))</f>
        <v/>
      </c>
      <c r="I283" t="str">
        <f>IF(CTR1_Local!$R314="","",IF($F283="Removed","",CTR1_Local!$R314))</f>
        <v/>
      </c>
      <c r="J283" s="160" t="str">
        <f>CTR1_Local!$H314</f>
        <v/>
      </c>
      <c r="K283" s="340" t="str">
        <f>CTR1_Local!$J314</f>
        <v/>
      </c>
      <c r="L283" s="350" t="str">
        <f>CTR1_Local!$L314</f>
        <v/>
      </c>
      <c r="M283" s="261" t="str">
        <f>IF(CTR1_Local!$V314="","",IF(CTR1_Local!$V314="Yes","confirm",""))</f>
        <v/>
      </c>
      <c r="N283" t="str">
        <f>IF(CTR1_Local!$W314="","",CTR1_Local!$W314)</f>
        <v/>
      </c>
    </row>
    <row r="284" spans="1:14" x14ac:dyDescent="0.2">
      <c r="A284" s="287" t="str">
        <f>IF(CTR1_Local!$D315="",CTR1_Local!B315,CTR1_Local!$D315)</f>
        <v/>
      </c>
      <c r="B284" s="26" t="str">
        <f>IF(A284="","",IF(RIGHT(A284,3)="NEW","Add new / another parish",CTR1_Local!$AN315))</f>
        <v/>
      </c>
      <c r="C284" s="26" t="str">
        <f t="shared" si="4"/>
        <v/>
      </c>
      <c r="D284" s="177" t="str">
        <f>IF(A284="","",IF(RIGHT(A284,3)="NEW",CTR1_Local!$E315,IF(CTR1_Local!$AO315="change",CTR1_Local!$E315,"")))</f>
        <v/>
      </c>
      <c r="E284" t="str">
        <f>IF(CTR1_Local!$F315="","",CTR1_Local!$F315)</f>
        <v/>
      </c>
      <c r="F284" s="261" t="str">
        <f>IF(CTR1_Local!$T315="","",IF(CTR1_Local!$T315="Yes","Removed",""))</f>
        <v/>
      </c>
      <c r="G284" t="str">
        <f>IF(CTR1_Local!$N315="","",IF(F284="Removed","",CTR1_Local!$N315))</f>
        <v/>
      </c>
      <c r="H284" t="str">
        <f>IF(CTR1_Local!$P315="","",IF($F284="Removed","",CTR1_Local!$P315))</f>
        <v/>
      </c>
      <c r="I284" t="str">
        <f>IF(CTR1_Local!$R315="","",IF($F284="Removed","",CTR1_Local!$R315))</f>
        <v/>
      </c>
      <c r="J284" s="160" t="str">
        <f>CTR1_Local!$H315</f>
        <v/>
      </c>
      <c r="K284" s="340" t="str">
        <f>CTR1_Local!$J315</f>
        <v/>
      </c>
      <c r="L284" s="350" t="str">
        <f>CTR1_Local!$L315</f>
        <v/>
      </c>
      <c r="M284" s="261" t="str">
        <f>IF(CTR1_Local!$V315="","",IF(CTR1_Local!$V315="Yes","confirm",""))</f>
        <v/>
      </c>
      <c r="N284" t="str">
        <f>IF(CTR1_Local!$W315="","",CTR1_Local!$W315)</f>
        <v/>
      </c>
    </row>
    <row r="285" spans="1:14" x14ac:dyDescent="0.2">
      <c r="A285" s="287" t="str">
        <f>IF(CTR1_Local!$D316="",CTR1_Local!B316,CTR1_Local!$D316)</f>
        <v/>
      </c>
      <c r="B285" s="26" t="str">
        <f>IF(A285="","",IF(RIGHT(A285,3)="NEW","Add new / another parish",CTR1_Local!$AN316))</f>
        <v/>
      </c>
      <c r="C285" s="26" t="str">
        <f t="shared" si="4"/>
        <v/>
      </c>
      <c r="D285" s="177" t="str">
        <f>IF(A285="","",IF(RIGHT(A285,3)="NEW",CTR1_Local!$E316,IF(CTR1_Local!$AO316="change",CTR1_Local!$E316,"")))</f>
        <v/>
      </c>
      <c r="E285" t="str">
        <f>IF(CTR1_Local!$F316="","",CTR1_Local!$F316)</f>
        <v/>
      </c>
      <c r="F285" s="261" t="str">
        <f>IF(CTR1_Local!$T316="","",IF(CTR1_Local!$T316="Yes","Removed",""))</f>
        <v/>
      </c>
      <c r="G285" t="str">
        <f>IF(CTR1_Local!$N316="","",IF(F285="Removed","",CTR1_Local!$N316))</f>
        <v/>
      </c>
      <c r="H285" t="str">
        <f>IF(CTR1_Local!$P316="","",IF($F285="Removed","",CTR1_Local!$P316))</f>
        <v/>
      </c>
      <c r="I285" t="str">
        <f>IF(CTR1_Local!$R316="","",IF($F285="Removed","",CTR1_Local!$R316))</f>
        <v/>
      </c>
      <c r="J285" s="160" t="str">
        <f>CTR1_Local!$H316</f>
        <v/>
      </c>
      <c r="K285" s="340" t="str">
        <f>CTR1_Local!$J316</f>
        <v/>
      </c>
      <c r="L285" s="350" t="str">
        <f>CTR1_Local!$L316</f>
        <v/>
      </c>
      <c r="M285" s="261" t="str">
        <f>IF(CTR1_Local!$V316="","",IF(CTR1_Local!$V316="Yes","confirm",""))</f>
        <v/>
      </c>
      <c r="N285" t="str">
        <f>IF(CTR1_Local!$W316="","",CTR1_Local!$W316)</f>
        <v/>
      </c>
    </row>
    <row r="286" spans="1:14" x14ac:dyDescent="0.2">
      <c r="A286" s="287" t="str">
        <f>IF(CTR1_Local!$D317="",CTR1_Local!B317,CTR1_Local!$D317)</f>
        <v/>
      </c>
      <c r="B286" s="26" t="str">
        <f>IF(A286="","",IF(RIGHT(A286,3)="NEW","Add new / another parish",CTR1_Local!$AN317))</f>
        <v/>
      </c>
      <c r="C286" s="26" t="str">
        <f t="shared" si="4"/>
        <v/>
      </c>
      <c r="D286" s="177" t="str">
        <f>IF(A286="","",IF(RIGHT(A286,3)="NEW",CTR1_Local!$E317,IF(CTR1_Local!$AO317="change",CTR1_Local!$E317,"")))</f>
        <v/>
      </c>
      <c r="E286" t="str">
        <f>IF(CTR1_Local!$F317="","",CTR1_Local!$F317)</f>
        <v/>
      </c>
      <c r="F286" s="261" t="str">
        <f>IF(CTR1_Local!$T317="","",IF(CTR1_Local!$T317="Yes","Removed",""))</f>
        <v/>
      </c>
      <c r="G286" t="str">
        <f>IF(CTR1_Local!$N317="","",IF(F286="Removed","",CTR1_Local!$N317))</f>
        <v/>
      </c>
      <c r="H286" t="str">
        <f>IF(CTR1_Local!$P317="","",IF($F286="Removed","",CTR1_Local!$P317))</f>
        <v/>
      </c>
      <c r="I286" t="str">
        <f>IF(CTR1_Local!$R317="","",IF($F286="Removed","",CTR1_Local!$R317))</f>
        <v/>
      </c>
      <c r="J286" s="160" t="str">
        <f>CTR1_Local!$H317</f>
        <v/>
      </c>
      <c r="K286" s="340" t="str">
        <f>CTR1_Local!$J317</f>
        <v/>
      </c>
      <c r="L286" s="350" t="str">
        <f>CTR1_Local!$L317</f>
        <v/>
      </c>
      <c r="M286" s="261" t="str">
        <f>IF(CTR1_Local!$V317="","",IF(CTR1_Local!$V317="Yes","confirm",""))</f>
        <v/>
      </c>
      <c r="N286" t="str">
        <f>IF(CTR1_Local!$W317="","",CTR1_Local!$W317)</f>
        <v/>
      </c>
    </row>
    <row r="287" spans="1:14" x14ac:dyDescent="0.2">
      <c r="A287" s="287" t="str">
        <f>IF(CTR1_Local!$D318="",CTR1_Local!B318,CTR1_Local!$D318)</f>
        <v/>
      </c>
      <c r="B287" s="26" t="str">
        <f>IF(A287="","",IF(RIGHT(A287,3)="NEW","Add new / another parish",CTR1_Local!$AN318))</f>
        <v/>
      </c>
      <c r="C287" s="26" t="str">
        <f t="shared" si="4"/>
        <v/>
      </c>
      <c r="D287" s="177" t="str">
        <f>IF(A287="","",IF(RIGHT(A287,3)="NEW",CTR1_Local!$E318,IF(CTR1_Local!$AO318="change",CTR1_Local!$E318,"")))</f>
        <v/>
      </c>
      <c r="E287" t="str">
        <f>IF(CTR1_Local!$F318="","",CTR1_Local!$F318)</f>
        <v/>
      </c>
      <c r="F287" s="261" t="str">
        <f>IF(CTR1_Local!$T318="","",IF(CTR1_Local!$T318="Yes","Removed",""))</f>
        <v/>
      </c>
      <c r="G287" t="str">
        <f>IF(CTR1_Local!$N318="","",IF(F287="Removed","",CTR1_Local!$N318))</f>
        <v/>
      </c>
      <c r="H287" t="str">
        <f>IF(CTR1_Local!$P318="","",IF($F287="Removed","",CTR1_Local!$P318))</f>
        <v/>
      </c>
      <c r="I287" t="str">
        <f>IF(CTR1_Local!$R318="","",IF($F287="Removed","",CTR1_Local!$R318))</f>
        <v/>
      </c>
      <c r="J287" s="160" t="str">
        <f>CTR1_Local!$H318</f>
        <v/>
      </c>
      <c r="K287" s="340" t="str">
        <f>CTR1_Local!$J318</f>
        <v/>
      </c>
      <c r="L287" s="350" t="str">
        <f>CTR1_Local!$L318</f>
        <v/>
      </c>
      <c r="M287" s="261" t="str">
        <f>IF(CTR1_Local!$V318="","",IF(CTR1_Local!$V318="Yes","confirm",""))</f>
        <v/>
      </c>
      <c r="N287" t="str">
        <f>IF(CTR1_Local!$W318="","",CTR1_Local!$W318)</f>
        <v/>
      </c>
    </row>
    <row r="288" spans="1:14" x14ac:dyDescent="0.2">
      <c r="A288" s="287" t="str">
        <f>IF(CTR1_Local!$D319="",CTR1_Local!B319,CTR1_Local!$D319)</f>
        <v/>
      </c>
      <c r="B288" s="26" t="str">
        <f>IF(A288="","",IF(RIGHT(A288,3)="NEW","Add new / another parish",CTR1_Local!$AN319))</f>
        <v/>
      </c>
      <c r="C288" s="26" t="str">
        <f t="shared" si="4"/>
        <v/>
      </c>
      <c r="D288" s="177" t="str">
        <f>IF(A288="","",IF(RIGHT(A288,3)="NEW",CTR1_Local!$E319,IF(CTR1_Local!$AO319="change",CTR1_Local!$E319,"")))</f>
        <v/>
      </c>
      <c r="E288" t="str">
        <f>IF(CTR1_Local!$F319="","",CTR1_Local!$F319)</f>
        <v/>
      </c>
      <c r="F288" s="261" t="str">
        <f>IF(CTR1_Local!$T319="","",IF(CTR1_Local!$T319="Yes","Removed",""))</f>
        <v/>
      </c>
      <c r="G288" t="str">
        <f>IF(CTR1_Local!$N319="","",IF(F288="Removed","",CTR1_Local!$N319))</f>
        <v/>
      </c>
      <c r="H288" t="str">
        <f>IF(CTR1_Local!$P319="","",IF($F288="Removed","",CTR1_Local!$P319))</f>
        <v/>
      </c>
      <c r="I288" t="str">
        <f>IF(CTR1_Local!$R319="","",IF($F288="Removed","",CTR1_Local!$R319))</f>
        <v/>
      </c>
      <c r="J288" s="160" t="str">
        <f>CTR1_Local!$H319</f>
        <v/>
      </c>
      <c r="K288" s="340" t="str">
        <f>CTR1_Local!$J319</f>
        <v/>
      </c>
      <c r="L288" s="350" t="str">
        <f>CTR1_Local!$L319</f>
        <v/>
      </c>
      <c r="M288" s="261" t="str">
        <f>IF(CTR1_Local!$V319="","",IF(CTR1_Local!$V319="Yes","confirm",""))</f>
        <v/>
      </c>
      <c r="N288" t="str">
        <f>IF(CTR1_Local!$W319="","",CTR1_Local!$W319)</f>
        <v/>
      </c>
    </row>
    <row r="289" spans="1:14" x14ac:dyDescent="0.2">
      <c r="A289" s="287" t="str">
        <f>IF(CTR1_Local!$D320="",CTR1_Local!B320,CTR1_Local!$D320)</f>
        <v/>
      </c>
      <c r="B289" s="26" t="str">
        <f>IF(A289="","",IF(RIGHT(A289,3)="NEW","Add new / another parish",CTR1_Local!$AN320))</f>
        <v/>
      </c>
      <c r="C289" s="26" t="str">
        <f t="shared" si="4"/>
        <v/>
      </c>
      <c r="D289" s="177" t="str">
        <f>IF(A289="","",IF(RIGHT(A289,3)="NEW",CTR1_Local!$E320,IF(CTR1_Local!$AO320="change",CTR1_Local!$E320,"")))</f>
        <v/>
      </c>
      <c r="E289" t="str">
        <f>IF(CTR1_Local!$F320="","",CTR1_Local!$F320)</f>
        <v/>
      </c>
      <c r="F289" s="261" t="str">
        <f>IF(CTR1_Local!$T320="","",IF(CTR1_Local!$T320="Yes","Removed",""))</f>
        <v/>
      </c>
      <c r="G289" t="str">
        <f>IF(CTR1_Local!$N320="","",IF(F289="Removed","",CTR1_Local!$N320))</f>
        <v/>
      </c>
      <c r="H289" t="str">
        <f>IF(CTR1_Local!$P320="","",IF($F289="Removed","",CTR1_Local!$P320))</f>
        <v/>
      </c>
      <c r="I289" t="str">
        <f>IF(CTR1_Local!$R320="","",IF($F289="Removed","",CTR1_Local!$R320))</f>
        <v/>
      </c>
      <c r="J289" s="160" t="str">
        <f>CTR1_Local!$H320</f>
        <v/>
      </c>
      <c r="K289" s="340" t="str">
        <f>CTR1_Local!$J320</f>
        <v/>
      </c>
      <c r="L289" s="350" t="str">
        <f>CTR1_Local!$L320</f>
        <v/>
      </c>
      <c r="M289" s="261" t="str">
        <f>IF(CTR1_Local!$V320="","",IF(CTR1_Local!$V320="Yes","confirm",""))</f>
        <v/>
      </c>
      <c r="N289" t="str">
        <f>IF(CTR1_Local!$W320="","",CTR1_Local!$W320)</f>
        <v/>
      </c>
    </row>
    <row r="290" spans="1:14" x14ac:dyDescent="0.2">
      <c r="A290" s="287" t="str">
        <f>IF(CTR1_Local!$D321="",CTR1_Local!B321,CTR1_Local!$D321)</f>
        <v/>
      </c>
      <c r="B290" s="26" t="str">
        <f>IF(A290="","",IF(RIGHT(A290,3)="NEW","Add new / another parish",CTR1_Local!$AN321))</f>
        <v/>
      </c>
      <c r="C290" s="26" t="str">
        <f t="shared" si="4"/>
        <v/>
      </c>
      <c r="D290" s="177" t="str">
        <f>IF(A290="","",IF(RIGHT(A290,3)="NEW",CTR1_Local!$E321,IF(CTR1_Local!$AO321="change",CTR1_Local!$E321,"")))</f>
        <v/>
      </c>
      <c r="E290" t="str">
        <f>IF(CTR1_Local!$F321="","",CTR1_Local!$F321)</f>
        <v/>
      </c>
      <c r="F290" s="261" t="str">
        <f>IF(CTR1_Local!$T321="","",IF(CTR1_Local!$T321="Yes","Removed",""))</f>
        <v/>
      </c>
      <c r="G290" t="str">
        <f>IF(CTR1_Local!$N321="","",IF(F290="Removed","",CTR1_Local!$N321))</f>
        <v/>
      </c>
      <c r="H290" t="str">
        <f>IF(CTR1_Local!$P321="","",IF($F290="Removed","",CTR1_Local!$P321))</f>
        <v/>
      </c>
      <c r="I290" t="str">
        <f>IF(CTR1_Local!$R321="","",IF($F290="Removed","",CTR1_Local!$R321))</f>
        <v/>
      </c>
      <c r="J290" s="160" t="str">
        <f>CTR1_Local!$H321</f>
        <v/>
      </c>
      <c r="K290" s="340" t="str">
        <f>CTR1_Local!$J321</f>
        <v/>
      </c>
      <c r="L290" s="350" t="str">
        <f>CTR1_Local!$L321</f>
        <v/>
      </c>
      <c r="M290" s="261" t="str">
        <f>IF(CTR1_Local!$V321="","",IF(CTR1_Local!$V321="Yes","confirm",""))</f>
        <v/>
      </c>
      <c r="N290" t="str">
        <f>IF(CTR1_Local!$W321="","",CTR1_Local!$W321)</f>
        <v/>
      </c>
    </row>
    <row r="291" spans="1:14" x14ac:dyDescent="0.2">
      <c r="A291" s="287" t="str">
        <f>IF(CTR1_Local!$D322="",CTR1_Local!B322,CTR1_Local!$D322)</f>
        <v/>
      </c>
      <c r="B291" s="26" t="str">
        <f>IF(A291="","",IF(RIGHT(A291,3)="NEW","Add new / another parish",CTR1_Local!$AN322))</f>
        <v/>
      </c>
      <c r="C291" s="26" t="str">
        <f t="shared" si="4"/>
        <v/>
      </c>
      <c r="D291" s="177" t="str">
        <f>IF(A291="","",IF(RIGHT(A291,3)="NEW",CTR1_Local!$E322,IF(CTR1_Local!$AO322="change",CTR1_Local!$E322,"")))</f>
        <v/>
      </c>
      <c r="E291" t="str">
        <f>IF(CTR1_Local!$F322="","",CTR1_Local!$F322)</f>
        <v/>
      </c>
      <c r="F291" s="261" t="str">
        <f>IF(CTR1_Local!$T322="","",IF(CTR1_Local!$T322="Yes","Removed",""))</f>
        <v/>
      </c>
      <c r="G291" t="str">
        <f>IF(CTR1_Local!$N322="","",IF(F291="Removed","",CTR1_Local!$N322))</f>
        <v/>
      </c>
      <c r="H291" t="str">
        <f>IF(CTR1_Local!$P322="","",IF($F291="Removed","",CTR1_Local!$P322))</f>
        <v/>
      </c>
      <c r="I291" t="str">
        <f>IF(CTR1_Local!$R322="","",IF($F291="Removed","",CTR1_Local!$R322))</f>
        <v/>
      </c>
      <c r="J291" s="160" t="str">
        <f>CTR1_Local!$H322</f>
        <v/>
      </c>
      <c r="K291" s="340" t="str">
        <f>CTR1_Local!$J322</f>
        <v/>
      </c>
      <c r="L291" s="350" t="str">
        <f>CTR1_Local!$L322</f>
        <v/>
      </c>
      <c r="M291" s="261" t="str">
        <f>IF(CTR1_Local!$V322="","",IF(CTR1_Local!$V322="Yes","confirm",""))</f>
        <v/>
      </c>
      <c r="N291" t="str">
        <f>IF(CTR1_Local!$W322="","",CTR1_Local!$W322)</f>
        <v/>
      </c>
    </row>
    <row r="292" spans="1:14" x14ac:dyDescent="0.2">
      <c r="A292" s="287" t="str">
        <f>IF(CTR1_Local!$D323="",CTR1_Local!B323,CTR1_Local!$D323)</f>
        <v/>
      </c>
      <c r="B292" s="26" t="str">
        <f>IF(A292="","",IF(RIGHT(A292,3)="NEW","Add new / another parish",CTR1_Local!$AN323))</f>
        <v/>
      </c>
      <c r="C292" s="26" t="str">
        <f t="shared" si="4"/>
        <v/>
      </c>
      <c r="D292" s="177" t="str">
        <f>IF(A292="","",IF(RIGHT(A292,3)="NEW",CTR1_Local!$E323,IF(CTR1_Local!$AO323="change",CTR1_Local!$E323,"")))</f>
        <v/>
      </c>
      <c r="E292" t="str">
        <f>IF(CTR1_Local!$F323="","",CTR1_Local!$F323)</f>
        <v/>
      </c>
      <c r="F292" s="261" t="str">
        <f>IF(CTR1_Local!$T323="","",IF(CTR1_Local!$T323="Yes","Removed",""))</f>
        <v/>
      </c>
      <c r="G292" t="str">
        <f>IF(CTR1_Local!$N323="","",IF(F292="Removed","",CTR1_Local!$N323))</f>
        <v/>
      </c>
      <c r="H292" t="str">
        <f>IF(CTR1_Local!$P323="","",IF($F292="Removed","",CTR1_Local!$P323))</f>
        <v/>
      </c>
      <c r="I292" t="str">
        <f>IF(CTR1_Local!$R323="","",IF($F292="Removed","",CTR1_Local!$R323))</f>
        <v/>
      </c>
      <c r="J292" s="160" t="str">
        <f>CTR1_Local!$H323</f>
        <v/>
      </c>
      <c r="K292" s="340" t="str">
        <f>CTR1_Local!$J323</f>
        <v/>
      </c>
      <c r="L292" s="350" t="str">
        <f>CTR1_Local!$L323</f>
        <v/>
      </c>
      <c r="M292" s="261" t="str">
        <f>IF(CTR1_Local!$V323="","",IF(CTR1_Local!$V323="Yes","confirm",""))</f>
        <v/>
      </c>
      <c r="N292" t="str">
        <f>IF(CTR1_Local!$W323="","",CTR1_Local!$W323)</f>
        <v/>
      </c>
    </row>
    <row r="293" spans="1:14" x14ac:dyDescent="0.2">
      <c r="A293" s="287" t="str">
        <f>IF(CTR1_Local!$D324="",CTR1_Local!B324,CTR1_Local!$D324)</f>
        <v/>
      </c>
      <c r="B293" s="26" t="str">
        <f>IF(A293="","",IF(RIGHT(A293,3)="NEW","Add new / another parish",CTR1_Local!$AN324))</f>
        <v/>
      </c>
      <c r="C293" s="26" t="str">
        <f t="shared" si="4"/>
        <v/>
      </c>
      <c r="D293" s="177" t="str">
        <f>IF(A293="","",IF(RIGHT(A293,3)="NEW",CTR1_Local!$E324,IF(CTR1_Local!$AO324="change",CTR1_Local!$E324,"")))</f>
        <v/>
      </c>
      <c r="E293" t="str">
        <f>IF(CTR1_Local!$F324="","",CTR1_Local!$F324)</f>
        <v/>
      </c>
      <c r="F293" s="261" t="str">
        <f>IF(CTR1_Local!$T324="","",IF(CTR1_Local!$T324="Yes","Removed",""))</f>
        <v/>
      </c>
      <c r="G293" t="str">
        <f>IF(CTR1_Local!$N324="","",IF(F293="Removed","",CTR1_Local!$N324))</f>
        <v/>
      </c>
      <c r="H293" t="str">
        <f>IF(CTR1_Local!$P324="","",IF($F293="Removed","",CTR1_Local!$P324))</f>
        <v/>
      </c>
      <c r="I293" t="str">
        <f>IF(CTR1_Local!$R324="","",IF($F293="Removed","",CTR1_Local!$R324))</f>
        <v/>
      </c>
      <c r="J293" s="160" t="str">
        <f>CTR1_Local!$H324</f>
        <v/>
      </c>
      <c r="K293" s="340" t="str">
        <f>CTR1_Local!$J324</f>
        <v/>
      </c>
      <c r="L293" s="350" t="str">
        <f>CTR1_Local!$L324</f>
        <v/>
      </c>
      <c r="M293" s="261" t="str">
        <f>IF(CTR1_Local!$V324="","",IF(CTR1_Local!$V324="Yes","confirm",""))</f>
        <v/>
      </c>
      <c r="N293" t="str">
        <f>IF(CTR1_Local!$W324="","",CTR1_Local!$W324)</f>
        <v/>
      </c>
    </row>
    <row r="294" spans="1:14" x14ac:dyDescent="0.2">
      <c r="A294" s="287" t="str">
        <f>IF(CTR1_Local!$D325="",CTR1_Local!B325,CTR1_Local!$D325)</f>
        <v/>
      </c>
      <c r="B294" s="26" t="str">
        <f>IF(A294="","",IF(RIGHT(A294,3)="NEW","Add new / another parish",CTR1_Local!$AN325))</f>
        <v/>
      </c>
      <c r="C294" s="26" t="str">
        <f t="shared" si="4"/>
        <v/>
      </c>
      <c r="D294" s="177" t="str">
        <f>IF(A294="","",IF(RIGHT(A294,3)="NEW",CTR1_Local!$E325,IF(CTR1_Local!$AO325="change",CTR1_Local!$E325,"")))</f>
        <v/>
      </c>
      <c r="E294" t="str">
        <f>IF(CTR1_Local!$F325="","",CTR1_Local!$F325)</f>
        <v/>
      </c>
      <c r="F294" s="261" t="str">
        <f>IF(CTR1_Local!$T325="","",IF(CTR1_Local!$T325="Yes","Removed",""))</f>
        <v/>
      </c>
      <c r="G294" t="str">
        <f>IF(CTR1_Local!$N325="","",IF(F294="Removed","",CTR1_Local!$N325))</f>
        <v/>
      </c>
      <c r="H294" t="str">
        <f>IF(CTR1_Local!$P325="","",IF($F294="Removed","",CTR1_Local!$P325))</f>
        <v/>
      </c>
      <c r="I294" t="str">
        <f>IF(CTR1_Local!$R325="","",IF($F294="Removed","",CTR1_Local!$R325))</f>
        <v/>
      </c>
      <c r="J294" s="160" t="str">
        <f>CTR1_Local!$H325</f>
        <v/>
      </c>
      <c r="K294" s="340" t="str">
        <f>CTR1_Local!$J325</f>
        <v/>
      </c>
      <c r="L294" s="350" t="str">
        <f>CTR1_Local!$L325</f>
        <v/>
      </c>
      <c r="M294" s="261" t="str">
        <f>IF(CTR1_Local!$V325="","",IF(CTR1_Local!$V325="Yes","confirm",""))</f>
        <v/>
      </c>
      <c r="N294" t="str">
        <f>IF(CTR1_Local!$W325="","",CTR1_Local!$W325)</f>
        <v/>
      </c>
    </row>
    <row r="295" spans="1:14" x14ac:dyDescent="0.2">
      <c r="A295" s="287" t="str">
        <f>IF(CTR1_Local!$D326="",CTR1_Local!B326,CTR1_Local!$D326)</f>
        <v/>
      </c>
      <c r="B295" s="26" t="str">
        <f>IF(A295="","",IF(RIGHT(A295,3)="NEW","Add new / another parish",CTR1_Local!$AN326))</f>
        <v/>
      </c>
      <c r="C295" s="26" t="str">
        <f t="shared" si="4"/>
        <v/>
      </c>
      <c r="D295" s="177" t="str">
        <f>IF(A295="","",IF(RIGHT(A295,3)="NEW",CTR1_Local!$E326,IF(CTR1_Local!$AO326="change",CTR1_Local!$E326,"")))</f>
        <v/>
      </c>
      <c r="E295" t="str">
        <f>IF(CTR1_Local!$F326="","",CTR1_Local!$F326)</f>
        <v/>
      </c>
      <c r="F295" s="261" t="str">
        <f>IF(CTR1_Local!$T326="","",IF(CTR1_Local!$T326="Yes","Removed",""))</f>
        <v/>
      </c>
      <c r="G295" t="str">
        <f>IF(CTR1_Local!$N326="","",IF(F295="Removed","",CTR1_Local!$N326))</f>
        <v/>
      </c>
      <c r="H295" t="str">
        <f>IF(CTR1_Local!$P326="","",IF($F295="Removed","",CTR1_Local!$P326))</f>
        <v/>
      </c>
      <c r="I295" t="str">
        <f>IF(CTR1_Local!$R326="","",IF($F295="Removed","",CTR1_Local!$R326))</f>
        <v/>
      </c>
      <c r="J295" s="160" t="str">
        <f>CTR1_Local!$H326</f>
        <v/>
      </c>
      <c r="K295" s="340" t="str">
        <f>CTR1_Local!$J326</f>
        <v/>
      </c>
      <c r="L295" s="350" t="str">
        <f>CTR1_Local!$L326</f>
        <v/>
      </c>
      <c r="M295" s="261" t="str">
        <f>IF(CTR1_Local!$V326="","",IF(CTR1_Local!$V326="Yes","confirm",""))</f>
        <v/>
      </c>
      <c r="N295" t="str">
        <f>IF(CTR1_Local!$W326="","",CTR1_Local!$W326)</f>
        <v/>
      </c>
    </row>
    <row r="296" spans="1:14" x14ac:dyDescent="0.2">
      <c r="A296" s="287" t="str">
        <f>IF(CTR1_Local!$D327="",CTR1_Local!B327,CTR1_Local!$D327)</f>
        <v/>
      </c>
      <c r="B296" s="26" t="str">
        <f>IF(A296="","",IF(RIGHT(A296,3)="NEW","Add new / another parish",CTR1_Local!$AN327))</f>
        <v/>
      </c>
      <c r="C296" s="26" t="str">
        <f t="shared" si="4"/>
        <v/>
      </c>
      <c r="D296" s="177" t="str">
        <f>IF(A296="","",IF(RIGHT(A296,3)="NEW",CTR1_Local!$E327,IF(CTR1_Local!$AO327="change",CTR1_Local!$E327,"")))</f>
        <v/>
      </c>
      <c r="E296" t="str">
        <f>IF(CTR1_Local!$F327="","",CTR1_Local!$F327)</f>
        <v/>
      </c>
      <c r="F296" s="261" t="str">
        <f>IF(CTR1_Local!$T327="","",IF(CTR1_Local!$T327="Yes","Removed",""))</f>
        <v/>
      </c>
      <c r="G296" t="str">
        <f>IF(CTR1_Local!$N327="","",IF(F296="Removed","",CTR1_Local!$N327))</f>
        <v/>
      </c>
      <c r="H296" t="str">
        <f>IF(CTR1_Local!$P327="","",IF($F296="Removed","",CTR1_Local!$P327))</f>
        <v/>
      </c>
      <c r="I296" t="str">
        <f>IF(CTR1_Local!$R327="","",IF($F296="Removed","",CTR1_Local!$R327))</f>
        <v/>
      </c>
      <c r="J296" s="160" t="str">
        <f>CTR1_Local!$H327</f>
        <v/>
      </c>
      <c r="K296" s="340" t="str">
        <f>CTR1_Local!$J327</f>
        <v/>
      </c>
      <c r="L296" s="350" t="str">
        <f>CTR1_Local!$L327</f>
        <v/>
      </c>
      <c r="M296" s="261" t="str">
        <f>IF(CTR1_Local!$V327="","",IF(CTR1_Local!$V327="Yes","confirm",""))</f>
        <v/>
      </c>
      <c r="N296" t="str">
        <f>IF(CTR1_Local!$W327="","",CTR1_Local!$W327)</f>
        <v/>
      </c>
    </row>
    <row r="297" spans="1:14" x14ac:dyDescent="0.2">
      <c r="A297" s="287" t="str">
        <f>IF(CTR1_Local!$D328="",CTR1_Local!B328,CTR1_Local!$D328)</f>
        <v/>
      </c>
      <c r="B297" s="26" t="str">
        <f>IF(A297="","",IF(RIGHT(A297,3)="NEW","Add new / another parish",CTR1_Local!$AN328))</f>
        <v/>
      </c>
      <c r="C297" s="26" t="str">
        <f t="shared" si="4"/>
        <v/>
      </c>
      <c r="D297" s="177" t="str">
        <f>IF(A297="","",IF(RIGHT(A297,3)="NEW",CTR1_Local!$E328,IF(CTR1_Local!$AO328="change",CTR1_Local!$E328,"")))</f>
        <v/>
      </c>
      <c r="E297" t="str">
        <f>IF(CTR1_Local!$F328="","",CTR1_Local!$F328)</f>
        <v/>
      </c>
      <c r="F297" s="261" t="str">
        <f>IF(CTR1_Local!$T328="","",IF(CTR1_Local!$T328="Yes","Removed",""))</f>
        <v/>
      </c>
      <c r="G297" t="str">
        <f>IF(CTR1_Local!$N328="","",IF(F297="Removed","",CTR1_Local!$N328))</f>
        <v/>
      </c>
      <c r="H297" t="str">
        <f>IF(CTR1_Local!$P328="","",IF($F297="Removed","",CTR1_Local!$P328))</f>
        <v/>
      </c>
      <c r="I297" t="str">
        <f>IF(CTR1_Local!$R328="","",IF($F297="Removed","",CTR1_Local!$R328))</f>
        <v/>
      </c>
      <c r="J297" s="160" t="str">
        <f>CTR1_Local!$H328</f>
        <v/>
      </c>
      <c r="K297" s="340" t="str">
        <f>CTR1_Local!$J328</f>
        <v/>
      </c>
      <c r="L297" s="350" t="str">
        <f>CTR1_Local!$L328</f>
        <v/>
      </c>
      <c r="M297" s="261" t="str">
        <f>IF(CTR1_Local!$V328="","",IF(CTR1_Local!$V328="Yes","confirm",""))</f>
        <v/>
      </c>
      <c r="N297" t="str">
        <f>IF(CTR1_Local!$W328="","",CTR1_Local!$W328)</f>
        <v/>
      </c>
    </row>
    <row r="298" spans="1:14" x14ac:dyDescent="0.2">
      <c r="A298" s="287" t="str">
        <f>IF(CTR1_Local!$D329="",CTR1_Local!B329,CTR1_Local!$D329)</f>
        <v/>
      </c>
      <c r="B298" s="26" t="str">
        <f>IF(A298="","",IF(RIGHT(A298,3)="NEW","Add new / another parish",CTR1_Local!$AN329))</f>
        <v/>
      </c>
      <c r="C298" s="26" t="str">
        <f t="shared" si="4"/>
        <v/>
      </c>
      <c r="D298" s="177" t="str">
        <f>IF(A298="","",IF(RIGHT(A298,3)="NEW",CTR1_Local!$E329,IF(CTR1_Local!$AO329="change",CTR1_Local!$E329,"")))</f>
        <v/>
      </c>
      <c r="E298" t="str">
        <f>IF(CTR1_Local!$F329="","",CTR1_Local!$F329)</f>
        <v/>
      </c>
      <c r="F298" s="261" t="str">
        <f>IF(CTR1_Local!$T329="","",IF(CTR1_Local!$T329="Yes","Removed",""))</f>
        <v/>
      </c>
      <c r="G298" t="str">
        <f>IF(CTR1_Local!$N329="","",IF(F298="Removed","",CTR1_Local!$N329))</f>
        <v/>
      </c>
      <c r="H298" t="str">
        <f>IF(CTR1_Local!$P329="","",IF($F298="Removed","",CTR1_Local!$P329))</f>
        <v/>
      </c>
      <c r="I298" t="str">
        <f>IF(CTR1_Local!$R329="","",IF($F298="Removed","",CTR1_Local!$R329))</f>
        <v/>
      </c>
      <c r="J298" s="160" t="str">
        <f>CTR1_Local!$H329</f>
        <v/>
      </c>
      <c r="K298" s="340" t="str">
        <f>CTR1_Local!$J329</f>
        <v/>
      </c>
      <c r="L298" s="350" t="str">
        <f>CTR1_Local!$L329</f>
        <v/>
      </c>
      <c r="M298" s="261" t="str">
        <f>IF(CTR1_Local!$V329="","",IF(CTR1_Local!$V329="Yes","confirm",""))</f>
        <v/>
      </c>
      <c r="N298" t="str">
        <f>IF(CTR1_Local!$W329="","",CTR1_Local!$W329)</f>
        <v/>
      </c>
    </row>
    <row r="299" spans="1:14" x14ac:dyDescent="0.2">
      <c r="A299" s="287" t="str">
        <f>IF(CTR1_Local!$D330="",CTR1_Local!B330,CTR1_Local!$D330)</f>
        <v/>
      </c>
      <c r="B299" s="26" t="str">
        <f>IF(A299="","",IF(RIGHT(A299,3)="NEW","Add new / another parish",CTR1_Local!$AN330))</f>
        <v/>
      </c>
      <c r="C299" s="26" t="str">
        <f t="shared" si="4"/>
        <v/>
      </c>
      <c r="D299" s="177" t="str">
        <f>IF(A299="","",IF(RIGHT(A299,3)="NEW",CTR1_Local!$E330,IF(CTR1_Local!$AO330="change",CTR1_Local!$E330,"")))</f>
        <v/>
      </c>
      <c r="E299" t="str">
        <f>IF(CTR1_Local!$F330="","",CTR1_Local!$F330)</f>
        <v/>
      </c>
      <c r="F299" s="261" t="str">
        <f>IF(CTR1_Local!$T330="","",IF(CTR1_Local!$T330="Yes","Removed",""))</f>
        <v/>
      </c>
      <c r="G299" t="str">
        <f>IF(CTR1_Local!$N330="","",IF(F299="Removed","",CTR1_Local!$N330))</f>
        <v/>
      </c>
      <c r="H299" t="str">
        <f>IF(CTR1_Local!$P330="","",IF($F299="Removed","",CTR1_Local!$P330))</f>
        <v/>
      </c>
      <c r="I299" t="str">
        <f>IF(CTR1_Local!$R330="","",IF($F299="Removed","",CTR1_Local!$R330))</f>
        <v/>
      </c>
      <c r="J299" s="160" t="str">
        <f>CTR1_Local!$H330</f>
        <v/>
      </c>
      <c r="K299" s="340" t="str">
        <f>CTR1_Local!$J330</f>
        <v/>
      </c>
      <c r="L299" s="350" t="str">
        <f>CTR1_Local!$L330</f>
        <v/>
      </c>
      <c r="M299" s="261" t="str">
        <f>IF(CTR1_Local!$V330="","",IF(CTR1_Local!$V330="Yes","confirm",""))</f>
        <v/>
      </c>
      <c r="N299" t="str">
        <f>IF(CTR1_Local!$W330="","",CTR1_Local!$W330)</f>
        <v/>
      </c>
    </row>
    <row r="300" spans="1:14" x14ac:dyDescent="0.2">
      <c r="A300" s="287" t="str">
        <f>IF(CTR1_Local!$D331="",CTR1_Local!B331,CTR1_Local!$D331)</f>
        <v/>
      </c>
      <c r="B300" s="26" t="str">
        <f>IF(A300="","",IF(RIGHT(A300,3)="NEW","Add new / another parish",CTR1_Local!$AN331))</f>
        <v/>
      </c>
      <c r="C300" s="26" t="str">
        <f t="shared" si="4"/>
        <v/>
      </c>
      <c r="D300" s="177" t="str">
        <f>IF(A300="","",IF(RIGHT(A300,3)="NEW",CTR1_Local!$E331,IF(CTR1_Local!$AO331="change",CTR1_Local!$E331,"")))</f>
        <v/>
      </c>
      <c r="E300" t="str">
        <f>IF(CTR1_Local!$F331="","",CTR1_Local!$F331)</f>
        <v/>
      </c>
      <c r="F300" s="261" t="str">
        <f>IF(CTR1_Local!$T331="","",IF(CTR1_Local!$T331="Yes","Removed",""))</f>
        <v/>
      </c>
      <c r="G300" t="str">
        <f>IF(CTR1_Local!$N331="","",IF(F300="Removed","",CTR1_Local!$N331))</f>
        <v/>
      </c>
      <c r="H300" t="str">
        <f>IF(CTR1_Local!$P331="","",IF($F300="Removed","",CTR1_Local!$P331))</f>
        <v/>
      </c>
      <c r="I300" t="str">
        <f>IF(CTR1_Local!$R331="","",IF($F300="Removed","",CTR1_Local!$R331))</f>
        <v/>
      </c>
      <c r="J300" s="160" t="str">
        <f>CTR1_Local!$H331</f>
        <v/>
      </c>
      <c r="K300" s="340" t="str">
        <f>CTR1_Local!$J331</f>
        <v/>
      </c>
      <c r="L300" s="350" t="str">
        <f>CTR1_Local!$L331</f>
        <v/>
      </c>
      <c r="M300" s="261" t="str">
        <f>IF(CTR1_Local!$V331="","",IF(CTR1_Local!$V331="Yes","confirm",""))</f>
        <v/>
      </c>
      <c r="N300" t="str">
        <f>IF(CTR1_Local!$W331="","",CTR1_Local!$W331)</f>
        <v/>
      </c>
    </row>
    <row r="301" spans="1:14" x14ac:dyDescent="0.2">
      <c r="A301" s="287" t="str">
        <f>IF(CTR1_Local!$D332="",CTR1_Local!B332,CTR1_Local!$D332)</f>
        <v/>
      </c>
      <c r="B301" s="26" t="str">
        <f>IF(A301="","",IF(RIGHT(A301,3)="NEW","Add new / another parish",CTR1_Local!$AN332))</f>
        <v/>
      </c>
      <c r="C301" s="26" t="str">
        <f t="shared" si="4"/>
        <v/>
      </c>
      <c r="D301" s="177" t="str">
        <f>IF(A301="","",IF(RIGHT(A301,3)="NEW",CTR1_Local!$E332,IF(CTR1_Local!$AO332="change",CTR1_Local!$E332,"")))</f>
        <v/>
      </c>
      <c r="E301" t="str">
        <f>IF(CTR1_Local!$F332="","",CTR1_Local!$F332)</f>
        <v/>
      </c>
      <c r="F301" s="261" t="str">
        <f>IF(CTR1_Local!$T332="","",IF(CTR1_Local!$T332="Yes","Removed",""))</f>
        <v/>
      </c>
      <c r="G301" t="str">
        <f>IF(CTR1_Local!$N332="","",IF(F301="Removed","",CTR1_Local!$N332))</f>
        <v/>
      </c>
      <c r="H301" t="str">
        <f>IF(CTR1_Local!$P332="","",IF($F301="Removed","",CTR1_Local!$P332))</f>
        <v/>
      </c>
      <c r="I301" t="str">
        <f>IF(CTR1_Local!$R332="","",IF($F301="Removed","",CTR1_Local!$R332))</f>
        <v/>
      </c>
      <c r="J301" s="160" t="str">
        <f>CTR1_Local!$H332</f>
        <v/>
      </c>
      <c r="K301" s="340" t="str">
        <f>CTR1_Local!$J332</f>
        <v/>
      </c>
      <c r="L301" s="350" t="str">
        <f>CTR1_Local!$L332</f>
        <v/>
      </c>
      <c r="M301" s="261" t="str">
        <f>IF(CTR1_Local!$V332="","",IF(CTR1_Local!$V332="Yes","confirm",""))</f>
        <v/>
      </c>
      <c r="N301" t="str">
        <f>IF(CTR1_Local!$W332="","",CTR1_Local!$W332)</f>
        <v/>
      </c>
    </row>
    <row r="302" spans="1:14" x14ac:dyDescent="0.2">
      <c r="A302" s="287" t="str">
        <f>IF(CTR1_Local!$D333="",CTR1_Local!B333,CTR1_Local!$D333)</f>
        <v/>
      </c>
      <c r="B302" s="26" t="str">
        <f>IF(A302="","",IF(RIGHT(A302,3)="NEW","Add new / another parish",CTR1_Local!$AN333))</f>
        <v/>
      </c>
      <c r="C302" s="26" t="str">
        <f t="shared" si="4"/>
        <v/>
      </c>
      <c r="D302" s="177" t="str">
        <f>IF(A302="","",IF(RIGHT(A302,3)="NEW",CTR1_Local!$E333,IF(CTR1_Local!$AO333="change",CTR1_Local!$E333,"")))</f>
        <v/>
      </c>
      <c r="E302" t="str">
        <f>IF(CTR1_Local!$F333="","",CTR1_Local!$F333)</f>
        <v/>
      </c>
      <c r="F302" s="261" t="str">
        <f>IF(CTR1_Local!$T333="","",IF(CTR1_Local!$T333="Yes","Removed",""))</f>
        <v/>
      </c>
      <c r="G302" t="str">
        <f>IF(CTR1_Local!$N333="","",IF(F302="Removed","",CTR1_Local!$N333))</f>
        <v/>
      </c>
      <c r="H302" t="str">
        <f>IF(CTR1_Local!$P333="","",IF($F302="Removed","",CTR1_Local!$P333))</f>
        <v/>
      </c>
      <c r="I302" t="str">
        <f>IF(CTR1_Local!$R333="","",IF($F302="Removed","",CTR1_Local!$R333))</f>
        <v/>
      </c>
      <c r="J302" s="160" t="str">
        <f>CTR1_Local!$H333</f>
        <v/>
      </c>
      <c r="K302" s="340" t="str">
        <f>CTR1_Local!$J333</f>
        <v/>
      </c>
      <c r="L302" s="350" t="str">
        <f>CTR1_Local!$L333</f>
        <v/>
      </c>
      <c r="M302" s="261" t="str">
        <f>IF(CTR1_Local!$V333="","",IF(CTR1_Local!$V333="Yes","confirm",""))</f>
        <v/>
      </c>
      <c r="N302" t="str">
        <f>IF(CTR1_Local!$W333="","",CTR1_Local!$W333)</f>
        <v/>
      </c>
    </row>
    <row r="303" spans="1:14" x14ac:dyDescent="0.2">
      <c r="A303" s="287" t="str">
        <f>IF(CTR1_Local!$D334="",CTR1_Local!B334,CTR1_Local!$D334)</f>
        <v/>
      </c>
      <c r="B303" s="26" t="str">
        <f>IF(A303="","",IF(RIGHT(A303,3)="NEW","Add new / another parish",CTR1_Local!$AN334))</f>
        <v/>
      </c>
      <c r="C303" s="26" t="str">
        <f t="shared" si="4"/>
        <v/>
      </c>
      <c r="D303" s="177" t="str">
        <f>IF(A303="","",IF(RIGHT(A303,3)="NEW",CTR1_Local!$E334,IF(CTR1_Local!$AO334="change",CTR1_Local!$E334,"")))</f>
        <v/>
      </c>
      <c r="E303" t="str">
        <f>IF(CTR1_Local!$F334="","",CTR1_Local!$F334)</f>
        <v/>
      </c>
      <c r="F303" s="261" t="str">
        <f>IF(CTR1_Local!$T334="","",IF(CTR1_Local!$T334="Yes","Removed",""))</f>
        <v/>
      </c>
      <c r="G303" t="str">
        <f>IF(CTR1_Local!$N334="","",IF(F303="Removed","",CTR1_Local!$N334))</f>
        <v/>
      </c>
      <c r="H303" t="str">
        <f>IF(CTR1_Local!$P334="","",IF($F303="Removed","",CTR1_Local!$P334))</f>
        <v/>
      </c>
      <c r="I303" t="str">
        <f>IF(CTR1_Local!$R334="","",IF($F303="Removed","",CTR1_Local!$R334))</f>
        <v/>
      </c>
      <c r="J303" s="160" t="str">
        <f>CTR1_Local!$H334</f>
        <v/>
      </c>
      <c r="K303" s="340" t="str">
        <f>CTR1_Local!$J334</f>
        <v/>
      </c>
      <c r="L303" s="350" t="str">
        <f>CTR1_Local!$L334</f>
        <v/>
      </c>
      <c r="M303" s="261" t="str">
        <f>IF(CTR1_Local!$V334="","",IF(CTR1_Local!$V334="Yes","confirm",""))</f>
        <v/>
      </c>
      <c r="N303" t="str">
        <f>IF(CTR1_Local!$W334="","",CTR1_Local!$W334)</f>
        <v/>
      </c>
    </row>
    <row r="304" spans="1:14" x14ac:dyDescent="0.2">
      <c r="A304" s="287" t="str">
        <f>IF(CTR1_Local!$D335="",CTR1_Local!B335,CTR1_Local!$D335)</f>
        <v/>
      </c>
      <c r="B304" s="26" t="str">
        <f>IF(A304="","",IF(RIGHT(A304,3)="NEW","Add new / another parish",CTR1_Local!$AN335))</f>
        <v/>
      </c>
      <c r="C304" s="26" t="str">
        <f t="shared" si="4"/>
        <v/>
      </c>
      <c r="D304" s="177" t="str">
        <f>IF(A304="","",IF(RIGHT(A304,3)="NEW",CTR1_Local!$E335,IF(CTR1_Local!$AO335="change",CTR1_Local!$E335,"")))</f>
        <v/>
      </c>
      <c r="E304" t="str">
        <f>IF(CTR1_Local!$F335="","",CTR1_Local!$F335)</f>
        <v/>
      </c>
      <c r="F304" s="261" t="str">
        <f>IF(CTR1_Local!$T335="","",IF(CTR1_Local!$T335="Yes","Removed",""))</f>
        <v/>
      </c>
      <c r="G304" t="str">
        <f>IF(CTR1_Local!$N335="","",IF(F304="Removed","",CTR1_Local!$N335))</f>
        <v/>
      </c>
      <c r="H304" t="str">
        <f>IF(CTR1_Local!$P335="","",IF($F304="Removed","",CTR1_Local!$P335))</f>
        <v/>
      </c>
      <c r="I304" t="str">
        <f>IF(CTR1_Local!$R335="","",IF($F304="Removed","",CTR1_Local!$R335))</f>
        <v/>
      </c>
      <c r="J304" s="160" t="str">
        <f>CTR1_Local!$H335</f>
        <v/>
      </c>
      <c r="K304" s="340" t="str">
        <f>CTR1_Local!$J335</f>
        <v/>
      </c>
      <c r="L304" s="350" t="str">
        <f>CTR1_Local!$L335</f>
        <v/>
      </c>
      <c r="M304" s="261" t="str">
        <f>IF(CTR1_Local!$V335="","",IF(CTR1_Local!$V335="Yes","confirm",""))</f>
        <v/>
      </c>
      <c r="N304" t="str">
        <f>IF(CTR1_Local!$W335="","",CTR1_Local!$W335)</f>
        <v/>
      </c>
    </row>
    <row r="305" spans="1:14" x14ac:dyDescent="0.2">
      <c r="A305" s="287" t="str">
        <f>IF(CTR1_Local!$D336="",CTR1_Local!B336,CTR1_Local!$D336)</f>
        <v/>
      </c>
      <c r="B305" s="26" t="str">
        <f>IF(A305="","",IF(RIGHT(A305,3)="NEW","Add new / another parish",CTR1_Local!$AN336))</f>
        <v/>
      </c>
      <c r="C305" s="26" t="str">
        <f t="shared" si="4"/>
        <v/>
      </c>
      <c r="D305" s="177" t="str">
        <f>IF(A305="","",IF(RIGHT(A305,3)="NEW",CTR1_Local!$E336,IF(CTR1_Local!$AO336="change",CTR1_Local!$E336,"")))</f>
        <v/>
      </c>
      <c r="E305" t="str">
        <f>IF(CTR1_Local!$F336="","",CTR1_Local!$F336)</f>
        <v/>
      </c>
      <c r="F305" s="261" t="str">
        <f>IF(CTR1_Local!$T336="","",IF(CTR1_Local!$T336="Yes","Removed",""))</f>
        <v/>
      </c>
      <c r="G305" t="str">
        <f>IF(CTR1_Local!$N336="","",IF(F305="Removed","",CTR1_Local!$N336))</f>
        <v/>
      </c>
      <c r="H305" t="str">
        <f>IF(CTR1_Local!$P336="","",IF($F305="Removed","",CTR1_Local!$P336))</f>
        <v/>
      </c>
      <c r="I305" t="str">
        <f>IF(CTR1_Local!$R336="","",IF($F305="Removed","",CTR1_Local!$R336))</f>
        <v/>
      </c>
      <c r="J305" s="160" t="str">
        <f>CTR1_Local!$H336</f>
        <v/>
      </c>
      <c r="K305" s="340" t="str">
        <f>CTR1_Local!$J336</f>
        <v/>
      </c>
      <c r="L305" s="350" t="str">
        <f>CTR1_Local!$L336</f>
        <v/>
      </c>
      <c r="M305" s="261" t="str">
        <f>IF(CTR1_Local!$V336="","",IF(CTR1_Local!$V336="Yes","confirm",""))</f>
        <v/>
      </c>
      <c r="N305" t="str">
        <f>IF(CTR1_Local!$W336="","",CTR1_Local!$W336)</f>
        <v/>
      </c>
    </row>
    <row r="306" spans="1:14" x14ac:dyDescent="0.2">
      <c r="A306" s="287" t="str">
        <f>IF(CTR1_Local!$D337="",CTR1_Local!B337,CTR1_Local!$D337)</f>
        <v/>
      </c>
      <c r="B306" s="26" t="str">
        <f>IF(A306="","",IF(RIGHT(A306,3)="NEW","Add new / another parish",CTR1_Local!$AN337))</f>
        <v/>
      </c>
      <c r="C306" s="26" t="str">
        <f t="shared" si="4"/>
        <v/>
      </c>
      <c r="D306" s="177" t="str">
        <f>IF(A306="","",IF(RIGHT(A306,3)="NEW",CTR1_Local!$E337,IF(CTR1_Local!$AO337="change",CTR1_Local!$E337,"")))</f>
        <v/>
      </c>
      <c r="E306" t="str">
        <f>IF(CTR1_Local!$F337="","",CTR1_Local!$F337)</f>
        <v/>
      </c>
      <c r="F306" s="261" t="str">
        <f>IF(CTR1_Local!$T337="","",IF(CTR1_Local!$T337="Yes","Removed",""))</f>
        <v/>
      </c>
      <c r="G306" t="str">
        <f>IF(CTR1_Local!$N337="","",IF(F306="Removed","",CTR1_Local!$N337))</f>
        <v/>
      </c>
      <c r="H306" t="str">
        <f>IF(CTR1_Local!$P337="","",IF($F306="Removed","",CTR1_Local!$P337))</f>
        <v/>
      </c>
      <c r="I306" t="str">
        <f>IF(CTR1_Local!$R337="","",IF($F306="Removed","",CTR1_Local!$R337))</f>
        <v/>
      </c>
      <c r="J306" s="160" t="str">
        <f>CTR1_Local!$H337</f>
        <v/>
      </c>
      <c r="K306" s="340" t="str">
        <f>CTR1_Local!$J337</f>
        <v/>
      </c>
      <c r="L306" s="350" t="str">
        <f>CTR1_Local!$L337</f>
        <v/>
      </c>
      <c r="M306" s="261" t="str">
        <f>IF(CTR1_Local!$V337="","",IF(CTR1_Local!$V337="Yes","confirm",""))</f>
        <v/>
      </c>
      <c r="N306" t="str">
        <f>IF(CTR1_Local!$W337="","",CTR1_Local!$W337)</f>
        <v/>
      </c>
    </row>
    <row r="307" spans="1:14" x14ac:dyDescent="0.2">
      <c r="A307" s="287" t="str">
        <f>IF(CTR1_Local!$D338="",CTR1_Local!B338,CTR1_Local!$D338)</f>
        <v/>
      </c>
      <c r="B307" s="26" t="str">
        <f>IF(A307="","",IF(RIGHT(A307,3)="NEW","Add new / another parish",CTR1_Local!$AN338))</f>
        <v/>
      </c>
      <c r="C307" s="26" t="str">
        <f t="shared" si="4"/>
        <v/>
      </c>
      <c r="D307" s="177" t="str">
        <f>IF(A307="","",IF(RIGHT(A307,3)="NEW",CTR1_Local!$E338,IF(CTR1_Local!$AO338="change",CTR1_Local!$E338,"")))</f>
        <v/>
      </c>
      <c r="E307" t="str">
        <f>IF(CTR1_Local!$F338="","",CTR1_Local!$F338)</f>
        <v/>
      </c>
      <c r="F307" s="261" t="str">
        <f>IF(CTR1_Local!$T338="","",IF(CTR1_Local!$T338="Yes","Removed",""))</f>
        <v/>
      </c>
      <c r="G307" t="str">
        <f>IF(CTR1_Local!$N338="","",IF(F307="Removed","",CTR1_Local!$N338))</f>
        <v/>
      </c>
      <c r="H307" t="str">
        <f>IF(CTR1_Local!$P338="","",IF($F307="Removed","",CTR1_Local!$P338))</f>
        <v/>
      </c>
      <c r="I307" t="str">
        <f>IF(CTR1_Local!$R338="","",IF($F307="Removed","",CTR1_Local!$R338))</f>
        <v/>
      </c>
      <c r="J307" s="160" t="str">
        <f>CTR1_Local!$H338</f>
        <v/>
      </c>
      <c r="K307" s="340" t="str">
        <f>CTR1_Local!$J338</f>
        <v/>
      </c>
      <c r="L307" s="350" t="str">
        <f>CTR1_Local!$L338</f>
        <v/>
      </c>
      <c r="M307" s="261" t="str">
        <f>IF(CTR1_Local!$V338="","",IF(CTR1_Local!$V338="Yes","confirm",""))</f>
        <v/>
      </c>
      <c r="N307" t="str">
        <f>IF(CTR1_Local!$W338="","",CTR1_Local!$W338)</f>
        <v/>
      </c>
    </row>
    <row r="308" spans="1:14" x14ac:dyDescent="0.2">
      <c r="A308" s="287" t="str">
        <f>IF(CTR1_Local!$D339="",CTR1_Local!B339,CTR1_Local!$D339)</f>
        <v/>
      </c>
      <c r="B308" s="26" t="str">
        <f>IF(A308="","",IF(RIGHT(A308,3)="NEW","Add new / another parish",CTR1_Local!$AN339))</f>
        <v/>
      </c>
      <c r="C308" s="26" t="str">
        <f t="shared" si="4"/>
        <v/>
      </c>
      <c r="D308" s="177" t="str">
        <f>IF(A308="","",IF(RIGHT(A308,3)="NEW",CTR1_Local!$E339,IF(CTR1_Local!$AO339="change",CTR1_Local!$E339,"")))</f>
        <v/>
      </c>
      <c r="E308" t="str">
        <f>IF(CTR1_Local!$F339="","",CTR1_Local!$F339)</f>
        <v/>
      </c>
      <c r="F308" s="261" t="str">
        <f>IF(CTR1_Local!$T339="","",IF(CTR1_Local!$T339="Yes","Removed",""))</f>
        <v/>
      </c>
      <c r="G308" t="str">
        <f>IF(CTR1_Local!$N339="","",IF(F308="Removed","",CTR1_Local!$N339))</f>
        <v/>
      </c>
      <c r="H308" t="str">
        <f>IF(CTR1_Local!$P339="","",IF($F308="Removed","",CTR1_Local!$P339))</f>
        <v/>
      </c>
      <c r="I308" t="str">
        <f>IF(CTR1_Local!$R339="","",IF($F308="Removed","",CTR1_Local!$R339))</f>
        <v/>
      </c>
      <c r="J308" s="160" t="str">
        <f>CTR1_Local!$H339</f>
        <v/>
      </c>
      <c r="K308" s="340" t="str">
        <f>CTR1_Local!$J339</f>
        <v/>
      </c>
      <c r="L308" s="350" t="str">
        <f>CTR1_Local!$L339</f>
        <v/>
      </c>
      <c r="M308" s="261" t="str">
        <f>IF(CTR1_Local!$V339="","",IF(CTR1_Local!$V339="Yes","confirm",""))</f>
        <v/>
      </c>
      <c r="N308" t="str">
        <f>IF(CTR1_Local!$W339="","",CTR1_Local!$W339)</f>
        <v/>
      </c>
    </row>
    <row r="309" spans="1:14" x14ac:dyDescent="0.2">
      <c r="A309" s="287" t="str">
        <f>IF(CTR1_Local!$D340="",CTR1_Local!B340,CTR1_Local!$D340)</f>
        <v/>
      </c>
      <c r="B309" s="26" t="str">
        <f>IF(A309="","",IF(RIGHT(A309,3)="NEW","Add new / another parish",CTR1_Local!$AN340))</f>
        <v/>
      </c>
      <c r="C309" s="26" t="str">
        <f t="shared" si="4"/>
        <v/>
      </c>
      <c r="D309" s="177" t="str">
        <f>IF(A309="","",IF(RIGHT(A309,3)="NEW",CTR1_Local!$E340,IF(CTR1_Local!$AO340="change",CTR1_Local!$E340,"")))</f>
        <v/>
      </c>
      <c r="E309" t="str">
        <f>IF(CTR1_Local!$F340="","",CTR1_Local!$F340)</f>
        <v/>
      </c>
      <c r="F309" s="261" t="str">
        <f>IF(CTR1_Local!$T340="","",IF(CTR1_Local!$T340="Yes","Removed",""))</f>
        <v/>
      </c>
      <c r="G309" t="str">
        <f>IF(CTR1_Local!$N340="","",IF(F309="Removed","",CTR1_Local!$N340))</f>
        <v/>
      </c>
      <c r="H309" t="str">
        <f>IF(CTR1_Local!$P340="","",IF($F309="Removed","",CTR1_Local!$P340))</f>
        <v/>
      </c>
      <c r="I309" t="str">
        <f>IF(CTR1_Local!$R340="","",IF($F309="Removed","",CTR1_Local!$R340))</f>
        <v/>
      </c>
      <c r="J309" s="160" t="str">
        <f>CTR1_Local!$H340</f>
        <v/>
      </c>
      <c r="K309" s="340" t="str">
        <f>CTR1_Local!$J340</f>
        <v/>
      </c>
      <c r="L309" s="350" t="str">
        <f>CTR1_Local!$L340</f>
        <v/>
      </c>
      <c r="M309" s="261" t="str">
        <f>IF(CTR1_Local!$V340="","",IF(CTR1_Local!$V340="Yes","confirm",""))</f>
        <v/>
      </c>
      <c r="N309" t="str">
        <f>IF(CTR1_Local!$W340="","",CTR1_Local!$W340)</f>
        <v/>
      </c>
    </row>
    <row r="310" spans="1:14" x14ac:dyDescent="0.2">
      <c r="A310" s="287" t="str">
        <f>IF(CTR1_Local!$D341="",CTR1_Local!B341,CTR1_Local!$D341)</f>
        <v/>
      </c>
      <c r="B310" s="26" t="str">
        <f>IF(A310="","",IF(RIGHT(A310,3)="NEW","Add new / another parish",CTR1_Local!$AN341))</f>
        <v/>
      </c>
      <c r="C310" s="26" t="str">
        <f t="shared" si="4"/>
        <v/>
      </c>
      <c r="D310" s="177" t="str">
        <f>IF(A310="","",IF(RIGHT(A310,3)="NEW",CTR1_Local!$E341,IF(CTR1_Local!$AO341="change",CTR1_Local!$E341,"")))</f>
        <v/>
      </c>
      <c r="E310" t="str">
        <f>IF(CTR1_Local!$F341="","",CTR1_Local!$F341)</f>
        <v/>
      </c>
      <c r="F310" s="261" t="str">
        <f>IF(CTR1_Local!$T341="","",IF(CTR1_Local!$T341="Yes","Removed",""))</f>
        <v/>
      </c>
      <c r="G310" t="str">
        <f>IF(CTR1_Local!$N341="","",IF(F310="Removed","",CTR1_Local!$N341))</f>
        <v/>
      </c>
      <c r="H310" t="str">
        <f>IF(CTR1_Local!$P341="","",IF($F310="Removed","",CTR1_Local!$P341))</f>
        <v/>
      </c>
      <c r="I310" t="str">
        <f>IF(CTR1_Local!$R341="","",IF($F310="Removed","",CTR1_Local!$R341))</f>
        <v/>
      </c>
      <c r="J310" s="160" t="str">
        <f>CTR1_Local!$H341</f>
        <v/>
      </c>
      <c r="K310" s="340" t="str">
        <f>CTR1_Local!$J341</f>
        <v/>
      </c>
      <c r="L310" s="350" t="str">
        <f>CTR1_Local!$L341</f>
        <v/>
      </c>
      <c r="M310" s="261" t="str">
        <f>IF(CTR1_Local!$V341="","",IF(CTR1_Local!$V341="Yes","confirm",""))</f>
        <v/>
      </c>
      <c r="N310" t="str">
        <f>IF(CTR1_Local!$W341="","",CTR1_Local!$W341)</f>
        <v/>
      </c>
    </row>
    <row r="311" spans="1:14" x14ac:dyDescent="0.2">
      <c r="A311" s="287" t="str">
        <f>IF(CTR1_Local!$D342="",CTR1_Local!B342,CTR1_Local!$D342)</f>
        <v/>
      </c>
      <c r="B311" s="26" t="str">
        <f>IF(A311="","",IF(RIGHT(A311,3)="NEW","Add new / another parish",CTR1_Local!$AN342))</f>
        <v/>
      </c>
      <c r="C311" s="26" t="str">
        <f t="shared" si="4"/>
        <v/>
      </c>
      <c r="D311" s="177" t="str">
        <f>IF(A311="","",IF(RIGHT(A311,3)="NEW",CTR1_Local!$E342,IF(CTR1_Local!$AO342="change",CTR1_Local!$E342,"")))</f>
        <v/>
      </c>
      <c r="E311" t="str">
        <f>IF(CTR1_Local!$F342="","",CTR1_Local!$F342)</f>
        <v/>
      </c>
      <c r="F311" s="261" t="str">
        <f>IF(CTR1_Local!$T342="","",IF(CTR1_Local!$T342="Yes","Removed",""))</f>
        <v/>
      </c>
      <c r="G311" t="str">
        <f>IF(CTR1_Local!$N342="","",IF(F311="Removed","",CTR1_Local!$N342))</f>
        <v/>
      </c>
      <c r="H311" t="str">
        <f>IF(CTR1_Local!$P342="","",IF($F311="Removed","",CTR1_Local!$P342))</f>
        <v/>
      </c>
      <c r="I311" t="str">
        <f>IF(CTR1_Local!$R342="","",IF($F311="Removed","",CTR1_Local!$R342))</f>
        <v/>
      </c>
      <c r="J311" s="160" t="str">
        <f>CTR1_Local!$H342</f>
        <v/>
      </c>
      <c r="K311" s="340" t="str">
        <f>CTR1_Local!$J342</f>
        <v/>
      </c>
      <c r="L311" s="350" t="str">
        <f>CTR1_Local!$L342</f>
        <v/>
      </c>
      <c r="M311" s="261" t="str">
        <f>IF(CTR1_Local!$V342="","",IF(CTR1_Local!$V342="Yes","confirm",""))</f>
        <v/>
      </c>
      <c r="N311" t="str">
        <f>IF(CTR1_Local!$W342="","",CTR1_Local!$W342)</f>
        <v/>
      </c>
    </row>
    <row r="312" spans="1:14" x14ac:dyDescent="0.2">
      <c r="A312" s="287" t="str">
        <f>IF(CTR1_Local!$D343="",CTR1_Local!B343,CTR1_Local!$D343)</f>
        <v/>
      </c>
      <c r="B312" s="26" t="str">
        <f>IF(A312="","",IF(RIGHT(A312,3)="NEW","Add new / another parish",CTR1_Local!$AN343))</f>
        <v/>
      </c>
      <c r="C312" s="26" t="str">
        <f t="shared" si="4"/>
        <v/>
      </c>
      <c r="D312" s="177" t="str">
        <f>IF(A312="","",IF(RIGHT(A312,3)="NEW",CTR1_Local!$E343,IF(CTR1_Local!$AO343="change",CTR1_Local!$E343,"")))</f>
        <v/>
      </c>
      <c r="E312" t="str">
        <f>IF(CTR1_Local!$F343="","",CTR1_Local!$F343)</f>
        <v/>
      </c>
      <c r="F312" s="261" t="str">
        <f>IF(CTR1_Local!$T343="","",IF(CTR1_Local!$T343="Yes","Removed",""))</f>
        <v/>
      </c>
      <c r="G312" t="str">
        <f>IF(CTR1_Local!$N343="","",IF(F312="Removed","",CTR1_Local!$N343))</f>
        <v/>
      </c>
      <c r="H312" t="str">
        <f>IF(CTR1_Local!$P343="","",IF($F312="Removed","",CTR1_Local!$P343))</f>
        <v/>
      </c>
      <c r="I312" t="str">
        <f>IF(CTR1_Local!$R343="","",IF($F312="Removed","",CTR1_Local!$R343))</f>
        <v/>
      </c>
      <c r="J312" s="160" t="str">
        <f>CTR1_Local!$H343</f>
        <v/>
      </c>
      <c r="K312" s="340" t="str">
        <f>CTR1_Local!$J343</f>
        <v/>
      </c>
      <c r="L312" s="350" t="str">
        <f>CTR1_Local!$L343</f>
        <v/>
      </c>
      <c r="M312" s="261" t="str">
        <f>IF(CTR1_Local!$V343="","",IF(CTR1_Local!$V343="Yes","confirm",""))</f>
        <v/>
      </c>
      <c r="N312" t="str">
        <f>IF(CTR1_Local!$W343="","",CTR1_Local!$W343)</f>
        <v/>
      </c>
    </row>
    <row r="313" spans="1:14" x14ac:dyDescent="0.2">
      <c r="A313" s="287" t="str">
        <f>IF(CTR1_Local!$D344="",CTR1_Local!B344,CTR1_Local!$D344)</f>
        <v/>
      </c>
      <c r="B313" s="26" t="str">
        <f>IF(A313="","",IF(RIGHT(A313,3)="NEW","Add new / another parish",CTR1_Local!$AN344))</f>
        <v/>
      </c>
      <c r="C313" s="26" t="str">
        <f t="shared" si="4"/>
        <v/>
      </c>
      <c r="D313" s="177" t="str">
        <f>IF(A313="","",IF(RIGHT(A313,3)="NEW",CTR1_Local!$E344,IF(CTR1_Local!$AO344="change",CTR1_Local!$E344,"")))</f>
        <v/>
      </c>
      <c r="E313" t="str">
        <f>IF(CTR1_Local!$F344="","",CTR1_Local!$F344)</f>
        <v/>
      </c>
      <c r="F313" s="261" t="str">
        <f>IF(CTR1_Local!$T344="","",IF(CTR1_Local!$T344="Yes","Removed",""))</f>
        <v/>
      </c>
      <c r="G313" t="str">
        <f>IF(CTR1_Local!$N344="","",IF(F313="Removed","",CTR1_Local!$N344))</f>
        <v/>
      </c>
      <c r="H313" t="str">
        <f>IF(CTR1_Local!$P344="","",IF($F313="Removed","",CTR1_Local!$P344))</f>
        <v/>
      </c>
      <c r="I313" t="str">
        <f>IF(CTR1_Local!$R344="","",IF($F313="Removed","",CTR1_Local!$R344))</f>
        <v/>
      </c>
      <c r="J313" s="160" t="str">
        <f>CTR1_Local!$H344</f>
        <v/>
      </c>
      <c r="K313" s="340" t="str">
        <f>CTR1_Local!$J344</f>
        <v/>
      </c>
      <c r="L313" s="350" t="str">
        <f>CTR1_Local!$L344</f>
        <v/>
      </c>
      <c r="M313" s="261" t="str">
        <f>IF(CTR1_Local!$V344="","",IF(CTR1_Local!$V344="Yes","confirm",""))</f>
        <v/>
      </c>
      <c r="N313" t="str">
        <f>IF(CTR1_Local!$W344="","",CTR1_Local!$W344)</f>
        <v/>
      </c>
    </row>
    <row r="314" spans="1:14" x14ac:dyDescent="0.2">
      <c r="A314" s="287" t="str">
        <f>IF(CTR1_Local!$D345="",CTR1_Local!B345,CTR1_Local!$D345)</f>
        <v/>
      </c>
      <c r="B314" s="26" t="str">
        <f>IF(A314="","",IF(RIGHT(A314,3)="NEW","Add new / another parish",CTR1_Local!$AN345))</f>
        <v/>
      </c>
      <c r="C314" s="26" t="str">
        <f t="shared" si="4"/>
        <v/>
      </c>
      <c r="D314" s="177" t="str">
        <f>IF(A314="","",IF(RIGHT(A314,3)="NEW",CTR1_Local!$E345,IF(CTR1_Local!$AO345="change",CTR1_Local!$E345,"")))</f>
        <v/>
      </c>
      <c r="E314" t="str">
        <f>IF(CTR1_Local!$F345="","",CTR1_Local!$F345)</f>
        <v/>
      </c>
      <c r="F314" s="261" t="str">
        <f>IF(CTR1_Local!$T345="","",IF(CTR1_Local!$T345="Yes","Removed",""))</f>
        <v/>
      </c>
      <c r="G314" t="str">
        <f>IF(CTR1_Local!$N345="","",IF(F314="Removed","",CTR1_Local!$N345))</f>
        <v/>
      </c>
      <c r="H314" t="str">
        <f>IF(CTR1_Local!$P345="","",IF($F314="Removed","",CTR1_Local!$P345))</f>
        <v/>
      </c>
      <c r="I314" t="str">
        <f>IF(CTR1_Local!$R345="","",IF($F314="Removed","",CTR1_Local!$R345))</f>
        <v/>
      </c>
      <c r="J314" s="160" t="str">
        <f>CTR1_Local!$H345</f>
        <v/>
      </c>
      <c r="K314" s="340" t="str">
        <f>CTR1_Local!$J345</f>
        <v/>
      </c>
      <c r="L314" s="350" t="str">
        <f>CTR1_Local!$L345</f>
        <v/>
      </c>
      <c r="M314" s="261" t="str">
        <f>IF(CTR1_Local!$V345="","",IF(CTR1_Local!$V345="Yes","confirm",""))</f>
        <v/>
      </c>
      <c r="N314" t="str">
        <f>IF(CTR1_Local!$W345="","",CTR1_Local!$W345)</f>
        <v/>
      </c>
    </row>
    <row r="315" spans="1:14" x14ac:dyDescent="0.2">
      <c r="A315" s="287" t="str">
        <f>IF(CTR1_Local!$D346="",CTR1_Local!B346,CTR1_Local!$D346)</f>
        <v/>
      </c>
      <c r="B315" s="26" t="str">
        <f>IF(A315="","",IF(RIGHT(A315,3)="NEW","Add new / another parish",CTR1_Local!$AN346))</f>
        <v/>
      </c>
      <c r="C315" s="26" t="str">
        <f t="shared" si="4"/>
        <v/>
      </c>
      <c r="D315" s="177" t="str">
        <f>IF(A315="","",IF(RIGHT(A315,3)="NEW",CTR1_Local!$E346,IF(CTR1_Local!$AO346="change",CTR1_Local!$E346,"")))</f>
        <v/>
      </c>
      <c r="E315" t="str">
        <f>IF(CTR1_Local!$F346="","",CTR1_Local!$F346)</f>
        <v/>
      </c>
      <c r="F315" s="261" t="str">
        <f>IF(CTR1_Local!$T346="","",IF(CTR1_Local!$T346="Yes","Removed",""))</f>
        <v/>
      </c>
      <c r="G315" t="str">
        <f>IF(CTR1_Local!$N346="","",IF(F315="Removed","",CTR1_Local!$N346))</f>
        <v/>
      </c>
      <c r="H315" t="str">
        <f>IF(CTR1_Local!$P346="","",IF($F315="Removed","",CTR1_Local!$P346))</f>
        <v/>
      </c>
      <c r="I315" t="str">
        <f>IF(CTR1_Local!$R346="","",IF($F315="Removed","",CTR1_Local!$R346))</f>
        <v/>
      </c>
      <c r="J315" s="160" t="str">
        <f>CTR1_Local!$H346</f>
        <v/>
      </c>
      <c r="K315" s="340" t="str">
        <f>CTR1_Local!$J346</f>
        <v/>
      </c>
      <c r="L315" s="350" t="str">
        <f>CTR1_Local!$L346</f>
        <v/>
      </c>
      <c r="M315" s="261" t="str">
        <f>IF(CTR1_Local!$V346="","",IF(CTR1_Local!$V346="Yes","confirm",""))</f>
        <v/>
      </c>
      <c r="N315" t="str">
        <f>IF(CTR1_Local!$W346="","",CTR1_Local!$W346)</f>
        <v/>
      </c>
    </row>
    <row r="316" spans="1:14" x14ac:dyDescent="0.2">
      <c r="A316" s="287" t="str">
        <f>IF(CTR1_Local!$D347="",CTR1_Local!B347,CTR1_Local!$D347)</f>
        <v/>
      </c>
      <c r="B316" s="26" t="str">
        <f>IF(A316="","",IF(RIGHT(A316,3)="NEW","Add new / another parish",CTR1_Local!$AN347))</f>
        <v/>
      </c>
      <c r="C316" s="26" t="str">
        <f t="shared" si="4"/>
        <v/>
      </c>
      <c r="D316" s="177" t="str">
        <f>IF(A316="","",IF(RIGHT(A316,3)="NEW",CTR1_Local!$E347,IF(CTR1_Local!$AO347="change",CTR1_Local!$E347,"")))</f>
        <v/>
      </c>
      <c r="E316" t="str">
        <f>IF(CTR1_Local!$F347="","",CTR1_Local!$F347)</f>
        <v/>
      </c>
      <c r="F316" s="261" t="str">
        <f>IF(CTR1_Local!$T347="","",IF(CTR1_Local!$T347="Yes","Removed",""))</f>
        <v/>
      </c>
      <c r="G316" t="str">
        <f>IF(CTR1_Local!$N347="","",IF(F316="Removed","",CTR1_Local!$N347))</f>
        <v/>
      </c>
      <c r="H316" t="str">
        <f>IF(CTR1_Local!$P347="","",IF($F316="Removed","",CTR1_Local!$P347))</f>
        <v/>
      </c>
      <c r="I316" t="str">
        <f>IF(CTR1_Local!$R347="","",IF($F316="Removed","",CTR1_Local!$R347))</f>
        <v/>
      </c>
      <c r="J316" s="160" t="str">
        <f>CTR1_Local!$H347</f>
        <v/>
      </c>
      <c r="K316" s="340" t="str">
        <f>CTR1_Local!$J347</f>
        <v/>
      </c>
      <c r="L316" s="350" t="str">
        <f>CTR1_Local!$L347</f>
        <v/>
      </c>
      <c r="M316" s="261" t="str">
        <f>IF(CTR1_Local!$V347="","",IF(CTR1_Local!$V347="Yes","confirm",""))</f>
        <v/>
      </c>
      <c r="N316" t="str">
        <f>IF(CTR1_Local!$W347="","",CTR1_Local!$W347)</f>
        <v/>
      </c>
    </row>
    <row r="317" spans="1:14" x14ac:dyDescent="0.2">
      <c r="A317" s="287" t="str">
        <f>IF(CTR1_Local!$D348="",CTR1_Local!B348,CTR1_Local!$D348)</f>
        <v/>
      </c>
      <c r="B317" s="26" t="str">
        <f>IF(A317="","",IF(RIGHT(A317,3)="NEW","Add new / another parish",CTR1_Local!$AN348))</f>
        <v/>
      </c>
      <c r="C317" s="26" t="str">
        <f t="shared" si="4"/>
        <v/>
      </c>
      <c r="D317" s="177" t="str">
        <f>IF(A317="","",IF(RIGHT(A317,3)="NEW",CTR1_Local!$E348,IF(CTR1_Local!$AO348="change",CTR1_Local!$E348,"")))</f>
        <v/>
      </c>
      <c r="E317" t="str">
        <f>IF(CTR1_Local!$F348="","",CTR1_Local!$F348)</f>
        <v/>
      </c>
      <c r="F317" s="261" t="str">
        <f>IF(CTR1_Local!$T348="","",IF(CTR1_Local!$T348="Yes","Removed",""))</f>
        <v/>
      </c>
      <c r="G317" t="str">
        <f>IF(CTR1_Local!$N348="","",IF(F317="Removed","",CTR1_Local!$N348))</f>
        <v/>
      </c>
      <c r="H317" t="str">
        <f>IF(CTR1_Local!$P348="","",IF($F317="Removed","",CTR1_Local!$P348))</f>
        <v/>
      </c>
      <c r="I317" t="str">
        <f>IF(CTR1_Local!$R348="","",IF($F317="Removed","",CTR1_Local!$R348))</f>
        <v/>
      </c>
      <c r="J317" s="160" t="str">
        <f>CTR1_Local!$H348</f>
        <v/>
      </c>
      <c r="K317" s="340" t="str">
        <f>CTR1_Local!$J348</f>
        <v/>
      </c>
      <c r="L317" s="350" t="str">
        <f>CTR1_Local!$L348</f>
        <v/>
      </c>
      <c r="M317" s="261" t="str">
        <f>IF(CTR1_Local!$V348="","",IF(CTR1_Local!$V348="Yes","confirm",""))</f>
        <v/>
      </c>
      <c r="N317" t="str">
        <f>IF(CTR1_Local!$W348="","",CTR1_Local!$W348)</f>
        <v/>
      </c>
    </row>
    <row r="318" spans="1:14" x14ac:dyDescent="0.2">
      <c r="A318" s="287" t="str">
        <f>IF(CTR1_Local!$D349="",CTR1_Local!B349,CTR1_Local!$D349)</f>
        <v/>
      </c>
      <c r="B318" s="26" t="str">
        <f>IF(A318="","",IF(RIGHT(A318,3)="NEW","Add new / another parish",CTR1_Local!$AN349))</f>
        <v/>
      </c>
      <c r="C318" s="26" t="str">
        <f t="shared" si="4"/>
        <v/>
      </c>
      <c r="D318" s="177" t="str">
        <f>IF(A318="","",IF(RIGHT(A318,3)="NEW",CTR1_Local!$E349,IF(CTR1_Local!$AO349="change",CTR1_Local!$E349,"")))</f>
        <v/>
      </c>
      <c r="E318" t="str">
        <f>IF(CTR1_Local!$F349="","",CTR1_Local!$F349)</f>
        <v/>
      </c>
      <c r="F318" s="261" t="str">
        <f>IF(CTR1_Local!$T349="","",IF(CTR1_Local!$T349="Yes","Removed",""))</f>
        <v/>
      </c>
      <c r="G318" t="str">
        <f>IF(CTR1_Local!$N349="","",IF(F318="Removed","",CTR1_Local!$N349))</f>
        <v/>
      </c>
      <c r="H318" t="str">
        <f>IF(CTR1_Local!$P349="","",IF($F318="Removed","",CTR1_Local!$P349))</f>
        <v/>
      </c>
      <c r="I318" t="str">
        <f>IF(CTR1_Local!$R349="","",IF($F318="Removed","",CTR1_Local!$R349))</f>
        <v/>
      </c>
      <c r="J318" s="160" t="str">
        <f>CTR1_Local!$H349</f>
        <v/>
      </c>
      <c r="K318" s="340" t="str">
        <f>CTR1_Local!$J349</f>
        <v/>
      </c>
      <c r="L318" s="350" t="str">
        <f>CTR1_Local!$L349</f>
        <v/>
      </c>
      <c r="M318" s="261" t="str">
        <f>IF(CTR1_Local!$V349="","",IF(CTR1_Local!$V349="Yes","confirm",""))</f>
        <v/>
      </c>
      <c r="N318" t="str">
        <f>IF(CTR1_Local!$W349="","",CTR1_Local!$W349)</f>
        <v/>
      </c>
    </row>
    <row r="319" spans="1:14" x14ac:dyDescent="0.2">
      <c r="A319" s="287" t="str">
        <f>IF(CTR1_Local!$D350="",CTR1_Local!B350,CTR1_Local!$D350)</f>
        <v/>
      </c>
      <c r="B319" s="26" t="str">
        <f>IF(A319="","",IF(RIGHT(A319,3)="NEW","Add new / another parish",CTR1_Local!$AN350))</f>
        <v/>
      </c>
      <c r="C319" s="26" t="str">
        <f t="shared" si="4"/>
        <v/>
      </c>
      <c r="D319" s="177" t="str">
        <f>IF(A319="","",IF(RIGHT(A319,3)="NEW",CTR1_Local!$E350,IF(CTR1_Local!$AO350="change",CTR1_Local!$E350,"")))</f>
        <v/>
      </c>
      <c r="E319" t="str">
        <f>IF(CTR1_Local!$F350="","",CTR1_Local!$F350)</f>
        <v/>
      </c>
      <c r="F319" s="261" t="str">
        <f>IF(CTR1_Local!$T350="","",IF(CTR1_Local!$T350="Yes","Removed",""))</f>
        <v/>
      </c>
      <c r="G319" t="str">
        <f>IF(CTR1_Local!$N350="","",IF(F319="Removed","",CTR1_Local!$N350))</f>
        <v/>
      </c>
      <c r="H319" t="str">
        <f>IF(CTR1_Local!$P350="","",IF($F319="Removed","",CTR1_Local!$P350))</f>
        <v/>
      </c>
      <c r="I319" t="str">
        <f>IF(CTR1_Local!$R350="","",IF($F319="Removed","",CTR1_Local!$R350))</f>
        <v/>
      </c>
      <c r="J319" s="160" t="str">
        <f>CTR1_Local!$H350</f>
        <v/>
      </c>
      <c r="K319" s="340" t="str">
        <f>CTR1_Local!$J350</f>
        <v/>
      </c>
      <c r="L319" s="350" t="str">
        <f>CTR1_Local!$L350</f>
        <v/>
      </c>
      <c r="M319" s="261" t="str">
        <f>IF(CTR1_Local!$V350="","",IF(CTR1_Local!$V350="Yes","confirm",""))</f>
        <v/>
      </c>
      <c r="N319" t="str">
        <f>IF(CTR1_Local!$W350="","",CTR1_Local!$W350)</f>
        <v/>
      </c>
    </row>
    <row r="320" spans="1:14" x14ac:dyDescent="0.2">
      <c r="A320" s="287" t="str">
        <f>IF(CTR1_Local!$D351="",CTR1_Local!B351,CTR1_Local!$D351)</f>
        <v/>
      </c>
      <c r="B320" s="26" t="str">
        <f>IF(A320="","",IF(RIGHT(A320,3)="NEW","Add new / another parish",CTR1_Local!$AN351))</f>
        <v/>
      </c>
      <c r="C320" s="26" t="str">
        <f t="shared" si="4"/>
        <v/>
      </c>
      <c r="D320" s="177" t="str">
        <f>IF(A320="","",IF(RIGHT(A320,3)="NEW",CTR1_Local!$E351,IF(CTR1_Local!$AO351="change",CTR1_Local!$E351,"")))</f>
        <v/>
      </c>
      <c r="E320" t="str">
        <f>IF(CTR1_Local!$F351="","",CTR1_Local!$F351)</f>
        <v/>
      </c>
      <c r="F320" s="261" t="str">
        <f>IF(CTR1_Local!$T351="","",IF(CTR1_Local!$T351="Yes","Removed",""))</f>
        <v/>
      </c>
      <c r="G320" t="str">
        <f>IF(CTR1_Local!$N351="","",IF(F320="Removed","",CTR1_Local!$N351))</f>
        <v/>
      </c>
      <c r="H320" t="str">
        <f>IF(CTR1_Local!$P351="","",IF($F320="Removed","",CTR1_Local!$P351))</f>
        <v/>
      </c>
      <c r="I320" t="str">
        <f>IF(CTR1_Local!$R351="","",IF($F320="Removed","",CTR1_Local!$R351))</f>
        <v/>
      </c>
      <c r="J320" s="160" t="str">
        <f>CTR1_Local!$H351</f>
        <v/>
      </c>
      <c r="K320" s="340" t="str">
        <f>CTR1_Local!$J351</f>
        <v/>
      </c>
      <c r="L320" s="350" t="str">
        <f>CTR1_Local!$L351</f>
        <v/>
      </c>
      <c r="M320" s="261" t="str">
        <f>IF(CTR1_Local!$V351="","",IF(CTR1_Local!$V351="Yes","confirm",""))</f>
        <v/>
      </c>
      <c r="N320" t="str">
        <f>IF(CTR1_Local!$W351="","",CTR1_Local!$W351)</f>
        <v/>
      </c>
    </row>
    <row r="321" spans="1:14" x14ac:dyDescent="0.2">
      <c r="A321" s="287" t="str">
        <f>IF(CTR1_Local!$D352="",CTR1_Local!B352,CTR1_Local!$D352)</f>
        <v/>
      </c>
      <c r="B321" s="26" t="str">
        <f>IF(A321="","",IF(RIGHT(A321,3)="NEW","Add new / another parish",CTR1_Local!$AN352))</f>
        <v/>
      </c>
      <c r="C321" s="26" t="str">
        <f t="shared" si="4"/>
        <v/>
      </c>
      <c r="D321" s="177" t="str">
        <f>IF(A321="","",IF(RIGHT(A321,3)="NEW",CTR1_Local!$E352,IF(CTR1_Local!$AO352="change",CTR1_Local!$E352,"")))</f>
        <v/>
      </c>
      <c r="E321" t="str">
        <f>IF(CTR1_Local!$F352="","",CTR1_Local!$F352)</f>
        <v/>
      </c>
      <c r="F321" s="261" t="str">
        <f>IF(CTR1_Local!$T352="","",IF(CTR1_Local!$T352="Yes","Removed",""))</f>
        <v/>
      </c>
      <c r="G321" t="str">
        <f>IF(CTR1_Local!$N352="","",IF(F321="Removed","",CTR1_Local!$N352))</f>
        <v/>
      </c>
      <c r="H321" t="str">
        <f>IF(CTR1_Local!$P352="","",IF($F321="Removed","",CTR1_Local!$P352))</f>
        <v/>
      </c>
      <c r="I321" t="str">
        <f>IF(CTR1_Local!$R352="","",IF($F321="Removed","",CTR1_Local!$R352))</f>
        <v/>
      </c>
      <c r="J321" s="160" t="str">
        <f>CTR1_Local!$H352</f>
        <v/>
      </c>
      <c r="K321" s="340" t="str">
        <f>CTR1_Local!$J352</f>
        <v/>
      </c>
      <c r="L321" s="350" t="str">
        <f>CTR1_Local!$L352</f>
        <v/>
      </c>
      <c r="M321" s="261" t="str">
        <f>IF(CTR1_Local!$V352="","",IF(CTR1_Local!$V352="Yes","confirm",""))</f>
        <v/>
      </c>
      <c r="N321" t="str">
        <f>IF(CTR1_Local!$W352="","",CTR1_Local!$W352)</f>
        <v/>
      </c>
    </row>
    <row r="322" spans="1:14" x14ac:dyDescent="0.2">
      <c r="A322" s="287" t="str">
        <f>IF(CTR1_Local!$D353="",CTR1_Local!B353,CTR1_Local!$D353)</f>
        <v/>
      </c>
      <c r="B322" s="26" t="str">
        <f>IF(A322="","",IF(RIGHT(A322,3)="NEW","Add new / another parish",CTR1_Local!$AN353))</f>
        <v/>
      </c>
      <c r="C322" s="26" t="str">
        <f t="shared" si="4"/>
        <v/>
      </c>
      <c r="D322" s="177" t="str">
        <f>IF(A322="","",IF(RIGHT(A322,3)="NEW",CTR1_Local!$E353,IF(CTR1_Local!$AO353="change",CTR1_Local!$E353,"")))</f>
        <v/>
      </c>
      <c r="E322" t="str">
        <f>IF(CTR1_Local!$F353="","",CTR1_Local!$F353)</f>
        <v/>
      </c>
      <c r="F322" s="261" t="str">
        <f>IF(CTR1_Local!$T353="","",IF(CTR1_Local!$T353="Yes","Removed",""))</f>
        <v/>
      </c>
      <c r="G322" t="str">
        <f>IF(CTR1_Local!$N353="","",IF(F322="Removed","",CTR1_Local!$N353))</f>
        <v/>
      </c>
      <c r="H322" t="str">
        <f>IF(CTR1_Local!$P353="","",IF($F322="Removed","",CTR1_Local!$P353))</f>
        <v/>
      </c>
      <c r="I322" t="str">
        <f>IF(CTR1_Local!$R353="","",IF($F322="Removed","",CTR1_Local!$R353))</f>
        <v/>
      </c>
      <c r="J322" s="160" t="str">
        <f>CTR1_Local!$H353</f>
        <v/>
      </c>
      <c r="K322" s="340" t="str">
        <f>CTR1_Local!$J353</f>
        <v/>
      </c>
      <c r="L322" s="350" t="str">
        <f>CTR1_Local!$L353</f>
        <v/>
      </c>
      <c r="M322" s="261" t="str">
        <f>IF(CTR1_Local!$V353="","",IF(CTR1_Local!$V353="Yes","confirm",""))</f>
        <v/>
      </c>
      <c r="N322" t="str">
        <f>IF(CTR1_Local!$W353="","",CTR1_Local!$W353)</f>
        <v/>
      </c>
    </row>
    <row r="323" spans="1:14" x14ac:dyDescent="0.2">
      <c r="A323" s="287" t="str">
        <f>IF(CTR1_Local!$D354="",CTR1_Local!B354,CTR1_Local!$D354)</f>
        <v/>
      </c>
      <c r="B323" s="26" t="str">
        <f>IF(A323="","",IF(RIGHT(A323,3)="NEW","Add new / another parish",CTR1_Local!$AN354))</f>
        <v/>
      </c>
      <c r="C323" s="26" t="str">
        <f t="shared" ref="C323:C386" si="5">IF(OR(B323="",D323=""),"",IF(AND(B323&lt;&gt;"",D323&lt;&gt;"",B323&lt;&gt;"Add new / another parish"),"yes",""))</f>
        <v/>
      </c>
      <c r="D323" s="177" t="str">
        <f>IF(A323="","",IF(RIGHT(A323,3)="NEW",CTR1_Local!$E354,IF(CTR1_Local!$AO354="change",CTR1_Local!$E354,"")))</f>
        <v/>
      </c>
      <c r="E323" t="str">
        <f>IF(CTR1_Local!$F354="","",CTR1_Local!$F354)</f>
        <v/>
      </c>
      <c r="F323" s="261" t="str">
        <f>IF(CTR1_Local!$T354="","",IF(CTR1_Local!$T354="Yes","Removed",""))</f>
        <v/>
      </c>
      <c r="G323" t="str">
        <f>IF(CTR1_Local!$N354="","",IF(F323="Removed","",CTR1_Local!$N354))</f>
        <v/>
      </c>
      <c r="H323" t="str">
        <f>IF(CTR1_Local!$P354="","",IF($F323="Removed","",CTR1_Local!$P354))</f>
        <v/>
      </c>
      <c r="I323" t="str">
        <f>IF(CTR1_Local!$R354="","",IF($F323="Removed","",CTR1_Local!$R354))</f>
        <v/>
      </c>
      <c r="J323" s="160" t="str">
        <f>CTR1_Local!$H354</f>
        <v/>
      </c>
      <c r="K323" s="340" t="str">
        <f>CTR1_Local!$J354</f>
        <v/>
      </c>
      <c r="L323" s="350" t="str">
        <f>CTR1_Local!$L354</f>
        <v/>
      </c>
      <c r="M323" s="261" t="str">
        <f>IF(CTR1_Local!$V354="","",IF(CTR1_Local!$V354="Yes","confirm",""))</f>
        <v/>
      </c>
      <c r="N323" t="str">
        <f>IF(CTR1_Local!$W354="","",CTR1_Local!$W354)</f>
        <v/>
      </c>
    </row>
    <row r="324" spans="1:14" x14ac:dyDescent="0.2">
      <c r="A324" s="287" t="str">
        <f>IF(CTR1_Local!$D355="",CTR1_Local!B355,CTR1_Local!$D355)</f>
        <v/>
      </c>
      <c r="B324" s="26" t="str">
        <f>IF(A324="","",IF(RIGHT(A324,3)="NEW","Add new / another parish",CTR1_Local!$AN355))</f>
        <v/>
      </c>
      <c r="C324" s="26" t="str">
        <f t="shared" si="5"/>
        <v/>
      </c>
      <c r="D324" s="177" t="str">
        <f>IF(A324="","",IF(RIGHT(A324,3)="NEW",CTR1_Local!$E355,IF(CTR1_Local!$AO355="change",CTR1_Local!$E355,"")))</f>
        <v/>
      </c>
      <c r="E324" t="str">
        <f>IF(CTR1_Local!$F355="","",CTR1_Local!$F355)</f>
        <v/>
      </c>
      <c r="F324" s="261" t="str">
        <f>IF(CTR1_Local!$T355="","",IF(CTR1_Local!$T355="Yes","Removed",""))</f>
        <v/>
      </c>
      <c r="G324" t="str">
        <f>IF(CTR1_Local!$N355="","",IF(F324="Removed","",CTR1_Local!$N355))</f>
        <v/>
      </c>
      <c r="H324" t="str">
        <f>IF(CTR1_Local!$P355="","",IF($F324="Removed","",CTR1_Local!$P355))</f>
        <v/>
      </c>
      <c r="I324" t="str">
        <f>IF(CTR1_Local!$R355="","",IF($F324="Removed","",CTR1_Local!$R355))</f>
        <v/>
      </c>
      <c r="J324" s="160" t="str">
        <f>CTR1_Local!$H355</f>
        <v/>
      </c>
      <c r="K324" s="340" t="str">
        <f>CTR1_Local!$J355</f>
        <v/>
      </c>
      <c r="L324" s="350" t="str">
        <f>CTR1_Local!$L355</f>
        <v/>
      </c>
      <c r="M324" s="261" t="str">
        <f>IF(CTR1_Local!$V355="","",IF(CTR1_Local!$V355="Yes","confirm",""))</f>
        <v/>
      </c>
      <c r="N324" t="str">
        <f>IF(CTR1_Local!$W355="","",CTR1_Local!$W355)</f>
        <v/>
      </c>
    </row>
    <row r="325" spans="1:14" x14ac:dyDescent="0.2">
      <c r="A325" s="287" t="str">
        <f>IF(CTR1_Local!$D356="",CTR1_Local!B356,CTR1_Local!$D356)</f>
        <v/>
      </c>
      <c r="B325" s="26" t="str">
        <f>IF(A325="","",IF(RIGHT(A325,3)="NEW","Add new / another parish",CTR1_Local!$AN356))</f>
        <v/>
      </c>
      <c r="C325" s="26" t="str">
        <f t="shared" si="5"/>
        <v/>
      </c>
      <c r="D325" s="177" t="str">
        <f>IF(A325="","",IF(RIGHT(A325,3)="NEW",CTR1_Local!$E356,IF(CTR1_Local!$AO356="change",CTR1_Local!$E356,"")))</f>
        <v/>
      </c>
      <c r="E325" t="str">
        <f>IF(CTR1_Local!$F356="","",CTR1_Local!$F356)</f>
        <v/>
      </c>
      <c r="F325" s="261" t="str">
        <f>IF(CTR1_Local!$T356="","",IF(CTR1_Local!$T356="Yes","Removed",""))</f>
        <v/>
      </c>
      <c r="G325" t="str">
        <f>IF(CTR1_Local!$N356="","",IF(F325="Removed","",CTR1_Local!$N356))</f>
        <v/>
      </c>
      <c r="H325" t="str">
        <f>IF(CTR1_Local!$P356="","",IF($F325="Removed","",CTR1_Local!$P356))</f>
        <v/>
      </c>
      <c r="I325" t="str">
        <f>IF(CTR1_Local!$R356="","",IF($F325="Removed","",CTR1_Local!$R356))</f>
        <v/>
      </c>
      <c r="J325" s="160" t="str">
        <f>CTR1_Local!$H356</f>
        <v/>
      </c>
      <c r="K325" s="340" t="str">
        <f>CTR1_Local!$J356</f>
        <v/>
      </c>
      <c r="L325" s="350" t="str">
        <f>CTR1_Local!$L356</f>
        <v/>
      </c>
      <c r="M325" s="261" t="str">
        <f>IF(CTR1_Local!$V356="","",IF(CTR1_Local!$V356="Yes","confirm",""))</f>
        <v/>
      </c>
      <c r="N325" t="str">
        <f>IF(CTR1_Local!$W356="","",CTR1_Local!$W356)</f>
        <v/>
      </c>
    </row>
    <row r="326" spans="1:14" x14ac:dyDescent="0.2">
      <c r="A326" s="287" t="str">
        <f>IF(CTR1_Local!$D357="",CTR1_Local!B357,CTR1_Local!$D357)</f>
        <v/>
      </c>
      <c r="B326" s="26" t="str">
        <f>IF(A326="","",IF(RIGHT(A326,3)="NEW","Add new / another parish",CTR1_Local!$AN357))</f>
        <v/>
      </c>
      <c r="C326" s="26" t="str">
        <f t="shared" si="5"/>
        <v/>
      </c>
      <c r="D326" s="177" t="str">
        <f>IF(A326="","",IF(RIGHT(A326,3)="NEW",CTR1_Local!$E357,IF(CTR1_Local!$AO357="change",CTR1_Local!$E357,"")))</f>
        <v/>
      </c>
      <c r="E326" t="str">
        <f>IF(CTR1_Local!$F357="","",CTR1_Local!$F357)</f>
        <v/>
      </c>
      <c r="F326" s="261" t="str">
        <f>IF(CTR1_Local!$T357="","",IF(CTR1_Local!$T357="Yes","Removed",""))</f>
        <v/>
      </c>
      <c r="G326" t="str">
        <f>IF(CTR1_Local!$N357="","",IF(F326="Removed","",CTR1_Local!$N357))</f>
        <v/>
      </c>
      <c r="H326" t="str">
        <f>IF(CTR1_Local!$P357="","",IF($F326="Removed","",CTR1_Local!$P357))</f>
        <v/>
      </c>
      <c r="I326" t="str">
        <f>IF(CTR1_Local!$R357="","",IF($F326="Removed","",CTR1_Local!$R357))</f>
        <v/>
      </c>
      <c r="J326" s="160" t="str">
        <f>CTR1_Local!$H357</f>
        <v/>
      </c>
      <c r="K326" s="340" t="str">
        <f>CTR1_Local!$J357</f>
        <v/>
      </c>
      <c r="L326" s="350" t="str">
        <f>CTR1_Local!$L357</f>
        <v/>
      </c>
      <c r="M326" s="261" t="str">
        <f>IF(CTR1_Local!$V357="","",IF(CTR1_Local!$V357="Yes","confirm",""))</f>
        <v/>
      </c>
      <c r="N326" t="str">
        <f>IF(CTR1_Local!$W357="","",CTR1_Local!$W357)</f>
        <v/>
      </c>
    </row>
    <row r="327" spans="1:14" x14ac:dyDescent="0.2">
      <c r="A327" s="287" t="str">
        <f>IF(CTR1_Local!$D358="",CTR1_Local!B358,CTR1_Local!$D358)</f>
        <v/>
      </c>
      <c r="B327" s="26" t="str">
        <f>IF(A327="","",IF(RIGHT(A327,3)="NEW","Add new / another parish",CTR1_Local!$AN358))</f>
        <v/>
      </c>
      <c r="C327" s="26" t="str">
        <f t="shared" si="5"/>
        <v/>
      </c>
      <c r="D327" s="177" t="str">
        <f>IF(A327="","",IF(RIGHT(A327,3)="NEW",CTR1_Local!$E358,IF(CTR1_Local!$AO358="change",CTR1_Local!$E358,"")))</f>
        <v/>
      </c>
      <c r="E327" t="str">
        <f>IF(CTR1_Local!$F358="","",CTR1_Local!$F358)</f>
        <v/>
      </c>
      <c r="F327" s="261" t="str">
        <f>IF(CTR1_Local!$T358="","",IF(CTR1_Local!$T358="Yes","Removed",""))</f>
        <v/>
      </c>
      <c r="G327" t="str">
        <f>IF(CTR1_Local!$N358="","",IF(F327="Removed","",CTR1_Local!$N358))</f>
        <v/>
      </c>
      <c r="H327" t="str">
        <f>IF(CTR1_Local!$P358="","",IF($F327="Removed","",CTR1_Local!$P358))</f>
        <v/>
      </c>
      <c r="I327" t="str">
        <f>IF(CTR1_Local!$R358="","",IF($F327="Removed","",CTR1_Local!$R358))</f>
        <v/>
      </c>
      <c r="J327" s="160" t="str">
        <f>CTR1_Local!$H358</f>
        <v/>
      </c>
      <c r="K327" s="340" t="str">
        <f>CTR1_Local!$J358</f>
        <v/>
      </c>
      <c r="L327" s="350" t="str">
        <f>CTR1_Local!$L358</f>
        <v/>
      </c>
      <c r="M327" s="261" t="str">
        <f>IF(CTR1_Local!$V358="","",IF(CTR1_Local!$V358="Yes","confirm",""))</f>
        <v/>
      </c>
      <c r="N327" t="str">
        <f>IF(CTR1_Local!$W358="","",CTR1_Local!$W358)</f>
        <v/>
      </c>
    </row>
    <row r="328" spans="1:14" x14ac:dyDescent="0.2">
      <c r="A328" s="287" t="str">
        <f>IF(CTR1_Local!$D359="",CTR1_Local!B359,CTR1_Local!$D359)</f>
        <v/>
      </c>
      <c r="B328" s="26" t="str">
        <f>IF(A328="","",IF(RIGHT(A328,3)="NEW","Add new / another parish",CTR1_Local!$AN359))</f>
        <v/>
      </c>
      <c r="C328" s="26" t="str">
        <f t="shared" si="5"/>
        <v/>
      </c>
      <c r="D328" s="177" t="str">
        <f>IF(A328="","",IF(RIGHT(A328,3)="NEW",CTR1_Local!$E359,IF(CTR1_Local!$AO359="change",CTR1_Local!$E359,"")))</f>
        <v/>
      </c>
      <c r="E328" t="str">
        <f>IF(CTR1_Local!$F359="","",CTR1_Local!$F359)</f>
        <v/>
      </c>
      <c r="F328" s="261" t="str">
        <f>IF(CTR1_Local!$T359="","",IF(CTR1_Local!$T359="Yes","Removed",""))</f>
        <v/>
      </c>
      <c r="G328" t="str">
        <f>IF(CTR1_Local!$N359="","",IF(F328="Removed","",CTR1_Local!$N359))</f>
        <v/>
      </c>
      <c r="H328" t="str">
        <f>IF(CTR1_Local!$P359="","",IF($F328="Removed","",CTR1_Local!$P359))</f>
        <v/>
      </c>
      <c r="I328" t="str">
        <f>IF(CTR1_Local!$R359="","",IF($F328="Removed","",CTR1_Local!$R359))</f>
        <v/>
      </c>
      <c r="J328" s="160" t="str">
        <f>CTR1_Local!$H359</f>
        <v/>
      </c>
      <c r="K328" s="340" t="str">
        <f>CTR1_Local!$J359</f>
        <v/>
      </c>
      <c r="L328" s="350" t="str">
        <f>CTR1_Local!$L359</f>
        <v/>
      </c>
      <c r="M328" s="261" t="str">
        <f>IF(CTR1_Local!$V359="","",IF(CTR1_Local!$V359="Yes","confirm",""))</f>
        <v/>
      </c>
      <c r="N328" t="str">
        <f>IF(CTR1_Local!$W359="","",CTR1_Local!$W359)</f>
        <v/>
      </c>
    </row>
    <row r="329" spans="1:14" x14ac:dyDescent="0.2">
      <c r="A329" s="287" t="str">
        <f>IF(CTR1_Local!$D360="",CTR1_Local!B360,CTR1_Local!$D360)</f>
        <v/>
      </c>
      <c r="B329" s="26" t="str">
        <f>IF(A329="","",IF(RIGHT(A329,3)="NEW","Add new / another parish",CTR1_Local!$AN360))</f>
        <v/>
      </c>
      <c r="C329" s="26" t="str">
        <f t="shared" si="5"/>
        <v/>
      </c>
      <c r="D329" s="177" t="str">
        <f>IF(A329="","",IF(RIGHT(A329,3)="NEW",CTR1_Local!$E360,IF(CTR1_Local!$AO360="change",CTR1_Local!$E360,"")))</f>
        <v/>
      </c>
      <c r="E329" t="str">
        <f>IF(CTR1_Local!$F360="","",CTR1_Local!$F360)</f>
        <v/>
      </c>
      <c r="F329" s="261" t="str">
        <f>IF(CTR1_Local!$T360="","",IF(CTR1_Local!$T360="Yes","Removed",""))</f>
        <v/>
      </c>
      <c r="G329" t="str">
        <f>IF(CTR1_Local!$N360="","",IF(F329="Removed","",CTR1_Local!$N360))</f>
        <v/>
      </c>
      <c r="H329" t="str">
        <f>IF(CTR1_Local!$P360="","",IF($F329="Removed","",CTR1_Local!$P360))</f>
        <v/>
      </c>
      <c r="I329" t="str">
        <f>IF(CTR1_Local!$R360="","",IF($F329="Removed","",CTR1_Local!$R360))</f>
        <v/>
      </c>
      <c r="J329" s="160" t="str">
        <f>CTR1_Local!$H360</f>
        <v/>
      </c>
      <c r="K329" s="340" t="str">
        <f>CTR1_Local!$J360</f>
        <v/>
      </c>
      <c r="L329" s="350" t="str">
        <f>CTR1_Local!$L360</f>
        <v/>
      </c>
      <c r="M329" s="261" t="str">
        <f>IF(CTR1_Local!$V360="","",IF(CTR1_Local!$V360="Yes","confirm",""))</f>
        <v/>
      </c>
      <c r="N329" t="str">
        <f>IF(CTR1_Local!$W360="","",CTR1_Local!$W360)</f>
        <v/>
      </c>
    </row>
    <row r="330" spans="1:14" x14ac:dyDescent="0.2">
      <c r="A330" s="287" t="str">
        <f>IF(CTR1_Local!$D361="",CTR1_Local!B361,CTR1_Local!$D361)</f>
        <v/>
      </c>
      <c r="B330" s="26" t="str">
        <f>IF(A330="","",IF(RIGHT(A330,3)="NEW","Add new / another parish",CTR1_Local!$AN361))</f>
        <v/>
      </c>
      <c r="C330" s="26" t="str">
        <f t="shared" si="5"/>
        <v/>
      </c>
      <c r="D330" s="177" t="str">
        <f>IF(A330="","",IF(RIGHT(A330,3)="NEW",CTR1_Local!$E361,IF(CTR1_Local!$AO361="change",CTR1_Local!$E361,"")))</f>
        <v/>
      </c>
      <c r="E330" t="str">
        <f>IF(CTR1_Local!$F361="","",CTR1_Local!$F361)</f>
        <v/>
      </c>
      <c r="F330" s="261" t="str">
        <f>IF(CTR1_Local!$T361="","",IF(CTR1_Local!$T361="Yes","Removed",""))</f>
        <v/>
      </c>
      <c r="G330" t="str">
        <f>IF(CTR1_Local!$N361="","",IF(F330="Removed","",CTR1_Local!$N361))</f>
        <v/>
      </c>
      <c r="H330" t="str">
        <f>IF(CTR1_Local!$P361="","",IF($F330="Removed","",CTR1_Local!$P361))</f>
        <v/>
      </c>
      <c r="I330" t="str">
        <f>IF(CTR1_Local!$R361="","",IF($F330="Removed","",CTR1_Local!$R361))</f>
        <v/>
      </c>
      <c r="J330" s="160" t="str">
        <f>CTR1_Local!$H361</f>
        <v/>
      </c>
      <c r="K330" s="340" t="str">
        <f>CTR1_Local!$J361</f>
        <v/>
      </c>
      <c r="L330" s="350" t="str">
        <f>CTR1_Local!$L361</f>
        <v/>
      </c>
      <c r="M330" s="261" t="str">
        <f>IF(CTR1_Local!$V361="","",IF(CTR1_Local!$V361="Yes","confirm",""))</f>
        <v/>
      </c>
      <c r="N330" t="str">
        <f>IF(CTR1_Local!$W361="","",CTR1_Local!$W361)</f>
        <v/>
      </c>
    </row>
    <row r="331" spans="1:14" x14ac:dyDescent="0.2">
      <c r="A331" s="287" t="str">
        <f>IF(CTR1_Local!$D362="",CTR1_Local!B362,CTR1_Local!$D362)</f>
        <v/>
      </c>
      <c r="B331" s="26" t="str">
        <f>IF(A331="","",IF(RIGHT(A331,3)="NEW","Add new / another parish",CTR1_Local!$AN362))</f>
        <v/>
      </c>
      <c r="C331" s="26" t="str">
        <f t="shared" si="5"/>
        <v/>
      </c>
      <c r="D331" s="177" t="str">
        <f>IF(A331="","",IF(RIGHT(A331,3)="NEW",CTR1_Local!$E362,IF(CTR1_Local!$AO362="change",CTR1_Local!$E362,"")))</f>
        <v/>
      </c>
      <c r="E331" t="str">
        <f>IF(CTR1_Local!$F362="","",CTR1_Local!$F362)</f>
        <v/>
      </c>
      <c r="F331" s="261" t="str">
        <f>IF(CTR1_Local!$T362="","",IF(CTR1_Local!$T362="Yes","Removed",""))</f>
        <v/>
      </c>
      <c r="G331" t="str">
        <f>IF(CTR1_Local!$N362="","",IF(F331="Removed","",CTR1_Local!$N362))</f>
        <v/>
      </c>
      <c r="H331" t="str">
        <f>IF(CTR1_Local!$P362="","",IF($F331="Removed","",CTR1_Local!$P362))</f>
        <v/>
      </c>
      <c r="I331" t="str">
        <f>IF(CTR1_Local!$R362="","",IF($F331="Removed","",CTR1_Local!$R362))</f>
        <v/>
      </c>
      <c r="J331" s="160" t="str">
        <f>CTR1_Local!$H362</f>
        <v/>
      </c>
      <c r="K331" s="340" t="str">
        <f>CTR1_Local!$J362</f>
        <v/>
      </c>
      <c r="L331" s="350" t="str">
        <f>CTR1_Local!$L362</f>
        <v/>
      </c>
      <c r="M331" s="261" t="str">
        <f>IF(CTR1_Local!$V362="","",IF(CTR1_Local!$V362="Yes","confirm",""))</f>
        <v/>
      </c>
      <c r="N331" t="str">
        <f>IF(CTR1_Local!$W362="","",CTR1_Local!$W362)</f>
        <v/>
      </c>
    </row>
    <row r="332" spans="1:14" x14ac:dyDescent="0.2">
      <c r="A332" s="287" t="str">
        <f>IF(CTR1_Local!$D363="",CTR1_Local!B363,CTR1_Local!$D363)</f>
        <v/>
      </c>
      <c r="B332" s="26" t="str">
        <f>IF(A332="","",IF(RIGHT(A332,3)="NEW","Add new / another parish",CTR1_Local!$AN363))</f>
        <v/>
      </c>
      <c r="C332" s="26" t="str">
        <f t="shared" si="5"/>
        <v/>
      </c>
      <c r="D332" s="177" t="str">
        <f>IF(A332="","",IF(RIGHT(A332,3)="NEW",CTR1_Local!$E363,IF(CTR1_Local!$AO363="change",CTR1_Local!$E363,"")))</f>
        <v/>
      </c>
      <c r="E332" t="str">
        <f>IF(CTR1_Local!$F363="","",CTR1_Local!$F363)</f>
        <v/>
      </c>
      <c r="F332" s="261" t="str">
        <f>IF(CTR1_Local!$T363="","",IF(CTR1_Local!$T363="Yes","Removed",""))</f>
        <v/>
      </c>
      <c r="G332" t="str">
        <f>IF(CTR1_Local!$N363="","",IF(F332="Removed","",CTR1_Local!$N363))</f>
        <v/>
      </c>
      <c r="H332" t="str">
        <f>IF(CTR1_Local!$P363="","",IF($F332="Removed","",CTR1_Local!$P363))</f>
        <v/>
      </c>
      <c r="I332" t="str">
        <f>IF(CTR1_Local!$R363="","",IF($F332="Removed","",CTR1_Local!$R363))</f>
        <v/>
      </c>
      <c r="J332" s="160" t="str">
        <f>CTR1_Local!$H363</f>
        <v/>
      </c>
      <c r="K332" s="340" t="str">
        <f>CTR1_Local!$J363</f>
        <v/>
      </c>
      <c r="L332" s="350" t="str">
        <f>CTR1_Local!$L363</f>
        <v/>
      </c>
      <c r="M332" s="261" t="str">
        <f>IF(CTR1_Local!$V363="","",IF(CTR1_Local!$V363="Yes","confirm",""))</f>
        <v/>
      </c>
      <c r="N332" t="str">
        <f>IF(CTR1_Local!$W363="","",CTR1_Local!$W363)</f>
        <v/>
      </c>
    </row>
    <row r="333" spans="1:14" x14ac:dyDescent="0.2">
      <c r="A333" s="287" t="str">
        <f>IF(CTR1_Local!$D364="",CTR1_Local!B364,CTR1_Local!$D364)</f>
        <v/>
      </c>
      <c r="B333" s="26" t="str">
        <f>IF(A333="","",IF(RIGHT(A333,3)="NEW","Add new / another parish",CTR1_Local!$AN364))</f>
        <v/>
      </c>
      <c r="C333" s="26" t="str">
        <f t="shared" si="5"/>
        <v/>
      </c>
      <c r="D333" s="177" t="str">
        <f>IF(A333="","",IF(RIGHT(A333,3)="NEW",CTR1_Local!$E364,IF(CTR1_Local!$AO364="change",CTR1_Local!$E364,"")))</f>
        <v/>
      </c>
      <c r="E333" t="str">
        <f>IF(CTR1_Local!$F364="","",CTR1_Local!$F364)</f>
        <v/>
      </c>
      <c r="F333" s="261" t="str">
        <f>IF(CTR1_Local!$T364="","",IF(CTR1_Local!$T364="Yes","Removed",""))</f>
        <v/>
      </c>
      <c r="G333" t="str">
        <f>IF(CTR1_Local!$N364="","",IF(F333="Removed","",CTR1_Local!$N364))</f>
        <v/>
      </c>
      <c r="H333" t="str">
        <f>IF(CTR1_Local!$P364="","",IF($F333="Removed","",CTR1_Local!$P364))</f>
        <v/>
      </c>
      <c r="I333" t="str">
        <f>IF(CTR1_Local!$R364="","",IF($F333="Removed","",CTR1_Local!$R364))</f>
        <v/>
      </c>
      <c r="J333" s="160" t="str">
        <f>CTR1_Local!$H364</f>
        <v/>
      </c>
      <c r="K333" s="340" t="str">
        <f>CTR1_Local!$J364</f>
        <v/>
      </c>
      <c r="L333" s="350" t="str">
        <f>CTR1_Local!$L364</f>
        <v/>
      </c>
      <c r="M333" s="261" t="str">
        <f>IF(CTR1_Local!$V364="","",IF(CTR1_Local!$V364="Yes","confirm",""))</f>
        <v/>
      </c>
      <c r="N333" t="str">
        <f>IF(CTR1_Local!$W364="","",CTR1_Local!$W364)</f>
        <v/>
      </c>
    </row>
    <row r="334" spans="1:14" x14ac:dyDescent="0.2">
      <c r="A334" s="287" t="str">
        <f>IF(CTR1_Local!$D365="",CTR1_Local!B365,CTR1_Local!$D365)</f>
        <v/>
      </c>
      <c r="B334" s="26" t="str">
        <f>IF(A334="","",IF(RIGHT(A334,3)="NEW","Add new / another parish",CTR1_Local!$AN365))</f>
        <v/>
      </c>
      <c r="C334" s="26" t="str">
        <f t="shared" si="5"/>
        <v/>
      </c>
      <c r="D334" s="177" t="str">
        <f>IF(A334="","",IF(RIGHT(A334,3)="NEW",CTR1_Local!$E365,IF(CTR1_Local!$AO365="change",CTR1_Local!$E365,"")))</f>
        <v/>
      </c>
      <c r="E334" t="str">
        <f>IF(CTR1_Local!$F365="","",CTR1_Local!$F365)</f>
        <v/>
      </c>
      <c r="F334" s="261" t="str">
        <f>IF(CTR1_Local!$T365="","",IF(CTR1_Local!$T365="Yes","Removed",""))</f>
        <v/>
      </c>
      <c r="G334" t="str">
        <f>IF(CTR1_Local!$N365="","",IF(F334="Removed","",CTR1_Local!$N365))</f>
        <v/>
      </c>
      <c r="H334" t="str">
        <f>IF(CTR1_Local!$P365="","",IF($F334="Removed","",CTR1_Local!$P365))</f>
        <v/>
      </c>
      <c r="I334" t="str">
        <f>IF(CTR1_Local!$R365="","",IF($F334="Removed","",CTR1_Local!$R365))</f>
        <v/>
      </c>
      <c r="J334" s="160" t="str">
        <f>CTR1_Local!$H365</f>
        <v/>
      </c>
      <c r="K334" s="340" t="str">
        <f>CTR1_Local!$J365</f>
        <v/>
      </c>
      <c r="L334" s="350" t="str">
        <f>CTR1_Local!$L365</f>
        <v/>
      </c>
      <c r="M334" s="261" t="str">
        <f>IF(CTR1_Local!$V365="","",IF(CTR1_Local!$V365="Yes","confirm",""))</f>
        <v/>
      </c>
      <c r="N334" t="str">
        <f>IF(CTR1_Local!$W365="","",CTR1_Local!$W365)</f>
        <v/>
      </c>
    </row>
    <row r="335" spans="1:14" x14ac:dyDescent="0.2">
      <c r="A335" s="287" t="str">
        <f>IF(CTR1_Local!$D366="",CTR1_Local!B366,CTR1_Local!$D366)</f>
        <v/>
      </c>
      <c r="B335" s="26" t="str">
        <f>IF(A335="","",IF(RIGHT(A335,3)="NEW","Add new / another parish",CTR1_Local!$AN366))</f>
        <v/>
      </c>
      <c r="C335" s="26" t="str">
        <f t="shared" si="5"/>
        <v/>
      </c>
      <c r="D335" s="177" t="str">
        <f>IF(A335="","",IF(RIGHT(A335,3)="NEW",CTR1_Local!$E366,IF(CTR1_Local!$AO366="change",CTR1_Local!$E366,"")))</f>
        <v/>
      </c>
      <c r="E335" t="str">
        <f>IF(CTR1_Local!$F366="","",CTR1_Local!$F366)</f>
        <v/>
      </c>
      <c r="F335" s="261" t="str">
        <f>IF(CTR1_Local!$T366="","",IF(CTR1_Local!$T366="Yes","Removed",""))</f>
        <v/>
      </c>
      <c r="G335" t="str">
        <f>IF(CTR1_Local!$N366="","",IF(F335="Removed","",CTR1_Local!$N366))</f>
        <v/>
      </c>
      <c r="H335" t="str">
        <f>IF(CTR1_Local!$P366="","",IF($F335="Removed","",CTR1_Local!$P366))</f>
        <v/>
      </c>
      <c r="I335" t="str">
        <f>IF(CTR1_Local!$R366="","",IF($F335="Removed","",CTR1_Local!$R366))</f>
        <v/>
      </c>
      <c r="J335" s="160" t="str">
        <f>CTR1_Local!$H366</f>
        <v/>
      </c>
      <c r="K335" s="340" t="str">
        <f>CTR1_Local!$J366</f>
        <v/>
      </c>
      <c r="L335" s="350" t="str">
        <f>CTR1_Local!$L366</f>
        <v/>
      </c>
      <c r="M335" s="261" t="str">
        <f>IF(CTR1_Local!$V366="","",IF(CTR1_Local!$V366="Yes","confirm",""))</f>
        <v/>
      </c>
      <c r="N335" t="str">
        <f>IF(CTR1_Local!$W366="","",CTR1_Local!$W366)</f>
        <v/>
      </c>
    </row>
    <row r="336" spans="1:14" x14ac:dyDescent="0.2">
      <c r="A336" s="287" t="str">
        <f>IF(CTR1_Local!$D367="",CTR1_Local!B367,CTR1_Local!$D367)</f>
        <v/>
      </c>
      <c r="B336" s="26" t="str">
        <f>IF(A336="","",IF(RIGHT(A336,3)="NEW","Add new / another parish",CTR1_Local!$AN367))</f>
        <v/>
      </c>
      <c r="C336" s="26" t="str">
        <f t="shared" si="5"/>
        <v/>
      </c>
      <c r="D336" s="177" t="str">
        <f>IF(A336="","",IF(RIGHT(A336,3)="NEW",CTR1_Local!$E367,IF(CTR1_Local!$AO367="change",CTR1_Local!$E367,"")))</f>
        <v/>
      </c>
      <c r="E336" t="str">
        <f>IF(CTR1_Local!$F367="","",CTR1_Local!$F367)</f>
        <v/>
      </c>
      <c r="F336" s="261" t="str">
        <f>IF(CTR1_Local!$T367="","",IF(CTR1_Local!$T367="Yes","Removed",""))</f>
        <v/>
      </c>
      <c r="G336" t="str">
        <f>IF(CTR1_Local!$N367="","",IF(F336="Removed","",CTR1_Local!$N367))</f>
        <v/>
      </c>
      <c r="H336" t="str">
        <f>IF(CTR1_Local!$P367="","",IF($F336="Removed","",CTR1_Local!$P367))</f>
        <v/>
      </c>
      <c r="I336" t="str">
        <f>IF(CTR1_Local!$R367="","",IF($F336="Removed","",CTR1_Local!$R367))</f>
        <v/>
      </c>
      <c r="J336" s="160" t="str">
        <f>CTR1_Local!$H367</f>
        <v/>
      </c>
      <c r="K336" s="340" t="str">
        <f>CTR1_Local!$J367</f>
        <v/>
      </c>
      <c r="L336" s="350" t="str">
        <f>CTR1_Local!$L367</f>
        <v/>
      </c>
      <c r="M336" s="261" t="str">
        <f>IF(CTR1_Local!$V367="","",IF(CTR1_Local!$V367="Yes","confirm",""))</f>
        <v/>
      </c>
      <c r="N336" t="str">
        <f>IF(CTR1_Local!$W367="","",CTR1_Local!$W367)</f>
        <v/>
      </c>
    </row>
    <row r="337" spans="1:14" x14ac:dyDescent="0.2">
      <c r="A337" s="287" t="str">
        <f>IF(CTR1_Local!$D368="",CTR1_Local!B368,CTR1_Local!$D368)</f>
        <v/>
      </c>
      <c r="B337" s="26" t="str">
        <f>IF(A337="","",IF(RIGHT(A337,3)="NEW","Add new / another parish",CTR1_Local!$AN368))</f>
        <v/>
      </c>
      <c r="C337" s="26" t="str">
        <f t="shared" si="5"/>
        <v/>
      </c>
      <c r="D337" s="177" t="str">
        <f>IF(A337="","",IF(RIGHT(A337,3)="NEW",CTR1_Local!$E368,IF(CTR1_Local!$AO368="change",CTR1_Local!$E368,"")))</f>
        <v/>
      </c>
      <c r="E337" t="str">
        <f>IF(CTR1_Local!$F368="","",CTR1_Local!$F368)</f>
        <v/>
      </c>
      <c r="F337" s="261" t="str">
        <f>IF(CTR1_Local!$T368="","",IF(CTR1_Local!$T368="Yes","Removed",""))</f>
        <v/>
      </c>
      <c r="G337" t="str">
        <f>IF(CTR1_Local!$N368="","",IF(F337="Removed","",CTR1_Local!$N368))</f>
        <v/>
      </c>
      <c r="H337" t="str">
        <f>IF(CTR1_Local!$P368="","",IF($F337="Removed","",CTR1_Local!$P368))</f>
        <v/>
      </c>
      <c r="I337" t="str">
        <f>IF(CTR1_Local!$R368="","",IF($F337="Removed","",CTR1_Local!$R368))</f>
        <v/>
      </c>
      <c r="J337" s="160" t="str">
        <f>CTR1_Local!$H368</f>
        <v/>
      </c>
      <c r="K337" s="340" t="str">
        <f>CTR1_Local!$J368</f>
        <v/>
      </c>
      <c r="L337" s="350" t="str">
        <f>CTR1_Local!$L368</f>
        <v/>
      </c>
      <c r="M337" s="261" t="str">
        <f>IF(CTR1_Local!$V368="","",IF(CTR1_Local!$V368="Yes","confirm",""))</f>
        <v/>
      </c>
      <c r="N337" t="str">
        <f>IF(CTR1_Local!$W368="","",CTR1_Local!$W368)</f>
        <v/>
      </c>
    </row>
    <row r="338" spans="1:14" x14ac:dyDescent="0.2">
      <c r="A338" s="287" t="str">
        <f>IF(CTR1_Local!$D369="",CTR1_Local!B369,CTR1_Local!$D369)</f>
        <v/>
      </c>
      <c r="B338" s="26" t="str">
        <f>IF(A338="","",IF(RIGHT(A338,3)="NEW","Add new / another parish",CTR1_Local!$AN369))</f>
        <v/>
      </c>
      <c r="C338" s="26" t="str">
        <f t="shared" si="5"/>
        <v/>
      </c>
      <c r="D338" s="177" t="str">
        <f>IF(A338="","",IF(RIGHT(A338,3)="NEW",CTR1_Local!$E369,IF(CTR1_Local!$AO369="change",CTR1_Local!$E369,"")))</f>
        <v/>
      </c>
      <c r="E338" t="str">
        <f>IF(CTR1_Local!$F369="","",CTR1_Local!$F369)</f>
        <v/>
      </c>
      <c r="F338" s="261" t="str">
        <f>IF(CTR1_Local!$T369="","",IF(CTR1_Local!$T369="Yes","Removed",""))</f>
        <v/>
      </c>
      <c r="G338" t="str">
        <f>IF(CTR1_Local!$N369="","",IF(F338="Removed","",CTR1_Local!$N369))</f>
        <v/>
      </c>
      <c r="H338" t="str">
        <f>IF(CTR1_Local!$P369="","",IF($F338="Removed","",CTR1_Local!$P369))</f>
        <v/>
      </c>
      <c r="I338" t="str">
        <f>IF(CTR1_Local!$R369="","",IF($F338="Removed","",CTR1_Local!$R369))</f>
        <v/>
      </c>
      <c r="J338" s="160" t="str">
        <f>CTR1_Local!$H369</f>
        <v/>
      </c>
      <c r="K338" s="340" t="str">
        <f>CTR1_Local!$J369</f>
        <v/>
      </c>
      <c r="L338" s="350" t="str">
        <f>CTR1_Local!$L369</f>
        <v/>
      </c>
      <c r="M338" s="261" t="str">
        <f>IF(CTR1_Local!$V369="","",IF(CTR1_Local!$V369="Yes","confirm",""))</f>
        <v/>
      </c>
      <c r="N338" t="str">
        <f>IF(CTR1_Local!$W369="","",CTR1_Local!$W369)</f>
        <v/>
      </c>
    </row>
    <row r="339" spans="1:14" x14ac:dyDescent="0.2">
      <c r="A339" s="287" t="str">
        <f>IF(CTR1_Local!$D370="",CTR1_Local!B370,CTR1_Local!$D370)</f>
        <v/>
      </c>
      <c r="B339" s="26" t="str">
        <f>IF(A339="","",IF(RIGHT(A339,3)="NEW","Add new / another parish",CTR1_Local!$AN370))</f>
        <v/>
      </c>
      <c r="C339" s="26" t="str">
        <f t="shared" si="5"/>
        <v/>
      </c>
      <c r="D339" s="177" t="str">
        <f>IF(A339="","",IF(RIGHT(A339,3)="NEW",CTR1_Local!$E370,IF(CTR1_Local!$AO370="change",CTR1_Local!$E370,"")))</f>
        <v/>
      </c>
      <c r="E339" t="str">
        <f>IF(CTR1_Local!$F370="","",CTR1_Local!$F370)</f>
        <v/>
      </c>
      <c r="F339" s="261" t="str">
        <f>IF(CTR1_Local!$T370="","",IF(CTR1_Local!$T370="Yes","Removed",""))</f>
        <v/>
      </c>
      <c r="G339" t="str">
        <f>IF(CTR1_Local!$N370="","",IF(F339="Removed","",CTR1_Local!$N370))</f>
        <v/>
      </c>
      <c r="H339" t="str">
        <f>IF(CTR1_Local!$P370="","",IF($F339="Removed","",CTR1_Local!$P370))</f>
        <v/>
      </c>
      <c r="I339" t="str">
        <f>IF(CTR1_Local!$R370="","",IF($F339="Removed","",CTR1_Local!$R370))</f>
        <v/>
      </c>
      <c r="J339" s="160" t="str">
        <f>CTR1_Local!$H370</f>
        <v/>
      </c>
      <c r="K339" s="340" t="str">
        <f>CTR1_Local!$J370</f>
        <v/>
      </c>
      <c r="L339" s="350" t="str">
        <f>CTR1_Local!$L370</f>
        <v/>
      </c>
      <c r="M339" s="261" t="str">
        <f>IF(CTR1_Local!$V370="","",IF(CTR1_Local!$V370="Yes","confirm",""))</f>
        <v/>
      </c>
      <c r="N339" t="str">
        <f>IF(CTR1_Local!$W370="","",CTR1_Local!$W370)</f>
        <v/>
      </c>
    </row>
    <row r="340" spans="1:14" x14ac:dyDescent="0.2">
      <c r="A340" s="287" t="str">
        <f>IF(CTR1_Local!$D371="",CTR1_Local!B371,CTR1_Local!$D371)</f>
        <v/>
      </c>
      <c r="B340" s="26" t="str">
        <f>IF(A340="","",IF(RIGHT(A340,3)="NEW","Add new / another parish",CTR1_Local!$AN371))</f>
        <v/>
      </c>
      <c r="C340" s="26" t="str">
        <f t="shared" si="5"/>
        <v/>
      </c>
      <c r="D340" s="177" t="str">
        <f>IF(A340="","",IF(RIGHT(A340,3)="NEW",CTR1_Local!$E371,IF(CTR1_Local!$AO371="change",CTR1_Local!$E371,"")))</f>
        <v/>
      </c>
      <c r="E340" t="str">
        <f>IF(CTR1_Local!$F371="","",CTR1_Local!$F371)</f>
        <v/>
      </c>
      <c r="F340" s="261" t="str">
        <f>IF(CTR1_Local!$T371="","",IF(CTR1_Local!$T371="Yes","Removed",""))</f>
        <v/>
      </c>
      <c r="G340" t="str">
        <f>IF(CTR1_Local!$N371="","",IF(F340="Removed","",CTR1_Local!$N371))</f>
        <v/>
      </c>
      <c r="H340" t="str">
        <f>IF(CTR1_Local!$P371="","",IF($F340="Removed","",CTR1_Local!$P371))</f>
        <v/>
      </c>
      <c r="I340" t="str">
        <f>IF(CTR1_Local!$R371="","",IF($F340="Removed","",CTR1_Local!$R371))</f>
        <v/>
      </c>
      <c r="J340" s="160" t="str">
        <f>CTR1_Local!$H371</f>
        <v/>
      </c>
      <c r="K340" s="340" t="str">
        <f>CTR1_Local!$J371</f>
        <v/>
      </c>
      <c r="L340" s="350" t="str">
        <f>CTR1_Local!$L371</f>
        <v/>
      </c>
      <c r="M340" s="261" t="str">
        <f>IF(CTR1_Local!$V371="","",IF(CTR1_Local!$V371="Yes","confirm",""))</f>
        <v/>
      </c>
      <c r="N340" t="str">
        <f>IF(CTR1_Local!$W371="","",CTR1_Local!$W371)</f>
        <v/>
      </c>
    </row>
    <row r="341" spans="1:14" x14ac:dyDescent="0.2">
      <c r="A341" s="287" t="str">
        <f>IF(CTR1_Local!$D372="",CTR1_Local!B372,CTR1_Local!$D372)</f>
        <v/>
      </c>
      <c r="B341" s="26" t="str">
        <f>IF(A341="","",IF(RIGHT(A341,3)="NEW","Add new / another parish",CTR1_Local!$AN372))</f>
        <v/>
      </c>
      <c r="C341" s="26" t="str">
        <f t="shared" si="5"/>
        <v/>
      </c>
      <c r="D341" s="177" t="str">
        <f>IF(A341="","",IF(RIGHT(A341,3)="NEW",CTR1_Local!$E372,IF(CTR1_Local!$AO372="change",CTR1_Local!$E372,"")))</f>
        <v/>
      </c>
      <c r="E341" t="str">
        <f>IF(CTR1_Local!$F372="","",CTR1_Local!$F372)</f>
        <v/>
      </c>
      <c r="F341" s="261" t="str">
        <f>IF(CTR1_Local!$T372="","",IF(CTR1_Local!$T372="Yes","Removed",""))</f>
        <v/>
      </c>
      <c r="G341" t="str">
        <f>IF(CTR1_Local!$N372="","",IF(F341="Removed","",CTR1_Local!$N372))</f>
        <v/>
      </c>
      <c r="H341" t="str">
        <f>IF(CTR1_Local!$P372="","",IF($F341="Removed","",CTR1_Local!$P372))</f>
        <v/>
      </c>
      <c r="I341" t="str">
        <f>IF(CTR1_Local!$R372="","",IF($F341="Removed","",CTR1_Local!$R372))</f>
        <v/>
      </c>
      <c r="J341" s="160" t="str">
        <f>CTR1_Local!$H372</f>
        <v/>
      </c>
      <c r="K341" s="340" t="str">
        <f>CTR1_Local!$J372</f>
        <v/>
      </c>
      <c r="L341" s="350" t="str">
        <f>CTR1_Local!$L372</f>
        <v/>
      </c>
      <c r="M341" s="261" t="str">
        <f>IF(CTR1_Local!$V372="","",IF(CTR1_Local!$V372="Yes","confirm",""))</f>
        <v/>
      </c>
      <c r="N341" t="str">
        <f>IF(CTR1_Local!$W372="","",CTR1_Local!$W372)</f>
        <v/>
      </c>
    </row>
    <row r="342" spans="1:14" x14ac:dyDescent="0.2">
      <c r="A342" s="287" t="str">
        <f>IF(CTR1_Local!$D373="",CTR1_Local!B373,CTR1_Local!$D373)</f>
        <v/>
      </c>
      <c r="B342" s="26" t="str">
        <f>IF(A342="","",IF(RIGHT(A342,3)="NEW","Add new / another parish",CTR1_Local!$AN373))</f>
        <v/>
      </c>
      <c r="C342" s="26" t="str">
        <f t="shared" si="5"/>
        <v/>
      </c>
      <c r="D342" s="177" t="str">
        <f>IF(A342="","",IF(RIGHT(A342,3)="NEW",CTR1_Local!$E373,IF(CTR1_Local!$AO373="change",CTR1_Local!$E373,"")))</f>
        <v/>
      </c>
      <c r="E342" t="str">
        <f>IF(CTR1_Local!$F373="","",CTR1_Local!$F373)</f>
        <v/>
      </c>
      <c r="F342" s="261" t="str">
        <f>IF(CTR1_Local!$T373="","",IF(CTR1_Local!$T373="Yes","Removed",""))</f>
        <v/>
      </c>
      <c r="G342" t="str">
        <f>IF(CTR1_Local!$N373="","",IF(F342="Removed","",CTR1_Local!$N373))</f>
        <v/>
      </c>
      <c r="H342" t="str">
        <f>IF(CTR1_Local!$P373="","",IF($F342="Removed","",CTR1_Local!$P373))</f>
        <v/>
      </c>
      <c r="I342" t="str">
        <f>IF(CTR1_Local!$R373="","",IF($F342="Removed","",CTR1_Local!$R373))</f>
        <v/>
      </c>
      <c r="J342" s="160" t="str">
        <f>CTR1_Local!$H373</f>
        <v/>
      </c>
      <c r="K342" s="340" t="str">
        <f>CTR1_Local!$J373</f>
        <v/>
      </c>
      <c r="L342" s="350" t="str">
        <f>CTR1_Local!$L373</f>
        <v/>
      </c>
      <c r="M342" s="261" t="str">
        <f>IF(CTR1_Local!$V373="","",IF(CTR1_Local!$V373="Yes","confirm",""))</f>
        <v/>
      </c>
      <c r="N342" t="str">
        <f>IF(CTR1_Local!$W373="","",CTR1_Local!$W373)</f>
        <v/>
      </c>
    </row>
    <row r="343" spans="1:14" x14ac:dyDescent="0.2">
      <c r="A343" s="287" t="str">
        <f>IF(CTR1_Local!$D374="",CTR1_Local!B374,CTR1_Local!$D374)</f>
        <v/>
      </c>
      <c r="B343" s="26" t="str">
        <f>IF(A343="","",IF(RIGHT(A343,3)="NEW","Add new / another parish",CTR1_Local!$AN374))</f>
        <v/>
      </c>
      <c r="C343" s="26" t="str">
        <f t="shared" si="5"/>
        <v/>
      </c>
      <c r="D343" s="177" t="str">
        <f>IF(A343="","",IF(RIGHT(A343,3)="NEW",CTR1_Local!$E374,IF(CTR1_Local!$AO374="change",CTR1_Local!$E374,"")))</f>
        <v/>
      </c>
      <c r="E343" t="str">
        <f>IF(CTR1_Local!$F374="","",CTR1_Local!$F374)</f>
        <v/>
      </c>
      <c r="F343" s="261" t="str">
        <f>IF(CTR1_Local!$T374="","",IF(CTR1_Local!$T374="Yes","Removed",""))</f>
        <v/>
      </c>
      <c r="G343" t="str">
        <f>IF(CTR1_Local!$N374="","",IF(F343="Removed","",CTR1_Local!$N374))</f>
        <v/>
      </c>
      <c r="H343" t="str">
        <f>IF(CTR1_Local!$P374="","",IF($F343="Removed","",CTR1_Local!$P374))</f>
        <v/>
      </c>
      <c r="I343" t="str">
        <f>IF(CTR1_Local!$R374="","",IF($F343="Removed","",CTR1_Local!$R374))</f>
        <v/>
      </c>
      <c r="J343" s="160" t="str">
        <f>CTR1_Local!$H374</f>
        <v/>
      </c>
      <c r="K343" s="340" t="str">
        <f>CTR1_Local!$J374</f>
        <v/>
      </c>
      <c r="L343" s="350" t="str">
        <f>CTR1_Local!$L374</f>
        <v/>
      </c>
      <c r="M343" s="261" t="str">
        <f>IF(CTR1_Local!$V374="","",IF(CTR1_Local!$V374="Yes","confirm",""))</f>
        <v/>
      </c>
      <c r="N343" t="str">
        <f>IF(CTR1_Local!$W374="","",CTR1_Local!$W374)</f>
        <v/>
      </c>
    </row>
    <row r="344" spans="1:14" x14ac:dyDescent="0.2">
      <c r="A344" s="287" t="str">
        <f>IF(CTR1_Local!$D375="",CTR1_Local!B375,CTR1_Local!$D375)</f>
        <v/>
      </c>
      <c r="B344" s="26" t="str">
        <f>IF(A344="","",IF(RIGHT(A344,3)="NEW","Add new / another parish",CTR1_Local!$AN375))</f>
        <v/>
      </c>
      <c r="C344" s="26" t="str">
        <f t="shared" si="5"/>
        <v/>
      </c>
      <c r="D344" s="177" t="str">
        <f>IF(A344="","",IF(RIGHT(A344,3)="NEW",CTR1_Local!$E375,IF(CTR1_Local!$AO375="change",CTR1_Local!$E375,"")))</f>
        <v/>
      </c>
      <c r="E344" t="str">
        <f>IF(CTR1_Local!$F375="","",CTR1_Local!$F375)</f>
        <v/>
      </c>
      <c r="F344" s="261" t="str">
        <f>IF(CTR1_Local!$T375="","",IF(CTR1_Local!$T375="Yes","Removed",""))</f>
        <v/>
      </c>
      <c r="G344" t="str">
        <f>IF(CTR1_Local!$N375="","",IF(F344="Removed","",CTR1_Local!$N375))</f>
        <v/>
      </c>
      <c r="H344" t="str">
        <f>IF(CTR1_Local!$P375="","",IF($F344="Removed","",CTR1_Local!$P375))</f>
        <v/>
      </c>
      <c r="I344" t="str">
        <f>IF(CTR1_Local!$R375="","",IF($F344="Removed","",CTR1_Local!$R375))</f>
        <v/>
      </c>
      <c r="J344" s="160" t="str">
        <f>CTR1_Local!$H375</f>
        <v/>
      </c>
      <c r="K344" s="340" t="str">
        <f>CTR1_Local!$J375</f>
        <v/>
      </c>
      <c r="L344" s="350" t="str">
        <f>CTR1_Local!$L375</f>
        <v/>
      </c>
      <c r="M344" s="261" t="str">
        <f>IF(CTR1_Local!$V375="","",IF(CTR1_Local!$V375="Yes","confirm",""))</f>
        <v/>
      </c>
      <c r="N344" t="str">
        <f>IF(CTR1_Local!$W375="","",CTR1_Local!$W375)</f>
        <v/>
      </c>
    </row>
    <row r="345" spans="1:14" x14ac:dyDescent="0.2">
      <c r="A345" s="287" t="str">
        <f>IF(CTR1_Local!$D376="",CTR1_Local!B376,CTR1_Local!$D376)</f>
        <v/>
      </c>
      <c r="B345" s="26" t="str">
        <f>IF(A345="","",IF(RIGHT(A345,3)="NEW","Add new / another parish",CTR1_Local!$AN376))</f>
        <v/>
      </c>
      <c r="C345" s="26" t="str">
        <f t="shared" si="5"/>
        <v/>
      </c>
      <c r="D345" s="177" t="str">
        <f>IF(A345="","",IF(RIGHT(A345,3)="NEW",CTR1_Local!$E376,IF(CTR1_Local!$AO376="change",CTR1_Local!$E376,"")))</f>
        <v/>
      </c>
      <c r="E345" t="str">
        <f>IF(CTR1_Local!$F376="","",CTR1_Local!$F376)</f>
        <v/>
      </c>
      <c r="F345" s="261" t="str">
        <f>IF(CTR1_Local!$T376="","",IF(CTR1_Local!$T376="Yes","Removed",""))</f>
        <v/>
      </c>
      <c r="G345" t="str">
        <f>IF(CTR1_Local!$N376="","",IF(F345="Removed","",CTR1_Local!$N376))</f>
        <v/>
      </c>
      <c r="H345" t="str">
        <f>IF(CTR1_Local!$P376="","",IF($F345="Removed","",CTR1_Local!$P376))</f>
        <v/>
      </c>
      <c r="I345" t="str">
        <f>IF(CTR1_Local!$R376="","",IF($F345="Removed","",CTR1_Local!$R376))</f>
        <v/>
      </c>
      <c r="J345" s="160" t="str">
        <f>CTR1_Local!$H376</f>
        <v/>
      </c>
      <c r="K345" s="340" t="str">
        <f>CTR1_Local!$J376</f>
        <v/>
      </c>
      <c r="L345" s="350" t="str">
        <f>CTR1_Local!$L376</f>
        <v/>
      </c>
      <c r="M345" s="261" t="str">
        <f>IF(CTR1_Local!$V376="","",IF(CTR1_Local!$V376="Yes","confirm",""))</f>
        <v/>
      </c>
      <c r="N345" t="str">
        <f>IF(CTR1_Local!$W376="","",CTR1_Local!$W376)</f>
        <v/>
      </c>
    </row>
    <row r="346" spans="1:14" x14ac:dyDescent="0.2">
      <c r="A346" s="287" t="str">
        <f>IF(CTR1_Local!$D377="",CTR1_Local!B377,CTR1_Local!$D377)</f>
        <v/>
      </c>
      <c r="B346" s="26" t="str">
        <f>IF(A346="","",IF(RIGHT(A346,3)="NEW","Add new / another parish",CTR1_Local!$AN377))</f>
        <v/>
      </c>
      <c r="C346" s="26" t="str">
        <f t="shared" si="5"/>
        <v/>
      </c>
      <c r="D346" s="177" t="str">
        <f>IF(A346="","",IF(RIGHT(A346,3)="NEW",CTR1_Local!$E377,IF(CTR1_Local!$AO377="change",CTR1_Local!$E377,"")))</f>
        <v/>
      </c>
      <c r="E346" t="str">
        <f>IF(CTR1_Local!$F377="","",CTR1_Local!$F377)</f>
        <v/>
      </c>
      <c r="F346" s="261" t="str">
        <f>IF(CTR1_Local!$T377="","",IF(CTR1_Local!$T377="Yes","Removed",""))</f>
        <v/>
      </c>
      <c r="G346" t="str">
        <f>IF(CTR1_Local!$N377="","",IF(F346="Removed","",CTR1_Local!$N377))</f>
        <v/>
      </c>
      <c r="H346" t="str">
        <f>IF(CTR1_Local!$P377="","",IF($F346="Removed","",CTR1_Local!$P377))</f>
        <v/>
      </c>
      <c r="I346" t="str">
        <f>IF(CTR1_Local!$R377="","",IF($F346="Removed","",CTR1_Local!$R377))</f>
        <v/>
      </c>
      <c r="J346" s="160" t="str">
        <f>CTR1_Local!$H377</f>
        <v/>
      </c>
      <c r="K346" s="340" t="str">
        <f>CTR1_Local!$J377</f>
        <v/>
      </c>
      <c r="L346" s="350" t="str">
        <f>CTR1_Local!$L377</f>
        <v/>
      </c>
      <c r="M346" s="261" t="str">
        <f>IF(CTR1_Local!$V377="","",IF(CTR1_Local!$V377="Yes","confirm",""))</f>
        <v/>
      </c>
      <c r="N346" t="str">
        <f>IF(CTR1_Local!$W377="","",CTR1_Local!$W377)</f>
        <v/>
      </c>
    </row>
    <row r="347" spans="1:14" x14ac:dyDescent="0.2">
      <c r="A347" s="287" t="str">
        <f>IF(CTR1_Local!$D378="",CTR1_Local!B378,CTR1_Local!$D378)</f>
        <v/>
      </c>
      <c r="B347" s="26" t="str">
        <f>IF(A347="","",IF(RIGHT(A347,3)="NEW","Add new / another parish",CTR1_Local!$AN378))</f>
        <v/>
      </c>
      <c r="C347" s="26" t="str">
        <f t="shared" si="5"/>
        <v/>
      </c>
      <c r="D347" s="177" t="str">
        <f>IF(A347="","",IF(RIGHT(A347,3)="NEW",CTR1_Local!$E378,IF(CTR1_Local!$AO378="change",CTR1_Local!$E378,"")))</f>
        <v/>
      </c>
      <c r="E347" t="str">
        <f>IF(CTR1_Local!$F378="","",CTR1_Local!$F378)</f>
        <v/>
      </c>
      <c r="F347" s="261" t="str">
        <f>IF(CTR1_Local!$T378="","",IF(CTR1_Local!$T378="Yes","Removed",""))</f>
        <v/>
      </c>
      <c r="G347" t="str">
        <f>IF(CTR1_Local!$N378="","",IF(F347="Removed","",CTR1_Local!$N378))</f>
        <v/>
      </c>
      <c r="H347" t="str">
        <f>IF(CTR1_Local!$P378="","",IF($F347="Removed","",CTR1_Local!$P378))</f>
        <v/>
      </c>
      <c r="I347" t="str">
        <f>IF(CTR1_Local!$R378="","",IF($F347="Removed","",CTR1_Local!$R378))</f>
        <v/>
      </c>
      <c r="J347" s="160" t="str">
        <f>CTR1_Local!$H378</f>
        <v/>
      </c>
      <c r="K347" s="340" t="str">
        <f>CTR1_Local!$J378</f>
        <v/>
      </c>
      <c r="L347" s="350" t="str">
        <f>CTR1_Local!$L378</f>
        <v/>
      </c>
      <c r="M347" s="261" t="str">
        <f>IF(CTR1_Local!$V378="","",IF(CTR1_Local!$V378="Yes","confirm",""))</f>
        <v/>
      </c>
      <c r="N347" t="str">
        <f>IF(CTR1_Local!$W378="","",CTR1_Local!$W378)</f>
        <v/>
      </c>
    </row>
    <row r="348" spans="1:14" x14ac:dyDescent="0.2">
      <c r="A348" s="287" t="str">
        <f>IF(CTR1_Local!$D379="",CTR1_Local!B379,CTR1_Local!$D379)</f>
        <v/>
      </c>
      <c r="B348" s="26" t="str">
        <f>IF(A348="","",IF(RIGHT(A348,3)="NEW","Add new / another parish",CTR1_Local!$AN379))</f>
        <v/>
      </c>
      <c r="C348" s="26" t="str">
        <f t="shared" si="5"/>
        <v/>
      </c>
      <c r="D348" s="177" t="str">
        <f>IF(A348="","",IF(RIGHT(A348,3)="NEW",CTR1_Local!$E379,IF(CTR1_Local!$AO379="change",CTR1_Local!$E379,"")))</f>
        <v/>
      </c>
      <c r="E348" t="str">
        <f>IF(CTR1_Local!$F379="","",CTR1_Local!$F379)</f>
        <v/>
      </c>
      <c r="F348" s="261" t="str">
        <f>IF(CTR1_Local!$T379="","",IF(CTR1_Local!$T379="Yes","Removed",""))</f>
        <v/>
      </c>
      <c r="G348" t="str">
        <f>IF(CTR1_Local!$N379="","",IF(F348="Removed","",CTR1_Local!$N379))</f>
        <v/>
      </c>
      <c r="H348" t="str">
        <f>IF(CTR1_Local!$P379="","",IF($F348="Removed","",CTR1_Local!$P379))</f>
        <v/>
      </c>
      <c r="I348" t="str">
        <f>IF(CTR1_Local!$R379="","",IF($F348="Removed","",CTR1_Local!$R379))</f>
        <v/>
      </c>
      <c r="J348" s="160" t="str">
        <f>CTR1_Local!$H379</f>
        <v/>
      </c>
      <c r="K348" s="340" t="str">
        <f>CTR1_Local!$J379</f>
        <v/>
      </c>
      <c r="L348" s="350" t="str">
        <f>CTR1_Local!$L379</f>
        <v/>
      </c>
      <c r="M348" s="261" t="str">
        <f>IF(CTR1_Local!$V379="","",IF(CTR1_Local!$V379="Yes","confirm",""))</f>
        <v/>
      </c>
      <c r="N348" t="str">
        <f>IF(CTR1_Local!$W379="","",CTR1_Local!$W379)</f>
        <v/>
      </c>
    </row>
    <row r="349" spans="1:14" x14ac:dyDescent="0.2">
      <c r="A349" s="287" t="str">
        <f>IF(CTR1_Local!$D380="",CTR1_Local!B380,CTR1_Local!$D380)</f>
        <v/>
      </c>
      <c r="B349" s="26" t="str">
        <f>IF(A349="","",IF(RIGHT(A349,3)="NEW","Add new / another parish",CTR1_Local!$AN380))</f>
        <v/>
      </c>
      <c r="C349" s="26" t="str">
        <f t="shared" si="5"/>
        <v/>
      </c>
      <c r="D349" s="177" t="str">
        <f>IF(A349="","",IF(RIGHT(A349,3)="NEW",CTR1_Local!$E380,IF(CTR1_Local!$AO380="change",CTR1_Local!$E380,"")))</f>
        <v/>
      </c>
      <c r="E349" t="str">
        <f>IF(CTR1_Local!$F380="","",CTR1_Local!$F380)</f>
        <v/>
      </c>
      <c r="F349" s="261" t="str">
        <f>IF(CTR1_Local!$T380="","",IF(CTR1_Local!$T380="Yes","Removed",""))</f>
        <v/>
      </c>
      <c r="G349" t="str">
        <f>IF(CTR1_Local!$N380="","",IF(F349="Removed","",CTR1_Local!$N380))</f>
        <v/>
      </c>
      <c r="H349" t="str">
        <f>IF(CTR1_Local!$P380="","",IF($F349="Removed","",CTR1_Local!$P380))</f>
        <v/>
      </c>
      <c r="I349" t="str">
        <f>IF(CTR1_Local!$R380="","",IF($F349="Removed","",CTR1_Local!$R380))</f>
        <v/>
      </c>
      <c r="J349" s="160" t="str">
        <f>CTR1_Local!$H380</f>
        <v/>
      </c>
      <c r="K349" s="340" t="str">
        <f>CTR1_Local!$J380</f>
        <v/>
      </c>
      <c r="L349" s="350" t="str">
        <f>CTR1_Local!$L380</f>
        <v/>
      </c>
      <c r="M349" s="261" t="str">
        <f>IF(CTR1_Local!$V380="","",IF(CTR1_Local!$V380="Yes","confirm",""))</f>
        <v/>
      </c>
      <c r="N349" t="str">
        <f>IF(CTR1_Local!$W380="","",CTR1_Local!$W380)</f>
        <v/>
      </c>
    </row>
    <row r="350" spans="1:14" x14ac:dyDescent="0.2">
      <c r="A350" s="287" t="str">
        <f>IF(CTR1_Local!$D381="",CTR1_Local!B381,CTR1_Local!$D381)</f>
        <v/>
      </c>
      <c r="B350" s="26" t="str">
        <f>IF(A350="","",IF(RIGHT(A350,3)="NEW","Add new / another parish",CTR1_Local!$AN381))</f>
        <v/>
      </c>
      <c r="C350" s="26" t="str">
        <f t="shared" si="5"/>
        <v/>
      </c>
      <c r="D350" s="177" t="str">
        <f>IF(A350="","",IF(RIGHT(A350,3)="NEW",CTR1_Local!$E381,IF(CTR1_Local!$AO381="change",CTR1_Local!$E381,"")))</f>
        <v/>
      </c>
      <c r="E350" t="str">
        <f>IF(CTR1_Local!$F381="","",CTR1_Local!$F381)</f>
        <v/>
      </c>
      <c r="F350" s="261" t="str">
        <f>IF(CTR1_Local!$T381="","",IF(CTR1_Local!$T381="Yes","Removed",""))</f>
        <v/>
      </c>
      <c r="G350" t="str">
        <f>IF(CTR1_Local!$N381="","",IF(F350="Removed","",CTR1_Local!$N381))</f>
        <v/>
      </c>
      <c r="H350" t="str">
        <f>IF(CTR1_Local!$P381="","",IF($F350="Removed","",CTR1_Local!$P381))</f>
        <v/>
      </c>
      <c r="I350" t="str">
        <f>IF(CTR1_Local!$R381="","",IF($F350="Removed","",CTR1_Local!$R381))</f>
        <v/>
      </c>
      <c r="J350" s="160" t="str">
        <f>CTR1_Local!$H381</f>
        <v/>
      </c>
      <c r="K350" s="340" t="str">
        <f>CTR1_Local!$J381</f>
        <v/>
      </c>
      <c r="L350" s="350" t="str">
        <f>CTR1_Local!$L381</f>
        <v/>
      </c>
      <c r="M350" s="261" t="str">
        <f>IF(CTR1_Local!$V381="","",IF(CTR1_Local!$V381="Yes","confirm",""))</f>
        <v/>
      </c>
      <c r="N350" t="str">
        <f>IF(CTR1_Local!$W381="","",CTR1_Local!$W381)</f>
        <v/>
      </c>
    </row>
    <row r="351" spans="1:14" x14ac:dyDescent="0.2">
      <c r="A351" s="287" t="str">
        <f>IF(CTR1_Local!$D382="",CTR1_Local!B382,CTR1_Local!$D382)</f>
        <v/>
      </c>
      <c r="B351" s="26" t="str">
        <f>IF(A351="","",IF(RIGHT(A351,3)="NEW","Add new / another parish",CTR1_Local!$AN382))</f>
        <v/>
      </c>
      <c r="C351" s="26" t="str">
        <f t="shared" si="5"/>
        <v/>
      </c>
      <c r="D351" s="177" t="str">
        <f>IF(A351="","",IF(RIGHT(A351,3)="NEW",CTR1_Local!$E382,IF(CTR1_Local!$AO382="change",CTR1_Local!$E382,"")))</f>
        <v/>
      </c>
      <c r="E351" t="str">
        <f>IF(CTR1_Local!$F382="","",CTR1_Local!$F382)</f>
        <v/>
      </c>
      <c r="F351" s="261" t="str">
        <f>IF(CTR1_Local!$T382="","",IF(CTR1_Local!$T382="Yes","Removed",""))</f>
        <v/>
      </c>
      <c r="G351" t="str">
        <f>IF(CTR1_Local!$N382="","",IF(F351="Removed","",CTR1_Local!$N382))</f>
        <v/>
      </c>
      <c r="H351" t="str">
        <f>IF(CTR1_Local!$P382="","",IF($F351="Removed","",CTR1_Local!$P382))</f>
        <v/>
      </c>
      <c r="I351" t="str">
        <f>IF(CTR1_Local!$R382="","",IF($F351="Removed","",CTR1_Local!$R382))</f>
        <v/>
      </c>
      <c r="J351" s="160" t="str">
        <f>CTR1_Local!$H382</f>
        <v/>
      </c>
      <c r="K351" s="340" t="str">
        <f>CTR1_Local!$J382</f>
        <v/>
      </c>
      <c r="L351" s="350" t="str">
        <f>CTR1_Local!$L382</f>
        <v/>
      </c>
      <c r="M351" s="261" t="str">
        <f>IF(CTR1_Local!$V382="","",IF(CTR1_Local!$V382="Yes","confirm",""))</f>
        <v/>
      </c>
      <c r="N351" t="str">
        <f>IF(CTR1_Local!$W382="","",CTR1_Local!$W382)</f>
        <v/>
      </c>
    </row>
    <row r="352" spans="1:14" x14ac:dyDescent="0.2">
      <c r="A352" s="287" t="str">
        <f>IF(CTR1_Local!$D383="",CTR1_Local!B383,CTR1_Local!$D383)</f>
        <v/>
      </c>
      <c r="B352" s="26" t="str">
        <f>IF(A352="","",IF(RIGHT(A352,3)="NEW","Add new / another parish",CTR1_Local!$AN383))</f>
        <v/>
      </c>
      <c r="C352" s="26" t="str">
        <f t="shared" si="5"/>
        <v/>
      </c>
      <c r="D352" s="177" t="str">
        <f>IF(A352="","",IF(RIGHT(A352,3)="NEW",CTR1_Local!$E383,IF(CTR1_Local!$AO383="change",CTR1_Local!$E383,"")))</f>
        <v/>
      </c>
      <c r="E352" t="str">
        <f>IF(CTR1_Local!$F383="","",CTR1_Local!$F383)</f>
        <v/>
      </c>
      <c r="F352" s="261" t="str">
        <f>IF(CTR1_Local!$T383="","",IF(CTR1_Local!$T383="Yes","Removed",""))</f>
        <v/>
      </c>
      <c r="G352" t="str">
        <f>IF(CTR1_Local!$N383="","",IF(F352="Removed","",CTR1_Local!$N383))</f>
        <v/>
      </c>
      <c r="H352" t="str">
        <f>IF(CTR1_Local!$P383="","",IF($F352="Removed","",CTR1_Local!$P383))</f>
        <v/>
      </c>
      <c r="I352" t="str">
        <f>IF(CTR1_Local!$R383="","",IF($F352="Removed","",CTR1_Local!$R383))</f>
        <v/>
      </c>
      <c r="J352" s="160" t="str">
        <f>CTR1_Local!$H383</f>
        <v/>
      </c>
      <c r="K352" s="340" t="str">
        <f>CTR1_Local!$J383</f>
        <v/>
      </c>
      <c r="L352" s="350" t="str">
        <f>CTR1_Local!$L383</f>
        <v/>
      </c>
      <c r="M352" s="261" t="str">
        <f>IF(CTR1_Local!$V383="","",IF(CTR1_Local!$V383="Yes","confirm",""))</f>
        <v/>
      </c>
      <c r="N352" t="str">
        <f>IF(CTR1_Local!$W383="","",CTR1_Local!$W383)</f>
        <v/>
      </c>
    </row>
    <row r="353" spans="1:14" x14ac:dyDescent="0.2">
      <c r="A353" s="287" t="str">
        <f>IF(CTR1_Local!$D384="",CTR1_Local!B384,CTR1_Local!$D384)</f>
        <v/>
      </c>
      <c r="B353" s="26" t="str">
        <f>IF(A353="","",IF(RIGHT(A353,3)="NEW","Add new / another parish",CTR1_Local!$AN384))</f>
        <v/>
      </c>
      <c r="C353" s="26" t="str">
        <f t="shared" si="5"/>
        <v/>
      </c>
      <c r="D353" s="177" t="str">
        <f>IF(A353="","",IF(RIGHT(A353,3)="NEW",CTR1_Local!$E384,IF(CTR1_Local!$AO384="change",CTR1_Local!$E384,"")))</f>
        <v/>
      </c>
      <c r="E353" t="str">
        <f>IF(CTR1_Local!$F384="","",CTR1_Local!$F384)</f>
        <v/>
      </c>
      <c r="F353" s="261" t="str">
        <f>IF(CTR1_Local!$T384="","",IF(CTR1_Local!$T384="Yes","Removed",""))</f>
        <v/>
      </c>
      <c r="G353" t="str">
        <f>IF(CTR1_Local!$N384="","",IF(F353="Removed","",CTR1_Local!$N384))</f>
        <v/>
      </c>
      <c r="H353" t="str">
        <f>IF(CTR1_Local!$P384="","",IF($F353="Removed","",CTR1_Local!$P384))</f>
        <v/>
      </c>
      <c r="I353" t="str">
        <f>IF(CTR1_Local!$R384="","",IF($F353="Removed","",CTR1_Local!$R384))</f>
        <v/>
      </c>
      <c r="J353" s="160" t="str">
        <f>CTR1_Local!$H384</f>
        <v/>
      </c>
      <c r="K353" s="340" t="str">
        <f>CTR1_Local!$J384</f>
        <v/>
      </c>
      <c r="L353" s="350" t="str">
        <f>CTR1_Local!$L384</f>
        <v/>
      </c>
      <c r="M353" s="261" t="str">
        <f>IF(CTR1_Local!$V384="","",IF(CTR1_Local!$V384="Yes","confirm",""))</f>
        <v/>
      </c>
      <c r="N353" t="str">
        <f>IF(CTR1_Local!$W384="","",CTR1_Local!$W384)</f>
        <v/>
      </c>
    </row>
    <row r="354" spans="1:14" x14ac:dyDescent="0.2">
      <c r="A354" s="287" t="str">
        <f>IF(CTR1_Local!$D385="",CTR1_Local!B385,CTR1_Local!$D385)</f>
        <v/>
      </c>
      <c r="B354" s="26" t="str">
        <f>IF(A354="","",IF(RIGHT(A354,3)="NEW","Add new / another parish",CTR1_Local!$AN385))</f>
        <v/>
      </c>
      <c r="C354" s="26" t="str">
        <f t="shared" si="5"/>
        <v/>
      </c>
      <c r="D354" s="177" t="str">
        <f>IF(A354="","",IF(RIGHT(A354,3)="NEW",CTR1_Local!$E385,IF(CTR1_Local!$AO385="change",CTR1_Local!$E385,"")))</f>
        <v/>
      </c>
      <c r="E354" t="str">
        <f>IF(CTR1_Local!$F385="","",CTR1_Local!$F385)</f>
        <v/>
      </c>
      <c r="F354" s="261" t="str">
        <f>IF(CTR1_Local!$T385="","",IF(CTR1_Local!$T385="Yes","Removed",""))</f>
        <v/>
      </c>
      <c r="G354" t="str">
        <f>IF(CTR1_Local!$N385="","",IF(F354="Removed","",CTR1_Local!$N385))</f>
        <v/>
      </c>
      <c r="H354" t="str">
        <f>IF(CTR1_Local!$P385="","",IF($F354="Removed","",CTR1_Local!$P385))</f>
        <v/>
      </c>
      <c r="I354" t="str">
        <f>IF(CTR1_Local!$R385="","",IF($F354="Removed","",CTR1_Local!$R385))</f>
        <v/>
      </c>
      <c r="J354" s="160" t="str">
        <f>CTR1_Local!$H385</f>
        <v/>
      </c>
      <c r="K354" s="340" t="str">
        <f>CTR1_Local!$J385</f>
        <v/>
      </c>
      <c r="L354" s="350" t="str">
        <f>CTR1_Local!$L385</f>
        <v/>
      </c>
      <c r="M354" s="261" t="str">
        <f>IF(CTR1_Local!$V385="","",IF(CTR1_Local!$V385="Yes","confirm",""))</f>
        <v/>
      </c>
      <c r="N354" t="str">
        <f>IF(CTR1_Local!$W385="","",CTR1_Local!$W385)</f>
        <v/>
      </c>
    </row>
    <row r="355" spans="1:14" x14ac:dyDescent="0.2">
      <c r="A355" s="287" t="str">
        <f>IF(CTR1_Local!$D386="",CTR1_Local!B386,CTR1_Local!$D386)</f>
        <v/>
      </c>
      <c r="B355" s="26" t="str">
        <f>IF(A355="","",IF(RIGHT(A355,3)="NEW","Add new / another parish",CTR1_Local!$AN386))</f>
        <v/>
      </c>
      <c r="C355" s="26" t="str">
        <f t="shared" si="5"/>
        <v/>
      </c>
      <c r="D355" s="177" t="str">
        <f>IF(A355="","",IF(RIGHT(A355,3)="NEW",CTR1_Local!$E386,IF(CTR1_Local!$AO386="change",CTR1_Local!$E386,"")))</f>
        <v/>
      </c>
      <c r="E355" t="str">
        <f>IF(CTR1_Local!$F386="","",CTR1_Local!$F386)</f>
        <v/>
      </c>
      <c r="F355" s="261" t="str">
        <f>IF(CTR1_Local!$T386="","",IF(CTR1_Local!$T386="Yes","Removed",""))</f>
        <v/>
      </c>
      <c r="G355" t="str">
        <f>IF(CTR1_Local!$N386="","",IF(F355="Removed","",CTR1_Local!$N386))</f>
        <v/>
      </c>
      <c r="H355" t="str">
        <f>IF(CTR1_Local!$P386="","",IF($F355="Removed","",CTR1_Local!$P386))</f>
        <v/>
      </c>
      <c r="I355" t="str">
        <f>IF(CTR1_Local!$R386="","",IF($F355="Removed","",CTR1_Local!$R386))</f>
        <v/>
      </c>
      <c r="J355" s="160" t="str">
        <f>CTR1_Local!$H386</f>
        <v/>
      </c>
      <c r="K355" s="340" t="str">
        <f>CTR1_Local!$J386</f>
        <v/>
      </c>
      <c r="L355" s="350" t="str">
        <f>CTR1_Local!$L386</f>
        <v/>
      </c>
      <c r="M355" s="261" t="str">
        <f>IF(CTR1_Local!$V386="","",IF(CTR1_Local!$V386="Yes","confirm",""))</f>
        <v/>
      </c>
      <c r="N355" t="str">
        <f>IF(CTR1_Local!$W386="","",CTR1_Local!$W386)</f>
        <v/>
      </c>
    </row>
    <row r="356" spans="1:14" x14ac:dyDescent="0.2">
      <c r="A356" s="287" t="str">
        <f>IF(CTR1_Local!$D387="",CTR1_Local!B387,CTR1_Local!$D387)</f>
        <v/>
      </c>
      <c r="B356" s="26" t="str">
        <f>IF(A356="","",IF(RIGHT(A356,3)="NEW","Add new / another parish",CTR1_Local!$AN387))</f>
        <v/>
      </c>
      <c r="C356" s="26" t="str">
        <f t="shared" si="5"/>
        <v/>
      </c>
      <c r="D356" s="177" t="str">
        <f>IF(A356="","",IF(RIGHT(A356,3)="NEW",CTR1_Local!$E387,IF(CTR1_Local!$AO387="change",CTR1_Local!$E387,"")))</f>
        <v/>
      </c>
      <c r="E356" t="str">
        <f>IF(CTR1_Local!$F387="","",CTR1_Local!$F387)</f>
        <v/>
      </c>
      <c r="F356" s="261" t="str">
        <f>IF(CTR1_Local!$T387="","",IF(CTR1_Local!$T387="Yes","Removed",""))</f>
        <v/>
      </c>
      <c r="G356" t="str">
        <f>IF(CTR1_Local!$N387="","",IF(F356="Removed","",CTR1_Local!$N387))</f>
        <v/>
      </c>
      <c r="H356" t="str">
        <f>IF(CTR1_Local!$P387="","",IF($F356="Removed","",CTR1_Local!$P387))</f>
        <v/>
      </c>
      <c r="I356" t="str">
        <f>IF(CTR1_Local!$R387="","",IF($F356="Removed","",CTR1_Local!$R387))</f>
        <v/>
      </c>
      <c r="J356" s="160" t="str">
        <f>CTR1_Local!$H387</f>
        <v/>
      </c>
      <c r="K356" s="340" t="str">
        <f>CTR1_Local!$J387</f>
        <v/>
      </c>
      <c r="L356" s="350" t="str">
        <f>CTR1_Local!$L387</f>
        <v/>
      </c>
      <c r="M356" s="261" t="str">
        <f>IF(CTR1_Local!$V387="","",IF(CTR1_Local!$V387="Yes","confirm",""))</f>
        <v/>
      </c>
      <c r="N356" t="str">
        <f>IF(CTR1_Local!$W387="","",CTR1_Local!$W387)</f>
        <v/>
      </c>
    </row>
    <row r="357" spans="1:14" x14ac:dyDescent="0.2">
      <c r="A357" s="287" t="str">
        <f>IF(CTR1_Local!$D388="",CTR1_Local!B388,CTR1_Local!$D388)</f>
        <v/>
      </c>
      <c r="B357" s="26" t="str">
        <f>IF(A357="","",IF(RIGHT(A357,3)="NEW","Add new / another parish",CTR1_Local!$AN388))</f>
        <v/>
      </c>
      <c r="C357" s="26" t="str">
        <f t="shared" si="5"/>
        <v/>
      </c>
      <c r="D357" s="177" t="str">
        <f>IF(A357="","",IF(RIGHT(A357,3)="NEW",CTR1_Local!$E388,IF(CTR1_Local!$AO388="change",CTR1_Local!$E388,"")))</f>
        <v/>
      </c>
      <c r="E357" t="str">
        <f>IF(CTR1_Local!$F388="","",CTR1_Local!$F388)</f>
        <v/>
      </c>
      <c r="F357" s="261" t="str">
        <f>IF(CTR1_Local!$T388="","",IF(CTR1_Local!$T388="Yes","Removed",""))</f>
        <v/>
      </c>
      <c r="G357" t="str">
        <f>IF(CTR1_Local!$N388="","",IF(F357="Removed","",CTR1_Local!$N388))</f>
        <v/>
      </c>
      <c r="H357" t="str">
        <f>IF(CTR1_Local!$P388="","",IF($F357="Removed","",CTR1_Local!$P388))</f>
        <v/>
      </c>
      <c r="I357" t="str">
        <f>IF(CTR1_Local!$R388="","",IF($F357="Removed","",CTR1_Local!$R388))</f>
        <v/>
      </c>
      <c r="J357" s="160" t="str">
        <f>CTR1_Local!$H388</f>
        <v/>
      </c>
      <c r="K357" s="340" t="str">
        <f>CTR1_Local!$J388</f>
        <v/>
      </c>
      <c r="L357" s="350" t="str">
        <f>CTR1_Local!$L388</f>
        <v/>
      </c>
      <c r="M357" s="261" t="str">
        <f>IF(CTR1_Local!$V388="","",IF(CTR1_Local!$V388="Yes","confirm",""))</f>
        <v/>
      </c>
      <c r="N357" t="str">
        <f>IF(CTR1_Local!$W388="","",CTR1_Local!$W388)</f>
        <v/>
      </c>
    </row>
    <row r="358" spans="1:14" x14ac:dyDescent="0.2">
      <c r="A358" s="287" t="str">
        <f>IF(CTR1_Local!$D389="",CTR1_Local!B389,CTR1_Local!$D389)</f>
        <v/>
      </c>
      <c r="B358" s="26" t="str">
        <f>IF(A358="","",IF(RIGHT(A358,3)="NEW","Add new / another parish",CTR1_Local!$AN389))</f>
        <v/>
      </c>
      <c r="C358" s="26" t="str">
        <f t="shared" si="5"/>
        <v/>
      </c>
      <c r="D358" s="177" t="str">
        <f>IF(A358="","",IF(RIGHT(A358,3)="NEW",CTR1_Local!$E389,IF(CTR1_Local!$AO389="change",CTR1_Local!$E389,"")))</f>
        <v/>
      </c>
      <c r="E358" t="str">
        <f>IF(CTR1_Local!$F389="","",CTR1_Local!$F389)</f>
        <v/>
      </c>
      <c r="F358" s="261" t="str">
        <f>IF(CTR1_Local!$T389="","",IF(CTR1_Local!$T389="Yes","Removed",""))</f>
        <v/>
      </c>
      <c r="G358" t="str">
        <f>IF(CTR1_Local!$N389="","",IF(F358="Removed","",CTR1_Local!$N389))</f>
        <v/>
      </c>
      <c r="H358" t="str">
        <f>IF(CTR1_Local!$P389="","",IF($F358="Removed","",CTR1_Local!$P389))</f>
        <v/>
      </c>
      <c r="I358" t="str">
        <f>IF(CTR1_Local!$R389="","",IF($F358="Removed","",CTR1_Local!$R389))</f>
        <v/>
      </c>
      <c r="J358" s="160" t="str">
        <f>CTR1_Local!$H389</f>
        <v/>
      </c>
      <c r="K358" s="340" t="str">
        <f>CTR1_Local!$J389</f>
        <v/>
      </c>
      <c r="L358" s="350" t="str">
        <f>CTR1_Local!$L389</f>
        <v/>
      </c>
      <c r="M358" s="261" t="str">
        <f>IF(CTR1_Local!$V389="","",IF(CTR1_Local!$V389="Yes","confirm",""))</f>
        <v/>
      </c>
      <c r="N358" t="str">
        <f>IF(CTR1_Local!$W389="","",CTR1_Local!$W389)</f>
        <v/>
      </c>
    </row>
    <row r="359" spans="1:14" x14ac:dyDescent="0.2">
      <c r="A359" s="287" t="str">
        <f>IF(CTR1_Local!$D390="",CTR1_Local!B390,CTR1_Local!$D390)</f>
        <v/>
      </c>
      <c r="B359" s="26" t="str">
        <f>IF(A359="","",IF(RIGHT(A359,3)="NEW","Add new / another parish",CTR1_Local!$AN390))</f>
        <v/>
      </c>
      <c r="C359" s="26" t="str">
        <f t="shared" si="5"/>
        <v/>
      </c>
      <c r="D359" s="177" t="str">
        <f>IF(A359="","",IF(RIGHT(A359,3)="NEW",CTR1_Local!$E390,IF(CTR1_Local!$AO390="change",CTR1_Local!$E390,"")))</f>
        <v/>
      </c>
      <c r="E359" t="str">
        <f>IF(CTR1_Local!$F390="","",CTR1_Local!$F390)</f>
        <v/>
      </c>
      <c r="F359" s="261" t="str">
        <f>IF(CTR1_Local!$T390="","",IF(CTR1_Local!$T390="Yes","Removed",""))</f>
        <v/>
      </c>
      <c r="G359" t="str">
        <f>IF(CTR1_Local!$N390="","",IF(F359="Removed","",CTR1_Local!$N390))</f>
        <v/>
      </c>
      <c r="H359" t="str">
        <f>IF(CTR1_Local!$P390="","",IF($F359="Removed","",CTR1_Local!$P390))</f>
        <v/>
      </c>
      <c r="I359" t="str">
        <f>IF(CTR1_Local!$R390="","",IF($F359="Removed","",CTR1_Local!$R390))</f>
        <v/>
      </c>
      <c r="J359" s="160" t="str">
        <f>CTR1_Local!$H390</f>
        <v/>
      </c>
      <c r="K359" s="340" t="str">
        <f>CTR1_Local!$J390</f>
        <v/>
      </c>
      <c r="L359" s="350" t="str">
        <f>CTR1_Local!$L390</f>
        <v/>
      </c>
      <c r="M359" s="261" t="str">
        <f>IF(CTR1_Local!$V390="","",IF(CTR1_Local!$V390="Yes","confirm",""))</f>
        <v/>
      </c>
      <c r="N359" t="str">
        <f>IF(CTR1_Local!$W390="","",CTR1_Local!$W390)</f>
        <v/>
      </c>
    </row>
    <row r="360" spans="1:14" x14ac:dyDescent="0.2">
      <c r="A360" s="287" t="str">
        <f>IF(CTR1_Local!$D391="",CTR1_Local!B391,CTR1_Local!$D391)</f>
        <v/>
      </c>
      <c r="B360" s="26" t="str">
        <f>IF(A360="","",IF(RIGHT(A360,3)="NEW","Add new / another parish",CTR1_Local!$AN391))</f>
        <v/>
      </c>
      <c r="C360" s="26" t="str">
        <f t="shared" si="5"/>
        <v/>
      </c>
      <c r="D360" s="177" t="str">
        <f>IF(A360="","",IF(RIGHT(A360,3)="NEW",CTR1_Local!$E391,IF(CTR1_Local!$AO391="change",CTR1_Local!$E391,"")))</f>
        <v/>
      </c>
      <c r="E360" t="str">
        <f>IF(CTR1_Local!$F391="","",CTR1_Local!$F391)</f>
        <v/>
      </c>
      <c r="F360" s="261" t="str">
        <f>IF(CTR1_Local!$T391="","",IF(CTR1_Local!$T391="Yes","Removed",""))</f>
        <v/>
      </c>
      <c r="G360" t="str">
        <f>IF(CTR1_Local!$N391="","",IF(F360="Removed","",CTR1_Local!$N391))</f>
        <v/>
      </c>
      <c r="H360" t="str">
        <f>IF(CTR1_Local!$P391="","",IF($F360="Removed","",CTR1_Local!$P391))</f>
        <v/>
      </c>
      <c r="I360" t="str">
        <f>IF(CTR1_Local!$R391="","",IF($F360="Removed","",CTR1_Local!$R391))</f>
        <v/>
      </c>
      <c r="J360" s="160" t="str">
        <f>CTR1_Local!$H391</f>
        <v/>
      </c>
      <c r="K360" s="340" t="str">
        <f>CTR1_Local!$J391</f>
        <v/>
      </c>
      <c r="L360" s="350" t="str">
        <f>CTR1_Local!$L391</f>
        <v/>
      </c>
      <c r="M360" s="261" t="str">
        <f>IF(CTR1_Local!$V391="","",IF(CTR1_Local!$V391="Yes","confirm",""))</f>
        <v/>
      </c>
      <c r="N360" t="str">
        <f>IF(CTR1_Local!$W391="","",CTR1_Local!$W391)</f>
        <v/>
      </c>
    </row>
    <row r="361" spans="1:14" x14ac:dyDescent="0.2">
      <c r="A361" s="287" t="str">
        <f>IF(CTR1_Local!$D392="",CTR1_Local!B392,CTR1_Local!$D392)</f>
        <v/>
      </c>
      <c r="B361" s="26" t="str">
        <f>IF(A361="","",IF(RIGHT(A361,3)="NEW","Add new / another parish",CTR1_Local!$AN392))</f>
        <v/>
      </c>
      <c r="C361" s="26" t="str">
        <f t="shared" si="5"/>
        <v/>
      </c>
      <c r="D361" s="177" t="str">
        <f>IF(A361="","",IF(RIGHT(A361,3)="NEW",CTR1_Local!$E392,IF(CTR1_Local!$AO392="change",CTR1_Local!$E392,"")))</f>
        <v/>
      </c>
      <c r="E361" t="str">
        <f>IF(CTR1_Local!$F392="","",CTR1_Local!$F392)</f>
        <v/>
      </c>
      <c r="F361" s="261" t="str">
        <f>IF(CTR1_Local!$T392="","",IF(CTR1_Local!$T392="Yes","Removed",""))</f>
        <v/>
      </c>
      <c r="G361" t="str">
        <f>IF(CTR1_Local!$N392="","",IF(F361="Removed","",CTR1_Local!$N392))</f>
        <v/>
      </c>
      <c r="H361" t="str">
        <f>IF(CTR1_Local!$P392="","",IF($F361="Removed","",CTR1_Local!$P392))</f>
        <v/>
      </c>
      <c r="I361" t="str">
        <f>IF(CTR1_Local!$R392="","",IF($F361="Removed","",CTR1_Local!$R392))</f>
        <v/>
      </c>
      <c r="J361" s="160" t="str">
        <f>CTR1_Local!$H392</f>
        <v/>
      </c>
      <c r="K361" s="340" t="str">
        <f>CTR1_Local!$J392</f>
        <v/>
      </c>
      <c r="L361" s="350" t="str">
        <f>CTR1_Local!$L392</f>
        <v/>
      </c>
      <c r="M361" s="261" t="str">
        <f>IF(CTR1_Local!$V392="","",IF(CTR1_Local!$V392="Yes","confirm",""))</f>
        <v/>
      </c>
      <c r="N361" t="str">
        <f>IF(CTR1_Local!$W392="","",CTR1_Local!$W392)</f>
        <v/>
      </c>
    </row>
    <row r="362" spans="1:14" x14ac:dyDescent="0.2">
      <c r="A362" s="287" t="str">
        <f>IF(CTR1_Local!$D393="",CTR1_Local!B393,CTR1_Local!$D393)</f>
        <v/>
      </c>
      <c r="B362" s="26" t="str">
        <f>IF(A362="","",IF(RIGHT(A362,3)="NEW","Add new / another parish",CTR1_Local!$AN393))</f>
        <v/>
      </c>
      <c r="C362" s="26" t="str">
        <f t="shared" si="5"/>
        <v/>
      </c>
      <c r="D362" s="177" t="str">
        <f>IF(A362="","",IF(RIGHT(A362,3)="NEW",CTR1_Local!$E393,IF(CTR1_Local!$AO393="change",CTR1_Local!$E393,"")))</f>
        <v/>
      </c>
      <c r="E362" t="str">
        <f>IF(CTR1_Local!$F393="","",CTR1_Local!$F393)</f>
        <v/>
      </c>
      <c r="F362" s="261" t="str">
        <f>IF(CTR1_Local!$T393="","",IF(CTR1_Local!$T393="Yes","Removed",""))</f>
        <v/>
      </c>
      <c r="G362" t="str">
        <f>IF(CTR1_Local!$N393="","",IF(F362="Removed","",CTR1_Local!$N393))</f>
        <v/>
      </c>
      <c r="H362" t="str">
        <f>IF(CTR1_Local!$P393="","",IF($F362="Removed","",CTR1_Local!$P393))</f>
        <v/>
      </c>
      <c r="I362" t="str">
        <f>IF(CTR1_Local!$R393="","",IF($F362="Removed","",CTR1_Local!$R393))</f>
        <v/>
      </c>
      <c r="J362" s="160" t="str">
        <f>CTR1_Local!$H393</f>
        <v/>
      </c>
      <c r="K362" s="340" t="str">
        <f>CTR1_Local!$J393</f>
        <v/>
      </c>
      <c r="L362" s="350" t="str">
        <f>CTR1_Local!$L393</f>
        <v/>
      </c>
      <c r="M362" s="261" t="str">
        <f>IF(CTR1_Local!$V393="","",IF(CTR1_Local!$V393="Yes","confirm",""))</f>
        <v/>
      </c>
      <c r="N362" t="str">
        <f>IF(CTR1_Local!$W393="","",CTR1_Local!$W393)</f>
        <v/>
      </c>
    </row>
    <row r="363" spans="1:14" x14ac:dyDescent="0.2">
      <c r="A363" s="287" t="str">
        <f>IF(CTR1_Local!$D394="",CTR1_Local!B394,CTR1_Local!$D394)</f>
        <v/>
      </c>
      <c r="B363" s="26" t="str">
        <f>IF(A363="","",IF(RIGHT(A363,3)="NEW","Add new / another parish",CTR1_Local!$AN394))</f>
        <v/>
      </c>
      <c r="C363" s="26" t="str">
        <f t="shared" si="5"/>
        <v/>
      </c>
      <c r="D363" s="177" t="str">
        <f>IF(A363="","",IF(RIGHT(A363,3)="NEW",CTR1_Local!$E394,IF(CTR1_Local!$AO394="change",CTR1_Local!$E394,"")))</f>
        <v/>
      </c>
      <c r="E363" t="str">
        <f>IF(CTR1_Local!$F394="","",CTR1_Local!$F394)</f>
        <v/>
      </c>
      <c r="F363" s="261" t="str">
        <f>IF(CTR1_Local!$T394="","",IF(CTR1_Local!$T394="Yes","Removed",""))</f>
        <v/>
      </c>
      <c r="G363" t="str">
        <f>IF(CTR1_Local!$N394="","",IF(F363="Removed","",CTR1_Local!$N394))</f>
        <v/>
      </c>
      <c r="H363" t="str">
        <f>IF(CTR1_Local!$P394="","",IF($F363="Removed","",CTR1_Local!$P394))</f>
        <v/>
      </c>
      <c r="I363" t="str">
        <f>IF(CTR1_Local!$R394="","",IF($F363="Removed","",CTR1_Local!$R394))</f>
        <v/>
      </c>
      <c r="J363" s="160" t="str">
        <f>CTR1_Local!$H394</f>
        <v/>
      </c>
      <c r="K363" s="340" t="str">
        <f>CTR1_Local!$J394</f>
        <v/>
      </c>
      <c r="L363" s="350" t="str">
        <f>CTR1_Local!$L394</f>
        <v/>
      </c>
      <c r="M363" s="261" t="str">
        <f>IF(CTR1_Local!$V394="","",IF(CTR1_Local!$V394="Yes","confirm",""))</f>
        <v/>
      </c>
      <c r="N363" t="str">
        <f>IF(CTR1_Local!$W394="","",CTR1_Local!$W394)</f>
        <v/>
      </c>
    </row>
    <row r="364" spans="1:14" x14ac:dyDescent="0.2">
      <c r="A364" s="287" t="str">
        <f>IF(CTR1_Local!$D395="",CTR1_Local!B395,CTR1_Local!$D395)</f>
        <v/>
      </c>
      <c r="B364" s="26" t="str">
        <f>IF(A364="","",IF(RIGHT(A364,3)="NEW","Add new / another parish",CTR1_Local!$AN395))</f>
        <v/>
      </c>
      <c r="C364" s="26" t="str">
        <f t="shared" si="5"/>
        <v/>
      </c>
      <c r="D364" s="177" t="str">
        <f>IF(A364="","",IF(RIGHT(A364,3)="NEW",CTR1_Local!$E395,IF(CTR1_Local!$AO395="change",CTR1_Local!$E395,"")))</f>
        <v/>
      </c>
      <c r="E364" t="str">
        <f>IF(CTR1_Local!$F395="","",CTR1_Local!$F395)</f>
        <v/>
      </c>
      <c r="F364" s="261" t="str">
        <f>IF(CTR1_Local!$T395="","",IF(CTR1_Local!$T395="Yes","Removed",""))</f>
        <v/>
      </c>
      <c r="G364" t="str">
        <f>IF(CTR1_Local!$N395="","",IF(F364="Removed","",CTR1_Local!$N395))</f>
        <v/>
      </c>
      <c r="H364" t="str">
        <f>IF(CTR1_Local!$P395="","",IF($F364="Removed","",CTR1_Local!$P395))</f>
        <v/>
      </c>
      <c r="I364" t="str">
        <f>IF(CTR1_Local!$R395="","",IF($F364="Removed","",CTR1_Local!$R395))</f>
        <v/>
      </c>
      <c r="J364" s="160" t="str">
        <f>CTR1_Local!$H395</f>
        <v/>
      </c>
      <c r="K364" s="340" t="str">
        <f>CTR1_Local!$J395</f>
        <v/>
      </c>
      <c r="L364" s="350" t="str">
        <f>CTR1_Local!$L395</f>
        <v/>
      </c>
      <c r="M364" s="261" t="str">
        <f>IF(CTR1_Local!$V395="","",IF(CTR1_Local!$V395="Yes","confirm",""))</f>
        <v/>
      </c>
      <c r="N364" t="str">
        <f>IF(CTR1_Local!$W395="","",CTR1_Local!$W395)</f>
        <v/>
      </c>
    </row>
    <row r="365" spans="1:14" x14ac:dyDescent="0.2">
      <c r="A365" s="287" t="str">
        <f>IF(CTR1_Local!$D396="",CTR1_Local!B396,CTR1_Local!$D396)</f>
        <v/>
      </c>
      <c r="B365" s="26" t="str">
        <f>IF(A365="","",IF(RIGHT(A365,3)="NEW","Add new / another parish",CTR1_Local!$AN396))</f>
        <v/>
      </c>
      <c r="C365" s="26" t="str">
        <f t="shared" si="5"/>
        <v/>
      </c>
      <c r="D365" s="177" t="str">
        <f>IF(A365="","",IF(RIGHT(A365,3)="NEW",CTR1_Local!$E396,IF(CTR1_Local!$AO396="change",CTR1_Local!$E396,"")))</f>
        <v/>
      </c>
      <c r="E365" t="str">
        <f>IF(CTR1_Local!$F396="","",CTR1_Local!$F396)</f>
        <v/>
      </c>
      <c r="F365" s="261" t="str">
        <f>IF(CTR1_Local!$T396="","",IF(CTR1_Local!$T396="Yes","Removed",""))</f>
        <v/>
      </c>
      <c r="G365" t="str">
        <f>IF(CTR1_Local!$N396="","",IF(F365="Removed","",CTR1_Local!$N396))</f>
        <v/>
      </c>
      <c r="H365" t="str">
        <f>IF(CTR1_Local!$P396="","",IF($F365="Removed","",CTR1_Local!$P396))</f>
        <v/>
      </c>
      <c r="I365" t="str">
        <f>IF(CTR1_Local!$R396="","",IF($F365="Removed","",CTR1_Local!$R396))</f>
        <v/>
      </c>
      <c r="J365" s="160" t="str">
        <f>CTR1_Local!$H396</f>
        <v/>
      </c>
      <c r="K365" s="340" t="str">
        <f>CTR1_Local!$J396</f>
        <v/>
      </c>
      <c r="L365" s="350" t="str">
        <f>CTR1_Local!$L396</f>
        <v/>
      </c>
      <c r="M365" s="261" t="str">
        <f>IF(CTR1_Local!$V396="","",IF(CTR1_Local!$V396="Yes","confirm",""))</f>
        <v/>
      </c>
      <c r="N365" t="str">
        <f>IF(CTR1_Local!$W396="","",CTR1_Local!$W396)</f>
        <v/>
      </c>
    </row>
    <row r="366" spans="1:14" x14ac:dyDescent="0.2">
      <c r="A366" s="287" t="str">
        <f>IF(CTR1_Local!$D397="",CTR1_Local!B397,CTR1_Local!$D397)</f>
        <v/>
      </c>
      <c r="B366" s="26" t="str">
        <f>IF(A366="","",IF(RIGHT(A366,3)="NEW","Add new / another parish",CTR1_Local!$AN397))</f>
        <v/>
      </c>
      <c r="C366" s="26" t="str">
        <f t="shared" si="5"/>
        <v/>
      </c>
      <c r="D366" s="177" t="str">
        <f>IF(A366="","",IF(RIGHT(A366,3)="NEW",CTR1_Local!$E397,IF(CTR1_Local!$AO397="change",CTR1_Local!$E397,"")))</f>
        <v/>
      </c>
      <c r="E366" t="str">
        <f>IF(CTR1_Local!$F397="","",CTR1_Local!$F397)</f>
        <v/>
      </c>
      <c r="F366" s="261" t="str">
        <f>IF(CTR1_Local!$T397="","",IF(CTR1_Local!$T397="Yes","Removed",""))</f>
        <v/>
      </c>
      <c r="G366" t="str">
        <f>IF(CTR1_Local!$N397="","",IF(F366="Removed","",CTR1_Local!$N397))</f>
        <v/>
      </c>
      <c r="H366" t="str">
        <f>IF(CTR1_Local!$P397="","",IF($F366="Removed","",CTR1_Local!$P397))</f>
        <v/>
      </c>
      <c r="I366" t="str">
        <f>IF(CTR1_Local!$R397="","",IF($F366="Removed","",CTR1_Local!$R397))</f>
        <v/>
      </c>
      <c r="J366" s="160" t="str">
        <f>CTR1_Local!$H397</f>
        <v/>
      </c>
      <c r="K366" s="340" t="str">
        <f>CTR1_Local!$J397</f>
        <v/>
      </c>
      <c r="L366" s="350" t="str">
        <f>CTR1_Local!$L397</f>
        <v/>
      </c>
      <c r="M366" s="261" t="str">
        <f>IF(CTR1_Local!$V397="","",IF(CTR1_Local!$V397="Yes","confirm",""))</f>
        <v/>
      </c>
      <c r="N366" t="str">
        <f>IF(CTR1_Local!$W397="","",CTR1_Local!$W397)</f>
        <v/>
      </c>
    </row>
    <row r="367" spans="1:14" x14ac:dyDescent="0.2">
      <c r="A367" s="287" t="str">
        <f>IF(CTR1_Local!$D398="",CTR1_Local!B398,CTR1_Local!$D398)</f>
        <v/>
      </c>
      <c r="B367" s="26" t="str">
        <f>IF(A367="","",IF(RIGHT(A367,3)="NEW","Add new / another parish",CTR1_Local!$AN398))</f>
        <v/>
      </c>
      <c r="C367" s="26" t="str">
        <f t="shared" si="5"/>
        <v/>
      </c>
      <c r="D367" s="177" t="str">
        <f>IF(A367="","",IF(RIGHT(A367,3)="NEW",CTR1_Local!$E398,IF(CTR1_Local!$AO398="change",CTR1_Local!$E398,"")))</f>
        <v/>
      </c>
      <c r="E367" t="str">
        <f>IF(CTR1_Local!$F398="","",CTR1_Local!$F398)</f>
        <v/>
      </c>
      <c r="F367" s="261" t="str">
        <f>IF(CTR1_Local!$T398="","",IF(CTR1_Local!$T398="Yes","Removed",""))</f>
        <v/>
      </c>
      <c r="G367" t="str">
        <f>IF(CTR1_Local!$N398="","",IF(F367="Removed","",CTR1_Local!$N398))</f>
        <v/>
      </c>
      <c r="H367" t="str">
        <f>IF(CTR1_Local!$P398="","",IF($F367="Removed","",CTR1_Local!$P398))</f>
        <v/>
      </c>
      <c r="I367" t="str">
        <f>IF(CTR1_Local!$R398="","",IF($F367="Removed","",CTR1_Local!$R398))</f>
        <v/>
      </c>
      <c r="J367" s="160" t="str">
        <f>CTR1_Local!$H398</f>
        <v/>
      </c>
      <c r="K367" s="340" t="str">
        <f>CTR1_Local!$J398</f>
        <v/>
      </c>
      <c r="L367" s="350" t="str">
        <f>CTR1_Local!$L398</f>
        <v/>
      </c>
      <c r="M367" s="261" t="str">
        <f>IF(CTR1_Local!$V398="","",IF(CTR1_Local!$V398="Yes","confirm",""))</f>
        <v/>
      </c>
      <c r="N367" t="str">
        <f>IF(CTR1_Local!$W398="","",CTR1_Local!$W398)</f>
        <v/>
      </c>
    </row>
    <row r="368" spans="1:14" x14ac:dyDescent="0.2">
      <c r="A368" s="287" t="str">
        <f>IF(CTR1_Local!$D399="",CTR1_Local!B399,CTR1_Local!$D399)</f>
        <v/>
      </c>
      <c r="B368" s="26" t="str">
        <f>IF(A368="","",IF(RIGHT(A368,3)="NEW","Add new / another parish",CTR1_Local!$AN399))</f>
        <v/>
      </c>
      <c r="C368" s="26" t="str">
        <f t="shared" si="5"/>
        <v/>
      </c>
      <c r="D368" s="177" t="str">
        <f>IF(A368="","",IF(RIGHT(A368,3)="NEW",CTR1_Local!$E399,IF(CTR1_Local!$AO399="change",CTR1_Local!$E399,"")))</f>
        <v/>
      </c>
      <c r="E368" t="str">
        <f>IF(CTR1_Local!$F399="","",CTR1_Local!$F399)</f>
        <v/>
      </c>
      <c r="F368" s="261" t="str">
        <f>IF(CTR1_Local!$T399="","",IF(CTR1_Local!$T399="Yes","Removed",""))</f>
        <v/>
      </c>
      <c r="G368" t="str">
        <f>IF(CTR1_Local!$N399="","",IF(F368="Removed","",CTR1_Local!$N399))</f>
        <v/>
      </c>
      <c r="H368" t="str">
        <f>IF(CTR1_Local!$P399="","",IF($F368="Removed","",CTR1_Local!$P399))</f>
        <v/>
      </c>
      <c r="I368" t="str">
        <f>IF(CTR1_Local!$R399="","",IF($F368="Removed","",CTR1_Local!$R399))</f>
        <v/>
      </c>
      <c r="J368" s="160" t="str">
        <f>CTR1_Local!$H399</f>
        <v/>
      </c>
      <c r="K368" s="340" t="str">
        <f>CTR1_Local!$J399</f>
        <v/>
      </c>
      <c r="L368" s="350" t="str">
        <f>CTR1_Local!$L399</f>
        <v/>
      </c>
      <c r="M368" s="261" t="str">
        <f>IF(CTR1_Local!$V399="","",IF(CTR1_Local!$V399="Yes","confirm",""))</f>
        <v/>
      </c>
      <c r="N368" t="str">
        <f>IF(CTR1_Local!$W399="","",CTR1_Local!$W399)</f>
        <v/>
      </c>
    </row>
    <row r="369" spans="1:14" x14ac:dyDescent="0.2">
      <c r="A369" s="287" t="str">
        <f>IF(CTR1_Local!$D400="",CTR1_Local!B400,CTR1_Local!$D400)</f>
        <v/>
      </c>
      <c r="B369" s="26" t="str">
        <f>IF(A369="","",IF(RIGHT(A369,3)="NEW","Add new / another parish",CTR1_Local!$AN400))</f>
        <v/>
      </c>
      <c r="C369" s="26" t="str">
        <f t="shared" si="5"/>
        <v/>
      </c>
      <c r="D369" s="177" t="str">
        <f>IF(A369="","",IF(RIGHT(A369,3)="NEW",CTR1_Local!$E400,IF(CTR1_Local!$AO400="change",CTR1_Local!$E400,"")))</f>
        <v/>
      </c>
      <c r="E369" t="str">
        <f>IF(CTR1_Local!$F400="","",CTR1_Local!$F400)</f>
        <v/>
      </c>
      <c r="F369" s="261" t="str">
        <f>IF(CTR1_Local!$T400="","",IF(CTR1_Local!$T400="Yes","Removed",""))</f>
        <v/>
      </c>
      <c r="G369" t="str">
        <f>IF(CTR1_Local!$N400="","",IF(F369="Removed","",CTR1_Local!$N400))</f>
        <v/>
      </c>
      <c r="H369" t="str">
        <f>IF(CTR1_Local!$P400="","",IF($F369="Removed","",CTR1_Local!$P400))</f>
        <v/>
      </c>
      <c r="I369" t="str">
        <f>IF(CTR1_Local!$R400="","",IF($F369="Removed","",CTR1_Local!$R400))</f>
        <v/>
      </c>
      <c r="J369" s="160" t="str">
        <f>CTR1_Local!$H400</f>
        <v/>
      </c>
      <c r="K369" s="340" t="str">
        <f>CTR1_Local!$J400</f>
        <v/>
      </c>
      <c r="L369" s="350" t="str">
        <f>CTR1_Local!$L400</f>
        <v/>
      </c>
      <c r="M369" s="261" t="str">
        <f>IF(CTR1_Local!$V400="","",IF(CTR1_Local!$V400="Yes","confirm",""))</f>
        <v/>
      </c>
      <c r="N369" t="str">
        <f>IF(CTR1_Local!$W400="","",CTR1_Local!$W400)</f>
        <v/>
      </c>
    </row>
    <row r="370" spans="1:14" x14ac:dyDescent="0.2">
      <c r="A370" s="287" t="str">
        <f>IF(CTR1_Local!$D401="",CTR1_Local!B401,CTR1_Local!$D401)</f>
        <v/>
      </c>
      <c r="B370" s="26" t="str">
        <f>IF(A370="","",IF(RIGHT(A370,3)="NEW","Add new / another parish",CTR1_Local!$AN401))</f>
        <v/>
      </c>
      <c r="C370" s="26" t="str">
        <f t="shared" si="5"/>
        <v/>
      </c>
      <c r="D370" s="177" t="str">
        <f>IF(A370="","",IF(RIGHT(A370,3)="NEW",CTR1_Local!$E401,IF(CTR1_Local!$AO401="change",CTR1_Local!$E401,"")))</f>
        <v/>
      </c>
      <c r="E370" t="str">
        <f>IF(CTR1_Local!$F401="","",CTR1_Local!$F401)</f>
        <v/>
      </c>
      <c r="F370" s="261" t="str">
        <f>IF(CTR1_Local!$T401="","",IF(CTR1_Local!$T401="Yes","Removed",""))</f>
        <v/>
      </c>
      <c r="G370" t="str">
        <f>IF(CTR1_Local!$N401="","",IF(F370="Removed","",CTR1_Local!$N401))</f>
        <v/>
      </c>
      <c r="H370" t="str">
        <f>IF(CTR1_Local!$P401="","",IF($F370="Removed","",CTR1_Local!$P401))</f>
        <v/>
      </c>
      <c r="I370" t="str">
        <f>IF(CTR1_Local!$R401="","",IF($F370="Removed","",CTR1_Local!$R401))</f>
        <v/>
      </c>
      <c r="J370" s="160" t="str">
        <f>CTR1_Local!$H401</f>
        <v/>
      </c>
      <c r="K370" s="340" t="str">
        <f>CTR1_Local!$J401</f>
        <v/>
      </c>
      <c r="L370" s="350" t="str">
        <f>CTR1_Local!$L401</f>
        <v/>
      </c>
      <c r="M370" s="261" t="str">
        <f>IF(CTR1_Local!$V401="","",IF(CTR1_Local!$V401="Yes","confirm",""))</f>
        <v/>
      </c>
      <c r="N370" t="str">
        <f>IF(CTR1_Local!$W401="","",CTR1_Local!$W401)</f>
        <v/>
      </c>
    </row>
    <row r="371" spans="1:14" x14ac:dyDescent="0.2">
      <c r="A371" s="287" t="str">
        <f>IF(CTR1_Local!$D402="",CTR1_Local!B402,CTR1_Local!$D402)</f>
        <v/>
      </c>
      <c r="B371" s="26" t="str">
        <f>IF(A371="","",IF(RIGHT(A371,3)="NEW","Add new / another parish",CTR1_Local!$AN402))</f>
        <v/>
      </c>
      <c r="C371" s="26" t="str">
        <f t="shared" si="5"/>
        <v/>
      </c>
      <c r="D371" s="177" t="str">
        <f>IF(A371="","",IF(RIGHT(A371,3)="NEW",CTR1_Local!$E402,IF(CTR1_Local!$AO402="change",CTR1_Local!$E402,"")))</f>
        <v/>
      </c>
      <c r="E371" t="str">
        <f>IF(CTR1_Local!$F402="","",CTR1_Local!$F402)</f>
        <v/>
      </c>
      <c r="F371" s="261" t="str">
        <f>IF(CTR1_Local!$T402="","",IF(CTR1_Local!$T402="Yes","Removed",""))</f>
        <v/>
      </c>
      <c r="G371" t="str">
        <f>IF(CTR1_Local!$N402="","",IF(F371="Removed","",CTR1_Local!$N402))</f>
        <v/>
      </c>
      <c r="H371" t="str">
        <f>IF(CTR1_Local!$P402="","",IF($F371="Removed","",CTR1_Local!$P402))</f>
        <v/>
      </c>
      <c r="I371" t="str">
        <f>IF(CTR1_Local!$R402="","",IF($F371="Removed","",CTR1_Local!$R402))</f>
        <v/>
      </c>
      <c r="J371" s="160" t="str">
        <f>CTR1_Local!$H402</f>
        <v/>
      </c>
      <c r="K371" s="340" t="str">
        <f>CTR1_Local!$J402</f>
        <v/>
      </c>
      <c r="L371" s="350" t="str">
        <f>CTR1_Local!$L402</f>
        <v/>
      </c>
      <c r="M371" s="261" t="str">
        <f>IF(CTR1_Local!$V402="","",IF(CTR1_Local!$V402="Yes","confirm",""))</f>
        <v/>
      </c>
      <c r="N371" t="str">
        <f>IF(CTR1_Local!$W402="","",CTR1_Local!$W402)</f>
        <v/>
      </c>
    </row>
    <row r="372" spans="1:14" x14ac:dyDescent="0.2">
      <c r="A372" s="287" t="str">
        <f>IF(CTR1_Local!$D403="",CTR1_Local!B403,CTR1_Local!$D403)</f>
        <v/>
      </c>
      <c r="B372" s="26" t="str">
        <f>IF(A372="","",IF(RIGHT(A372,3)="NEW","Add new / another parish",CTR1_Local!$AN403))</f>
        <v/>
      </c>
      <c r="C372" s="26" t="str">
        <f t="shared" si="5"/>
        <v/>
      </c>
      <c r="D372" s="177" t="str">
        <f>IF(A372="","",IF(RIGHT(A372,3)="NEW",CTR1_Local!$E403,IF(CTR1_Local!$AO403="change",CTR1_Local!$E403,"")))</f>
        <v/>
      </c>
      <c r="E372" t="str">
        <f>IF(CTR1_Local!$F403="","",CTR1_Local!$F403)</f>
        <v/>
      </c>
      <c r="F372" s="261" t="str">
        <f>IF(CTR1_Local!$T403="","",IF(CTR1_Local!$T403="Yes","Removed",""))</f>
        <v/>
      </c>
      <c r="G372" t="str">
        <f>IF(CTR1_Local!$N403="","",IF(F372="Removed","",CTR1_Local!$N403))</f>
        <v/>
      </c>
      <c r="H372" t="str">
        <f>IF(CTR1_Local!$P403="","",IF($F372="Removed","",CTR1_Local!$P403))</f>
        <v/>
      </c>
      <c r="I372" t="str">
        <f>IF(CTR1_Local!$R403="","",IF($F372="Removed","",CTR1_Local!$R403))</f>
        <v/>
      </c>
      <c r="J372" s="160" t="str">
        <f>CTR1_Local!$H403</f>
        <v/>
      </c>
      <c r="K372" s="340" t="str">
        <f>CTR1_Local!$J403</f>
        <v/>
      </c>
      <c r="L372" s="350" t="str">
        <f>CTR1_Local!$L403</f>
        <v/>
      </c>
      <c r="M372" s="261" t="str">
        <f>IF(CTR1_Local!$V403="","",IF(CTR1_Local!$V403="Yes","confirm",""))</f>
        <v/>
      </c>
      <c r="N372" t="str">
        <f>IF(CTR1_Local!$W403="","",CTR1_Local!$W403)</f>
        <v/>
      </c>
    </row>
    <row r="373" spans="1:14" x14ac:dyDescent="0.2">
      <c r="A373" s="287" t="str">
        <f>IF(CTR1_Local!$D404="",CTR1_Local!B404,CTR1_Local!$D404)</f>
        <v/>
      </c>
      <c r="B373" s="26" t="str">
        <f>IF(A373="","",IF(RIGHT(A373,3)="NEW","Add new / another parish",CTR1_Local!$AN404))</f>
        <v/>
      </c>
      <c r="C373" s="26" t="str">
        <f t="shared" si="5"/>
        <v/>
      </c>
      <c r="D373" s="177" t="str">
        <f>IF(A373="","",IF(RIGHT(A373,3)="NEW",CTR1_Local!$E404,IF(CTR1_Local!$AO404="change",CTR1_Local!$E404,"")))</f>
        <v/>
      </c>
      <c r="E373" t="str">
        <f>IF(CTR1_Local!$F404="","",CTR1_Local!$F404)</f>
        <v/>
      </c>
      <c r="F373" s="261" t="str">
        <f>IF(CTR1_Local!$T404="","",IF(CTR1_Local!$T404="Yes","Removed",""))</f>
        <v/>
      </c>
      <c r="G373" t="str">
        <f>IF(CTR1_Local!$N404="","",IF(F373="Removed","",CTR1_Local!$N404))</f>
        <v/>
      </c>
      <c r="H373" t="str">
        <f>IF(CTR1_Local!$P404="","",IF($F373="Removed","",CTR1_Local!$P404))</f>
        <v/>
      </c>
      <c r="I373" t="str">
        <f>IF(CTR1_Local!$R404="","",IF($F373="Removed","",CTR1_Local!$R404))</f>
        <v/>
      </c>
      <c r="J373" s="160" t="str">
        <f>CTR1_Local!$H404</f>
        <v/>
      </c>
      <c r="K373" s="340" t="str">
        <f>CTR1_Local!$J404</f>
        <v/>
      </c>
      <c r="L373" s="350" t="str">
        <f>CTR1_Local!$L404</f>
        <v/>
      </c>
      <c r="M373" s="261" t="str">
        <f>IF(CTR1_Local!$V404="","",IF(CTR1_Local!$V404="Yes","confirm",""))</f>
        <v/>
      </c>
      <c r="N373" t="str">
        <f>IF(CTR1_Local!$W404="","",CTR1_Local!$W404)</f>
        <v/>
      </c>
    </row>
    <row r="374" spans="1:14" x14ac:dyDescent="0.2">
      <c r="A374" s="287" t="str">
        <f>IF(CTR1_Local!$D405="",CTR1_Local!B405,CTR1_Local!$D405)</f>
        <v/>
      </c>
      <c r="B374" s="26" t="str">
        <f>IF(A374="","",IF(RIGHT(A374,3)="NEW","Add new / another parish",CTR1_Local!$AN405))</f>
        <v/>
      </c>
      <c r="C374" s="26" t="str">
        <f t="shared" si="5"/>
        <v/>
      </c>
      <c r="D374" s="177" t="str">
        <f>IF(A374="","",IF(RIGHT(A374,3)="NEW",CTR1_Local!$E405,IF(CTR1_Local!$AO405="change",CTR1_Local!$E405,"")))</f>
        <v/>
      </c>
      <c r="E374" t="str">
        <f>IF(CTR1_Local!$F405="","",CTR1_Local!$F405)</f>
        <v/>
      </c>
      <c r="F374" s="261" t="str">
        <f>IF(CTR1_Local!$T405="","",IF(CTR1_Local!$T405="Yes","Removed",""))</f>
        <v/>
      </c>
      <c r="G374" t="str">
        <f>IF(CTR1_Local!$N405="","",IF(F374="Removed","",CTR1_Local!$N405))</f>
        <v/>
      </c>
      <c r="H374" t="str">
        <f>IF(CTR1_Local!$P405="","",IF($F374="Removed","",CTR1_Local!$P405))</f>
        <v/>
      </c>
      <c r="I374" t="str">
        <f>IF(CTR1_Local!$R405="","",IF($F374="Removed","",CTR1_Local!$R405))</f>
        <v/>
      </c>
      <c r="J374" s="160" t="str">
        <f>CTR1_Local!$H405</f>
        <v/>
      </c>
      <c r="K374" s="340" t="str">
        <f>CTR1_Local!$J405</f>
        <v/>
      </c>
      <c r="L374" s="350" t="str">
        <f>CTR1_Local!$L405</f>
        <v/>
      </c>
      <c r="M374" s="261" t="str">
        <f>IF(CTR1_Local!$V405="","",IF(CTR1_Local!$V405="Yes","confirm",""))</f>
        <v/>
      </c>
      <c r="N374" t="str">
        <f>IF(CTR1_Local!$W405="","",CTR1_Local!$W405)</f>
        <v/>
      </c>
    </row>
    <row r="375" spans="1:14" x14ac:dyDescent="0.2">
      <c r="A375" s="287" t="str">
        <f>IF(CTR1_Local!$D406="",CTR1_Local!B406,CTR1_Local!$D406)</f>
        <v/>
      </c>
      <c r="B375" s="26" t="str">
        <f>IF(A375="","",IF(RIGHT(A375,3)="NEW","Add new / another parish",CTR1_Local!$AN406))</f>
        <v/>
      </c>
      <c r="C375" s="26" t="str">
        <f t="shared" si="5"/>
        <v/>
      </c>
      <c r="D375" s="177" t="str">
        <f>IF(A375="","",IF(RIGHT(A375,3)="NEW",CTR1_Local!$E406,IF(CTR1_Local!$AO406="change",CTR1_Local!$E406,"")))</f>
        <v/>
      </c>
      <c r="E375" t="str">
        <f>IF(CTR1_Local!$F406="","",CTR1_Local!$F406)</f>
        <v/>
      </c>
      <c r="F375" s="261" t="str">
        <f>IF(CTR1_Local!$T406="","",IF(CTR1_Local!$T406="Yes","Removed",""))</f>
        <v/>
      </c>
      <c r="G375" t="str">
        <f>IF(CTR1_Local!$N406="","",IF(F375="Removed","",CTR1_Local!$N406))</f>
        <v/>
      </c>
      <c r="H375" t="str">
        <f>IF(CTR1_Local!$P406="","",IF($F375="Removed","",CTR1_Local!$P406))</f>
        <v/>
      </c>
      <c r="I375" t="str">
        <f>IF(CTR1_Local!$R406="","",IF($F375="Removed","",CTR1_Local!$R406))</f>
        <v/>
      </c>
      <c r="J375" s="160" t="str">
        <f>CTR1_Local!$H406</f>
        <v/>
      </c>
      <c r="K375" s="340" t="str">
        <f>CTR1_Local!$J406</f>
        <v/>
      </c>
      <c r="L375" s="350" t="str">
        <f>CTR1_Local!$L406</f>
        <v/>
      </c>
      <c r="M375" s="261" t="str">
        <f>IF(CTR1_Local!$V406="","",IF(CTR1_Local!$V406="Yes","confirm",""))</f>
        <v/>
      </c>
      <c r="N375" t="str">
        <f>IF(CTR1_Local!$W406="","",CTR1_Local!$W406)</f>
        <v/>
      </c>
    </row>
    <row r="376" spans="1:14" x14ac:dyDescent="0.2">
      <c r="A376" s="287" t="str">
        <f>IF(CTR1_Local!$D407="",CTR1_Local!B407,CTR1_Local!$D407)</f>
        <v/>
      </c>
      <c r="B376" s="26" t="str">
        <f>IF(A376="","",IF(RIGHT(A376,3)="NEW","Add new / another parish",CTR1_Local!$AN407))</f>
        <v/>
      </c>
      <c r="C376" s="26" t="str">
        <f t="shared" si="5"/>
        <v/>
      </c>
      <c r="D376" s="177" t="str">
        <f>IF(A376="","",IF(RIGHT(A376,3)="NEW",CTR1_Local!$E407,IF(CTR1_Local!$AO407="change",CTR1_Local!$E407,"")))</f>
        <v/>
      </c>
      <c r="E376" t="str">
        <f>IF(CTR1_Local!$F407="","",CTR1_Local!$F407)</f>
        <v/>
      </c>
      <c r="F376" s="261" t="str">
        <f>IF(CTR1_Local!$T407="","",IF(CTR1_Local!$T407="Yes","Removed",""))</f>
        <v/>
      </c>
      <c r="G376" t="str">
        <f>IF(CTR1_Local!$N407="","",IF(F376="Removed","",CTR1_Local!$N407))</f>
        <v/>
      </c>
      <c r="H376" t="str">
        <f>IF(CTR1_Local!$P407="","",IF($F376="Removed","",CTR1_Local!$P407))</f>
        <v/>
      </c>
      <c r="I376" t="str">
        <f>IF(CTR1_Local!$R407="","",IF($F376="Removed","",CTR1_Local!$R407))</f>
        <v/>
      </c>
      <c r="J376" s="160" t="str">
        <f>CTR1_Local!$H407</f>
        <v/>
      </c>
      <c r="K376" s="340" t="str">
        <f>CTR1_Local!$J407</f>
        <v/>
      </c>
      <c r="L376" s="350" t="str">
        <f>CTR1_Local!$L407</f>
        <v/>
      </c>
      <c r="M376" s="261" t="str">
        <f>IF(CTR1_Local!$V407="","",IF(CTR1_Local!$V407="Yes","confirm",""))</f>
        <v/>
      </c>
      <c r="N376" t="str">
        <f>IF(CTR1_Local!$W407="","",CTR1_Local!$W407)</f>
        <v/>
      </c>
    </row>
    <row r="377" spans="1:14" x14ac:dyDescent="0.2">
      <c r="A377" s="287" t="str">
        <f>IF(CTR1_Local!$D408="",CTR1_Local!B408,CTR1_Local!$D408)</f>
        <v/>
      </c>
      <c r="B377" s="26" t="str">
        <f>IF(A377="","",IF(RIGHT(A377,3)="NEW","Add new / another parish",CTR1_Local!$AN408))</f>
        <v/>
      </c>
      <c r="C377" s="26" t="str">
        <f t="shared" si="5"/>
        <v/>
      </c>
      <c r="D377" s="177" t="str">
        <f>IF(A377="","",IF(RIGHT(A377,3)="NEW",CTR1_Local!$E408,IF(CTR1_Local!$AO408="change",CTR1_Local!$E408,"")))</f>
        <v/>
      </c>
      <c r="E377" t="str">
        <f>IF(CTR1_Local!$F408="","",CTR1_Local!$F408)</f>
        <v/>
      </c>
      <c r="F377" s="261" t="str">
        <f>IF(CTR1_Local!$T408="","",IF(CTR1_Local!$T408="Yes","Removed",""))</f>
        <v/>
      </c>
      <c r="G377" t="str">
        <f>IF(CTR1_Local!$N408="","",IF(F377="Removed","",CTR1_Local!$N408))</f>
        <v/>
      </c>
      <c r="H377" t="str">
        <f>IF(CTR1_Local!$P408="","",IF($F377="Removed","",CTR1_Local!$P408))</f>
        <v/>
      </c>
      <c r="I377" t="str">
        <f>IF(CTR1_Local!$R408="","",IF($F377="Removed","",CTR1_Local!$R408))</f>
        <v/>
      </c>
      <c r="J377" s="160" t="str">
        <f>CTR1_Local!$H408</f>
        <v/>
      </c>
      <c r="K377" s="340" t="str">
        <f>CTR1_Local!$J408</f>
        <v/>
      </c>
      <c r="L377" s="350" t="str">
        <f>CTR1_Local!$L408</f>
        <v/>
      </c>
      <c r="M377" s="261" t="str">
        <f>IF(CTR1_Local!$V408="","",IF(CTR1_Local!$V408="Yes","confirm",""))</f>
        <v/>
      </c>
      <c r="N377" t="str">
        <f>IF(CTR1_Local!$W408="","",CTR1_Local!$W408)</f>
        <v/>
      </c>
    </row>
    <row r="378" spans="1:14" x14ac:dyDescent="0.2">
      <c r="A378" s="287" t="str">
        <f>IF(CTR1_Local!$D409="",CTR1_Local!B409,CTR1_Local!$D409)</f>
        <v/>
      </c>
      <c r="B378" s="26" t="str">
        <f>IF(A378="","",IF(RIGHT(A378,3)="NEW","Add new / another parish",CTR1_Local!$AN409))</f>
        <v/>
      </c>
      <c r="C378" s="26" t="str">
        <f t="shared" si="5"/>
        <v/>
      </c>
      <c r="D378" s="177" t="str">
        <f>IF(A378="","",IF(RIGHT(A378,3)="NEW",CTR1_Local!$E409,IF(CTR1_Local!$AO409="change",CTR1_Local!$E409,"")))</f>
        <v/>
      </c>
      <c r="E378" t="str">
        <f>IF(CTR1_Local!$F409="","",CTR1_Local!$F409)</f>
        <v/>
      </c>
      <c r="F378" s="261" t="str">
        <f>IF(CTR1_Local!$T409="","",IF(CTR1_Local!$T409="Yes","Removed",""))</f>
        <v/>
      </c>
      <c r="G378" t="str">
        <f>IF(CTR1_Local!$N409="","",IF(F378="Removed","",CTR1_Local!$N409))</f>
        <v/>
      </c>
      <c r="H378" t="str">
        <f>IF(CTR1_Local!$P409="","",IF($F378="Removed","",CTR1_Local!$P409))</f>
        <v/>
      </c>
      <c r="I378" t="str">
        <f>IF(CTR1_Local!$R409="","",IF($F378="Removed","",CTR1_Local!$R409))</f>
        <v/>
      </c>
      <c r="J378" s="160" t="str">
        <f>CTR1_Local!$H409</f>
        <v/>
      </c>
      <c r="K378" s="340" t="str">
        <f>CTR1_Local!$J409</f>
        <v/>
      </c>
      <c r="L378" s="350" t="str">
        <f>CTR1_Local!$L409</f>
        <v/>
      </c>
      <c r="M378" s="261" t="str">
        <f>IF(CTR1_Local!$V409="","",IF(CTR1_Local!$V409="Yes","confirm",""))</f>
        <v/>
      </c>
      <c r="N378" t="str">
        <f>IF(CTR1_Local!$W409="","",CTR1_Local!$W409)</f>
        <v/>
      </c>
    </row>
    <row r="379" spans="1:14" x14ac:dyDescent="0.2">
      <c r="A379" s="287" t="str">
        <f>IF(CTR1_Local!$D410="",CTR1_Local!B410,CTR1_Local!$D410)</f>
        <v/>
      </c>
      <c r="B379" s="26" t="str">
        <f>IF(A379="","",IF(RIGHT(A379,3)="NEW","Add new / another parish",CTR1_Local!$AN410))</f>
        <v/>
      </c>
      <c r="C379" s="26" t="str">
        <f t="shared" si="5"/>
        <v/>
      </c>
      <c r="D379" s="177" t="str">
        <f>IF(A379="","",IF(RIGHT(A379,3)="NEW",CTR1_Local!$E410,IF(CTR1_Local!$AO410="change",CTR1_Local!$E410,"")))</f>
        <v/>
      </c>
      <c r="E379" t="str">
        <f>IF(CTR1_Local!$F410="","",CTR1_Local!$F410)</f>
        <v/>
      </c>
      <c r="F379" s="261" t="str">
        <f>IF(CTR1_Local!$T410="","",IF(CTR1_Local!$T410="Yes","Removed",""))</f>
        <v/>
      </c>
      <c r="G379" t="str">
        <f>IF(CTR1_Local!$N410="","",IF(F379="Removed","",CTR1_Local!$N410))</f>
        <v/>
      </c>
      <c r="H379" t="str">
        <f>IF(CTR1_Local!$P410="","",IF($F379="Removed","",CTR1_Local!$P410))</f>
        <v/>
      </c>
      <c r="I379" t="str">
        <f>IF(CTR1_Local!$R410="","",IF($F379="Removed","",CTR1_Local!$R410))</f>
        <v/>
      </c>
      <c r="J379" s="160" t="str">
        <f>CTR1_Local!$H410</f>
        <v/>
      </c>
      <c r="K379" s="340" t="str">
        <f>CTR1_Local!$J410</f>
        <v/>
      </c>
      <c r="L379" s="350" t="str">
        <f>CTR1_Local!$L410</f>
        <v/>
      </c>
      <c r="M379" s="261" t="str">
        <f>IF(CTR1_Local!$V410="","",IF(CTR1_Local!$V410="Yes","confirm",""))</f>
        <v/>
      </c>
      <c r="N379" t="str">
        <f>IF(CTR1_Local!$W410="","",CTR1_Local!$W410)</f>
        <v/>
      </c>
    </row>
    <row r="380" spans="1:14" x14ac:dyDescent="0.2">
      <c r="A380" s="287" t="str">
        <f>IF(CTR1_Local!$D411="",CTR1_Local!B411,CTR1_Local!$D411)</f>
        <v/>
      </c>
      <c r="B380" s="26" t="str">
        <f>IF(A380="","",IF(RIGHT(A380,3)="NEW","Add new / another parish",CTR1_Local!$AN411))</f>
        <v/>
      </c>
      <c r="C380" s="26" t="str">
        <f t="shared" si="5"/>
        <v/>
      </c>
      <c r="D380" s="177" t="str">
        <f>IF(A380="","",IF(RIGHT(A380,3)="NEW",CTR1_Local!$E411,IF(CTR1_Local!$AO411="change",CTR1_Local!$E411,"")))</f>
        <v/>
      </c>
      <c r="E380" t="str">
        <f>IF(CTR1_Local!$F411="","",CTR1_Local!$F411)</f>
        <v/>
      </c>
      <c r="F380" s="261" t="str">
        <f>IF(CTR1_Local!$T411="","",IF(CTR1_Local!$T411="Yes","Removed",""))</f>
        <v/>
      </c>
      <c r="G380" t="str">
        <f>IF(CTR1_Local!$N411="","",IF(F380="Removed","",CTR1_Local!$N411))</f>
        <v/>
      </c>
      <c r="H380" t="str">
        <f>IF(CTR1_Local!$P411="","",IF($F380="Removed","",CTR1_Local!$P411))</f>
        <v/>
      </c>
      <c r="I380" t="str">
        <f>IF(CTR1_Local!$R411="","",IF($F380="Removed","",CTR1_Local!$R411))</f>
        <v/>
      </c>
      <c r="J380" s="160" t="str">
        <f>CTR1_Local!$H411</f>
        <v/>
      </c>
      <c r="K380" s="340" t="str">
        <f>CTR1_Local!$J411</f>
        <v/>
      </c>
      <c r="L380" s="350" t="str">
        <f>CTR1_Local!$L411</f>
        <v/>
      </c>
      <c r="M380" s="261" t="str">
        <f>IF(CTR1_Local!$V411="","",IF(CTR1_Local!$V411="Yes","confirm",""))</f>
        <v/>
      </c>
      <c r="N380" t="str">
        <f>IF(CTR1_Local!$W411="","",CTR1_Local!$W411)</f>
        <v/>
      </c>
    </row>
    <row r="381" spans="1:14" x14ac:dyDescent="0.2">
      <c r="A381" s="287" t="str">
        <f>IF(CTR1_Local!$D412="",CTR1_Local!B412,CTR1_Local!$D412)</f>
        <v/>
      </c>
      <c r="B381" s="26" t="str">
        <f>IF(A381="","",IF(RIGHT(A381,3)="NEW","Add new / another parish",CTR1_Local!$AN412))</f>
        <v/>
      </c>
      <c r="C381" s="26" t="str">
        <f t="shared" si="5"/>
        <v/>
      </c>
      <c r="D381" s="177" t="str">
        <f>IF(A381="","",IF(RIGHT(A381,3)="NEW",CTR1_Local!$E412,IF(CTR1_Local!$AO412="change",CTR1_Local!$E412,"")))</f>
        <v/>
      </c>
      <c r="E381" t="str">
        <f>IF(CTR1_Local!$F412="","",CTR1_Local!$F412)</f>
        <v/>
      </c>
      <c r="F381" s="261" t="str">
        <f>IF(CTR1_Local!$T412="","",IF(CTR1_Local!$T412="Yes","Removed",""))</f>
        <v/>
      </c>
      <c r="G381" t="str">
        <f>IF(CTR1_Local!$N412="","",IF(F381="Removed","",CTR1_Local!$N412))</f>
        <v/>
      </c>
      <c r="H381" t="str">
        <f>IF(CTR1_Local!$P412="","",IF($F381="Removed","",CTR1_Local!$P412))</f>
        <v/>
      </c>
      <c r="I381" t="str">
        <f>IF(CTR1_Local!$R412="","",IF($F381="Removed","",CTR1_Local!$R412))</f>
        <v/>
      </c>
      <c r="J381" s="160" t="str">
        <f>CTR1_Local!$H412</f>
        <v/>
      </c>
      <c r="K381" s="340" t="str">
        <f>CTR1_Local!$J412</f>
        <v/>
      </c>
      <c r="L381" s="350" t="str">
        <f>CTR1_Local!$L412</f>
        <v/>
      </c>
      <c r="M381" s="261" t="str">
        <f>IF(CTR1_Local!$V412="","",IF(CTR1_Local!$V412="Yes","confirm",""))</f>
        <v/>
      </c>
      <c r="N381" t="str">
        <f>IF(CTR1_Local!$W412="","",CTR1_Local!$W412)</f>
        <v/>
      </c>
    </row>
    <row r="382" spans="1:14" x14ac:dyDescent="0.2">
      <c r="A382" s="287" t="str">
        <f>IF(CTR1_Local!$D413="",CTR1_Local!B413,CTR1_Local!$D413)</f>
        <v/>
      </c>
      <c r="B382" s="26" t="str">
        <f>IF(A382="","",IF(RIGHT(A382,3)="NEW","Add new / another parish",CTR1_Local!$AN413))</f>
        <v/>
      </c>
      <c r="C382" s="26" t="str">
        <f t="shared" si="5"/>
        <v/>
      </c>
      <c r="D382" s="177" t="str">
        <f>IF(A382="","",IF(RIGHT(A382,3)="NEW",CTR1_Local!$E413,IF(CTR1_Local!$AO413="change",CTR1_Local!$E413,"")))</f>
        <v/>
      </c>
      <c r="E382" t="str">
        <f>IF(CTR1_Local!$F413="","",CTR1_Local!$F413)</f>
        <v/>
      </c>
      <c r="F382" s="261" t="str">
        <f>IF(CTR1_Local!$T413="","",IF(CTR1_Local!$T413="Yes","Removed",""))</f>
        <v/>
      </c>
      <c r="G382" t="str">
        <f>IF(CTR1_Local!$N413="","",IF(F382="Removed","",CTR1_Local!$N413))</f>
        <v/>
      </c>
      <c r="H382" t="str">
        <f>IF(CTR1_Local!$P413="","",IF($F382="Removed","",CTR1_Local!$P413))</f>
        <v/>
      </c>
      <c r="I382" t="str">
        <f>IF(CTR1_Local!$R413="","",IF($F382="Removed","",CTR1_Local!$R413))</f>
        <v/>
      </c>
      <c r="J382" s="160" t="str">
        <f>CTR1_Local!$H413</f>
        <v/>
      </c>
      <c r="K382" s="340" t="str">
        <f>CTR1_Local!$J413</f>
        <v/>
      </c>
      <c r="L382" s="350" t="str">
        <f>CTR1_Local!$L413</f>
        <v/>
      </c>
      <c r="M382" s="261" t="str">
        <f>IF(CTR1_Local!$V413="","",IF(CTR1_Local!$V413="Yes","confirm",""))</f>
        <v/>
      </c>
      <c r="N382" t="str">
        <f>IF(CTR1_Local!$W413="","",CTR1_Local!$W413)</f>
        <v/>
      </c>
    </row>
    <row r="383" spans="1:14" x14ac:dyDescent="0.2">
      <c r="A383" s="287" t="str">
        <f>IF(CTR1_Local!$D414="",CTR1_Local!B414,CTR1_Local!$D414)</f>
        <v/>
      </c>
      <c r="B383" s="26" t="str">
        <f>IF(A383="","",IF(RIGHT(A383,3)="NEW","Add new / another parish",CTR1_Local!$AN414))</f>
        <v/>
      </c>
      <c r="C383" s="26" t="str">
        <f t="shared" si="5"/>
        <v/>
      </c>
      <c r="D383" s="177" t="str">
        <f>IF(A383="","",IF(RIGHT(A383,3)="NEW",CTR1_Local!$E414,IF(CTR1_Local!$AO414="change",CTR1_Local!$E414,"")))</f>
        <v/>
      </c>
      <c r="E383" t="str">
        <f>IF(CTR1_Local!$F414="","",CTR1_Local!$F414)</f>
        <v/>
      </c>
      <c r="F383" s="261" t="str">
        <f>IF(CTR1_Local!$T414="","",IF(CTR1_Local!$T414="Yes","Removed",""))</f>
        <v/>
      </c>
      <c r="G383" t="str">
        <f>IF(CTR1_Local!$N414="","",IF(F383="Removed","",CTR1_Local!$N414))</f>
        <v/>
      </c>
      <c r="H383" t="str">
        <f>IF(CTR1_Local!$P414="","",IF($F383="Removed","",CTR1_Local!$P414))</f>
        <v/>
      </c>
      <c r="I383" t="str">
        <f>IF(CTR1_Local!$R414="","",IF($F383="Removed","",CTR1_Local!$R414))</f>
        <v/>
      </c>
      <c r="J383" s="160" t="str">
        <f>CTR1_Local!$H414</f>
        <v/>
      </c>
      <c r="K383" s="340" t="str">
        <f>CTR1_Local!$J414</f>
        <v/>
      </c>
      <c r="L383" s="350" t="str">
        <f>CTR1_Local!$L414</f>
        <v/>
      </c>
      <c r="M383" s="261" t="str">
        <f>IF(CTR1_Local!$V414="","",IF(CTR1_Local!$V414="Yes","confirm",""))</f>
        <v/>
      </c>
      <c r="N383" t="str">
        <f>IF(CTR1_Local!$W414="","",CTR1_Local!$W414)</f>
        <v/>
      </c>
    </row>
    <row r="384" spans="1:14" x14ac:dyDescent="0.2">
      <c r="A384" s="287" t="str">
        <f>IF(CTR1_Local!$D415="",CTR1_Local!B415,CTR1_Local!$D415)</f>
        <v/>
      </c>
      <c r="B384" s="26" t="str">
        <f>IF(A384="","",IF(RIGHT(A384,3)="NEW","Add new / another parish",CTR1_Local!$AN415))</f>
        <v/>
      </c>
      <c r="C384" s="26" t="str">
        <f t="shared" si="5"/>
        <v/>
      </c>
      <c r="D384" s="177" t="str">
        <f>IF(A384="","",IF(RIGHT(A384,3)="NEW",CTR1_Local!$E415,IF(CTR1_Local!$AO415="change",CTR1_Local!$E415,"")))</f>
        <v/>
      </c>
      <c r="E384" t="str">
        <f>IF(CTR1_Local!$F415="","",CTR1_Local!$F415)</f>
        <v/>
      </c>
      <c r="F384" s="261" t="str">
        <f>IF(CTR1_Local!$T415="","",IF(CTR1_Local!$T415="Yes","Removed",""))</f>
        <v/>
      </c>
      <c r="G384" t="str">
        <f>IF(CTR1_Local!$N415="","",IF(F384="Removed","",CTR1_Local!$N415))</f>
        <v/>
      </c>
      <c r="H384" t="str">
        <f>IF(CTR1_Local!$P415="","",IF($F384="Removed","",CTR1_Local!$P415))</f>
        <v/>
      </c>
      <c r="I384" t="str">
        <f>IF(CTR1_Local!$R415="","",IF($F384="Removed","",CTR1_Local!$R415))</f>
        <v/>
      </c>
      <c r="J384" s="160" t="str">
        <f>CTR1_Local!$H415</f>
        <v/>
      </c>
      <c r="K384" s="340" t="str">
        <f>CTR1_Local!$J415</f>
        <v/>
      </c>
      <c r="L384" s="350" t="str">
        <f>CTR1_Local!$L415</f>
        <v/>
      </c>
      <c r="M384" s="261" t="str">
        <f>IF(CTR1_Local!$V415="","",IF(CTR1_Local!$V415="Yes","confirm",""))</f>
        <v/>
      </c>
      <c r="N384" t="str">
        <f>IF(CTR1_Local!$W415="","",CTR1_Local!$W415)</f>
        <v/>
      </c>
    </row>
    <row r="385" spans="1:14" x14ac:dyDescent="0.2">
      <c r="A385" s="287" t="str">
        <f>IF(CTR1_Local!$D416="",CTR1_Local!B416,CTR1_Local!$D416)</f>
        <v/>
      </c>
      <c r="B385" s="26" t="str">
        <f>IF(A385="","",IF(RIGHT(A385,3)="NEW","Add new / another parish",CTR1_Local!$AN416))</f>
        <v/>
      </c>
      <c r="C385" s="26" t="str">
        <f t="shared" si="5"/>
        <v/>
      </c>
      <c r="D385" s="177" t="str">
        <f>IF(A385="","",IF(RIGHT(A385,3)="NEW",CTR1_Local!$E416,IF(CTR1_Local!$AO416="change",CTR1_Local!$E416,"")))</f>
        <v/>
      </c>
      <c r="E385" t="str">
        <f>IF(CTR1_Local!$F416="","",CTR1_Local!$F416)</f>
        <v/>
      </c>
      <c r="F385" s="261" t="str">
        <f>IF(CTR1_Local!$T416="","",IF(CTR1_Local!$T416="Yes","Removed",""))</f>
        <v/>
      </c>
      <c r="G385" t="str">
        <f>IF(CTR1_Local!$N416="","",IF(F385="Removed","",CTR1_Local!$N416))</f>
        <v/>
      </c>
      <c r="H385" t="str">
        <f>IF(CTR1_Local!$P416="","",IF($F385="Removed","",CTR1_Local!$P416))</f>
        <v/>
      </c>
      <c r="I385" t="str">
        <f>IF(CTR1_Local!$R416="","",IF($F385="Removed","",CTR1_Local!$R416))</f>
        <v/>
      </c>
      <c r="J385" s="160" t="str">
        <f>CTR1_Local!$H416</f>
        <v/>
      </c>
      <c r="K385" s="340" t="str">
        <f>CTR1_Local!$J416</f>
        <v/>
      </c>
      <c r="L385" s="350" t="str">
        <f>CTR1_Local!$L416</f>
        <v/>
      </c>
      <c r="M385" s="261" t="str">
        <f>IF(CTR1_Local!$V416="","",IF(CTR1_Local!$V416="Yes","confirm",""))</f>
        <v/>
      </c>
      <c r="N385" t="str">
        <f>IF(CTR1_Local!$W416="","",CTR1_Local!$W416)</f>
        <v/>
      </c>
    </row>
    <row r="386" spans="1:14" x14ac:dyDescent="0.2">
      <c r="A386" s="287" t="str">
        <f>IF(CTR1_Local!$D417="",CTR1_Local!B417,CTR1_Local!$D417)</f>
        <v/>
      </c>
      <c r="B386" s="26" t="str">
        <f>IF(A386="","",IF(RIGHT(A386,3)="NEW","Add new / another parish",CTR1_Local!$AN417))</f>
        <v/>
      </c>
      <c r="C386" s="26" t="str">
        <f t="shared" si="5"/>
        <v/>
      </c>
      <c r="D386" s="177" t="str">
        <f>IF(A386="","",IF(RIGHT(A386,3)="NEW",CTR1_Local!$E417,IF(CTR1_Local!$AO417="change",CTR1_Local!$E417,"")))</f>
        <v/>
      </c>
      <c r="E386" t="str">
        <f>IF(CTR1_Local!$F417="","",CTR1_Local!$F417)</f>
        <v/>
      </c>
      <c r="F386" s="261" t="str">
        <f>IF(CTR1_Local!$T417="","",IF(CTR1_Local!$T417="Yes","Removed",""))</f>
        <v/>
      </c>
      <c r="G386" t="str">
        <f>IF(CTR1_Local!$N417="","",IF(F386="Removed","",CTR1_Local!$N417))</f>
        <v/>
      </c>
      <c r="H386" t="str">
        <f>IF(CTR1_Local!$P417="","",IF($F386="Removed","",CTR1_Local!$P417))</f>
        <v/>
      </c>
      <c r="I386" t="str">
        <f>IF(CTR1_Local!$R417="","",IF($F386="Removed","",CTR1_Local!$R417))</f>
        <v/>
      </c>
      <c r="J386" s="160" t="str">
        <f>CTR1_Local!$H417</f>
        <v/>
      </c>
      <c r="K386" s="340" t="str">
        <f>CTR1_Local!$J417</f>
        <v/>
      </c>
      <c r="L386" s="350" t="str">
        <f>CTR1_Local!$L417</f>
        <v/>
      </c>
      <c r="M386" s="261" t="str">
        <f>IF(CTR1_Local!$V417="","",IF(CTR1_Local!$V417="Yes","confirm",""))</f>
        <v/>
      </c>
      <c r="N386" t="str">
        <f>IF(CTR1_Local!$W417="","",CTR1_Local!$W417)</f>
        <v/>
      </c>
    </row>
    <row r="387" spans="1:14" x14ac:dyDescent="0.2">
      <c r="A387" s="287" t="str">
        <f>IF(CTR1_Local!$D418="",CTR1_Local!B418,CTR1_Local!$D418)</f>
        <v/>
      </c>
      <c r="B387" s="26" t="str">
        <f>IF(A387="","",IF(RIGHT(A387,3)="NEW","Add new / another parish",CTR1_Local!$AN418))</f>
        <v/>
      </c>
      <c r="C387" s="26" t="str">
        <f t="shared" ref="C387:C450" si="6">IF(OR(B387="",D387=""),"",IF(AND(B387&lt;&gt;"",D387&lt;&gt;"",B387&lt;&gt;"Add new / another parish"),"yes",""))</f>
        <v/>
      </c>
      <c r="D387" s="177" t="str">
        <f>IF(A387="","",IF(RIGHT(A387,3)="NEW",CTR1_Local!$E418,IF(CTR1_Local!$AO418="change",CTR1_Local!$E418,"")))</f>
        <v/>
      </c>
      <c r="E387" t="str">
        <f>IF(CTR1_Local!$F418="","",CTR1_Local!$F418)</f>
        <v/>
      </c>
      <c r="F387" s="261" t="str">
        <f>IF(CTR1_Local!$T418="","",IF(CTR1_Local!$T418="Yes","Removed",""))</f>
        <v/>
      </c>
      <c r="G387" t="str">
        <f>IF(CTR1_Local!$N418="","",IF(F387="Removed","",CTR1_Local!$N418))</f>
        <v/>
      </c>
      <c r="H387" t="str">
        <f>IF(CTR1_Local!$P418="","",IF($F387="Removed","",CTR1_Local!$P418))</f>
        <v/>
      </c>
      <c r="I387" t="str">
        <f>IF(CTR1_Local!$R418="","",IF($F387="Removed","",CTR1_Local!$R418))</f>
        <v/>
      </c>
      <c r="J387" s="160" t="str">
        <f>CTR1_Local!$H418</f>
        <v/>
      </c>
      <c r="K387" s="340" t="str">
        <f>CTR1_Local!$J418</f>
        <v/>
      </c>
      <c r="L387" s="350" t="str">
        <f>CTR1_Local!$L418</f>
        <v/>
      </c>
      <c r="M387" s="261" t="str">
        <f>IF(CTR1_Local!$V418="","",IF(CTR1_Local!$V418="Yes","confirm",""))</f>
        <v/>
      </c>
      <c r="N387" t="str">
        <f>IF(CTR1_Local!$W418="","",CTR1_Local!$W418)</f>
        <v/>
      </c>
    </row>
    <row r="388" spans="1:14" x14ac:dyDescent="0.2">
      <c r="A388" s="287" t="str">
        <f>IF(CTR1_Local!$D419="",CTR1_Local!B419,CTR1_Local!$D419)</f>
        <v/>
      </c>
      <c r="B388" s="26" t="str">
        <f>IF(A388="","",IF(RIGHT(A388,3)="NEW","Add new / another parish",CTR1_Local!$AN419))</f>
        <v/>
      </c>
      <c r="C388" s="26" t="str">
        <f t="shared" si="6"/>
        <v/>
      </c>
      <c r="D388" s="177" t="str">
        <f>IF(A388="","",IF(RIGHT(A388,3)="NEW",CTR1_Local!$E419,IF(CTR1_Local!$AO419="change",CTR1_Local!$E419,"")))</f>
        <v/>
      </c>
      <c r="E388" t="str">
        <f>IF(CTR1_Local!$F419="","",CTR1_Local!$F419)</f>
        <v/>
      </c>
      <c r="F388" s="261" t="str">
        <f>IF(CTR1_Local!$T419="","",IF(CTR1_Local!$T419="Yes","Removed",""))</f>
        <v/>
      </c>
      <c r="G388" t="str">
        <f>IF(CTR1_Local!$N419="","",IF(F388="Removed","",CTR1_Local!$N419))</f>
        <v/>
      </c>
      <c r="H388" t="str">
        <f>IF(CTR1_Local!$P419="","",IF($F388="Removed","",CTR1_Local!$P419))</f>
        <v/>
      </c>
      <c r="I388" t="str">
        <f>IF(CTR1_Local!$R419="","",IF($F388="Removed","",CTR1_Local!$R419))</f>
        <v/>
      </c>
      <c r="J388" s="160" t="str">
        <f>CTR1_Local!$H419</f>
        <v/>
      </c>
      <c r="K388" s="340" t="str">
        <f>CTR1_Local!$J419</f>
        <v/>
      </c>
      <c r="L388" s="350" t="str">
        <f>CTR1_Local!$L419</f>
        <v/>
      </c>
      <c r="M388" s="261" t="str">
        <f>IF(CTR1_Local!$V419="","",IF(CTR1_Local!$V419="Yes","confirm",""))</f>
        <v/>
      </c>
      <c r="N388" t="str">
        <f>IF(CTR1_Local!$W419="","",CTR1_Local!$W419)</f>
        <v/>
      </c>
    </row>
    <row r="389" spans="1:14" x14ac:dyDescent="0.2">
      <c r="A389" s="287" t="str">
        <f>IF(CTR1_Local!$D420="",CTR1_Local!B420,CTR1_Local!$D420)</f>
        <v/>
      </c>
      <c r="B389" s="26" t="str">
        <f>IF(A389="","",IF(RIGHT(A389,3)="NEW","Add new / another parish",CTR1_Local!$AN420))</f>
        <v/>
      </c>
      <c r="C389" s="26" t="str">
        <f t="shared" si="6"/>
        <v/>
      </c>
      <c r="D389" s="177" t="str">
        <f>IF(A389="","",IF(RIGHT(A389,3)="NEW",CTR1_Local!$E420,IF(CTR1_Local!$AO420="change",CTR1_Local!$E420,"")))</f>
        <v/>
      </c>
      <c r="E389" t="str">
        <f>IF(CTR1_Local!$F420="","",CTR1_Local!$F420)</f>
        <v/>
      </c>
      <c r="F389" s="261" t="str">
        <f>IF(CTR1_Local!$T420="","",IF(CTR1_Local!$T420="Yes","Removed",""))</f>
        <v/>
      </c>
      <c r="G389" t="str">
        <f>IF(CTR1_Local!$N420="","",IF(F389="Removed","",CTR1_Local!$N420))</f>
        <v/>
      </c>
      <c r="H389" t="str">
        <f>IF(CTR1_Local!$P420="","",IF($F389="Removed","",CTR1_Local!$P420))</f>
        <v/>
      </c>
      <c r="I389" t="str">
        <f>IF(CTR1_Local!$R420="","",IF($F389="Removed","",CTR1_Local!$R420))</f>
        <v/>
      </c>
      <c r="J389" s="160" t="str">
        <f>CTR1_Local!$H420</f>
        <v/>
      </c>
      <c r="K389" s="340" t="str">
        <f>CTR1_Local!$J420</f>
        <v/>
      </c>
      <c r="L389" s="350" t="str">
        <f>CTR1_Local!$L420</f>
        <v/>
      </c>
      <c r="M389" s="261" t="str">
        <f>IF(CTR1_Local!$V420="","",IF(CTR1_Local!$V420="Yes","confirm",""))</f>
        <v/>
      </c>
      <c r="N389" t="str">
        <f>IF(CTR1_Local!$W420="","",CTR1_Local!$W420)</f>
        <v/>
      </c>
    </row>
    <row r="390" spans="1:14" x14ac:dyDescent="0.2">
      <c r="A390" s="287" t="str">
        <f>IF(CTR1_Local!$D421="",CTR1_Local!B421,CTR1_Local!$D421)</f>
        <v/>
      </c>
      <c r="B390" s="26" t="str">
        <f>IF(A390="","",IF(RIGHT(A390,3)="NEW","Add new / another parish",CTR1_Local!$AN421))</f>
        <v/>
      </c>
      <c r="C390" s="26" t="str">
        <f t="shared" si="6"/>
        <v/>
      </c>
      <c r="D390" s="177" t="str">
        <f>IF(A390="","",IF(RIGHT(A390,3)="NEW",CTR1_Local!$E421,IF(CTR1_Local!$AO421="change",CTR1_Local!$E421,"")))</f>
        <v/>
      </c>
      <c r="E390" t="str">
        <f>IF(CTR1_Local!$F421="","",CTR1_Local!$F421)</f>
        <v/>
      </c>
      <c r="F390" s="261" t="str">
        <f>IF(CTR1_Local!$T421="","",IF(CTR1_Local!$T421="Yes","Removed",""))</f>
        <v/>
      </c>
      <c r="G390" t="str">
        <f>IF(CTR1_Local!$N421="","",IF(F390="Removed","",CTR1_Local!$N421))</f>
        <v/>
      </c>
      <c r="H390" t="str">
        <f>IF(CTR1_Local!$P421="","",IF($F390="Removed","",CTR1_Local!$P421))</f>
        <v/>
      </c>
      <c r="I390" t="str">
        <f>IF(CTR1_Local!$R421="","",IF($F390="Removed","",CTR1_Local!$R421))</f>
        <v/>
      </c>
      <c r="J390" s="160" t="str">
        <f>CTR1_Local!$H421</f>
        <v/>
      </c>
      <c r="K390" s="340" t="str">
        <f>CTR1_Local!$J421</f>
        <v/>
      </c>
      <c r="L390" s="350" t="str">
        <f>CTR1_Local!$L421</f>
        <v/>
      </c>
      <c r="M390" s="261" t="str">
        <f>IF(CTR1_Local!$V421="","",IF(CTR1_Local!$V421="Yes","confirm",""))</f>
        <v/>
      </c>
      <c r="N390" t="str">
        <f>IF(CTR1_Local!$W421="","",CTR1_Local!$W421)</f>
        <v/>
      </c>
    </row>
    <row r="391" spans="1:14" x14ac:dyDescent="0.2">
      <c r="A391" s="287" t="str">
        <f>IF(CTR1_Local!$D422="",CTR1_Local!B422,CTR1_Local!$D422)</f>
        <v/>
      </c>
      <c r="B391" s="26" t="str">
        <f>IF(A391="","",IF(RIGHT(A391,3)="NEW","Add new / another parish",CTR1_Local!$AN422))</f>
        <v/>
      </c>
      <c r="C391" s="26" t="str">
        <f t="shared" si="6"/>
        <v/>
      </c>
      <c r="D391" s="177" t="str">
        <f>IF(A391="","",IF(RIGHT(A391,3)="NEW",CTR1_Local!$E422,IF(CTR1_Local!$AO422="change",CTR1_Local!$E422,"")))</f>
        <v/>
      </c>
      <c r="E391" t="str">
        <f>IF(CTR1_Local!$F422="","",CTR1_Local!$F422)</f>
        <v/>
      </c>
      <c r="F391" s="261" t="str">
        <f>IF(CTR1_Local!$T422="","",IF(CTR1_Local!$T422="Yes","Removed",""))</f>
        <v/>
      </c>
      <c r="G391" t="str">
        <f>IF(CTR1_Local!$N422="","",IF(F391="Removed","",CTR1_Local!$N422))</f>
        <v/>
      </c>
      <c r="H391" t="str">
        <f>IF(CTR1_Local!$P422="","",IF($F391="Removed","",CTR1_Local!$P422))</f>
        <v/>
      </c>
      <c r="I391" t="str">
        <f>IF(CTR1_Local!$R422="","",IF($F391="Removed","",CTR1_Local!$R422))</f>
        <v/>
      </c>
      <c r="J391" s="160" t="str">
        <f>CTR1_Local!$H422</f>
        <v/>
      </c>
      <c r="K391" s="340" t="str">
        <f>CTR1_Local!$J422</f>
        <v/>
      </c>
      <c r="L391" s="350" t="str">
        <f>CTR1_Local!$L422</f>
        <v/>
      </c>
      <c r="M391" s="261" t="str">
        <f>IF(CTR1_Local!$V422="","",IF(CTR1_Local!$V422="Yes","confirm",""))</f>
        <v/>
      </c>
      <c r="N391" t="str">
        <f>IF(CTR1_Local!$W422="","",CTR1_Local!$W422)</f>
        <v/>
      </c>
    </row>
    <row r="392" spans="1:14" x14ac:dyDescent="0.2">
      <c r="A392" s="287" t="str">
        <f>IF(CTR1_Local!$D423="",CTR1_Local!B423,CTR1_Local!$D423)</f>
        <v/>
      </c>
      <c r="B392" s="26" t="str">
        <f>IF(A392="","",IF(RIGHT(A392,3)="NEW","Add new / another parish",CTR1_Local!$AN423))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IF(CTR1_Local!$N423="","",IF(F392="Removed","",CTR1_Local!$N423))</f>
        <v/>
      </c>
      <c r="H392" t="str">
        <f>IF(CTR1_Local!$P423="","",IF($F392="Removed","",CTR1_Local!$P423))</f>
        <v/>
      </c>
      <c r="I392" t="str">
        <f>IF(CTR1_Local!$R423="","",IF($F392="Removed","",CTR1_Local!$R423))</f>
        <v/>
      </c>
      <c r="J392" s="160" t="str">
        <f>CTR1_Local!$H423</f>
        <v/>
      </c>
      <c r="K392" s="340" t="str">
        <f>CTR1_Local!$J423</f>
        <v/>
      </c>
      <c r="L392" s="350" t="str">
        <f>CTR1_Local!$L423</f>
        <v/>
      </c>
      <c r="M392" s="261" t="str">
        <f>IF(CTR1_Local!$V423="","",IF(CTR1_Local!$V423="Yes","confirm",""))</f>
        <v/>
      </c>
      <c r="N392" t="str">
        <f>IF(CTR1_Local!$W423="","",CTR1_Local!$W423)</f>
        <v/>
      </c>
    </row>
    <row r="393" spans="1:14" x14ac:dyDescent="0.2">
      <c r="A393" s="287" t="str">
        <f>IF(CTR1_Local!$D424="",CTR1_Local!B424,CTR1_Local!$D424)</f>
        <v/>
      </c>
      <c r="B393" s="26" t="str">
        <f>IF(A393="","",IF(RIGHT(A393,3)="NEW","Add new / another parish",CTR1_Local!$AN424))</f>
        <v/>
      </c>
      <c r="C393" s="26" t="str">
        <f t="shared" si="6"/>
        <v/>
      </c>
      <c r="D393" s="177" t="str">
        <f>IF(A393="","",IF(RIGHT(A393,3)="NEW",CTR1_Local!$E424,IF(CTR1_Local!$AO424="change",CTR1_Local!$E424,"")))</f>
        <v/>
      </c>
      <c r="E393" t="str">
        <f>IF(CTR1_Local!$F424="","",CTR1_Local!$F424)</f>
        <v/>
      </c>
      <c r="F393" s="261" t="str">
        <f>IF(CTR1_Local!$T424="","",IF(CTR1_Local!$T424="Yes","Removed",""))</f>
        <v/>
      </c>
      <c r="G393" t="str">
        <f>IF(CTR1_Local!$N424="","",IF(F393="Removed","",CTR1_Local!$N424))</f>
        <v/>
      </c>
      <c r="H393" t="str">
        <f>IF(CTR1_Local!$P424="","",IF($F393="Removed","",CTR1_Local!$P424))</f>
        <v/>
      </c>
      <c r="I393" t="str">
        <f>IF(CTR1_Local!$R424="","",IF($F393="Removed","",CTR1_Local!$R424))</f>
        <v/>
      </c>
      <c r="J393" s="160" t="str">
        <f>CTR1_Local!$H424</f>
        <v/>
      </c>
      <c r="K393" s="340" t="str">
        <f>CTR1_Local!$J424</f>
        <v/>
      </c>
      <c r="L393" s="350" t="str">
        <f>CTR1_Local!$L424</f>
        <v/>
      </c>
      <c r="M393" s="261" t="str">
        <f>IF(CTR1_Local!$V424="","",IF(CTR1_Local!$V424="Yes","confirm",""))</f>
        <v/>
      </c>
      <c r="N393" t="str">
        <f>IF(CTR1_Local!$W424="","",CTR1_Local!$W424)</f>
        <v/>
      </c>
    </row>
    <row r="394" spans="1:14" x14ac:dyDescent="0.2">
      <c r="A394" s="287" t="str">
        <f>IF(CTR1_Local!$D425="",CTR1_Local!B425,CTR1_Local!$D425)</f>
        <v/>
      </c>
      <c r="B394" s="26" t="str">
        <f>IF(A394="","",IF(RIGHT(A394,3)="NEW","Add new / another parish",CTR1_Local!$AN425))</f>
        <v/>
      </c>
      <c r="C394" s="26" t="str">
        <f t="shared" si="6"/>
        <v/>
      </c>
      <c r="D394" s="177" t="str">
        <f>IF(A394="","",IF(RIGHT(A394,3)="NEW",CTR1_Local!$E425,IF(CTR1_Local!$AO425="change",CTR1_Local!$E425,"")))</f>
        <v/>
      </c>
      <c r="E394" t="str">
        <f>IF(CTR1_Local!$F425="","",CTR1_Local!$F425)</f>
        <v/>
      </c>
      <c r="F394" s="261" t="str">
        <f>IF(CTR1_Local!$T425="","",IF(CTR1_Local!$T425="Yes","Removed",""))</f>
        <v/>
      </c>
      <c r="G394" t="str">
        <f>IF(CTR1_Local!$N425="","",IF(F394="Removed","",CTR1_Local!$N425))</f>
        <v/>
      </c>
      <c r="H394" t="str">
        <f>IF(CTR1_Local!$P425="","",IF($F394="Removed","",CTR1_Local!$P425))</f>
        <v/>
      </c>
      <c r="I394" t="str">
        <f>IF(CTR1_Local!$R425="","",IF($F394="Removed","",CTR1_Local!$R425))</f>
        <v/>
      </c>
      <c r="J394" s="160" t="str">
        <f>CTR1_Local!$H425</f>
        <v/>
      </c>
      <c r="K394" s="340" t="str">
        <f>CTR1_Local!$J425</f>
        <v/>
      </c>
      <c r="L394" s="350" t="str">
        <f>CTR1_Local!$L425</f>
        <v/>
      </c>
      <c r="M394" s="261" t="str">
        <f>IF(CTR1_Local!$V425="","",IF(CTR1_Local!$V425="Yes","confirm",""))</f>
        <v/>
      </c>
      <c r="N394" t="str">
        <f>IF(CTR1_Local!$W425="","",CTR1_Local!$W425)</f>
        <v/>
      </c>
    </row>
    <row r="395" spans="1:14" x14ac:dyDescent="0.2">
      <c r="A395" s="287" t="str">
        <f>IF(CTR1_Local!$D426="",CTR1_Local!B426,CTR1_Local!$D426)</f>
        <v/>
      </c>
      <c r="B395" s="26" t="str">
        <f>IF(A395="","",IF(RIGHT(A395,3)="NEW","Add new / another parish",CTR1_Local!$AN426))</f>
        <v/>
      </c>
      <c r="C395" s="26" t="str">
        <f t="shared" si="6"/>
        <v/>
      </c>
      <c r="D395" s="177" t="str">
        <f>IF(A395="","",IF(RIGHT(A395,3)="NEW",CTR1_Local!$E426,IF(CTR1_Local!$AO426="change",CTR1_Local!$E426,"")))</f>
        <v/>
      </c>
      <c r="E395" t="str">
        <f>IF(CTR1_Local!$F426="","",CTR1_Local!$F426)</f>
        <v/>
      </c>
      <c r="F395" s="261" t="str">
        <f>IF(CTR1_Local!$T426="","",IF(CTR1_Local!$T426="Yes","Removed",""))</f>
        <v/>
      </c>
      <c r="G395" t="str">
        <f>IF(CTR1_Local!$N426="","",IF(F395="Removed","",CTR1_Local!$N426))</f>
        <v/>
      </c>
      <c r="H395" t="str">
        <f>IF(CTR1_Local!$P426="","",IF($F395="Removed","",CTR1_Local!$P426))</f>
        <v/>
      </c>
      <c r="I395" t="str">
        <f>IF(CTR1_Local!$R426="","",IF($F395="Removed","",CTR1_Local!$R426))</f>
        <v/>
      </c>
      <c r="J395" s="160" t="str">
        <f>CTR1_Local!$H426</f>
        <v/>
      </c>
      <c r="K395" s="340" t="str">
        <f>CTR1_Local!$J426</f>
        <v/>
      </c>
      <c r="L395" s="350" t="str">
        <f>CTR1_Local!$L426</f>
        <v/>
      </c>
      <c r="M395" s="261" t="str">
        <f>IF(CTR1_Local!$V426="","",IF(CTR1_Local!$V426="Yes","confirm",""))</f>
        <v/>
      </c>
      <c r="N395" t="str">
        <f>IF(CTR1_Local!$W426="","",CTR1_Local!$W426)</f>
        <v/>
      </c>
    </row>
    <row r="396" spans="1:14" x14ac:dyDescent="0.2">
      <c r="A396" s="287" t="str">
        <f>IF(CTR1_Local!$D427="",CTR1_Local!B427,CTR1_Local!$D427)</f>
        <v/>
      </c>
      <c r="B396" s="26" t="str">
        <f>IF(A396="","",IF(RIGHT(A396,3)="NEW","Add new / another parish",CTR1_Local!$AN427))</f>
        <v/>
      </c>
      <c r="C396" s="26" t="str">
        <f t="shared" si="6"/>
        <v/>
      </c>
      <c r="D396" s="177" t="str">
        <f>IF(A396="","",IF(RIGHT(A396,3)="NEW",CTR1_Local!$E427,IF(CTR1_Local!$AO427="change",CTR1_Local!$E427,"")))</f>
        <v/>
      </c>
      <c r="E396" t="str">
        <f>IF(CTR1_Local!$F427="","",CTR1_Local!$F427)</f>
        <v/>
      </c>
      <c r="F396" s="261" t="str">
        <f>IF(CTR1_Local!$T427="","",IF(CTR1_Local!$T427="Yes","Removed",""))</f>
        <v/>
      </c>
      <c r="G396" t="str">
        <f>IF(CTR1_Local!$N427="","",IF(F396="Removed","",CTR1_Local!$N427))</f>
        <v/>
      </c>
      <c r="H396" t="str">
        <f>IF(CTR1_Local!$P427="","",IF($F396="Removed","",CTR1_Local!$P427))</f>
        <v/>
      </c>
      <c r="I396" t="str">
        <f>IF(CTR1_Local!$R427="","",IF($F396="Removed","",CTR1_Local!$R427))</f>
        <v/>
      </c>
      <c r="J396" s="160" t="str">
        <f>CTR1_Local!$H427</f>
        <v/>
      </c>
      <c r="K396" s="340" t="str">
        <f>CTR1_Local!$J427</f>
        <v/>
      </c>
      <c r="L396" s="350" t="str">
        <f>CTR1_Local!$L427</f>
        <v/>
      </c>
      <c r="M396" s="261" t="str">
        <f>IF(CTR1_Local!$V427="","",IF(CTR1_Local!$V427="Yes","confirm",""))</f>
        <v/>
      </c>
      <c r="N396" t="str">
        <f>IF(CTR1_Local!$W427="","",CTR1_Local!$W427)</f>
        <v/>
      </c>
    </row>
    <row r="397" spans="1:14" x14ac:dyDescent="0.2">
      <c r="A397" s="287" t="str">
        <f>IF(CTR1_Local!$D428="",CTR1_Local!B428,CTR1_Local!$D428)</f>
        <v/>
      </c>
      <c r="B397" s="26" t="str">
        <f>IF(A397="","",IF(RIGHT(A397,3)="NEW","Add new / another parish",CTR1_Local!$AN428))</f>
        <v/>
      </c>
      <c r="C397" s="26" t="str">
        <f t="shared" si="6"/>
        <v/>
      </c>
      <c r="D397" s="177" t="str">
        <f>IF(A397="","",IF(RIGHT(A397,3)="NEW",CTR1_Local!$E428,IF(CTR1_Local!$AO428="change",CTR1_Local!$E428,"")))</f>
        <v/>
      </c>
      <c r="E397" t="str">
        <f>IF(CTR1_Local!$F428="","",CTR1_Local!$F428)</f>
        <v/>
      </c>
      <c r="F397" s="261" t="str">
        <f>IF(CTR1_Local!$T428="","",IF(CTR1_Local!$T428="Yes","Removed",""))</f>
        <v/>
      </c>
      <c r="G397" t="str">
        <f>IF(CTR1_Local!$N428="","",IF(F397="Removed","",CTR1_Local!$N428))</f>
        <v/>
      </c>
      <c r="H397" t="str">
        <f>IF(CTR1_Local!$P428="","",IF($F397="Removed","",CTR1_Local!$P428))</f>
        <v/>
      </c>
      <c r="I397" t="str">
        <f>IF(CTR1_Local!$R428="","",IF($F397="Removed","",CTR1_Local!$R428))</f>
        <v/>
      </c>
      <c r="J397" s="160" t="str">
        <f>CTR1_Local!$H428</f>
        <v/>
      </c>
      <c r="K397" s="340" t="str">
        <f>CTR1_Local!$J428</f>
        <v/>
      </c>
      <c r="L397" s="350" t="str">
        <f>CTR1_Local!$L428</f>
        <v/>
      </c>
      <c r="M397" s="261" t="str">
        <f>IF(CTR1_Local!$V428="","",IF(CTR1_Local!$V428="Yes","confirm",""))</f>
        <v/>
      </c>
      <c r="N397" t="str">
        <f>IF(CTR1_Local!$W428="","",CTR1_Local!$W428)</f>
        <v/>
      </c>
    </row>
    <row r="398" spans="1:14" x14ac:dyDescent="0.2">
      <c r="A398" s="287" t="str">
        <f>IF(CTR1_Local!$D429="",CTR1_Local!B429,CTR1_Local!$D429)</f>
        <v/>
      </c>
      <c r="B398" s="26" t="str">
        <f>IF(A398="","",IF(RIGHT(A398,3)="NEW","Add new / another parish",CTR1_Local!$AN429))</f>
        <v/>
      </c>
      <c r="C398" s="26" t="str">
        <f t="shared" si="6"/>
        <v/>
      </c>
      <c r="D398" s="177" t="str">
        <f>IF(A398="","",IF(RIGHT(A398,3)="NEW",CTR1_Local!$E429,IF(CTR1_Local!$AO429="change",CTR1_Local!$E429,"")))</f>
        <v/>
      </c>
      <c r="E398" t="str">
        <f>IF(CTR1_Local!$F429="","",CTR1_Local!$F429)</f>
        <v/>
      </c>
      <c r="F398" s="261" t="str">
        <f>IF(CTR1_Local!$T429="","",IF(CTR1_Local!$T429="Yes","Removed",""))</f>
        <v/>
      </c>
      <c r="G398" t="str">
        <f>IF(CTR1_Local!$N429="","",IF(F398="Removed","",CTR1_Local!$N429))</f>
        <v/>
      </c>
      <c r="H398" t="str">
        <f>IF(CTR1_Local!$P429="","",IF($F398="Removed","",CTR1_Local!$P429))</f>
        <v/>
      </c>
      <c r="I398" t="str">
        <f>IF(CTR1_Local!$R429="","",IF($F398="Removed","",CTR1_Local!$R429))</f>
        <v/>
      </c>
      <c r="J398" s="160" t="str">
        <f>CTR1_Local!$H429</f>
        <v/>
      </c>
      <c r="K398" s="340" t="str">
        <f>CTR1_Local!$J429</f>
        <v/>
      </c>
      <c r="L398" s="350" t="str">
        <f>CTR1_Local!$L429</f>
        <v/>
      </c>
      <c r="M398" s="261" t="str">
        <f>IF(CTR1_Local!$V429="","",IF(CTR1_Local!$V429="Yes","confirm",""))</f>
        <v/>
      </c>
      <c r="N398" t="str">
        <f>IF(CTR1_Local!$W429="","",CTR1_Local!$W429)</f>
        <v/>
      </c>
    </row>
    <row r="399" spans="1:14" x14ac:dyDescent="0.2">
      <c r="A399" s="287" t="str">
        <f>IF(CTR1_Local!$D430="",CTR1_Local!B430,CTR1_Local!$D430)</f>
        <v/>
      </c>
      <c r="B399" s="26" t="str">
        <f>IF(A399="","",IF(RIGHT(A399,3)="NEW","Add new / another parish",CTR1_Local!$AN430))</f>
        <v/>
      </c>
      <c r="C399" s="26" t="str">
        <f t="shared" si="6"/>
        <v/>
      </c>
      <c r="D399" s="177" t="str">
        <f>IF(A399="","",IF(RIGHT(A399,3)="NEW",CTR1_Local!$E430,IF(CTR1_Local!$AO430="change",CTR1_Local!$E430,"")))</f>
        <v/>
      </c>
      <c r="E399" t="str">
        <f>IF(CTR1_Local!$F430="","",CTR1_Local!$F430)</f>
        <v/>
      </c>
      <c r="F399" s="261" t="str">
        <f>IF(CTR1_Local!$T430="","",IF(CTR1_Local!$T430="Yes","Removed",""))</f>
        <v/>
      </c>
      <c r="G399" t="str">
        <f>IF(CTR1_Local!$N430="","",IF(F399="Removed","",CTR1_Local!$N430))</f>
        <v/>
      </c>
      <c r="H399" t="str">
        <f>IF(CTR1_Local!$P430="","",IF($F399="Removed","",CTR1_Local!$P430))</f>
        <v/>
      </c>
      <c r="I399" t="str">
        <f>IF(CTR1_Local!$R430="","",IF($F399="Removed","",CTR1_Local!$R430))</f>
        <v/>
      </c>
      <c r="J399" s="160" t="str">
        <f>CTR1_Local!$H430</f>
        <v/>
      </c>
      <c r="K399" s="340" t="str">
        <f>CTR1_Local!$J430</f>
        <v/>
      </c>
      <c r="L399" s="350" t="str">
        <f>CTR1_Local!$L430</f>
        <v/>
      </c>
      <c r="M399" s="261" t="str">
        <f>IF(CTR1_Local!$V430="","",IF(CTR1_Local!$V430="Yes","confirm",""))</f>
        <v/>
      </c>
      <c r="N399" t="str">
        <f>IF(CTR1_Local!$W430="","",CTR1_Local!$W430)</f>
        <v/>
      </c>
    </row>
    <row r="400" spans="1:14" x14ac:dyDescent="0.2">
      <c r="A400" s="287" t="str">
        <f>IF(CTR1_Local!$D431="",CTR1_Local!B431,CTR1_Local!$D431)</f>
        <v/>
      </c>
      <c r="B400" s="26" t="str">
        <f>IF(A400="","",IF(RIGHT(A400,3)="NEW","Add new / another parish",CTR1_Local!$AN431))</f>
        <v/>
      </c>
      <c r="C400" s="26" t="str">
        <f t="shared" si="6"/>
        <v/>
      </c>
      <c r="D400" s="177" t="str">
        <f>IF(A400="","",IF(RIGHT(A400,3)="NEW",CTR1_Local!$E431,IF(CTR1_Local!$AO431="change",CTR1_Local!$E431,"")))</f>
        <v/>
      </c>
      <c r="E400" t="str">
        <f>IF(CTR1_Local!$F431="","",CTR1_Local!$F431)</f>
        <v/>
      </c>
      <c r="F400" s="261" t="str">
        <f>IF(CTR1_Local!$T431="","",IF(CTR1_Local!$T431="Yes","Removed",""))</f>
        <v/>
      </c>
      <c r="G400" t="str">
        <f>IF(CTR1_Local!$N431="","",IF(F400="Removed","",CTR1_Local!$N431))</f>
        <v/>
      </c>
      <c r="H400" t="str">
        <f>IF(CTR1_Local!$P431="","",IF($F400="Removed","",CTR1_Local!$P431))</f>
        <v/>
      </c>
      <c r="I400" t="str">
        <f>IF(CTR1_Local!$R431="","",IF($F400="Removed","",CTR1_Local!$R431))</f>
        <v/>
      </c>
      <c r="J400" s="160" t="str">
        <f>CTR1_Local!$H431</f>
        <v/>
      </c>
      <c r="K400" s="340" t="str">
        <f>CTR1_Local!$J431</f>
        <v/>
      </c>
      <c r="L400" s="350" t="str">
        <f>CTR1_Local!$L431</f>
        <v/>
      </c>
      <c r="M400" s="261" t="str">
        <f>IF(CTR1_Local!$V431="","",IF(CTR1_Local!$V431="Yes","confirm",""))</f>
        <v/>
      </c>
      <c r="N400" t="str">
        <f>IF(CTR1_Local!$W431="","",CTR1_Local!$W431)</f>
        <v/>
      </c>
    </row>
    <row r="401" spans="1:14" x14ac:dyDescent="0.2">
      <c r="A401" s="287" t="str">
        <f>IF(CTR1_Local!$D432="",CTR1_Local!B432,CTR1_Local!$D432)</f>
        <v/>
      </c>
      <c r="B401" s="26" t="str">
        <f>IF(A401="","",IF(RIGHT(A401,3)="NEW","Add new / another parish",CTR1_Local!$AN432))</f>
        <v/>
      </c>
      <c r="C401" s="26" t="str">
        <f t="shared" si="6"/>
        <v/>
      </c>
      <c r="D401" s="177" t="str">
        <f>IF(A401="","",IF(RIGHT(A401,3)="NEW",CTR1_Local!$E432,IF(CTR1_Local!$AO432="change",CTR1_Local!$E432,"")))</f>
        <v/>
      </c>
      <c r="E401" t="str">
        <f>IF(CTR1_Local!$F432="","",CTR1_Local!$F432)</f>
        <v/>
      </c>
      <c r="F401" s="261" t="str">
        <f>IF(CTR1_Local!$T432="","",IF(CTR1_Local!$T432="Yes","Removed",""))</f>
        <v/>
      </c>
      <c r="G401" t="str">
        <f>IF(CTR1_Local!$N432="","",IF(F401="Removed","",CTR1_Local!$N432))</f>
        <v/>
      </c>
      <c r="H401" t="str">
        <f>IF(CTR1_Local!$P432="","",IF($F401="Removed","",CTR1_Local!$P432))</f>
        <v/>
      </c>
      <c r="I401" t="str">
        <f>IF(CTR1_Local!$R432="","",IF($F401="Removed","",CTR1_Local!$R432))</f>
        <v/>
      </c>
      <c r="J401" s="160" t="str">
        <f>CTR1_Local!$H432</f>
        <v/>
      </c>
      <c r="K401" s="340" t="str">
        <f>CTR1_Local!$J432</f>
        <v/>
      </c>
      <c r="L401" s="350" t="str">
        <f>CTR1_Local!$L432</f>
        <v/>
      </c>
      <c r="M401" s="261" t="str">
        <f>IF(CTR1_Local!$V432="","",IF(CTR1_Local!$V432="Yes","confirm",""))</f>
        <v/>
      </c>
      <c r="N401" t="str">
        <f>IF(CTR1_Local!$W432="","",CTR1_Local!$W432)</f>
        <v/>
      </c>
    </row>
    <row r="402" spans="1:14" x14ac:dyDescent="0.2">
      <c r="A402" s="287" t="str">
        <f>IF(CTR1_Local!$D433="",CTR1_Local!B433,CTR1_Local!$D433)</f>
        <v/>
      </c>
      <c r="B402" s="26" t="str">
        <f>IF(A402="","",IF(RIGHT(A402,3)="NEW","Add new / another parish",CTR1_Local!$AN433))</f>
        <v/>
      </c>
      <c r="C402" s="26" t="str">
        <f t="shared" si="6"/>
        <v/>
      </c>
      <c r="D402" s="177" t="str">
        <f>IF(A402="","",IF(RIGHT(A402,3)="NEW",CTR1_Local!$E433,IF(CTR1_Local!$AO433="change",CTR1_Local!$E433,"")))</f>
        <v/>
      </c>
      <c r="E402" t="str">
        <f>IF(CTR1_Local!$F433="","",CTR1_Local!$F433)</f>
        <v/>
      </c>
      <c r="F402" s="261" t="str">
        <f>IF(CTR1_Local!$T433="","",IF(CTR1_Local!$T433="Yes","Removed",""))</f>
        <v/>
      </c>
      <c r="G402" t="str">
        <f>IF(CTR1_Local!$N433="","",IF(F402="Removed","",CTR1_Local!$N433))</f>
        <v/>
      </c>
      <c r="H402" t="str">
        <f>IF(CTR1_Local!$P433="","",IF($F402="Removed","",CTR1_Local!$P433))</f>
        <v/>
      </c>
      <c r="I402" t="str">
        <f>IF(CTR1_Local!$R433="","",IF($F402="Removed","",CTR1_Local!$R433))</f>
        <v/>
      </c>
      <c r="J402" s="160" t="str">
        <f>CTR1_Local!$H433</f>
        <v/>
      </c>
      <c r="K402" s="340" t="str">
        <f>CTR1_Local!$J433</f>
        <v/>
      </c>
      <c r="L402" s="350" t="str">
        <f>CTR1_Local!$L433</f>
        <v/>
      </c>
      <c r="M402" s="261" t="str">
        <f>IF(CTR1_Local!$V433="","",IF(CTR1_Local!$V433="Yes","confirm",""))</f>
        <v/>
      </c>
      <c r="N402" t="str">
        <f>IF(CTR1_Local!$W433="","",CTR1_Local!$W433)</f>
        <v/>
      </c>
    </row>
    <row r="403" spans="1:14" x14ac:dyDescent="0.2">
      <c r="A403" s="287" t="str">
        <f>IF(CTR1_Local!$D434="",CTR1_Local!B434,CTR1_Local!$D434)</f>
        <v/>
      </c>
      <c r="B403" s="26" t="str">
        <f>IF(A403="","",IF(RIGHT(A403,3)="NEW","Add new / another parish",CTR1_Local!$AN434))</f>
        <v/>
      </c>
      <c r="C403" s="26" t="str">
        <f t="shared" si="6"/>
        <v/>
      </c>
      <c r="D403" s="177" t="str">
        <f>IF(A403="","",IF(RIGHT(A403,3)="NEW",CTR1_Local!$E434,IF(CTR1_Local!$AO434="change",CTR1_Local!$E434,"")))</f>
        <v/>
      </c>
      <c r="E403" t="str">
        <f>IF(CTR1_Local!$F434="","",CTR1_Local!$F434)</f>
        <v/>
      </c>
      <c r="F403" s="261" t="str">
        <f>IF(CTR1_Local!$T434="","",IF(CTR1_Local!$T434="Yes","Removed",""))</f>
        <v/>
      </c>
      <c r="G403" t="str">
        <f>IF(CTR1_Local!$N434="","",IF(F403="Removed","",CTR1_Local!$N434))</f>
        <v/>
      </c>
      <c r="H403" t="str">
        <f>IF(CTR1_Local!$P434="","",IF($F403="Removed","",CTR1_Local!$P434))</f>
        <v/>
      </c>
      <c r="I403" t="str">
        <f>IF(CTR1_Local!$R434="","",IF($F403="Removed","",CTR1_Local!$R434))</f>
        <v/>
      </c>
      <c r="J403" s="160" t="str">
        <f>CTR1_Local!$H434</f>
        <v/>
      </c>
      <c r="K403" s="340" t="str">
        <f>CTR1_Local!$J434</f>
        <v/>
      </c>
      <c r="L403" s="350" t="str">
        <f>CTR1_Local!$L434</f>
        <v/>
      </c>
      <c r="M403" s="261" t="str">
        <f>IF(CTR1_Local!$V434="","",IF(CTR1_Local!$V434="Yes","confirm",""))</f>
        <v/>
      </c>
      <c r="N403" t="str">
        <f>IF(CTR1_Local!$W434="","",CTR1_Local!$W434)</f>
        <v/>
      </c>
    </row>
    <row r="404" spans="1:14" x14ac:dyDescent="0.2">
      <c r="A404" s="287" t="str">
        <f>IF(CTR1_Local!$D435="",CTR1_Local!B435,CTR1_Local!$D435)</f>
        <v/>
      </c>
      <c r="B404" s="26" t="str">
        <f>IF(A404="","",IF(RIGHT(A404,3)="NEW","Add new / another parish",CTR1_Local!$AN435))</f>
        <v/>
      </c>
      <c r="C404" s="26" t="str">
        <f t="shared" si="6"/>
        <v/>
      </c>
      <c r="D404" s="177" t="str">
        <f>IF(A404="","",IF(RIGHT(A404,3)="NEW",CTR1_Local!$E435,IF(CTR1_Local!$AO435="change",CTR1_Local!$E435,"")))</f>
        <v/>
      </c>
      <c r="E404" t="str">
        <f>IF(CTR1_Local!$F435="","",CTR1_Local!$F435)</f>
        <v/>
      </c>
      <c r="F404" s="261" t="str">
        <f>IF(CTR1_Local!$T435="","",IF(CTR1_Local!$T435="Yes","Removed",""))</f>
        <v/>
      </c>
      <c r="G404" t="str">
        <f>IF(CTR1_Local!$N435="","",IF(F404="Removed","",CTR1_Local!$N435))</f>
        <v/>
      </c>
      <c r="H404" t="str">
        <f>IF(CTR1_Local!$P435="","",IF($F404="Removed","",CTR1_Local!$P435))</f>
        <v/>
      </c>
      <c r="I404" t="str">
        <f>IF(CTR1_Local!$R435="","",IF($F404="Removed","",CTR1_Local!$R435))</f>
        <v/>
      </c>
      <c r="J404" s="160" t="str">
        <f>CTR1_Local!$H435</f>
        <v/>
      </c>
      <c r="K404" s="340" t="str">
        <f>CTR1_Local!$J435</f>
        <v/>
      </c>
      <c r="L404" s="350" t="str">
        <f>CTR1_Local!$L435</f>
        <v/>
      </c>
      <c r="M404" s="261" t="str">
        <f>IF(CTR1_Local!$V435="","",IF(CTR1_Local!$V435="Yes","confirm",""))</f>
        <v/>
      </c>
      <c r="N404" t="str">
        <f>IF(CTR1_Local!$W435="","",CTR1_Local!$W435)</f>
        <v/>
      </c>
    </row>
    <row r="405" spans="1:14" x14ac:dyDescent="0.2">
      <c r="A405" s="287" t="str">
        <f>IF(CTR1_Local!$D436="",CTR1_Local!B436,CTR1_Local!$D436)</f>
        <v/>
      </c>
      <c r="B405" s="26" t="str">
        <f>IF(A405="","",IF(RIGHT(A405,3)="NEW","Add new / another parish",CTR1_Local!$AN436))</f>
        <v/>
      </c>
      <c r="C405" s="26" t="str">
        <f t="shared" si="6"/>
        <v/>
      </c>
      <c r="D405" s="177" t="str">
        <f>IF(A405="","",IF(RIGHT(A405,3)="NEW",CTR1_Local!$E436,IF(CTR1_Local!$AO436="change",CTR1_Local!$E436,"")))</f>
        <v/>
      </c>
      <c r="E405" t="str">
        <f>IF(CTR1_Local!$F436="","",CTR1_Local!$F436)</f>
        <v/>
      </c>
      <c r="F405" s="261" t="str">
        <f>IF(CTR1_Local!$T436="","",IF(CTR1_Local!$T436="Yes","Removed",""))</f>
        <v/>
      </c>
      <c r="G405" t="str">
        <f>IF(CTR1_Local!$N436="","",IF(F405="Removed","",CTR1_Local!$N436))</f>
        <v/>
      </c>
      <c r="H405" t="str">
        <f>IF(CTR1_Local!$P436="","",IF($F405="Removed","",CTR1_Local!$P436))</f>
        <v/>
      </c>
      <c r="I405" t="str">
        <f>IF(CTR1_Local!$R436="","",IF($F405="Removed","",CTR1_Local!$R436))</f>
        <v/>
      </c>
      <c r="J405" s="160" t="str">
        <f>CTR1_Local!$H436</f>
        <v/>
      </c>
      <c r="K405" s="340" t="str">
        <f>CTR1_Local!$J436</f>
        <v/>
      </c>
      <c r="L405" s="350" t="str">
        <f>CTR1_Local!$L436</f>
        <v/>
      </c>
      <c r="M405" s="261" t="str">
        <f>IF(CTR1_Local!$V436="","",IF(CTR1_Local!$V436="Yes","confirm",""))</f>
        <v/>
      </c>
      <c r="N405" t="str">
        <f>IF(CTR1_Local!$W436="","",CTR1_Local!$W436)</f>
        <v/>
      </c>
    </row>
    <row r="406" spans="1:14" x14ac:dyDescent="0.2">
      <c r="A406" s="287" t="str">
        <f>IF(CTR1_Local!$D437="",CTR1_Local!B437,CTR1_Local!$D437)</f>
        <v/>
      </c>
      <c r="B406" s="26" t="str">
        <f>IF(A406="","",IF(RIGHT(A406,3)="NEW","Add new / another parish",CTR1_Local!$AN437))</f>
        <v/>
      </c>
      <c r="C406" s="26" t="str">
        <f t="shared" si="6"/>
        <v/>
      </c>
      <c r="D406" s="177" t="str">
        <f>IF(A406="","",IF(RIGHT(A406,3)="NEW",CTR1_Local!$E437,IF(CTR1_Local!$AO437="change",CTR1_Local!$E437,"")))</f>
        <v/>
      </c>
      <c r="E406" t="str">
        <f>IF(CTR1_Local!$F437="","",CTR1_Local!$F437)</f>
        <v/>
      </c>
      <c r="F406" s="261" t="str">
        <f>IF(CTR1_Local!$T437="","",IF(CTR1_Local!$T437="Yes","Removed",""))</f>
        <v/>
      </c>
      <c r="G406" t="str">
        <f>IF(CTR1_Local!$N437="","",IF(F406="Removed","",CTR1_Local!$N437))</f>
        <v/>
      </c>
      <c r="H406" t="str">
        <f>IF(CTR1_Local!$P437="","",IF($F406="Removed","",CTR1_Local!$P437))</f>
        <v/>
      </c>
      <c r="I406" t="str">
        <f>IF(CTR1_Local!$R437="","",IF($F406="Removed","",CTR1_Local!$R437))</f>
        <v/>
      </c>
      <c r="J406" s="160" t="str">
        <f>CTR1_Local!$H437</f>
        <v/>
      </c>
      <c r="K406" s="340" t="str">
        <f>CTR1_Local!$J437</f>
        <v/>
      </c>
      <c r="L406" s="350" t="str">
        <f>CTR1_Local!$L437</f>
        <v/>
      </c>
      <c r="M406" s="261" t="str">
        <f>IF(CTR1_Local!$V437="","",IF(CTR1_Local!$V437="Yes","confirm",""))</f>
        <v/>
      </c>
      <c r="N406" t="str">
        <f>IF(CTR1_Local!$W437="","",CTR1_Local!$W437)</f>
        <v/>
      </c>
    </row>
    <row r="407" spans="1:14" x14ac:dyDescent="0.2">
      <c r="A407" s="287" t="str">
        <f>IF(CTR1_Local!$D438="",CTR1_Local!B438,CTR1_Local!$D438)</f>
        <v/>
      </c>
      <c r="B407" s="26" t="str">
        <f>IF(A407="","",IF(RIGHT(A407,3)="NEW","Add new / another parish",CTR1_Local!$AN438))</f>
        <v/>
      </c>
      <c r="C407" s="26" t="str">
        <f t="shared" si="6"/>
        <v/>
      </c>
      <c r="D407" s="177" t="str">
        <f>IF(A407="","",IF(RIGHT(A407,3)="NEW",CTR1_Local!$E438,IF(CTR1_Local!$AO438="change",CTR1_Local!$E438,"")))</f>
        <v/>
      </c>
      <c r="E407" t="str">
        <f>IF(CTR1_Local!$F438="","",CTR1_Local!$F438)</f>
        <v/>
      </c>
      <c r="F407" s="261" t="str">
        <f>IF(CTR1_Local!$T438="","",IF(CTR1_Local!$T438="Yes","Removed",""))</f>
        <v/>
      </c>
      <c r="G407" t="str">
        <f>IF(CTR1_Local!$N438="","",IF(F407="Removed","",CTR1_Local!$N438))</f>
        <v/>
      </c>
      <c r="H407" t="str">
        <f>IF(CTR1_Local!$P438="","",IF($F407="Removed","",CTR1_Local!$P438))</f>
        <v/>
      </c>
      <c r="I407" t="str">
        <f>IF(CTR1_Local!$R438="","",IF($F407="Removed","",CTR1_Local!$R438))</f>
        <v/>
      </c>
      <c r="J407" s="160" t="str">
        <f>CTR1_Local!$H438</f>
        <v/>
      </c>
      <c r="K407" s="340" t="str">
        <f>CTR1_Local!$J438</f>
        <v/>
      </c>
      <c r="L407" s="350" t="str">
        <f>CTR1_Local!$L438</f>
        <v/>
      </c>
      <c r="M407" s="261" t="str">
        <f>IF(CTR1_Local!$V438="","",IF(CTR1_Local!$V438="Yes","confirm",""))</f>
        <v/>
      </c>
      <c r="N407" t="str">
        <f>IF(CTR1_Local!$W438="","",CTR1_Local!$W438)</f>
        <v/>
      </c>
    </row>
    <row r="408" spans="1:14" x14ac:dyDescent="0.2">
      <c r="A408" s="287" t="str">
        <f>IF(CTR1_Local!$D439="",CTR1_Local!B439,CTR1_Local!$D439)</f>
        <v/>
      </c>
      <c r="B408" s="26" t="str">
        <f>IF(A408="","",IF(RIGHT(A408,3)="NEW","Add new / another parish",CTR1_Local!$AN439))</f>
        <v/>
      </c>
      <c r="C408" s="26" t="str">
        <f t="shared" si="6"/>
        <v/>
      </c>
      <c r="D408" s="177" t="str">
        <f>IF(A408="","",IF(RIGHT(A408,3)="NEW",CTR1_Local!$E439,IF(CTR1_Local!$AO439="change",CTR1_Local!$E439,"")))</f>
        <v/>
      </c>
      <c r="E408" t="str">
        <f>IF(CTR1_Local!$F439="","",CTR1_Local!$F439)</f>
        <v/>
      </c>
      <c r="F408" s="261" t="str">
        <f>IF(CTR1_Local!$T439="","",IF(CTR1_Local!$T439="Yes","Removed",""))</f>
        <v/>
      </c>
      <c r="G408" t="str">
        <f>IF(CTR1_Local!$N439="","",IF(F408="Removed","",CTR1_Local!$N439))</f>
        <v/>
      </c>
      <c r="H408" t="str">
        <f>IF(CTR1_Local!$P439="","",IF($F408="Removed","",CTR1_Local!$P439))</f>
        <v/>
      </c>
      <c r="I408" t="str">
        <f>IF(CTR1_Local!$R439="","",IF($F408="Removed","",CTR1_Local!$R439))</f>
        <v/>
      </c>
      <c r="J408" s="160" t="str">
        <f>CTR1_Local!$H439</f>
        <v/>
      </c>
      <c r="K408" s="340" t="str">
        <f>CTR1_Local!$J439</f>
        <v/>
      </c>
      <c r="L408" s="350" t="str">
        <f>CTR1_Local!$L439</f>
        <v/>
      </c>
      <c r="M408" s="261" t="str">
        <f>IF(CTR1_Local!$V439="","",IF(CTR1_Local!$V439="Yes","confirm",""))</f>
        <v/>
      </c>
      <c r="N408" t="str">
        <f>IF(CTR1_Local!$W439="","",CTR1_Local!$W439)</f>
        <v/>
      </c>
    </row>
    <row r="409" spans="1:14" x14ac:dyDescent="0.2">
      <c r="A409" s="287" t="str">
        <f>IF(CTR1_Local!$D440="",CTR1_Local!B440,CTR1_Local!$D440)</f>
        <v/>
      </c>
      <c r="B409" s="26" t="str">
        <f>IF(A409="","",IF(RIGHT(A409,3)="NEW","Add new / another parish",CTR1_Local!$AN440))</f>
        <v/>
      </c>
      <c r="C409" s="26" t="str">
        <f t="shared" si="6"/>
        <v/>
      </c>
      <c r="D409" s="177" t="str">
        <f>IF(A409="","",IF(RIGHT(A409,3)="NEW",CTR1_Local!$E440,IF(CTR1_Local!$AO440="change",CTR1_Local!$E440,"")))</f>
        <v/>
      </c>
      <c r="E409" t="str">
        <f>IF(CTR1_Local!$F440="","",CTR1_Local!$F440)</f>
        <v/>
      </c>
      <c r="F409" s="261" t="str">
        <f>IF(CTR1_Local!$T440="","",IF(CTR1_Local!$T440="Yes","Removed",""))</f>
        <v/>
      </c>
      <c r="G409" t="str">
        <f>IF(CTR1_Local!$N440="","",IF(F409="Removed","",CTR1_Local!$N440))</f>
        <v/>
      </c>
      <c r="H409" t="str">
        <f>IF(CTR1_Local!$P440="","",IF($F409="Removed","",CTR1_Local!$P440))</f>
        <v/>
      </c>
      <c r="I409" t="str">
        <f>IF(CTR1_Local!$R440="","",IF($F409="Removed","",CTR1_Local!$R440))</f>
        <v/>
      </c>
      <c r="J409" s="160" t="str">
        <f>CTR1_Local!$H440</f>
        <v/>
      </c>
      <c r="K409" s="340" t="str">
        <f>CTR1_Local!$J440</f>
        <v/>
      </c>
      <c r="L409" s="350" t="str">
        <f>CTR1_Local!$L440</f>
        <v/>
      </c>
      <c r="M409" s="261" t="str">
        <f>IF(CTR1_Local!$V440="","",IF(CTR1_Local!$V440="Yes","confirm",""))</f>
        <v/>
      </c>
      <c r="N409" t="str">
        <f>IF(CTR1_Local!$W440="","",CTR1_Local!$W440)</f>
        <v/>
      </c>
    </row>
    <row r="410" spans="1:14" x14ac:dyDescent="0.2">
      <c r="A410" s="287" t="str">
        <f>IF(CTR1_Local!$D441="",CTR1_Local!B441,CTR1_Local!$D441)</f>
        <v/>
      </c>
      <c r="B410" s="26" t="str">
        <f>IF(A410="","",IF(RIGHT(A410,3)="NEW","Add new / another parish",CTR1_Local!$AN441))</f>
        <v/>
      </c>
      <c r="C410" s="26" t="str">
        <f t="shared" si="6"/>
        <v/>
      </c>
      <c r="D410" s="177" t="str">
        <f>IF(A410="","",IF(RIGHT(A410,3)="NEW",CTR1_Local!$E441,IF(CTR1_Local!$AO441="change",CTR1_Local!$E441,"")))</f>
        <v/>
      </c>
      <c r="E410" t="str">
        <f>IF(CTR1_Local!$F441="","",CTR1_Local!$F441)</f>
        <v/>
      </c>
      <c r="F410" s="261" t="str">
        <f>IF(CTR1_Local!$T441="","",IF(CTR1_Local!$T441="Yes","Removed",""))</f>
        <v/>
      </c>
      <c r="G410" t="str">
        <f>IF(CTR1_Local!$N441="","",IF(F410="Removed","",CTR1_Local!$N441))</f>
        <v/>
      </c>
      <c r="H410" t="str">
        <f>IF(CTR1_Local!$P441="","",IF($F410="Removed","",CTR1_Local!$P441))</f>
        <v/>
      </c>
      <c r="I410" t="str">
        <f>IF(CTR1_Local!$R441="","",IF($F410="Removed","",CTR1_Local!$R441))</f>
        <v/>
      </c>
      <c r="J410" s="160" t="str">
        <f>CTR1_Local!$H441</f>
        <v/>
      </c>
      <c r="K410" s="340" t="str">
        <f>CTR1_Local!$J441</f>
        <v/>
      </c>
      <c r="L410" s="350" t="str">
        <f>CTR1_Local!$L441</f>
        <v/>
      </c>
      <c r="M410" s="261" t="str">
        <f>IF(CTR1_Local!$V441="","",IF(CTR1_Local!$V441="Yes","confirm",""))</f>
        <v/>
      </c>
      <c r="N410" t="str">
        <f>IF(CTR1_Local!$W441="","",CTR1_Local!$W441)</f>
        <v/>
      </c>
    </row>
    <row r="411" spans="1:14" x14ac:dyDescent="0.2">
      <c r="A411" s="287" t="str">
        <f>IF(CTR1_Local!$D442="",CTR1_Local!B442,CTR1_Local!$D442)</f>
        <v/>
      </c>
      <c r="B411" s="26" t="str">
        <f>IF(A411="","",IF(RIGHT(A411,3)="NEW","Add new / another parish",CTR1_Local!$AN442))</f>
        <v/>
      </c>
      <c r="C411" s="26" t="str">
        <f t="shared" si="6"/>
        <v/>
      </c>
      <c r="D411" s="177" t="str">
        <f>IF(A411="","",IF(RIGHT(A411,3)="NEW",CTR1_Local!$E442,IF(CTR1_Local!$AO442="change",CTR1_Local!$E442,"")))</f>
        <v/>
      </c>
      <c r="E411" t="str">
        <f>IF(CTR1_Local!$F442="","",CTR1_Local!$F442)</f>
        <v/>
      </c>
      <c r="F411" s="261" t="str">
        <f>IF(CTR1_Local!$T442="","",IF(CTR1_Local!$T442="Yes","Removed",""))</f>
        <v/>
      </c>
      <c r="G411" t="str">
        <f>IF(CTR1_Local!$N442="","",IF(F411="Removed","",CTR1_Local!$N442))</f>
        <v/>
      </c>
      <c r="H411" t="str">
        <f>IF(CTR1_Local!$P442="","",IF($F411="Removed","",CTR1_Local!$P442))</f>
        <v/>
      </c>
      <c r="I411" t="str">
        <f>IF(CTR1_Local!$R442="","",IF($F411="Removed","",CTR1_Local!$R442))</f>
        <v/>
      </c>
      <c r="J411" s="160" t="str">
        <f>CTR1_Local!$H442</f>
        <v/>
      </c>
      <c r="K411" s="340" t="str">
        <f>CTR1_Local!$J442</f>
        <v/>
      </c>
      <c r="L411" s="350" t="str">
        <f>CTR1_Local!$L442</f>
        <v/>
      </c>
      <c r="M411" s="261" t="str">
        <f>IF(CTR1_Local!$V442="","",IF(CTR1_Local!$V442="Yes","confirm",""))</f>
        <v/>
      </c>
      <c r="N411" t="str">
        <f>IF(CTR1_Local!$W442="","",CTR1_Local!$W442)</f>
        <v/>
      </c>
    </row>
    <row r="412" spans="1:14" x14ac:dyDescent="0.2">
      <c r="A412" s="287" t="str">
        <f>IF(CTR1_Local!$D443="",CTR1_Local!B443,CTR1_Local!$D443)</f>
        <v/>
      </c>
      <c r="B412" s="26" t="str">
        <f>IF(A412="","",IF(RIGHT(A412,3)="NEW","Add new / another parish",CTR1_Local!$AN443))</f>
        <v/>
      </c>
      <c r="C412" s="26" t="str">
        <f t="shared" si="6"/>
        <v/>
      </c>
      <c r="D412" s="177" t="str">
        <f>IF(A412="","",IF(RIGHT(A412,3)="NEW",CTR1_Local!$E443,IF(CTR1_Local!$AO443="change",CTR1_Local!$E443,"")))</f>
        <v/>
      </c>
      <c r="E412" t="str">
        <f>IF(CTR1_Local!$F443="","",CTR1_Local!$F443)</f>
        <v/>
      </c>
      <c r="F412" s="261" t="str">
        <f>IF(CTR1_Local!$T443="","",IF(CTR1_Local!$T443="Yes","Removed",""))</f>
        <v/>
      </c>
      <c r="G412" t="str">
        <f>IF(CTR1_Local!$N443="","",IF(F412="Removed","",CTR1_Local!$N443))</f>
        <v/>
      </c>
      <c r="H412" t="str">
        <f>IF(CTR1_Local!$P443="","",IF($F412="Removed","",CTR1_Local!$P443))</f>
        <v/>
      </c>
      <c r="I412" t="str">
        <f>IF(CTR1_Local!$R443="","",IF($F412="Removed","",CTR1_Local!$R443))</f>
        <v/>
      </c>
      <c r="J412" s="160" t="str">
        <f>CTR1_Local!$H443</f>
        <v/>
      </c>
      <c r="K412" s="340" t="str">
        <f>CTR1_Local!$J443</f>
        <v/>
      </c>
      <c r="L412" s="350" t="str">
        <f>CTR1_Local!$L443</f>
        <v/>
      </c>
      <c r="M412" s="261" t="str">
        <f>IF(CTR1_Local!$V443="","",IF(CTR1_Local!$V443="Yes","confirm",""))</f>
        <v/>
      </c>
      <c r="N412" t="str">
        <f>IF(CTR1_Local!$W443="","",CTR1_Local!$W443)</f>
        <v/>
      </c>
    </row>
    <row r="413" spans="1:14" x14ac:dyDescent="0.2">
      <c r="A413" s="287" t="str">
        <f>IF(CTR1_Local!$D444="",CTR1_Local!B444,CTR1_Local!$D444)</f>
        <v/>
      </c>
      <c r="B413" s="26" t="str">
        <f>IF(A413="","",IF(RIGHT(A413,3)="NEW","Add new / another parish",CTR1_Local!$AN444))</f>
        <v/>
      </c>
      <c r="C413" s="26" t="str">
        <f t="shared" si="6"/>
        <v/>
      </c>
      <c r="D413" s="177" t="str">
        <f>IF(A413="","",IF(RIGHT(A413,3)="NEW",CTR1_Local!$E444,IF(CTR1_Local!$AO444="change",CTR1_Local!$E444,"")))</f>
        <v/>
      </c>
      <c r="E413" t="str">
        <f>IF(CTR1_Local!$F444="","",CTR1_Local!$F444)</f>
        <v/>
      </c>
      <c r="F413" s="261" t="str">
        <f>IF(CTR1_Local!$T444="","",IF(CTR1_Local!$T444="Yes","Removed",""))</f>
        <v/>
      </c>
      <c r="G413" t="str">
        <f>IF(CTR1_Local!$N444="","",IF(F413="Removed","",CTR1_Local!$N444))</f>
        <v/>
      </c>
      <c r="H413" t="str">
        <f>IF(CTR1_Local!$P444="","",IF($F413="Removed","",CTR1_Local!$P444))</f>
        <v/>
      </c>
      <c r="I413" t="str">
        <f>IF(CTR1_Local!$R444="","",IF($F413="Removed","",CTR1_Local!$R444))</f>
        <v/>
      </c>
      <c r="J413" s="160" t="str">
        <f>CTR1_Local!$H444</f>
        <v/>
      </c>
      <c r="K413" s="340" t="str">
        <f>CTR1_Local!$J444</f>
        <v/>
      </c>
      <c r="L413" s="350" t="str">
        <f>CTR1_Local!$L444</f>
        <v/>
      </c>
      <c r="M413" s="261" t="str">
        <f>IF(CTR1_Local!$V444="","",IF(CTR1_Local!$V444="Yes","confirm",""))</f>
        <v/>
      </c>
      <c r="N413" t="str">
        <f>IF(CTR1_Local!$W444="","",CTR1_Local!$W444)</f>
        <v/>
      </c>
    </row>
    <row r="414" spans="1:14" x14ac:dyDescent="0.2">
      <c r="A414" s="287" t="str">
        <f>IF(CTR1_Local!$D445="",CTR1_Local!B445,CTR1_Local!$D445)</f>
        <v/>
      </c>
      <c r="B414" s="26" t="str">
        <f>IF(A414="","",IF(RIGHT(A414,3)="NEW","Add new / another parish",CTR1_Local!$AN445))</f>
        <v/>
      </c>
      <c r="C414" s="26" t="str">
        <f t="shared" si="6"/>
        <v/>
      </c>
      <c r="D414" s="177" t="str">
        <f>IF(A414="","",IF(RIGHT(A414,3)="NEW",CTR1_Local!$E445,IF(CTR1_Local!$AO445="change",CTR1_Local!$E445,"")))</f>
        <v/>
      </c>
      <c r="E414" t="str">
        <f>IF(CTR1_Local!$F445="","",CTR1_Local!$F445)</f>
        <v/>
      </c>
      <c r="F414" s="261" t="str">
        <f>IF(CTR1_Local!$T445="","",IF(CTR1_Local!$T445="Yes","Removed",""))</f>
        <v/>
      </c>
      <c r="G414" t="str">
        <f>IF(CTR1_Local!$N445="","",IF(F414="Removed","",CTR1_Local!$N445))</f>
        <v/>
      </c>
      <c r="H414" t="str">
        <f>IF(CTR1_Local!$P445="","",IF($F414="Removed","",CTR1_Local!$P445))</f>
        <v/>
      </c>
      <c r="I414" t="str">
        <f>IF(CTR1_Local!$R445="","",IF($F414="Removed","",CTR1_Local!$R445))</f>
        <v/>
      </c>
      <c r="J414" s="160" t="str">
        <f>CTR1_Local!$H445</f>
        <v/>
      </c>
      <c r="K414" s="340" t="str">
        <f>CTR1_Local!$J445</f>
        <v/>
      </c>
      <c r="L414" s="350" t="str">
        <f>CTR1_Local!$L445</f>
        <v/>
      </c>
      <c r="M414" s="261" t="str">
        <f>IF(CTR1_Local!$V445="","",IF(CTR1_Local!$V445="Yes","confirm",""))</f>
        <v/>
      </c>
      <c r="N414" t="str">
        <f>IF(CTR1_Local!$W445="","",CTR1_Local!$W445)</f>
        <v/>
      </c>
    </row>
    <row r="415" spans="1:14" x14ac:dyDescent="0.2">
      <c r="A415" s="287" t="str">
        <f>IF(CTR1_Local!$D446="",CTR1_Local!B446,CTR1_Local!$D446)</f>
        <v/>
      </c>
      <c r="B415" s="26" t="str">
        <f>IF(A415="","",IF(RIGHT(A415,3)="NEW","Add new / another parish",CTR1_Local!$AN446))</f>
        <v/>
      </c>
      <c r="C415" s="26" t="str">
        <f t="shared" si="6"/>
        <v/>
      </c>
      <c r="D415" s="177" t="str">
        <f>IF(A415="","",IF(RIGHT(A415,3)="NEW",CTR1_Local!$E446,IF(CTR1_Local!$AO446="change",CTR1_Local!$E446,"")))</f>
        <v/>
      </c>
      <c r="E415" t="str">
        <f>IF(CTR1_Local!$F446="","",CTR1_Local!$F446)</f>
        <v/>
      </c>
      <c r="F415" s="261" t="str">
        <f>IF(CTR1_Local!$T446="","",IF(CTR1_Local!$T446="Yes","Removed",""))</f>
        <v/>
      </c>
      <c r="G415" t="str">
        <f>IF(CTR1_Local!$N446="","",IF(F415="Removed","",CTR1_Local!$N446))</f>
        <v/>
      </c>
      <c r="H415" t="str">
        <f>IF(CTR1_Local!$P446="","",IF($F415="Removed","",CTR1_Local!$P446))</f>
        <v/>
      </c>
      <c r="I415" t="str">
        <f>IF(CTR1_Local!$R446="","",IF($F415="Removed","",CTR1_Local!$R446))</f>
        <v/>
      </c>
      <c r="J415" s="160" t="str">
        <f>CTR1_Local!$H446</f>
        <v/>
      </c>
      <c r="K415" s="340" t="str">
        <f>CTR1_Local!$J446</f>
        <v/>
      </c>
      <c r="L415" s="350" t="str">
        <f>CTR1_Local!$L446</f>
        <v/>
      </c>
      <c r="M415" s="261" t="str">
        <f>IF(CTR1_Local!$V446="","",IF(CTR1_Local!$V446="Yes","confirm",""))</f>
        <v/>
      </c>
      <c r="N415" t="str">
        <f>IF(CTR1_Local!$W446="","",CTR1_Local!$W446)</f>
        <v/>
      </c>
    </row>
    <row r="416" spans="1:14" x14ac:dyDescent="0.2">
      <c r="A416" s="287" t="str">
        <f>IF(CTR1_Local!$D447="",CTR1_Local!B447,CTR1_Local!$D447)</f>
        <v/>
      </c>
      <c r="B416" s="26" t="str">
        <f>IF(A416="","",IF(RIGHT(A416,3)="NEW","Add new / another parish",CTR1_Local!$AN447))</f>
        <v/>
      </c>
      <c r="C416" s="26" t="str">
        <f t="shared" si="6"/>
        <v/>
      </c>
      <c r="D416" s="177" t="str">
        <f>IF(A416="","",IF(RIGHT(A416,3)="NEW",CTR1_Local!$E447,IF(CTR1_Local!$AO447="change",CTR1_Local!$E447,"")))</f>
        <v/>
      </c>
      <c r="E416" t="str">
        <f>IF(CTR1_Local!$F447="","",CTR1_Local!$F447)</f>
        <v/>
      </c>
      <c r="F416" s="261" t="str">
        <f>IF(CTR1_Local!$T447="","",IF(CTR1_Local!$T447="Yes","Removed",""))</f>
        <v/>
      </c>
      <c r="G416" t="str">
        <f>IF(CTR1_Local!$N447="","",IF(F416="Removed","",CTR1_Local!$N447))</f>
        <v/>
      </c>
      <c r="H416" t="str">
        <f>IF(CTR1_Local!$P447="","",IF($F416="Removed","",CTR1_Local!$P447))</f>
        <v/>
      </c>
      <c r="I416" t="str">
        <f>IF(CTR1_Local!$R447="","",IF($F416="Removed","",CTR1_Local!$R447))</f>
        <v/>
      </c>
      <c r="J416" s="160" t="str">
        <f>CTR1_Local!$H447</f>
        <v/>
      </c>
      <c r="K416" s="340" t="str">
        <f>CTR1_Local!$J447</f>
        <v/>
      </c>
      <c r="L416" s="350" t="str">
        <f>CTR1_Local!$L447</f>
        <v/>
      </c>
      <c r="M416" s="261" t="str">
        <f>IF(CTR1_Local!$V447="","",IF(CTR1_Local!$V447="Yes","confirm",""))</f>
        <v/>
      </c>
      <c r="N416" t="str">
        <f>IF(CTR1_Local!$W447="","",CTR1_Local!$W447)</f>
        <v/>
      </c>
    </row>
    <row r="417" spans="1:14" x14ac:dyDescent="0.2">
      <c r="A417" s="287" t="str">
        <f>IF(CTR1_Local!$D448="",CTR1_Local!B448,CTR1_Local!$D448)</f>
        <v/>
      </c>
      <c r="B417" s="26" t="str">
        <f>IF(A417="","",IF(RIGHT(A417,3)="NEW","Add new / another parish",CTR1_Local!$AN448))</f>
        <v/>
      </c>
      <c r="C417" s="26" t="str">
        <f t="shared" si="6"/>
        <v/>
      </c>
      <c r="D417" s="177" t="str">
        <f>IF(A417="","",IF(RIGHT(A417,3)="NEW",CTR1_Local!$E448,IF(CTR1_Local!$AO448="change",CTR1_Local!$E448,"")))</f>
        <v/>
      </c>
      <c r="E417" t="str">
        <f>IF(CTR1_Local!$F448="","",CTR1_Local!$F448)</f>
        <v/>
      </c>
      <c r="F417" s="261" t="str">
        <f>IF(CTR1_Local!$T448="","",IF(CTR1_Local!$T448="Yes","Removed",""))</f>
        <v/>
      </c>
      <c r="G417" t="str">
        <f>IF(CTR1_Local!$N448="","",IF(F417="Removed","",CTR1_Local!$N448))</f>
        <v/>
      </c>
      <c r="H417" t="str">
        <f>IF(CTR1_Local!$P448="","",IF($F417="Removed","",CTR1_Local!$P448))</f>
        <v/>
      </c>
      <c r="I417" t="str">
        <f>IF(CTR1_Local!$R448="","",IF($F417="Removed","",CTR1_Local!$R448))</f>
        <v/>
      </c>
      <c r="J417" s="160" t="str">
        <f>CTR1_Local!$H448</f>
        <v/>
      </c>
      <c r="K417" s="340" t="str">
        <f>CTR1_Local!$J448</f>
        <v/>
      </c>
      <c r="L417" s="350" t="str">
        <f>CTR1_Local!$L448</f>
        <v/>
      </c>
      <c r="M417" s="261" t="str">
        <f>IF(CTR1_Local!$V448="","",IF(CTR1_Local!$V448="Yes","confirm",""))</f>
        <v/>
      </c>
      <c r="N417" t="str">
        <f>IF(CTR1_Local!$W448="","",CTR1_Local!$W448)</f>
        <v/>
      </c>
    </row>
    <row r="418" spans="1:14" x14ac:dyDescent="0.2">
      <c r="A418" s="287" t="str">
        <f>IF(CTR1_Local!$D449="",CTR1_Local!B449,CTR1_Local!$D449)</f>
        <v/>
      </c>
      <c r="B418" s="26" t="str">
        <f>IF(A418="","",IF(RIGHT(A418,3)="NEW","Add new / another parish",CTR1_Local!$AN449))</f>
        <v/>
      </c>
      <c r="C418" s="26" t="str">
        <f t="shared" si="6"/>
        <v/>
      </c>
      <c r="D418" s="177" t="str">
        <f>IF(A418="","",IF(RIGHT(A418,3)="NEW",CTR1_Local!$E449,IF(CTR1_Local!$AO449="change",CTR1_Local!$E449,"")))</f>
        <v/>
      </c>
      <c r="E418" t="str">
        <f>IF(CTR1_Local!$F449="","",CTR1_Local!$F449)</f>
        <v/>
      </c>
      <c r="F418" s="261" t="str">
        <f>IF(CTR1_Local!$T449="","",IF(CTR1_Local!$T449="Yes","Removed",""))</f>
        <v/>
      </c>
      <c r="G418" t="str">
        <f>IF(CTR1_Local!$N449="","",IF(F418="Removed","",CTR1_Local!$N449))</f>
        <v/>
      </c>
      <c r="H418" t="str">
        <f>IF(CTR1_Local!$P449="","",IF($F418="Removed","",CTR1_Local!$P449))</f>
        <v/>
      </c>
      <c r="I418" t="str">
        <f>IF(CTR1_Local!$R449="","",IF($F418="Removed","",CTR1_Local!$R449))</f>
        <v/>
      </c>
      <c r="J418" s="160" t="str">
        <f>CTR1_Local!$H449</f>
        <v/>
      </c>
      <c r="K418" s="340" t="str">
        <f>CTR1_Local!$J449</f>
        <v/>
      </c>
      <c r="L418" s="350" t="str">
        <f>CTR1_Local!$L449</f>
        <v/>
      </c>
      <c r="M418" s="261" t="str">
        <f>IF(CTR1_Local!$V449="","",IF(CTR1_Local!$V449="Yes","confirm",""))</f>
        <v/>
      </c>
      <c r="N418" t="str">
        <f>IF(CTR1_Local!$W449="","",CTR1_Local!$W449)</f>
        <v/>
      </c>
    </row>
    <row r="419" spans="1:14" x14ac:dyDescent="0.2">
      <c r="A419" s="287" t="str">
        <f>IF(CTR1_Local!$D450="",CTR1_Local!B450,CTR1_Local!$D450)</f>
        <v/>
      </c>
      <c r="B419" s="26" t="str">
        <f>IF(A419="","",IF(RIGHT(A419,3)="NEW","Add new / another parish",CTR1_Local!$AN450))</f>
        <v/>
      </c>
      <c r="C419" s="26" t="str">
        <f t="shared" si="6"/>
        <v/>
      </c>
      <c r="D419" s="177" t="str">
        <f>IF(A419="","",IF(RIGHT(A419,3)="NEW",CTR1_Local!$E450,IF(CTR1_Local!$AO450="change",CTR1_Local!$E450,"")))</f>
        <v/>
      </c>
      <c r="E419" t="str">
        <f>IF(CTR1_Local!$F450="","",CTR1_Local!$F450)</f>
        <v/>
      </c>
      <c r="F419" s="261" t="str">
        <f>IF(CTR1_Local!$T450="","",IF(CTR1_Local!$T450="Yes","Removed",""))</f>
        <v/>
      </c>
      <c r="G419" t="str">
        <f>IF(CTR1_Local!$N450="","",IF(F419="Removed","",CTR1_Local!$N450))</f>
        <v/>
      </c>
      <c r="H419" t="str">
        <f>IF(CTR1_Local!$P450="","",IF($F419="Removed","",CTR1_Local!$P450))</f>
        <v/>
      </c>
      <c r="I419" t="str">
        <f>IF(CTR1_Local!$R450="","",IF($F419="Removed","",CTR1_Local!$R450))</f>
        <v/>
      </c>
      <c r="J419" s="160" t="str">
        <f>CTR1_Local!$H450</f>
        <v/>
      </c>
      <c r="K419" s="340" t="str">
        <f>CTR1_Local!$J450</f>
        <v/>
      </c>
      <c r="L419" s="350" t="str">
        <f>CTR1_Local!$L450</f>
        <v/>
      </c>
      <c r="M419" s="261" t="str">
        <f>IF(CTR1_Local!$V450="","",IF(CTR1_Local!$V450="Yes","confirm",""))</f>
        <v/>
      </c>
      <c r="N419" t="str">
        <f>IF(CTR1_Local!$W450="","",CTR1_Local!$W450)</f>
        <v/>
      </c>
    </row>
    <row r="420" spans="1:14" x14ac:dyDescent="0.2">
      <c r="A420" s="287" t="str">
        <f>IF(CTR1_Local!$D451="",CTR1_Local!B451,CTR1_Local!$D451)</f>
        <v/>
      </c>
      <c r="B420" s="26" t="str">
        <f>IF(A420="","",IF(RIGHT(A420,3)="NEW","Add new / another parish",CTR1_Local!$AN451))</f>
        <v/>
      </c>
      <c r="C420" s="26" t="str">
        <f t="shared" si="6"/>
        <v/>
      </c>
      <c r="D420" s="177" t="str">
        <f>IF(A420="","",IF(RIGHT(A420,3)="NEW",CTR1_Local!$E451,IF(CTR1_Local!$AO451="change",CTR1_Local!$E451,"")))</f>
        <v/>
      </c>
      <c r="E420" t="str">
        <f>IF(CTR1_Local!$F451="","",CTR1_Local!$F451)</f>
        <v/>
      </c>
      <c r="F420" s="261" t="str">
        <f>IF(CTR1_Local!$T451="","",IF(CTR1_Local!$T451="Yes","Removed",""))</f>
        <v/>
      </c>
      <c r="G420" t="str">
        <f>IF(CTR1_Local!$N451="","",IF(F420="Removed","",CTR1_Local!$N451))</f>
        <v/>
      </c>
      <c r="H420" t="str">
        <f>IF(CTR1_Local!$P451="","",IF($F420="Removed","",CTR1_Local!$P451))</f>
        <v/>
      </c>
      <c r="I420" t="str">
        <f>IF(CTR1_Local!$R451="","",IF($F420="Removed","",CTR1_Local!$R451))</f>
        <v/>
      </c>
      <c r="J420" s="160" t="str">
        <f>CTR1_Local!$H451</f>
        <v/>
      </c>
      <c r="K420" s="340" t="str">
        <f>CTR1_Local!$J451</f>
        <v/>
      </c>
      <c r="L420" s="350" t="str">
        <f>CTR1_Local!$L451</f>
        <v/>
      </c>
      <c r="M420" s="261" t="str">
        <f>IF(CTR1_Local!$V451="","",IF(CTR1_Local!$V451="Yes","confirm",""))</f>
        <v/>
      </c>
      <c r="N420" t="str">
        <f>IF(CTR1_Local!$W451="","",CTR1_Local!$W451)</f>
        <v/>
      </c>
    </row>
    <row r="421" spans="1:14" x14ac:dyDescent="0.2">
      <c r="A421" s="287" t="str">
        <f>IF(CTR1_Local!$D452="",CTR1_Local!B452,CTR1_Local!$D452)</f>
        <v/>
      </c>
      <c r="B421" s="26" t="str">
        <f>IF(A421="","",IF(RIGHT(A421,3)="NEW","Add new / another parish",CTR1_Local!$AN452))</f>
        <v/>
      </c>
      <c r="C421" s="26" t="str">
        <f t="shared" si="6"/>
        <v/>
      </c>
      <c r="D421" s="177" t="str">
        <f>IF(A421="","",IF(RIGHT(A421,3)="NEW",CTR1_Local!$E452,IF(CTR1_Local!$AO452="change",CTR1_Local!$E452,"")))</f>
        <v/>
      </c>
      <c r="E421" t="str">
        <f>IF(CTR1_Local!$F452="","",CTR1_Local!$F452)</f>
        <v/>
      </c>
      <c r="F421" s="261" t="str">
        <f>IF(CTR1_Local!$T452="","",IF(CTR1_Local!$T452="Yes","Removed",""))</f>
        <v/>
      </c>
      <c r="G421" t="str">
        <f>IF(CTR1_Local!$N452="","",IF(F421="Removed","",CTR1_Local!$N452))</f>
        <v/>
      </c>
      <c r="H421" t="str">
        <f>IF(CTR1_Local!$P452="","",IF($F421="Removed","",CTR1_Local!$P452))</f>
        <v/>
      </c>
      <c r="I421" t="str">
        <f>IF(CTR1_Local!$R452="","",IF($F421="Removed","",CTR1_Local!$R452))</f>
        <v/>
      </c>
      <c r="J421" s="160" t="str">
        <f>CTR1_Local!$H452</f>
        <v/>
      </c>
      <c r="K421" s="340" t="str">
        <f>CTR1_Local!$J452</f>
        <v/>
      </c>
      <c r="L421" s="350" t="str">
        <f>CTR1_Local!$L452</f>
        <v/>
      </c>
      <c r="M421" s="261" t="str">
        <f>IF(CTR1_Local!$V452="","",IF(CTR1_Local!$V452="Yes","confirm",""))</f>
        <v/>
      </c>
      <c r="N421" t="str">
        <f>IF(CTR1_Local!$W452="","",CTR1_Local!$W452)</f>
        <v/>
      </c>
    </row>
    <row r="422" spans="1:14" x14ac:dyDescent="0.2">
      <c r="A422" s="287" t="str">
        <f>IF(CTR1_Local!$D453="",CTR1_Local!B453,CTR1_Local!$D453)</f>
        <v/>
      </c>
      <c r="B422" s="26" t="str">
        <f>IF(A422="","",IF(RIGHT(A422,3)="NEW","Add new / another parish",CTR1_Local!$AN453))</f>
        <v/>
      </c>
      <c r="C422" s="26" t="str">
        <f t="shared" si="6"/>
        <v/>
      </c>
      <c r="D422" s="177" t="str">
        <f>IF(A422="","",IF(RIGHT(A422,3)="NEW",CTR1_Local!$E453,IF(CTR1_Local!$AO453="change",CTR1_Local!$E453,"")))</f>
        <v/>
      </c>
      <c r="E422" t="str">
        <f>IF(CTR1_Local!$F453="","",CTR1_Local!$F453)</f>
        <v/>
      </c>
      <c r="F422" s="261" t="str">
        <f>IF(CTR1_Local!$T453="","",IF(CTR1_Local!$T453="Yes","Removed",""))</f>
        <v/>
      </c>
      <c r="G422" t="str">
        <f>IF(CTR1_Local!$N453="","",IF(F422="Removed","",CTR1_Local!$N453))</f>
        <v/>
      </c>
      <c r="H422" t="str">
        <f>IF(CTR1_Local!$P453="","",IF($F422="Removed","",CTR1_Local!$P453))</f>
        <v/>
      </c>
      <c r="I422" t="str">
        <f>IF(CTR1_Local!$R453="","",IF($F422="Removed","",CTR1_Local!$R453))</f>
        <v/>
      </c>
      <c r="J422" s="160" t="str">
        <f>CTR1_Local!$H453</f>
        <v/>
      </c>
      <c r="K422" s="340" t="str">
        <f>CTR1_Local!$J453</f>
        <v/>
      </c>
      <c r="L422" s="350" t="str">
        <f>CTR1_Local!$L453</f>
        <v/>
      </c>
      <c r="M422" s="261" t="str">
        <f>IF(CTR1_Local!$V453="","",IF(CTR1_Local!$V453="Yes","confirm",""))</f>
        <v/>
      </c>
      <c r="N422" t="str">
        <f>IF(CTR1_Local!$W453="","",CTR1_Local!$W453)</f>
        <v/>
      </c>
    </row>
    <row r="423" spans="1:14" x14ac:dyDescent="0.2">
      <c r="A423" s="287" t="str">
        <f>IF(CTR1_Local!$D454="",CTR1_Local!B454,CTR1_Local!$D454)</f>
        <v/>
      </c>
      <c r="B423" s="26" t="str">
        <f>IF(A423="","",IF(RIGHT(A423,3)="NEW","Add new / another parish",CTR1_Local!$AN454))</f>
        <v/>
      </c>
      <c r="C423" s="26" t="str">
        <f t="shared" si="6"/>
        <v/>
      </c>
      <c r="D423" s="177" t="str">
        <f>IF(A423="","",IF(RIGHT(A423,3)="NEW",CTR1_Local!$E454,IF(CTR1_Local!$AO454="change",CTR1_Local!$E454,"")))</f>
        <v/>
      </c>
      <c r="E423" t="str">
        <f>IF(CTR1_Local!$F454="","",CTR1_Local!$F454)</f>
        <v/>
      </c>
      <c r="F423" s="261" t="str">
        <f>IF(CTR1_Local!$T454="","",IF(CTR1_Local!$T454="Yes","Removed",""))</f>
        <v/>
      </c>
      <c r="G423" t="str">
        <f>IF(CTR1_Local!$N454="","",IF(F423="Removed","",CTR1_Local!$N454))</f>
        <v/>
      </c>
      <c r="H423" t="str">
        <f>IF(CTR1_Local!$P454="","",IF($F423="Removed","",CTR1_Local!$P454))</f>
        <v/>
      </c>
      <c r="I423" t="str">
        <f>IF(CTR1_Local!$R454="","",IF($F423="Removed","",CTR1_Local!$R454))</f>
        <v/>
      </c>
      <c r="J423" s="160" t="str">
        <f>CTR1_Local!$H454</f>
        <v/>
      </c>
      <c r="K423" s="340" t="str">
        <f>CTR1_Local!$J454</f>
        <v/>
      </c>
      <c r="L423" s="350" t="str">
        <f>CTR1_Local!$L454</f>
        <v/>
      </c>
      <c r="M423" s="261" t="str">
        <f>IF(CTR1_Local!$V454="","",IF(CTR1_Local!$V454="Yes","confirm",""))</f>
        <v/>
      </c>
      <c r="N423" t="str">
        <f>IF(CTR1_Local!$W454="","",CTR1_Local!$W454)</f>
        <v/>
      </c>
    </row>
    <row r="424" spans="1:14" x14ac:dyDescent="0.2">
      <c r="A424" s="287" t="str">
        <f>IF(CTR1_Local!$D455="",CTR1_Local!B455,CTR1_Local!$D455)</f>
        <v/>
      </c>
      <c r="B424" s="26" t="str">
        <f>IF(A424="","",IF(RIGHT(A424,3)="NEW","Add new / another parish",CTR1_Local!$AN455))</f>
        <v/>
      </c>
      <c r="C424" s="26" t="str">
        <f t="shared" si="6"/>
        <v/>
      </c>
      <c r="D424" s="177" t="str">
        <f>IF(A424="","",IF(RIGHT(A424,3)="NEW",CTR1_Local!$E455,IF(CTR1_Local!$AO455="change",CTR1_Local!$E455,"")))</f>
        <v/>
      </c>
      <c r="E424" t="str">
        <f>IF(CTR1_Local!$F455="","",CTR1_Local!$F455)</f>
        <v/>
      </c>
      <c r="F424" s="261" t="str">
        <f>IF(CTR1_Local!$T455="","",IF(CTR1_Local!$T455="Yes","Removed",""))</f>
        <v/>
      </c>
      <c r="G424" t="str">
        <f>IF(CTR1_Local!$N455="","",IF(F424="Removed","",CTR1_Local!$N455))</f>
        <v/>
      </c>
      <c r="H424" t="str">
        <f>IF(CTR1_Local!$P455="","",IF($F424="Removed","",CTR1_Local!$P455))</f>
        <v/>
      </c>
      <c r="I424" t="str">
        <f>IF(CTR1_Local!$R455="","",IF($F424="Removed","",CTR1_Local!$R455))</f>
        <v/>
      </c>
      <c r="J424" s="160" t="str">
        <f>CTR1_Local!$H455</f>
        <v/>
      </c>
      <c r="K424" s="340" t="str">
        <f>CTR1_Local!$J455</f>
        <v/>
      </c>
      <c r="L424" s="350" t="str">
        <f>CTR1_Local!$L455</f>
        <v/>
      </c>
      <c r="M424" s="261" t="str">
        <f>IF(CTR1_Local!$V455="","",IF(CTR1_Local!$V455="Yes","confirm",""))</f>
        <v/>
      </c>
      <c r="N424" t="str">
        <f>IF(CTR1_Local!$W455="","",CTR1_Local!$W455)</f>
        <v/>
      </c>
    </row>
    <row r="425" spans="1:14" x14ac:dyDescent="0.2">
      <c r="A425" s="287" t="str">
        <f>IF(CTR1_Local!$D456="",CTR1_Local!B456,CTR1_Local!$D456)</f>
        <v/>
      </c>
      <c r="B425" s="26" t="str">
        <f>IF(A425="","",IF(RIGHT(A425,3)="NEW","Add new / another parish",CTR1_Local!$AN456))</f>
        <v/>
      </c>
      <c r="C425" s="26" t="str">
        <f t="shared" si="6"/>
        <v/>
      </c>
      <c r="D425" s="177" t="str">
        <f>IF(A425="","",IF(RIGHT(A425,3)="NEW",CTR1_Local!$E456,IF(CTR1_Local!$AO456="change",CTR1_Local!$E456,"")))</f>
        <v/>
      </c>
      <c r="E425" t="str">
        <f>IF(CTR1_Local!$F456="","",CTR1_Local!$F456)</f>
        <v/>
      </c>
      <c r="F425" s="261" t="str">
        <f>IF(CTR1_Local!$T456="","",IF(CTR1_Local!$T456="Yes","Removed",""))</f>
        <v/>
      </c>
      <c r="G425" t="str">
        <f>IF(CTR1_Local!$N456="","",IF(F425="Removed","",CTR1_Local!$N456))</f>
        <v/>
      </c>
      <c r="H425" t="str">
        <f>IF(CTR1_Local!$P456="","",IF($F425="Removed","",CTR1_Local!$P456))</f>
        <v/>
      </c>
      <c r="I425" t="str">
        <f>IF(CTR1_Local!$R456="","",IF($F425="Removed","",CTR1_Local!$R456))</f>
        <v/>
      </c>
      <c r="J425" s="160" t="str">
        <f>CTR1_Local!$H456</f>
        <v/>
      </c>
      <c r="K425" s="340" t="str">
        <f>CTR1_Local!$J456</f>
        <v/>
      </c>
      <c r="L425" s="350" t="str">
        <f>CTR1_Local!$L456</f>
        <v/>
      </c>
      <c r="M425" s="261" t="str">
        <f>IF(CTR1_Local!$V456="","",IF(CTR1_Local!$V456="Yes","confirm",""))</f>
        <v/>
      </c>
      <c r="N425" t="str">
        <f>IF(CTR1_Local!$W456="","",CTR1_Local!$W456)</f>
        <v/>
      </c>
    </row>
    <row r="426" spans="1:14" x14ac:dyDescent="0.2">
      <c r="A426" s="287" t="str">
        <f>IF(CTR1_Local!$D457="",CTR1_Local!B457,CTR1_Local!$D457)</f>
        <v/>
      </c>
      <c r="B426" s="26" t="str">
        <f>IF(A426="","",IF(RIGHT(A426,3)="NEW","Add new / another parish",CTR1_Local!$AN457))</f>
        <v/>
      </c>
      <c r="C426" s="26" t="str">
        <f t="shared" si="6"/>
        <v/>
      </c>
      <c r="D426" s="177" t="str">
        <f>IF(A426="","",IF(RIGHT(A426,3)="NEW",CTR1_Local!$E457,IF(CTR1_Local!$AO457="change",CTR1_Local!$E457,"")))</f>
        <v/>
      </c>
      <c r="E426" t="str">
        <f>IF(CTR1_Local!$F457="","",CTR1_Local!$F457)</f>
        <v/>
      </c>
      <c r="F426" s="261" t="str">
        <f>IF(CTR1_Local!$T457="","",IF(CTR1_Local!$T457="Yes","Removed",""))</f>
        <v/>
      </c>
      <c r="G426" t="str">
        <f>IF(CTR1_Local!$N457="","",IF(F426="Removed","",CTR1_Local!$N457))</f>
        <v/>
      </c>
      <c r="H426" t="str">
        <f>IF(CTR1_Local!$P457="","",IF($F426="Removed","",CTR1_Local!$P457))</f>
        <v/>
      </c>
      <c r="I426" t="str">
        <f>IF(CTR1_Local!$R457="","",IF($F426="Removed","",CTR1_Local!$R457))</f>
        <v/>
      </c>
      <c r="J426" s="160" t="str">
        <f>CTR1_Local!$H457</f>
        <v/>
      </c>
      <c r="K426" s="340" t="str">
        <f>CTR1_Local!$J457</f>
        <v/>
      </c>
      <c r="L426" s="350" t="str">
        <f>CTR1_Local!$L457</f>
        <v/>
      </c>
      <c r="M426" s="261" t="str">
        <f>IF(CTR1_Local!$V457="","",IF(CTR1_Local!$V457="Yes","confirm",""))</f>
        <v/>
      </c>
      <c r="N426" t="str">
        <f>IF(CTR1_Local!$W457="","",CTR1_Local!$W457)</f>
        <v/>
      </c>
    </row>
    <row r="427" spans="1:14" x14ac:dyDescent="0.2">
      <c r="A427" s="287" t="str">
        <f>IF(CTR1_Local!$D458="",CTR1_Local!B458,CTR1_Local!$D458)</f>
        <v/>
      </c>
      <c r="B427" s="26" t="str">
        <f>IF(A427="","",IF(RIGHT(A427,3)="NEW","Add new / another parish",CTR1_Local!$AN458))</f>
        <v/>
      </c>
      <c r="C427" s="26" t="str">
        <f t="shared" si="6"/>
        <v/>
      </c>
      <c r="D427" s="177" t="str">
        <f>IF(A427="","",IF(RIGHT(A427,3)="NEW",CTR1_Local!$E458,IF(CTR1_Local!$AO458="change",CTR1_Local!$E458,"")))</f>
        <v/>
      </c>
      <c r="E427" t="str">
        <f>IF(CTR1_Local!$F458="","",CTR1_Local!$F458)</f>
        <v/>
      </c>
      <c r="F427" s="261" t="str">
        <f>IF(CTR1_Local!$T458="","",IF(CTR1_Local!$T458="Yes","Removed",""))</f>
        <v/>
      </c>
      <c r="G427" t="str">
        <f>IF(CTR1_Local!$N458="","",IF(F427="Removed","",CTR1_Local!$N458))</f>
        <v/>
      </c>
      <c r="H427" t="str">
        <f>IF(CTR1_Local!$P458="","",IF($F427="Removed","",CTR1_Local!$P458))</f>
        <v/>
      </c>
      <c r="I427" t="str">
        <f>IF(CTR1_Local!$R458="","",IF($F427="Removed","",CTR1_Local!$R458))</f>
        <v/>
      </c>
      <c r="J427" s="160" t="str">
        <f>CTR1_Local!$H458</f>
        <v/>
      </c>
      <c r="K427" s="340" t="str">
        <f>CTR1_Local!$J458</f>
        <v/>
      </c>
      <c r="L427" s="350" t="str">
        <f>CTR1_Local!$L458</f>
        <v/>
      </c>
      <c r="M427" s="261" t="str">
        <f>IF(CTR1_Local!$V458="","",IF(CTR1_Local!$V458="Yes","confirm",""))</f>
        <v/>
      </c>
      <c r="N427" t="str">
        <f>IF(CTR1_Local!$W458="","",CTR1_Local!$W458)</f>
        <v/>
      </c>
    </row>
    <row r="428" spans="1:14" x14ac:dyDescent="0.2">
      <c r="A428" s="287" t="str">
        <f>IF(CTR1_Local!$D459="",CTR1_Local!B459,CTR1_Local!$D459)</f>
        <v/>
      </c>
      <c r="B428" s="26" t="str">
        <f>IF(A428="","",IF(RIGHT(A428,3)="NEW","Add new / another parish",CTR1_Local!$AN459))</f>
        <v/>
      </c>
      <c r="C428" s="26" t="str">
        <f t="shared" si="6"/>
        <v/>
      </c>
      <c r="D428" s="177" t="str">
        <f>IF(A428="","",IF(RIGHT(A428,3)="NEW",CTR1_Local!$E459,IF(CTR1_Local!$AO459="change",CTR1_Local!$E459,"")))</f>
        <v/>
      </c>
      <c r="E428" t="str">
        <f>IF(CTR1_Local!$F459="","",CTR1_Local!$F459)</f>
        <v/>
      </c>
      <c r="F428" s="261" t="str">
        <f>IF(CTR1_Local!$T459="","",IF(CTR1_Local!$T459="Yes","Removed",""))</f>
        <v/>
      </c>
      <c r="G428" t="str">
        <f>IF(CTR1_Local!$N459="","",IF(F428="Removed","",CTR1_Local!$N459))</f>
        <v/>
      </c>
      <c r="H428" t="str">
        <f>IF(CTR1_Local!$P459="","",IF($F428="Removed","",CTR1_Local!$P459))</f>
        <v/>
      </c>
      <c r="I428" t="str">
        <f>IF(CTR1_Local!$R459="","",IF($F428="Removed","",CTR1_Local!$R459))</f>
        <v/>
      </c>
      <c r="J428" s="160" t="str">
        <f>CTR1_Local!$H459</f>
        <v/>
      </c>
      <c r="K428" s="340" t="str">
        <f>CTR1_Local!$J459</f>
        <v/>
      </c>
      <c r="L428" s="350" t="str">
        <f>CTR1_Local!$L459</f>
        <v/>
      </c>
      <c r="M428" s="261" t="str">
        <f>IF(CTR1_Local!$V459="","",IF(CTR1_Local!$V459="Yes","confirm",""))</f>
        <v/>
      </c>
      <c r="N428" t="str">
        <f>IF(CTR1_Local!$W459="","",CTR1_Local!$W459)</f>
        <v/>
      </c>
    </row>
    <row r="429" spans="1:14" x14ac:dyDescent="0.2">
      <c r="A429" s="287" t="str">
        <f>IF(CTR1_Local!$D460="",CTR1_Local!B460,CTR1_Local!$D460)</f>
        <v/>
      </c>
      <c r="B429" s="26" t="str">
        <f>IF(A429="","",IF(RIGHT(A429,3)="NEW","Add new / another parish",CTR1_Local!$AN460))</f>
        <v/>
      </c>
      <c r="C429" s="26" t="str">
        <f t="shared" si="6"/>
        <v/>
      </c>
      <c r="D429" s="177" t="str">
        <f>IF(A429="","",IF(RIGHT(A429,3)="NEW",CTR1_Local!$E460,IF(CTR1_Local!$AO460="change",CTR1_Local!$E460,"")))</f>
        <v/>
      </c>
      <c r="E429" t="str">
        <f>IF(CTR1_Local!$F460="","",CTR1_Local!$F460)</f>
        <v/>
      </c>
      <c r="F429" s="261" t="str">
        <f>IF(CTR1_Local!$T460="","",IF(CTR1_Local!$T460="Yes","Removed",""))</f>
        <v/>
      </c>
      <c r="G429" t="str">
        <f>IF(CTR1_Local!$N460="","",IF(F429="Removed","",CTR1_Local!$N460))</f>
        <v/>
      </c>
      <c r="H429" t="str">
        <f>IF(CTR1_Local!$P460="","",IF($F429="Removed","",CTR1_Local!$P460))</f>
        <v/>
      </c>
      <c r="I429" t="str">
        <f>IF(CTR1_Local!$R460="","",IF($F429="Removed","",CTR1_Local!$R460))</f>
        <v/>
      </c>
      <c r="J429" s="160" t="str">
        <f>CTR1_Local!$H460</f>
        <v/>
      </c>
      <c r="K429" s="340" t="str">
        <f>CTR1_Local!$J460</f>
        <v/>
      </c>
      <c r="L429" s="350" t="str">
        <f>CTR1_Local!$L460</f>
        <v/>
      </c>
      <c r="M429" s="261" t="str">
        <f>IF(CTR1_Local!$V460="","",IF(CTR1_Local!$V460="Yes","confirm",""))</f>
        <v/>
      </c>
      <c r="N429" t="str">
        <f>IF(CTR1_Local!$W460="","",CTR1_Local!$W460)</f>
        <v/>
      </c>
    </row>
    <row r="430" spans="1:14" x14ac:dyDescent="0.2">
      <c r="A430" s="287" t="str">
        <f>IF(CTR1_Local!$D461="",CTR1_Local!B461,CTR1_Local!$D461)</f>
        <v/>
      </c>
      <c r="B430" s="26" t="str">
        <f>IF(A430="","",IF(RIGHT(A430,3)="NEW","Add new / another parish",CTR1_Local!$AN461))</f>
        <v/>
      </c>
      <c r="C430" s="26" t="str">
        <f t="shared" si="6"/>
        <v/>
      </c>
      <c r="D430" s="177" t="str">
        <f>IF(A430="","",IF(RIGHT(A430,3)="NEW",CTR1_Local!$E461,IF(CTR1_Local!$AO461="change",CTR1_Local!$E461,"")))</f>
        <v/>
      </c>
      <c r="E430" t="str">
        <f>IF(CTR1_Local!$F461="","",CTR1_Local!$F461)</f>
        <v/>
      </c>
      <c r="F430" s="261" t="str">
        <f>IF(CTR1_Local!$T461="","",IF(CTR1_Local!$T461="Yes","Removed",""))</f>
        <v/>
      </c>
      <c r="G430" t="str">
        <f>IF(CTR1_Local!$N461="","",IF(F430="Removed","",CTR1_Local!$N461))</f>
        <v/>
      </c>
      <c r="H430" t="str">
        <f>IF(CTR1_Local!$P461="","",IF($F430="Removed","",CTR1_Local!$P461))</f>
        <v/>
      </c>
      <c r="I430" t="str">
        <f>IF(CTR1_Local!$R461="","",IF($F430="Removed","",CTR1_Local!$R461))</f>
        <v/>
      </c>
      <c r="J430" s="160" t="str">
        <f>CTR1_Local!$H461</f>
        <v/>
      </c>
      <c r="K430" s="340" t="str">
        <f>CTR1_Local!$J461</f>
        <v/>
      </c>
      <c r="L430" s="350" t="str">
        <f>CTR1_Local!$L461</f>
        <v/>
      </c>
      <c r="M430" s="261" t="str">
        <f>IF(CTR1_Local!$V461="","",IF(CTR1_Local!$V461="Yes","confirm",""))</f>
        <v/>
      </c>
      <c r="N430" t="str">
        <f>IF(CTR1_Local!$W461="","",CTR1_Local!$W461)</f>
        <v/>
      </c>
    </row>
    <row r="431" spans="1:14" x14ac:dyDescent="0.2">
      <c r="A431" s="287" t="str">
        <f>IF(CTR1_Local!$D462="",CTR1_Local!B462,CTR1_Local!$D462)</f>
        <v/>
      </c>
      <c r="B431" s="26" t="str">
        <f>IF(A431="","",IF(RIGHT(A431,3)="NEW","Add new / another parish",CTR1_Local!$AN462))</f>
        <v/>
      </c>
      <c r="C431" s="26" t="str">
        <f t="shared" si="6"/>
        <v/>
      </c>
      <c r="D431" s="177" t="str">
        <f>IF(A431="","",IF(RIGHT(A431,3)="NEW",CTR1_Local!$E462,IF(CTR1_Local!$AO462="change",CTR1_Local!$E462,"")))</f>
        <v/>
      </c>
      <c r="E431" t="str">
        <f>IF(CTR1_Local!$F462="","",CTR1_Local!$F462)</f>
        <v/>
      </c>
      <c r="F431" s="261" t="str">
        <f>IF(CTR1_Local!$T462="","",IF(CTR1_Local!$T462="Yes","Removed",""))</f>
        <v/>
      </c>
      <c r="G431" t="str">
        <f>IF(CTR1_Local!$N462="","",IF(F431="Removed","",CTR1_Local!$N462))</f>
        <v/>
      </c>
      <c r="H431" t="str">
        <f>IF(CTR1_Local!$P462="","",IF($F431="Removed","",CTR1_Local!$P462))</f>
        <v/>
      </c>
      <c r="I431" t="str">
        <f>IF(CTR1_Local!$R462="","",IF($F431="Removed","",CTR1_Local!$R462))</f>
        <v/>
      </c>
      <c r="J431" s="160" t="str">
        <f>CTR1_Local!$H462</f>
        <v/>
      </c>
      <c r="K431" s="340" t="str">
        <f>CTR1_Local!$J462</f>
        <v/>
      </c>
      <c r="L431" s="350" t="str">
        <f>CTR1_Local!$L462</f>
        <v/>
      </c>
      <c r="M431" s="261" t="str">
        <f>IF(CTR1_Local!$V462="","",IF(CTR1_Local!$V462="Yes","confirm",""))</f>
        <v/>
      </c>
      <c r="N431" t="str">
        <f>IF(CTR1_Local!$W462="","",CTR1_Local!$W462)</f>
        <v/>
      </c>
    </row>
    <row r="432" spans="1:14" x14ac:dyDescent="0.2">
      <c r="A432" s="287" t="str">
        <f>IF(CTR1_Local!$D463="",CTR1_Local!B463,CTR1_Local!$D463)</f>
        <v/>
      </c>
      <c r="B432" s="26" t="str">
        <f>IF(A432="","",IF(RIGHT(A432,3)="NEW","Add new / another parish",CTR1_Local!$AN463))</f>
        <v/>
      </c>
      <c r="C432" s="26" t="str">
        <f t="shared" si="6"/>
        <v/>
      </c>
      <c r="D432" s="177" t="str">
        <f>IF(A432="","",IF(RIGHT(A432,3)="NEW",CTR1_Local!$E463,IF(CTR1_Local!$AO463="change",CTR1_Local!$E463,"")))</f>
        <v/>
      </c>
      <c r="E432" t="str">
        <f>IF(CTR1_Local!$F463="","",CTR1_Local!$F463)</f>
        <v/>
      </c>
      <c r="F432" s="261" t="str">
        <f>IF(CTR1_Local!$T463="","",IF(CTR1_Local!$T463="Yes","Removed",""))</f>
        <v/>
      </c>
      <c r="G432" t="str">
        <f>IF(CTR1_Local!$N463="","",IF(F432="Removed","",CTR1_Local!$N463))</f>
        <v/>
      </c>
      <c r="H432" t="str">
        <f>IF(CTR1_Local!$P463="","",IF($F432="Removed","",CTR1_Local!$P463))</f>
        <v/>
      </c>
      <c r="I432" t="str">
        <f>IF(CTR1_Local!$R463="","",IF($F432="Removed","",CTR1_Local!$R463))</f>
        <v/>
      </c>
      <c r="J432" s="160" t="str">
        <f>CTR1_Local!$H463</f>
        <v/>
      </c>
      <c r="K432" s="340" t="str">
        <f>CTR1_Local!$J463</f>
        <v/>
      </c>
      <c r="L432" s="350" t="str">
        <f>CTR1_Local!$L463</f>
        <v/>
      </c>
      <c r="M432" s="261" t="str">
        <f>IF(CTR1_Local!$V463="","",IF(CTR1_Local!$V463="Yes","confirm",""))</f>
        <v/>
      </c>
      <c r="N432" t="str">
        <f>IF(CTR1_Local!$W463="","",CTR1_Local!$W463)</f>
        <v/>
      </c>
    </row>
    <row r="433" spans="1:14" x14ac:dyDescent="0.2">
      <c r="A433" s="287" t="str">
        <f>IF(CTR1_Local!$D464="",CTR1_Local!B464,CTR1_Local!$D464)</f>
        <v/>
      </c>
      <c r="B433" s="26" t="str">
        <f>IF(A433="","",IF(RIGHT(A433,3)="NEW","Add new / another parish",CTR1_Local!$AN464))</f>
        <v/>
      </c>
      <c r="C433" s="26" t="str">
        <f t="shared" si="6"/>
        <v/>
      </c>
      <c r="D433" s="177" t="str">
        <f>IF(A433="","",IF(RIGHT(A433,3)="NEW",CTR1_Local!$E464,IF(CTR1_Local!$AO464="change",CTR1_Local!$E464,"")))</f>
        <v/>
      </c>
      <c r="E433" t="str">
        <f>IF(CTR1_Local!$F464="","",CTR1_Local!$F464)</f>
        <v/>
      </c>
      <c r="F433" s="261" t="str">
        <f>IF(CTR1_Local!$T464="","",IF(CTR1_Local!$T464="Yes","Removed",""))</f>
        <v/>
      </c>
      <c r="G433" t="str">
        <f>IF(CTR1_Local!$N464="","",IF(F433="Removed","",CTR1_Local!$N464))</f>
        <v/>
      </c>
      <c r="H433" t="str">
        <f>IF(CTR1_Local!$P464="","",IF($F433="Removed","",CTR1_Local!$P464))</f>
        <v/>
      </c>
      <c r="I433" t="str">
        <f>IF(CTR1_Local!$R464="","",IF($F433="Removed","",CTR1_Local!$R464))</f>
        <v/>
      </c>
      <c r="J433" s="160" t="str">
        <f>CTR1_Local!$H464</f>
        <v/>
      </c>
      <c r="K433" s="340" t="str">
        <f>CTR1_Local!$J464</f>
        <v/>
      </c>
      <c r="L433" s="350" t="str">
        <f>CTR1_Local!$L464</f>
        <v/>
      </c>
      <c r="M433" s="261" t="str">
        <f>IF(CTR1_Local!$V464="","",IF(CTR1_Local!$V464="Yes","confirm",""))</f>
        <v/>
      </c>
      <c r="N433" t="str">
        <f>IF(CTR1_Local!$W464="","",CTR1_Local!$W464)</f>
        <v/>
      </c>
    </row>
    <row r="434" spans="1:14" x14ac:dyDescent="0.2">
      <c r="A434" s="287" t="str">
        <f>IF(CTR1_Local!$D465="",CTR1_Local!B465,CTR1_Local!$D465)</f>
        <v/>
      </c>
      <c r="B434" s="26" t="str">
        <f>IF(A434="","",IF(RIGHT(A434,3)="NEW","Add new / another parish",CTR1_Local!$AN465))</f>
        <v/>
      </c>
      <c r="C434" s="26" t="str">
        <f t="shared" si="6"/>
        <v/>
      </c>
      <c r="D434" s="177" t="str">
        <f>IF(A434="","",IF(RIGHT(A434,3)="NEW",CTR1_Local!$E465,IF(CTR1_Local!$AO465="change",CTR1_Local!$E465,"")))</f>
        <v/>
      </c>
      <c r="E434" t="str">
        <f>IF(CTR1_Local!$F465="","",CTR1_Local!$F465)</f>
        <v/>
      </c>
      <c r="F434" s="261" t="str">
        <f>IF(CTR1_Local!$T465="","",IF(CTR1_Local!$T465="Yes","Removed",""))</f>
        <v/>
      </c>
      <c r="G434" t="str">
        <f>IF(CTR1_Local!$N465="","",IF(F434="Removed","",CTR1_Local!$N465))</f>
        <v/>
      </c>
      <c r="H434" t="str">
        <f>IF(CTR1_Local!$P465="","",IF($F434="Removed","",CTR1_Local!$P465))</f>
        <v/>
      </c>
      <c r="I434" t="str">
        <f>IF(CTR1_Local!$R465="","",IF($F434="Removed","",CTR1_Local!$R465))</f>
        <v/>
      </c>
      <c r="J434" s="160" t="str">
        <f>CTR1_Local!$H465</f>
        <v/>
      </c>
      <c r="K434" s="340" t="str">
        <f>CTR1_Local!$J465</f>
        <v/>
      </c>
      <c r="L434" s="350" t="str">
        <f>CTR1_Local!$L465</f>
        <v/>
      </c>
      <c r="M434" s="261" t="str">
        <f>IF(CTR1_Local!$V465="","",IF(CTR1_Local!$V465="Yes","confirm",""))</f>
        <v/>
      </c>
      <c r="N434" t="str">
        <f>IF(CTR1_Local!$W465="","",CTR1_Local!$W465)</f>
        <v/>
      </c>
    </row>
    <row r="435" spans="1:14" x14ac:dyDescent="0.2">
      <c r="A435" s="287" t="str">
        <f>IF(CTR1_Local!$D466="",CTR1_Local!B466,CTR1_Local!$D466)</f>
        <v/>
      </c>
      <c r="B435" s="26" t="str">
        <f>IF(A435="","",IF(RIGHT(A435,3)="NEW","Add new / another parish",CTR1_Local!$AN466))</f>
        <v/>
      </c>
      <c r="C435" s="26" t="str">
        <f t="shared" si="6"/>
        <v/>
      </c>
      <c r="D435" s="177" t="str">
        <f>IF(A435="","",IF(RIGHT(A435,3)="NEW",CTR1_Local!$E466,IF(CTR1_Local!$AO466="change",CTR1_Local!$E466,"")))</f>
        <v/>
      </c>
      <c r="E435" t="str">
        <f>IF(CTR1_Local!$F466="","",CTR1_Local!$F466)</f>
        <v/>
      </c>
      <c r="F435" s="261" t="str">
        <f>IF(CTR1_Local!$T466="","",IF(CTR1_Local!$T466="Yes","Removed",""))</f>
        <v/>
      </c>
      <c r="G435" t="str">
        <f>IF(CTR1_Local!$N466="","",IF(F435="Removed","",CTR1_Local!$N466))</f>
        <v/>
      </c>
      <c r="H435" t="str">
        <f>IF(CTR1_Local!$P466="","",IF($F435="Removed","",CTR1_Local!$P466))</f>
        <v/>
      </c>
      <c r="I435" t="str">
        <f>IF(CTR1_Local!$R466="","",IF($F435="Removed","",CTR1_Local!$R466))</f>
        <v/>
      </c>
      <c r="J435" s="160" t="str">
        <f>CTR1_Local!$H466</f>
        <v/>
      </c>
      <c r="K435" s="340" t="str">
        <f>CTR1_Local!$J466</f>
        <v/>
      </c>
      <c r="L435" s="350" t="str">
        <f>CTR1_Local!$L466</f>
        <v/>
      </c>
      <c r="M435" s="261" t="str">
        <f>IF(CTR1_Local!$V466="","",IF(CTR1_Local!$V466="Yes","confirm",""))</f>
        <v/>
      </c>
      <c r="N435" t="str">
        <f>IF(CTR1_Local!$W466="","",CTR1_Local!$W466)</f>
        <v/>
      </c>
    </row>
    <row r="436" spans="1:14" x14ac:dyDescent="0.2">
      <c r="A436" s="287" t="str">
        <f>IF(CTR1_Local!$D467="",CTR1_Local!B467,CTR1_Local!$D467)</f>
        <v/>
      </c>
      <c r="B436" s="26" t="str">
        <f>IF(A436="","",IF(RIGHT(A436,3)="NEW","Add new / another parish",CTR1_Local!$AN467))</f>
        <v/>
      </c>
      <c r="C436" s="26" t="str">
        <f t="shared" si="6"/>
        <v/>
      </c>
      <c r="D436" s="177" t="str">
        <f>IF(A436="","",IF(RIGHT(A436,3)="NEW",CTR1_Local!$E467,IF(CTR1_Local!$AO467="change",CTR1_Local!$E467,"")))</f>
        <v/>
      </c>
      <c r="E436" t="str">
        <f>IF(CTR1_Local!$F467="","",CTR1_Local!$F467)</f>
        <v/>
      </c>
      <c r="F436" s="261" t="str">
        <f>IF(CTR1_Local!$T467="","",IF(CTR1_Local!$T467="Yes","Removed",""))</f>
        <v/>
      </c>
      <c r="G436" t="str">
        <f>IF(CTR1_Local!$N467="","",IF(F436="Removed","",CTR1_Local!$N467))</f>
        <v/>
      </c>
      <c r="H436" t="str">
        <f>IF(CTR1_Local!$P467="","",IF($F436="Removed","",CTR1_Local!$P467))</f>
        <v/>
      </c>
      <c r="I436" t="str">
        <f>IF(CTR1_Local!$R467="","",IF($F436="Removed","",CTR1_Local!$R467))</f>
        <v/>
      </c>
      <c r="J436" s="160" t="str">
        <f>CTR1_Local!$H467</f>
        <v/>
      </c>
      <c r="K436" s="340" t="str">
        <f>CTR1_Local!$J467</f>
        <v/>
      </c>
      <c r="L436" s="350" t="str">
        <f>CTR1_Local!$L467</f>
        <v/>
      </c>
      <c r="M436" s="261" t="str">
        <f>IF(CTR1_Local!$V467="","",IF(CTR1_Local!$V467="Yes","confirm",""))</f>
        <v/>
      </c>
      <c r="N436" t="str">
        <f>IF(CTR1_Local!$W467="","",CTR1_Local!$W467)</f>
        <v/>
      </c>
    </row>
    <row r="437" spans="1:14" x14ac:dyDescent="0.2">
      <c r="A437" s="287" t="str">
        <f>IF(CTR1_Local!$D468="",CTR1_Local!B468,CTR1_Local!$D468)</f>
        <v/>
      </c>
      <c r="B437" s="26" t="str">
        <f>IF(A437="","",IF(RIGHT(A437,3)="NEW","Add new / another parish",CTR1_Local!$AN468))</f>
        <v/>
      </c>
      <c r="C437" s="26" t="str">
        <f t="shared" si="6"/>
        <v/>
      </c>
      <c r="D437" s="177" t="str">
        <f>IF(A437="","",IF(RIGHT(A437,3)="NEW",CTR1_Local!$E468,IF(CTR1_Local!$AO468="change",CTR1_Local!$E468,"")))</f>
        <v/>
      </c>
      <c r="E437" t="str">
        <f>IF(CTR1_Local!$F468="","",CTR1_Local!$F468)</f>
        <v/>
      </c>
      <c r="F437" s="261" t="str">
        <f>IF(CTR1_Local!$T468="","",IF(CTR1_Local!$T468="Yes","Removed",""))</f>
        <v/>
      </c>
      <c r="G437" t="str">
        <f>IF(CTR1_Local!$N468="","",IF(F437="Removed","",CTR1_Local!$N468))</f>
        <v/>
      </c>
      <c r="H437" t="str">
        <f>IF(CTR1_Local!$P468="","",IF($F437="Removed","",CTR1_Local!$P468))</f>
        <v/>
      </c>
      <c r="I437" t="str">
        <f>IF(CTR1_Local!$R468="","",IF($F437="Removed","",CTR1_Local!$R468))</f>
        <v/>
      </c>
      <c r="J437" s="160" t="str">
        <f>CTR1_Local!$H468</f>
        <v/>
      </c>
      <c r="K437" s="340" t="str">
        <f>CTR1_Local!$J468</f>
        <v/>
      </c>
      <c r="L437" s="350" t="str">
        <f>CTR1_Local!$L468</f>
        <v/>
      </c>
      <c r="M437" s="261" t="str">
        <f>IF(CTR1_Local!$V468="","",IF(CTR1_Local!$V468="Yes","confirm",""))</f>
        <v/>
      </c>
      <c r="N437" t="str">
        <f>IF(CTR1_Local!$W468="","",CTR1_Local!$W468)</f>
        <v/>
      </c>
    </row>
    <row r="438" spans="1:14" x14ac:dyDescent="0.2">
      <c r="A438" s="287" t="str">
        <f>IF(CTR1_Local!$D469="",CTR1_Local!B469,CTR1_Local!$D469)</f>
        <v/>
      </c>
      <c r="B438" s="26" t="str">
        <f>IF(A438="","",IF(RIGHT(A438,3)="NEW","Add new / another parish",CTR1_Local!$AN469))</f>
        <v/>
      </c>
      <c r="C438" s="26" t="str">
        <f t="shared" si="6"/>
        <v/>
      </c>
      <c r="D438" s="177" t="str">
        <f>IF(A438="","",IF(RIGHT(A438,3)="NEW",CTR1_Local!$E469,IF(CTR1_Local!$AO469="change",CTR1_Local!$E469,"")))</f>
        <v/>
      </c>
      <c r="E438" t="str">
        <f>IF(CTR1_Local!$F469="","",CTR1_Local!$F469)</f>
        <v/>
      </c>
      <c r="F438" s="261" t="str">
        <f>IF(CTR1_Local!$T469="","",IF(CTR1_Local!$T469="Yes","Removed",""))</f>
        <v/>
      </c>
      <c r="G438" t="str">
        <f>IF(CTR1_Local!$N469="","",IF(F438="Removed","",CTR1_Local!$N469))</f>
        <v/>
      </c>
      <c r="H438" t="str">
        <f>IF(CTR1_Local!$P469="","",IF($F438="Removed","",CTR1_Local!$P469))</f>
        <v/>
      </c>
      <c r="I438" t="str">
        <f>IF(CTR1_Local!$R469="","",IF($F438="Removed","",CTR1_Local!$R469))</f>
        <v/>
      </c>
      <c r="J438" s="160" t="str">
        <f>CTR1_Local!$H469</f>
        <v/>
      </c>
      <c r="K438" s="340" t="str">
        <f>CTR1_Local!$J469</f>
        <v/>
      </c>
      <c r="L438" s="350" t="str">
        <f>CTR1_Local!$L469</f>
        <v/>
      </c>
      <c r="M438" s="261" t="str">
        <f>IF(CTR1_Local!$V469="","",IF(CTR1_Local!$V469="Yes","confirm",""))</f>
        <v/>
      </c>
      <c r="N438" t="str">
        <f>IF(CTR1_Local!$W469="","",CTR1_Local!$W469)</f>
        <v/>
      </c>
    </row>
    <row r="439" spans="1:14" x14ac:dyDescent="0.2">
      <c r="A439" s="287" t="str">
        <f>IF(CTR1_Local!$D470="",CTR1_Local!B470,CTR1_Local!$D470)</f>
        <v/>
      </c>
      <c r="B439" s="26" t="str">
        <f>IF(A439="","",IF(RIGHT(A439,3)="NEW","Add new / another parish",CTR1_Local!$AN470))</f>
        <v/>
      </c>
      <c r="C439" s="26" t="str">
        <f t="shared" si="6"/>
        <v/>
      </c>
      <c r="D439" s="177" t="str">
        <f>IF(A439="","",IF(RIGHT(A439,3)="NEW",CTR1_Local!$E470,IF(CTR1_Local!$AO470="change",CTR1_Local!$E470,"")))</f>
        <v/>
      </c>
      <c r="E439" t="str">
        <f>IF(CTR1_Local!$F470="","",CTR1_Local!$F470)</f>
        <v/>
      </c>
      <c r="F439" s="261" t="str">
        <f>IF(CTR1_Local!$T470="","",IF(CTR1_Local!$T470="Yes","Removed",""))</f>
        <v/>
      </c>
      <c r="G439" t="str">
        <f>IF(CTR1_Local!$N470="","",IF(F439="Removed","",CTR1_Local!$N470))</f>
        <v/>
      </c>
      <c r="H439" t="str">
        <f>IF(CTR1_Local!$P470="","",IF($F439="Removed","",CTR1_Local!$P470))</f>
        <v/>
      </c>
      <c r="I439" t="str">
        <f>IF(CTR1_Local!$R470="","",IF($F439="Removed","",CTR1_Local!$R470))</f>
        <v/>
      </c>
      <c r="J439" s="160" t="str">
        <f>CTR1_Local!$H470</f>
        <v/>
      </c>
      <c r="K439" s="340" t="str">
        <f>CTR1_Local!$J470</f>
        <v/>
      </c>
      <c r="L439" s="350" t="str">
        <f>CTR1_Local!$L470</f>
        <v/>
      </c>
      <c r="M439" s="261" t="str">
        <f>IF(CTR1_Local!$V470="","",IF(CTR1_Local!$V470="Yes","confirm",""))</f>
        <v/>
      </c>
      <c r="N439" t="str">
        <f>IF(CTR1_Local!$W470="","",CTR1_Local!$W470)</f>
        <v/>
      </c>
    </row>
    <row r="440" spans="1:14" x14ac:dyDescent="0.2">
      <c r="A440" s="287" t="str">
        <f>IF(CTR1_Local!$D471="",CTR1_Local!B471,CTR1_Local!$D471)</f>
        <v/>
      </c>
      <c r="B440" s="26" t="str">
        <f>IF(A440="","",IF(RIGHT(A440,3)="NEW","Add new / another parish",CTR1_Local!$AN471))</f>
        <v/>
      </c>
      <c r="C440" s="26" t="str">
        <f t="shared" si="6"/>
        <v/>
      </c>
      <c r="D440" s="177" t="str">
        <f>IF(A440="","",IF(RIGHT(A440,3)="NEW",CTR1_Local!$E471,IF(CTR1_Local!$AO471="change",CTR1_Local!$E471,"")))</f>
        <v/>
      </c>
      <c r="E440" t="str">
        <f>IF(CTR1_Local!$F471="","",CTR1_Local!$F471)</f>
        <v/>
      </c>
      <c r="F440" s="261" t="str">
        <f>IF(CTR1_Local!$T471="","",IF(CTR1_Local!$T471="Yes","Removed",""))</f>
        <v/>
      </c>
      <c r="G440" t="str">
        <f>IF(CTR1_Local!$N471="","",IF(F440="Removed","",CTR1_Local!$N471))</f>
        <v/>
      </c>
      <c r="H440" t="str">
        <f>IF(CTR1_Local!$P471="","",IF($F440="Removed","",CTR1_Local!$P471))</f>
        <v/>
      </c>
      <c r="I440" t="str">
        <f>IF(CTR1_Local!$R471="","",IF($F440="Removed","",CTR1_Local!$R471))</f>
        <v/>
      </c>
      <c r="J440" s="160" t="str">
        <f>CTR1_Local!$H471</f>
        <v/>
      </c>
      <c r="K440" s="340" t="str">
        <f>CTR1_Local!$J471</f>
        <v/>
      </c>
      <c r="L440" s="350" t="str">
        <f>CTR1_Local!$L471</f>
        <v/>
      </c>
      <c r="M440" s="261" t="str">
        <f>IF(CTR1_Local!$V471="","",IF(CTR1_Local!$V471="Yes","confirm",""))</f>
        <v/>
      </c>
      <c r="N440" t="str">
        <f>IF(CTR1_Local!$W471="","",CTR1_Local!$W471)</f>
        <v/>
      </c>
    </row>
    <row r="441" spans="1:14" x14ac:dyDescent="0.2">
      <c r="A441" s="287" t="str">
        <f>IF(CTR1_Local!$D472="",CTR1_Local!B472,CTR1_Local!$D472)</f>
        <v/>
      </c>
      <c r="B441" s="26" t="str">
        <f>IF(A441="","",IF(RIGHT(A441,3)="NEW","Add new / another parish",CTR1_Local!$AN472))</f>
        <v/>
      </c>
      <c r="C441" s="26" t="str">
        <f t="shared" si="6"/>
        <v/>
      </c>
      <c r="D441" s="177" t="str">
        <f>IF(A441="","",IF(RIGHT(A441,3)="NEW",CTR1_Local!$E472,IF(CTR1_Local!$AO472="change",CTR1_Local!$E472,"")))</f>
        <v/>
      </c>
      <c r="E441" t="str">
        <f>IF(CTR1_Local!$F472="","",CTR1_Local!$F472)</f>
        <v/>
      </c>
      <c r="F441" s="261" t="str">
        <f>IF(CTR1_Local!$T472="","",IF(CTR1_Local!$T472="Yes","Removed",""))</f>
        <v/>
      </c>
      <c r="G441" t="str">
        <f>IF(CTR1_Local!$N472="","",IF(F441="Removed","",CTR1_Local!$N472))</f>
        <v/>
      </c>
      <c r="H441" t="str">
        <f>IF(CTR1_Local!$P472="","",IF($F441="Removed","",CTR1_Local!$P472))</f>
        <v/>
      </c>
      <c r="I441" t="str">
        <f>IF(CTR1_Local!$R472="","",IF($F441="Removed","",CTR1_Local!$R472))</f>
        <v/>
      </c>
      <c r="J441" s="160" t="str">
        <f>CTR1_Local!$H472</f>
        <v/>
      </c>
      <c r="K441" s="340" t="str">
        <f>CTR1_Local!$J472</f>
        <v/>
      </c>
      <c r="L441" s="350" t="str">
        <f>CTR1_Local!$L472</f>
        <v/>
      </c>
      <c r="M441" s="261" t="str">
        <f>IF(CTR1_Local!$V472="","",IF(CTR1_Local!$V472="Yes","confirm",""))</f>
        <v/>
      </c>
      <c r="N441" t="str">
        <f>IF(CTR1_Local!$W472="","",CTR1_Local!$W472)</f>
        <v/>
      </c>
    </row>
    <row r="442" spans="1:14" x14ac:dyDescent="0.2">
      <c r="A442" s="287" t="str">
        <f>IF(CTR1_Local!$D473="",CTR1_Local!B473,CTR1_Local!$D473)</f>
        <v/>
      </c>
      <c r="B442" s="26" t="str">
        <f>IF(A442="","",IF(RIGHT(A442,3)="NEW","Add new / another parish",CTR1_Local!$AN473))</f>
        <v/>
      </c>
      <c r="C442" s="26" t="str">
        <f t="shared" si="6"/>
        <v/>
      </c>
      <c r="D442" s="177" t="str">
        <f>IF(A442="","",IF(RIGHT(A442,3)="NEW",CTR1_Local!$E473,IF(CTR1_Local!$AO473="change",CTR1_Local!$E473,"")))</f>
        <v/>
      </c>
      <c r="E442" t="str">
        <f>IF(CTR1_Local!$F473="","",CTR1_Local!$F473)</f>
        <v/>
      </c>
      <c r="F442" s="261" t="str">
        <f>IF(CTR1_Local!$T473="","",IF(CTR1_Local!$T473="Yes","Removed",""))</f>
        <v/>
      </c>
      <c r="G442" t="str">
        <f>IF(CTR1_Local!$N473="","",IF(F442="Removed","",CTR1_Local!$N473))</f>
        <v/>
      </c>
      <c r="H442" t="str">
        <f>IF(CTR1_Local!$P473="","",IF($F442="Removed","",CTR1_Local!$P473))</f>
        <v/>
      </c>
      <c r="I442" t="str">
        <f>IF(CTR1_Local!$R473="","",IF($F442="Removed","",CTR1_Local!$R473))</f>
        <v/>
      </c>
      <c r="J442" s="160" t="str">
        <f>CTR1_Local!$H473</f>
        <v/>
      </c>
      <c r="K442" s="340" t="str">
        <f>CTR1_Local!$J473</f>
        <v/>
      </c>
      <c r="L442" s="350" t="str">
        <f>CTR1_Local!$L473</f>
        <v/>
      </c>
      <c r="M442" s="261" t="str">
        <f>IF(CTR1_Local!$V473="","",IF(CTR1_Local!$V473="Yes","confirm",""))</f>
        <v/>
      </c>
      <c r="N442" t="str">
        <f>IF(CTR1_Local!$W473="","",CTR1_Local!$W473)</f>
        <v/>
      </c>
    </row>
    <row r="443" spans="1:14" x14ac:dyDescent="0.2">
      <c r="A443" s="287" t="str">
        <f>IF(CTR1_Local!$D474="",CTR1_Local!B474,CTR1_Local!$D474)</f>
        <v/>
      </c>
      <c r="B443" s="26" t="str">
        <f>IF(A443="","",IF(RIGHT(A443,3)="NEW","Add new / another parish",CTR1_Local!$AN474))</f>
        <v/>
      </c>
      <c r="C443" s="26" t="str">
        <f t="shared" si="6"/>
        <v/>
      </c>
      <c r="D443" s="177" t="str">
        <f>IF(A443="","",IF(RIGHT(A443,3)="NEW",CTR1_Local!$E474,IF(CTR1_Local!$AO474="change",CTR1_Local!$E474,"")))</f>
        <v/>
      </c>
      <c r="E443" t="str">
        <f>IF(CTR1_Local!$F474="","",CTR1_Local!$F474)</f>
        <v/>
      </c>
      <c r="F443" s="261" t="str">
        <f>IF(CTR1_Local!$T474="","",IF(CTR1_Local!$T474="Yes","Removed",""))</f>
        <v/>
      </c>
      <c r="G443" t="str">
        <f>IF(CTR1_Local!$N474="","",IF(F443="Removed","",CTR1_Local!$N474))</f>
        <v/>
      </c>
      <c r="H443" t="str">
        <f>IF(CTR1_Local!$P474="","",IF($F443="Removed","",CTR1_Local!$P474))</f>
        <v/>
      </c>
      <c r="I443" t="str">
        <f>IF(CTR1_Local!$R474="","",IF($F443="Removed","",CTR1_Local!$R474))</f>
        <v/>
      </c>
      <c r="J443" s="160" t="str">
        <f>CTR1_Local!$H474</f>
        <v/>
      </c>
      <c r="K443" s="340" t="str">
        <f>CTR1_Local!$J474</f>
        <v/>
      </c>
      <c r="L443" s="350" t="str">
        <f>CTR1_Local!$L474</f>
        <v/>
      </c>
      <c r="M443" s="261" t="str">
        <f>IF(CTR1_Local!$V474="","",IF(CTR1_Local!$V474="Yes","confirm",""))</f>
        <v/>
      </c>
      <c r="N443" t="str">
        <f>IF(CTR1_Local!$W474="","",CTR1_Local!$W474)</f>
        <v/>
      </c>
    </row>
    <row r="444" spans="1:14" x14ac:dyDescent="0.2">
      <c r="A444" s="287" t="str">
        <f>IF(CTR1_Local!$D475="",CTR1_Local!B475,CTR1_Local!$D475)</f>
        <v/>
      </c>
      <c r="B444" s="26" t="str">
        <f>IF(A444="","",IF(RIGHT(A444,3)="NEW","Add new / another parish",CTR1_Local!$AN475))</f>
        <v/>
      </c>
      <c r="C444" s="26" t="str">
        <f t="shared" si="6"/>
        <v/>
      </c>
      <c r="D444" s="177" t="str">
        <f>IF(A444="","",IF(RIGHT(A444,3)="NEW",CTR1_Local!$E475,IF(CTR1_Local!$AO475="change",CTR1_Local!$E475,"")))</f>
        <v/>
      </c>
      <c r="E444" t="str">
        <f>IF(CTR1_Local!$F475="","",CTR1_Local!$F475)</f>
        <v/>
      </c>
      <c r="F444" s="261" t="str">
        <f>IF(CTR1_Local!$T475="","",IF(CTR1_Local!$T475="Yes","Removed",""))</f>
        <v/>
      </c>
      <c r="G444" t="str">
        <f>IF(CTR1_Local!$N475="","",IF(F444="Removed","",CTR1_Local!$N475))</f>
        <v/>
      </c>
      <c r="H444" t="str">
        <f>IF(CTR1_Local!$P475="","",IF($F444="Removed","",CTR1_Local!$P475))</f>
        <v/>
      </c>
      <c r="I444" t="str">
        <f>IF(CTR1_Local!$R475="","",IF($F444="Removed","",CTR1_Local!$R475))</f>
        <v/>
      </c>
      <c r="J444" s="160" t="str">
        <f>CTR1_Local!$H475</f>
        <v/>
      </c>
      <c r="K444" s="340" t="str">
        <f>CTR1_Local!$J475</f>
        <v/>
      </c>
      <c r="L444" s="350" t="str">
        <f>CTR1_Local!$L475</f>
        <v/>
      </c>
      <c r="M444" s="261" t="str">
        <f>IF(CTR1_Local!$V475="","",IF(CTR1_Local!$V475="Yes","confirm",""))</f>
        <v/>
      </c>
      <c r="N444" t="str">
        <f>IF(CTR1_Local!$W475="","",CTR1_Local!$W475)</f>
        <v/>
      </c>
    </row>
    <row r="445" spans="1:14" x14ac:dyDescent="0.2">
      <c r="A445" s="287" t="str">
        <f>IF(CTR1_Local!$D476="",CTR1_Local!B476,CTR1_Local!$D476)</f>
        <v/>
      </c>
      <c r="B445" s="26" t="str">
        <f>IF(A445="","",IF(RIGHT(A445,3)="NEW","Add new / another parish",CTR1_Local!$AN476))</f>
        <v/>
      </c>
      <c r="C445" s="26" t="str">
        <f t="shared" si="6"/>
        <v/>
      </c>
      <c r="D445" s="177" t="str">
        <f>IF(A445="","",IF(RIGHT(A445,3)="NEW",CTR1_Local!$E476,IF(CTR1_Local!$AO476="change",CTR1_Local!$E476,"")))</f>
        <v/>
      </c>
      <c r="E445" t="str">
        <f>IF(CTR1_Local!$F476="","",CTR1_Local!$F476)</f>
        <v/>
      </c>
      <c r="F445" s="261" t="str">
        <f>IF(CTR1_Local!$T476="","",IF(CTR1_Local!$T476="Yes","Removed",""))</f>
        <v/>
      </c>
      <c r="G445" t="str">
        <f>IF(CTR1_Local!$N476="","",IF(F445="Removed","",CTR1_Local!$N476))</f>
        <v/>
      </c>
      <c r="H445" t="str">
        <f>IF(CTR1_Local!$P476="","",IF($F445="Removed","",CTR1_Local!$P476))</f>
        <v/>
      </c>
      <c r="I445" t="str">
        <f>IF(CTR1_Local!$R476="","",IF($F445="Removed","",CTR1_Local!$R476))</f>
        <v/>
      </c>
      <c r="J445" s="160" t="str">
        <f>CTR1_Local!$H476</f>
        <v/>
      </c>
      <c r="K445" s="340" t="str">
        <f>CTR1_Local!$J476</f>
        <v/>
      </c>
      <c r="L445" s="350" t="str">
        <f>CTR1_Local!$L476</f>
        <v/>
      </c>
      <c r="M445" s="261" t="str">
        <f>IF(CTR1_Local!$V476="","",IF(CTR1_Local!$V476="Yes","confirm",""))</f>
        <v/>
      </c>
      <c r="N445" t="str">
        <f>IF(CTR1_Local!$W476="","",CTR1_Local!$W476)</f>
        <v/>
      </c>
    </row>
    <row r="446" spans="1:14" x14ac:dyDescent="0.2">
      <c r="A446" s="287" t="str">
        <f>IF(CTR1_Local!$D477="",CTR1_Local!B477,CTR1_Local!$D477)</f>
        <v/>
      </c>
      <c r="B446" s="26" t="str">
        <f>IF(A446="","",IF(RIGHT(A446,3)="NEW","Add new / another parish",CTR1_Local!$AN477))</f>
        <v/>
      </c>
      <c r="C446" s="26" t="str">
        <f t="shared" si="6"/>
        <v/>
      </c>
      <c r="D446" s="177" t="str">
        <f>IF(A446="","",IF(RIGHT(A446,3)="NEW",CTR1_Local!$E477,IF(CTR1_Local!$AO477="change",CTR1_Local!$E477,"")))</f>
        <v/>
      </c>
      <c r="E446" t="str">
        <f>IF(CTR1_Local!$F477="","",CTR1_Local!$F477)</f>
        <v/>
      </c>
      <c r="F446" s="261" t="str">
        <f>IF(CTR1_Local!$T477="","",IF(CTR1_Local!$T477="Yes","Removed",""))</f>
        <v/>
      </c>
      <c r="G446" t="str">
        <f>IF(CTR1_Local!$N477="","",IF(F446="Removed","",CTR1_Local!$N477))</f>
        <v/>
      </c>
      <c r="H446" t="str">
        <f>IF(CTR1_Local!$P477="","",IF($F446="Removed","",CTR1_Local!$P477))</f>
        <v/>
      </c>
      <c r="I446" t="str">
        <f>IF(CTR1_Local!$R477="","",IF($F446="Removed","",CTR1_Local!$R477))</f>
        <v/>
      </c>
      <c r="J446" s="160" t="str">
        <f>CTR1_Local!$H477</f>
        <v/>
      </c>
      <c r="K446" s="340" t="str">
        <f>CTR1_Local!$J477</f>
        <v/>
      </c>
      <c r="L446" s="350" t="str">
        <f>CTR1_Local!$L477</f>
        <v/>
      </c>
      <c r="M446" s="261" t="str">
        <f>IF(CTR1_Local!$V477="","",IF(CTR1_Local!$V477="Yes","confirm",""))</f>
        <v/>
      </c>
      <c r="N446" t="str">
        <f>IF(CTR1_Local!$W477="","",CTR1_Local!$W477)</f>
        <v/>
      </c>
    </row>
    <row r="447" spans="1:14" x14ac:dyDescent="0.2">
      <c r="A447" s="287" t="str">
        <f>IF(CTR1_Local!$D478="",CTR1_Local!B478,CTR1_Local!$D478)</f>
        <v/>
      </c>
      <c r="B447" s="26" t="str">
        <f>IF(A447="","",IF(RIGHT(A447,3)="NEW","Add new / another parish",CTR1_Local!$AN478))</f>
        <v/>
      </c>
      <c r="C447" s="26" t="str">
        <f t="shared" si="6"/>
        <v/>
      </c>
      <c r="D447" s="177" t="str">
        <f>IF(A447="","",IF(RIGHT(A447,3)="NEW",CTR1_Local!$E478,IF(CTR1_Local!$AO478="change",CTR1_Local!$E478,"")))</f>
        <v/>
      </c>
      <c r="E447" t="str">
        <f>IF(CTR1_Local!$F478="","",CTR1_Local!$F478)</f>
        <v/>
      </c>
      <c r="F447" s="261" t="str">
        <f>IF(CTR1_Local!$T478="","",IF(CTR1_Local!$T478="Yes","Removed",""))</f>
        <v/>
      </c>
      <c r="G447" t="str">
        <f>IF(CTR1_Local!$N478="","",IF(F447="Removed","",CTR1_Local!$N478))</f>
        <v/>
      </c>
      <c r="H447" t="str">
        <f>IF(CTR1_Local!$P478="","",IF($F447="Removed","",CTR1_Local!$P478))</f>
        <v/>
      </c>
      <c r="I447" t="str">
        <f>IF(CTR1_Local!$R478="","",IF($F447="Removed","",CTR1_Local!$R478))</f>
        <v/>
      </c>
      <c r="J447" s="160" t="str">
        <f>CTR1_Local!$H478</f>
        <v/>
      </c>
      <c r="K447" s="340" t="str">
        <f>CTR1_Local!$J478</f>
        <v/>
      </c>
      <c r="L447" s="350" t="str">
        <f>CTR1_Local!$L478</f>
        <v/>
      </c>
      <c r="M447" s="261" t="str">
        <f>IF(CTR1_Local!$V478="","",IF(CTR1_Local!$V478="Yes","confirm",""))</f>
        <v/>
      </c>
      <c r="N447" t="str">
        <f>IF(CTR1_Local!$W478="","",CTR1_Local!$W478)</f>
        <v/>
      </c>
    </row>
    <row r="448" spans="1:14" x14ac:dyDescent="0.2">
      <c r="A448" s="287" t="str">
        <f>IF(CTR1_Local!$D479="",CTR1_Local!B479,CTR1_Local!$D479)</f>
        <v/>
      </c>
      <c r="B448" s="26" t="str">
        <f>IF(A448="","",IF(RIGHT(A448,3)="NEW","Add new / another parish",CTR1_Local!$AN479))</f>
        <v/>
      </c>
      <c r="C448" s="26" t="str">
        <f t="shared" si="6"/>
        <v/>
      </c>
      <c r="D448" s="177" t="str">
        <f>IF(A448="","",IF(RIGHT(A448,3)="NEW",CTR1_Local!$E479,IF(CTR1_Local!$AO479="change",CTR1_Local!$E479,"")))</f>
        <v/>
      </c>
      <c r="E448" t="str">
        <f>IF(CTR1_Local!$F479="","",CTR1_Local!$F479)</f>
        <v/>
      </c>
      <c r="F448" s="261" t="str">
        <f>IF(CTR1_Local!$T479="","",IF(CTR1_Local!$T479="Yes","Removed",""))</f>
        <v/>
      </c>
      <c r="G448" t="str">
        <f>IF(CTR1_Local!$N479="","",IF(F448="Removed","",CTR1_Local!$N479))</f>
        <v/>
      </c>
      <c r="H448" t="str">
        <f>IF(CTR1_Local!$P479="","",IF($F448="Removed","",CTR1_Local!$P479))</f>
        <v/>
      </c>
      <c r="I448" t="str">
        <f>IF(CTR1_Local!$R479="","",IF($F448="Removed","",CTR1_Local!$R479))</f>
        <v/>
      </c>
      <c r="J448" s="160" t="str">
        <f>CTR1_Local!$H479</f>
        <v/>
      </c>
      <c r="K448" s="340" t="str">
        <f>CTR1_Local!$J479</f>
        <v/>
      </c>
      <c r="L448" s="350" t="str">
        <f>CTR1_Local!$L479</f>
        <v/>
      </c>
      <c r="M448" s="261" t="str">
        <f>IF(CTR1_Local!$V479="","",IF(CTR1_Local!$V479="Yes","confirm",""))</f>
        <v/>
      </c>
      <c r="N448" t="str">
        <f>IF(CTR1_Local!$W479="","",CTR1_Local!$W479)</f>
        <v/>
      </c>
    </row>
    <row r="449" spans="1:14" x14ac:dyDescent="0.2">
      <c r="A449" s="287" t="str">
        <f>IF(CTR1_Local!$D480="",CTR1_Local!B480,CTR1_Local!$D480)</f>
        <v/>
      </c>
      <c r="B449" s="26" t="str">
        <f>IF(A449="","",IF(RIGHT(A449,3)="NEW","Add new / another parish",CTR1_Local!$AN480))</f>
        <v/>
      </c>
      <c r="C449" s="26" t="str">
        <f t="shared" si="6"/>
        <v/>
      </c>
      <c r="D449" s="177" t="str">
        <f>IF(A449="","",IF(RIGHT(A449,3)="NEW",CTR1_Local!$E480,IF(CTR1_Local!$AO480="change",CTR1_Local!$E480,"")))</f>
        <v/>
      </c>
      <c r="E449" t="str">
        <f>IF(CTR1_Local!$F480="","",CTR1_Local!$F480)</f>
        <v/>
      </c>
      <c r="F449" s="261" t="str">
        <f>IF(CTR1_Local!$T480="","",IF(CTR1_Local!$T480="Yes","Removed",""))</f>
        <v/>
      </c>
      <c r="G449" t="str">
        <f>IF(CTR1_Local!$N480="","",IF(F449="Removed","",CTR1_Local!$N480))</f>
        <v/>
      </c>
      <c r="H449" t="str">
        <f>IF(CTR1_Local!$P480="","",IF($F449="Removed","",CTR1_Local!$P480))</f>
        <v/>
      </c>
      <c r="I449" t="str">
        <f>IF(CTR1_Local!$R480="","",IF($F449="Removed","",CTR1_Local!$R480))</f>
        <v/>
      </c>
      <c r="J449" s="160" t="str">
        <f>CTR1_Local!$H480</f>
        <v/>
      </c>
      <c r="K449" s="340" t="str">
        <f>CTR1_Local!$J480</f>
        <v/>
      </c>
      <c r="L449" s="350" t="str">
        <f>CTR1_Local!$L480</f>
        <v/>
      </c>
      <c r="M449" s="261" t="str">
        <f>IF(CTR1_Local!$V480="","",IF(CTR1_Local!$V480="Yes","confirm",""))</f>
        <v/>
      </c>
      <c r="N449" t="str">
        <f>IF(CTR1_Local!$W480="","",CTR1_Local!$W480)</f>
        <v/>
      </c>
    </row>
    <row r="450" spans="1:14" x14ac:dyDescent="0.2">
      <c r="A450" s="287" t="str">
        <f>IF(CTR1_Local!$D481="",CTR1_Local!B481,CTR1_Local!$D481)</f>
        <v/>
      </c>
      <c r="B450" s="26" t="str">
        <f>IF(A450="","",IF(RIGHT(A450,3)="NEW","Add new / another parish",CTR1_Local!$AN481))</f>
        <v/>
      </c>
      <c r="C450" s="26" t="str">
        <f t="shared" si="6"/>
        <v/>
      </c>
      <c r="D450" s="177" t="str">
        <f>IF(A450="","",IF(RIGHT(A450,3)="NEW",CTR1_Local!$E481,IF(CTR1_Local!$AO481="change",CTR1_Local!$E481,"")))</f>
        <v/>
      </c>
      <c r="E450" t="str">
        <f>IF(CTR1_Local!$F481="","",CTR1_Local!$F481)</f>
        <v/>
      </c>
      <c r="F450" s="261" t="str">
        <f>IF(CTR1_Local!$T481="","",IF(CTR1_Local!$T481="Yes","Removed",""))</f>
        <v/>
      </c>
      <c r="G450" t="str">
        <f>IF(CTR1_Local!$N481="","",IF(F450="Removed","",CTR1_Local!$N481))</f>
        <v/>
      </c>
      <c r="H450" t="str">
        <f>IF(CTR1_Local!$P481="","",IF($F450="Removed","",CTR1_Local!$P481))</f>
        <v/>
      </c>
      <c r="I450" t="str">
        <f>IF(CTR1_Local!$R481="","",IF($F450="Removed","",CTR1_Local!$R481))</f>
        <v/>
      </c>
      <c r="J450" s="160" t="str">
        <f>CTR1_Local!$H481</f>
        <v/>
      </c>
      <c r="K450" s="340" t="str">
        <f>CTR1_Local!$J481</f>
        <v/>
      </c>
      <c r="L450" s="350" t="str">
        <f>CTR1_Local!$L481</f>
        <v/>
      </c>
      <c r="M450" s="261" t="str">
        <f>IF(CTR1_Local!$V481="","",IF(CTR1_Local!$V481="Yes","confirm",""))</f>
        <v/>
      </c>
      <c r="N450" t="str">
        <f>IF(CTR1_Local!$W481="","",CTR1_Local!$W481)</f>
        <v/>
      </c>
    </row>
    <row r="451" spans="1:14" x14ac:dyDescent="0.2">
      <c r="A451" s="287" t="str">
        <f>IF(CTR1_Local!$D482="",CTR1_Local!B482,CTR1_Local!$D482)</f>
        <v/>
      </c>
      <c r="B451" s="26" t="str">
        <f>IF(A451="","",IF(RIGHT(A451,3)="NEW","Add new / another parish",CTR1_Local!$AN482))</f>
        <v/>
      </c>
      <c r="C451" s="26" t="str">
        <f t="shared" ref="C451:C514" si="7">IF(OR(B451="",D451=""),"",IF(AND(B451&lt;&gt;"",D451&lt;&gt;"",B451&lt;&gt;"Add new / another parish"),"yes",""))</f>
        <v/>
      </c>
      <c r="D451" s="177" t="str">
        <f>IF(A451="","",IF(RIGHT(A451,3)="NEW",CTR1_Local!$E482,IF(CTR1_Local!$AO482="change",CTR1_Local!$E482,"")))</f>
        <v/>
      </c>
      <c r="E451" t="str">
        <f>IF(CTR1_Local!$F482="","",CTR1_Local!$F482)</f>
        <v/>
      </c>
      <c r="F451" s="261" t="str">
        <f>IF(CTR1_Local!$T482="","",IF(CTR1_Local!$T482="Yes","Removed",""))</f>
        <v/>
      </c>
      <c r="G451" t="str">
        <f>IF(CTR1_Local!$N482="","",IF(F451="Removed","",CTR1_Local!$N482))</f>
        <v/>
      </c>
      <c r="H451" t="str">
        <f>IF(CTR1_Local!$P482="","",IF($F451="Removed","",CTR1_Local!$P482))</f>
        <v/>
      </c>
      <c r="I451" t="str">
        <f>IF(CTR1_Local!$R482="","",IF($F451="Removed","",CTR1_Local!$R482))</f>
        <v/>
      </c>
      <c r="J451" s="160" t="str">
        <f>CTR1_Local!$H482</f>
        <v/>
      </c>
      <c r="K451" s="340" t="str">
        <f>CTR1_Local!$J482</f>
        <v/>
      </c>
      <c r="L451" s="350" t="str">
        <f>CTR1_Local!$L482</f>
        <v/>
      </c>
      <c r="M451" s="261" t="str">
        <f>IF(CTR1_Local!$V482="","",IF(CTR1_Local!$V482="Yes","confirm",""))</f>
        <v/>
      </c>
      <c r="N451" t="str">
        <f>IF(CTR1_Local!$W482="","",CTR1_Local!$W482)</f>
        <v/>
      </c>
    </row>
    <row r="452" spans="1:14" x14ac:dyDescent="0.2">
      <c r="A452" s="287" t="str">
        <f>IF(CTR1_Local!$D483="",CTR1_Local!B483,CTR1_Local!$D483)</f>
        <v/>
      </c>
      <c r="B452" s="26" t="str">
        <f>IF(A452="","",IF(RIGHT(A452,3)="NEW","Add new / another parish",CTR1_Local!$AN483))</f>
        <v/>
      </c>
      <c r="C452" s="26" t="str">
        <f t="shared" si="7"/>
        <v/>
      </c>
      <c r="D452" s="177" t="str">
        <f>IF(A452="","",IF(RIGHT(A452,3)="NEW",CTR1_Local!$E483,IF(CTR1_Local!$AO483="change",CTR1_Local!$E483,"")))</f>
        <v/>
      </c>
      <c r="E452" t="str">
        <f>IF(CTR1_Local!$F483="","",CTR1_Local!$F483)</f>
        <v/>
      </c>
      <c r="F452" s="261" t="str">
        <f>IF(CTR1_Local!$T483="","",IF(CTR1_Local!$T483="Yes","Removed",""))</f>
        <v/>
      </c>
      <c r="G452" t="str">
        <f>IF(CTR1_Local!$N483="","",IF(F452="Removed","",CTR1_Local!$N483))</f>
        <v/>
      </c>
      <c r="H452" t="str">
        <f>IF(CTR1_Local!$P483="","",IF($F452="Removed","",CTR1_Local!$P483))</f>
        <v/>
      </c>
      <c r="I452" t="str">
        <f>IF(CTR1_Local!$R483="","",IF($F452="Removed","",CTR1_Local!$R483))</f>
        <v/>
      </c>
      <c r="J452" s="160" t="str">
        <f>CTR1_Local!$H483</f>
        <v/>
      </c>
      <c r="K452" s="340" t="str">
        <f>CTR1_Local!$J483</f>
        <v/>
      </c>
      <c r="L452" s="350" t="str">
        <f>CTR1_Local!$L483</f>
        <v/>
      </c>
      <c r="M452" s="261" t="str">
        <f>IF(CTR1_Local!$V483="","",IF(CTR1_Local!$V483="Yes","confirm",""))</f>
        <v/>
      </c>
      <c r="N452" t="str">
        <f>IF(CTR1_Local!$W483="","",CTR1_Local!$W483)</f>
        <v/>
      </c>
    </row>
    <row r="453" spans="1:14" x14ac:dyDescent="0.2">
      <c r="A453" s="287" t="str">
        <f>IF(CTR1_Local!$D484="",CTR1_Local!B484,CTR1_Local!$D484)</f>
        <v/>
      </c>
      <c r="B453" s="26" t="str">
        <f>IF(A453="","",IF(RIGHT(A453,3)="NEW","Add new / another parish",CTR1_Local!$AN484))</f>
        <v/>
      </c>
      <c r="C453" s="26" t="str">
        <f t="shared" si="7"/>
        <v/>
      </c>
      <c r="D453" s="177" t="str">
        <f>IF(A453="","",IF(RIGHT(A453,3)="NEW",CTR1_Local!$E484,IF(CTR1_Local!$AO484="change",CTR1_Local!$E484,"")))</f>
        <v/>
      </c>
      <c r="E453" t="str">
        <f>IF(CTR1_Local!$F484="","",CTR1_Local!$F484)</f>
        <v/>
      </c>
      <c r="F453" s="261" t="str">
        <f>IF(CTR1_Local!$T484="","",IF(CTR1_Local!$T484="Yes","Removed",""))</f>
        <v/>
      </c>
      <c r="G453" t="str">
        <f>IF(CTR1_Local!$N484="","",IF(F453="Removed","",CTR1_Local!$N484))</f>
        <v/>
      </c>
      <c r="H453" t="str">
        <f>IF(CTR1_Local!$P484="","",IF($F453="Removed","",CTR1_Local!$P484))</f>
        <v/>
      </c>
      <c r="I453" t="str">
        <f>IF(CTR1_Local!$R484="","",IF($F453="Removed","",CTR1_Local!$R484))</f>
        <v/>
      </c>
      <c r="J453" s="160" t="str">
        <f>CTR1_Local!$H484</f>
        <v/>
      </c>
      <c r="K453" s="340" t="str">
        <f>CTR1_Local!$J484</f>
        <v/>
      </c>
      <c r="L453" s="350" t="str">
        <f>CTR1_Local!$L484</f>
        <v/>
      </c>
      <c r="M453" s="261" t="str">
        <f>IF(CTR1_Local!$V484="","",IF(CTR1_Local!$V484="Yes","confirm",""))</f>
        <v/>
      </c>
      <c r="N453" t="str">
        <f>IF(CTR1_Local!$W484="","",CTR1_Local!$W484)</f>
        <v/>
      </c>
    </row>
    <row r="454" spans="1:14" x14ac:dyDescent="0.2">
      <c r="A454" s="287" t="str">
        <f>IF(CTR1_Local!$D485="",CTR1_Local!B485,CTR1_Local!$D485)</f>
        <v/>
      </c>
      <c r="B454" s="26" t="str">
        <f>IF(A454="","",IF(RIGHT(A454,3)="NEW","Add new / another parish",CTR1_Local!$AN485))</f>
        <v/>
      </c>
      <c r="C454" s="26" t="str">
        <f t="shared" si="7"/>
        <v/>
      </c>
      <c r="D454" s="177" t="str">
        <f>IF(A454="","",IF(RIGHT(A454,3)="NEW",CTR1_Local!$E485,IF(CTR1_Local!$AO485="change",CTR1_Local!$E485,"")))</f>
        <v/>
      </c>
      <c r="E454" t="str">
        <f>IF(CTR1_Local!$F485="","",CTR1_Local!$F485)</f>
        <v/>
      </c>
      <c r="F454" s="261" t="str">
        <f>IF(CTR1_Local!$T485="","",IF(CTR1_Local!$T485="Yes","Removed",""))</f>
        <v/>
      </c>
      <c r="G454" t="str">
        <f>IF(CTR1_Local!$N485="","",IF(F454="Removed","",CTR1_Local!$N485))</f>
        <v/>
      </c>
      <c r="H454" t="str">
        <f>IF(CTR1_Local!$P485="","",IF($F454="Removed","",CTR1_Local!$P485))</f>
        <v/>
      </c>
      <c r="I454" t="str">
        <f>IF(CTR1_Local!$R485="","",IF($F454="Removed","",CTR1_Local!$R485))</f>
        <v/>
      </c>
      <c r="J454" s="160" t="str">
        <f>CTR1_Local!$H485</f>
        <v/>
      </c>
      <c r="K454" s="340" t="str">
        <f>CTR1_Local!$J485</f>
        <v/>
      </c>
      <c r="L454" s="350" t="str">
        <f>CTR1_Local!$L485</f>
        <v/>
      </c>
      <c r="M454" s="261" t="str">
        <f>IF(CTR1_Local!$V485="","",IF(CTR1_Local!$V485="Yes","confirm",""))</f>
        <v/>
      </c>
      <c r="N454" t="str">
        <f>IF(CTR1_Local!$W485="","",CTR1_Local!$W485)</f>
        <v/>
      </c>
    </row>
    <row r="455" spans="1:14" x14ac:dyDescent="0.2">
      <c r="A455" s="287" t="str">
        <f>IF(CTR1_Local!$D486="",CTR1_Local!B486,CTR1_Local!$D486)</f>
        <v/>
      </c>
      <c r="B455" s="26" t="str">
        <f>IF(A455="","",IF(RIGHT(A455,3)="NEW","Add new / another parish",CTR1_Local!$AN486))</f>
        <v/>
      </c>
      <c r="C455" s="26" t="str">
        <f t="shared" si="7"/>
        <v/>
      </c>
      <c r="D455" s="177" t="str">
        <f>IF(A455="","",IF(RIGHT(A455,3)="NEW",CTR1_Local!$E486,IF(CTR1_Local!$AO486="change",CTR1_Local!$E486,"")))</f>
        <v/>
      </c>
      <c r="E455" t="str">
        <f>IF(CTR1_Local!$F486="","",CTR1_Local!$F486)</f>
        <v/>
      </c>
      <c r="F455" s="261" t="str">
        <f>IF(CTR1_Local!$T486="","",IF(CTR1_Local!$T486="Yes","Removed",""))</f>
        <v/>
      </c>
      <c r="G455" t="str">
        <f>IF(CTR1_Local!$N486="","",IF(F455="Removed","",CTR1_Local!$N486))</f>
        <v/>
      </c>
      <c r="H455" t="str">
        <f>IF(CTR1_Local!$P486="","",IF($F455="Removed","",CTR1_Local!$P486))</f>
        <v/>
      </c>
      <c r="I455" t="str">
        <f>IF(CTR1_Local!$R486="","",IF($F455="Removed","",CTR1_Local!$R486))</f>
        <v/>
      </c>
      <c r="J455" s="160" t="str">
        <f>CTR1_Local!$H486</f>
        <v/>
      </c>
      <c r="K455" s="340" t="str">
        <f>CTR1_Local!$J486</f>
        <v/>
      </c>
      <c r="L455" s="350" t="str">
        <f>CTR1_Local!$L486</f>
        <v/>
      </c>
      <c r="M455" s="261" t="str">
        <f>IF(CTR1_Local!$V486="","",IF(CTR1_Local!$V486="Yes","confirm",""))</f>
        <v/>
      </c>
      <c r="N455" t="str">
        <f>IF(CTR1_Local!$W486="","",CTR1_Local!$W486)</f>
        <v/>
      </c>
    </row>
    <row r="456" spans="1:14" x14ac:dyDescent="0.2">
      <c r="A456" s="287" t="str">
        <f>IF(CTR1_Local!$D487="",CTR1_Local!B487,CTR1_Local!$D487)</f>
        <v/>
      </c>
      <c r="B456" s="26" t="str">
        <f>IF(A456="","",IF(RIGHT(A456,3)="NEW","Add new / another parish",CTR1_Local!$AN487))</f>
        <v/>
      </c>
      <c r="C456" s="26" t="str">
        <f t="shared" si="7"/>
        <v/>
      </c>
      <c r="D456" s="177" t="str">
        <f>IF(A456="","",IF(RIGHT(A456,3)="NEW",CTR1_Local!$E487,IF(CTR1_Local!$AO487="change",CTR1_Local!$E487,"")))</f>
        <v/>
      </c>
      <c r="E456" t="str">
        <f>IF(CTR1_Local!$F487="","",CTR1_Local!$F487)</f>
        <v/>
      </c>
      <c r="F456" s="261" t="str">
        <f>IF(CTR1_Local!$T487="","",IF(CTR1_Local!$T487="Yes","Removed",""))</f>
        <v/>
      </c>
      <c r="G456" t="str">
        <f>IF(CTR1_Local!$N487="","",IF(F456="Removed","",CTR1_Local!$N487))</f>
        <v/>
      </c>
      <c r="H456" t="str">
        <f>IF(CTR1_Local!$P487="","",IF($F456="Removed","",CTR1_Local!$P487))</f>
        <v/>
      </c>
      <c r="I456" t="str">
        <f>IF(CTR1_Local!$R487="","",IF($F456="Removed","",CTR1_Local!$R487))</f>
        <v/>
      </c>
      <c r="J456" s="160" t="str">
        <f>CTR1_Local!$H487</f>
        <v/>
      </c>
      <c r="K456" s="340" t="str">
        <f>CTR1_Local!$J487</f>
        <v/>
      </c>
      <c r="L456" s="350" t="str">
        <f>CTR1_Local!$L487</f>
        <v/>
      </c>
      <c r="M456" s="261" t="str">
        <f>IF(CTR1_Local!$V487="","",IF(CTR1_Local!$V487="Yes","confirm",""))</f>
        <v/>
      </c>
      <c r="N456" t="str">
        <f>IF(CTR1_Local!$W487="","",CTR1_Local!$W487)</f>
        <v/>
      </c>
    </row>
    <row r="457" spans="1:14" x14ac:dyDescent="0.2">
      <c r="A457" s="287" t="str">
        <f>IF(CTR1_Local!$D488="",CTR1_Local!B488,CTR1_Local!$D488)</f>
        <v/>
      </c>
      <c r="B457" s="26" t="str">
        <f>IF(A457="","",IF(RIGHT(A457,3)="NEW","Add new / another parish",CTR1_Local!$AN488))</f>
        <v/>
      </c>
      <c r="C457" s="26" t="str">
        <f t="shared" si="7"/>
        <v/>
      </c>
      <c r="D457" s="177" t="str">
        <f>IF(A457="","",IF(RIGHT(A457,3)="NEW",CTR1_Local!$E488,IF(CTR1_Local!$AO488="change",CTR1_Local!$E488,"")))</f>
        <v/>
      </c>
      <c r="E457" t="str">
        <f>IF(CTR1_Local!$F488="","",CTR1_Local!$F488)</f>
        <v/>
      </c>
      <c r="F457" s="261" t="str">
        <f>IF(CTR1_Local!$T488="","",IF(CTR1_Local!$T488="Yes","Removed",""))</f>
        <v/>
      </c>
      <c r="G457" t="str">
        <f>IF(CTR1_Local!$N488="","",IF(F457="Removed","",CTR1_Local!$N488))</f>
        <v/>
      </c>
      <c r="H457" t="str">
        <f>IF(CTR1_Local!$P488="","",IF($F457="Removed","",CTR1_Local!$P488))</f>
        <v/>
      </c>
      <c r="I457" t="str">
        <f>IF(CTR1_Local!$R488="","",IF($F457="Removed","",CTR1_Local!$R488))</f>
        <v/>
      </c>
      <c r="J457" s="160" t="str">
        <f>CTR1_Local!$H488</f>
        <v/>
      </c>
      <c r="K457" s="340" t="str">
        <f>CTR1_Local!$J488</f>
        <v/>
      </c>
      <c r="L457" s="350" t="str">
        <f>CTR1_Local!$L488</f>
        <v/>
      </c>
      <c r="M457" s="261" t="str">
        <f>IF(CTR1_Local!$V488="","",IF(CTR1_Local!$V488="Yes","confirm",""))</f>
        <v/>
      </c>
      <c r="N457" t="str">
        <f>IF(CTR1_Local!$W488="","",CTR1_Local!$W488)</f>
        <v/>
      </c>
    </row>
    <row r="458" spans="1:14" x14ac:dyDescent="0.2">
      <c r="A458" s="287" t="str">
        <f>IF(CTR1_Local!$D489="",CTR1_Local!B489,CTR1_Local!$D489)</f>
        <v/>
      </c>
      <c r="B458" s="26" t="str">
        <f>IF(A458="","",IF(RIGHT(A458,3)="NEW","Add new / another parish",CTR1_Local!$AN489))</f>
        <v/>
      </c>
      <c r="C458" s="26" t="str">
        <f t="shared" si="7"/>
        <v/>
      </c>
      <c r="D458" s="177" t="str">
        <f>IF(A458="","",IF(RIGHT(A458,3)="NEW",CTR1_Local!$E489,IF(CTR1_Local!$AO489="change",CTR1_Local!$E489,"")))</f>
        <v/>
      </c>
      <c r="E458" t="str">
        <f>IF(CTR1_Local!$F489="","",CTR1_Local!$F489)</f>
        <v/>
      </c>
      <c r="F458" s="261" t="str">
        <f>IF(CTR1_Local!$T489="","",IF(CTR1_Local!$T489="Yes","Removed",""))</f>
        <v/>
      </c>
      <c r="G458" t="str">
        <f>IF(CTR1_Local!$N489="","",IF(F458="Removed","",CTR1_Local!$N489))</f>
        <v/>
      </c>
      <c r="H458" t="str">
        <f>IF(CTR1_Local!$P489="","",IF($F458="Removed","",CTR1_Local!$P489))</f>
        <v/>
      </c>
      <c r="I458" t="str">
        <f>IF(CTR1_Local!$R489="","",IF($F458="Removed","",CTR1_Local!$R489))</f>
        <v/>
      </c>
      <c r="J458" s="160" t="str">
        <f>CTR1_Local!$H489</f>
        <v/>
      </c>
      <c r="K458" s="340" t="str">
        <f>CTR1_Local!$J489</f>
        <v/>
      </c>
      <c r="L458" s="350" t="str">
        <f>CTR1_Local!$L489</f>
        <v/>
      </c>
      <c r="M458" s="261" t="str">
        <f>IF(CTR1_Local!$V489="","",IF(CTR1_Local!$V489="Yes","confirm",""))</f>
        <v/>
      </c>
      <c r="N458" t="str">
        <f>IF(CTR1_Local!$W489="","",CTR1_Local!$W489)</f>
        <v/>
      </c>
    </row>
    <row r="459" spans="1:14" x14ac:dyDescent="0.2">
      <c r="A459" s="287" t="str">
        <f>IF(CTR1_Local!$D490="",CTR1_Local!B490,CTR1_Local!$D490)</f>
        <v/>
      </c>
      <c r="B459" s="26" t="str">
        <f>IF(A459="","",IF(RIGHT(A459,3)="NEW","Add new / another parish",CTR1_Local!$AN490))</f>
        <v/>
      </c>
      <c r="C459" s="26" t="str">
        <f t="shared" si="7"/>
        <v/>
      </c>
      <c r="D459" s="177" t="str">
        <f>IF(A459="","",IF(RIGHT(A459,3)="NEW",CTR1_Local!$E490,IF(CTR1_Local!$AO490="change",CTR1_Local!$E490,"")))</f>
        <v/>
      </c>
      <c r="E459" t="str">
        <f>IF(CTR1_Local!$F490="","",CTR1_Local!$F490)</f>
        <v/>
      </c>
      <c r="F459" s="261" t="str">
        <f>IF(CTR1_Local!$T490="","",IF(CTR1_Local!$T490="Yes","Removed",""))</f>
        <v/>
      </c>
      <c r="G459" t="str">
        <f>IF(CTR1_Local!$N490="","",IF(F459="Removed","",CTR1_Local!$N490))</f>
        <v/>
      </c>
      <c r="H459" t="str">
        <f>IF(CTR1_Local!$P490="","",IF($F459="Removed","",CTR1_Local!$P490))</f>
        <v/>
      </c>
      <c r="I459" t="str">
        <f>IF(CTR1_Local!$R490="","",IF($F459="Removed","",CTR1_Local!$R490))</f>
        <v/>
      </c>
      <c r="J459" s="160" t="str">
        <f>CTR1_Local!$H490</f>
        <v/>
      </c>
      <c r="K459" s="340" t="str">
        <f>CTR1_Local!$J490</f>
        <v/>
      </c>
      <c r="L459" s="350" t="str">
        <f>CTR1_Local!$L490</f>
        <v/>
      </c>
      <c r="M459" s="261" t="str">
        <f>IF(CTR1_Local!$V490="","",IF(CTR1_Local!$V490="Yes","confirm",""))</f>
        <v/>
      </c>
      <c r="N459" t="str">
        <f>IF(CTR1_Local!$W490="","",CTR1_Local!$W490)</f>
        <v/>
      </c>
    </row>
    <row r="460" spans="1:14" x14ac:dyDescent="0.2">
      <c r="A460" s="287" t="str">
        <f>IF(CTR1_Local!$D491="",CTR1_Local!B491,CTR1_Local!$D491)</f>
        <v/>
      </c>
      <c r="B460" s="26" t="str">
        <f>IF(A460="","",IF(RIGHT(A460,3)="NEW","Add new / another parish",CTR1_Local!$AN491))</f>
        <v/>
      </c>
      <c r="C460" s="26" t="str">
        <f t="shared" si="7"/>
        <v/>
      </c>
      <c r="D460" s="177" t="str">
        <f>IF(A460="","",IF(RIGHT(A460,3)="NEW",CTR1_Local!$E491,IF(CTR1_Local!$AO491="change",CTR1_Local!$E491,"")))</f>
        <v/>
      </c>
      <c r="E460" t="str">
        <f>IF(CTR1_Local!$F491="","",CTR1_Local!$F491)</f>
        <v/>
      </c>
      <c r="F460" s="261" t="str">
        <f>IF(CTR1_Local!$T491="","",IF(CTR1_Local!$T491="Yes","Removed",""))</f>
        <v/>
      </c>
      <c r="G460" t="str">
        <f>IF(CTR1_Local!$N491="","",IF(F460="Removed","",CTR1_Local!$N491))</f>
        <v/>
      </c>
      <c r="H460" t="str">
        <f>IF(CTR1_Local!$P491="","",IF($F460="Removed","",CTR1_Local!$P491))</f>
        <v/>
      </c>
      <c r="I460" t="str">
        <f>IF(CTR1_Local!$R491="","",IF($F460="Removed","",CTR1_Local!$R491))</f>
        <v/>
      </c>
      <c r="J460" s="160" t="str">
        <f>CTR1_Local!$H491</f>
        <v/>
      </c>
      <c r="K460" s="340" t="str">
        <f>CTR1_Local!$J491</f>
        <v/>
      </c>
      <c r="L460" s="350" t="str">
        <f>CTR1_Local!$L491</f>
        <v/>
      </c>
      <c r="M460" s="261" t="str">
        <f>IF(CTR1_Local!$V491="","",IF(CTR1_Local!$V491="Yes","confirm",""))</f>
        <v/>
      </c>
      <c r="N460" t="str">
        <f>IF(CTR1_Local!$W491="","",CTR1_Local!$W491)</f>
        <v/>
      </c>
    </row>
    <row r="461" spans="1:14" x14ac:dyDescent="0.2">
      <c r="A461" s="287" t="str">
        <f>IF(CTR1_Local!$D492="",CTR1_Local!B492,CTR1_Local!$D492)</f>
        <v/>
      </c>
      <c r="B461" s="26" t="str">
        <f>IF(A461="","",IF(RIGHT(A461,3)="NEW","Add new / another parish",CTR1_Local!$AN492))</f>
        <v/>
      </c>
      <c r="C461" s="26" t="str">
        <f t="shared" si="7"/>
        <v/>
      </c>
      <c r="D461" s="177" t="str">
        <f>IF(A461="","",IF(RIGHT(A461,3)="NEW",CTR1_Local!$E492,IF(CTR1_Local!$AO492="change",CTR1_Local!$E492,"")))</f>
        <v/>
      </c>
      <c r="E461" t="str">
        <f>IF(CTR1_Local!$F492="","",CTR1_Local!$F492)</f>
        <v/>
      </c>
      <c r="F461" s="261" t="str">
        <f>IF(CTR1_Local!$T492="","",IF(CTR1_Local!$T492="Yes","Removed",""))</f>
        <v/>
      </c>
      <c r="G461" t="str">
        <f>IF(CTR1_Local!$N492="","",IF(F461="Removed","",CTR1_Local!$N492))</f>
        <v/>
      </c>
      <c r="H461" t="str">
        <f>IF(CTR1_Local!$P492="","",IF($F461="Removed","",CTR1_Local!$P492))</f>
        <v/>
      </c>
      <c r="I461" t="str">
        <f>IF(CTR1_Local!$R492="","",IF($F461="Removed","",CTR1_Local!$R492))</f>
        <v/>
      </c>
      <c r="J461" s="160" t="str">
        <f>CTR1_Local!$H492</f>
        <v/>
      </c>
      <c r="K461" s="340" t="str">
        <f>CTR1_Local!$J492</f>
        <v/>
      </c>
      <c r="L461" s="350" t="str">
        <f>CTR1_Local!$L492</f>
        <v/>
      </c>
      <c r="M461" s="261" t="str">
        <f>IF(CTR1_Local!$V492="","",IF(CTR1_Local!$V492="Yes","confirm",""))</f>
        <v/>
      </c>
      <c r="N461" t="str">
        <f>IF(CTR1_Local!$W492="","",CTR1_Local!$W492)</f>
        <v/>
      </c>
    </row>
    <row r="462" spans="1:14" x14ac:dyDescent="0.2">
      <c r="A462" s="287" t="str">
        <f>IF(CTR1_Local!$D493="",CTR1_Local!B493,CTR1_Local!$D493)</f>
        <v/>
      </c>
      <c r="B462" s="26" t="str">
        <f>IF(A462="","",IF(RIGHT(A462,3)="NEW","Add new / another parish",CTR1_Local!$AN493))</f>
        <v/>
      </c>
      <c r="C462" s="26" t="str">
        <f t="shared" si="7"/>
        <v/>
      </c>
      <c r="D462" s="177" t="str">
        <f>IF(A462="","",IF(RIGHT(A462,3)="NEW",CTR1_Local!$E493,IF(CTR1_Local!$AO493="change",CTR1_Local!$E493,"")))</f>
        <v/>
      </c>
      <c r="E462" t="str">
        <f>IF(CTR1_Local!$F493="","",CTR1_Local!$F493)</f>
        <v/>
      </c>
      <c r="F462" s="261" t="str">
        <f>IF(CTR1_Local!$T493="","",IF(CTR1_Local!$T493="Yes","Removed",""))</f>
        <v/>
      </c>
      <c r="G462" t="str">
        <f>IF(CTR1_Local!$N493="","",IF(F462="Removed","",CTR1_Local!$N493))</f>
        <v/>
      </c>
      <c r="H462" t="str">
        <f>IF(CTR1_Local!$P493="","",IF($F462="Removed","",CTR1_Local!$P493))</f>
        <v/>
      </c>
      <c r="I462" t="str">
        <f>IF(CTR1_Local!$R493="","",IF($F462="Removed","",CTR1_Local!$R493))</f>
        <v/>
      </c>
      <c r="J462" s="160" t="str">
        <f>CTR1_Local!$H493</f>
        <v/>
      </c>
      <c r="K462" s="340" t="str">
        <f>CTR1_Local!$J493</f>
        <v/>
      </c>
      <c r="L462" s="350" t="str">
        <f>CTR1_Local!$L493</f>
        <v/>
      </c>
      <c r="M462" s="261" t="str">
        <f>IF(CTR1_Local!$V493="","",IF(CTR1_Local!$V493="Yes","confirm",""))</f>
        <v/>
      </c>
      <c r="N462" t="str">
        <f>IF(CTR1_Local!$W493="","",CTR1_Local!$W493)</f>
        <v/>
      </c>
    </row>
    <row r="463" spans="1:14" x14ac:dyDescent="0.2">
      <c r="A463" s="287" t="str">
        <f>IF(CTR1_Local!$D494="",CTR1_Local!B494,CTR1_Local!$D494)</f>
        <v/>
      </c>
      <c r="B463" s="26" t="str">
        <f>IF(A463="","",IF(RIGHT(A463,3)="NEW","Add new / another parish",CTR1_Local!$AN494))</f>
        <v/>
      </c>
      <c r="C463" s="26" t="str">
        <f t="shared" si="7"/>
        <v/>
      </c>
      <c r="D463" s="177" t="str">
        <f>IF(A463="","",IF(RIGHT(A463,3)="NEW",CTR1_Local!$E494,IF(CTR1_Local!$AO494="change",CTR1_Local!$E494,"")))</f>
        <v/>
      </c>
      <c r="E463" t="str">
        <f>IF(CTR1_Local!$F494="","",CTR1_Local!$F494)</f>
        <v/>
      </c>
      <c r="F463" s="261" t="str">
        <f>IF(CTR1_Local!$T494="","",IF(CTR1_Local!$T494="Yes","Removed",""))</f>
        <v/>
      </c>
      <c r="G463" t="str">
        <f>IF(CTR1_Local!$N494="","",IF(F463="Removed","",CTR1_Local!$N494))</f>
        <v/>
      </c>
      <c r="H463" t="str">
        <f>IF(CTR1_Local!$P494="","",IF($F463="Removed","",CTR1_Local!$P494))</f>
        <v/>
      </c>
      <c r="I463" t="str">
        <f>IF(CTR1_Local!$R494="","",IF($F463="Removed","",CTR1_Local!$R494))</f>
        <v/>
      </c>
      <c r="J463" s="160" t="str">
        <f>CTR1_Local!$H494</f>
        <v/>
      </c>
      <c r="K463" s="340" t="str">
        <f>CTR1_Local!$J494</f>
        <v/>
      </c>
      <c r="L463" s="350" t="str">
        <f>CTR1_Local!$L494</f>
        <v/>
      </c>
      <c r="M463" s="261" t="str">
        <f>IF(CTR1_Local!$V494="","",IF(CTR1_Local!$V494="Yes","confirm",""))</f>
        <v/>
      </c>
      <c r="N463" t="str">
        <f>IF(CTR1_Local!$W494="","",CTR1_Local!$W494)</f>
        <v/>
      </c>
    </row>
    <row r="464" spans="1:14" x14ac:dyDescent="0.2">
      <c r="A464" s="287" t="str">
        <f>IF(CTR1_Local!$D495="",CTR1_Local!B495,CTR1_Local!$D495)</f>
        <v/>
      </c>
      <c r="B464" s="26" t="str">
        <f>IF(A464="","",IF(RIGHT(A464,3)="NEW","Add new / another parish",CTR1_Local!$AN495))</f>
        <v/>
      </c>
      <c r="C464" s="26" t="str">
        <f t="shared" si="7"/>
        <v/>
      </c>
      <c r="D464" s="177" t="str">
        <f>IF(A464="","",IF(RIGHT(A464,3)="NEW",CTR1_Local!$E495,IF(CTR1_Local!$AO495="change",CTR1_Local!$E495,"")))</f>
        <v/>
      </c>
      <c r="E464" t="str">
        <f>IF(CTR1_Local!$F495="","",CTR1_Local!$F495)</f>
        <v/>
      </c>
      <c r="F464" s="261" t="str">
        <f>IF(CTR1_Local!$T495="","",IF(CTR1_Local!$T495="Yes","Removed",""))</f>
        <v/>
      </c>
      <c r="G464" t="str">
        <f>IF(CTR1_Local!$N495="","",IF(F464="Removed","",CTR1_Local!$N495))</f>
        <v/>
      </c>
      <c r="H464" t="str">
        <f>IF(CTR1_Local!$P495="","",IF($F464="Removed","",CTR1_Local!$P495))</f>
        <v/>
      </c>
      <c r="I464" t="str">
        <f>IF(CTR1_Local!$R495="","",IF($F464="Removed","",CTR1_Local!$R495))</f>
        <v/>
      </c>
      <c r="J464" s="160" t="str">
        <f>CTR1_Local!$H495</f>
        <v/>
      </c>
      <c r="K464" s="340" t="str">
        <f>CTR1_Local!$J495</f>
        <v/>
      </c>
      <c r="L464" s="350" t="str">
        <f>CTR1_Local!$L495</f>
        <v/>
      </c>
      <c r="M464" s="261" t="str">
        <f>IF(CTR1_Local!$V495="","",IF(CTR1_Local!$V495="Yes","confirm",""))</f>
        <v/>
      </c>
      <c r="N464" t="str">
        <f>IF(CTR1_Local!$W495="","",CTR1_Local!$W495)</f>
        <v/>
      </c>
    </row>
    <row r="465" spans="1:14" x14ac:dyDescent="0.2">
      <c r="A465" s="287" t="str">
        <f>IF(CTR1_Local!$D496="",CTR1_Local!B496,CTR1_Local!$D496)</f>
        <v/>
      </c>
      <c r="B465" s="26" t="str">
        <f>IF(A465="","",IF(RIGHT(A465,3)="NEW","Add new / another parish",CTR1_Local!$AN496))</f>
        <v/>
      </c>
      <c r="C465" s="26" t="str">
        <f t="shared" si="7"/>
        <v/>
      </c>
      <c r="D465" s="177" t="str">
        <f>IF(A465="","",IF(RIGHT(A465,3)="NEW",CTR1_Local!$E496,IF(CTR1_Local!$AO496="change",CTR1_Local!$E496,"")))</f>
        <v/>
      </c>
      <c r="E465" t="str">
        <f>IF(CTR1_Local!$F496="","",CTR1_Local!$F496)</f>
        <v/>
      </c>
      <c r="F465" s="261" t="str">
        <f>IF(CTR1_Local!$T496="","",IF(CTR1_Local!$T496="Yes","Removed",""))</f>
        <v/>
      </c>
      <c r="G465" t="str">
        <f>IF(CTR1_Local!$N496="","",IF(F465="Removed","",CTR1_Local!$N496))</f>
        <v/>
      </c>
      <c r="H465" t="str">
        <f>IF(CTR1_Local!$P496="","",IF($F465="Removed","",CTR1_Local!$P496))</f>
        <v/>
      </c>
      <c r="I465" t="str">
        <f>IF(CTR1_Local!$R496="","",IF($F465="Removed","",CTR1_Local!$R496))</f>
        <v/>
      </c>
      <c r="J465" s="160" t="str">
        <f>CTR1_Local!$H496</f>
        <v/>
      </c>
      <c r="K465" s="340" t="str">
        <f>CTR1_Local!$J496</f>
        <v/>
      </c>
      <c r="L465" s="350" t="str">
        <f>CTR1_Local!$L496</f>
        <v/>
      </c>
      <c r="M465" s="261" t="str">
        <f>IF(CTR1_Local!$V496="","",IF(CTR1_Local!$V496="Yes","confirm",""))</f>
        <v/>
      </c>
      <c r="N465" t="str">
        <f>IF(CTR1_Local!$W496="","",CTR1_Local!$W496)</f>
        <v/>
      </c>
    </row>
    <row r="466" spans="1:14" x14ac:dyDescent="0.2">
      <c r="A466" s="287" t="str">
        <f>IF(CTR1_Local!$D497="",CTR1_Local!B497,CTR1_Local!$D497)</f>
        <v/>
      </c>
      <c r="B466" s="26" t="str">
        <f>IF(A466="","",IF(RIGHT(A466,3)="NEW","Add new / another parish",CTR1_Local!$AN497))</f>
        <v/>
      </c>
      <c r="C466" s="26" t="str">
        <f t="shared" si="7"/>
        <v/>
      </c>
      <c r="D466" s="177" t="str">
        <f>IF(A466="","",IF(RIGHT(A466,3)="NEW",CTR1_Local!$E497,IF(CTR1_Local!$AO497="change",CTR1_Local!$E497,"")))</f>
        <v/>
      </c>
      <c r="E466" t="str">
        <f>IF(CTR1_Local!$F497="","",CTR1_Local!$F497)</f>
        <v/>
      </c>
      <c r="F466" s="261" t="str">
        <f>IF(CTR1_Local!$T497="","",IF(CTR1_Local!$T497="Yes","Removed",""))</f>
        <v/>
      </c>
      <c r="G466" t="str">
        <f>IF(CTR1_Local!$N497="","",IF(F466="Removed","",CTR1_Local!$N497))</f>
        <v/>
      </c>
      <c r="H466" t="str">
        <f>IF(CTR1_Local!$P497="","",IF($F466="Removed","",CTR1_Local!$P497))</f>
        <v/>
      </c>
      <c r="I466" t="str">
        <f>IF(CTR1_Local!$R497="","",IF($F466="Removed","",CTR1_Local!$R497))</f>
        <v/>
      </c>
      <c r="J466" s="160" t="str">
        <f>CTR1_Local!$H497</f>
        <v/>
      </c>
      <c r="K466" s="340" t="str">
        <f>CTR1_Local!$J497</f>
        <v/>
      </c>
      <c r="L466" s="350" t="str">
        <f>CTR1_Local!$L497</f>
        <v/>
      </c>
      <c r="M466" s="261" t="str">
        <f>IF(CTR1_Local!$V497="","",IF(CTR1_Local!$V497="Yes","confirm",""))</f>
        <v/>
      </c>
      <c r="N466" t="str">
        <f>IF(CTR1_Local!$W497="","",CTR1_Local!$W497)</f>
        <v/>
      </c>
    </row>
    <row r="467" spans="1:14" x14ac:dyDescent="0.2">
      <c r="A467" s="287" t="str">
        <f>IF(CTR1_Local!$D498="",CTR1_Local!B498,CTR1_Local!$D498)</f>
        <v/>
      </c>
      <c r="B467" s="26" t="str">
        <f>IF(A467="","",IF(RIGHT(A467,3)="NEW","Add new / another parish",CTR1_Local!$AN498))</f>
        <v/>
      </c>
      <c r="C467" s="26" t="str">
        <f t="shared" si="7"/>
        <v/>
      </c>
      <c r="D467" s="177" t="str">
        <f>IF(A467="","",IF(RIGHT(A467,3)="NEW",CTR1_Local!$E498,IF(CTR1_Local!$AO498="change",CTR1_Local!$E498,"")))</f>
        <v/>
      </c>
      <c r="E467" t="str">
        <f>IF(CTR1_Local!$F498="","",CTR1_Local!$F498)</f>
        <v/>
      </c>
      <c r="F467" s="261" t="str">
        <f>IF(CTR1_Local!$T498="","",IF(CTR1_Local!$T498="Yes","Removed",""))</f>
        <v/>
      </c>
      <c r="G467" t="str">
        <f>IF(CTR1_Local!$N498="","",IF(F467="Removed","",CTR1_Local!$N498))</f>
        <v/>
      </c>
      <c r="H467" t="str">
        <f>IF(CTR1_Local!$P498="","",IF($F467="Removed","",CTR1_Local!$P498))</f>
        <v/>
      </c>
      <c r="I467" t="str">
        <f>IF(CTR1_Local!$R498="","",IF($F467="Removed","",CTR1_Local!$R498))</f>
        <v/>
      </c>
      <c r="J467" s="160" t="str">
        <f>CTR1_Local!$H498</f>
        <v/>
      </c>
      <c r="K467" s="340" t="str">
        <f>CTR1_Local!$J498</f>
        <v/>
      </c>
      <c r="L467" s="350" t="str">
        <f>CTR1_Local!$L498</f>
        <v/>
      </c>
      <c r="M467" s="261" t="str">
        <f>IF(CTR1_Local!$V498="","",IF(CTR1_Local!$V498="Yes","confirm",""))</f>
        <v/>
      </c>
      <c r="N467" t="str">
        <f>IF(CTR1_Local!$W498="","",CTR1_Local!$W498)</f>
        <v/>
      </c>
    </row>
    <row r="468" spans="1:14" x14ac:dyDescent="0.2">
      <c r="A468" s="287" t="str">
        <f>IF(CTR1_Local!$D499="",CTR1_Local!B499,CTR1_Local!$D499)</f>
        <v/>
      </c>
      <c r="B468" s="26" t="str">
        <f>IF(A468="","",IF(RIGHT(A468,3)="NEW","Add new / another parish",CTR1_Local!$AN499))</f>
        <v/>
      </c>
      <c r="C468" s="26" t="str">
        <f t="shared" si="7"/>
        <v/>
      </c>
      <c r="D468" s="177" t="str">
        <f>IF(A468="","",IF(RIGHT(A468,3)="NEW",CTR1_Local!$E499,IF(CTR1_Local!$AO499="change",CTR1_Local!$E499,"")))</f>
        <v/>
      </c>
      <c r="E468" t="str">
        <f>IF(CTR1_Local!$F499="","",CTR1_Local!$F499)</f>
        <v/>
      </c>
      <c r="F468" s="261" t="str">
        <f>IF(CTR1_Local!$T499="","",IF(CTR1_Local!$T499="Yes","Removed",""))</f>
        <v/>
      </c>
      <c r="G468" t="str">
        <f>IF(CTR1_Local!$N499="","",IF(F468="Removed","",CTR1_Local!$N499))</f>
        <v/>
      </c>
      <c r="H468" t="str">
        <f>IF(CTR1_Local!$P499="","",IF($F468="Removed","",CTR1_Local!$P499))</f>
        <v/>
      </c>
      <c r="I468" t="str">
        <f>IF(CTR1_Local!$R499="","",IF($F468="Removed","",CTR1_Local!$R499))</f>
        <v/>
      </c>
      <c r="J468" s="160" t="str">
        <f>CTR1_Local!$H499</f>
        <v/>
      </c>
      <c r="K468" s="340" t="str">
        <f>CTR1_Local!$J499</f>
        <v/>
      </c>
      <c r="L468" s="350" t="str">
        <f>CTR1_Local!$L499</f>
        <v/>
      </c>
      <c r="M468" s="261" t="str">
        <f>IF(CTR1_Local!$V499="","",IF(CTR1_Local!$V499="Yes","confirm",""))</f>
        <v/>
      </c>
      <c r="N468" t="str">
        <f>IF(CTR1_Local!$W499="","",CTR1_Local!$W499)</f>
        <v/>
      </c>
    </row>
    <row r="469" spans="1:14" x14ac:dyDescent="0.2">
      <c r="A469" s="287" t="str">
        <f>IF(CTR1_Local!$D500="",CTR1_Local!B500,CTR1_Local!$D500)</f>
        <v/>
      </c>
      <c r="B469" s="26" t="str">
        <f>IF(A469="","",IF(RIGHT(A469,3)="NEW","Add new / another parish",CTR1_Local!$AN500))</f>
        <v/>
      </c>
      <c r="C469" s="26" t="str">
        <f t="shared" si="7"/>
        <v/>
      </c>
      <c r="D469" s="177" t="str">
        <f>IF(A469="","",IF(RIGHT(A469,3)="NEW",CTR1_Local!$E500,IF(CTR1_Local!$AO500="change",CTR1_Local!$E500,"")))</f>
        <v/>
      </c>
      <c r="E469" t="str">
        <f>IF(CTR1_Local!$F500="","",CTR1_Local!$F500)</f>
        <v/>
      </c>
      <c r="F469" s="261" t="str">
        <f>IF(CTR1_Local!$T500="","",IF(CTR1_Local!$T500="Yes","Removed",""))</f>
        <v/>
      </c>
      <c r="G469" t="str">
        <f>IF(CTR1_Local!$N500="","",IF(F469="Removed","",CTR1_Local!$N500))</f>
        <v/>
      </c>
      <c r="H469" t="str">
        <f>IF(CTR1_Local!$P500="","",IF($F469="Removed","",CTR1_Local!$P500))</f>
        <v/>
      </c>
      <c r="I469" t="str">
        <f>IF(CTR1_Local!$R500="","",IF($F469="Removed","",CTR1_Local!$R500))</f>
        <v/>
      </c>
      <c r="J469" s="160" t="str">
        <f>CTR1_Local!$H500</f>
        <v/>
      </c>
      <c r="K469" s="340" t="str">
        <f>CTR1_Local!$J500</f>
        <v/>
      </c>
      <c r="L469" s="350" t="str">
        <f>CTR1_Local!$L500</f>
        <v/>
      </c>
      <c r="M469" s="261" t="str">
        <f>IF(CTR1_Local!$V500="","",IF(CTR1_Local!$V500="Yes","confirm",""))</f>
        <v/>
      </c>
      <c r="N469" t="str">
        <f>IF(CTR1_Local!$W500="","",CTR1_Local!$W500)</f>
        <v/>
      </c>
    </row>
    <row r="470" spans="1:14" x14ac:dyDescent="0.2">
      <c r="A470" s="287" t="str">
        <f>IF(CTR1_Local!$D501="",CTR1_Local!B501,CTR1_Local!$D501)</f>
        <v/>
      </c>
      <c r="B470" s="26" t="str">
        <f>IF(A470="","",IF(RIGHT(A470,3)="NEW","Add new / another parish",CTR1_Local!$AN501))</f>
        <v/>
      </c>
      <c r="C470" s="26" t="str">
        <f t="shared" si="7"/>
        <v/>
      </c>
      <c r="D470" s="177" t="str">
        <f>IF(A470="","",IF(RIGHT(A470,3)="NEW",CTR1_Local!$E501,IF(CTR1_Local!$AO501="change",CTR1_Local!$E501,"")))</f>
        <v/>
      </c>
      <c r="E470" t="str">
        <f>IF(CTR1_Local!$F501="","",CTR1_Local!$F501)</f>
        <v/>
      </c>
      <c r="F470" s="261" t="str">
        <f>IF(CTR1_Local!$T501="","",IF(CTR1_Local!$T501="Yes","Removed",""))</f>
        <v/>
      </c>
      <c r="G470" t="str">
        <f>IF(CTR1_Local!$N501="","",IF(F470="Removed","",CTR1_Local!$N501))</f>
        <v/>
      </c>
      <c r="H470" t="str">
        <f>IF(CTR1_Local!$P501="","",IF($F470="Removed","",CTR1_Local!$P501))</f>
        <v/>
      </c>
      <c r="I470" t="str">
        <f>IF(CTR1_Local!$R501="","",IF($F470="Removed","",CTR1_Local!$R501))</f>
        <v/>
      </c>
      <c r="J470" s="160" t="str">
        <f>CTR1_Local!$H501</f>
        <v/>
      </c>
      <c r="K470" s="340" t="str">
        <f>CTR1_Local!$J501</f>
        <v/>
      </c>
      <c r="L470" s="350" t="str">
        <f>CTR1_Local!$L501</f>
        <v/>
      </c>
      <c r="M470" s="261" t="str">
        <f>IF(CTR1_Local!$V501="","",IF(CTR1_Local!$V501="Yes","confirm",""))</f>
        <v/>
      </c>
      <c r="N470" t="str">
        <f>IF(CTR1_Local!$W501="","",CTR1_Local!$W501)</f>
        <v/>
      </c>
    </row>
    <row r="471" spans="1:14" x14ac:dyDescent="0.2">
      <c r="A471" s="287" t="str">
        <f>IF(CTR1_Local!$D502="",CTR1_Local!B502,CTR1_Local!$D502)</f>
        <v/>
      </c>
      <c r="B471" s="26" t="str">
        <f>IF(A471="","",IF(RIGHT(A471,3)="NEW","Add new / another parish",CTR1_Local!$AN502))</f>
        <v/>
      </c>
      <c r="C471" s="26" t="str">
        <f t="shared" si="7"/>
        <v/>
      </c>
      <c r="D471" s="177" t="str">
        <f>IF(A471="","",IF(RIGHT(A471,3)="NEW",CTR1_Local!$E502,IF(CTR1_Local!$AO502="change",CTR1_Local!$E502,"")))</f>
        <v/>
      </c>
      <c r="E471" t="str">
        <f>IF(CTR1_Local!$F502="","",CTR1_Local!$F502)</f>
        <v/>
      </c>
      <c r="F471" s="261" t="str">
        <f>IF(CTR1_Local!$T502="","",IF(CTR1_Local!$T502="Yes","Removed",""))</f>
        <v/>
      </c>
      <c r="G471" t="str">
        <f>IF(CTR1_Local!$N502="","",IF(F471="Removed","",CTR1_Local!$N502))</f>
        <v/>
      </c>
      <c r="H471" t="str">
        <f>IF(CTR1_Local!$P502="","",IF($F471="Removed","",CTR1_Local!$P502))</f>
        <v/>
      </c>
      <c r="I471" t="str">
        <f>IF(CTR1_Local!$R502="","",IF($F471="Removed","",CTR1_Local!$R502))</f>
        <v/>
      </c>
      <c r="J471" s="160" t="str">
        <f>CTR1_Local!$H502</f>
        <v/>
      </c>
      <c r="K471" s="340" t="str">
        <f>CTR1_Local!$J502</f>
        <v/>
      </c>
      <c r="L471" s="350" t="str">
        <f>CTR1_Local!$L502</f>
        <v/>
      </c>
      <c r="M471" s="261" t="str">
        <f>IF(CTR1_Local!$V502="","",IF(CTR1_Local!$V502="Yes","confirm",""))</f>
        <v/>
      </c>
      <c r="N471" t="str">
        <f>IF(CTR1_Local!$W502="","",CTR1_Local!$W502)</f>
        <v/>
      </c>
    </row>
    <row r="472" spans="1:14" x14ac:dyDescent="0.2">
      <c r="A472" s="287" t="str">
        <f>IF(CTR1_Local!$D503="",CTR1_Local!B503,CTR1_Local!$D503)</f>
        <v/>
      </c>
      <c r="B472" s="26" t="str">
        <f>IF(A472="","",IF(RIGHT(A472,3)="NEW","Add new / another parish",CTR1_Local!$AN503))</f>
        <v/>
      </c>
      <c r="C472" s="26" t="str">
        <f t="shared" si="7"/>
        <v/>
      </c>
      <c r="D472" s="177" t="str">
        <f>IF(A472="","",IF(RIGHT(A472,3)="NEW",CTR1_Local!$E503,IF(CTR1_Local!$AO503="change",CTR1_Local!$E503,"")))</f>
        <v/>
      </c>
      <c r="E472" t="str">
        <f>IF(CTR1_Local!$F503="","",CTR1_Local!$F503)</f>
        <v/>
      </c>
      <c r="F472" s="261" t="str">
        <f>IF(CTR1_Local!$T503="","",IF(CTR1_Local!$T503="Yes","Removed",""))</f>
        <v/>
      </c>
      <c r="G472" t="str">
        <f>IF(CTR1_Local!$N503="","",IF(F472="Removed","",CTR1_Local!$N503))</f>
        <v/>
      </c>
      <c r="H472" t="str">
        <f>IF(CTR1_Local!$P503="","",IF($F472="Removed","",CTR1_Local!$P503))</f>
        <v/>
      </c>
      <c r="I472" t="str">
        <f>IF(CTR1_Local!$R503="","",IF($F472="Removed","",CTR1_Local!$R503))</f>
        <v/>
      </c>
      <c r="J472" s="160" t="str">
        <f>CTR1_Local!$H503</f>
        <v/>
      </c>
      <c r="K472" s="340" t="str">
        <f>CTR1_Local!$J503</f>
        <v/>
      </c>
      <c r="L472" s="350" t="str">
        <f>CTR1_Local!$L503</f>
        <v/>
      </c>
      <c r="M472" s="261" t="str">
        <f>IF(CTR1_Local!$V503="","",IF(CTR1_Local!$V503="Yes","confirm",""))</f>
        <v/>
      </c>
      <c r="N472" t="str">
        <f>IF(CTR1_Local!$W503="","",CTR1_Local!$W503)</f>
        <v/>
      </c>
    </row>
    <row r="473" spans="1:14" x14ac:dyDescent="0.2">
      <c r="A473" s="287" t="str">
        <f>IF(CTR1_Local!$D504="",CTR1_Local!B504,CTR1_Local!$D504)</f>
        <v/>
      </c>
      <c r="B473" s="26" t="str">
        <f>IF(A473="","",IF(RIGHT(A473,3)="NEW","Add new / another parish",CTR1_Local!$AN504))</f>
        <v/>
      </c>
      <c r="C473" s="26" t="str">
        <f t="shared" si="7"/>
        <v/>
      </c>
      <c r="D473" s="177" t="str">
        <f>IF(A473="","",IF(RIGHT(A473,3)="NEW",CTR1_Local!$E504,IF(CTR1_Local!$AO504="change",CTR1_Local!$E504,"")))</f>
        <v/>
      </c>
      <c r="E473" t="str">
        <f>IF(CTR1_Local!$F504="","",CTR1_Local!$F504)</f>
        <v/>
      </c>
      <c r="F473" s="261" t="str">
        <f>IF(CTR1_Local!$T504="","",IF(CTR1_Local!$T504="Yes","Removed",""))</f>
        <v/>
      </c>
      <c r="G473" t="str">
        <f>IF(CTR1_Local!$N504="","",IF(F473="Removed","",CTR1_Local!$N504))</f>
        <v/>
      </c>
      <c r="H473" t="str">
        <f>IF(CTR1_Local!$P504="","",IF($F473="Removed","",CTR1_Local!$P504))</f>
        <v/>
      </c>
      <c r="I473" t="str">
        <f>IF(CTR1_Local!$R504="","",IF($F473="Removed","",CTR1_Local!$R504))</f>
        <v/>
      </c>
      <c r="J473" s="160" t="str">
        <f>CTR1_Local!$H504</f>
        <v/>
      </c>
      <c r="K473" s="340" t="str">
        <f>CTR1_Local!$J504</f>
        <v/>
      </c>
      <c r="L473" s="350" t="str">
        <f>CTR1_Local!$L504</f>
        <v/>
      </c>
      <c r="M473" s="261" t="str">
        <f>IF(CTR1_Local!$V504="","",IF(CTR1_Local!$V504="Yes","confirm",""))</f>
        <v/>
      </c>
      <c r="N473" t="str">
        <f>IF(CTR1_Local!$W504="","",CTR1_Local!$W504)</f>
        <v/>
      </c>
    </row>
    <row r="474" spans="1:14" x14ac:dyDescent="0.2">
      <c r="A474" s="287" t="str">
        <f>IF(CTR1_Local!$D505="",CTR1_Local!B505,CTR1_Local!$D505)</f>
        <v/>
      </c>
      <c r="B474" s="26" t="str">
        <f>IF(A474="","",IF(RIGHT(A474,3)="NEW","Add new / another parish",CTR1_Local!$AN505))</f>
        <v/>
      </c>
      <c r="C474" s="26" t="str">
        <f t="shared" si="7"/>
        <v/>
      </c>
      <c r="D474" s="177" t="str">
        <f>IF(A474="","",IF(RIGHT(A474,3)="NEW",CTR1_Local!$E505,IF(CTR1_Local!$AO505="change",CTR1_Local!$E505,"")))</f>
        <v/>
      </c>
      <c r="E474" t="str">
        <f>IF(CTR1_Local!$F505="","",CTR1_Local!$F505)</f>
        <v/>
      </c>
      <c r="F474" s="261" t="str">
        <f>IF(CTR1_Local!$T505="","",IF(CTR1_Local!$T505="Yes","Removed",""))</f>
        <v/>
      </c>
      <c r="G474" t="str">
        <f>IF(CTR1_Local!$N505="","",IF(F474="Removed","",CTR1_Local!$N505))</f>
        <v/>
      </c>
      <c r="H474" t="str">
        <f>IF(CTR1_Local!$P505="","",IF($F474="Removed","",CTR1_Local!$P505))</f>
        <v/>
      </c>
      <c r="I474" t="str">
        <f>IF(CTR1_Local!$R505="","",IF($F474="Removed","",CTR1_Local!$R505))</f>
        <v/>
      </c>
      <c r="J474" s="160" t="str">
        <f>CTR1_Local!$H505</f>
        <v/>
      </c>
      <c r="K474" s="340" t="str">
        <f>CTR1_Local!$J505</f>
        <v/>
      </c>
      <c r="L474" s="350" t="str">
        <f>CTR1_Local!$L505</f>
        <v/>
      </c>
      <c r="M474" s="261" t="str">
        <f>IF(CTR1_Local!$V505="","",IF(CTR1_Local!$V505="Yes","confirm",""))</f>
        <v/>
      </c>
      <c r="N474" t="str">
        <f>IF(CTR1_Local!$W505="","",CTR1_Local!$W505)</f>
        <v/>
      </c>
    </row>
    <row r="475" spans="1:14" x14ac:dyDescent="0.2">
      <c r="A475" s="287" t="str">
        <f>IF(CTR1_Local!$D506="",CTR1_Local!B506,CTR1_Local!$D506)</f>
        <v/>
      </c>
      <c r="B475" s="26" t="str">
        <f>IF(A475="","",IF(RIGHT(A475,3)="NEW","Add new / another parish",CTR1_Local!$AN506))</f>
        <v/>
      </c>
      <c r="C475" s="26" t="str">
        <f t="shared" si="7"/>
        <v/>
      </c>
      <c r="D475" s="177" t="str">
        <f>IF(A475="","",IF(RIGHT(A475,3)="NEW",CTR1_Local!$E506,IF(CTR1_Local!$AO506="change",CTR1_Local!$E506,"")))</f>
        <v/>
      </c>
      <c r="E475" t="str">
        <f>IF(CTR1_Local!$F506="","",CTR1_Local!$F506)</f>
        <v/>
      </c>
      <c r="F475" s="261" t="str">
        <f>IF(CTR1_Local!$T506="","",IF(CTR1_Local!$T506="Yes","Removed",""))</f>
        <v/>
      </c>
      <c r="G475" t="str">
        <f>IF(CTR1_Local!$N506="","",IF(F475="Removed","",CTR1_Local!$N506))</f>
        <v/>
      </c>
      <c r="H475" t="str">
        <f>IF(CTR1_Local!$P506="","",IF($F475="Removed","",CTR1_Local!$P506))</f>
        <v/>
      </c>
      <c r="I475" t="str">
        <f>IF(CTR1_Local!$R506="","",IF($F475="Removed","",CTR1_Local!$R506))</f>
        <v/>
      </c>
      <c r="J475" s="160" t="str">
        <f>CTR1_Local!$H506</f>
        <v/>
      </c>
      <c r="K475" s="340" t="str">
        <f>CTR1_Local!$J506</f>
        <v/>
      </c>
      <c r="L475" s="350" t="str">
        <f>CTR1_Local!$L506</f>
        <v/>
      </c>
      <c r="M475" s="261" t="str">
        <f>IF(CTR1_Local!$V506="","",IF(CTR1_Local!$V506="Yes","confirm",""))</f>
        <v/>
      </c>
      <c r="N475" t="str">
        <f>IF(CTR1_Local!$W506="","",CTR1_Local!$W506)</f>
        <v/>
      </c>
    </row>
    <row r="476" spans="1:14" x14ac:dyDescent="0.2">
      <c r="A476" s="287" t="str">
        <f>IF(CTR1_Local!$D507="",CTR1_Local!B507,CTR1_Local!$D507)</f>
        <v/>
      </c>
      <c r="B476" s="26" t="str">
        <f>IF(A476="","",IF(RIGHT(A476,3)="NEW","Add new / another parish",CTR1_Local!$AN507))</f>
        <v/>
      </c>
      <c r="C476" s="26" t="str">
        <f t="shared" si="7"/>
        <v/>
      </c>
      <c r="D476" s="177" t="str">
        <f>IF(A476="","",IF(RIGHT(A476,3)="NEW",CTR1_Local!$E507,IF(CTR1_Local!$AO507="change",CTR1_Local!$E507,"")))</f>
        <v/>
      </c>
      <c r="E476" t="str">
        <f>IF(CTR1_Local!$F507="","",CTR1_Local!$F507)</f>
        <v/>
      </c>
      <c r="F476" s="261" t="str">
        <f>IF(CTR1_Local!$T507="","",IF(CTR1_Local!$T507="Yes","Removed",""))</f>
        <v/>
      </c>
      <c r="G476" t="str">
        <f>IF(CTR1_Local!$N507="","",IF(F476="Removed","",CTR1_Local!$N507))</f>
        <v/>
      </c>
      <c r="H476" t="str">
        <f>IF(CTR1_Local!$P507="","",IF($F476="Removed","",CTR1_Local!$P507))</f>
        <v/>
      </c>
      <c r="I476" t="str">
        <f>IF(CTR1_Local!$R507="","",IF($F476="Removed","",CTR1_Local!$R507))</f>
        <v/>
      </c>
      <c r="J476" s="160" t="str">
        <f>CTR1_Local!$H507</f>
        <v/>
      </c>
      <c r="K476" s="340" t="str">
        <f>CTR1_Local!$J507</f>
        <v/>
      </c>
      <c r="L476" s="350" t="str">
        <f>CTR1_Local!$L507</f>
        <v/>
      </c>
      <c r="M476" s="261" t="str">
        <f>IF(CTR1_Local!$V507="","",IF(CTR1_Local!$V507="Yes","confirm",""))</f>
        <v/>
      </c>
      <c r="N476" t="str">
        <f>IF(CTR1_Local!$W507="","",CTR1_Local!$W507)</f>
        <v/>
      </c>
    </row>
    <row r="477" spans="1:14" x14ac:dyDescent="0.2">
      <c r="A477" s="287" t="str">
        <f>IF(CTR1_Local!$D508="",CTR1_Local!B508,CTR1_Local!$D508)</f>
        <v/>
      </c>
      <c r="B477" s="26" t="str">
        <f>IF(A477="","",IF(RIGHT(A477,3)="NEW","Add new / another parish",CTR1_Local!$AN508))</f>
        <v/>
      </c>
      <c r="C477" s="26" t="str">
        <f t="shared" si="7"/>
        <v/>
      </c>
      <c r="D477" s="177" t="str">
        <f>IF(A477="","",IF(RIGHT(A477,3)="NEW",CTR1_Local!$E508,IF(CTR1_Local!$AO508="change",CTR1_Local!$E508,"")))</f>
        <v/>
      </c>
      <c r="E477" t="str">
        <f>IF(CTR1_Local!$F508="","",CTR1_Local!$F508)</f>
        <v/>
      </c>
      <c r="F477" s="261" t="str">
        <f>IF(CTR1_Local!$T508="","",IF(CTR1_Local!$T508="Yes","Removed",""))</f>
        <v/>
      </c>
      <c r="G477" t="str">
        <f>IF(CTR1_Local!$N508="","",IF(F477="Removed","",CTR1_Local!$N508))</f>
        <v/>
      </c>
      <c r="H477" t="str">
        <f>IF(CTR1_Local!$P508="","",IF($F477="Removed","",CTR1_Local!$P508))</f>
        <v/>
      </c>
      <c r="I477" t="str">
        <f>IF(CTR1_Local!$R508="","",IF($F477="Removed","",CTR1_Local!$R508))</f>
        <v/>
      </c>
      <c r="J477" s="160" t="str">
        <f>CTR1_Local!$H508</f>
        <v/>
      </c>
      <c r="K477" s="340" t="str">
        <f>CTR1_Local!$J508</f>
        <v/>
      </c>
      <c r="L477" s="350" t="str">
        <f>CTR1_Local!$L508</f>
        <v/>
      </c>
      <c r="M477" s="261" t="str">
        <f>IF(CTR1_Local!$V508="","",IF(CTR1_Local!$V508="Yes","confirm",""))</f>
        <v/>
      </c>
      <c r="N477" t="str">
        <f>IF(CTR1_Local!$W508="","",CTR1_Local!$W508)</f>
        <v/>
      </c>
    </row>
    <row r="478" spans="1:14" x14ac:dyDescent="0.2">
      <c r="A478" s="287" t="str">
        <f>IF(CTR1_Local!$D509="",CTR1_Local!B509,CTR1_Local!$D509)</f>
        <v/>
      </c>
      <c r="B478" s="26" t="str">
        <f>IF(A478="","",IF(RIGHT(A478,3)="NEW","Add new / another parish",CTR1_Local!$AN509))</f>
        <v/>
      </c>
      <c r="C478" s="26" t="str">
        <f t="shared" si="7"/>
        <v/>
      </c>
      <c r="D478" s="177" t="str">
        <f>IF(A478="","",IF(RIGHT(A478,3)="NEW",CTR1_Local!$E509,IF(CTR1_Local!$AO509="change",CTR1_Local!$E509,"")))</f>
        <v/>
      </c>
      <c r="E478" t="str">
        <f>IF(CTR1_Local!$F509="","",CTR1_Local!$F509)</f>
        <v/>
      </c>
      <c r="F478" s="261" t="str">
        <f>IF(CTR1_Local!$T509="","",IF(CTR1_Local!$T509="Yes","Removed",""))</f>
        <v/>
      </c>
      <c r="G478" t="str">
        <f>IF(CTR1_Local!$N509="","",IF(F478="Removed","",CTR1_Local!$N509))</f>
        <v/>
      </c>
      <c r="H478" t="str">
        <f>IF(CTR1_Local!$P509="","",IF($F478="Removed","",CTR1_Local!$P509))</f>
        <v/>
      </c>
      <c r="I478" t="str">
        <f>IF(CTR1_Local!$R509="","",IF($F478="Removed","",CTR1_Local!$R509))</f>
        <v/>
      </c>
      <c r="J478" s="160" t="str">
        <f>CTR1_Local!$H509</f>
        <v/>
      </c>
      <c r="K478" s="340" t="str">
        <f>CTR1_Local!$J509</f>
        <v/>
      </c>
      <c r="L478" s="350" t="str">
        <f>CTR1_Local!$L509</f>
        <v/>
      </c>
      <c r="M478" s="261" t="str">
        <f>IF(CTR1_Local!$V509="","",IF(CTR1_Local!$V509="Yes","confirm",""))</f>
        <v/>
      </c>
      <c r="N478" t="str">
        <f>IF(CTR1_Local!$W509="","",CTR1_Local!$W509)</f>
        <v/>
      </c>
    </row>
    <row r="479" spans="1:14" x14ac:dyDescent="0.2">
      <c r="A479" s="287" t="str">
        <f>IF(CTR1_Local!$D510="",CTR1_Local!B510,CTR1_Local!$D510)</f>
        <v/>
      </c>
      <c r="B479" s="26" t="str">
        <f>IF(A479="","",IF(RIGHT(A479,3)="NEW","Add new / another parish",CTR1_Local!$AN510))</f>
        <v/>
      </c>
      <c r="C479" s="26" t="str">
        <f t="shared" si="7"/>
        <v/>
      </c>
      <c r="D479" s="177" t="str">
        <f>IF(A479="","",IF(RIGHT(A479,3)="NEW",CTR1_Local!$E510,IF(CTR1_Local!$AO510="change",CTR1_Local!$E510,"")))</f>
        <v/>
      </c>
      <c r="E479" t="str">
        <f>IF(CTR1_Local!$F510="","",CTR1_Local!$F510)</f>
        <v/>
      </c>
      <c r="F479" s="261" t="str">
        <f>IF(CTR1_Local!$T510="","",IF(CTR1_Local!$T510="Yes","Removed",""))</f>
        <v/>
      </c>
      <c r="G479" t="str">
        <f>IF(CTR1_Local!$N510="","",IF(F479="Removed","",CTR1_Local!$N510))</f>
        <v/>
      </c>
      <c r="H479" t="str">
        <f>IF(CTR1_Local!$P510="","",IF($F479="Removed","",CTR1_Local!$P510))</f>
        <v/>
      </c>
      <c r="I479" t="str">
        <f>IF(CTR1_Local!$R510="","",IF($F479="Removed","",CTR1_Local!$R510))</f>
        <v/>
      </c>
      <c r="J479" s="160" t="str">
        <f>CTR1_Local!$H510</f>
        <v/>
      </c>
      <c r="K479" s="340" t="str">
        <f>CTR1_Local!$J510</f>
        <v/>
      </c>
      <c r="L479" s="350" t="str">
        <f>CTR1_Local!$L510</f>
        <v/>
      </c>
      <c r="M479" s="261" t="str">
        <f>IF(CTR1_Local!$V510="","",IF(CTR1_Local!$V510="Yes","confirm",""))</f>
        <v/>
      </c>
      <c r="N479" t="str">
        <f>IF(CTR1_Local!$W510="","",CTR1_Local!$W510)</f>
        <v/>
      </c>
    </row>
    <row r="480" spans="1:14" x14ac:dyDescent="0.2">
      <c r="A480" s="287" t="str">
        <f>IF(CTR1_Local!$D511="",CTR1_Local!B511,CTR1_Local!$D511)</f>
        <v/>
      </c>
      <c r="B480" s="26" t="str">
        <f>IF(A480="","",IF(RIGHT(A480,3)="NEW","Add new / another parish",CTR1_Local!$AN511))</f>
        <v/>
      </c>
      <c r="C480" s="26" t="str">
        <f t="shared" si="7"/>
        <v/>
      </c>
      <c r="D480" s="177" t="str">
        <f>IF(A480="","",IF(RIGHT(A480,3)="NEW",CTR1_Local!$E511,IF(CTR1_Local!$AO511="change",CTR1_Local!$E511,"")))</f>
        <v/>
      </c>
      <c r="E480" t="str">
        <f>IF(CTR1_Local!$F511="","",CTR1_Local!$F511)</f>
        <v/>
      </c>
      <c r="F480" s="261" t="str">
        <f>IF(CTR1_Local!$T511="","",IF(CTR1_Local!$T511="Yes","Removed",""))</f>
        <v/>
      </c>
      <c r="G480" t="str">
        <f>IF(CTR1_Local!$N511="","",IF(F480="Removed","",CTR1_Local!$N511))</f>
        <v/>
      </c>
      <c r="H480" t="str">
        <f>IF(CTR1_Local!$P511="","",IF($F480="Removed","",CTR1_Local!$P511))</f>
        <v/>
      </c>
      <c r="I480" t="str">
        <f>IF(CTR1_Local!$R511="","",IF($F480="Removed","",CTR1_Local!$R511))</f>
        <v/>
      </c>
      <c r="J480" s="160" t="str">
        <f>CTR1_Local!$H511</f>
        <v/>
      </c>
      <c r="K480" s="340" t="str">
        <f>CTR1_Local!$J511</f>
        <v/>
      </c>
      <c r="L480" s="350" t="str">
        <f>CTR1_Local!$L511</f>
        <v/>
      </c>
      <c r="M480" s="261" t="str">
        <f>IF(CTR1_Local!$V511="","",IF(CTR1_Local!$V511="Yes","confirm",""))</f>
        <v/>
      </c>
      <c r="N480" t="str">
        <f>IF(CTR1_Local!$W511="","",CTR1_Local!$W511)</f>
        <v/>
      </c>
    </row>
    <row r="481" spans="1:14" x14ac:dyDescent="0.2">
      <c r="A481" s="287" t="str">
        <f>IF(CTR1_Local!$D512="",CTR1_Local!B512,CTR1_Local!$D512)</f>
        <v/>
      </c>
      <c r="B481" s="26" t="str">
        <f>IF(A481="","",IF(RIGHT(A481,3)="NEW","Add new / another parish",CTR1_Local!$AN512))</f>
        <v/>
      </c>
      <c r="C481" s="26" t="str">
        <f t="shared" si="7"/>
        <v/>
      </c>
      <c r="D481" s="177" t="str">
        <f>IF(A481="","",IF(RIGHT(A481,3)="NEW",CTR1_Local!$E512,IF(CTR1_Local!$AO512="change",CTR1_Local!$E512,"")))</f>
        <v/>
      </c>
      <c r="E481" t="str">
        <f>IF(CTR1_Local!$F512="","",CTR1_Local!$F512)</f>
        <v/>
      </c>
      <c r="F481" s="261" t="str">
        <f>IF(CTR1_Local!$T512="","",IF(CTR1_Local!$T512="Yes","Removed",""))</f>
        <v/>
      </c>
      <c r="G481" t="str">
        <f>IF(CTR1_Local!$N512="","",IF(F481="Removed","",CTR1_Local!$N512))</f>
        <v/>
      </c>
      <c r="H481" t="str">
        <f>IF(CTR1_Local!$P512="","",IF($F481="Removed","",CTR1_Local!$P512))</f>
        <v/>
      </c>
      <c r="I481" t="str">
        <f>IF(CTR1_Local!$R512="","",IF($F481="Removed","",CTR1_Local!$R512))</f>
        <v/>
      </c>
      <c r="J481" s="160" t="str">
        <f>CTR1_Local!$H512</f>
        <v/>
      </c>
      <c r="K481" s="340" t="str">
        <f>CTR1_Local!$J512</f>
        <v/>
      </c>
      <c r="L481" s="350" t="str">
        <f>CTR1_Local!$L512</f>
        <v/>
      </c>
      <c r="M481" s="261" t="str">
        <f>IF(CTR1_Local!$V512="","",IF(CTR1_Local!$V512="Yes","confirm",""))</f>
        <v/>
      </c>
      <c r="N481" t="str">
        <f>IF(CTR1_Local!$W512="","",CTR1_Local!$W512)</f>
        <v/>
      </c>
    </row>
    <row r="482" spans="1:14" x14ac:dyDescent="0.2">
      <c r="A482" s="287" t="str">
        <f>IF(CTR1_Local!$D513="",CTR1_Local!B513,CTR1_Local!$D513)</f>
        <v/>
      </c>
      <c r="B482" s="26" t="str">
        <f>IF(A482="","",IF(RIGHT(A482,3)="NEW","Add new / another parish",CTR1_Local!$AN513))</f>
        <v/>
      </c>
      <c r="C482" s="26" t="str">
        <f t="shared" si="7"/>
        <v/>
      </c>
      <c r="D482" s="177" t="str">
        <f>IF(A482="","",IF(RIGHT(A482,3)="NEW",CTR1_Local!$E513,IF(CTR1_Local!$AO513="change",CTR1_Local!$E513,"")))</f>
        <v/>
      </c>
      <c r="E482" t="str">
        <f>IF(CTR1_Local!$F513="","",CTR1_Local!$F513)</f>
        <v/>
      </c>
      <c r="F482" s="261" t="str">
        <f>IF(CTR1_Local!$T513="","",IF(CTR1_Local!$T513="Yes","Removed",""))</f>
        <v/>
      </c>
      <c r="G482" t="str">
        <f>IF(CTR1_Local!$N513="","",IF(F482="Removed","",CTR1_Local!$N513))</f>
        <v/>
      </c>
      <c r="H482" t="str">
        <f>IF(CTR1_Local!$P513="","",IF($F482="Removed","",CTR1_Local!$P513))</f>
        <v/>
      </c>
      <c r="I482" t="str">
        <f>IF(CTR1_Local!$R513="","",IF($F482="Removed","",CTR1_Local!$R513))</f>
        <v/>
      </c>
      <c r="J482" s="160" t="str">
        <f>CTR1_Local!$H513</f>
        <v/>
      </c>
      <c r="K482" s="340" t="str">
        <f>CTR1_Local!$J513</f>
        <v/>
      </c>
      <c r="L482" s="350" t="str">
        <f>CTR1_Local!$L513</f>
        <v/>
      </c>
      <c r="M482" s="261" t="str">
        <f>IF(CTR1_Local!$V513="","",IF(CTR1_Local!$V513="Yes","confirm",""))</f>
        <v/>
      </c>
      <c r="N482" t="str">
        <f>IF(CTR1_Local!$W513="","",CTR1_Local!$W513)</f>
        <v/>
      </c>
    </row>
    <row r="483" spans="1:14" x14ac:dyDescent="0.2">
      <c r="A483" s="287" t="str">
        <f>IF(CTR1_Local!$D514="",CTR1_Local!B514,CTR1_Local!$D514)</f>
        <v/>
      </c>
      <c r="B483" s="26" t="str">
        <f>IF(A483="","",IF(RIGHT(A483,3)="NEW","Add new / another parish",CTR1_Local!$AN514))</f>
        <v/>
      </c>
      <c r="C483" s="26" t="str">
        <f t="shared" si="7"/>
        <v/>
      </c>
      <c r="D483" s="177" t="str">
        <f>IF(A483="","",IF(RIGHT(A483,3)="NEW",CTR1_Local!$E514,IF(CTR1_Local!$AO514="change",CTR1_Local!$E514,"")))</f>
        <v/>
      </c>
      <c r="E483" t="str">
        <f>IF(CTR1_Local!$F514="","",CTR1_Local!$F514)</f>
        <v/>
      </c>
      <c r="F483" s="261" t="str">
        <f>IF(CTR1_Local!$T514="","",IF(CTR1_Local!$T514="Yes","Removed",""))</f>
        <v/>
      </c>
      <c r="G483" t="str">
        <f>IF(CTR1_Local!$N514="","",IF(F483="Removed","",CTR1_Local!$N514))</f>
        <v/>
      </c>
      <c r="H483" t="str">
        <f>IF(CTR1_Local!$P514="","",IF($F483="Removed","",CTR1_Local!$P514))</f>
        <v/>
      </c>
      <c r="I483" t="str">
        <f>IF(CTR1_Local!$R514="","",IF($F483="Removed","",CTR1_Local!$R514))</f>
        <v/>
      </c>
      <c r="J483" s="160" t="str">
        <f>CTR1_Local!$H514</f>
        <v/>
      </c>
      <c r="K483" s="340" t="str">
        <f>CTR1_Local!$J514</f>
        <v/>
      </c>
      <c r="L483" s="350" t="str">
        <f>CTR1_Local!$L514</f>
        <v/>
      </c>
      <c r="M483" s="261" t="str">
        <f>IF(CTR1_Local!$V514="","",IF(CTR1_Local!$V514="Yes","confirm",""))</f>
        <v/>
      </c>
      <c r="N483" t="str">
        <f>IF(CTR1_Local!$W514="","",CTR1_Local!$W514)</f>
        <v/>
      </c>
    </row>
    <row r="484" spans="1:14" x14ac:dyDescent="0.2">
      <c r="A484" s="287" t="str">
        <f>IF(CTR1_Local!$D515="",CTR1_Local!B515,CTR1_Local!$D515)</f>
        <v/>
      </c>
      <c r="B484" s="26" t="str">
        <f>IF(A484="","",IF(RIGHT(A484,3)="NEW","Add new / another parish",CTR1_Local!$AN515))</f>
        <v/>
      </c>
      <c r="C484" s="26" t="str">
        <f t="shared" si="7"/>
        <v/>
      </c>
      <c r="D484" s="177" t="str">
        <f>IF(A484="","",IF(RIGHT(A484,3)="NEW",CTR1_Local!$E515,IF(CTR1_Local!$AO515="change",CTR1_Local!$E515,"")))</f>
        <v/>
      </c>
      <c r="E484" t="str">
        <f>IF(CTR1_Local!$F515="","",CTR1_Local!$F515)</f>
        <v/>
      </c>
      <c r="F484" s="261" t="str">
        <f>IF(CTR1_Local!$T515="","",IF(CTR1_Local!$T515="Yes","Removed",""))</f>
        <v/>
      </c>
      <c r="G484" t="str">
        <f>IF(CTR1_Local!$N515="","",IF(F484="Removed","",CTR1_Local!$N515))</f>
        <v/>
      </c>
      <c r="H484" t="str">
        <f>IF(CTR1_Local!$P515="","",IF($F484="Removed","",CTR1_Local!$P515))</f>
        <v/>
      </c>
      <c r="I484" t="str">
        <f>IF(CTR1_Local!$R515="","",IF($F484="Removed","",CTR1_Local!$R515))</f>
        <v/>
      </c>
      <c r="J484" s="160" t="str">
        <f>CTR1_Local!$H515</f>
        <v/>
      </c>
      <c r="K484" s="340" t="str">
        <f>CTR1_Local!$J515</f>
        <v/>
      </c>
      <c r="L484" s="350" t="str">
        <f>CTR1_Local!$L515</f>
        <v/>
      </c>
      <c r="M484" s="261" t="str">
        <f>IF(CTR1_Local!$V515="","",IF(CTR1_Local!$V515="Yes","confirm",""))</f>
        <v/>
      </c>
      <c r="N484" t="str">
        <f>IF(CTR1_Local!$W515="","",CTR1_Local!$W515)</f>
        <v/>
      </c>
    </row>
    <row r="485" spans="1:14" x14ac:dyDescent="0.2">
      <c r="A485" s="287" t="str">
        <f>IF(CTR1_Local!$D516="",CTR1_Local!B516,CTR1_Local!$D516)</f>
        <v/>
      </c>
      <c r="B485" s="26" t="str">
        <f>IF(A485="","",IF(RIGHT(A485,3)="NEW","Add new / another parish",CTR1_Local!$AN516))</f>
        <v/>
      </c>
      <c r="C485" s="26" t="str">
        <f t="shared" si="7"/>
        <v/>
      </c>
      <c r="D485" s="177" t="str">
        <f>IF(A485="","",IF(RIGHT(A485,3)="NEW",CTR1_Local!$E516,IF(CTR1_Local!$AO516="change",CTR1_Local!$E516,"")))</f>
        <v/>
      </c>
      <c r="E485" t="str">
        <f>IF(CTR1_Local!$F516="","",CTR1_Local!$F516)</f>
        <v/>
      </c>
      <c r="F485" s="261" t="str">
        <f>IF(CTR1_Local!$T516="","",IF(CTR1_Local!$T516="Yes","Removed",""))</f>
        <v/>
      </c>
      <c r="G485" t="str">
        <f>IF(CTR1_Local!$N516="","",IF(F485="Removed","",CTR1_Local!$N516))</f>
        <v/>
      </c>
      <c r="H485" t="str">
        <f>IF(CTR1_Local!$P516="","",IF($F485="Removed","",CTR1_Local!$P516))</f>
        <v/>
      </c>
      <c r="I485" t="str">
        <f>IF(CTR1_Local!$R516="","",IF($F485="Removed","",CTR1_Local!$R516))</f>
        <v/>
      </c>
      <c r="J485" s="160" t="str">
        <f>CTR1_Local!$H516</f>
        <v/>
      </c>
      <c r="K485" s="340" t="str">
        <f>CTR1_Local!$J516</f>
        <v/>
      </c>
      <c r="L485" s="350" t="str">
        <f>CTR1_Local!$L516</f>
        <v/>
      </c>
      <c r="M485" s="261" t="str">
        <f>IF(CTR1_Local!$V516="","",IF(CTR1_Local!$V516="Yes","confirm",""))</f>
        <v/>
      </c>
      <c r="N485" t="str">
        <f>IF(CTR1_Local!$W516="","",CTR1_Local!$W516)</f>
        <v/>
      </c>
    </row>
    <row r="486" spans="1:14" x14ac:dyDescent="0.2">
      <c r="A486" s="287" t="str">
        <f>IF(CTR1_Local!$D517="",CTR1_Local!B517,CTR1_Local!$D517)</f>
        <v/>
      </c>
      <c r="B486" s="26" t="str">
        <f>IF(A486="","",IF(RIGHT(A486,3)="NEW","Add new / another parish",CTR1_Local!$AN517))</f>
        <v/>
      </c>
      <c r="C486" s="26" t="str">
        <f t="shared" si="7"/>
        <v/>
      </c>
      <c r="D486" s="177" t="str">
        <f>IF(A486="","",IF(RIGHT(A486,3)="NEW",CTR1_Local!$E517,IF(CTR1_Local!$AO517="change",CTR1_Local!$E517,"")))</f>
        <v/>
      </c>
      <c r="E486" t="str">
        <f>IF(CTR1_Local!$F517="","",CTR1_Local!$F517)</f>
        <v/>
      </c>
      <c r="F486" s="261" t="str">
        <f>IF(CTR1_Local!$T517="","",IF(CTR1_Local!$T517="Yes","Removed",""))</f>
        <v/>
      </c>
      <c r="G486" t="str">
        <f>IF(CTR1_Local!$N517="","",IF(F486="Removed","",CTR1_Local!$N517))</f>
        <v/>
      </c>
      <c r="H486" t="str">
        <f>IF(CTR1_Local!$P517="","",IF($F486="Removed","",CTR1_Local!$P517))</f>
        <v/>
      </c>
      <c r="I486" t="str">
        <f>IF(CTR1_Local!$R517="","",IF($F486="Removed","",CTR1_Local!$R517))</f>
        <v/>
      </c>
      <c r="J486" s="160" t="str">
        <f>CTR1_Local!$H517</f>
        <v/>
      </c>
      <c r="K486" s="340" t="str">
        <f>CTR1_Local!$J517</f>
        <v/>
      </c>
      <c r="L486" s="350" t="str">
        <f>CTR1_Local!$L517</f>
        <v/>
      </c>
      <c r="M486" s="261" t="str">
        <f>IF(CTR1_Local!$V517="","",IF(CTR1_Local!$V517="Yes","confirm",""))</f>
        <v/>
      </c>
      <c r="N486" t="str">
        <f>IF(CTR1_Local!$W517="","",CTR1_Local!$W517)</f>
        <v/>
      </c>
    </row>
    <row r="487" spans="1:14" x14ac:dyDescent="0.2">
      <c r="A487" s="287" t="str">
        <f>IF(CTR1_Local!$D518="",CTR1_Local!B518,CTR1_Local!$D518)</f>
        <v/>
      </c>
      <c r="B487" s="26" t="str">
        <f>IF(A487="","",IF(RIGHT(A487,3)="NEW","Add new / another parish",CTR1_Local!$AN518))</f>
        <v/>
      </c>
      <c r="C487" s="26" t="str">
        <f t="shared" si="7"/>
        <v/>
      </c>
      <c r="D487" s="177" t="str">
        <f>IF(A487="","",IF(RIGHT(A487,3)="NEW",CTR1_Local!$E518,IF(CTR1_Local!$AO518="change",CTR1_Local!$E518,"")))</f>
        <v/>
      </c>
      <c r="E487" t="str">
        <f>IF(CTR1_Local!$F518="","",CTR1_Local!$F518)</f>
        <v/>
      </c>
      <c r="F487" s="261" t="str">
        <f>IF(CTR1_Local!$T518="","",IF(CTR1_Local!$T518="Yes","Removed",""))</f>
        <v/>
      </c>
      <c r="G487" t="str">
        <f>IF(CTR1_Local!$N518="","",IF(F487="Removed","",CTR1_Local!$N518))</f>
        <v/>
      </c>
      <c r="H487" t="str">
        <f>IF(CTR1_Local!$P518="","",IF($F487="Removed","",CTR1_Local!$P518))</f>
        <v/>
      </c>
      <c r="I487" t="str">
        <f>IF(CTR1_Local!$R518="","",IF($F487="Removed","",CTR1_Local!$R518))</f>
        <v/>
      </c>
      <c r="J487" s="160" t="str">
        <f>CTR1_Local!$H518</f>
        <v/>
      </c>
      <c r="K487" s="340" t="str">
        <f>CTR1_Local!$J518</f>
        <v/>
      </c>
      <c r="L487" s="350" t="str">
        <f>CTR1_Local!$L518</f>
        <v/>
      </c>
      <c r="M487" s="261" t="str">
        <f>IF(CTR1_Local!$V518="","",IF(CTR1_Local!$V518="Yes","confirm",""))</f>
        <v/>
      </c>
      <c r="N487" t="str">
        <f>IF(CTR1_Local!$W518="","",CTR1_Local!$W518)</f>
        <v/>
      </c>
    </row>
    <row r="488" spans="1:14" x14ac:dyDescent="0.2">
      <c r="A488" s="287" t="str">
        <f>IF(CTR1_Local!$D519="",CTR1_Local!B519,CTR1_Local!$D519)</f>
        <v/>
      </c>
      <c r="B488" s="26" t="str">
        <f>IF(A488="","",IF(RIGHT(A488,3)="NEW","Add new / another parish",CTR1_Local!$AN519))</f>
        <v/>
      </c>
      <c r="C488" s="26" t="str">
        <f t="shared" si="7"/>
        <v/>
      </c>
      <c r="D488" s="177" t="str">
        <f>IF(A488="","",IF(RIGHT(A488,3)="NEW",CTR1_Local!$E519,IF(CTR1_Local!$AO519="change",CTR1_Local!$E519,"")))</f>
        <v/>
      </c>
      <c r="E488" t="str">
        <f>IF(CTR1_Local!$F519="","",CTR1_Local!$F519)</f>
        <v/>
      </c>
      <c r="F488" s="261" t="str">
        <f>IF(CTR1_Local!$T519="","",IF(CTR1_Local!$T519="Yes","Removed",""))</f>
        <v/>
      </c>
      <c r="G488" t="str">
        <f>IF(CTR1_Local!$N519="","",IF(F488="Removed","",CTR1_Local!$N519))</f>
        <v/>
      </c>
      <c r="H488" t="str">
        <f>IF(CTR1_Local!$P519="","",IF($F488="Removed","",CTR1_Local!$P519))</f>
        <v/>
      </c>
      <c r="I488" t="str">
        <f>IF(CTR1_Local!$R519="","",IF($F488="Removed","",CTR1_Local!$R519))</f>
        <v/>
      </c>
      <c r="J488" s="160" t="str">
        <f>CTR1_Local!$H519</f>
        <v/>
      </c>
      <c r="K488" s="340" t="str">
        <f>CTR1_Local!$J519</f>
        <v/>
      </c>
      <c r="L488" s="350" t="str">
        <f>CTR1_Local!$L519</f>
        <v/>
      </c>
      <c r="M488" s="261" t="str">
        <f>IF(CTR1_Local!$V519="","",IF(CTR1_Local!$V519="Yes","confirm",""))</f>
        <v/>
      </c>
      <c r="N488" t="str">
        <f>IF(CTR1_Local!$W519="","",CTR1_Local!$W519)</f>
        <v/>
      </c>
    </row>
    <row r="489" spans="1:14" x14ac:dyDescent="0.2">
      <c r="A489" s="287" t="str">
        <f>IF(CTR1_Local!$D520="",CTR1_Local!B520,CTR1_Local!$D520)</f>
        <v/>
      </c>
      <c r="B489" s="26" t="str">
        <f>IF(A489="","",IF(RIGHT(A489,3)="NEW","Add new / another parish",CTR1_Local!$AN520))</f>
        <v/>
      </c>
      <c r="C489" s="26" t="str">
        <f t="shared" si="7"/>
        <v/>
      </c>
      <c r="D489" s="177" t="str">
        <f>IF(A489="","",IF(RIGHT(A489,3)="NEW",CTR1_Local!$E520,IF(CTR1_Local!$AO520="change",CTR1_Local!$E520,"")))</f>
        <v/>
      </c>
      <c r="E489" t="str">
        <f>IF(CTR1_Local!$F520="","",CTR1_Local!$F520)</f>
        <v/>
      </c>
      <c r="F489" s="261" t="str">
        <f>IF(CTR1_Local!$T520="","",IF(CTR1_Local!$T520="Yes","Removed",""))</f>
        <v/>
      </c>
      <c r="G489" t="str">
        <f>IF(CTR1_Local!$N520="","",IF(F489="Removed","",CTR1_Local!$N520))</f>
        <v/>
      </c>
      <c r="H489" t="str">
        <f>IF(CTR1_Local!$P520="","",IF($F489="Removed","",CTR1_Local!$P520))</f>
        <v/>
      </c>
      <c r="I489" t="str">
        <f>IF(CTR1_Local!$R520="","",IF($F489="Removed","",CTR1_Local!$R520))</f>
        <v/>
      </c>
      <c r="J489" s="160" t="str">
        <f>CTR1_Local!$H520</f>
        <v/>
      </c>
      <c r="K489" s="340" t="str">
        <f>CTR1_Local!$J520</f>
        <v/>
      </c>
      <c r="L489" s="350" t="str">
        <f>CTR1_Local!$L520</f>
        <v/>
      </c>
      <c r="M489" s="261" t="str">
        <f>IF(CTR1_Local!$V520="","",IF(CTR1_Local!$V520="Yes","confirm",""))</f>
        <v/>
      </c>
      <c r="N489" t="str">
        <f>IF(CTR1_Local!$W520="","",CTR1_Local!$W520)</f>
        <v/>
      </c>
    </row>
    <row r="490" spans="1:14" x14ac:dyDescent="0.2">
      <c r="A490" s="287" t="str">
        <f>IF(CTR1_Local!$D521="",CTR1_Local!B521,CTR1_Local!$D521)</f>
        <v/>
      </c>
      <c r="B490" s="26" t="str">
        <f>IF(A490="","",IF(RIGHT(A490,3)="NEW","Add new / another parish",CTR1_Local!$AN521))</f>
        <v/>
      </c>
      <c r="C490" s="26" t="str">
        <f t="shared" si="7"/>
        <v/>
      </c>
      <c r="D490" s="177" t="str">
        <f>IF(A490="","",IF(RIGHT(A490,3)="NEW",CTR1_Local!$E521,IF(CTR1_Local!$AO521="change",CTR1_Local!$E521,"")))</f>
        <v/>
      </c>
      <c r="E490" t="str">
        <f>IF(CTR1_Local!$F521="","",CTR1_Local!$F521)</f>
        <v/>
      </c>
      <c r="F490" s="261" t="str">
        <f>IF(CTR1_Local!$T521="","",IF(CTR1_Local!$T521="Yes","Removed",""))</f>
        <v/>
      </c>
      <c r="G490" t="str">
        <f>IF(CTR1_Local!$N521="","",IF(F490="Removed","",CTR1_Local!$N521))</f>
        <v/>
      </c>
      <c r="H490" t="str">
        <f>IF(CTR1_Local!$P521="","",IF($F490="Removed","",CTR1_Local!$P521))</f>
        <v/>
      </c>
      <c r="I490" t="str">
        <f>IF(CTR1_Local!$R521="","",IF($F490="Removed","",CTR1_Local!$R521))</f>
        <v/>
      </c>
      <c r="J490" s="160" t="str">
        <f>CTR1_Local!$H521</f>
        <v/>
      </c>
      <c r="K490" s="340" t="str">
        <f>CTR1_Local!$J521</f>
        <v/>
      </c>
      <c r="L490" s="350" t="str">
        <f>CTR1_Local!$L521</f>
        <v/>
      </c>
      <c r="M490" s="261" t="str">
        <f>IF(CTR1_Local!$V521="","",IF(CTR1_Local!$V521="Yes","confirm",""))</f>
        <v/>
      </c>
      <c r="N490" t="str">
        <f>IF(CTR1_Local!$W521="","",CTR1_Local!$W521)</f>
        <v/>
      </c>
    </row>
    <row r="491" spans="1:14" x14ac:dyDescent="0.2">
      <c r="A491" s="287" t="str">
        <f>IF(CTR1_Local!$D522="",CTR1_Local!B522,CTR1_Local!$D522)</f>
        <v/>
      </c>
      <c r="B491" s="26" t="str">
        <f>IF(A491="","",IF(RIGHT(A491,3)="NEW","Add new / another parish",CTR1_Local!$AN522))</f>
        <v/>
      </c>
      <c r="C491" s="26" t="str">
        <f t="shared" si="7"/>
        <v/>
      </c>
      <c r="D491" s="177" t="str">
        <f>IF(A491="","",IF(RIGHT(A491,3)="NEW",CTR1_Local!$E522,IF(CTR1_Local!$AO522="change",CTR1_Local!$E522,"")))</f>
        <v/>
      </c>
      <c r="E491" t="str">
        <f>IF(CTR1_Local!$F522="","",CTR1_Local!$F522)</f>
        <v/>
      </c>
      <c r="F491" s="261" t="str">
        <f>IF(CTR1_Local!$T522="","",IF(CTR1_Local!$T522="Yes","Removed",""))</f>
        <v/>
      </c>
      <c r="G491" t="str">
        <f>IF(CTR1_Local!$N522="","",IF(F491="Removed","",CTR1_Local!$N522))</f>
        <v/>
      </c>
      <c r="H491" t="str">
        <f>IF(CTR1_Local!$P522="","",IF($F491="Removed","",CTR1_Local!$P522))</f>
        <v/>
      </c>
      <c r="I491" t="str">
        <f>IF(CTR1_Local!$R522="","",IF($F491="Removed","",CTR1_Local!$R522))</f>
        <v/>
      </c>
      <c r="J491" s="160" t="str">
        <f>CTR1_Local!$H522</f>
        <v/>
      </c>
      <c r="K491" s="340" t="str">
        <f>CTR1_Local!$J522</f>
        <v/>
      </c>
      <c r="L491" s="350" t="str">
        <f>CTR1_Local!$L522</f>
        <v/>
      </c>
      <c r="M491" s="261" t="str">
        <f>IF(CTR1_Local!$V522="","",IF(CTR1_Local!$V522="Yes","confirm",""))</f>
        <v/>
      </c>
      <c r="N491" t="str">
        <f>IF(CTR1_Local!$W522="","",CTR1_Local!$W522)</f>
        <v/>
      </c>
    </row>
    <row r="492" spans="1:14" x14ac:dyDescent="0.2">
      <c r="A492" s="287" t="str">
        <f>IF(CTR1_Local!$D523="",CTR1_Local!B523,CTR1_Local!$D523)</f>
        <v/>
      </c>
      <c r="B492" s="26" t="str">
        <f>IF(A492="","",IF(RIGHT(A492,3)="NEW","Add new / another parish",CTR1_Local!$AN523))</f>
        <v/>
      </c>
      <c r="C492" s="26" t="str">
        <f t="shared" si="7"/>
        <v/>
      </c>
      <c r="D492" s="177" t="str">
        <f>IF(A492="","",IF(RIGHT(A492,3)="NEW",CTR1_Local!$E523,IF(CTR1_Local!$AO523="change",CTR1_Local!$E523,"")))</f>
        <v/>
      </c>
      <c r="E492" t="str">
        <f>IF(CTR1_Local!$F523="","",CTR1_Local!$F523)</f>
        <v/>
      </c>
      <c r="F492" s="261" t="str">
        <f>IF(CTR1_Local!$T523="","",IF(CTR1_Local!$T523="Yes","Removed",""))</f>
        <v/>
      </c>
      <c r="G492" t="str">
        <f>IF(CTR1_Local!$N523="","",IF(F492="Removed","",CTR1_Local!$N523))</f>
        <v/>
      </c>
      <c r="H492" t="str">
        <f>IF(CTR1_Local!$P523="","",IF($F492="Removed","",CTR1_Local!$P523))</f>
        <v/>
      </c>
      <c r="I492" t="str">
        <f>IF(CTR1_Local!$R523="","",IF($F492="Removed","",CTR1_Local!$R523))</f>
        <v/>
      </c>
      <c r="J492" s="160" t="str">
        <f>CTR1_Local!$H523</f>
        <v/>
      </c>
      <c r="K492" s="340" t="str">
        <f>CTR1_Local!$J523</f>
        <v/>
      </c>
      <c r="L492" s="350" t="str">
        <f>CTR1_Local!$L523</f>
        <v/>
      </c>
      <c r="M492" s="261" t="str">
        <f>IF(CTR1_Local!$V523="","",IF(CTR1_Local!$V523="Yes","confirm",""))</f>
        <v/>
      </c>
      <c r="N492" t="str">
        <f>IF(CTR1_Local!$W523="","",CTR1_Local!$W523)</f>
        <v/>
      </c>
    </row>
    <row r="493" spans="1:14" x14ac:dyDescent="0.2">
      <c r="A493" s="287" t="str">
        <f>IF(CTR1_Local!$D524="",CTR1_Local!B524,CTR1_Local!$D524)</f>
        <v/>
      </c>
      <c r="B493" s="26" t="str">
        <f>IF(A493="","",IF(RIGHT(A493,3)="NEW","Add new / another parish",CTR1_Local!$AN524))</f>
        <v/>
      </c>
      <c r="C493" s="26" t="str">
        <f t="shared" si="7"/>
        <v/>
      </c>
      <c r="D493" s="177" t="str">
        <f>IF(A493="","",IF(RIGHT(A493,3)="NEW",CTR1_Local!$E524,IF(CTR1_Local!$AO524="change",CTR1_Local!$E524,"")))</f>
        <v/>
      </c>
      <c r="E493" t="str">
        <f>IF(CTR1_Local!$F524="","",CTR1_Local!$F524)</f>
        <v/>
      </c>
      <c r="F493" s="261" t="str">
        <f>IF(CTR1_Local!$T524="","",IF(CTR1_Local!$T524="Yes","Removed",""))</f>
        <v/>
      </c>
      <c r="G493" t="str">
        <f>IF(CTR1_Local!$N524="","",IF(F493="Removed","",CTR1_Local!$N524))</f>
        <v/>
      </c>
      <c r="H493" t="str">
        <f>IF(CTR1_Local!$P524="","",IF($F493="Removed","",CTR1_Local!$P524))</f>
        <v/>
      </c>
      <c r="I493" t="str">
        <f>IF(CTR1_Local!$R524="","",IF($F493="Removed","",CTR1_Local!$R524))</f>
        <v/>
      </c>
      <c r="J493" s="160" t="str">
        <f>CTR1_Local!$H524</f>
        <v/>
      </c>
      <c r="K493" s="340" t="str">
        <f>CTR1_Local!$J524</f>
        <v/>
      </c>
      <c r="L493" s="350" t="str">
        <f>CTR1_Local!$L524</f>
        <v/>
      </c>
      <c r="M493" s="261" t="str">
        <f>IF(CTR1_Local!$V524="","",IF(CTR1_Local!$V524="Yes","confirm",""))</f>
        <v/>
      </c>
      <c r="N493" t="str">
        <f>IF(CTR1_Local!$W524="","",CTR1_Local!$W524)</f>
        <v/>
      </c>
    </row>
    <row r="494" spans="1:14" x14ac:dyDescent="0.2">
      <c r="A494" s="287" t="str">
        <f>IF(CTR1_Local!$D525="",CTR1_Local!B525,CTR1_Local!$D525)</f>
        <v/>
      </c>
      <c r="B494" s="26" t="str">
        <f>IF(A494="","",IF(RIGHT(A494,3)="NEW","Add new / another parish",CTR1_Local!$AN525))</f>
        <v/>
      </c>
      <c r="C494" s="26" t="str">
        <f t="shared" si="7"/>
        <v/>
      </c>
      <c r="D494" s="177" t="str">
        <f>IF(A494="","",IF(RIGHT(A494,3)="NEW",CTR1_Local!$E525,IF(CTR1_Local!$AO525="change",CTR1_Local!$E525,"")))</f>
        <v/>
      </c>
      <c r="E494" t="str">
        <f>IF(CTR1_Local!$F525="","",CTR1_Local!$F525)</f>
        <v/>
      </c>
      <c r="F494" s="261" t="str">
        <f>IF(CTR1_Local!$T525="","",IF(CTR1_Local!$T525="Yes","Removed",""))</f>
        <v/>
      </c>
      <c r="G494" t="str">
        <f>IF(CTR1_Local!$N525="","",IF(F494="Removed","",CTR1_Local!$N525))</f>
        <v/>
      </c>
      <c r="H494" t="str">
        <f>IF(CTR1_Local!$P525="","",IF($F494="Removed","",CTR1_Local!$P525))</f>
        <v/>
      </c>
      <c r="I494" t="str">
        <f>IF(CTR1_Local!$R525="","",IF($F494="Removed","",CTR1_Local!$R525))</f>
        <v/>
      </c>
      <c r="J494" s="160" t="str">
        <f>CTR1_Local!$H525</f>
        <v/>
      </c>
      <c r="K494" s="340" t="str">
        <f>CTR1_Local!$J525</f>
        <v/>
      </c>
      <c r="L494" s="350" t="str">
        <f>CTR1_Local!$L525</f>
        <v/>
      </c>
      <c r="M494" s="261" t="str">
        <f>IF(CTR1_Local!$V525="","",IF(CTR1_Local!$V525="Yes","confirm",""))</f>
        <v/>
      </c>
      <c r="N494" t="str">
        <f>IF(CTR1_Local!$W525="","",CTR1_Local!$W525)</f>
        <v/>
      </c>
    </row>
    <row r="495" spans="1:14" x14ac:dyDescent="0.2">
      <c r="A495" s="287" t="str">
        <f>IF(CTR1_Local!$D526="",CTR1_Local!B526,CTR1_Local!$D526)</f>
        <v/>
      </c>
      <c r="B495" s="26" t="str">
        <f>IF(A495="","",IF(RIGHT(A495,3)="NEW","Add new / another parish",CTR1_Local!$AN526))</f>
        <v/>
      </c>
      <c r="C495" s="26" t="str">
        <f t="shared" si="7"/>
        <v/>
      </c>
      <c r="D495" s="177" t="str">
        <f>IF(A495="","",IF(RIGHT(A495,3)="NEW",CTR1_Local!$E526,IF(CTR1_Local!$AO526="change",CTR1_Local!$E526,"")))</f>
        <v/>
      </c>
      <c r="E495" t="str">
        <f>IF(CTR1_Local!$F526="","",CTR1_Local!$F526)</f>
        <v/>
      </c>
      <c r="F495" s="261" t="str">
        <f>IF(CTR1_Local!$T526="","",IF(CTR1_Local!$T526="Yes","Removed",""))</f>
        <v/>
      </c>
      <c r="G495" t="str">
        <f>IF(CTR1_Local!$N526="","",IF(F495="Removed","",CTR1_Local!$N526))</f>
        <v/>
      </c>
      <c r="H495" t="str">
        <f>IF(CTR1_Local!$P526="","",IF($F495="Removed","",CTR1_Local!$P526))</f>
        <v/>
      </c>
      <c r="I495" t="str">
        <f>IF(CTR1_Local!$R526="","",IF($F495="Removed","",CTR1_Local!$R526))</f>
        <v/>
      </c>
      <c r="J495" s="160" t="str">
        <f>CTR1_Local!$H526</f>
        <v/>
      </c>
      <c r="K495" s="340" t="str">
        <f>CTR1_Local!$J526</f>
        <v/>
      </c>
      <c r="L495" s="350" t="str">
        <f>CTR1_Local!$L526</f>
        <v/>
      </c>
      <c r="M495" s="261" t="str">
        <f>IF(CTR1_Local!$V526="","",IF(CTR1_Local!$V526="Yes","confirm",""))</f>
        <v/>
      </c>
      <c r="N495" t="str">
        <f>IF(CTR1_Local!$W526="","",CTR1_Local!$W526)</f>
        <v/>
      </c>
    </row>
    <row r="496" spans="1:14" x14ac:dyDescent="0.2">
      <c r="A496" s="287" t="str">
        <f>IF(CTR1_Local!$D527="",CTR1_Local!B527,CTR1_Local!$D527)</f>
        <v/>
      </c>
      <c r="B496" s="26" t="str">
        <f>IF(A496="","",IF(RIGHT(A496,3)="NEW","Add new / another parish",CTR1_Local!$AN527))</f>
        <v/>
      </c>
      <c r="C496" s="26" t="str">
        <f t="shared" si="7"/>
        <v/>
      </c>
      <c r="D496" s="177" t="str">
        <f>IF(A496="","",IF(RIGHT(A496,3)="NEW",CTR1_Local!$E527,IF(CTR1_Local!$AO527="change",CTR1_Local!$E527,"")))</f>
        <v/>
      </c>
      <c r="E496" t="str">
        <f>IF(CTR1_Local!$F527="","",CTR1_Local!$F527)</f>
        <v/>
      </c>
      <c r="F496" s="261" t="str">
        <f>IF(CTR1_Local!$T527="","",IF(CTR1_Local!$T527="Yes","Removed",""))</f>
        <v/>
      </c>
      <c r="G496" t="str">
        <f>IF(CTR1_Local!$N527="","",IF(F496="Removed","",CTR1_Local!$N527))</f>
        <v/>
      </c>
      <c r="H496" t="str">
        <f>IF(CTR1_Local!$P527="","",IF($F496="Removed","",CTR1_Local!$P527))</f>
        <v/>
      </c>
      <c r="I496" t="str">
        <f>IF(CTR1_Local!$R527="","",IF($F496="Removed","",CTR1_Local!$R527))</f>
        <v/>
      </c>
      <c r="J496" s="160" t="str">
        <f>CTR1_Local!$H527</f>
        <v/>
      </c>
      <c r="K496" s="340" t="str">
        <f>CTR1_Local!$J527</f>
        <v/>
      </c>
      <c r="L496" s="350" t="str">
        <f>CTR1_Local!$L527</f>
        <v/>
      </c>
      <c r="M496" s="261" t="str">
        <f>IF(CTR1_Local!$V527="","",IF(CTR1_Local!$V527="Yes","confirm",""))</f>
        <v/>
      </c>
      <c r="N496" t="str">
        <f>IF(CTR1_Local!$W527="","",CTR1_Local!$W527)</f>
        <v/>
      </c>
    </row>
    <row r="497" spans="1:14" x14ac:dyDescent="0.2">
      <c r="A497" s="287" t="str">
        <f>IF(CTR1_Local!$D528="",CTR1_Local!B528,CTR1_Local!$D528)</f>
        <v/>
      </c>
      <c r="B497" s="26" t="str">
        <f>IF(A497="","",IF(RIGHT(A497,3)="NEW","Add new / another parish",CTR1_Local!$AN528))</f>
        <v/>
      </c>
      <c r="C497" s="26" t="str">
        <f t="shared" si="7"/>
        <v/>
      </c>
      <c r="D497" s="177" t="str">
        <f>IF(A497="","",IF(RIGHT(A497,3)="NEW",CTR1_Local!$E528,IF(CTR1_Local!$AO528="change",CTR1_Local!$E528,"")))</f>
        <v/>
      </c>
      <c r="E497" t="str">
        <f>IF(CTR1_Local!$F528="","",CTR1_Local!$F528)</f>
        <v/>
      </c>
      <c r="F497" s="261" t="str">
        <f>IF(CTR1_Local!$T528="","",IF(CTR1_Local!$T528="Yes","Removed",""))</f>
        <v/>
      </c>
      <c r="G497" t="str">
        <f>IF(CTR1_Local!$N528="","",IF(F497="Removed","",CTR1_Local!$N528))</f>
        <v/>
      </c>
      <c r="H497" t="str">
        <f>IF(CTR1_Local!$P528="","",IF($F497="Removed","",CTR1_Local!$P528))</f>
        <v/>
      </c>
      <c r="I497" t="str">
        <f>IF(CTR1_Local!$R528="","",IF($F497="Removed","",CTR1_Local!$R528))</f>
        <v/>
      </c>
      <c r="J497" s="160" t="str">
        <f>CTR1_Local!$H528</f>
        <v/>
      </c>
      <c r="K497" s="340" t="str">
        <f>CTR1_Local!$J528</f>
        <v/>
      </c>
      <c r="L497" s="350" t="str">
        <f>CTR1_Local!$L528</f>
        <v/>
      </c>
      <c r="M497" s="261" t="str">
        <f>IF(CTR1_Local!$V528="","",IF(CTR1_Local!$V528="Yes","confirm",""))</f>
        <v/>
      </c>
      <c r="N497" t="str">
        <f>IF(CTR1_Local!$W528="","",CTR1_Local!$W528)</f>
        <v/>
      </c>
    </row>
    <row r="498" spans="1:14" x14ac:dyDescent="0.2">
      <c r="A498" s="287" t="str">
        <f>IF(CTR1_Local!$D529="",CTR1_Local!B529,CTR1_Local!$D529)</f>
        <v/>
      </c>
      <c r="B498" s="26" t="str">
        <f>IF(A498="","",IF(RIGHT(A498,3)="NEW","Add new / another parish",CTR1_Local!$AN529))</f>
        <v/>
      </c>
      <c r="C498" s="26" t="str">
        <f t="shared" si="7"/>
        <v/>
      </c>
      <c r="D498" s="177" t="str">
        <f>IF(A498="","",IF(RIGHT(A498,3)="NEW",CTR1_Local!$E529,IF(CTR1_Local!$AO529="change",CTR1_Local!$E529,"")))</f>
        <v/>
      </c>
      <c r="E498" t="str">
        <f>IF(CTR1_Local!$F529="","",CTR1_Local!$F529)</f>
        <v/>
      </c>
      <c r="F498" s="261" t="str">
        <f>IF(CTR1_Local!$T529="","",IF(CTR1_Local!$T529="Yes","Removed",""))</f>
        <v/>
      </c>
      <c r="G498" t="str">
        <f>IF(CTR1_Local!$N529="","",IF(F498="Removed","",CTR1_Local!$N529))</f>
        <v/>
      </c>
      <c r="H498" t="str">
        <f>IF(CTR1_Local!$P529="","",IF($F498="Removed","",CTR1_Local!$P529))</f>
        <v/>
      </c>
      <c r="I498" t="str">
        <f>IF(CTR1_Local!$R529="","",IF($F498="Removed","",CTR1_Local!$R529))</f>
        <v/>
      </c>
      <c r="J498" s="160" t="str">
        <f>CTR1_Local!$H529</f>
        <v/>
      </c>
      <c r="K498" s="340" t="str">
        <f>CTR1_Local!$J529</f>
        <v/>
      </c>
      <c r="L498" s="350" t="str">
        <f>CTR1_Local!$L529</f>
        <v/>
      </c>
      <c r="M498" s="261" t="str">
        <f>IF(CTR1_Local!$V529="","",IF(CTR1_Local!$V529="Yes","confirm",""))</f>
        <v/>
      </c>
      <c r="N498" t="str">
        <f>IF(CTR1_Local!$W529="","",CTR1_Local!$W529)</f>
        <v/>
      </c>
    </row>
    <row r="499" spans="1:14" x14ac:dyDescent="0.2">
      <c r="A499" s="287" t="str">
        <f>IF(CTR1_Local!$D530="",CTR1_Local!B530,CTR1_Local!$D530)</f>
        <v/>
      </c>
      <c r="B499" s="26" t="str">
        <f>IF(A499="","",IF(RIGHT(A499,3)="NEW","Add new / another parish",CTR1_Local!$AN530))</f>
        <v/>
      </c>
      <c r="C499" s="26" t="str">
        <f t="shared" si="7"/>
        <v/>
      </c>
      <c r="D499" s="177" t="str">
        <f>IF(A499="","",IF(RIGHT(A499,3)="NEW",CTR1_Local!$E530,IF(CTR1_Local!$AO530="change",CTR1_Local!$E530,"")))</f>
        <v/>
      </c>
      <c r="E499" t="str">
        <f>IF(CTR1_Local!$F530="","",CTR1_Local!$F530)</f>
        <v/>
      </c>
      <c r="F499" s="261" t="str">
        <f>IF(CTR1_Local!$T530="","",IF(CTR1_Local!$T530="Yes","Removed",""))</f>
        <v/>
      </c>
      <c r="G499" t="str">
        <f>IF(CTR1_Local!$N530="","",IF(F499="Removed","",CTR1_Local!$N530))</f>
        <v/>
      </c>
      <c r="H499" t="str">
        <f>IF(CTR1_Local!$P530="","",IF($F499="Removed","",CTR1_Local!$P530))</f>
        <v/>
      </c>
      <c r="I499" t="str">
        <f>IF(CTR1_Local!$R530="","",IF($F499="Removed","",CTR1_Local!$R530))</f>
        <v/>
      </c>
      <c r="J499" s="160" t="str">
        <f>CTR1_Local!$H530</f>
        <v/>
      </c>
      <c r="K499" s="340" t="str">
        <f>CTR1_Local!$J530</f>
        <v/>
      </c>
      <c r="L499" s="350" t="str">
        <f>CTR1_Local!$L530</f>
        <v/>
      </c>
      <c r="M499" s="261" t="str">
        <f>IF(CTR1_Local!$V530="","",IF(CTR1_Local!$V530="Yes","confirm",""))</f>
        <v/>
      </c>
      <c r="N499" t="str">
        <f>IF(CTR1_Local!$W530="","",CTR1_Local!$W530)</f>
        <v/>
      </c>
    </row>
    <row r="500" spans="1:14" x14ac:dyDescent="0.2">
      <c r="A500" s="287" t="str">
        <f>IF(CTR1_Local!$D531="",CTR1_Local!B531,CTR1_Local!$D531)</f>
        <v/>
      </c>
      <c r="B500" s="26" t="str">
        <f>IF(A500="","",IF(RIGHT(A500,3)="NEW","Add new / another parish",CTR1_Local!$AN531))</f>
        <v/>
      </c>
      <c r="C500" s="26" t="str">
        <f t="shared" si="7"/>
        <v/>
      </c>
      <c r="D500" s="177" t="str">
        <f>IF(A500="","",IF(RIGHT(A500,3)="NEW",CTR1_Local!$E531,IF(CTR1_Local!$AO531="change",CTR1_Local!$E531,"")))</f>
        <v/>
      </c>
      <c r="E500" t="str">
        <f>IF(CTR1_Local!$F531="","",CTR1_Local!$F531)</f>
        <v/>
      </c>
      <c r="F500" s="261" t="str">
        <f>IF(CTR1_Local!$T531="","",IF(CTR1_Local!$T531="Yes","Removed",""))</f>
        <v/>
      </c>
      <c r="G500" t="str">
        <f>IF(CTR1_Local!$N531="","",IF(F500="Removed","",CTR1_Local!$N531))</f>
        <v/>
      </c>
      <c r="H500" t="str">
        <f>IF(CTR1_Local!$P531="","",IF($F500="Removed","",CTR1_Local!$P531))</f>
        <v/>
      </c>
      <c r="I500" t="str">
        <f>IF(CTR1_Local!$R531="","",IF($F500="Removed","",CTR1_Local!$R531))</f>
        <v/>
      </c>
      <c r="J500" s="160" t="str">
        <f>CTR1_Local!$H531</f>
        <v/>
      </c>
      <c r="K500" s="340" t="str">
        <f>CTR1_Local!$J531</f>
        <v/>
      </c>
      <c r="L500" s="350" t="str">
        <f>CTR1_Local!$L531</f>
        <v/>
      </c>
      <c r="M500" s="261" t="str">
        <f>IF(CTR1_Local!$V531="","",IF(CTR1_Local!$V531="Yes","confirm",""))</f>
        <v/>
      </c>
      <c r="N500" t="str">
        <f>IF(CTR1_Local!$W531="","",CTR1_Local!$W531)</f>
        <v/>
      </c>
    </row>
    <row r="501" spans="1:14" x14ac:dyDescent="0.2">
      <c r="A501" s="287" t="str">
        <f>IF(CTR1_Local!$D532="",CTR1_Local!B532,CTR1_Local!$D532)</f>
        <v/>
      </c>
      <c r="B501" s="26" t="str">
        <f>IF(A501="","",IF(RIGHT(A501,3)="NEW","Add new / another parish",CTR1_Local!$AN532))</f>
        <v/>
      </c>
      <c r="C501" s="26" t="str">
        <f t="shared" si="7"/>
        <v/>
      </c>
      <c r="D501" s="177" t="str">
        <f>IF(A501="","",IF(RIGHT(A501,3)="NEW",CTR1_Local!$E532,IF(CTR1_Local!$AO532="change",CTR1_Local!$E532,"")))</f>
        <v/>
      </c>
      <c r="E501" t="str">
        <f>IF(CTR1_Local!$F532="","",CTR1_Local!$F532)</f>
        <v/>
      </c>
      <c r="F501" s="261" t="str">
        <f>IF(CTR1_Local!$T532="","",IF(CTR1_Local!$T532="Yes","Removed",""))</f>
        <v/>
      </c>
      <c r="G501" t="str">
        <f>IF(CTR1_Local!$N532="","",IF(F501="Removed","",CTR1_Local!$N532))</f>
        <v/>
      </c>
      <c r="H501" t="str">
        <f>IF(CTR1_Local!$P532="","",IF($F501="Removed","",CTR1_Local!$P532))</f>
        <v/>
      </c>
      <c r="I501" t="str">
        <f>IF(CTR1_Local!$R532="","",IF($F501="Removed","",CTR1_Local!$R532))</f>
        <v/>
      </c>
      <c r="J501" s="160" t="str">
        <f>CTR1_Local!$H532</f>
        <v/>
      </c>
      <c r="K501" s="340" t="str">
        <f>CTR1_Local!$J532</f>
        <v/>
      </c>
      <c r="L501" s="350" t="str">
        <f>CTR1_Local!$L532</f>
        <v/>
      </c>
      <c r="M501" s="261" t="str">
        <f>IF(CTR1_Local!$V532="","",IF(CTR1_Local!$V532="Yes","confirm",""))</f>
        <v/>
      </c>
      <c r="N501" t="str">
        <f>IF(CTR1_Local!$W532="","",CTR1_Local!$W532)</f>
        <v/>
      </c>
    </row>
    <row r="502" spans="1:14" x14ac:dyDescent="0.2">
      <c r="A502" s="287" t="str">
        <f>IF(CTR1_Local!$D533="",CTR1_Local!B533,CTR1_Local!$D533)</f>
        <v/>
      </c>
      <c r="B502" s="26" t="str">
        <f>IF(A502="","",IF(RIGHT(A502,3)="NEW","Add new / another parish",CTR1_Local!$AN533))</f>
        <v/>
      </c>
      <c r="C502" s="26" t="str">
        <f t="shared" si="7"/>
        <v/>
      </c>
      <c r="D502" s="177" t="str">
        <f>IF(A502="","",IF(RIGHT(A502,3)="NEW",CTR1_Local!$E533,IF(CTR1_Local!$AO533="change",CTR1_Local!$E533,"")))</f>
        <v/>
      </c>
      <c r="E502" t="str">
        <f>IF(CTR1_Local!$F533="","",CTR1_Local!$F533)</f>
        <v/>
      </c>
      <c r="F502" s="261" t="str">
        <f>IF(CTR1_Local!$T533="","",IF(CTR1_Local!$T533="Yes","Removed",""))</f>
        <v/>
      </c>
      <c r="G502" t="str">
        <f>IF(CTR1_Local!$N533="","",IF(F502="Removed","",CTR1_Local!$N533))</f>
        <v/>
      </c>
      <c r="H502" t="str">
        <f>IF(CTR1_Local!$P533="","",IF($F502="Removed","",CTR1_Local!$P533))</f>
        <v/>
      </c>
      <c r="I502" t="str">
        <f>IF(CTR1_Local!$R533="","",IF($F502="Removed","",CTR1_Local!$R533))</f>
        <v/>
      </c>
      <c r="J502" s="160" t="str">
        <f>CTR1_Local!$H533</f>
        <v/>
      </c>
      <c r="K502" s="340" t="str">
        <f>CTR1_Local!$J533</f>
        <v/>
      </c>
      <c r="L502" s="350" t="str">
        <f>CTR1_Local!$L533</f>
        <v/>
      </c>
      <c r="M502" s="261" t="str">
        <f>IF(CTR1_Local!$V533="","",IF(CTR1_Local!$V533="Yes","confirm",""))</f>
        <v/>
      </c>
      <c r="N502" t="str">
        <f>IF(CTR1_Local!$W533="","",CTR1_Local!$W533)</f>
        <v/>
      </c>
    </row>
    <row r="503" spans="1:14" x14ac:dyDescent="0.2">
      <c r="A503" s="287" t="str">
        <f>IF(CTR1_Local!$D534="",CTR1_Local!B534,CTR1_Local!$D534)</f>
        <v/>
      </c>
      <c r="B503" s="26" t="str">
        <f>IF(A503="","",IF(RIGHT(A503,3)="NEW","Add new / another parish",CTR1_Local!$AN534))</f>
        <v/>
      </c>
      <c r="C503" s="26" t="str">
        <f t="shared" si="7"/>
        <v/>
      </c>
      <c r="D503" s="177" t="str">
        <f>IF(A503="","",IF(RIGHT(A503,3)="NEW",CTR1_Local!$E534,IF(CTR1_Local!$AO534="change",CTR1_Local!$E534,"")))</f>
        <v/>
      </c>
      <c r="E503" t="str">
        <f>IF(CTR1_Local!$F534="","",CTR1_Local!$F534)</f>
        <v/>
      </c>
      <c r="F503" s="261" t="str">
        <f>IF(CTR1_Local!$T534="","",IF(CTR1_Local!$T534="Yes","Removed",""))</f>
        <v/>
      </c>
      <c r="G503" t="str">
        <f>IF(CTR1_Local!$N534="","",IF(F503="Removed","",CTR1_Local!$N534))</f>
        <v/>
      </c>
      <c r="H503" t="str">
        <f>IF(CTR1_Local!$P534="","",IF($F503="Removed","",CTR1_Local!$P534))</f>
        <v/>
      </c>
      <c r="I503" t="str">
        <f>IF(CTR1_Local!$R534="","",IF($F503="Removed","",CTR1_Local!$R534))</f>
        <v/>
      </c>
      <c r="J503" s="160" t="str">
        <f>CTR1_Local!$H534</f>
        <v/>
      </c>
      <c r="K503" s="340" t="str">
        <f>CTR1_Local!$J534</f>
        <v/>
      </c>
      <c r="L503" s="350" t="str">
        <f>CTR1_Local!$L534</f>
        <v/>
      </c>
      <c r="M503" s="261" t="str">
        <f>IF(CTR1_Local!$V534="","",IF(CTR1_Local!$V534="Yes","confirm",""))</f>
        <v/>
      </c>
      <c r="N503" t="str">
        <f>IF(CTR1_Local!$W534="","",CTR1_Local!$W534)</f>
        <v/>
      </c>
    </row>
    <row r="504" spans="1:14" x14ac:dyDescent="0.2">
      <c r="A504" s="287" t="str">
        <f>IF(CTR1_Local!$D535="",CTR1_Local!B535,CTR1_Local!$D535)</f>
        <v/>
      </c>
      <c r="B504" s="26" t="str">
        <f>IF(A504="","",IF(RIGHT(A504,3)="NEW","Add new / another parish",CTR1_Local!$AN535))</f>
        <v/>
      </c>
      <c r="C504" s="26" t="str">
        <f t="shared" si="7"/>
        <v/>
      </c>
      <c r="D504" s="177" t="str">
        <f>IF(A504="","",IF(RIGHT(A504,3)="NEW",CTR1_Local!$E535,IF(CTR1_Local!$AO535="change",CTR1_Local!$E535,"")))</f>
        <v/>
      </c>
      <c r="E504" t="str">
        <f>IF(CTR1_Local!$F535="","",CTR1_Local!$F535)</f>
        <v/>
      </c>
      <c r="F504" s="261" t="str">
        <f>IF(CTR1_Local!$T535="","",IF(CTR1_Local!$T535="Yes","Removed",""))</f>
        <v/>
      </c>
      <c r="G504" t="str">
        <f>IF(CTR1_Local!$N535="","",IF(F504="Removed","",CTR1_Local!$N535))</f>
        <v/>
      </c>
      <c r="H504" t="str">
        <f>IF(CTR1_Local!$P535="","",IF($F504="Removed","",CTR1_Local!$P535))</f>
        <v/>
      </c>
      <c r="I504" t="str">
        <f>IF(CTR1_Local!$R535="","",IF($F504="Removed","",CTR1_Local!$R535))</f>
        <v/>
      </c>
      <c r="J504" s="160" t="str">
        <f>CTR1_Local!$H535</f>
        <v/>
      </c>
      <c r="K504" s="340" t="str">
        <f>CTR1_Local!$J535</f>
        <v/>
      </c>
      <c r="L504" s="350" t="str">
        <f>CTR1_Local!$L535</f>
        <v/>
      </c>
      <c r="M504" s="261" t="str">
        <f>IF(CTR1_Local!$V535="","",IF(CTR1_Local!$V535="Yes","confirm",""))</f>
        <v/>
      </c>
      <c r="N504" t="str">
        <f>IF(CTR1_Local!$W535="","",CTR1_Local!$W535)</f>
        <v/>
      </c>
    </row>
    <row r="505" spans="1:14" x14ac:dyDescent="0.2">
      <c r="A505" s="287" t="str">
        <f>IF(CTR1_Local!$D536="",CTR1_Local!B536,CTR1_Local!$D536)</f>
        <v/>
      </c>
      <c r="B505" s="26" t="str">
        <f>IF(A505="","",IF(RIGHT(A505,3)="NEW","Add new / another parish",CTR1_Local!$AN536))</f>
        <v/>
      </c>
      <c r="C505" s="26" t="str">
        <f t="shared" si="7"/>
        <v/>
      </c>
      <c r="D505" s="177" t="str">
        <f>IF(A505="","",IF(RIGHT(A505,3)="NEW",CTR1_Local!$E536,IF(CTR1_Local!$AO536="change",CTR1_Local!$E536,"")))</f>
        <v/>
      </c>
      <c r="E505" t="str">
        <f>IF(CTR1_Local!$F536="","",CTR1_Local!$F536)</f>
        <v/>
      </c>
      <c r="F505" s="261" t="str">
        <f>IF(CTR1_Local!$T536="","",IF(CTR1_Local!$T536="Yes","Removed",""))</f>
        <v/>
      </c>
      <c r="G505" t="str">
        <f>IF(CTR1_Local!$N536="","",IF(F505="Removed","",CTR1_Local!$N536))</f>
        <v/>
      </c>
      <c r="H505" t="str">
        <f>IF(CTR1_Local!$P536="","",IF($F505="Removed","",CTR1_Local!$P536))</f>
        <v/>
      </c>
      <c r="I505" t="str">
        <f>IF(CTR1_Local!$R536="","",IF($F505="Removed","",CTR1_Local!$R536))</f>
        <v/>
      </c>
      <c r="J505" s="160" t="str">
        <f>CTR1_Local!$H536</f>
        <v/>
      </c>
      <c r="K505" s="340" t="str">
        <f>CTR1_Local!$J536</f>
        <v/>
      </c>
      <c r="L505" s="350" t="str">
        <f>CTR1_Local!$L536</f>
        <v/>
      </c>
      <c r="M505" s="261" t="str">
        <f>IF(CTR1_Local!$V536="","",IF(CTR1_Local!$V536="Yes","confirm",""))</f>
        <v/>
      </c>
      <c r="N505" t="str">
        <f>IF(CTR1_Local!$W536="","",CTR1_Local!$W536)</f>
        <v/>
      </c>
    </row>
    <row r="506" spans="1:14" x14ac:dyDescent="0.2">
      <c r="A506" s="287" t="str">
        <f>IF(CTR1_Local!$D537="",CTR1_Local!B537,CTR1_Local!$D537)</f>
        <v/>
      </c>
      <c r="B506" s="26" t="str">
        <f>IF(A506="","",IF(RIGHT(A506,3)="NEW","Add new / another parish",CTR1_Local!$AN537))</f>
        <v/>
      </c>
      <c r="C506" s="26" t="str">
        <f t="shared" si="7"/>
        <v/>
      </c>
      <c r="D506" s="177" t="str">
        <f>IF(A506="","",IF(RIGHT(A506,3)="NEW",CTR1_Local!$E537,IF(CTR1_Local!$AO537="change",CTR1_Local!$E537,"")))</f>
        <v/>
      </c>
      <c r="E506" t="str">
        <f>IF(CTR1_Local!$F537="","",CTR1_Local!$F537)</f>
        <v/>
      </c>
      <c r="F506" s="261" t="str">
        <f>IF(CTR1_Local!$T537="","",IF(CTR1_Local!$T537="Yes","Removed",""))</f>
        <v/>
      </c>
      <c r="G506" t="str">
        <f>IF(CTR1_Local!$N537="","",IF(F506="Removed","",CTR1_Local!$N537))</f>
        <v/>
      </c>
      <c r="H506" t="str">
        <f>IF(CTR1_Local!$P537="","",IF($F506="Removed","",CTR1_Local!$P537))</f>
        <v/>
      </c>
      <c r="I506" t="str">
        <f>IF(CTR1_Local!$R537="","",IF($F506="Removed","",CTR1_Local!$R537))</f>
        <v/>
      </c>
      <c r="J506" s="160" t="str">
        <f>CTR1_Local!$H537</f>
        <v/>
      </c>
      <c r="K506" s="340" t="str">
        <f>CTR1_Local!$J537</f>
        <v/>
      </c>
      <c r="L506" s="350" t="str">
        <f>CTR1_Local!$L537</f>
        <v/>
      </c>
      <c r="M506" s="261" t="str">
        <f>IF(CTR1_Local!$V537="","",IF(CTR1_Local!$V537="Yes","confirm",""))</f>
        <v/>
      </c>
      <c r="N506" t="str">
        <f>IF(CTR1_Local!$W537="","",CTR1_Local!$W537)</f>
        <v/>
      </c>
    </row>
    <row r="507" spans="1:14" x14ac:dyDescent="0.2">
      <c r="A507" s="287" t="str">
        <f>IF(CTR1_Local!$D538="",CTR1_Local!B538,CTR1_Local!$D538)</f>
        <v/>
      </c>
      <c r="B507" s="26" t="str">
        <f>IF(A507="","",IF(RIGHT(A507,3)="NEW","Add new / another parish",CTR1_Local!$AN538))</f>
        <v/>
      </c>
      <c r="C507" s="26" t="str">
        <f t="shared" si="7"/>
        <v/>
      </c>
      <c r="D507" s="177" t="str">
        <f>IF(A507="","",IF(RIGHT(A507,3)="NEW",CTR1_Local!$E538,IF(CTR1_Local!$AO538="change",CTR1_Local!$E538,"")))</f>
        <v/>
      </c>
      <c r="E507" t="str">
        <f>IF(CTR1_Local!$F538="","",CTR1_Local!$F538)</f>
        <v/>
      </c>
      <c r="F507" s="261" t="str">
        <f>IF(CTR1_Local!$T538="","",IF(CTR1_Local!$T538="Yes","Removed",""))</f>
        <v/>
      </c>
      <c r="G507" t="str">
        <f>IF(CTR1_Local!$N538="","",IF(F507="Removed","",CTR1_Local!$N538))</f>
        <v/>
      </c>
      <c r="H507" t="str">
        <f>IF(CTR1_Local!$P538="","",IF($F507="Removed","",CTR1_Local!$P538))</f>
        <v/>
      </c>
      <c r="I507" t="str">
        <f>IF(CTR1_Local!$R538="","",IF($F507="Removed","",CTR1_Local!$R538))</f>
        <v/>
      </c>
      <c r="J507" s="160" t="str">
        <f>CTR1_Local!$H538</f>
        <v/>
      </c>
      <c r="K507" s="340" t="str">
        <f>CTR1_Local!$J538</f>
        <v/>
      </c>
      <c r="L507" s="350" t="str">
        <f>CTR1_Local!$L538</f>
        <v/>
      </c>
      <c r="M507" s="261" t="str">
        <f>IF(CTR1_Local!$V538="","",IF(CTR1_Local!$V538="Yes","confirm",""))</f>
        <v/>
      </c>
      <c r="N507" t="str">
        <f>IF(CTR1_Local!$W538="","",CTR1_Local!$W538)</f>
        <v/>
      </c>
    </row>
    <row r="508" spans="1:14" x14ac:dyDescent="0.2">
      <c r="A508" s="287" t="str">
        <f>IF(CTR1_Local!$D539="",CTR1_Local!B539,CTR1_Local!$D539)</f>
        <v/>
      </c>
      <c r="B508" s="26" t="str">
        <f>IF(A508="","",IF(RIGHT(A508,3)="NEW","Add new / another parish",CTR1_Local!$AN539))</f>
        <v/>
      </c>
      <c r="C508" s="26" t="str">
        <f t="shared" si="7"/>
        <v/>
      </c>
      <c r="D508" s="177" t="str">
        <f>IF(A508="","",IF(RIGHT(A508,3)="NEW",CTR1_Local!$E539,IF(CTR1_Local!$AO539="change",CTR1_Local!$E539,"")))</f>
        <v/>
      </c>
      <c r="E508" t="str">
        <f>IF(CTR1_Local!$F539="","",CTR1_Local!$F539)</f>
        <v/>
      </c>
      <c r="F508" s="261" t="str">
        <f>IF(CTR1_Local!$T539="","",IF(CTR1_Local!$T539="Yes","Removed",""))</f>
        <v/>
      </c>
      <c r="G508" t="str">
        <f>IF(CTR1_Local!$N539="","",IF(F508="Removed","",CTR1_Local!$N539))</f>
        <v/>
      </c>
      <c r="H508" t="str">
        <f>IF(CTR1_Local!$P539="","",IF($F508="Removed","",CTR1_Local!$P539))</f>
        <v/>
      </c>
      <c r="I508" t="str">
        <f>IF(CTR1_Local!$R539="","",IF($F508="Removed","",CTR1_Local!$R539))</f>
        <v/>
      </c>
      <c r="J508" s="160" t="str">
        <f>CTR1_Local!$H539</f>
        <v/>
      </c>
      <c r="K508" s="340" t="str">
        <f>CTR1_Local!$J539</f>
        <v/>
      </c>
      <c r="L508" s="350" t="str">
        <f>CTR1_Local!$L539</f>
        <v/>
      </c>
      <c r="M508" s="261" t="str">
        <f>IF(CTR1_Local!$V539="","",IF(CTR1_Local!$V539="Yes","confirm",""))</f>
        <v/>
      </c>
      <c r="N508" t="str">
        <f>IF(CTR1_Local!$W539="","",CTR1_Local!$W539)</f>
        <v/>
      </c>
    </row>
    <row r="509" spans="1:14" x14ac:dyDescent="0.2">
      <c r="A509" s="287" t="str">
        <f>IF(CTR1_Local!$D540="",CTR1_Local!B540,CTR1_Local!$D540)</f>
        <v/>
      </c>
      <c r="B509" s="26" t="str">
        <f>IF(A509="","",IF(RIGHT(A509,3)="NEW","Add new / another parish",CTR1_Local!$AN540))</f>
        <v/>
      </c>
      <c r="C509" s="26" t="str">
        <f t="shared" si="7"/>
        <v/>
      </c>
      <c r="D509" s="177" t="str">
        <f>IF(A509="","",IF(RIGHT(A509,3)="NEW",CTR1_Local!$E540,IF(CTR1_Local!$AO540="change",CTR1_Local!$E540,"")))</f>
        <v/>
      </c>
      <c r="E509" t="str">
        <f>IF(CTR1_Local!$F540="","",CTR1_Local!$F540)</f>
        <v/>
      </c>
      <c r="F509" s="261" t="str">
        <f>IF(CTR1_Local!$T540="","",IF(CTR1_Local!$T540="Yes","Removed",""))</f>
        <v/>
      </c>
      <c r="G509" t="str">
        <f>IF(CTR1_Local!$N540="","",IF(F509="Removed","",CTR1_Local!$N540))</f>
        <v/>
      </c>
      <c r="H509" t="str">
        <f>IF(CTR1_Local!$P540="","",IF($F509="Removed","",CTR1_Local!$P540))</f>
        <v/>
      </c>
      <c r="I509" t="str">
        <f>IF(CTR1_Local!$R540="","",IF($F509="Removed","",CTR1_Local!$R540))</f>
        <v/>
      </c>
      <c r="J509" s="160" t="str">
        <f>CTR1_Local!$H540</f>
        <v/>
      </c>
      <c r="K509" s="340" t="str">
        <f>CTR1_Local!$J540</f>
        <v/>
      </c>
      <c r="L509" s="350" t="str">
        <f>CTR1_Local!$L540</f>
        <v/>
      </c>
      <c r="M509" s="261" t="str">
        <f>IF(CTR1_Local!$V540="","",IF(CTR1_Local!$V540="Yes","confirm",""))</f>
        <v/>
      </c>
      <c r="N509" t="str">
        <f>IF(CTR1_Local!$W540="","",CTR1_Local!$W540)</f>
        <v/>
      </c>
    </row>
    <row r="510" spans="1:14" x14ac:dyDescent="0.2">
      <c r="A510" s="287" t="str">
        <f>IF(CTR1_Local!$D541="",CTR1_Local!B541,CTR1_Local!$D541)</f>
        <v/>
      </c>
      <c r="B510" s="26" t="str">
        <f>IF(A510="","",IF(RIGHT(A510,3)="NEW","Add new / another parish",CTR1_Local!$AN541))</f>
        <v/>
      </c>
      <c r="C510" s="26" t="str">
        <f t="shared" si="7"/>
        <v/>
      </c>
      <c r="D510" s="177" t="str">
        <f>IF(A510="","",IF(RIGHT(A510,3)="NEW",CTR1_Local!$E541,IF(CTR1_Local!$AO541="change",CTR1_Local!$E541,"")))</f>
        <v/>
      </c>
      <c r="E510" t="str">
        <f>IF(CTR1_Local!$F541="","",CTR1_Local!$F541)</f>
        <v/>
      </c>
      <c r="F510" s="261" t="str">
        <f>IF(CTR1_Local!$T541="","",IF(CTR1_Local!$T541="Yes","Removed",""))</f>
        <v/>
      </c>
      <c r="G510" t="str">
        <f>IF(CTR1_Local!$N541="","",IF(F510="Removed","",CTR1_Local!$N541))</f>
        <v/>
      </c>
      <c r="H510" t="str">
        <f>IF(CTR1_Local!$P541="","",IF($F510="Removed","",CTR1_Local!$P541))</f>
        <v/>
      </c>
      <c r="I510" t="str">
        <f>IF(CTR1_Local!$R541="","",IF($F510="Removed","",CTR1_Local!$R541))</f>
        <v/>
      </c>
      <c r="J510" s="160" t="str">
        <f>CTR1_Local!$H541</f>
        <v/>
      </c>
      <c r="K510" s="340" t="str">
        <f>CTR1_Local!$J541</f>
        <v/>
      </c>
      <c r="L510" s="350" t="str">
        <f>CTR1_Local!$L541</f>
        <v/>
      </c>
      <c r="M510" s="261" t="str">
        <f>IF(CTR1_Local!$V541="","",IF(CTR1_Local!$V541="Yes","confirm",""))</f>
        <v/>
      </c>
      <c r="N510" t="str">
        <f>IF(CTR1_Local!$W541="","",CTR1_Local!$W541)</f>
        <v/>
      </c>
    </row>
    <row r="511" spans="1:14" x14ac:dyDescent="0.2">
      <c r="A511" s="287" t="str">
        <f>IF(CTR1_Local!$D542="",CTR1_Local!B542,CTR1_Local!$D542)</f>
        <v/>
      </c>
      <c r="B511" s="26" t="str">
        <f>IF(A511="","",IF(RIGHT(A511,3)="NEW","Add new / another parish",CTR1_Local!$AN542))</f>
        <v/>
      </c>
      <c r="C511" s="26" t="str">
        <f t="shared" si="7"/>
        <v/>
      </c>
      <c r="D511" s="177" t="str">
        <f>IF(A511="","",IF(RIGHT(A511,3)="NEW",CTR1_Local!$E542,IF(CTR1_Local!$AO542="change",CTR1_Local!$E542,"")))</f>
        <v/>
      </c>
      <c r="E511" t="str">
        <f>IF(CTR1_Local!$F542="","",CTR1_Local!$F542)</f>
        <v/>
      </c>
      <c r="F511" s="261" t="str">
        <f>IF(CTR1_Local!$T542="","",IF(CTR1_Local!$T542="Yes","Removed",""))</f>
        <v/>
      </c>
      <c r="G511" t="str">
        <f>IF(CTR1_Local!$N542="","",IF(F511="Removed","",CTR1_Local!$N542))</f>
        <v/>
      </c>
      <c r="H511" t="str">
        <f>IF(CTR1_Local!$P542="","",IF($F511="Removed","",CTR1_Local!$P542))</f>
        <v/>
      </c>
      <c r="I511" t="str">
        <f>IF(CTR1_Local!$R542="","",IF($F511="Removed","",CTR1_Local!$R542))</f>
        <v/>
      </c>
      <c r="J511" s="160" t="str">
        <f>CTR1_Local!$H542</f>
        <v/>
      </c>
      <c r="K511" s="340" t="str">
        <f>CTR1_Local!$J542</f>
        <v/>
      </c>
      <c r="L511" s="350" t="str">
        <f>CTR1_Local!$L542</f>
        <v/>
      </c>
      <c r="M511" s="261" t="str">
        <f>IF(CTR1_Local!$V542="","",IF(CTR1_Local!$V542="Yes","confirm",""))</f>
        <v/>
      </c>
      <c r="N511" t="str">
        <f>IF(CTR1_Local!$W542="","",CTR1_Local!$W542)</f>
        <v/>
      </c>
    </row>
    <row r="512" spans="1:14" x14ac:dyDescent="0.2">
      <c r="A512" s="287" t="str">
        <f>IF(CTR1_Local!$D543="",CTR1_Local!B543,CTR1_Local!$D543)</f>
        <v/>
      </c>
      <c r="B512" s="26" t="str">
        <f>IF(A512="","",IF(RIGHT(A512,3)="NEW","Add new / another parish",CTR1_Local!$AN543))</f>
        <v/>
      </c>
      <c r="C512" s="26" t="str">
        <f t="shared" si="7"/>
        <v/>
      </c>
      <c r="D512" s="177" t="str">
        <f>IF(A512="","",IF(RIGHT(A512,3)="NEW",CTR1_Local!$E543,IF(CTR1_Local!$AO543="change",CTR1_Local!$E543,"")))</f>
        <v/>
      </c>
      <c r="E512" t="str">
        <f>IF(CTR1_Local!$F543="","",CTR1_Local!$F543)</f>
        <v/>
      </c>
      <c r="F512" s="261" t="str">
        <f>IF(CTR1_Local!$T543="","",IF(CTR1_Local!$T543="Yes","Removed",""))</f>
        <v/>
      </c>
      <c r="G512" t="str">
        <f>IF(CTR1_Local!$N543="","",IF(F512="Removed","",CTR1_Local!$N543))</f>
        <v/>
      </c>
      <c r="H512" t="str">
        <f>IF(CTR1_Local!$P543="","",IF($F512="Removed","",CTR1_Local!$P543))</f>
        <v/>
      </c>
      <c r="I512" t="str">
        <f>IF(CTR1_Local!$R543="","",IF($F512="Removed","",CTR1_Local!$R543))</f>
        <v/>
      </c>
      <c r="J512" s="160" t="str">
        <f>CTR1_Local!$H543</f>
        <v/>
      </c>
      <c r="K512" s="340" t="str">
        <f>CTR1_Local!$J543</f>
        <v/>
      </c>
      <c r="L512" s="350" t="str">
        <f>CTR1_Local!$L543</f>
        <v/>
      </c>
      <c r="M512" s="261" t="str">
        <f>IF(CTR1_Local!$V543="","",IF(CTR1_Local!$V543="Yes","confirm",""))</f>
        <v/>
      </c>
      <c r="N512" t="str">
        <f>IF(CTR1_Local!$W543="","",CTR1_Local!$W543)</f>
        <v/>
      </c>
    </row>
    <row r="513" spans="1:14" x14ac:dyDescent="0.2">
      <c r="A513" s="287" t="str">
        <f>IF(CTR1_Local!$D544="",CTR1_Local!B544,CTR1_Local!$D544)</f>
        <v/>
      </c>
      <c r="B513" s="26" t="str">
        <f>IF(A513="","",IF(RIGHT(A513,3)="NEW","Add new / another parish",CTR1_Local!$AN544))</f>
        <v/>
      </c>
      <c r="C513" s="26" t="str">
        <f t="shared" si="7"/>
        <v/>
      </c>
      <c r="D513" s="177" t="str">
        <f>IF(A513="","",IF(RIGHT(A513,3)="NEW",CTR1_Local!$E544,IF(CTR1_Local!$AO544="change",CTR1_Local!$E544,"")))</f>
        <v/>
      </c>
      <c r="E513" t="str">
        <f>IF(CTR1_Local!$F544="","",CTR1_Local!$F544)</f>
        <v/>
      </c>
      <c r="F513" s="261" t="str">
        <f>IF(CTR1_Local!$T544="","",IF(CTR1_Local!$T544="Yes","Removed",""))</f>
        <v/>
      </c>
      <c r="G513" t="str">
        <f>IF(CTR1_Local!$N544="","",IF(F513="Removed","",CTR1_Local!$N544))</f>
        <v/>
      </c>
      <c r="H513" t="str">
        <f>IF(CTR1_Local!$P544="","",IF($F513="Removed","",CTR1_Local!$P544))</f>
        <v/>
      </c>
      <c r="I513" t="str">
        <f>IF(CTR1_Local!$R544="","",IF($F513="Removed","",CTR1_Local!$R544))</f>
        <v/>
      </c>
      <c r="J513" s="160" t="str">
        <f>CTR1_Local!$H544</f>
        <v/>
      </c>
      <c r="K513" s="340" t="str">
        <f>CTR1_Local!$J544</f>
        <v/>
      </c>
      <c r="L513" s="350" t="str">
        <f>CTR1_Local!$L544</f>
        <v/>
      </c>
      <c r="M513" s="261" t="str">
        <f>IF(CTR1_Local!$V544="","",IF(CTR1_Local!$V544="Yes","confirm",""))</f>
        <v/>
      </c>
      <c r="N513" t="str">
        <f>IF(CTR1_Local!$W544="","",CTR1_Local!$W544)</f>
        <v/>
      </c>
    </row>
    <row r="514" spans="1:14" x14ac:dyDescent="0.2">
      <c r="A514" s="287" t="str">
        <f>IF(CTR1_Local!$D545="",CTR1_Local!B545,CTR1_Local!$D545)</f>
        <v/>
      </c>
      <c r="B514" s="26" t="str">
        <f>IF(A514="","",IF(RIGHT(A514,3)="NEW","Add new / another parish",CTR1_Local!$AN545))</f>
        <v/>
      </c>
      <c r="C514" s="26" t="str">
        <f t="shared" si="7"/>
        <v/>
      </c>
      <c r="D514" s="177" t="str">
        <f>IF(A514="","",IF(RIGHT(A514,3)="NEW",CTR1_Local!$E545,IF(CTR1_Local!$AO545="change",CTR1_Local!$E545,"")))</f>
        <v/>
      </c>
      <c r="E514" t="str">
        <f>IF(CTR1_Local!$F545="","",CTR1_Local!$F545)</f>
        <v/>
      </c>
      <c r="F514" s="261" t="str">
        <f>IF(CTR1_Local!$T545="","",IF(CTR1_Local!$T545="Yes","Removed",""))</f>
        <v/>
      </c>
      <c r="G514" t="str">
        <f>IF(CTR1_Local!$N545="","",IF(F514="Removed","",CTR1_Local!$N545))</f>
        <v/>
      </c>
      <c r="H514" t="str">
        <f>IF(CTR1_Local!$P545="","",IF($F514="Removed","",CTR1_Local!$P545))</f>
        <v/>
      </c>
      <c r="I514" t="str">
        <f>IF(CTR1_Local!$R545="","",IF($F514="Removed","",CTR1_Local!$R545))</f>
        <v/>
      </c>
      <c r="J514" s="160" t="str">
        <f>CTR1_Local!$H545</f>
        <v/>
      </c>
      <c r="K514" s="340" t="str">
        <f>CTR1_Local!$J545</f>
        <v/>
      </c>
      <c r="L514" s="350" t="str">
        <f>CTR1_Local!$L545</f>
        <v/>
      </c>
      <c r="M514" s="261" t="str">
        <f>IF(CTR1_Local!$V545="","",IF(CTR1_Local!$V545="Yes","confirm",""))</f>
        <v/>
      </c>
      <c r="N514" t="str">
        <f>IF(CTR1_Local!$W545="","",CTR1_Local!$W545)</f>
        <v/>
      </c>
    </row>
    <row r="515" spans="1:14" x14ac:dyDescent="0.2">
      <c r="A515" s="287" t="str">
        <f>IF(CTR1_Local!$D546="",CTR1_Local!B546,CTR1_Local!$D546)</f>
        <v/>
      </c>
      <c r="B515" s="26" t="str">
        <f>IF(A515="","",IF(RIGHT(A515,3)="NEW","Add new / another parish",CTR1_Local!$AN546))</f>
        <v/>
      </c>
      <c r="C515" s="26" t="str">
        <f t="shared" ref="C515:C578" si="8">IF(OR(B515="",D515=""),"",IF(AND(B515&lt;&gt;"",D515&lt;&gt;"",B515&lt;&gt;"Add new / another parish"),"yes",""))</f>
        <v/>
      </c>
      <c r="D515" s="177" t="str">
        <f>IF(A515="","",IF(RIGHT(A515,3)="NEW",CTR1_Local!$E546,IF(CTR1_Local!$AO546="change",CTR1_Local!$E546,"")))</f>
        <v/>
      </c>
      <c r="E515" t="str">
        <f>IF(CTR1_Local!$F546="","",CTR1_Local!$F546)</f>
        <v/>
      </c>
      <c r="F515" s="261" t="str">
        <f>IF(CTR1_Local!$T546="","",IF(CTR1_Local!$T546="Yes","Removed",""))</f>
        <v/>
      </c>
      <c r="G515" t="str">
        <f>IF(CTR1_Local!$N546="","",IF(F515="Removed","",CTR1_Local!$N546))</f>
        <v/>
      </c>
      <c r="H515" t="str">
        <f>IF(CTR1_Local!$P546="","",IF($F515="Removed","",CTR1_Local!$P546))</f>
        <v/>
      </c>
      <c r="I515" t="str">
        <f>IF(CTR1_Local!$R546="","",IF($F515="Removed","",CTR1_Local!$R546))</f>
        <v/>
      </c>
      <c r="J515" s="160" t="str">
        <f>CTR1_Local!$H546</f>
        <v/>
      </c>
      <c r="K515" s="340" t="str">
        <f>CTR1_Local!$J546</f>
        <v/>
      </c>
      <c r="L515" s="350" t="str">
        <f>CTR1_Local!$L546</f>
        <v/>
      </c>
      <c r="M515" s="261" t="str">
        <f>IF(CTR1_Local!$V546="","",IF(CTR1_Local!$V546="Yes","confirm",""))</f>
        <v/>
      </c>
      <c r="N515" t="str">
        <f>IF(CTR1_Local!$W546="","",CTR1_Local!$W546)</f>
        <v/>
      </c>
    </row>
    <row r="516" spans="1:14" x14ac:dyDescent="0.2">
      <c r="A516" s="287" t="str">
        <f>IF(CTR1_Local!$D547="",CTR1_Local!B547,CTR1_Local!$D547)</f>
        <v/>
      </c>
      <c r="B516" s="26" t="str">
        <f>IF(A516="","",IF(RIGHT(A516,3)="NEW","Add new / another parish",CTR1_Local!$AN547))</f>
        <v/>
      </c>
      <c r="C516" s="26" t="str">
        <f t="shared" si="8"/>
        <v/>
      </c>
      <c r="D516" s="177" t="str">
        <f>IF(A516="","",IF(RIGHT(A516,3)="NEW",CTR1_Local!$E547,IF(CTR1_Local!$AO547="change",CTR1_Local!$E547,"")))</f>
        <v/>
      </c>
      <c r="E516" t="str">
        <f>IF(CTR1_Local!$F547="","",CTR1_Local!$F547)</f>
        <v/>
      </c>
      <c r="F516" s="261" t="str">
        <f>IF(CTR1_Local!$T547="","",IF(CTR1_Local!$T547="Yes","Removed",""))</f>
        <v/>
      </c>
      <c r="G516" t="str">
        <f>IF(CTR1_Local!$N547="","",IF(F516="Removed","",CTR1_Local!$N547))</f>
        <v/>
      </c>
      <c r="H516" t="str">
        <f>IF(CTR1_Local!$P547="","",IF($F516="Removed","",CTR1_Local!$P547))</f>
        <v/>
      </c>
      <c r="I516" t="str">
        <f>IF(CTR1_Local!$R547="","",IF($F516="Removed","",CTR1_Local!$R547))</f>
        <v/>
      </c>
      <c r="J516" s="160" t="str">
        <f>CTR1_Local!$H547</f>
        <v/>
      </c>
      <c r="K516" s="340" t="str">
        <f>CTR1_Local!$J547</f>
        <v/>
      </c>
      <c r="L516" s="350" t="str">
        <f>CTR1_Local!$L547</f>
        <v/>
      </c>
      <c r="M516" s="261" t="str">
        <f>IF(CTR1_Local!$V547="","",IF(CTR1_Local!$V547="Yes","confirm",""))</f>
        <v/>
      </c>
      <c r="N516" t="str">
        <f>IF(CTR1_Local!$W547="","",CTR1_Local!$W547)</f>
        <v/>
      </c>
    </row>
    <row r="517" spans="1:14" x14ac:dyDescent="0.2">
      <c r="A517" s="287" t="str">
        <f>IF(CTR1_Local!$D548="",CTR1_Local!B548,CTR1_Local!$D548)</f>
        <v/>
      </c>
      <c r="B517" s="26" t="str">
        <f>IF(A517="","",IF(RIGHT(A517,3)="NEW","Add new / another parish",CTR1_Local!$AN548))</f>
        <v/>
      </c>
      <c r="C517" s="26" t="str">
        <f t="shared" si="8"/>
        <v/>
      </c>
      <c r="D517" s="177" t="str">
        <f>IF(A517="","",IF(RIGHT(A517,3)="NEW",CTR1_Local!$E548,IF(CTR1_Local!$AO548="change",CTR1_Local!$E548,"")))</f>
        <v/>
      </c>
      <c r="E517" t="str">
        <f>IF(CTR1_Local!$F548="","",CTR1_Local!$F548)</f>
        <v/>
      </c>
      <c r="F517" s="261" t="str">
        <f>IF(CTR1_Local!$T548="","",IF(CTR1_Local!$T548="Yes","Removed",""))</f>
        <v/>
      </c>
      <c r="G517" t="str">
        <f>IF(CTR1_Local!$N548="","",IF(F517="Removed","",CTR1_Local!$N548))</f>
        <v/>
      </c>
      <c r="H517" t="str">
        <f>IF(CTR1_Local!$P548="","",IF($F517="Removed","",CTR1_Local!$P548))</f>
        <v/>
      </c>
      <c r="I517" t="str">
        <f>IF(CTR1_Local!$R548="","",IF($F517="Removed","",CTR1_Local!$R548))</f>
        <v/>
      </c>
      <c r="J517" s="160" t="str">
        <f>CTR1_Local!$H548</f>
        <v/>
      </c>
      <c r="K517" s="340" t="str">
        <f>CTR1_Local!$J548</f>
        <v/>
      </c>
      <c r="L517" s="350" t="str">
        <f>CTR1_Local!$L548</f>
        <v/>
      </c>
      <c r="M517" s="261" t="str">
        <f>IF(CTR1_Local!$V548="","",IF(CTR1_Local!$V548="Yes","confirm",""))</f>
        <v/>
      </c>
      <c r="N517" t="str">
        <f>IF(CTR1_Local!$W548="","",CTR1_Local!$W548)</f>
        <v/>
      </c>
    </row>
    <row r="518" spans="1:14" x14ac:dyDescent="0.2">
      <c r="A518" s="287" t="str">
        <f>IF(CTR1_Local!$D549="",CTR1_Local!B549,CTR1_Local!$D549)</f>
        <v/>
      </c>
      <c r="B518" s="26" t="str">
        <f>IF(A518="","",IF(RIGHT(A518,3)="NEW","Add new / another parish",CTR1_Local!$AN549))</f>
        <v/>
      </c>
      <c r="C518" s="26" t="str">
        <f t="shared" si="8"/>
        <v/>
      </c>
      <c r="D518" s="177" t="str">
        <f>IF(A518="","",IF(RIGHT(A518,3)="NEW",CTR1_Local!$E549,IF(CTR1_Local!$AO549="change",CTR1_Local!$E549,"")))</f>
        <v/>
      </c>
      <c r="E518" t="str">
        <f>IF(CTR1_Local!$F549="","",CTR1_Local!$F549)</f>
        <v/>
      </c>
      <c r="F518" s="261" t="str">
        <f>IF(CTR1_Local!$T549="","",IF(CTR1_Local!$T549="Yes","Removed",""))</f>
        <v/>
      </c>
      <c r="G518" t="str">
        <f>IF(CTR1_Local!$N549="","",IF(F518="Removed","",CTR1_Local!$N549))</f>
        <v/>
      </c>
      <c r="H518" t="str">
        <f>IF(CTR1_Local!$P549="","",IF($F518="Removed","",CTR1_Local!$P549))</f>
        <v/>
      </c>
      <c r="I518" t="str">
        <f>IF(CTR1_Local!$R549="","",IF($F518="Removed","",CTR1_Local!$R549))</f>
        <v/>
      </c>
      <c r="J518" s="160" t="str">
        <f>CTR1_Local!$H549</f>
        <v/>
      </c>
      <c r="K518" s="340" t="str">
        <f>CTR1_Local!$J549</f>
        <v/>
      </c>
      <c r="L518" s="350" t="str">
        <f>CTR1_Local!$L549</f>
        <v/>
      </c>
      <c r="M518" s="261" t="str">
        <f>IF(CTR1_Local!$V549="","",IF(CTR1_Local!$V549="Yes","confirm",""))</f>
        <v/>
      </c>
      <c r="N518" t="str">
        <f>IF(CTR1_Local!$W549="","",CTR1_Local!$W549)</f>
        <v/>
      </c>
    </row>
    <row r="519" spans="1:14" x14ac:dyDescent="0.2">
      <c r="A519" s="287" t="str">
        <f>IF(CTR1_Local!$D550="",CTR1_Local!B550,CTR1_Local!$D550)</f>
        <v/>
      </c>
      <c r="B519" s="26" t="str">
        <f>IF(A519="","",IF(RIGHT(A519,3)="NEW","Add new / another parish",CTR1_Local!$AN550))</f>
        <v/>
      </c>
      <c r="C519" s="26" t="str">
        <f t="shared" si="8"/>
        <v/>
      </c>
      <c r="D519" s="177" t="str">
        <f>IF(A519="","",IF(RIGHT(A519,3)="NEW",CTR1_Local!$E550,IF(CTR1_Local!$AO550="change",CTR1_Local!$E550,"")))</f>
        <v/>
      </c>
      <c r="E519" t="str">
        <f>IF(CTR1_Local!$F550="","",CTR1_Local!$F550)</f>
        <v/>
      </c>
      <c r="F519" s="261" t="str">
        <f>IF(CTR1_Local!$T550="","",IF(CTR1_Local!$T550="Yes","Removed",""))</f>
        <v/>
      </c>
      <c r="G519" t="str">
        <f>IF(CTR1_Local!$N550="","",IF(F519="Removed","",CTR1_Local!$N550))</f>
        <v/>
      </c>
      <c r="H519" t="str">
        <f>IF(CTR1_Local!$P550="","",IF($F519="Removed","",CTR1_Local!$P550))</f>
        <v/>
      </c>
      <c r="I519" t="str">
        <f>IF(CTR1_Local!$R550="","",IF($F519="Removed","",CTR1_Local!$R550))</f>
        <v/>
      </c>
      <c r="J519" s="160" t="str">
        <f>CTR1_Local!$H550</f>
        <v/>
      </c>
      <c r="K519" s="340" t="str">
        <f>CTR1_Local!$J550</f>
        <v/>
      </c>
      <c r="L519" s="350" t="str">
        <f>CTR1_Local!$L550</f>
        <v/>
      </c>
      <c r="M519" s="261" t="str">
        <f>IF(CTR1_Local!$V550="","",IF(CTR1_Local!$V550="Yes","confirm",""))</f>
        <v/>
      </c>
      <c r="N519" t="str">
        <f>IF(CTR1_Local!$W550="","",CTR1_Local!$W550)</f>
        <v/>
      </c>
    </row>
    <row r="520" spans="1:14" x14ac:dyDescent="0.2">
      <c r="A520" s="287" t="str">
        <f>IF(CTR1_Local!$D551="",CTR1_Local!B551,CTR1_Local!$D551)</f>
        <v/>
      </c>
      <c r="B520" s="26" t="str">
        <f>IF(A520="","",IF(RIGHT(A520,3)="NEW","Add new / another parish",CTR1_Local!$AN551))</f>
        <v/>
      </c>
      <c r="C520" s="26" t="str">
        <f t="shared" si="8"/>
        <v/>
      </c>
      <c r="D520" s="177" t="str">
        <f>IF(A520="","",IF(RIGHT(A520,3)="NEW",CTR1_Local!$E551,IF(CTR1_Local!$AO551="change",CTR1_Local!$E551,"")))</f>
        <v/>
      </c>
      <c r="E520" t="str">
        <f>IF(CTR1_Local!$F551="","",CTR1_Local!$F551)</f>
        <v/>
      </c>
      <c r="F520" s="261" t="str">
        <f>IF(CTR1_Local!$T551="","",IF(CTR1_Local!$T551="Yes","Removed",""))</f>
        <v/>
      </c>
      <c r="G520" t="str">
        <f>IF(CTR1_Local!$N551="","",IF(F520="Removed","",CTR1_Local!$N551))</f>
        <v/>
      </c>
      <c r="H520" t="str">
        <f>IF(CTR1_Local!$P551="","",IF($F520="Removed","",CTR1_Local!$P551))</f>
        <v/>
      </c>
      <c r="I520" t="str">
        <f>IF(CTR1_Local!$R551="","",IF($F520="Removed","",CTR1_Local!$R551))</f>
        <v/>
      </c>
      <c r="J520" s="160" t="str">
        <f>CTR1_Local!$H551</f>
        <v/>
      </c>
      <c r="K520" s="340" t="str">
        <f>CTR1_Local!$J551</f>
        <v/>
      </c>
      <c r="L520" s="350" t="str">
        <f>CTR1_Local!$L551</f>
        <v/>
      </c>
      <c r="M520" s="261" t="str">
        <f>IF(CTR1_Local!$V551="","",IF(CTR1_Local!$V551="Yes","confirm",""))</f>
        <v/>
      </c>
      <c r="N520" t="str">
        <f>IF(CTR1_Local!$W551="","",CTR1_Local!$W551)</f>
        <v/>
      </c>
    </row>
    <row r="521" spans="1:14" x14ac:dyDescent="0.2">
      <c r="A521" s="287" t="str">
        <f>IF(CTR1_Local!$D552="",CTR1_Local!B552,CTR1_Local!$D552)</f>
        <v/>
      </c>
      <c r="B521" s="26" t="str">
        <f>IF(A521="","",IF(RIGHT(A521,3)="NEW","Add new / another parish",CTR1_Local!$AN552))</f>
        <v/>
      </c>
      <c r="C521" s="26" t="str">
        <f t="shared" si="8"/>
        <v/>
      </c>
      <c r="D521" s="177" t="str">
        <f>IF(A521="","",IF(RIGHT(A521,3)="NEW",CTR1_Local!$E552,IF(CTR1_Local!$AO552="change",CTR1_Local!$E552,"")))</f>
        <v/>
      </c>
      <c r="E521" t="str">
        <f>IF(CTR1_Local!$F552="","",CTR1_Local!$F552)</f>
        <v/>
      </c>
      <c r="F521" s="261" t="str">
        <f>IF(CTR1_Local!$T552="","",IF(CTR1_Local!$T552="Yes","Removed",""))</f>
        <v/>
      </c>
      <c r="G521" t="str">
        <f>IF(CTR1_Local!$N552="","",IF(F521="Removed","",CTR1_Local!$N552))</f>
        <v/>
      </c>
      <c r="H521" t="str">
        <f>IF(CTR1_Local!$P552="","",IF($F521="Removed","",CTR1_Local!$P552))</f>
        <v/>
      </c>
      <c r="I521" t="str">
        <f>IF(CTR1_Local!$R552="","",IF($F521="Removed","",CTR1_Local!$R552))</f>
        <v/>
      </c>
      <c r="J521" s="160" t="str">
        <f>CTR1_Local!$H552</f>
        <v/>
      </c>
      <c r="K521" s="340" t="str">
        <f>CTR1_Local!$J552</f>
        <v/>
      </c>
      <c r="L521" s="350" t="str">
        <f>CTR1_Local!$L552</f>
        <v/>
      </c>
      <c r="M521" s="261" t="str">
        <f>IF(CTR1_Local!$V552="","",IF(CTR1_Local!$V552="Yes","confirm",""))</f>
        <v/>
      </c>
      <c r="N521" t="str">
        <f>IF(CTR1_Local!$W552="","",CTR1_Local!$W552)</f>
        <v/>
      </c>
    </row>
    <row r="522" spans="1:14" x14ac:dyDescent="0.2">
      <c r="A522" s="287" t="str">
        <f>IF(CTR1_Local!$D553="",CTR1_Local!B553,CTR1_Local!$D553)</f>
        <v/>
      </c>
      <c r="B522" s="26" t="str">
        <f>IF(A522="","",IF(RIGHT(A522,3)="NEW","Add new / another parish",CTR1_Local!$AN553))</f>
        <v/>
      </c>
      <c r="C522" s="26" t="str">
        <f t="shared" si="8"/>
        <v/>
      </c>
      <c r="D522" s="177" t="str">
        <f>IF(A522="","",IF(RIGHT(A522,3)="NEW",CTR1_Local!$E553,IF(CTR1_Local!$AO553="change",CTR1_Local!$E553,"")))</f>
        <v/>
      </c>
      <c r="E522" t="str">
        <f>IF(CTR1_Local!$F553="","",CTR1_Local!$F553)</f>
        <v/>
      </c>
      <c r="F522" s="261" t="str">
        <f>IF(CTR1_Local!$T553="","",IF(CTR1_Local!$T553="Yes","Removed",""))</f>
        <v/>
      </c>
      <c r="G522" t="str">
        <f>IF(CTR1_Local!$N553="","",IF(F522="Removed","",CTR1_Local!$N553))</f>
        <v/>
      </c>
      <c r="H522" t="str">
        <f>IF(CTR1_Local!$P553="","",IF($F522="Removed","",CTR1_Local!$P553))</f>
        <v/>
      </c>
      <c r="I522" t="str">
        <f>IF(CTR1_Local!$R553="","",IF($F522="Removed","",CTR1_Local!$R553))</f>
        <v/>
      </c>
      <c r="J522" s="160" t="str">
        <f>CTR1_Local!$H553</f>
        <v/>
      </c>
      <c r="K522" s="340" t="str">
        <f>CTR1_Local!$J553</f>
        <v/>
      </c>
      <c r="L522" s="350" t="str">
        <f>CTR1_Local!$L553</f>
        <v/>
      </c>
      <c r="M522" s="261" t="str">
        <f>IF(CTR1_Local!$V553="","",IF(CTR1_Local!$V553="Yes","confirm",""))</f>
        <v/>
      </c>
      <c r="N522" t="str">
        <f>IF(CTR1_Local!$W553="","",CTR1_Local!$W553)</f>
        <v/>
      </c>
    </row>
    <row r="523" spans="1:14" x14ac:dyDescent="0.2">
      <c r="A523" s="287" t="str">
        <f>IF(CTR1_Local!$D554="",CTR1_Local!B554,CTR1_Local!$D554)</f>
        <v/>
      </c>
      <c r="B523" s="26" t="str">
        <f>IF(A523="","",IF(RIGHT(A523,3)="NEW","Add new / another parish",CTR1_Local!$AN554))</f>
        <v/>
      </c>
      <c r="C523" s="26" t="str">
        <f t="shared" si="8"/>
        <v/>
      </c>
      <c r="D523" s="177" t="str">
        <f>IF(A523="","",IF(RIGHT(A523,3)="NEW",CTR1_Local!$E554,IF(CTR1_Local!$AO554="change",CTR1_Local!$E554,"")))</f>
        <v/>
      </c>
      <c r="E523" t="str">
        <f>IF(CTR1_Local!$F554="","",CTR1_Local!$F554)</f>
        <v/>
      </c>
      <c r="F523" s="261" t="str">
        <f>IF(CTR1_Local!$T554="","",IF(CTR1_Local!$T554="Yes","Removed",""))</f>
        <v/>
      </c>
      <c r="G523" t="str">
        <f>IF(CTR1_Local!$N554="","",IF(F523="Removed","",CTR1_Local!$N554))</f>
        <v/>
      </c>
      <c r="H523" t="str">
        <f>IF(CTR1_Local!$P554="","",IF($F523="Removed","",CTR1_Local!$P554))</f>
        <v/>
      </c>
      <c r="I523" t="str">
        <f>IF(CTR1_Local!$R554="","",IF($F523="Removed","",CTR1_Local!$R554))</f>
        <v/>
      </c>
      <c r="J523" s="160" t="str">
        <f>CTR1_Local!$H554</f>
        <v/>
      </c>
      <c r="K523" s="340" t="str">
        <f>CTR1_Local!$J554</f>
        <v/>
      </c>
      <c r="L523" s="350" t="str">
        <f>CTR1_Local!$L554</f>
        <v/>
      </c>
      <c r="M523" s="261" t="str">
        <f>IF(CTR1_Local!$V554="","",IF(CTR1_Local!$V554="Yes","confirm",""))</f>
        <v/>
      </c>
      <c r="N523" t="str">
        <f>IF(CTR1_Local!$W554="","",CTR1_Local!$W554)</f>
        <v/>
      </c>
    </row>
    <row r="524" spans="1:14" x14ac:dyDescent="0.2">
      <c r="A524" s="287" t="str">
        <f>IF(CTR1_Local!$D555="",CTR1_Local!B555,CTR1_Local!$D555)</f>
        <v/>
      </c>
      <c r="B524" s="26" t="str">
        <f>IF(A524="","",IF(RIGHT(A524,3)="NEW","Add new / another parish",CTR1_Local!$AN555))</f>
        <v/>
      </c>
      <c r="C524" s="26" t="str">
        <f t="shared" si="8"/>
        <v/>
      </c>
      <c r="D524" s="177" t="str">
        <f>IF(A524="","",IF(RIGHT(A524,3)="NEW",CTR1_Local!$E555,IF(CTR1_Local!$AO555="change",CTR1_Local!$E555,"")))</f>
        <v/>
      </c>
      <c r="E524" t="str">
        <f>IF(CTR1_Local!$F555="","",CTR1_Local!$F555)</f>
        <v/>
      </c>
      <c r="F524" s="261" t="str">
        <f>IF(CTR1_Local!$T555="","",IF(CTR1_Local!$T555="Yes","Removed",""))</f>
        <v/>
      </c>
      <c r="G524" t="str">
        <f>IF(CTR1_Local!$N555="","",IF(F524="Removed","",CTR1_Local!$N555))</f>
        <v/>
      </c>
      <c r="H524" t="str">
        <f>IF(CTR1_Local!$P555="","",IF($F524="Removed","",CTR1_Local!$P555))</f>
        <v/>
      </c>
      <c r="I524" t="str">
        <f>IF(CTR1_Local!$R555="","",IF($F524="Removed","",CTR1_Local!$R555))</f>
        <v/>
      </c>
      <c r="J524" s="160" t="str">
        <f>CTR1_Local!$H555</f>
        <v/>
      </c>
      <c r="K524" s="340" t="str">
        <f>CTR1_Local!$J555</f>
        <v/>
      </c>
      <c r="L524" s="350" t="str">
        <f>CTR1_Local!$L555</f>
        <v/>
      </c>
      <c r="M524" s="261" t="str">
        <f>IF(CTR1_Local!$V555="","",IF(CTR1_Local!$V555="Yes","confirm",""))</f>
        <v/>
      </c>
      <c r="N524" t="str">
        <f>IF(CTR1_Local!$W555="","",CTR1_Local!$W555)</f>
        <v/>
      </c>
    </row>
    <row r="525" spans="1:14" x14ac:dyDescent="0.2">
      <c r="A525" s="287" t="str">
        <f>IF(CTR1_Local!$D556="",CTR1_Local!B556,CTR1_Local!$D556)</f>
        <v/>
      </c>
      <c r="B525" s="26" t="str">
        <f>IF(A525="","",IF(RIGHT(A525,3)="NEW","Add new / another parish",CTR1_Local!$AN556))</f>
        <v/>
      </c>
      <c r="C525" s="26" t="str">
        <f t="shared" si="8"/>
        <v/>
      </c>
      <c r="D525" s="177" t="str">
        <f>IF(A525="","",IF(RIGHT(A525,3)="NEW",CTR1_Local!$E556,IF(CTR1_Local!$AO556="change",CTR1_Local!$E556,"")))</f>
        <v/>
      </c>
      <c r="E525" t="str">
        <f>IF(CTR1_Local!$F556="","",CTR1_Local!$F556)</f>
        <v/>
      </c>
      <c r="F525" s="261" t="str">
        <f>IF(CTR1_Local!$T556="","",IF(CTR1_Local!$T556="Yes","Removed",""))</f>
        <v/>
      </c>
      <c r="G525" t="str">
        <f>IF(CTR1_Local!$N556="","",IF(F525="Removed","",CTR1_Local!$N556))</f>
        <v/>
      </c>
      <c r="H525" t="str">
        <f>IF(CTR1_Local!$P556="","",IF($F525="Removed","",CTR1_Local!$P556))</f>
        <v/>
      </c>
      <c r="I525" t="str">
        <f>IF(CTR1_Local!$R556="","",IF($F525="Removed","",CTR1_Local!$R556))</f>
        <v/>
      </c>
      <c r="J525" s="160" t="str">
        <f>CTR1_Local!$H556</f>
        <v/>
      </c>
      <c r="K525" s="340" t="str">
        <f>CTR1_Local!$J556</f>
        <v/>
      </c>
      <c r="L525" s="350" t="str">
        <f>CTR1_Local!$L556</f>
        <v/>
      </c>
      <c r="M525" s="261" t="str">
        <f>IF(CTR1_Local!$V556="","",IF(CTR1_Local!$V556="Yes","confirm",""))</f>
        <v/>
      </c>
      <c r="N525" t="str">
        <f>IF(CTR1_Local!$W556="","",CTR1_Local!$W556)</f>
        <v/>
      </c>
    </row>
    <row r="526" spans="1:14" x14ac:dyDescent="0.2">
      <c r="A526" s="287" t="str">
        <f>IF(CTR1_Local!$D557="",CTR1_Local!B557,CTR1_Local!$D557)</f>
        <v/>
      </c>
      <c r="B526" s="26" t="str">
        <f>IF(A526="","",IF(RIGHT(A526,3)="NEW","Add new / another parish",CTR1_Local!$AN557))</f>
        <v/>
      </c>
      <c r="C526" s="26" t="str">
        <f t="shared" si="8"/>
        <v/>
      </c>
      <c r="D526" s="177" t="str">
        <f>IF(A526="","",IF(RIGHT(A526,3)="NEW",CTR1_Local!$E557,IF(CTR1_Local!$AO557="change",CTR1_Local!$E557,"")))</f>
        <v/>
      </c>
      <c r="E526" t="str">
        <f>IF(CTR1_Local!$F557="","",CTR1_Local!$F557)</f>
        <v/>
      </c>
      <c r="F526" s="261" t="str">
        <f>IF(CTR1_Local!$T557="","",IF(CTR1_Local!$T557="Yes","Removed",""))</f>
        <v/>
      </c>
      <c r="G526" t="str">
        <f>IF(CTR1_Local!$N557="","",IF(F526="Removed","",CTR1_Local!$N557))</f>
        <v/>
      </c>
      <c r="H526" t="str">
        <f>IF(CTR1_Local!$P557="","",IF($F526="Removed","",CTR1_Local!$P557))</f>
        <v/>
      </c>
      <c r="I526" t="str">
        <f>IF(CTR1_Local!$R557="","",IF($F526="Removed","",CTR1_Local!$R557))</f>
        <v/>
      </c>
      <c r="J526" s="160" t="str">
        <f>CTR1_Local!$H557</f>
        <v/>
      </c>
      <c r="K526" s="340" t="str">
        <f>CTR1_Local!$J557</f>
        <v/>
      </c>
      <c r="L526" s="350" t="str">
        <f>CTR1_Local!$L557</f>
        <v/>
      </c>
      <c r="M526" s="261" t="str">
        <f>IF(CTR1_Local!$V557="","",IF(CTR1_Local!$V557="Yes","confirm",""))</f>
        <v/>
      </c>
      <c r="N526" t="str">
        <f>IF(CTR1_Local!$W557="","",CTR1_Local!$W557)</f>
        <v/>
      </c>
    </row>
    <row r="527" spans="1:14" x14ac:dyDescent="0.2">
      <c r="A527" s="287" t="str">
        <f>IF(CTR1_Local!$D558="",CTR1_Local!B558,CTR1_Local!$D558)</f>
        <v/>
      </c>
      <c r="B527" s="26" t="str">
        <f>IF(A527="","",IF(RIGHT(A527,3)="NEW","Add new / another parish",CTR1_Local!$AN558))</f>
        <v/>
      </c>
      <c r="C527" s="26" t="str">
        <f t="shared" si="8"/>
        <v/>
      </c>
      <c r="D527" s="177" t="str">
        <f>IF(A527="","",IF(RIGHT(A527,3)="NEW",CTR1_Local!$E558,IF(CTR1_Local!$AO558="change",CTR1_Local!$E558,"")))</f>
        <v/>
      </c>
      <c r="E527" t="str">
        <f>IF(CTR1_Local!$F558="","",CTR1_Local!$F558)</f>
        <v/>
      </c>
      <c r="F527" s="261" t="str">
        <f>IF(CTR1_Local!$T558="","",IF(CTR1_Local!$T558="Yes","Removed",""))</f>
        <v/>
      </c>
      <c r="G527" t="str">
        <f>IF(CTR1_Local!$N558="","",IF(F527="Removed","",CTR1_Local!$N558))</f>
        <v/>
      </c>
      <c r="H527" t="str">
        <f>IF(CTR1_Local!$P558="","",IF($F527="Removed","",CTR1_Local!$P558))</f>
        <v/>
      </c>
      <c r="I527" t="str">
        <f>IF(CTR1_Local!$R558="","",IF($F527="Removed","",CTR1_Local!$R558))</f>
        <v/>
      </c>
      <c r="J527" s="160" t="str">
        <f>CTR1_Local!$H558</f>
        <v/>
      </c>
      <c r="K527" s="340" t="str">
        <f>CTR1_Local!$J558</f>
        <v/>
      </c>
      <c r="L527" s="350" t="str">
        <f>CTR1_Local!$L558</f>
        <v/>
      </c>
      <c r="M527" s="261" t="str">
        <f>IF(CTR1_Local!$V558="","",IF(CTR1_Local!$V558="Yes","confirm",""))</f>
        <v/>
      </c>
      <c r="N527" t="str">
        <f>IF(CTR1_Local!$W558="","",CTR1_Local!$W558)</f>
        <v/>
      </c>
    </row>
    <row r="528" spans="1:14" x14ac:dyDescent="0.2">
      <c r="A528" s="287" t="str">
        <f>IF(CTR1_Local!$D559="",CTR1_Local!B559,CTR1_Local!$D559)</f>
        <v/>
      </c>
      <c r="B528" s="26" t="str">
        <f>IF(A528="","",IF(RIGHT(A528,3)="NEW","Add new / another parish",CTR1_Local!$AN559))</f>
        <v/>
      </c>
      <c r="C528" s="26" t="str">
        <f t="shared" si="8"/>
        <v/>
      </c>
      <c r="D528" s="177" t="str">
        <f>IF(A528="","",IF(RIGHT(A528,3)="NEW",CTR1_Local!$E559,IF(CTR1_Local!$AO559="change",CTR1_Local!$E559,"")))</f>
        <v/>
      </c>
      <c r="E528" t="str">
        <f>IF(CTR1_Local!$F559="","",CTR1_Local!$F559)</f>
        <v/>
      </c>
      <c r="F528" s="261" t="str">
        <f>IF(CTR1_Local!$T559="","",IF(CTR1_Local!$T559="Yes","Removed",""))</f>
        <v/>
      </c>
      <c r="G528" t="str">
        <f>IF(CTR1_Local!$N559="","",IF(F528="Removed","",CTR1_Local!$N559))</f>
        <v/>
      </c>
      <c r="H528" t="str">
        <f>IF(CTR1_Local!$P559="","",IF($F528="Removed","",CTR1_Local!$P559))</f>
        <v/>
      </c>
      <c r="I528" t="str">
        <f>IF(CTR1_Local!$R559="","",IF($F528="Removed","",CTR1_Local!$R559))</f>
        <v/>
      </c>
      <c r="J528" s="160" t="str">
        <f>CTR1_Local!$H559</f>
        <v/>
      </c>
      <c r="K528" s="340" t="str">
        <f>CTR1_Local!$J559</f>
        <v/>
      </c>
      <c r="L528" s="350" t="str">
        <f>CTR1_Local!$L559</f>
        <v/>
      </c>
      <c r="M528" s="261" t="str">
        <f>IF(CTR1_Local!$V559="","",IF(CTR1_Local!$V559="Yes","confirm",""))</f>
        <v/>
      </c>
      <c r="N528" t="str">
        <f>IF(CTR1_Local!$W559="","",CTR1_Local!$W559)</f>
        <v/>
      </c>
    </row>
    <row r="529" spans="1:14" x14ac:dyDescent="0.2">
      <c r="A529" s="287" t="str">
        <f>IF(CTR1_Local!$D560="",CTR1_Local!B560,CTR1_Local!$D560)</f>
        <v/>
      </c>
      <c r="B529" s="26" t="str">
        <f>IF(A529="","",IF(RIGHT(A529,3)="NEW","Add new / another parish",CTR1_Local!$AN560))</f>
        <v/>
      </c>
      <c r="C529" s="26" t="str">
        <f t="shared" si="8"/>
        <v/>
      </c>
      <c r="D529" s="177" t="str">
        <f>IF(A529="","",IF(RIGHT(A529,3)="NEW",CTR1_Local!$E560,IF(CTR1_Local!$AO560="change",CTR1_Local!$E560,"")))</f>
        <v/>
      </c>
      <c r="E529" t="str">
        <f>IF(CTR1_Local!$F560="","",CTR1_Local!$F560)</f>
        <v/>
      </c>
      <c r="F529" s="261" t="str">
        <f>IF(CTR1_Local!$T560="","",IF(CTR1_Local!$T560="Yes","Removed",""))</f>
        <v/>
      </c>
      <c r="G529" t="str">
        <f>IF(CTR1_Local!$N560="","",IF(F529="Removed","",CTR1_Local!$N560))</f>
        <v/>
      </c>
      <c r="H529" t="str">
        <f>IF(CTR1_Local!$P560="","",IF($F529="Removed","",CTR1_Local!$P560))</f>
        <v/>
      </c>
      <c r="I529" t="str">
        <f>IF(CTR1_Local!$R560="","",IF($F529="Removed","",CTR1_Local!$R560))</f>
        <v/>
      </c>
      <c r="J529" s="160" t="str">
        <f>CTR1_Local!$H560</f>
        <v/>
      </c>
      <c r="K529" s="340" t="str">
        <f>CTR1_Local!$J560</f>
        <v/>
      </c>
      <c r="L529" s="350" t="str">
        <f>CTR1_Local!$L560</f>
        <v/>
      </c>
      <c r="M529" s="261" t="str">
        <f>IF(CTR1_Local!$V560="","",IF(CTR1_Local!$V560="Yes","confirm",""))</f>
        <v/>
      </c>
      <c r="N529" t="str">
        <f>IF(CTR1_Local!$W560="","",CTR1_Local!$W560)</f>
        <v/>
      </c>
    </row>
    <row r="530" spans="1:14" x14ac:dyDescent="0.2">
      <c r="A530" s="287" t="str">
        <f>IF(CTR1_Local!$D561="",CTR1_Local!B561,CTR1_Local!$D561)</f>
        <v/>
      </c>
      <c r="B530" s="26" t="str">
        <f>IF(A530="","",IF(RIGHT(A530,3)="NEW","Add new / another parish",CTR1_Local!$AN561))</f>
        <v/>
      </c>
      <c r="C530" s="26" t="str">
        <f t="shared" si="8"/>
        <v/>
      </c>
      <c r="D530" s="177" t="str">
        <f>IF(A530="","",IF(RIGHT(A530,3)="NEW",CTR1_Local!$E561,IF(CTR1_Local!$AO561="change",CTR1_Local!$E561,"")))</f>
        <v/>
      </c>
      <c r="E530" t="str">
        <f>IF(CTR1_Local!$F561="","",CTR1_Local!$F561)</f>
        <v/>
      </c>
      <c r="F530" s="261" t="str">
        <f>IF(CTR1_Local!$T561="","",IF(CTR1_Local!$T561="Yes","Removed",""))</f>
        <v/>
      </c>
      <c r="G530" t="str">
        <f>IF(CTR1_Local!$N561="","",IF(F530="Removed","",CTR1_Local!$N561))</f>
        <v/>
      </c>
      <c r="H530" t="str">
        <f>IF(CTR1_Local!$P561="","",IF($F530="Removed","",CTR1_Local!$P561))</f>
        <v/>
      </c>
      <c r="I530" t="str">
        <f>IF(CTR1_Local!$R561="","",IF($F530="Removed","",CTR1_Local!$R561))</f>
        <v/>
      </c>
      <c r="J530" s="160" t="str">
        <f>CTR1_Local!$H561</f>
        <v/>
      </c>
      <c r="K530" s="340" t="str">
        <f>CTR1_Local!$J561</f>
        <v/>
      </c>
      <c r="L530" s="350" t="str">
        <f>CTR1_Local!$L561</f>
        <v/>
      </c>
      <c r="M530" s="261" t="str">
        <f>IF(CTR1_Local!$V561="","",IF(CTR1_Local!$V561="Yes","confirm",""))</f>
        <v/>
      </c>
      <c r="N530" t="str">
        <f>IF(CTR1_Local!$W561="","",CTR1_Local!$W561)</f>
        <v/>
      </c>
    </row>
    <row r="531" spans="1:14" x14ac:dyDescent="0.2">
      <c r="A531" s="287" t="str">
        <f>IF(CTR1_Local!$D562="",CTR1_Local!B562,CTR1_Local!$D562)</f>
        <v/>
      </c>
      <c r="B531" s="26" t="str">
        <f>IF(A531="","",IF(RIGHT(A531,3)="NEW","Add new / another parish",CTR1_Local!$AN562))</f>
        <v/>
      </c>
      <c r="C531" s="26" t="str">
        <f t="shared" si="8"/>
        <v/>
      </c>
      <c r="D531" s="177" t="str">
        <f>IF(A531="","",IF(RIGHT(A531,3)="NEW",CTR1_Local!$E562,IF(CTR1_Local!$AO562="change",CTR1_Local!$E562,"")))</f>
        <v/>
      </c>
      <c r="E531" t="str">
        <f>IF(CTR1_Local!$F562="","",CTR1_Local!$F562)</f>
        <v/>
      </c>
      <c r="F531" s="261" t="str">
        <f>IF(CTR1_Local!$T562="","",IF(CTR1_Local!$T562="Yes","Removed",""))</f>
        <v/>
      </c>
      <c r="G531" t="str">
        <f>IF(CTR1_Local!$N562="","",IF(F531="Removed","",CTR1_Local!$N562))</f>
        <v/>
      </c>
      <c r="H531" t="str">
        <f>IF(CTR1_Local!$P562="","",IF($F531="Removed","",CTR1_Local!$P562))</f>
        <v/>
      </c>
      <c r="I531" t="str">
        <f>IF(CTR1_Local!$R562="","",IF($F531="Removed","",CTR1_Local!$R562))</f>
        <v/>
      </c>
      <c r="J531" s="160" t="str">
        <f>CTR1_Local!$H562</f>
        <v/>
      </c>
      <c r="K531" s="340" t="str">
        <f>CTR1_Local!$J562</f>
        <v/>
      </c>
      <c r="L531" s="350" t="str">
        <f>CTR1_Local!$L562</f>
        <v/>
      </c>
      <c r="M531" s="261" t="str">
        <f>IF(CTR1_Local!$V562="","",IF(CTR1_Local!$V562="Yes","confirm",""))</f>
        <v/>
      </c>
      <c r="N531" t="str">
        <f>IF(CTR1_Local!$W562="","",CTR1_Local!$W562)</f>
        <v/>
      </c>
    </row>
    <row r="532" spans="1:14" x14ac:dyDescent="0.2">
      <c r="A532" s="287" t="str">
        <f>IF(CTR1_Local!$D563="",CTR1_Local!B563,CTR1_Local!$D563)</f>
        <v/>
      </c>
      <c r="B532" s="26" t="str">
        <f>IF(A532="","",IF(RIGHT(A532,3)="NEW","Add new / another parish",CTR1_Local!$AN563))</f>
        <v/>
      </c>
      <c r="C532" s="26" t="str">
        <f t="shared" si="8"/>
        <v/>
      </c>
      <c r="D532" s="177" t="str">
        <f>IF(A532="","",IF(RIGHT(A532,3)="NEW",CTR1_Local!$E563,IF(CTR1_Local!$AO563="change",CTR1_Local!$E563,"")))</f>
        <v/>
      </c>
      <c r="E532" t="str">
        <f>IF(CTR1_Local!$F563="","",CTR1_Local!$F563)</f>
        <v/>
      </c>
      <c r="F532" s="261" t="str">
        <f>IF(CTR1_Local!$T563="","",IF(CTR1_Local!$T563="Yes","Removed",""))</f>
        <v/>
      </c>
      <c r="G532" t="str">
        <f>IF(CTR1_Local!$N563="","",IF(F532="Removed","",CTR1_Local!$N563))</f>
        <v/>
      </c>
      <c r="H532" t="str">
        <f>IF(CTR1_Local!$P563="","",IF($F532="Removed","",CTR1_Local!$P563))</f>
        <v/>
      </c>
      <c r="I532" t="str">
        <f>IF(CTR1_Local!$R563="","",IF($F532="Removed","",CTR1_Local!$R563))</f>
        <v/>
      </c>
      <c r="J532" s="160" t="str">
        <f>CTR1_Local!$H563</f>
        <v/>
      </c>
      <c r="K532" s="340" t="str">
        <f>CTR1_Local!$J563</f>
        <v/>
      </c>
      <c r="L532" s="350" t="str">
        <f>CTR1_Local!$L563</f>
        <v/>
      </c>
      <c r="M532" s="261" t="str">
        <f>IF(CTR1_Local!$V563="","",IF(CTR1_Local!$V563="Yes","confirm",""))</f>
        <v/>
      </c>
      <c r="N532" t="str">
        <f>IF(CTR1_Local!$W563="","",CTR1_Local!$W563)</f>
        <v/>
      </c>
    </row>
    <row r="533" spans="1:14" x14ac:dyDescent="0.2">
      <c r="A533" s="287" t="str">
        <f>IF(CTR1_Local!$D564="",CTR1_Local!B564,CTR1_Local!$D564)</f>
        <v/>
      </c>
      <c r="B533" s="26" t="str">
        <f>IF(A533="","",IF(RIGHT(A533,3)="NEW","Add new / another parish",CTR1_Local!$AN564))</f>
        <v/>
      </c>
      <c r="C533" s="26" t="str">
        <f t="shared" si="8"/>
        <v/>
      </c>
      <c r="D533" s="177" t="str">
        <f>IF(A533="","",IF(RIGHT(A533,3)="NEW",CTR1_Local!$E564,IF(CTR1_Local!$AO564="change",CTR1_Local!$E564,"")))</f>
        <v/>
      </c>
      <c r="E533" t="str">
        <f>IF(CTR1_Local!$F564="","",CTR1_Local!$F564)</f>
        <v/>
      </c>
      <c r="F533" s="261" t="str">
        <f>IF(CTR1_Local!$T564="","",IF(CTR1_Local!$T564="Yes","Removed",""))</f>
        <v/>
      </c>
      <c r="G533" t="str">
        <f>IF(CTR1_Local!$N564="","",IF(F533="Removed","",CTR1_Local!$N564))</f>
        <v/>
      </c>
      <c r="H533" t="str">
        <f>IF(CTR1_Local!$P564="","",IF($F533="Removed","",CTR1_Local!$P564))</f>
        <v/>
      </c>
      <c r="I533" t="str">
        <f>IF(CTR1_Local!$R564="","",IF($F533="Removed","",CTR1_Local!$R564))</f>
        <v/>
      </c>
      <c r="J533" s="160" t="str">
        <f>CTR1_Local!$H564</f>
        <v/>
      </c>
      <c r="K533" s="340" t="str">
        <f>CTR1_Local!$J564</f>
        <v/>
      </c>
      <c r="L533" s="350" t="str">
        <f>CTR1_Local!$L564</f>
        <v/>
      </c>
      <c r="M533" s="261" t="str">
        <f>IF(CTR1_Local!$V564="","",IF(CTR1_Local!$V564="Yes","confirm",""))</f>
        <v/>
      </c>
      <c r="N533" t="str">
        <f>IF(CTR1_Local!$W564="","",CTR1_Local!$W564)</f>
        <v/>
      </c>
    </row>
    <row r="534" spans="1:14" x14ac:dyDescent="0.2">
      <c r="A534" s="287" t="str">
        <f>IF(CTR1_Local!$D565="",CTR1_Local!B565,CTR1_Local!$D565)</f>
        <v/>
      </c>
      <c r="B534" s="26" t="str">
        <f>IF(A534="","",IF(RIGHT(A534,3)="NEW","Add new / another parish",CTR1_Local!$AN565))</f>
        <v/>
      </c>
      <c r="C534" s="26" t="str">
        <f t="shared" si="8"/>
        <v/>
      </c>
      <c r="D534" s="177" t="str">
        <f>IF(A534="","",IF(RIGHT(A534,3)="NEW",CTR1_Local!$E565,IF(CTR1_Local!$AO565="change",CTR1_Local!$E565,"")))</f>
        <v/>
      </c>
      <c r="E534" t="str">
        <f>IF(CTR1_Local!$F565="","",CTR1_Local!$F565)</f>
        <v/>
      </c>
      <c r="F534" s="261" t="str">
        <f>IF(CTR1_Local!$T565="","",IF(CTR1_Local!$T565="Yes","Removed",""))</f>
        <v/>
      </c>
      <c r="G534" t="str">
        <f>IF(CTR1_Local!$N565="","",IF(F534="Removed","",CTR1_Local!$N565))</f>
        <v/>
      </c>
      <c r="H534" t="str">
        <f>IF(CTR1_Local!$P565="","",IF($F534="Removed","",CTR1_Local!$P565))</f>
        <v/>
      </c>
      <c r="I534" t="str">
        <f>IF(CTR1_Local!$R565="","",IF($F534="Removed","",CTR1_Local!$R565))</f>
        <v/>
      </c>
      <c r="J534" s="160" t="str">
        <f>CTR1_Local!$H565</f>
        <v/>
      </c>
      <c r="K534" s="340" t="str">
        <f>CTR1_Local!$J565</f>
        <v/>
      </c>
      <c r="L534" s="350" t="str">
        <f>CTR1_Local!$L565</f>
        <v/>
      </c>
      <c r="M534" s="261" t="str">
        <f>IF(CTR1_Local!$V565="","",IF(CTR1_Local!$V565="Yes","confirm",""))</f>
        <v/>
      </c>
      <c r="N534" t="str">
        <f>IF(CTR1_Local!$W565="","",CTR1_Local!$W565)</f>
        <v/>
      </c>
    </row>
    <row r="535" spans="1:14" x14ac:dyDescent="0.2">
      <c r="A535" s="287" t="str">
        <f>IF(CTR1_Local!$D566="",CTR1_Local!B566,CTR1_Local!$D566)</f>
        <v/>
      </c>
      <c r="B535" s="26" t="str">
        <f>IF(A535="","",IF(RIGHT(A535,3)="NEW","Add new / another parish",CTR1_Local!$AN566))</f>
        <v/>
      </c>
      <c r="C535" s="26" t="str">
        <f t="shared" si="8"/>
        <v/>
      </c>
      <c r="D535" s="177" t="str">
        <f>IF(A535="","",IF(RIGHT(A535,3)="NEW",CTR1_Local!$E566,IF(CTR1_Local!$AO566="change",CTR1_Local!$E566,"")))</f>
        <v/>
      </c>
      <c r="E535" t="str">
        <f>IF(CTR1_Local!$F566="","",CTR1_Local!$F566)</f>
        <v/>
      </c>
      <c r="F535" s="261" t="str">
        <f>IF(CTR1_Local!$T566="","",IF(CTR1_Local!$T566="Yes","Removed",""))</f>
        <v/>
      </c>
      <c r="G535" t="str">
        <f>IF(CTR1_Local!$N566="","",IF(F535="Removed","",CTR1_Local!$N566))</f>
        <v/>
      </c>
      <c r="H535" t="str">
        <f>IF(CTR1_Local!$P566="","",IF($F535="Removed","",CTR1_Local!$P566))</f>
        <v/>
      </c>
      <c r="I535" t="str">
        <f>IF(CTR1_Local!$R566="","",IF($F535="Removed","",CTR1_Local!$R566))</f>
        <v/>
      </c>
      <c r="J535" s="160" t="str">
        <f>CTR1_Local!$H566</f>
        <v/>
      </c>
      <c r="K535" s="340" t="str">
        <f>CTR1_Local!$J566</f>
        <v/>
      </c>
      <c r="L535" s="350" t="str">
        <f>CTR1_Local!$L566</f>
        <v/>
      </c>
      <c r="M535" s="261" t="str">
        <f>IF(CTR1_Local!$V566="","",IF(CTR1_Local!$V566="Yes","confirm",""))</f>
        <v/>
      </c>
      <c r="N535" t="str">
        <f>IF(CTR1_Local!$W566="","",CTR1_Local!$W566)</f>
        <v/>
      </c>
    </row>
    <row r="536" spans="1:14" x14ac:dyDescent="0.2">
      <c r="A536" s="287" t="str">
        <f>IF(CTR1_Local!$D567="",CTR1_Local!B567,CTR1_Local!$D567)</f>
        <v/>
      </c>
      <c r="B536" s="26" t="str">
        <f>IF(A536="","",IF(RIGHT(A536,3)="NEW","Add new / another parish",CTR1_Local!$AN567))</f>
        <v/>
      </c>
      <c r="C536" s="26" t="str">
        <f t="shared" si="8"/>
        <v/>
      </c>
      <c r="D536" s="177" t="str">
        <f>IF(A536="","",IF(RIGHT(A536,3)="NEW",CTR1_Local!$E567,IF(CTR1_Local!$AO567="change",CTR1_Local!$E567,"")))</f>
        <v/>
      </c>
      <c r="E536" t="str">
        <f>IF(CTR1_Local!$F567="","",CTR1_Local!$F567)</f>
        <v/>
      </c>
      <c r="F536" s="261" t="str">
        <f>IF(CTR1_Local!$T567="","",IF(CTR1_Local!$T567="Yes","Removed",""))</f>
        <v/>
      </c>
      <c r="G536" t="str">
        <f>IF(CTR1_Local!$N567="","",IF(F536="Removed","",CTR1_Local!$N567))</f>
        <v/>
      </c>
      <c r="H536" t="str">
        <f>IF(CTR1_Local!$P567="","",IF($F536="Removed","",CTR1_Local!$P567))</f>
        <v/>
      </c>
      <c r="I536" t="str">
        <f>IF(CTR1_Local!$R567="","",IF($F536="Removed","",CTR1_Local!$R567))</f>
        <v/>
      </c>
      <c r="J536" s="160" t="str">
        <f>CTR1_Local!$H567</f>
        <v/>
      </c>
      <c r="K536" s="340" t="str">
        <f>CTR1_Local!$J567</f>
        <v/>
      </c>
      <c r="L536" s="350" t="str">
        <f>CTR1_Local!$L567</f>
        <v/>
      </c>
      <c r="M536" s="261" t="str">
        <f>IF(CTR1_Local!$V567="","",IF(CTR1_Local!$V567="Yes","confirm",""))</f>
        <v/>
      </c>
      <c r="N536" t="str">
        <f>IF(CTR1_Local!$W567="","",CTR1_Local!$W567)</f>
        <v/>
      </c>
    </row>
    <row r="537" spans="1:14" x14ac:dyDescent="0.2">
      <c r="A537" s="287" t="str">
        <f>IF(CTR1_Local!$D568="",CTR1_Local!B568,CTR1_Local!$D568)</f>
        <v/>
      </c>
      <c r="B537" s="26" t="str">
        <f>IF(A537="","",IF(RIGHT(A537,3)="NEW","Add new / another parish",CTR1_Local!$AN568))</f>
        <v/>
      </c>
      <c r="C537" s="26" t="str">
        <f t="shared" si="8"/>
        <v/>
      </c>
      <c r="D537" s="177" t="str">
        <f>IF(A537="","",IF(RIGHT(A537,3)="NEW",CTR1_Local!$E568,IF(CTR1_Local!$AO568="change",CTR1_Local!$E568,"")))</f>
        <v/>
      </c>
      <c r="E537" t="str">
        <f>IF(CTR1_Local!$F568="","",CTR1_Local!$F568)</f>
        <v/>
      </c>
      <c r="F537" s="261" t="str">
        <f>IF(CTR1_Local!$T568="","",IF(CTR1_Local!$T568="Yes","Removed",""))</f>
        <v/>
      </c>
      <c r="G537" t="str">
        <f>IF(CTR1_Local!$N568="","",IF(F537="Removed","",CTR1_Local!$N568))</f>
        <v/>
      </c>
      <c r="H537" t="str">
        <f>IF(CTR1_Local!$P568="","",IF($F537="Removed","",CTR1_Local!$P568))</f>
        <v/>
      </c>
      <c r="I537" t="str">
        <f>IF(CTR1_Local!$R568="","",IF($F537="Removed","",CTR1_Local!$R568))</f>
        <v/>
      </c>
      <c r="J537" s="160" t="str">
        <f>CTR1_Local!$H568</f>
        <v/>
      </c>
      <c r="K537" s="340" t="str">
        <f>CTR1_Local!$J568</f>
        <v/>
      </c>
      <c r="L537" s="350" t="str">
        <f>CTR1_Local!$L568</f>
        <v/>
      </c>
      <c r="M537" s="261" t="str">
        <f>IF(CTR1_Local!$V568="","",IF(CTR1_Local!$V568="Yes","confirm",""))</f>
        <v/>
      </c>
      <c r="N537" t="str">
        <f>IF(CTR1_Local!$W568="","",CTR1_Local!$W568)</f>
        <v/>
      </c>
    </row>
    <row r="538" spans="1:14" x14ac:dyDescent="0.2">
      <c r="A538" s="287" t="str">
        <f>IF(CTR1_Local!$D569="",CTR1_Local!B569,CTR1_Local!$D569)</f>
        <v/>
      </c>
      <c r="B538" s="26" t="str">
        <f>IF(A538="","",IF(RIGHT(A538,3)="NEW","Add new / another parish",CTR1_Local!$AN569))</f>
        <v/>
      </c>
      <c r="C538" s="26" t="str">
        <f t="shared" si="8"/>
        <v/>
      </c>
      <c r="D538" s="177" t="str">
        <f>IF(A538="","",IF(RIGHT(A538,3)="NEW",CTR1_Local!$E569,IF(CTR1_Local!$AO569="change",CTR1_Local!$E569,"")))</f>
        <v/>
      </c>
      <c r="E538" t="str">
        <f>IF(CTR1_Local!$F569="","",CTR1_Local!$F569)</f>
        <v/>
      </c>
      <c r="F538" s="261" t="str">
        <f>IF(CTR1_Local!$T569="","",IF(CTR1_Local!$T569="Yes","Removed",""))</f>
        <v/>
      </c>
      <c r="G538" t="str">
        <f>IF(CTR1_Local!$N569="","",IF(F538="Removed","",CTR1_Local!$N569))</f>
        <v/>
      </c>
      <c r="H538" t="str">
        <f>IF(CTR1_Local!$P569="","",IF($F538="Removed","",CTR1_Local!$P569))</f>
        <v/>
      </c>
      <c r="I538" t="str">
        <f>IF(CTR1_Local!$R569="","",IF($F538="Removed","",CTR1_Local!$R569))</f>
        <v/>
      </c>
      <c r="J538" s="160" t="str">
        <f>CTR1_Local!$H569</f>
        <v/>
      </c>
      <c r="K538" s="340" t="str">
        <f>CTR1_Local!$J569</f>
        <v/>
      </c>
      <c r="L538" s="350" t="str">
        <f>CTR1_Local!$L569</f>
        <v/>
      </c>
      <c r="M538" s="261" t="str">
        <f>IF(CTR1_Local!$V569="","",IF(CTR1_Local!$V569="Yes","confirm",""))</f>
        <v/>
      </c>
      <c r="N538" t="str">
        <f>IF(CTR1_Local!$W569="","",CTR1_Local!$W569)</f>
        <v/>
      </c>
    </row>
    <row r="539" spans="1:14" x14ac:dyDescent="0.2">
      <c r="A539" s="287" t="str">
        <f>IF(CTR1_Local!$D570="",CTR1_Local!B570,CTR1_Local!$D570)</f>
        <v/>
      </c>
      <c r="B539" s="26" t="str">
        <f>IF(A539="","",IF(RIGHT(A539,3)="NEW","Add new / another parish",CTR1_Local!$AN570))</f>
        <v/>
      </c>
      <c r="C539" s="26" t="str">
        <f t="shared" si="8"/>
        <v/>
      </c>
      <c r="D539" s="177" t="str">
        <f>IF(A539="","",IF(RIGHT(A539,3)="NEW",CTR1_Local!$E570,IF(CTR1_Local!$AO570="change",CTR1_Local!$E570,"")))</f>
        <v/>
      </c>
      <c r="E539" t="str">
        <f>IF(CTR1_Local!$F570="","",CTR1_Local!$F570)</f>
        <v/>
      </c>
      <c r="F539" s="261" t="str">
        <f>IF(CTR1_Local!$T570="","",IF(CTR1_Local!$T570="Yes","Removed",""))</f>
        <v/>
      </c>
      <c r="G539" t="str">
        <f>IF(CTR1_Local!$N570="","",IF(F539="Removed","",CTR1_Local!$N570))</f>
        <v/>
      </c>
      <c r="H539" t="str">
        <f>IF(CTR1_Local!$P570="","",IF($F539="Removed","",CTR1_Local!$P570))</f>
        <v/>
      </c>
      <c r="I539" t="str">
        <f>IF(CTR1_Local!$R570="","",IF($F539="Removed","",CTR1_Local!$R570))</f>
        <v/>
      </c>
      <c r="J539" s="160" t="str">
        <f>CTR1_Local!$H570</f>
        <v/>
      </c>
      <c r="K539" s="340" t="str">
        <f>CTR1_Local!$J570</f>
        <v/>
      </c>
      <c r="L539" s="350" t="str">
        <f>CTR1_Local!$L570</f>
        <v/>
      </c>
      <c r="M539" s="261" t="str">
        <f>IF(CTR1_Local!$V570="","",IF(CTR1_Local!$V570="Yes","confirm",""))</f>
        <v/>
      </c>
      <c r="N539" t="str">
        <f>IF(CTR1_Local!$W570="","",CTR1_Local!$W570)</f>
        <v/>
      </c>
    </row>
    <row r="540" spans="1:14" x14ac:dyDescent="0.2">
      <c r="A540" s="287" t="str">
        <f>IF(CTR1_Local!$D571="",CTR1_Local!B571,CTR1_Local!$D571)</f>
        <v/>
      </c>
      <c r="B540" s="26" t="str">
        <f>IF(A540="","",IF(RIGHT(A540,3)="NEW","Add new / another parish",CTR1_Local!$AN571))</f>
        <v/>
      </c>
      <c r="C540" s="26" t="str">
        <f t="shared" si="8"/>
        <v/>
      </c>
      <c r="D540" s="177" t="str">
        <f>IF(A540="","",IF(RIGHT(A540,3)="NEW",CTR1_Local!$E571,IF(CTR1_Local!$AO571="change",CTR1_Local!$E571,"")))</f>
        <v/>
      </c>
      <c r="E540" t="str">
        <f>IF(CTR1_Local!$F571="","",CTR1_Local!$F571)</f>
        <v/>
      </c>
      <c r="F540" s="261" t="str">
        <f>IF(CTR1_Local!$T571="","",IF(CTR1_Local!$T571="Yes","Removed",""))</f>
        <v/>
      </c>
      <c r="G540" t="str">
        <f>IF(CTR1_Local!$N571="","",IF(F540="Removed","",CTR1_Local!$N571))</f>
        <v/>
      </c>
      <c r="H540" t="str">
        <f>IF(CTR1_Local!$P571="","",IF($F540="Removed","",CTR1_Local!$P571))</f>
        <v/>
      </c>
      <c r="I540" t="str">
        <f>IF(CTR1_Local!$R571="","",IF($F540="Removed","",CTR1_Local!$R571))</f>
        <v/>
      </c>
      <c r="J540" s="160" t="str">
        <f>CTR1_Local!$H571</f>
        <v/>
      </c>
      <c r="K540" s="340" t="str">
        <f>CTR1_Local!$J571</f>
        <v/>
      </c>
      <c r="L540" s="350" t="str">
        <f>CTR1_Local!$L571</f>
        <v/>
      </c>
      <c r="M540" s="261" t="str">
        <f>IF(CTR1_Local!$V571="","",IF(CTR1_Local!$V571="Yes","confirm",""))</f>
        <v/>
      </c>
      <c r="N540" t="str">
        <f>IF(CTR1_Local!$W571="","",CTR1_Local!$W571)</f>
        <v/>
      </c>
    </row>
    <row r="541" spans="1:14" x14ac:dyDescent="0.2">
      <c r="A541" s="287" t="str">
        <f>IF(CTR1_Local!$D572="",CTR1_Local!B572,CTR1_Local!$D572)</f>
        <v/>
      </c>
      <c r="B541" s="26" t="str">
        <f>IF(A541="","",IF(RIGHT(A541,3)="NEW","Add new / another parish",CTR1_Local!$AN572))</f>
        <v/>
      </c>
      <c r="C541" s="26" t="str">
        <f t="shared" si="8"/>
        <v/>
      </c>
      <c r="D541" s="177" t="str">
        <f>IF(A541="","",IF(RIGHT(A541,3)="NEW",CTR1_Local!$E572,IF(CTR1_Local!$AO572="change",CTR1_Local!$E572,"")))</f>
        <v/>
      </c>
      <c r="E541" t="str">
        <f>IF(CTR1_Local!$F572="","",CTR1_Local!$F572)</f>
        <v/>
      </c>
      <c r="F541" s="261" t="str">
        <f>IF(CTR1_Local!$T572="","",IF(CTR1_Local!$T572="Yes","Removed",""))</f>
        <v/>
      </c>
      <c r="G541" t="str">
        <f>IF(CTR1_Local!$N572="","",IF(F541="Removed","",CTR1_Local!$N572))</f>
        <v/>
      </c>
      <c r="H541" t="str">
        <f>IF(CTR1_Local!$P572="","",IF($F541="Removed","",CTR1_Local!$P572))</f>
        <v/>
      </c>
      <c r="I541" t="str">
        <f>IF(CTR1_Local!$R572="","",IF($F541="Removed","",CTR1_Local!$R572))</f>
        <v/>
      </c>
      <c r="J541" s="160" t="str">
        <f>CTR1_Local!$H572</f>
        <v/>
      </c>
      <c r="K541" s="340" t="str">
        <f>CTR1_Local!$J572</f>
        <v/>
      </c>
      <c r="L541" s="350" t="str">
        <f>CTR1_Local!$L572</f>
        <v/>
      </c>
      <c r="M541" s="261" t="str">
        <f>IF(CTR1_Local!$V572="","",IF(CTR1_Local!$V572="Yes","confirm",""))</f>
        <v/>
      </c>
      <c r="N541" t="str">
        <f>IF(CTR1_Local!$W572="","",CTR1_Local!$W572)</f>
        <v/>
      </c>
    </row>
    <row r="542" spans="1:14" x14ac:dyDescent="0.2">
      <c r="A542" s="287" t="str">
        <f>IF(CTR1_Local!$D573="",CTR1_Local!B573,CTR1_Local!$D573)</f>
        <v/>
      </c>
      <c r="B542" s="26" t="str">
        <f>IF(A542="","",IF(RIGHT(A542,3)="NEW","Add new / another parish",CTR1_Local!$AN573))</f>
        <v/>
      </c>
      <c r="C542" s="26" t="str">
        <f t="shared" si="8"/>
        <v/>
      </c>
      <c r="D542" s="177" t="str">
        <f>IF(A542="","",IF(RIGHT(A542,3)="NEW",CTR1_Local!$E573,IF(CTR1_Local!$AO573="change",CTR1_Local!$E573,"")))</f>
        <v/>
      </c>
      <c r="E542" t="str">
        <f>IF(CTR1_Local!$F573="","",CTR1_Local!$F573)</f>
        <v/>
      </c>
      <c r="F542" s="261" t="str">
        <f>IF(CTR1_Local!$T573="","",IF(CTR1_Local!$T573="Yes","Removed",""))</f>
        <v/>
      </c>
      <c r="G542" t="str">
        <f>IF(CTR1_Local!$N573="","",IF(F542="Removed","",CTR1_Local!$N573))</f>
        <v/>
      </c>
      <c r="H542" t="str">
        <f>IF(CTR1_Local!$P573="","",IF($F542="Removed","",CTR1_Local!$P573))</f>
        <v/>
      </c>
      <c r="I542" t="str">
        <f>IF(CTR1_Local!$R573="","",IF($F542="Removed","",CTR1_Local!$R573))</f>
        <v/>
      </c>
      <c r="J542" s="160" t="str">
        <f>CTR1_Local!$H573</f>
        <v/>
      </c>
      <c r="K542" s="340" t="str">
        <f>CTR1_Local!$J573</f>
        <v/>
      </c>
      <c r="L542" s="350" t="str">
        <f>CTR1_Local!$L573</f>
        <v/>
      </c>
      <c r="M542" s="261" t="str">
        <f>IF(CTR1_Local!$V573="","",IF(CTR1_Local!$V573="Yes","confirm",""))</f>
        <v/>
      </c>
      <c r="N542" t="str">
        <f>IF(CTR1_Local!$W573="","",CTR1_Local!$W573)</f>
        <v/>
      </c>
    </row>
    <row r="543" spans="1:14" x14ac:dyDescent="0.2">
      <c r="A543" s="287" t="str">
        <f>IF(CTR1_Local!$D574="",CTR1_Local!B574,CTR1_Local!$D574)</f>
        <v/>
      </c>
      <c r="B543" s="26" t="str">
        <f>IF(A543="","",IF(RIGHT(A543,3)="NEW","Add new / another parish",CTR1_Local!$AN574))</f>
        <v/>
      </c>
      <c r="C543" s="26" t="str">
        <f t="shared" si="8"/>
        <v/>
      </c>
      <c r="D543" s="177" t="str">
        <f>IF(A543="","",IF(RIGHT(A543,3)="NEW",CTR1_Local!$E574,IF(CTR1_Local!$AO574="change",CTR1_Local!$E574,"")))</f>
        <v/>
      </c>
      <c r="E543" t="str">
        <f>IF(CTR1_Local!$F574="","",CTR1_Local!$F574)</f>
        <v/>
      </c>
      <c r="F543" s="261" t="str">
        <f>IF(CTR1_Local!$T574="","",IF(CTR1_Local!$T574="Yes","Removed",""))</f>
        <v/>
      </c>
      <c r="G543" t="str">
        <f>IF(CTR1_Local!$N574="","",IF(F543="Removed","",CTR1_Local!$N574))</f>
        <v/>
      </c>
      <c r="H543" t="str">
        <f>IF(CTR1_Local!$P574="","",IF($F543="Removed","",CTR1_Local!$P574))</f>
        <v/>
      </c>
      <c r="I543" t="str">
        <f>IF(CTR1_Local!$R574="","",IF($F543="Removed","",CTR1_Local!$R574))</f>
        <v/>
      </c>
      <c r="J543" s="160" t="str">
        <f>CTR1_Local!$H574</f>
        <v/>
      </c>
      <c r="K543" s="340" t="str">
        <f>CTR1_Local!$J574</f>
        <v/>
      </c>
      <c r="L543" s="350" t="str">
        <f>CTR1_Local!$L574</f>
        <v/>
      </c>
      <c r="M543" s="261" t="str">
        <f>IF(CTR1_Local!$V574="","",IF(CTR1_Local!$V574="Yes","confirm",""))</f>
        <v/>
      </c>
      <c r="N543" t="str">
        <f>IF(CTR1_Local!$W574="","",CTR1_Local!$W574)</f>
        <v/>
      </c>
    </row>
    <row r="544" spans="1:14" x14ac:dyDescent="0.2">
      <c r="A544" s="287" t="str">
        <f>IF(CTR1_Local!$D575="",CTR1_Local!B575,CTR1_Local!$D575)</f>
        <v/>
      </c>
      <c r="B544" s="26" t="str">
        <f>IF(A544="","",IF(RIGHT(A544,3)="NEW","Add new / another parish",CTR1_Local!$AN575))</f>
        <v/>
      </c>
      <c r="C544" s="26" t="str">
        <f t="shared" si="8"/>
        <v/>
      </c>
      <c r="D544" s="177" t="str">
        <f>IF(A544="","",IF(RIGHT(A544,3)="NEW",CTR1_Local!$E575,IF(CTR1_Local!$AO575="change",CTR1_Local!$E575,"")))</f>
        <v/>
      </c>
      <c r="E544" t="str">
        <f>IF(CTR1_Local!$F575="","",CTR1_Local!$F575)</f>
        <v/>
      </c>
      <c r="F544" s="261" t="str">
        <f>IF(CTR1_Local!$T575="","",IF(CTR1_Local!$T575="Yes","Removed",""))</f>
        <v/>
      </c>
      <c r="G544" t="str">
        <f>IF(CTR1_Local!$N575="","",IF(F544="Removed","",CTR1_Local!$N575))</f>
        <v/>
      </c>
      <c r="H544" t="str">
        <f>IF(CTR1_Local!$P575="","",IF($F544="Removed","",CTR1_Local!$P575))</f>
        <v/>
      </c>
      <c r="I544" t="str">
        <f>IF(CTR1_Local!$R575="","",IF($F544="Removed","",CTR1_Local!$R575))</f>
        <v/>
      </c>
      <c r="J544" s="160" t="str">
        <f>CTR1_Local!$H575</f>
        <v/>
      </c>
      <c r="K544" s="340" t="str">
        <f>CTR1_Local!$J575</f>
        <v/>
      </c>
      <c r="L544" s="350" t="str">
        <f>CTR1_Local!$L575</f>
        <v/>
      </c>
      <c r="M544" s="261" t="str">
        <f>IF(CTR1_Local!$V575="","",IF(CTR1_Local!$V575="Yes","confirm",""))</f>
        <v/>
      </c>
      <c r="N544" t="str">
        <f>IF(CTR1_Local!$W575="","",CTR1_Local!$W575)</f>
        <v/>
      </c>
    </row>
    <row r="545" spans="1:14" x14ac:dyDescent="0.2">
      <c r="A545" s="287" t="str">
        <f>IF(CTR1_Local!$D576="",CTR1_Local!B576,CTR1_Local!$D576)</f>
        <v/>
      </c>
      <c r="B545" s="26" t="str">
        <f>IF(A545="","",IF(RIGHT(A545,3)="NEW","Add new / another parish",CTR1_Local!$AN576))</f>
        <v/>
      </c>
      <c r="C545" s="26" t="str">
        <f t="shared" si="8"/>
        <v/>
      </c>
      <c r="D545" s="177" t="str">
        <f>IF(A545="","",IF(RIGHT(A545,3)="NEW",CTR1_Local!$E576,IF(CTR1_Local!$AO576="change",CTR1_Local!$E576,"")))</f>
        <v/>
      </c>
      <c r="E545" t="str">
        <f>IF(CTR1_Local!$F576="","",CTR1_Local!$F576)</f>
        <v/>
      </c>
      <c r="F545" s="261" t="str">
        <f>IF(CTR1_Local!$T576="","",IF(CTR1_Local!$T576="Yes","Removed",""))</f>
        <v/>
      </c>
      <c r="G545" t="str">
        <f>IF(CTR1_Local!$N576="","",IF(F545="Removed","",CTR1_Local!$N576))</f>
        <v/>
      </c>
      <c r="H545" t="str">
        <f>IF(CTR1_Local!$P576="","",IF($F545="Removed","",CTR1_Local!$P576))</f>
        <v/>
      </c>
      <c r="I545" t="str">
        <f>IF(CTR1_Local!$R576="","",IF($F545="Removed","",CTR1_Local!$R576))</f>
        <v/>
      </c>
      <c r="J545" s="160" t="str">
        <f>CTR1_Local!$H576</f>
        <v/>
      </c>
      <c r="K545" s="340" t="str">
        <f>CTR1_Local!$J576</f>
        <v/>
      </c>
      <c r="L545" s="350" t="str">
        <f>CTR1_Local!$L576</f>
        <v/>
      </c>
      <c r="M545" s="261" t="str">
        <f>IF(CTR1_Local!$V576="","",IF(CTR1_Local!$V576="Yes","confirm",""))</f>
        <v/>
      </c>
      <c r="N545" t="str">
        <f>IF(CTR1_Local!$W576="","",CTR1_Local!$W576)</f>
        <v/>
      </c>
    </row>
    <row r="546" spans="1:14" x14ac:dyDescent="0.2">
      <c r="A546" s="287" t="str">
        <f>IF(CTR1_Local!$D577="",CTR1_Local!B577,CTR1_Local!$D577)</f>
        <v/>
      </c>
      <c r="B546" s="26" t="str">
        <f>IF(A546="","",IF(RIGHT(A546,3)="NEW","Add new / another parish",CTR1_Local!$AN577))</f>
        <v/>
      </c>
      <c r="C546" s="26" t="str">
        <f t="shared" si="8"/>
        <v/>
      </c>
      <c r="D546" s="177" t="str">
        <f>IF(A546="","",IF(RIGHT(A546,3)="NEW",CTR1_Local!$E577,IF(CTR1_Local!$AO577="change",CTR1_Local!$E577,"")))</f>
        <v/>
      </c>
      <c r="E546" t="str">
        <f>IF(CTR1_Local!$F577="","",CTR1_Local!$F577)</f>
        <v/>
      </c>
      <c r="F546" s="261" t="str">
        <f>IF(CTR1_Local!$T577="","",IF(CTR1_Local!$T577="Yes","Removed",""))</f>
        <v/>
      </c>
      <c r="G546" t="str">
        <f>IF(CTR1_Local!$N577="","",IF(F546="Removed","",CTR1_Local!$N577))</f>
        <v/>
      </c>
      <c r="H546" t="str">
        <f>IF(CTR1_Local!$P577="","",IF($F546="Removed","",CTR1_Local!$P577))</f>
        <v/>
      </c>
      <c r="I546" t="str">
        <f>IF(CTR1_Local!$R577="","",IF($F546="Removed","",CTR1_Local!$R577))</f>
        <v/>
      </c>
      <c r="J546" s="160" t="str">
        <f>CTR1_Local!$H577</f>
        <v/>
      </c>
      <c r="K546" s="340" t="str">
        <f>CTR1_Local!$J577</f>
        <v/>
      </c>
      <c r="L546" s="350" t="str">
        <f>CTR1_Local!$L577</f>
        <v/>
      </c>
      <c r="M546" s="261" t="str">
        <f>IF(CTR1_Local!$V577="","",IF(CTR1_Local!$V577="Yes","confirm",""))</f>
        <v/>
      </c>
      <c r="N546" t="str">
        <f>IF(CTR1_Local!$W577="","",CTR1_Local!$W577)</f>
        <v/>
      </c>
    </row>
    <row r="547" spans="1:14" x14ac:dyDescent="0.2">
      <c r="A547" s="287" t="str">
        <f>IF(CTR1_Local!$D578="",CTR1_Local!B578,CTR1_Local!$D578)</f>
        <v/>
      </c>
      <c r="B547" s="26" t="str">
        <f>IF(A547="","",IF(RIGHT(A547,3)="NEW","Add new / another parish",CTR1_Local!$AN578))</f>
        <v/>
      </c>
      <c r="C547" s="26" t="str">
        <f t="shared" si="8"/>
        <v/>
      </c>
      <c r="D547" s="177" t="str">
        <f>IF(A547="","",IF(RIGHT(A547,3)="NEW",CTR1_Local!$E578,IF(CTR1_Local!$AO578="change",CTR1_Local!$E578,"")))</f>
        <v/>
      </c>
      <c r="E547" t="str">
        <f>IF(CTR1_Local!$F578="","",CTR1_Local!$F578)</f>
        <v/>
      </c>
      <c r="F547" s="261" t="str">
        <f>IF(CTR1_Local!$T578="","",IF(CTR1_Local!$T578="Yes","Removed",""))</f>
        <v/>
      </c>
      <c r="G547" t="str">
        <f>IF(CTR1_Local!$N578="","",IF(F547="Removed","",CTR1_Local!$N578))</f>
        <v/>
      </c>
      <c r="H547" t="str">
        <f>IF(CTR1_Local!$P578="","",IF($F547="Removed","",CTR1_Local!$P578))</f>
        <v/>
      </c>
      <c r="I547" t="str">
        <f>IF(CTR1_Local!$R578="","",IF($F547="Removed","",CTR1_Local!$R578))</f>
        <v/>
      </c>
      <c r="J547" s="160" t="str">
        <f>CTR1_Local!$H578</f>
        <v/>
      </c>
      <c r="K547" s="340" t="str">
        <f>CTR1_Local!$J578</f>
        <v/>
      </c>
      <c r="L547" s="350" t="str">
        <f>CTR1_Local!$L578</f>
        <v/>
      </c>
      <c r="M547" s="261" t="str">
        <f>IF(CTR1_Local!$V578="","",IF(CTR1_Local!$V578="Yes","confirm",""))</f>
        <v/>
      </c>
      <c r="N547" t="str">
        <f>IF(CTR1_Local!$W578="","",CTR1_Local!$W578)</f>
        <v/>
      </c>
    </row>
    <row r="548" spans="1:14" x14ac:dyDescent="0.2">
      <c r="A548" s="287" t="str">
        <f>IF(CTR1_Local!$D579="",CTR1_Local!B579,CTR1_Local!$D579)</f>
        <v/>
      </c>
      <c r="B548" s="26" t="str">
        <f>IF(A548="","",IF(RIGHT(A548,3)="NEW","Add new / another parish",CTR1_Local!$AN579))</f>
        <v/>
      </c>
      <c r="C548" s="26" t="str">
        <f t="shared" si="8"/>
        <v/>
      </c>
      <c r="D548" s="177" t="str">
        <f>IF(A548="","",IF(RIGHT(A548,3)="NEW",CTR1_Local!$E579,IF(CTR1_Local!$AO579="change",CTR1_Local!$E579,"")))</f>
        <v/>
      </c>
      <c r="E548" t="str">
        <f>IF(CTR1_Local!$F579="","",CTR1_Local!$F579)</f>
        <v/>
      </c>
      <c r="F548" s="261" t="str">
        <f>IF(CTR1_Local!$T579="","",IF(CTR1_Local!$T579="Yes","Removed",""))</f>
        <v/>
      </c>
      <c r="G548" t="str">
        <f>IF(CTR1_Local!$N579="","",IF(F548="Removed","",CTR1_Local!$N579))</f>
        <v/>
      </c>
      <c r="H548" t="str">
        <f>IF(CTR1_Local!$P579="","",IF($F548="Removed","",CTR1_Local!$P579))</f>
        <v/>
      </c>
      <c r="I548" t="str">
        <f>IF(CTR1_Local!$R579="","",IF($F548="Removed","",CTR1_Local!$R579))</f>
        <v/>
      </c>
      <c r="J548" s="160" t="str">
        <f>CTR1_Local!$H579</f>
        <v/>
      </c>
      <c r="K548" s="340" t="str">
        <f>CTR1_Local!$J579</f>
        <v/>
      </c>
      <c r="L548" s="350" t="str">
        <f>CTR1_Local!$L579</f>
        <v/>
      </c>
      <c r="M548" s="261" t="str">
        <f>IF(CTR1_Local!$V579="","",IF(CTR1_Local!$V579="Yes","confirm",""))</f>
        <v/>
      </c>
      <c r="N548" t="str">
        <f>IF(CTR1_Local!$W579="","",CTR1_Local!$W579)</f>
        <v/>
      </c>
    </row>
    <row r="549" spans="1:14" x14ac:dyDescent="0.2">
      <c r="A549" s="287" t="str">
        <f>IF(CTR1_Local!$D580="",CTR1_Local!B580,CTR1_Local!$D580)</f>
        <v/>
      </c>
      <c r="B549" s="26" t="str">
        <f>IF(A549="","",IF(RIGHT(A549,3)="NEW","Add new / another parish",CTR1_Local!$AN580))</f>
        <v/>
      </c>
      <c r="C549" s="26" t="str">
        <f t="shared" si="8"/>
        <v/>
      </c>
      <c r="D549" s="177" t="str">
        <f>IF(A549="","",IF(RIGHT(A549,3)="NEW",CTR1_Local!$E580,IF(CTR1_Local!$AO580="change",CTR1_Local!$E580,"")))</f>
        <v/>
      </c>
      <c r="E549" t="str">
        <f>IF(CTR1_Local!$F580="","",CTR1_Local!$F580)</f>
        <v/>
      </c>
      <c r="F549" s="261" t="str">
        <f>IF(CTR1_Local!$T580="","",IF(CTR1_Local!$T580="Yes","Removed",""))</f>
        <v/>
      </c>
      <c r="G549" t="str">
        <f>IF(CTR1_Local!$N580="","",IF(F549="Removed","",CTR1_Local!$N580))</f>
        <v/>
      </c>
      <c r="H549" t="str">
        <f>IF(CTR1_Local!$P580="","",IF($F549="Removed","",CTR1_Local!$P580))</f>
        <v/>
      </c>
      <c r="I549" t="str">
        <f>IF(CTR1_Local!$R580="","",IF($F549="Removed","",CTR1_Local!$R580))</f>
        <v/>
      </c>
      <c r="J549" s="160" t="str">
        <f>CTR1_Local!$H580</f>
        <v/>
      </c>
      <c r="K549" s="340" t="str">
        <f>CTR1_Local!$J580</f>
        <v/>
      </c>
      <c r="L549" s="350" t="str">
        <f>CTR1_Local!$L580</f>
        <v/>
      </c>
      <c r="M549" s="261" t="str">
        <f>IF(CTR1_Local!$V580="","",IF(CTR1_Local!$V580="Yes","confirm",""))</f>
        <v/>
      </c>
      <c r="N549" t="str">
        <f>IF(CTR1_Local!$W580="","",CTR1_Local!$W580)</f>
        <v/>
      </c>
    </row>
    <row r="550" spans="1:14" x14ac:dyDescent="0.2">
      <c r="A550" s="287" t="str">
        <f>IF(CTR1_Local!$D581="",CTR1_Local!B581,CTR1_Local!$D581)</f>
        <v/>
      </c>
      <c r="B550" s="26" t="str">
        <f>IF(A550="","",IF(RIGHT(A550,3)="NEW","Add new / another parish",CTR1_Local!$AN581))</f>
        <v/>
      </c>
      <c r="C550" s="26" t="str">
        <f t="shared" si="8"/>
        <v/>
      </c>
      <c r="D550" s="177" t="str">
        <f>IF(A550="","",IF(RIGHT(A550,3)="NEW",CTR1_Local!$E581,IF(CTR1_Local!$AO581="change",CTR1_Local!$E581,"")))</f>
        <v/>
      </c>
      <c r="E550" t="str">
        <f>IF(CTR1_Local!$F581="","",CTR1_Local!$F581)</f>
        <v/>
      </c>
      <c r="F550" s="261" t="str">
        <f>IF(CTR1_Local!$T581="","",IF(CTR1_Local!$T581="Yes","Removed",""))</f>
        <v/>
      </c>
      <c r="G550" t="str">
        <f>IF(CTR1_Local!$N581="","",IF(F550="Removed","",CTR1_Local!$N581))</f>
        <v/>
      </c>
      <c r="H550" t="str">
        <f>IF(CTR1_Local!$P581="","",IF($F550="Removed","",CTR1_Local!$P581))</f>
        <v/>
      </c>
      <c r="I550" t="str">
        <f>IF(CTR1_Local!$R581="","",IF($F550="Removed","",CTR1_Local!$R581))</f>
        <v/>
      </c>
      <c r="J550" s="160" t="str">
        <f>CTR1_Local!$H581</f>
        <v/>
      </c>
      <c r="K550" s="340" t="str">
        <f>CTR1_Local!$J581</f>
        <v/>
      </c>
      <c r="L550" s="350" t="str">
        <f>CTR1_Local!$L581</f>
        <v/>
      </c>
      <c r="M550" s="261" t="str">
        <f>IF(CTR1_Local!$V581="","",IF(CTR1_Local!$V581="Yes","confirm",""))</f>
        <v/>
      </c>
      <c r="N550" t="str">
        <f>IF(CTR1_Local!$W581="","",CTR1_Local!$W581)</f>
        <v/>
      </c>
    </row>
    <row r="551" spans="1:14" x14ac:dyDescent="0.2">
      <c r="A551" s="287" t="str">
        <f>IF(CTR1_Local!$D582="",CTR1_Local!B582,CTR1_Local!$D582)</f>
        <v/>
      </c>
      <c r="B551" s="26" t="str">
        <f>IF(A551="","",IF(RIGHT(A551,3)="NEW","Add new / another parish",CTR1_Local!$AN582))</f>
        <v/>
      </c>
      <c r="C551" s="26" t="str">
        <f t="shared" si="8"/>
        <v/>
      </c>
      <c r="D551" s="177" t="str">
        <f>IF(A551="","",IF(RIGHT(A551,3)="NEW",CTR1_Local!$E582,IF(CTR1_Local!$AO582="change",CTR1_Local!$E582,"")))</f>
        <v/>
      </c>
      <c r="E551" t="str">
        <f>IF(CTR1_Local!$F582="","",CTR1_Local!$F582)</f>
        <v/>
      </c>
      <c r="F551" s="261" t="str">
        <f>IF(CTR1_Local!$T582="","",IF(CTR1_Local!$T582="Yes","Removed",""))</f>
        <v/>
      </c>
      <c r="G551" t="str">
        <f>IF(CTR1_Local!$N582="","",IF(F551="Removed","",CTR1_Local!$N582))</f>
        <v/>
      </c>
      <c r="H551" t="str">
        <f>IF(CTR1_Local!$P582="","",IF($F551="Removed","",CTR1_Local!$P582))</f>
        <v/>
      </c>
      <c r="I551" t="str">
        <f>IF(CTR1_Local!$R582="","",IF($F551="Removed","",CTR1_Local!$R582))</f>
        <v/>
      </c>
      <c r="J551" s="160" t="str">
        <f>CTR1_Local!$H582</f>
        <v/>
      </c>
      <c r="K551" s="340" t="str">
        <f>CTR1_Local!$J582</f>
        <v/>
      </c>
      <c r="L551" s="350" t="str">
        <f>CTR1_Local!$L582</f>
        <v/>
      </c>
      <c r="M551" s="261" t="str">
        <f>IF(CTR1_Local!$V582="","",IF(CTR1_Local!$V582="Yes","confirm",""))</f>
        <v/>
      </c>
      <c r="N551" t="str">
        <f>IF(CTR1_Local!$W582="","",CTR1_Local!$W582)</f>
        <v/>
      </c>
    </row>
    <row r="552" spans="1:14" x14ac:dyDescent="0.2">
      <c r="A552" s="287" t="str">
        <f>IF(CTR1_Local!$D583="",CTR1_Local!B583,CTR1_Local!$D583)</f>
        <v/>
      </c>
      <c r="B552" s="26" t="str">
        <f>IF(A552="","",IF(RIGHT(A552,3)="NEW","Add new / another parish",CTR1_Local!$AN583))</f>
        <v/>
      </c>
      <c r="C552" s="26" t="str">
        <f t="shared" si="8"/>
        <v/>
      </c>
      <c r="D552" s="177" t="str">
        <f>IF(A552="","",IF(RIGHT(A552,3)="NEW",CTR1_Local!$E583,IF(CTR1_Local!$AO583="change",CTR1_Local!$E583,"")))</f>
        <v/>
      </c>
      <c r="E552" t="str">
        <f>IF(CTR1_Local!$F583="","",CTR1_Local!$F583)</f>
        <v/>
      </c>
      <c r="F552" s="261" t="str">
        <f>IF(CTR1_Local!$T583="","",IF(CTR1_Local!$T583="Yes","Removed",""))</f>
        <v/>
      </c>
      <c r="G552" t="str">
        <f>IF(CTR1_Local!$N583="","",IF(F552="Removed","",CTR1_Local!$N583))</f>
        <v/>
      </c>
      <c r="H552" t="str">
        <f>IF(CTR1_Local!$P583="","",IF($F552="Removed","",CTR1_Local!$P583))</f>
        <v/>
      </c>
      <c r="I552" t="str">
        <f>IF(CTR1_Local!$R583="","",IF($F552="Removed","",CTR1_Local!$R583))</f>
        <v/>
      </c>
      <c r="J552" s="160" t="str">
        <f>CTR1_Local!$H583</f>
        <v/>
      </c>
      <c r="K552" s="340" t="str">
        <f>CTR1_Local!$J583</f>
        <v/>
      </c>
      <c r="L552" s="350" t="str">
        <f>CTR1_Local!$L583</f>
        <v/>
      </c>
      <c r="M552" s="261" t="str">
        <f>IF(CTR1_Local!$V583="","",IF(CTR1_Local!$V583="Yes","confirm",""))</f>
        <v/>
      </c>
      <c r="N552" t="str">
        <f>IF(CTR1_Local!$W583="","",CTR1_Local!$W583)</f>
        <v/>
      </c>
    </row>
    <row r="553" spans="1:14" x14ac:dyDescent="0.2">
      <c r="A553" s="287" t="str">
        <f>IF(CTR1_Local!$D584="",CTR1_Local!B584,CTR1_Local!$D584)</f>
        <v/>
      </c>
      <c r="B553" s="26" t="str">
        <f>IF(A553="","",IF(RIGHT(A553,3)="NEW","Add new / another parish",CTR1_Local!$AN584))</f>
        <v/>
      </c>
      <c r="C553" s="26" t="str">
        <f t="shared" si="8"/>
        <v/>
      </c>
      <c r="D553" s="177" t="str">
        <f>IF(A553="","",IF(RIGHT(A553,3)="NEW",CTR1_Local!$E584,IF(CTR1_Local!$AO584="change",CTR1_Local!$E584,"")))</f>
        <v/>
      </c>
      <c r="E553" t="str">
        <f>IF(CTR1_Local!$F584="","",CTR1_Local!$F584)</f>
        <v/>
      </c>
      <c r="F553" s="261" t="str">
        <f>IF(CTR1_Local!$T584="","",IF(CTR1_Local!$T584="Yes","Removed",""))</f>
        <v/>
      </c>
      <c r="G553" t="str">
        <f>IF(CTR1_Local!$N584="","",IF(F553="Removed","",CTR1_Local!$N584))</f>
        <v/>
      </c>
      <c r="H553" t="str">
        <f>IF(CTR1_Local!$P584="","",IF($F553="Removed","",CTR1_Local!$P584))</f>
        <v/>
      </c>
      <c r="I553" t="str">
        <f>IF(CTR1_Local!$R584="","",IF($F553="Removed","",CTR1_Local!$R584))</f>
        <v/>
      </c>
      <c r="J553" s="160" t="str">
        <f>CTR1_Local!$H584</f>
        <v/>
      </c>
      <c r="K553" s="340" t="str">
        <f>CTR1_Local!$J584</f>
        <v/>
      </c>
      <c r="L553" s="350" t="str">
        <f>CTR1_Local!$L584</f>
        <v/>
      </c>
      <c r="M553" s="261" t="str">
        <f>IF(CTR1_Local!$V584="","",IF(CTR1_Local!$V584="Yes","confirm",""))</f>
        <v/>
      </c>
      <c r="N553" t="str">
        <f>IF(CTR1_Local!$W584="","",CTR1_Local!$W584)</f>
        <v/>
      </c>
    </row>
    <row r="554" spans="1:14" x14ac:dyDescent="0.2">
      <c r="A554" s="287" t="str">
        <f>IF(CTR1_Local!$D585="",CTR1_Local!B585,CTR1_Local!$D585)</f>
        <v/>
      </c>
      <c r="B554" s="26" t="str">
        <f>IF(A554="","",IF(RIGHT(A554,3)="NEW","Add new / another parish",CTR1_Local!$AN585))</f>
        <v/>
      </c>
      <c r="C554" s="26" t="str">
        <f t="shared" si="8"/>
        <v/>
      </c>
      <c r="D554" s="177" t="str">
        <f>IF(A554="","",IF(RIGHT(A554,3)="NEW",CTR1_Local!$E585,IF(CTR1_Local!$AO585="change",CTR1_Local!$E585,"")))</f>
        <v/>
      </c>
      <c r="E554" t="str">
        <f>IF(CTR1_Local!$F585="","",CTR1_Local!$F585)</f>
        <v/>
      </c>
      <c r="F554" s="261" t="str">
        <f>IF(CTR1_Local!$T585="","",IF(CTR1_Local!$T585="Yes","Removed",""))</f>
        <v/>
      </c>
      <c r="G554" t="str">
        <f>IF(CTR1_Local!$N585="","",IF(F554="Removed","",CTR1_Local!$N585))</f>
        <v/>
      </c>
      <c r="H554" t="str">
        <f>IF(CTR1_Local!$P585="","",IF($F554="Removed","",CTR1_Local!$P585))</f>
        <v/>
      </c>
      <c r="I554" t="str">
        <f>IF(CTR1_Local!$R585="","",IF($F554="Removed","",CTR1_Local!$R585))</f>
        <v/>
      </c>
      <c r="J554" s="160" t="str">
        <f>CTR1_Local!$H585</f>
        <v/>
      </c>
      <c r="K554" s="340" t="str">
        <f>CTR1_Local!$J585</f>
        <v/>
      </c>
      <c r="L554" s="350" t="str">
        <f>CTR1_Local!$L585</f>
        <v/>
      </c>
      <c r="M554" s="261" t="str">
        <f>IF(CTR1_Local!$V585="","",IF(CTR1_Local!$V585="Yes","confirm",""))</f>
        <v/>
      </c>
      <c r="N554" t="str">
        <f>IF(CTR1_Local!$W585="","",CTR1_Local!$W585)</f>
        <v/>
      </c>
    </row>
    <row r="555" spans="1:14" x14ac:dyDescent="0.2">
      <c r="A555" s="287" t="str">
        <f>IF(CTR1_Local!$D586="",CTR1_Local!B586,CTR1_Local!$D586)</f>
        <v/>
      </c>
      <c r="B555" s="26" t="str">
        <f>IF(A555="","",IF(RIGHT(A555,3)="NEW","Add new / another parish",CTR1_Local!$AN586))</f>
        <v/>
      </c>
      <c r="C555" s="26" t="str">
        <f t="shared" si="8"/>
        <v/>
      </c>
      <c r="D555" s="177" t="str">
        <f>IF(A555="","",IF(RIGHT(A555,3)="NEW",CTR1_Local!$E586,IF(CTR1_Local!$AO586="change",CTR1_Local!$E586,"")))</f>
        <v/>
      </c>
      <c r="E555" t="str">
        <f>IF(CTR1_Local!$F586="","",CTR1_Local!$F586)</f>
        <v/>
      </c>
      <c r="F555" s="261" t="str">
        <f>IF(CTR1_Local!$T586="","",IF(CTR1_Local!$T586="Yes","Removed",""))</f>
        <v/>
      </c>
      <c r="G555" t="str">
        <f>IF(CTR1_Local!$N586="","",IF(F555="Removed","",CTR1_Local!$N586))</f>
        <v/>
      </c>
      <c r="H555" t="str">
        <f>IF(CTR1_Local!$P586="","",IF($F555="Removed","",CTR1_Local!$P586))</f>
        <v/>
      </c>
      <c r="I555" t="str">
        <f>IF(CTR1_Local!$R586="","",IF($F555="Removed","",CTR1_Local!$R586))</f>
        <v/>
      </c>
      <c r="J555" s="160" t="str">
        <f>CTR1_Local!$H586</f>
        <v/>
      </c>
      <c r="K555" s="340" t="str">
        <f>CTR1_Local!$J586</f>
        <v/>
      </c>
      <c r="L555" s="350" t="str">
        <f>CTR1_Local!$L586</f>
        <v/>
      </c>
      <c r="M555" s="261" t="str">
        <f>IF(CTR1_Local!$V586="","",IF(CTR1_Local!$V586="Yes","confirm",""))</f>
        <v/>
      </c>
      <c r="N555" t="str">
        <f>IF(CTR1_Local!$W586="","",CTR1_Local!$W586)</f>
        <v/>
      </c>
    </row>
    <row r="556" spans="1:14" x14ac:dyDescent="0.2">
      <c r="A556" s="287" t="str">
        <f>IF(CTR1_Local!$D587="",CTR1_Local!B587,CTR1_Local!$D587)</f>
        <v/>
      </c>
      <c r="B556" s="26" t="str">
        <f>IF(A556="","",IF(RIGHT(A556,3)="NEW","Add new / another parish",CTR1_Local!$AN587))</f>
        <v/>
      </c>
      <c r="C556" s="26" t="str">
        <f t="shared" si="8"/>
        <v/>
      </c>
      <c r="D556" s="177" t="str">
        <f>IF(A556="","",IF(RIGHT(A556,3)="NEW",CTR1_Local!$E587,IF(CTR1_Local!$AO587="change",CTR1_Local!$E587,"")))</f>
        <v/>
      </c>
      <c r="E556" t="str">
        <f>IF(CTR1_Local!$F587="","",CTR1_Local!$F587)</f>
        <v/>
      </c>
      <c r="F556" s="261" t="str">
        <f>IF(CTR1_Local!$T587="","",IF(CTR1_Local!$T587="Yes","Removed",""))</f>
        <v/>
      </c>
      <c r="G556" t="str">
        <f>IF(CTR1_Local!$N587="","",IF(F556="Removed","",CTR1_Local!$N587))</f>
        <v/>
      </c>
      <c r="H556" t="str">
        <f>IF(CTR1_Local!$P587="","",IF($F556="Removed","",CTR1_Local!$P587))</f>
        <v/>
      </c>
      <c r="I556" t="str">
        <f>IF(CTR1_Local!$R587="","",IF($F556="Removed","",CTR1_Local!$R587))</f>
        <v/>
      </c>
      <c r="J556" s="160" t="str">
        <f>CTR1_Local!$H587</f>
        <v/>
      </c>
      <c r="K556" s="340" t="str">
        <f>CTR1_Local!$J587</f>
        <v/>
      </c>
      <c r="L556" s="350" t="str">
        <f>CTR1_Local!$L587</f>
        <v/>
      </c>
      <c r="M556" s="261" t="str">
        <f>IF(CTR1_Local!$V587="","",IF(CTR1_Local!$V587="Yes","confirm",""))</f>
        <v/>
      </c>
      <c r="N556" t="str">
        <f>IF(CTR1_Local!$W587="","",CTR1_Local!$W587)</f>
        <v/>
      </c>
    </row>
    <row r="557" spans="1:14" x14ac:dyDescent="0.2">
      <c r="A557" s="287" t="str">
        <f>IF(CTR1_Local!$D588="",CTR1_Local!B588,CTR1_Local!$D588)</f>
        <v/>
      </c>
      <c r="B557" s="26" t="str">
        <f>IF(A557="","",IF(RIGHT(A557,3)="NEW","Add new / another parish",CTR1_Local!$AN588))</f>
        <v/>
      </c>
      <c r="C557" s="26" t="str">
        <f t="shared" si="8"/>
        <v/>
      </c>
      <c r="D557" s="177" t="str">
        <f>IF(A557="","",IF(RIGHT(A557,3)="NEW",CTR1_Local!$E588,IF(CTR1_Local!$AO588="change",CTR1_Local!$E588,"")))</f>
        <v/>
      </c>
      <c r="E557" t="str">
        <f>IF(CTR1_Local!$F588="","",CTR1_Local!$F588)</f>
        <v/>
      </c>
      <c r="F557" s="261" t="str">
        <f>IF(CTR1_Local!$T588="","",IF(CTR1_Local!$T588="Yes","Removed",""))</f>
        <v/>
      </c>
      <c r="G557" t="str">
        <f>IF(CTR1_Local!$N588="","",IF(F557="Removed","",CTR1_Local!$N588))</f>
        <v/>
      </c>
      <c r="H557" t="str">
        <f>IF(CTR1_Local!$P588="","",IF($F557="Removed","",CTR1_Local!$P588))</f>
        <v/>
      </c>
      <c r="I557" t="str">
        <f>IF(CTR1_Local!$R588="","",IF($F557="Removed","",CTR1_Local!$R588))</f>
        <v/>
      </c>
      <c r="J557" s="160" t="str">
        <f>CTR1_Local!$H588</f>
        <v/>
      </c>
      <c r="K557" s="340" t="str">
        <f>CTR1_Local!$J588</f>
        <v/>
      </c>
      <c r="L557" s="350" t="str">
        <f>CTR1_Local!$L588</f>
        <v/>
      </c>
      <c r="M557" s="261" t="str">
        <f>IF(CTR1_Local!$V588="","",IF(CTR1_Local!$V588="Yes","confirm",""))</f>
        <v/>
      </c>
      <c r="N557" t="str">
        <f>IF(CTR1_Local!$W588="","",CTR1_Local!$W588)</f>
        <v/>
      </c>
    </row>
    <row r="558" spans="1:14" x14ac:dyDescent="0.2">
      <c r="A558" s="287" t="str">
        <f>IF(CTR1_Local!$D589="",CTR1_Local!B589,CTR1_Local!$D589)</f>
        <v/>
      </c>
      <c r="B558" s="26" t="str">
        <f>IF(A558="","",IF(RIGHT(A558,3)="NEW","Add new / another parish",CTR1_Local!$AN589))</f>
        <v/>
      </c>
      <c r="C558" s="26" t="str">
        <f t="shared" si="8"/>
        <v/>
      </c>
      <c r="D558" s="177" t="str">
        <f>IF(A558="","",IF(RIGHT(A558,3)="NEW",CTR1_Local!$E589,IF(CTR1_Local!$AO589="change",CTR1_Local!$E589,"")))</f>
        <v/>
      </c>
      <c r="E558" t="str">
        <f>IF(CTR1_Local!$F589="","",CTR1_Local!$F589)</f>
        <v/>
      </c>
      <c r="F558" s="261" t="str">
        <f>IF(CTR1_Local!$T589="","",IF(CTR1_Local!$T589="Yes","Removed",""))</f>
        <v/>
      </c>
      <c r="G558" t="str">
        <f>IF(CTR1_Local!$N589="","",IF(F558="Removed","",CTR1_Local!$N589))</f>
        <v/>
      </c>
      <c r="H558" t="str">
        <f>IF(CTR1_Local!$P589="","",IF($F558="Removed","",CTR1_Local!$P589))</f>
        <v/>
      </c>
      <c r="I558" t="str">
        <f>IF(CTR1_Local!$R589="","",IF($F558="Removed","",CTR1_Local!$R589))</f>
        <v/>
      </c>
      <c r="J558" s="160" t="str">
        <f>CTR1_Local!$H589</f>
        <v/>
      </c>
      <c r="K558" s="340" t="str">
        <f>CTR1_Local!$J589</f>
        <v/>
      </c>
      <c r="L558" s="350" t="str">
        <f>CTR1_Local!$L589</f>
        <v/>
      </c>
      <c r="M558" s="261" t="str">
        <f>IF(CTR1_Local!$V589="","",IF(CTR1_Local!$V589="Yes","confirm",""))</f>
        <v/>
      </c>
      <c r="N558" t="str">
        <f>IF(CTR1_Local!$W589="","",CTR1_Local!$W589)</f>
        <v/>
      </c>
    </row>
    <row r="559" spans="1:14" x14ac:dyDescent="0.2">
      <c r="A559" s="287" t="str">
        <f>IF(CTR1_Local!$D590="",CTR1_Local!B590,CTR1_Local!$D590)</f>
        <v/>
      </c>
      <c r="B559" s="26" t="str">
        <f>IF(A559="","",IF(RIGHT(A559,3)="NEW","Add new / another parish",CTR1_Local!$AN590))</f>
        <v/>
      </c>
      <c r="C559" s="26" t="str">
        <f t="shared" si="8"/>
        <v/>
      </c>
      <c r="D559" s="177" t="str">
        <f>IF(A559="","",IF(RIGHT(A559,3)="NEW",CTR1_Local!$E590,IF(CTR1_Local!$AO590="change",CTR1_Local!$E590,"")))</f>
        <v/>
      </c>
      <c r="E559" t="str">
        <f>IF(CTR1_Local!$F590="","",CTR1_Local!$F590)</f>
        <v/>
      </c>
      <c r="F559" s="261" t="str">
        <f>IF(CTR1_Local!$T590="","",IF(CTR1_Local!$T590="Yes","Removed",""))</f>
        <v/>
      </c>
      <c r="G559" t="str">
        <f>IF(CTR1_Local!$N590="","",IF(F559="Removed","",CTR1_Local!$N590))</f>
        <v/>
      </c>
      <c r="H559" t="str">
        <f>IF(CTR1_Local!$P590="","",IF($F559="Removed","",CTR1_Local!$P590))</f>
        <v/>
      </c>
      <c r="I559" t="str">
        <f>IF(CTR1_Local!$R590="","",IF($F559="Removed","",CTR1_Local!$R590))</f>
        <v/>
      </c>
      <c r="J559" s="160" t="str">
        <f>CTR1_Local!$H590</f>
        <v/>
      </c>
      <c r="K559" s="340" t="str">
        <f>CTR1_Local!$J590</f>
        <v/>
      </c>
      <c r="L559" s="350" t="str">
        <f>CTR1_Local!$L590</f>
        <v/>
      </c>
      <c r="M559" s="261" t="str">
        <f>IF(CTR1_Local!$V590="","",IF(CTR1_Local!$V590="Yes","confirm",""))</f>
        <v/>
      </c>
      <c r="N559" t="str">
        <f>IF(CTR1_Local!$W590="","",CTR1_Local!$W590)</f>
        <v/>
      </c>
    </row>
    <row r="560" spans="1:14" x14ac:dyDescent="0.2">
      <c r="A560" s="287" t="str">
        <f>IF(CTR1_Local!$D591="",CTR1_Local!B591,CTR1_Local!$D591)</f>
        <v/>
      </c>
      <c r="B560" s="26" t="str">
        <f>IF(A560="","",IF(RIGHT(A560,3)="NEW","Add new / another parish",CTR1_Local!$AN591))</f>
        <v/>
      </c>
      <c r="C560" s="26" t="str">
        <f t="shared" si="8"/>
        <v/>
      </c>
      <c r="D560" s="177" t="str">
        <f>IF(A560="","",IF(RIGHT(A560,3)="NEW",CTR1_Local!$E591,IF(CTR1_Local!$AO591="change",CTR1_Local!$E591,"")))</f>
        <v/>
      </c>
      <c r="E560" t="str">
        <f>IF(CTR1_Local!$F591="","",CTR1_Local!$F591)</f>
        <v/>
      </c>
      <c r="F560" s="261" t="str">
        <f>IF(CTR1_Local!$T591="","",IF(CTR1_Local!$T591="Yes","Removed",""))</f>
        <v/>
      </c>
      <c r="G560" t="str">
        <f>IF(CTR1_Local!$N591="","",IF(F560="Removed","",CTR1_Local!$N591))</f>
        <v/>
      </c>
      <c r="H560" t="str">
        <f>IF(CTR1_Local!$P591="","",IF($F560="Removed","",CTR1_Local!$P591))</f>
        <v/>
      </c>
      <c r="I560" t="str">
        <f>IF(CTR1_Local!$R591="","",IF($F560="Removed","",CTR1_Local!$R591))</f>
        <v/>
      </c>
      <c r="J560" s="160" t="str">
        <f>CTR1_Local!$H591</f>
        <v/>
      </c>
      <c r="K560" s="340" t="str">
        <f>CTR1_Local!$J591</f>
        <v/>
      </c>
      <c r="L560" s="350" t="str">
        <f>CTR1_Local!$L591</f>
        <v/>
      </c>
      <c r="M560" s="261" t="str">
        <f>IF(CTR1_Local!$V591="","",IF(CTR1_Local!$V591="Yes","confirm",""))</f>
        <v/>
      </c>
      <c r="N560" t="str">
        <f>IF(CTR1_Local!$W591="","",CTR1_Local!$W591)</f>
        <v/>
      </c>
    </row>
    <row r="561" spans="1:14" x14ac:dyDescent="0.2">
      <c r="A561" s="287" t="str">
        <f>IF(CTR1_Local!$D592="",CTR1_Local!B592,CTR1_Local!$D592)</f>
        <v/>
      </c>
      <c r="B561" s="26" t="str">
        <f>IF(A561="","",IF(RIGHT(A561,3)="NEW","Add new / another parish",CTR1_Local!$AN592))</f>
        <v/>
      </c>
      <c r="C561" s="26" t="str">
        <f t="shared" si="8"/>
        <v/>
      </c>
      <c r="D561" s="177" t="str">
        <f>IF(A561="","",IF(RIGHT(A561,3)="NEW",CTR1_Local!$E592,IF(CTR1_Local!$AO592="change",CTR1_Local!$E592,"")))</f>
        <v/>
      </c>
      <c r="E561" t="str">
        <f>IF(CTR1_Local!$F592="","",CTR1_Local!$F592)</f>
        <v/>
      </c>
      <c r="F561" s="261" t="str">
        <f>IF(CTR1_Local!$T592="","",IF(CTR1_Local!$T592="Yes","Removed",""))</f>
        <v/>
      </c>
      <c r="G561" t="str">
        <f>IF(CTR1_Local!$N592="","",IF(F561="Removed","",CTR1_Local!$N592))</f>
        <v/>
      </c>
      <c r="H561" t="str">
        <f>IF(CTR1_Local!$P592="","",IF($F561="Removed","",CTR1_Local!$P592))</f>
        <v/>
      </c>
      <c r="I561" t="str">
        <f>IF(CTR1_Local!$R592="","",IF($F561="Removed","",CTR1_Local!$R592))</f>
        <v/>
      </c>
      <c r="J561" s="160" t="str">
        <f>CTR1_Local!$H592</f>
        <v/>
      </c>
      <c r="K561" s="340" t="str">
        <f>CTR1_Local!$J592</f>
        <v/>
      </c>
      <c r="L561" s="350" t="str">
        <f>CTR1_Local!$L592</f>
        <v/>
      </c>
      <c r="M561" s="261" t="str">
        <f>IF(CTR1_Local!$V592="","",IF(CTR1_Local!$V592="Yes","confirm",""))</f>
        <v/>
      </c>
      <c r="N561" t="str">
        <f>IF(CTR1_Local!$W592="","",CTR1_Local!$W592)</f>
        <v/>
      </c>
    </row>
    <row r="562" spans="1:14" x14ac:dyDescent="0.2">
      <c r="A562" s="287" t="str">
        <f>IF(CTR1_Local!$D593="",CTR1_Local!B593,CTR1_Local!$D593)</f>
        <v/>
      </c>
      <c r="B562" s="26" t="str">
        <f>IF(A562="","",IF(RIGHT(A562,3)="NEW","Add new / another parish",CTR1_Local!$AN593))</f>
        <v/>
      </c>
      <c r="C562" s="26" t="str">
        <f t="shared" si="8"/>
        <v/>
      </c>
      <c r="D562" s="177" t="str">
        <f>IF(A562="","",IF(RIGHT(A562,3)="NEW",CTR1_Local!$E593,IF(CTR1_Local!$AO593="change",CTR1_Local!$E593,"")))</f>
        <v/>
      </c>
      <c r="E562" t="str">
        <f>IF(CTR1_Local!$F593="","",CTR1_Local!$F593)</f>
        <v/>
      </c>
      <c r="F562" s="261" t="str">
        <f>IF(CTR1_Local!$T593="","",IF(CTR1_Local!$T593="Yes","Removed",""))</f>
        <v/>
      </c>
      <c r="G562" t="str">
        <f>IF(CTR1_Local!$N593="","",IF(F562="Removed","",CTR1_Local!$N593))</f>
        <v/>
      </c>
      <c r="H562" t="str">
        <f>IF(CTR1_Local!$P593="","",IF($F562="Removed","",CTR1_Local!$P593))</f>
        <v/>
      </c>
      <c r="I562" t="str">
        <f>IF(CTR1_Local!$R593="","",IF($F562="Removed","",CTR1_Local!$R593))</f>
        <v/>
      </c>
      <c r="J562" s="160" t="str">
        <f>CTR1_Local!$H593</f>
        <v/>
      </c>
      <c r="K562" s="340" t="str">
        <f>CTR1_Local!$J593</f>
        <v/>
      </c>
      <c r="L562" s="350" t="str">
        <f>CTR1_Local!$L593</f>
        <v/>
      </c>
      <c r="M562" s="261" t="str">
        <f>IF(CTR1_Local!$V593="","",IF(CTR1_Local!$V593="Yes","confirm",""))</f>
        <v/>
      </c>
      <c r="N562" t="str">
        <f>IF(CTR1_Local!$W593="","",CTR1_Local!$W593)</f>
        <v/>
      </c>
    </row>
    <row r="563" spans="1:14" x14ac:dyDescent="0.2">
      <c r="A563" s="287" t="str">
        <f>IF(CTR1_Local!$D594="",CTR1_Local!B594,CTR1_Local!$D594)</f>
        <v/>
      </c>
      <c r="B563" s="26" t="str">
        <f>IF(A563="","",IF(RIGHT(A563,3)="NEW","Add new / another parish",CTR1_Local!$AN594))</f>
        <v/>
      </c>
      <c r="C563" s="26" t="str">
        <f t="shared" si="8"/>
        <v/>
      </c>
      <c r="D563" s="177" t="str">
        <f>IF(A563="","",IF(RIGHT(A563,3)="NEW",CTR1_Local!$E594,IF(CTR1_Local!$AO594="change",CTR1_Local!$E594,"")))</f>
        <v/>
      </c>
      <c r="E563" t="str">
        <f>IF(CTR1_Local!$F594="","",CTR1_Local!$F594)</f>
        <v/>
      </c>
      <c r="F563" s="261" t="str">
        <f>IF(CTR1_Local!$T594="","",IF(CTR1_Local!$T594="Yes","Removed",""))</f>
        <v/>
      </c>
      <c r="G563" t="str">
        <f>IF(CTR1_Local!$N594="","",IF(F563="Removed","",CTR1_Local!$N594))</f>
        <v/>
      </c>
      <c r="H563" t="str">
        <f>IF(CTR1_Local!$P594="","",IF($F563="Removed","",CTR1_Local!$P594))</f>
        <v/>
      </c>
      <c r="I563" t="str">
        <f>IF(CTR1_Local!$R594="","",IF($F563="Removed","",CTR1_Local!$R594))</f>
        <v/>
      </c>
      <c r="J563" s="160" t="str">
        <f>CTR1_Local!$H594</f>
        <v/>
      </c>
      <c r="K563" s="340" t="str">
        <f>CTR1_Local!$J594</f>
        <v/>
      </c>
      <c r="L563" s="350" t="str">
        <f>CTR1_Local!$L594</f>
        <v/>
      </c>
      <c r="M563" s="261" t="str">
        <f>IF(CTR1_Local!$V594="","",IF(CTR1_Local!$V594="Yes","confirm",""))</f>
        <v/>
      </c>
      <c r="N563" t="str">
        <f>IF(CTR1_Local!$W594="","",CTR1_Local!$W594)</f>
        <v/>
      </c>
    </row>
    <row r="564" spans="1:14" x14ac:dyDescent="0.2">
      <c r="A564" s="287" t="str">
        <f>IF(CTR1_Local!$D595="",CTR1_Local!B595,CTR1_Local!$D595)</f>
        <v/>
      </c>
      <c r="B564" s="26" t="str">
        <f>IF(A564="","",IF(RIGHT(A564,3)="NEW","Add new / another parish",CTR1_Local!$AN595))</f>
        <v/>
      </c>
      <c r="C564" s="26" t="str">
        <f t="shared" si="8"/>
        <v/>
      </c>
      <c r="D564" s="177" t="str">
        <f>IF(A564="","",IF(RIGHT(A564,3)="NEW",CTR1_Local!$E595,IF(CTR1_Local!$AO595="change",CTR1_Local!$E595,"")))</f>
        <v/>
      </c>
      <c r="E564" t="str">
        <f>IF(CTR1_Local!$F595="","",CTR1_Local!$F595)</f>
        <v/>
      </c>
      <c r="F564" s="261" t="str">
        <f>IF(CTR1_Local!$T595="","",IF(CTR1_Local!$T595="Yes","Removed",""))</f>
        <v/>
      </c>
      <c r="G564" t="str">
        <f>IF(CTR1_Local!$N595="","",IF(F564="Removed","",CTR1_Local!$N595))</f>
        <v/>
      </c>
      <c r="H564" t="str">
        <f>IF(CTR1_Local!$P595="","",IF($F564="Removed","",CTR1_Local!$P595))</f>
        <v/>
      </c>
      <c r="I564" t="str">
        <f>IF(CTR1_Local!$R595="","",IF($F564="Removed","",CTR1_Local!$R595))</f>
        <v/>
      </c>
      <c r="J564" s="160" t="str">
        <f>CTR1_Local!$H595</f>
        <v/>
      </c>
      <c r="K564" s="340" t="str">
        <f>CTR1_Local!$J595</f>
        <v/>
      </c>
      <c r="L564" s="350" t="str">
        <f>CTR1_Local!$L595</f>
        <v/>
      </c>
      <c r="M564" s="261" t="str">
        <f>IF(CTR1_Local!$V595="","",IF(CTR1_Local!$V595="Yes","confirm",""))</f>
        <v/>
      </c>
      <c r="N564" t="str">
        <f>IF(CTR1_Local!$W595="","",CTR1_Local!$W595)</f>
        <v/>
      </c>
    </row>
    <row r="565" spans="1:14" x14ac:dyDescent="0.2">
      <c r="A565" s="287" t="str">
        <f>IF(CTR1_Local!$D596="",CTR1_Local!B596,CTR1_Local!$D596)</f>
        <v/>
      </c>
      <c r="B565" s="26" t="str">
        <f>IF(A565="","",IF(RIGHT(A565,3)="NEW","Add new / another parish",CTR1_Local!$AN596))</f>
        <v/>
      </c>
      <c r="C565" s="26" t="str">
        <f t="shared" si="8"/>
        <v/>
      </c>
      <c r="D565" s="177" t="str">
        <f>IF(A565="","",IF(RIGHT(A565,3)="NEW",CTR1_Local!$E596,IF(CTR1_Local!$AO596="change",CTR1_Local!$E596,"")))</f>
        <v/>
      </c>
      <c r="E565" t="str">
        <f>IF(CTR1_Local!$F596="","",CTR1_Local!$F596)</f>
        <v/>
      </c>
      <c r="F565" s="261" t="str">
        <f>IF(CTR1_Local!$T596="","",IF(CTR1_Local!$T596="Yes","Removed",""))</f>
        <v/>
      </c>
      <c r="G565" t="str">
        <f>IF(CTR1_Local!$N596="","",IF(F565="Removed","",CTR1_Local!$N596))</f>
        <v/>
      </c>
      <c r="H565" t="str">
        <f>IF(CTR1_Local!$P596="","",IF($F565="Removed","",CTR1_Local!$P596))</f>
        <v/>
      </c>
      <c r="I565" t="str">
        <f>IF(CTR1_Local!$R596="","",IF($F565="Removed","",CTR1_Local!$R596))</f>
        <v/>
      </c>
      <c r="J565" s="160" t="str">
        <f>CTR1_Local!$H596</f>
        <v/>
      </c>
      <c r="K565" s="340" t="str">
        <f>CTR1_Local!$J596</f>
        <v/>
      </c>
      <c r="L565" s="350" t="str">
        <f>CTR1_Local!$L596</f>
        <v/>
      </c>
      <c r="M565" s="261" t="str">
        <f>IF(CTR1_Local!$V596="","",IF(CTR1_Local!$V596="Yes","confirm",""))</f>
        <v/>
      </c>
      <c r="N565" t="str">
        <f>IF(CTR1_Local!$W596="","",CTR1_Local!$W596)</f>
        <v/>
      </c>
    </row>
    <row r="566" spans="1:14" x14ac:dyDescent="0.2">
      <c r="A566" s="287" t="str">
        <f>IF(CTR1_Local!$D597="",CTR1_Local!B597,CTR1_Local!$D597)</f>
        <v/>
      </c>
      <c r="B566" s="26" t="str">
        <f>IF(A566="","",IF(RIGHT(A566,3)="NEW","Add new / another parish",CTR1_Local!$AN597))</f>
        <v/>
      </c>
      <c r="C566" s="26" t="str">
        <f t="shared" si="8"/>
        <v/>
      </c>
      <c r="D566" s="177" t="str">
        <f>IF(A566="","",IF(RIGHT(A566,3)="NEW",CTR1_Local!$E597,IF(CTR1_Local!$AO597="change",CTR1_Local!$E597,"")))</f>
        <v/>
      </c>
      <c r="E566" t="str">
        <f>IF(CTR1_Local!$F597="","",CTR1_Local!$F597)</f>
        <v/>
      </c>
      <c r="F566" s="261" t="str">
        <f>IF(CTR1_Local!$T597="","",IF(CTR1_Local!$T597="Yes","Removed",""))</f>
        <v/>
      </c>
      <c r="G566" t="str">
        <f>IF(CTR1_Local!$N597="","",IF(F566="Removed","",CTR1_Local!$N597))</f>
        <v/>
      </c>
      <c r="H566" t="str">
        <f>IF(CTR1_Local!$P597="","",IF($F566="Removed","",CTR1_Local!$P597))</f>
        <v/>
      </c>
      <c r="I566" t="str">
        <f>IF(CTR1_Local!$R597="","",IF($F566="Removed","",CTR1_Local!$R597))</f>
        <v/>
      </c>
      <c r="J566" s="160" t="str">
        <f>CTR1_Local!$H597</f>
        <v/>
      </c>
      <c r="K566" s="340" t="str">
        <f>CTR1_Local!$J597</f>
        <v/>
      </c>
      <c r="L566" s="350" t="str">
        <f>CTR1_Local!$L597</f>
        <v/>
      </c>
      <c r="M566" s="261" t="str">
        <f>IF(CTR1_Local!$V597="","",IF(CTR1_Local!$V597="Yes","confirm",""))</f>
        <v/>
      </c>
      <c r="N566" t="str">
        <f>IF(CTR1_Local!$W597="","",CTR1_Local!$W597)</f>
        <v/>
      </c>
    </row>
    <row r="567" spans="1:14" x14ac:dyDescent="0.2">
      <c r="A567" s="287" t="str">
        <f>IF(CTR1_Local!$D598="",CTR1_Local!B598,CTR1_Local!$D598)</f>
        <v/>
      </c>
      <c r="B567" s="26" t="str">
        <f>IF(A567="","",IF(RIGHT(A567,3)="NEW","Add new / another parish",CTR1_Local!$AN598))</f>
        <v/>
      </c>
      <c r="C567" s="26" t="str">
        <f t="shared" si="8"/>
        <v/>
      </c>
      <c r="D567" s="177" t="str">
        <f>IF(A567="","",IF(RIGHT(A567,3)="NEW",CTR1_Local!$E598,IF(CTR1_Local!$AO598="change",CTR1_Local!$E598,"")))</f>
        <v/>
      </c>
      <c r="E567" t="str">
        <f>IF(CTR1_Local!$F598="","",CTR1_Local!$F598)</f>
        <v/>
      </c>
      <c r="F567" s="261" t="str">
        <f>IF(CTR1_Local!$T598="","",IF(CTR1_Local!$T598="Yes","Removed",""))</f>
        <v/>
      </c>
      <c r="G567" t="str">
        <f>IF(CTR1_Local!$N598="","",IF(F567="Removed","",CTR1_Local!$N598))</f>
        <v/>
      </c>
      <c r="H567" t="str">
        <f>IF(CTR1_Local!$P598="","",IF($F567="Removed","",CTR1_Local!$P598))</f>
        <v/>
      </c>
      <c r="I567" t="str">
        <f>IF(CTR1_Local!$R598="","",IF($F567="Removed","",CTR1_Local!$R598))</f>
        <v/>
      </c>
      <c r="J567" s="160" t="str">
        <f>CTR1_Local!$H598</f>
        <v/>
      </c>
      <c r="K567" s="340" t="str">
        <f>CTR1_Local!$J598</f>
        <v/>
      </c>
      <c r="L567" s="350" t="str">
        <f>CTR1_Local!$L598</f>
        <v/>
      </c>
      <c r="M567" s="261" t="str">
        <f>IF(CTR1_Local!$V598="","",IF(CTR1_Local!$V598="Yes","confirm",""))</f>
        <v/>
      </c>
      <c r="N567" t="str">
        <f>IF(CTR1_Local!$W598="","",CTR1_Local!$W598)</f>
        <v/>
      </c>
    </row>
    <row r="568" spans="1:14" x14ac:dyDescent="0.2">
      <c r="A568" s="287" t="str">
        <f>IF(CTR1_Local!$D599="",CTR1_Local!B599,CTR1_Local!$D599)</f>
        <v/>
      </c>
      <c r="B568" s="26" t="str">
        <f>IF(A568="","",IF(RIGHT(A568,3)="NEW","Add new / another parish",CTR1_Local!$AN599))</f>
        <v/>
      </c>
      <c r="C568" s="26" t="str">
        <f t="shared" si="8"/>
        <v/>
      </c>
      <c r="D568" s="177" t="str">
        <f>IF(A568="","",IF(RIGHT(A568,3)="NEW",CTR1_Local!$E599,IF(CTR1_Local!$AO599="change",CTR1_Local!$E599,"")))</f>
        <v/>
      </c>
      <c r="E568" t="str">
        <f>IF(CTR1_Local!$F599="","",CTR1_Local!$F599)</f>
        <v/>
      </c>
      <c r="F568" s="261" t="str">
        <f>IF(CTR1_Local!$T599="","",IF(CTR1_Local!$T599="Yes","Removed",""))</f>
        <v/>
      </c>
      <c r="G568" t="str">
        <f>IF(CTR1_Local!$N599="","",IF(F568="Removed","",CTR1_Local!$N599))</f>
        <v/>
      </c>
      <c r="H568" t="str">
        <f>IF(CTR1_Local!$P599="","",IF($F568="Removed","",CTR1_Local!$P599))</f>
        <v/>
      </c>
      <c r="I568" t="str">
        <f>IF(CTR1_Local!$R599="","",IF($F568="Removed","",CTR1_Local!$R599))</f>
        <v/>
      </c>
      <c r="J568" s="160" t="str">
        <f>CTR1_Local!$H599</f>
        <v/>
      </c>
      <c r="K568" s="340" t="str">
        <f>CTR1_Local!$J599</f>
        <v/>
      </c>
      <c r="L568" s="350" t="str">
        <f>CTR1_Local!$L599</f>
        <v/>
      </c>
      <c r="M568" s="261" t="str">
        <f>IF(CTR1_Local!$V599="","",IF(CTR1_Local!$V599="Yes","confirm",""))</f>
        <v/>
      </c>
      <c r="N568" t="str">
        <f>IF(CTR1_Local!$W599="","",CTR1_Local!$W599)</f>
        <v/>
      </c>
    </row>
    <row r="569" spans="1:14" x14ac:dyDescent="0.2">
      <c r="A569" s="287" t="str">
        <f>IF(CTR1_Local!$D600="",CTR1_Local!B600,CTR1_Local!$D600)</f>
        <v/>
      </c>
      <c r="B569" s="26" t="str">
        <f>IF(A569="","",IF(RIGHT(A569,3)="NEW","Add new / another parish",CTR1_Local!$AN600))</f>
        <v/>
      </c>
      <c r="C569" s="26" t="str">
        <f t="shared" si="8"/>
        <v/>
      </c>
      <c r="D569" s="177" t="str">
        <f>IF(A569="","",IF(RIGHT(A569,3)="NEW",CTR1_Local!$E600,IF(CTR1_Local!$AO600="change",CTR1_Local!$E600,"")))</f>
        <v/>
      </c>
      <c r="E569" t="str">
        <f>IF(CTR1_Local!$F600="","",CTR1_Local!$F600)</f>
        <v/>
      </c>
      <c r="F569" s="261" t="str">
        <f>IF(CTR1_Local!$T600="","",IF(CTR1_Local!$T600="Yes","Removed",""))</f>
        <v/>
      </c>
      <c r="G569" t="str">
        <f>IF(CTR1_Local!$N600="","",IF(F569="Removed","",CTR1_Local!$N600))</f>
        <v/>
      </c>
      <c r="H569" t="str">
        <f>IF(CTR1_Local!$P600="","",IF($F569="Removed","",CTR1_Local!$P600))</f>
        <v/>
      </c>
      <c r="I569" t="str">
        <f>IF(CTR1_Local!$R600="","",IF($F569="Removed","",CTR1_Local!$R600))</f>
        <v/>
      </c>
      <c r="J569" s="160" t="str">
        <f>CTR1_Local!$H600</f>
        <v/>
      </c>
      <c r="K569" s="340" t="str">
        <f>CTR1_Local!$J600</f>
        <v/>
      </c>
      <c r="L569" s="350" t="str">
        <f>CTR1_Local!$L600</f>
        <v/>
      </c>
      <c r="M569" s="261" t="str">
        <f>IF(CTR1_Local!$V600="","",IF(CTR1_Local!$V600="Yes","confirm",""))</f>
        <v/>
      </c>
      <c r="N569" t="str">
        <f>IF(CTR1_Local!$W600="","",CTR1_Local!$W600)</f>
        <v/>
      </c>
    </row>
    <row r="570" spans="1:14" x14ac:dyDescent="0.2">
      <c r="A570" s="287" t="str">
        <f>IF(CTR1_Local!$D601="",CTR1_Local!B601,CTR1_Local!$D601)</f>
        <v/>
      </c>
      <c r="B570" s="26" t="str">
        <f>IF(A570="","",IF(RIGHT(A570,3)="NEW","Add new / another parish",CTR1_Local!$AN601))</f>
        <v/>
      </c>
      <c r="C570" s="26" t="str">
        <f t="shared" si="8"/>
        <v/>
      </c>
      <c r="D570" s="177" t="str">
        <f>IF(A570="","",IF(RIGHT(A570,3)="NEW",CTR1_Local!$E601,IF(CTR1_Local!$AO601="change",CTR1_Local!$E601,"")))</f>
        <v/>
      </c>
      <c r="E570" t="str">
        <f>IF(CTR1_Local!$F601="","",CTR1_Local!$F601)</f>
        <v/>
      </c>
      <c r="F570" s="261" t="str">
        <f>IF(CTR1_Local!$T601="","",IF(CTR1_Local!$T601="Yes","Removed",""))</f>
        <v/>
      </c>
      <c r="G570" t="str">
        <f>IF(CTR1_Local!$N601="","",IF(F570="Removed","",CTR1_Local!$N601))</f>
        <v/>
      </c>
      <c r="H570" t="str">
        <f>IF(CTR1_Local!$P601="","",IF($F570="Removed","",CTR1_Local!$P601))</f>
        <v/>
      </c>
      <c r="I570" t="str">
        <f>IF(CTR1_Local!$R601="","",IF($F570="Removed","",CTR1_Local!$R601))</f>
        <v/>
      </c>
      <c r="J570" s="160" t="str">
        <f>CTR1_Local!$H601</f>
        <v/>
      </c>
      <c r="K570" s="340" t="str">
        <f>CTR1_Local!$J601</f>
        <v/>
      </c>
      <c r="L570" s="350" t="str">
        <f>CTR1_Local!$L601</f>
        <v/>
      </c>
      <c r="M570" s="261" t="str">
        <f>IF(CTR1_Local!$V601="","",IF(CTR1_Local!$V601="Yes","confirm",""))</f>
        <v/>
      </c>
      <c r="N570" t="str">
        <f>IF(CTR1_Local!$W601="","",CTR1_Local!$W601)</f>
        <v/>
      </c>
    </row>
    <row r="571" spans="1:14" x14ac:dyDescent="0.2">
      <c r="A571" s="287" t="str">
        <f>IF(CTR1_Local!$D602="",CTR1_Local!B602,CTR1_Local!$D602)</f>
        <v/>
      </c>
      <c r="B571" s="26" t="str">
        <f>IF(A571="","",IF(RIGHT(A571,3)="NEW","Add new / another parish",CTR1_Local!$AN602))</f>
        <v/>
      </c>
      <c r="C571" s="26" t="str">
        <f t="shared" si="8"/>
        <v/>
      </c>
      <c r="D571" s="177" t="str">
        <f>IF(A571="","",IF(RIGHT(A571,3)="NEW",CTR1_Local!$E602,IF(CTR1_Local!$AO602="change",CTR1_Local!$E602,"")))</f>
        <v/>
      </c>
      <c r="E571" t="str">
        <f>IF(CTR1_Local!$F602="","",CTR1_Local!$F602)</f>
        <v/>
      </c>
      <c r="F571" s="261" t="str">
        <f>IF(CTR1_Local!$T602="","",IF(CTR1_Local!$T602="Yes","Removed",""))</f>
        <v/>
      </c>
      <c r="G571" t="str">
        <f>IF(CTR1_Local!$N602="","",IF(F571="Removed","",CTR1_Local!$N602))</f>
        <v/>
      </c>
      <c r="H571" t="str">
        <f>IF(CTR1_Local!$P602="","",IF($F571="Removed","",CTR1_Local!$P602))</f>
        <v/>
      </c>
      <c r="I571" t="str">
        <f>IF(CTR1_Local!$R602="","",IF($F571="Removed","",CTR1_Local!$R602))</f>
        <v/>
      </c>
      <c r="J571" s="160" t="str">
        <f>CTR1_Local!$H602</f>
        <v/>
      </c>
      <c r="K571" s="340" t="str">
        <f>CTR1_Local!$J602</f>
        <v/>
      </c>
      <c r="L571" s="350" t="str">
        <f>CTR1_Local!$L602</f>
        <v/>
      </c>
      <c r="M571" s="261" t="str">
        <f>IF(CTR1_Local!$V602="","",IF(CTR1_Local!$V602="Yes","confirm",""))</f>
        <v/>
      </c>
      <c r="N571" t="str">
        <f>IF(CTR1_Local!$W602="","",CTR1_Local!$W602)</f>
        <v/>
      </c>
    </row>
    <row r="572" spans="1:14" x14ac:dyDescent="0.2">
      <c r="A572" s="287" t="str">
        <f>IF(CTR1_Local!$D603="",CTR1_Local!B603,CTR1_Local!$D603)</f>
        <v/>
      </c>
      <c r="B572" s="26" t="str">
        <f>IF(A572="","",IF(RIGHT(A572,3)="NEW","Add new / another parish",CTR1_Local!$AN603))</f>
        <v/>
      </c>
      <c r="C572" s="26" t="str">
        <f t="shared" si="8"/>
        <v/>
      </c>
      <c r="D572" s="177" t="str">
        <f>IF(A572="","",IF(RIGHT(A572,3)="NEW",CTR1_Local!$E603,IF(CTR1_Local!$AO603="change",CTR1_Local!$E603,"")))</f>
        <v/>
      </c>
      <c r="E572" t="str">
        <f>IF(CTR1_Local!$F603="","",CTR1_Local!$F603)</f>
        <v/>
      </c>
      <c r="F572" s="261" t="str">
        <f>IF(CTR1_Local!$T603="","",IF(CTR1_Local!$T603="Yes","Removed",""))</f>
        <v/>
      </c>
      <c r="G572" t="str">
        <f>IF(CTR1_Local!$N603="","",IF(F572="Removed","",CTR1_Local!$N603))</f>
        <v/>
      </c>
      <c r="H572" t="str">
        <f>IF(CTR1_Local!$P603="","",IF($F572="Removed","",CTR1_Local!$P603))</f>
        <v/>
      </c>
      <c r="I572" t="str">
        <f>IF(CTR1_Local!$R603="","",IF($F572="Removed","",CTR1_Local!$R603))</f>
        <v/>
      </c>
      <c r="J572" s="160" t="str">
        <f>CTR1_Local!$H603</f>
        <v/>
      </c>
      <c r="K572" s="340" t="str">
        <f>CTR1_Local!$J603</f>
        <v/>
      </c>
      <c r="L572" s="350" t="str">
        <f>CTR1_Local!$L603</f>
        <v/>
      </c>
      <c r="M572" s="261" t="str">
        <f>IF(CTR1_Local!$V603="","",IF(CTR1_Local!$V603="Yes","confirm",""))</f>
        <v/>
      </c>
      <c r="N572" t="str">
        <f>IF(CTR1_Local!$W603="","",CTR1_Local!$W603)</f>
        <v/>
      </c>
    </row>
    <row r="573" spans="1:14" x14ac:dyDescent="0.2">
      <c r="A573" s="287" t="str">
        <f>IF(CTR1_Local!$D604="",CTR1_Local!B604,CTR1_Local!$D604)</f>
        <v/>
      </c>
      <c r="B573" s="26" t="str">
        <f>IF(A573="","",IF(RIGHT(A573,3)="NEW","Add new / another parish",CTR1_Local!$AN604))</f>
        <v/>
      </c>
      <c r="C573" s="26" t="str">
        <f t="shared" si="8"/>
        <v/>
      </c>
      <c r="D573" s="177" t="str">
        <f>IF(A573="","",IF(RIGHT(A573,3)="NEW",CTR1_Local!$E604,IF(CTR1_Local!$AO604="change",CTR1_Local!$E604,"")))</f>
        <v/>
      </c>
      <c r="E573" t="str">
        <f>IF(CTR1_Local!$F604="","",CTR1_Local!$F604)</f>
        <v/>
      </c>
      <c r="F573" s="261" t="str">
        <f>IF(CTR1_Local!$T604="","",IF(CTR1_Local!$T604="Yes","Removed",""))</f>
        <v/>
      </c>
      <c r="G573" t="str">
        <f>IF(CTR1_Local!$N604="","",IF(F573="Removed","",CTR1_Local!$N604))</f>
        <v/>
      </c>
      <c r="H573" t="str">
        <f>IF(CTR1_Local!$P604="","",IF($F573="Removed","",CTR1_Local!$P604))</f>
        <v/>
      </c>
      <c r="I573" t="str">
        <f>IF(CTR1_Local!$R604="","",IF($F573="Removed","",CTR1_Local!$R604))</f>
        <v/>
      </c>
      <c r="J573" s="160" t="str">
        <f>CTR1_Local!$H604</f>
        <v/>
      </c>
      <c r="K573" s="340" t="str">
        <f>CTR1_Local!$J604</f>
        <v/>
      </c>
      <c r="L573" s="350" t="str">
        <f>CTR1_Local!$L604</f>
        <v/>
      </c>
      <c r="M573" s="261" t="str">
        <f>IF(CTR1_Local!$V604="","",IF(CTR1_Local!$V604="Yes","confirm",""))</f>
        <v/>
      </c>
      <c r="N573" t="str">
        <f>IF(CTR1_Local!$W604="","",CTR1_Local!$W604)</f>
        <v/>
      </c>
    </row>
    <row r="574" spans="1:14" x14ac:dyDescent="0.2">
      <c r="A574" s="287" t="str">
        <f>IF(CTR1_Local!$D605="",CTR1_Local!B605,CTR1_Local!$D605)</f>
        <v/>
      </c>
      <c r="B574" s="26" t="str">
        <f>IF(A574="","",IF(RIGHT(A574,3)="NEW","Add new / another parish",CTR1_Local!$AN605))</f>
        <v/>
      </c>
      <c r="C574" s="26" t="str">
        <f t="shared" si="8"/>
        <v/>
      </c>
      <c r="D574" s="177" t="str">
        <f>IF(A574="","",IF(RIGHT(A574,3)="NEW",CTR1_Local!$E605,IF(CTR1_Local!$AO605="change",CTR1_Local!$E605,"")))</f>
        <v/>
      </c>
      <c r="E574" t="str">
        <f>IF(CTR1_Local!$F605="","",CTR1_Local!$F605)</f>
        <v/>
      </c>
      <c r="F574" s="261" t="str">
        <f>IF(CTR1_Local!$T605="","",IF(CTR1_Local!$T605="Yes","Removed",""))</f>
        <v/>
      </c>
      <c r="G574" t="str">
        <f>IF(CTR1_Local!$N605="","",IF(F574="Removed","",CTR1_Local!$N605))</f>
        <v/>
      </c>
      <c r="H574" t="str">
        <f>IF(CTR1_Local!$P605="","",IF($F574="Removed","",CTR1_Local!$P605))</f>
        <v/>
      </c>
      <c r="I574" t="str">
        <f>IF(CTR1_Local!$R605="","",IF($F574="Removed","",CTR1_Local!$R605))</f>
        <v/>
      </c>
      <c r="J574" s="160" t="str">
        <f>CTR1_Local!$H605</f>
        <v/>
      </c>
      <c r="K574" s="340" t="str">
        <f>CTR1_Local!$J605</f>
        <v/>
      </c>
      <c r="L574" s="350" t="str">
        <f>CTR1_Local!$L605</f>
        <v/>
      </c>
      <c r="M574" s="261" t="str">
        <f>IF(CTR1_Local!$V605="","",IF(CTR1_Local!$V605="Yes","confirm",""))</f>
        <v/>
      </c>
      <c r="N574" t="str">
        <f>IF(CTR1_Local!$W605="","",CTR1_Local!$W605)</f>
        <v/>
      </c>
    </row>
    <row r="575" spans="1:14" x14ac:dyDescent="0.2">
      <c r="A575" s="287" t="str">
        <f>IF(CTR1_Local!$D606="",CTR1_Local!B606,CTR1_Local!$D606)</f>
        <v/>
      </c>
      <c r="B575" s="26" t="str">
        <f>IF(A575="","",IF(RIGHT(A575,3)="NEW","Add new / another parish",CTR1_Local!$AN606))</f>
        <v/>
      </c>
      <c r="C575" s="26" t="str">
        <f t="shared" si="8"/>
        <v/>
      </c>
      <c r="D575" s="177" t="str">
        <f>IF(A575="","",IF(RIGHT(A575,3)="NEW",CTR1_Local!$E606,IF(CTR1_Local!$AO606="change",CTR1_Local!$E606,"")))</f>
        <v/>
      </c>
      <c r="E575" t="str">
        <f>IF(CTR1_Local!$F606="","",CTR1_Local!$F606)</f>
        <v/>
      </c>
      <c r="F575" s="261" t="str">
        <f>IF(CTR1_Local!$T606="","",IF(CTR1_Local!$T606="Yes","Removed",""))</f>
        <v/>
      </c>
      <c r="G575" t="str">
        <f>IF(CTR1_Local!$N606="","",IF(F575="Removed","",CTR1_Local!$N606))</f>
        <v/>
      </c>
      <c r="H575" t="str">
        <f>IF(CTR1_Local!$P606="","",IF($F575="Removed","",CTR1_Local!$P606))</f>
        <v/>
      </c>
      <c r="I575" t="str">
        <f>IF(CTR1_Local!$R606="","",IF($F575="Removed","",CTR1_Local!$R606))</f>
        <v/>
      </c>
      <c r="J575" s="160" t="str">
        <f>CTR1_Local!$H606</f>
        <v/>
      </c>
      <c r="K575" s="340" t="str">
        <f>CTR1_Local!$J606</f>
        <v/>
      </c>
      <c r="L575" s="350" t="str">
        <f>CTR1_Local!$L606</f>
        <v/>
      </c>
      <c r="M575" s="261" t="str">
        <f>IF(CTR1_Local!$V606="","",IF(CTR1_Local!$V606="Yes","confirm",""))</f>
        <v/>
      </c>
      <c r="N575" t="str">
        <f>IF(CTR1_Local!$W606="","",CTR1_Local!$W606)</f>
        <v/>
      </c>
    </row>
    <row r="576" spans="1:14" x14ac:dyDescent="0.2">
      <c r="A576" s="287" t="str">
        <f>IF(CTR1_Local!$D607="",CTR1_Local!B607,CTR1_Local!$D607)</f>
        <v/>
      </c>
      <c r="B576" s="26" t="str">
        <f>IF(A576="","",IF(RIGHT(A576,3)="NEW","Add new / another parish",CTR1_Local!$AN607))</f>
        <v/>
      </c>
      <c r="C576" s="26" t="str">
        <f t="shared" si="8"/>
        <v/>
      </c>
      <c r="D576" s="177" t="str">
        <f>IF(A576="","",IF(RIGHT(A576,3)="NEW",CTR1_Local!$E607,IF(CTR1_Local!$AO607="change",CTR1_Local!$E607,"")))</f>
        <v/>
      </c>
      <c r="E576" t="str">
        <f>IF(CTR1_Local!$F607="","",CTR1_Local!$F607)</f>
        <v/>
      </c>
      <c r="F576" s="261" t="str">
        <f>IF(CTR1_Local!$T607="","",IF(CTR1_Local!$T607="Yes","Removed",""))</f>
        <v/>
      </c>
      <c r="G576" t="str">
        <f>IF(CTR1_Local!$N607="","",IF(F576="Removed","",CTR1_Local!$N607))</f>
        <v/>
      </c>
      <c r="H576" t="str">
        <f>IF(CTR1_Local!$P607="","",IF($F576="Removed","",CTR1_Local!$P607))</f>
        <v/>
      </c>
      <c r="I576" t="str">
        <f>IF(CTR1_Local!$R607="","",IF($F576="Removed","",CTR1_Local!$R607))</f>
        <v/>
      </c>
      <c r="J576" s="160" t="str">
        <f>CTR1_Local!$H607</f>
        <v/>
      </c>
      <c r="K576" s="340" t="str">
        <f>CTR1_Local!$J607</f>
        <v/>
      </c>
      <c r="L576" s="350" t="str">
        <f>CTR1_Local!$L607</f>
        <v/>
      </c>
      <c r="M576" s="261" t="str">
        <f>IF(CTR1_Local!$V607="","",IF(CTR1_Local!$V607="Yes","confirm",""))</f>
        <v/>
      </c>
      <c r="N576" t="str">
        <f>IF(CTR1_Local!$W607="","",CTR1_Local!$W607)</f>
        <v/>
      </c>
    </row>
    <row r="577" spans="1:14" x14ac:dyDescent="0.2">
      <c r="A577" s="287" t="str">
        <f>IF(CTR1_Local!$D608="",CTR1_Local!B608,CTR1_Local!$D608)</f>
        <v/>
      </c>
      <c r="B577" s="26" t="str">
        <f>IF(A577="","",IF(RIGHT(A577,3)="NEW","Add new / another parish",CTR1_Local!$AN608))</f>
        <v/>
      </c>
      <c r="C577" s="26" t="str">
        <f t="shared" si="8"/>
        <v/>
      </c>
      <c r="D577" s="177" t="str">
        <f>IF(A577="","",IF(RIGHT(A577,3)="NEW",CTR1_Local!$E608,IF(CTR1_Local!$AO608="change",CTR1_Local!$E608,"")))</f>
        <v/>
      </c>
      <c r="E577" t="str">
        <f>IF(CTR1_Local!$F608="","",CTR1_Local!$F608)</f>
        <v/>
      </c>
      <c r="F577" s="261" t="str">
        <f>IF(CTR1_Local!$T608="","",IF(CTR1_Local!$T608="Yes","Removed",""))</f>
        <v/>
      </c>
      <c r="G577" t="str">
        <f>IF(CTR1_Local!$N608="","",IF(F577="Removed","",CTR1_Local!$N608))</f>
        <v/>
      </c>
      <c r="H577" t="str">
        <f>IF(CTR1_Local!$P608="","",IF($F577="Removed","",CTR1_Local!$P608))</f>
        <v/>
      </c>
      <c r="I577" t="str">
        <f>IF(CTR1_Local!$R608="","",IF($F577="Removed","",CTR1_Local!$R608))</f>
        <v/>
      </c>
      <c r="J577" s="160" t="str">
        <f>CTR1_Local!$H608</f>
        <v/>
      </c>
      <c r="K577" s="340" t="str">
        <f>CTR1_Local!$J608</f>
        <v/>
      </c>
      <c r="L577" s="350" t="str">
        <f>CTR1_Local!$L608</f>
        <v/>
      </c>
      <c r="M577" s="261" t="str">
        <f>IF(CTR1_Local!$V608="","",IF(CTR1_Local!$V608="Yes","confirm",""))</f>
        <v/>
      </c>
      <c r="N577" t="str">
        <f>IF(CTR1_Local!$W608="","",CTR1_Local!$W608)</f>
        <v/>
      </c>
    </row>
    <row r="578" spans="1:14" x14ac:dyDescent="0.2">
      <c r="A578" s="287" t="str">
        <f>IF(CTR1_Local!$D609="",CTR1_Local!B609,CTR1_Local!$D609)</f>
        <v/>
      </c>
      <c r="B578" s="26" t="str">
        <f>IF(A578="","",IF(RIGHT(A578,3)="NEW","Add new / another parish",CTR1_Local!$AN609))</f>
        <v/>
      </c>
      <c r="C578" s="26" t="str">
        <f t="shared" si="8"/>
        <v/>
      </c>
      <c r="D578" s="177" t="str">
        <f>IF(A578="","",IF(RIGHT(A578,3)="NEW",CTR1_Local!$E609,IF(CTR1_Local!$AO609="change",CTR1_Local!$E609,"")))</f>
        <v/>
      </c>
      <c r="E578" t="str">
        <f>IF(CTR1_Local!$F609="","",CTR1_Local!$F609)</f>
        <v/>
      </c>
      <c r="F578" s="261" t="str">
        <f>IF(CTR1_Local!$T609="","",IF(CTR1_Local!$T609="Yes","Removed",""))</f>
        <v/>
      </c>
      <c r="G578" t="str">
        <f>IF(CTR1_Local!$N609="","",IF(F578="Removed","",CTR1_Local!$N609))</f>
        <v/>
      </c>
      <c r="H578" t="str">
        <f>IF(CTR1_Local!$P609="","",IF($F578="Removed","",CTR1_Local!$P609))</f>
        <v/>
      </c>
      <c r="I578" t="str">
        <f>IF(CTR1_Local!$R609="","",IF($F578="Removed","",CTR1_Local!$R609))</f>
        <v/>
      </c>
      <c r="J578" s="160" t="str">
        <f>CTR1_Local!$H609</f>
        <v/>
      </c>
      <c r="K578" s="340" t="str">
        <f>CTR1_Local!$J609</f>
        <v/>
      </c>
      <c r="L578" s="350" t="str">
        <f>CTR1_Local!$L609</f>
        <v/>
      </c>
      <c r="M578" s="261" t="str">
        <f>IF(CTR1_Local!$V609="","",IF(CTR1_Local!$V609="Yes","confirm",""))</f>
        <v/>
      </c>
      <c r="N578" t="str">
        <f>IF(CTR1_Local!$W609="","",CTR1_Local!$W609)</f>
        <v/>
      </c>
    </row>
    <row r="579" spans="1:14" x14ac:dyDescent="0.2">
      <c r="A579" s="287" t="str">
        <f>IF(CTR1_Local!$D610="",CTR1_Local!B610,CTR1_Local!$D610)</f>
        <v/>
      </c>
      <c r="B579" s="26" t="str">
        <f>IF(A579="","",IF(RIGHT(A579,3)="NEW","Add new / another parish",CTR1_Local!$AN610))</f>
        <v/>
      </c>
      <c r="C579" s="26" t="str">
        <f t="shared" ref="C579:C642" si="9">IF(OR(B579="",D579=""),"",IF(AND(B579&lt;&gt;"",D579&lt;&gt;"",B579&lt;&gt;"Add new / another parish"),"yes",""))</f>
        <v/>
      </c>
      <c r="D579" s="177" t="str">
        <f>IF(A579="","",IF(RIGHT(A579,3)="NEW",CTR1_Local!$E610,IF(CTR1_Local!$AO610="change",CTR1_Local!$E610,"")))</f>
        <v/>
      </c>
      <c r="E579" t="str">
        <f>IF(CTR1_Local!$F610="","",CTR1_Local!$F610)</f>
        <v/>
      </c>
      <c r="F579" s="261" t="str">
        <f>IF(CTR1_Local!$T610="","",IF(CTR1_Local!$T610="Yes","Removed",""))</f>
        <v/>
      </c>
      <c r="G579" t="str">
        <f>IF(CTR1_Local!$N610="","",IF(F579="Removed","",CTR1_Local!$N610))</f>
        <v/>
      </c>
      <c r="H579" t="str">
        <f>IF(CTR1_Local!$P610="","",IF($F579="Removed","",CTR1_Local!$P610))</f>
        <v/>
      </c>
      <c r="I579" t="str">
        <f>IF(CTR1_Local!$R610="","",IF($F579="Removed","",CTR1_Local!$R610))</f>
        <v/>
      </c>
      <c r="J579" s="160" t="str">
        <f>CTR1_Local!$H610</f>
        <v/>
      </c>
      <c r="K579" s="340" t="str">
        <f>CTR1_Local!$J610</f>
        <v/>
      </c>
      <c r="L579" s="350" t="str">
        <f>CTR1_Local!$L610</f>
        <v/>
      </c>
      <c r="M579" s="261" t="str">
        <f>IF(CTR1_Local!$V610="","",IF(CTR1_Local!$V610="Yes","confirm",""))</f>
        <v/>
      </c>
      <c r="N579" t="str">
        <f>IF(CTR1_Local!$W610="","",CTR1_Local!$W610)</f>
        <v/>
      </c>
    </row>
    <row r="580" spans="1:14" x14ac:dyDescent="0.2">
      <c r="A580" s="287" t="str">
        <f>IF(CTR1_Local!$D611="",CTR1_Local!B611,CTR1_Local!$D611)</f>
        <v/>
      </c>
      <c r="B580" s="26" t="str">
        <f>IF(A580="","",IF(RIGHT(A580,3)="NEW","Add new / another parish",CTR1_Local!$AN611))</f>
        <v/>
      </c>
      <c r="C580" s="26" t="str">
        <f t="shared" si="9"/>
        <v/>
      </c>
      <c r="D580" s="177" t="str">
        <f>IF(A580="","",IF(RIGHT(A580,3)="NEW",CTR1_Local!$E611,IF(CTR1_Local!$AO611="change",CTR1_Local!$E611,"")))</f>
        <v/>
      </c>
      <c r="E580" t="str">
        <f>IF(CTR1_Local!$F611="","",CTR1_Local!$F611)</f>
        <v/>
      </c>
      <c r="F580" s="261" t="str">
        <f>IF(CTR1_Local!$T611="","",IF(CTR1_Local!$T611="Yes","Removed",""))</f>
        <v/>
      </c>
      <c r="G580" t="str">
        <f>IF(CTR1_Local!$N611="","",IF(F580="Removed","",CTR1_Local!$N611))</f>
        <v/>
      </c>
      <c r="H580" t="str">
        <f>IF(CTR1_Local!$P611="","",IF($F580="Removed","",CTR1_Local!$P611))</f>
        <v/>
      </c>
      <c r="I580" t="str">
        <f>IF(CTR1_Local!$R611="","",IF($F580="Removed","",CTR1_Local!$R611))</f>
        <v/>
      </c>
      <c r="J580" s="160" t="str">
        <f>CTR1_Local!$H611</f>
        <v/>
      </c>
      <c r="K580" s="340" t="str">
        <f>CTR1_Local!$J611</f>
        <v/>
      </c>
      <c r="L580" s="350" t="str">
        <f>CTR1_Local!$L611</f>
        <v/>
      </c>
      <c r="M580" s="261" t="str">
        <f>IF(CTR1_Local!$V611="","",IF(CTR1_Local!$V611="Yes","confirm",""))</f>
        <v/>
      </c>
      <c r="N580" t="str">
        <f>IF(CTR1_Local!$W611="","",CTR1_Local!$W611)</f>
        <v/>
      </c>
    </row>
    <row r="581" spans="1:14" x14ac:dyDescent="0.2">
      <c r="A581" s="287" t="str">
        <f>IF(CTR1_Local!$D612="",CTR1_Local!B612,CTR1_Local!$D612)</f>
        <v/>
      </c>
      <c r="B581" s="26" t="str">
        <f>IF(A581="","",IF(RIGHT(A581,3)="NEW","Add new / another parish",CTR1_Local!$AN612))</f>
        <v/>
      </c>
      <c r="C581" s="26" t="str">
        <f t="shared" si="9"/>
        <v/>
      </c>
      <c r="D581" s="177" t="str">
        <f>IF(A581="","",IF(RIGHT(A581,3)="NEW",CTR1_Local!$E612,IF(CTR1_Local!$AO612="change",CTR1_Local!$E612,"")))</f>
        <v/>
      </c>
      <c r="E581" t="str">
        <f>IF(CTR1_Local!$F612="","",CTR1_Local!$F612)</f>
        <v/>
      </c>
      <c r="F581" s="261" t="str">
        <f>IF(CTR1_Local!$T612="","",IF(CTR1_Local!$T612="Yes","Removed",""))</f>
        <v/>
      </c>
      <c r="G581" t="str">
        <f>IF(CTR1_Local!$N612="","",IF(F581="Removed","",CTR1_Local!$N612))</f>
        <v/>
      </c>
      <c r="H581" t="str">
        <f>IF(CTR1_Local!$P612="","",IF($F581="Removed","",CTR1_Local!$P612))</f>
        <v/>
      </c>
      <c r="I581" t="str">
        <f>IF(CTR1_Local!$R612="","",IF($F581="Removed","",CTR1_Local!$R612))</f>
        <v/>
      </c>
      <c r="J581" s="160" t="str">
        <f>CTR1_Local!$H612</f>
        <v/>
      </c>
      <c r="K581" s="340" t="str">
        <f>CTR1_Local!$J612</f>
        <v/>
      </c>
      <c r="L581" s="350" t="str">
        <f>CTR1_Local!$L612</f>
        <v/>
      </c>
      <c r="M581" s="261" t="str">
        <f>IF(CTR1_Local!$V612="","",IF(CTR1_Local!$V612="Yes","confirm",""))</f>
        <v/>
      </c>
      <c r="N581" t="str">
        <f>IF(CTR1_Local!$W612="","",CTR1_Local!$W612)</f>
        <v/>
      </c>
    </row>
    <row r="582" spans="1:14" x14ac:dyDescent="0.2">
      <c r="A582" s="287" t="str">
        <f>IF(CTR1_Local!$D613="",CTR1_Local!B613,CTR1_Local!$D613)</f>
        <v/>
      </c>
      <c r="B582" s="26" t="str">
        <f>IF(A582="","",IF(RIGHT(A582,3)="NEW","Add new / another parish",CTR1_Local!$AN613))</f>
        <v/>
      </c>
      <c r="C582" s="26" t="str">
        <f t="shared" si="9"/>
        <v/>
      </c>
      <c r="D582" s="177" t="str">
        <f>IF(A582="","",IF(RIGHT(A582,3)="NEW",CTR1_Local!$E613,IF(CTR1_Local!$AO613="change",CTR1_Local!$E613,"")))</f>
        <v/>
      </c>
      <c r="E582" t="str">
        <f>IF(CTR1_Local!$F613="","",CTR1_Local!$F613)</f>
        <v/>
      </c>
      <c r="F582" s="261" t="str">
        <f>IF(CTR1_Local!$T613="","",IF(CTR1_Local!$T613="Yes","Removed",""))</f>
        <v/>
      </c>
      <c r="G582" t="str">
        <f>IF(CTR1_Local!$N613="","",IF(F582="Removed","",CTR1_Local!$N613))</f>
        <v/>
      </c>
      <c r="H582" t="str">
        <f>IF(CTR1_Local!$P613="","",IF($F582="Removed","",CTR1_Local!$P613))</f>
        <v/>
      </c>
      <c r="I582" t="str">
        <f>IF(CTR1_Local!$R613="","",IF($F582="Removed","",CTR1_Local!$R613))</f>
        <v/>
      </c>
      <c r="J582" s="160" t="str">
        <f>CTR1_Local!$H613</f>
        <v/>
      </c>
      <c r="K582" s="340" t="str">
        <f>CTR1_Local!$J613</f>
        <v/>
      </c>
      <c r="L582" s="350" t="str">
        <f>CTR1_Local!$L613</f>
        <v/>
      </c>
      <c r="M582" s="261" t="str">
        <f>IF(CTR1_Local!$V613="","",IF(CTR1_Local!$V613="Yes","confirm",""))</f>
        <v/>
      </c>
      <c r="N582" t="str">
        <f>IF(CTR1_Local!$W613="","",CTR1_Local!$W613)</f>
        <v/>
      </c>
    </row>
    <row r="583" spans="1:14" x14ac:dyDescent="0.2">
      <c r="A583" s="287" t="str">
        <f>IF(CTR1_Local!$D614="",CTR1_Local!B614,CTR1_Local!$D614)</f>
        <v/>
      </c>
      <c r="B583" s="26" t="str">
        <f>IF(A583="","",IF(RIGHT(A583,3)="NEW","Add new / another parish",CTR1_Local!$AN614))</f>
        <v/>
      </c>
      <c r="C583" s="26" t="str">
        <f t="shared" si="9"/>
        <v/>
      </c>
      <c r="D583" s="177" t="str">
        <f>IF(A583="","",IF(RIGHT(A583,3)="NEW",CTR1_Local!$E614,IF(CTR1_Local!$AO614="change",CTR1_Local!$E614,"")))</f>
        <v/>
      </c>
      <c r="E583" t="str">
        <f>IF(CTR1_Local!$F614="","",CTR1_Local!$F614)</f>
        <v/>
      </c>
      <c r="F583" s="261" t="str">
        <f>IF(CTR1_Local!$T614="","",IF(CTR1_Local!$T614="Yes","Removed",""))</f>
        <v/>
      </c>
      <c r="G583" t="str">
        <f>IF(CTR1_Local!$N614="","",IF(F583="Removed","",CTR1_Local!$N614))</f>
        <v/>
      </c>
      <c r="H583" t="str">
        <f>IF(CTR1_Local!$P614="","",IF($F583="Removed","",CTR1_Local!$P614))</f>
        <v/>
      </c>
      <c r="I583" t="str">
        <f>IF(CTR1_Local!$R614="","",IF($F583="Removed","",CTR1_Local!$R614))</f>
        <v/>
      </c>
      <c r="J583" s="160" t="str">
        <f>CTR1_Local!$H614</f>
        <v/>
      </c>
      <c r="K583" s="340" t="str">
        <f>CTR1_Local!$J614</f>
        <v/>
      </c>
      <c r="L583" s="350" t="str">
        <f>CTR1_Local!$L614</f>
        <v/>
      </c>
      <c r="M583" s="261" t="str">
        <f>IF(CTR1_Local!$V614="","",IF(CTR1_Local!$V614="Yes","confirm",""))</f>
        <v/>
      </c>
      <c r="N583" t="str">
        <f>IF(CTR1_Local!$W614="","",CTR1_Local!$W614)</f>
        <v/>
      </c>
    </row>
    <row r="584" spans="1:14" x14ac:dyDescent="0.2">
      <c r="A584" s="287" t="str">
        <f>IF(CTR1_Local!$D615="",CTR1_Local!B615,CTR1_Local!$D615)</f>
        <v/>
      </c>
      <c r="B584" s="26" t="str">
        <f>IF(A584="","",IF(RIGHT(A584,3)="NEW","Add new / another parish",CTR1_Local!$AN615))</f>
        <v/>
      </c>
      <c r="C584" s="26" t="str">
        <f t="shared" si="9"/>
        <v/>
      </c>
      <c r="D584" s="177" t="str">
        <f>IF(A584="","",IF(RIGHT(A584,3)="NEW",CTR1_Local!$E615,IF(CTR1_Local!$AO615="change",CTR1_Local!$E615,"")))</f>
        <v/>
      </c>
      <c r="E584" t="str">
        <f>IF(CTR1_Local!$F615="","",CTR1_Local!$F615)</f>
        <v/>
      </c>
      <c r="F584" s="261" t="str">
        <f>IF(CTR1_Local!$T615="","",IF(CTR1_Local!$T615="Yes","Removed",""))</f>
        <v/>
      </c>
      <c r="G584" t="str">
        <f>IF(CTR1_Local!$N615="","",IF(F584="Removed","",CTR1_Local!$N615))</f>
        <v/>
      </c>
      <c r="H584" t="str">
        <f>IF(CTR1_Local!$P615="","",IF($F584="Removed","",CTR1_Local!$P615))</f>
        <v/>
      </c>
      <c r="I584" t="str">
        <f>IF(CTR1_Local!$R615="","",IF($F584="Removed","",CTR1_Local!$R615))</f>
        <v/>
      </c>
      <c r="J584" s="160" t="str">
        <f>CTR1_Local!$H615</f>
        <v/>
      </c>
      <c r="K584" s="340" t="str">
        <f>CTR1_Local!$J615</f>
        <v/>
      </c>
      <c r="L584" s="350" t="str">
        <f>CTR1_Local!$L615</f>
        <v/>
      </c>
      <c r="M584" s="261" t="str">
        <f>IF(CTR1_Local!$V615="","",IF(CTR1_Local!$V615="Yes","confirm",""))</f>
        <v/>
      </c>
      <c r="N584" t="str">
        <f>IF(CTR1_Local!$W615="","",CTR1_Local!$W615)</f>
        <v/>
      </c>
    </row>
    <row r="585" spans="1:14" x14ac:dyDescent="0.2">
      <c r="A585" s="287" t="str">
        <f>IF(CTR1_Local!$D616="",CTR1_Local!B616,CTR1_Local!$D616)</f>
        <v/>
      </c>
      <c r="B585" s="26" t="str">
        <f>IF(A585="","",IF(RIGHT(A585,3)="NEW","Add new / another parish",CTR1_Local!$AN616))</f>
        <v/>
      </c>
      <c r="C585" s="26" t="str">
        <f t="shared" si="9"/>
        <v/>
      </c>
      <c r="D585" s="177" t="str">
        <f>IF(A585="","",IF(RIGHT(A585,3)="NEW",CTR1_Local!$E616,IF(CTR1_Local!$AO616="change",CTR1_Local!$E616,"")))</f>
        <v/>
      </c>
      <c r="E585" t="str">
        <f>IF(CTR1_Local!$F616="","",CTR1_Local!$F616)</f>
        <v/>
      </c>
      <c r="F585" s="261" t="str">
        <f>IF(CTR1_Local!$T616="","",IF(CTR1_Local!$T616="Yes","Removed",""))</f>
        <v/>
      </c>
      <c r="G585" t="str">
        <f>IF(CTR1_Local!$N616="","",IF(F585="Removed","",CTR1_Local!$N616))</f>
        <v/>
      </c>
      <c r="H585" t="str">
        <f>IF(CTR1_Local!$P616="","",IF($F585="Removed","",CTR1_Local!$P616))</f>
        <v/>
      </c>
      <c r="I585" t="str">
        <f>IF(CTR1_Local!$R616="","",IF($F585="Removed","",CTR1_Local!$R616))</f>
        <v/>
      </c>
      <c r="J585" s="160" t="str">
        <f>CTR1_Local!$H616</f>
        <v/>
      </c>
      <c r="K585" s="340" t="str">
        <f>CTR1_Local!$J616</f>
        <v/>
      </c>
      <c r="L585" s="350" t="str">
        <f>CTR1_Local!$L616</f>
        <v/>
      </c>
      <c r="M585" s="261" t="str">
        <f>IF(CTR1_Local!$V616="","",IF(CTR1_Local!$V616="Yes","confirm",""))</f>
        <v/>
      </c>
      <c r="N585" t="str">
        <f>IF(CTR1_Local!$W616="","",CTR1_Local!$W616)</f>
        <v/>
      </c>
    </row>
    <row r="586" spans="1:14" x14ac:dyDescent="0.2">
      <c r="A586" s="287" t="str">
        <f>IF(CTR1_Local!$D617="",CTR1_Local!B617,CTR1_Local!$D617)</f>
        <v/>
      </c>
      <c r="B586" s="26" t="str">
        <f>IF(A586="","",IF(RIGHT(A586,3)="NEW","Add new / another parish",CTR1_Local!$AN617))</f>
        <v/>
      </c>
      <c r="C586" s="26" t="str">
        <f t="shared" si="9"/>
        <v/>
      </c>
      <c r="D586" s="177" t="str">
        <f>IF(A586="","",IF(RIGHT(A586,3)="NEW",CTR1_Local!$E617,IF(CTR1_Local!$AO617="change",CTR1_Local!$E617,"")))</f>
        <v/>
      </c>
      <c r="E586" t="str">
        <f>IF(CTR1_Local!$F617="","",CTR1_Local!$F617)</f>
        <v/>
      </c>
      <c r="F586" s="261" t="str">
        <f>IF(CTR1_Local!$T617="","",IF(CTR1_Local!$T617="Yes","Removed",""))</f>
        <v/>
      </c>
      <c r="G586" t="str">
        <f>IF(CTR1_Local!$N617="","",IF(F586="Removed","",CTR1_Local!$N617))</f>
        <v/>
      </c>
      <c r="H586" t="str">
        <f>IF(CTR1_Local!$P617="","",IF($F586="Removed","",CTR1_Local!$P617))</f>
        <v/>
      </c>
      <c r="I586" t="str">
        <f>IF(CTR1_Local!$R617="","",IF($F586="Removed","",CTR1_Local!$R617))</f>
        <v/>
      </c>
      <c r="J586" s="160" t="str">
        <f>CTR1_Local!$H617</f>
        <v/>
      </c>
      <c r="K586" s="340" t="str">
        <f>CTR1_Local!$J617</f>
        <v/>
      </c>
      <c r="L586" s="350" t="str">
        <f>CTR1_Local!$L617</f>
        <v/>
      </c>
      <c r="M586" s="261" t="str">
        <f>IF(CTR1_Local!$V617="","",IF(CTR1_Local!$V617="Yes","confirm",""))</f>
        <v/>
      </c>
      <c r="N586" t="str">
        <f>IF(CTR1_Local!$W617="","",CTR1_Local!$W617)</f>
        <v/>
      </c>
    </row>
    <row r="587" spans="1:14" x14ac:dyDescent="0.2">
      <c r="A587" s="287" t="str">
        <f>IF(CTR1_Local!$D618="",CTR1_Local!B618,CTR1_Local!$D618)</f>
        <v/>
      </c>
      <c r="B587" s="26" t="str">
        <f>IF(A587="","",IF(RIGHT(A587,3)="NEW","Add new / another parish",CTR1_Local!$AN618))</f>
        <v/>
      </c>
      <c r="C587" s="26" t="str">
        <f t="shared" si="9"/>
        <v/>
      </c>
      <c r="D587" s="177" t="str">
        <f>IF(A587="","",IF(RIGHT(A587,3)="NEW",CTR1_Local!$E618,IF(CTR1_Local!$AO618="change",CTR1_Local!$E618,"")))</f>
        <v/>
      </c>
      <c r="E587" t="str">
        <f>IF(CTR1_Local!$F618="","",CTR1_Local!$F618)</f>
        <v/>
      </c>
      <c r="F587" s="261" t="str">
        <f>IF(CTR1_Local!$T618="","",IF(CTR1_Local!$T618="Yes","Removed",""))</f>
        <v/>
      </c>
      <c r="G587" t="str">
        <f>IF(CTR1_Local!$N618="","",IF(F587="Removed","",CTR1_Local!$N618))</f>
        <v/>
      </c>
      <c r="H587" t="str">
        <f>IF(CTR1_Local!$P618="","",IF($F587="Removed","",CTR1_Local!$P618))</f>
        <v/>
      </c>
      <c r="I587" t="str">
        <f>IF(CTR1_Local!$R618="","",IF($F587="Removed","",CTR1_Local!$R618))</f>
        <v/>
      </c>
      <c r="J587" s="160" t="str">
        <f>CTR1_Local!$H618</f>
        <v/>
      </c>
      <c r="K587" s="340" t="str">
        <f>CTR1_Local!$J618</f>
        <v/>
      </c>
      <c r="L587" s="350" t="str">
        <f>CTR1_Local!$L618</f>
        <v/>
      </c>
      <c r="M587" s="261" t="str">
        <f>IF(CTR1_Local!$V618="","",IF(CTR1_Local!$V618="Yes","confirm",""))</f>
        <v/>
      </c>
      <c r="N587" t="str">
        <f>IF(CTR1_Local!$W618="","",CTR1_Local!$W618)</f>
        <v/>
      </c>
    </row>
    <row r="588" spans="1:14" x14ac:dyDescent="0.2">
      <c r="A588" s="287" t="str">
        <f>IF(CTR1_Local!$D619="",CTR1_Local!B619,CTR1_Local!$D619)</f>
        <v/>
      </c>
      <c r="B588" s="26" t="str">
        <f>IF(A588="","",IF(RIGHT(A588,3)="NEW","Add new / another parish",CTR1_Local!$AN619))</f>
        <v/>
      </c>
      <c r="C588" s="26" t="str">
        <f t="shared" si="9"/>
        <v/>
      </c>
      <c r="D588" s="177" t="str">
        <f>IF(A588="","",IF(RIGHT(A588,3)="NEW",CTR1_Local!$E619,IF(CTR1_Local!$AO619="change",CTR1_Local!$E619,"")))</f>
        <v/>
      </c>
      <c r="E588" t="str">
        <f>IF(CTR1_Local!$F619="","",CTR1_Local!$F619)</f>
        <v/>
      </c>
      <c r="F588" s="261" t="str">
        <f>IF(CTR1_Local!$T619="","",IF(CTR1_Local!$T619="Yes","Removed",""))</f>
        <v/>
      </c>
      <c r="G588" t="str">
        <f>IF(CTR1_Local!$N619="","",IF(F588="Removed","",CTR1_Local!$N619))</f>
        <v/>
      </c>
      <c r="H588" t="str">
        <f>IF(CTR1_Local!$P619="","",IF($F588="Removed","",CTR1_Local!$P619))</f>
        <v/>
      </c>
      <c r="I588" t="str">
        <f>IF(CTR1_Local!$R619="","",IF($F588="Removed","",CTR1_Local!$R619))</f>
        <v/>
      </c>
      <c r="J588" s="160" t="str">
        <f>CTR1_Local!$H619</f>
        <v/>
      </c>
      <c r="K588" s="340" t="str">
        <f>CTR1_Local!$J619</f>
        <v/>
      </c>
      <c r="L588" s="350" t="str">
        <f>CTR1_Local!$L619</f>
        <v/>
      </c>
      <c r="M588" s="261" t="str">
        <f>IF(CTR1_Local!$V619="","",IF(CTR1_Local!$V619="Yes","confirm",""))</f>
        <v/>
      </c>
      <c r="N588" t="str">
        <f>IF(CTR1_Local!$W619="","",CTR1_Local!$W619)</f>
        <v/>
      </c>
    </row>
    <row r="589" spans="1:14" x14ac:dyDescent="0.2">
      <c r="A589" s="287" t="str">
        <f>IF(CTR1_Local!$D620="",CTR1_Local!B620,CTR1_Local!$D620)</f>
        <v/>
      </c>
      <c r="B589" s="26" t="str">
        <f>IF(A589="","",IF(RIGHT(A589,3)="NEW","Add new / another parish",CTR1_Local!$AN620))</f>
        <v/>
      </c>
      <c r="C589" s="26" t="str">
        <f t="shared" si="9"/>
        <v/>
      </c>
      <c r="D589" s="177" t="str">
        <f>IF(A589="","",IF(RIGHT(A589,3)="NEW",CTR1_Local!$E620,IF(CTR1_Local!$AO620="change",CTR1_Local!$E620,"")))</f>
        <v/>
      </c>
      <c r="E589" t="str">
        <f>IF(CTR1_Local!$F620="","",CTR1_Local!$F620)</f>
        <v/>
      </c>
      <c r="F589" s="261" t="str">
        <f>IF(CTR1_Local!$T620="","",IF(CTR1_Local!$T620="Yes","Removed",""))</f>
        <v/>
      </c>
      <c r="G589" t="str">
        <f>IF(CTR1_Local!$N620="","",IF(F589="Removed","",CTR1_Local!$N620))</f>
        <v/>
      </c>
      <c r="H589" t="str">
        <f>IF(CTR1_Local!$P620="","",IF($F589="Removed","",CTR1_Local!$P620))</f>
        <v/>
      </c>
      <c r="I589" t="str">
        <f>IF(CTR1_Local!$R620="","",IF($F589="Removed","",CTR1_Local!$R620))</f>
        <v/>
      </c>
      <c r="J589" s="160" t="str">
        <f>CTR1_Local!$H620</f>
        <v/>
      </c>
      <c r="K589" s="340" t="str">
        <f>CTR1_Local!$J620</f>
        <v/>
      </c>
      <c r="L589" s="350" t="str">
        <f>CTR1_Local!$L620</f>
        <v/>
      </c>
      <c r="M589" s="261" t="str">
        <f>IF(CTR1_Local!$V620="","",IF(CTR1_Local!$V620="Yes","confirm",""))</f>
        <v/>
      </c>
      <c r="N589" t="str">
        <f>IF(CTR1_Local!$W620="","",CTR1_Local!$W620)</f>
        <v/>
      </c>
    </row>
    <row r="590" spans="1:14" x14ac:dyDescent="0.2">
      <c r="A590" s="287" t="str">
        <f>IF(CTR1_Local!$D621="",CTR1_Local!B621,CTR1_Local!$D621)</f>
        <v/>
      </c>
      <c r="B590" s="26" t="str">
        <f>IF(A590="","",IF(RIGHT(A590,3)="NEW","Add new / another parish",CTR1_Local!$AN621))</f>
        <v/>
      </c>
      <c r="C590" s="26" t="str">
        <f t="shared" si="9"/>
        <v/>
      </c>
      <c r="D590" s="177" t="str">
        <f>IF(A590="","",IF(RIGHT(A590,3)="NEW",CTR1_Local!$E621,IF(CTR1_Local!$AO621="change",CTR1_Local!$E621,"")))</f>
        <v/>
      </c>
      <c r="E590" t="str">
        <f>IF(CTR1_Local!$F621="","",CTR1_Local!$F621)</f>
        <v/>
      </c>
      <c r="F590" s="261" t="str">
        <f>IF(CTR1_Local!$T621="","",IF(CTR1_Local!$T621="Yes","Removed",""))</f>
        <v/>
      </c>
      <c r="G590" t="str">
        <f>IF(CTR1_Local!$N621="","",IF(F590="Removed","",CTR1_Local!$N621))</f>
        <v/>
      </c>
      <c r="H590" t="str">
        <f>IF(CTR1_Local!$P621="","",IF($F590="Removed","",CTR1_Local!$P621))</f>
        <v/>
      </c>
      <c r="I590" t="str">
        <f>IF(CTR1_Local!$R621="","",IF($F590="Removed","",CTR1_Local!$R621))</f>
        <v/>
      </c>
      <c r="J590" s="160" t="str">
        <f>CTR1_Local!$H621</f>
        <v/>
      </c>
      <c r="K590" s="340" t="str">
        <f>CTR1_Local!$J621</f>
        <v/>
      </c>
      <c r="L590" s="350" t="str">
        <f>CTR1_Local!$L621</f>
        <v/>
      </c>
      <c r="M590" s="261" t="str">
        <f>IF(CTR1_Local!$V621="","",IF(CTR1_Local!$V621="Yes","confirm",""))</f>
        <v/>
      </c>
      <c r="N590" t="str">
        <f>IF(CTR1_Local!$W621="","",CTR1_Local!$W621)</f>
        <v/>
      </c>
    </row>
    <row r="591" spans="1:14" x14ac:dyDescent="0.2">
      <c r="A591" s="287" t="str">
        <f>IF(CTR1_Local!$D622="",CTR1_Local!B622,CTR1_Local!$D622)</f>
        <v/>
      </c>
      <c r="B591" s="26" t="str">
        <f>IF(A591="","",IF(RIGHT(A591,3)="NEW","Add new / another parish",CTR1_Local!$AN622))</f>
        <v/>
      </c>
      <c r="C591" s="26" t="str">
        <f t="shared" si="9"/>
        <v/>
      </c>
      <c r="D591" s="177" t="str">
        <f>IF(A591="","",IF(RIGHT(A591,3)="NEW",CTR1_Local!$E622,IF(CTR1_Local!$AO622="change",CTR1_Local!$E622,"")))</f>
        <v/>
      </c>
      <c r="E591" t="str">
        <f>IF(CTR1_Local!$F622="","",CTR1_Local!$F622)</f>
        <v/>
      </c>
      <c r="F591" s="261" t="str">
        <f>IF(CTR1_Local!$T622="","",IF(CTR1_Local!$T622="Yes","Removed",""))</f>
        <v/>
      </c>
      <c r="G591" t="str">
        <f>IF(CTR1_Local!$N622="","",IF(F591="Removed","",CTR1_Local!$N622))</f>
        <v/>
      </c>
      <c r="H591" t="str">
        <f>IF(CTR1_Local!$P622="","",IF($F591="Removed","",CTR1_Local!$P622))</f>
        <v/>
      </c>
      <c r="I591" t="str">
        <f>IF(CTR1_Local!$R622="","",IF($F591="Removed","",CTR1_Local!$R622))</f>
        <v/>
      </c>
      <c r="J591" s="160" t="str">
        <f>CTR1_Local!$H622</f>
        <v/>
      </c>
      <c r="K591" s="340" t="str">
        <f>CTR1_Local!$J622</f>
        <v/>
      </c>
      <c r="L591" s="350" t="str">
        <f>CTR1_Local!$L622</f>
        <v/>
      </c>
      <c r="M591" s="261" t="str">
        <f>IF(CTR1_Local!$V622="","",IF(CTR1_Local!$V622="Yes","confirm",""))</f>
        <v/>
      </c>
      <c r="N591" t="str">
        <f>IF(CTR1_Local!$W622="","",CTR1_Local!$W622)</f>
        <v/>
      </c>
    </row>
    <row r="592" spans="1:14" x14ac:dyDescent="0.2">
      <c r="A592" s="287" t="str">
        <f>IF(CTR1_Local!$D623="",CTR1_Local!B623,CTR1_Local!$D623)</f>
        <v/>
      </c>
      <c r="B592" s="26" t="str">
        <f>IF(A592="","",IF(RIGHT(A592,3)="NEW","Add new / another parish",CTR1_Local!$AN623))</f>
        <v/>
      </c>
      <c r="C592" s="26" t="str">
        <f t="shared" si="9"/>
        <v/>
      </c>
      <c r="D592" s="177" t="str">
        <f>IF(A592="","",IF(RIGHT(A592,3)="NEW",CTR1_Local!$E623,IF(CTR1_Local!$AO623="change",CTR1_Local!$E623,"")))</f>
        <v/>
      </c>
      <c r="E592" t="str">
        <f>IF(CTR1_Local!$F623="","",CTR1_Local!$F623)</f>
        <v/>
      </c>
      <c r="F592" s="261" t="str">
        <f>IF(CTR1_Local!$T623="","",IF(CTR1_Local!$T623="Yes","Removed",""))</f>
        <v/>
      </c>
      <c r="G592" t="str">
        <f>IF(CTR1_Local!$N623="","",IF(F592="Removed","",CTR1_Local!$N623))</f>
        <v/>
      </c>
      <c r="H592" t="str">
        <f>IF(CTR1_Local!$P623="","",IF($F592="Removed","",CTR1_Local!$P623))</f>
        <v/>
      </c>
      <c r="I592" t="str">
        <f>IF(CTR1_Local!$R623="","",IF($F592="Removed","",CTR1_Local!$R623))</f>
        <v/>
      </c>
      <c r="J592" s="160" t="str">
        <f>CTR1_Local!$H623</f>
        <v/>
      </c>
      <c r="K592" s="340" t="str">
        <f>CTR1_Local!$J623</f>
        <v/>
      </c>
      <c r="L592" s="350" t="str">
        <f>CTR1_Local!$L623</f>
        <v/>
      </c>
      <c r="M592" s="261" t="str">
        <f>IF(CTR1_Local!$V623="","",IF(CTR1_Local!$V623="Yes","confirm",""))</f>
        <v/>
      </c>
      <c r="N592" t="str">
        <f>IF(CTR1_Local!$W623="","",CTR1_Local!$W623)</f>
        <v/>
      </c>
    </row>
    <row r="593" spans="1:14" x14ac:dyDescent="0.2">
      <c r="A593" s="287" t="str">
        <f>IF(CTR1_Local!$D624="",CTR1_Local!B624,CTR1_Local!$D624)</f>
        <v/>
      </c>
      <c r="B593" s="26" t="str">
        <f>IF(A593="","",IF(RIGHT(A593,3)="NEW","Add new / another parish",CTR1_Local!$AN624))</f>
        <v/>
      </c>
      <c r="C593" s="26" t="str">
        <f t="shared" si="9"/>
        <v/>
      </c>
      <c r="D593" s="177" t="str">
        <f>IF(A593="","",IF(RIGHT(A593,3)="NEW",CTR1_Local!$E624,IF(CTR1_Local!$AO624="change",CTR1_Local!$E624,"")))</f>
        <v/>
      </c>
      <c r="E593" t="str">
        <f>IF(CTR1_Local!$F624="","",CTR1_Local!$F624)</f>
        <v/>
      </c>
      <c r="F593" s="261" t="str">
        <f>IF(CTR1_Local!$T624="","",IF(CTR1_Local!$T624="Yes","Removed",""))</f>
        <v/>
      </c>
      <c r="G593" t="str">
        <f>IF(CTR1_Local!$N624="","",IF(F593="Removed","",CTR1_Local!$N624))</f>
        <v/>
      </c>
      <c r="H593" t="str">
        <f>IF(CTR1_Local!$P624="","",IF($F593="Removed","",CTR1_Local!$P624))</f>
        <v/>
      </c>
      <c r="I593" t="str">
        <f>IF(CTR1_Local!$R624="","",IF($F593="Removed","",CTR1_Local!$R624))</f>
        <v/>
      </c>
      <c r="J593" s="160" t="str">
        <f>CTR1_Local!$H624</f>
        <v/>
      </c>
      <c r="K593" s="340" t="str">
        <f>CTR1_Local!$J624</f>
        <v/>
      </c>
      <c r="L593" s="350" t="str">
        <f>CTR1_Local!$L624</f>
        <v/>
      </c>
      <c r="M593" s="261" t="str">
        <f>IF(CTR1_Local!$V624="","",IF(CTR1_Local!$V624="Yes","confirm",""))</f>
        <v/>
      </c>
      <c r="N593" t="str">
        <f>IF(CTR1_Local!$W624="","",CTR1_Local!$W624)</f>
        <v/>
      </c>
    </row>
    <row r="594" spans="1:14" x14ac:dyDescent="0.2">
      <c r="A594" s="287" t="str">
        <f>IF(CTR1_Local!$D625="",CTR1_Local!B625,CTR1_Local!$D625)</f>
        <v/>
      </c>
      <c r="B594" s="26" t="str">
        <f>IF(A594="","",IF(RIGHT(A594,3)="NEW","Add new / another parish",CTR1_Local!$AN625))</f>
        <v/>
      </c>
      <c r="C594" s="26" t="str">
        <f t="shared" si="9"/>
        <v/>
      </c>
      <c r="D594" s="177" t="str">
        <f>IF(A594="","",IF(RIGHT(A594,3)="NEW",CTR1_Local!$E625,IF(CTR1_Local!$AO625="change",CTR1_Local!$E625,"")))</f>
        <v/>
      </c>
      <c r="E594" t="str">
        <f>IF(CTR1_Local!$F625="","",CTR1_Local!$F625)</f>
        <v/>
      </c>
      <c r="F594" s="261" t="str">
        <f>IF(CTR1_Local!$T625="","",IF(CTR1_Local!$T625="Yes","Removed",""))</f>
        <v/>
      </c>
      <c r="G594" t="str">
        <f>IF(CTR1_Local!$N625="","",IF(F594="Removed","",CTR1_Local!$N625))</f>
        <v/>
      </c>
      <c r="H594" t="str">
        <f>IF(CTR1_Local!$P625="","",IF($F594="Removed","",CTR1_Local!$P625))</f>
        <v/>
      </c>
      <c r="I594" t="str">
        <f>IF(CTR1_Local!$R625="","",IF($F594="Removed","",CTR1_Local!$R625))</f>
        <v/>
      </c>
      <c r="J594" s="160" t="str">
        <f>CTR1_Local!$H625</f>
        <v/>
      </c>
      <c r="K594" s="340" t="str">
        <f>CTR1_Local!$J625</f>
        <v/>
      </c>
      <c r="L594" s="350" t="str">
        <f>CTR1_Local!$L625</f>
        <v/>
      </c>
      <c r="M594" s="261" t="str">
        <f>IF(CTR1_Local!$V625="","",IF(CTR1_Local!$V625="Yes","confirm",""))</f>
        <v/>
      </c>
      <c r="N594" t="str">
        <f>IF(CTR1_Local!$W625="","",CTR1_Local!$W625)</f>
        <v/>
      </c>
    </row>
    <row r="595" spans="1:14" x14ac:dyDescent="0.2">
      <c r="A595" s="287" t="str">
        <f>IF(CTR1_Local!$D626="",CTR1_Local!B626,CTR1_Local!$D626)</f>
        <v/>
      </c>
      <c r="B595" s="26" t="str">
        <f>IF(A595="","",IF(RIGHT(A595,3)="NEW","Add new / another parish",CTR1_Local!$AN626))</f>
        <v/>
      </c>
      <c r="C595" s="26" t="str">
        <f t="shared" si="9"/>
        <v/>
      </c>
      <c r="D595" s="177" t="str">
        <f>IF(A595="","",IF(RIGHT(A595,3)="NEW",CTR1_Local!$E626,IF(CTR1_Local!$AO626="change",CTR1_Local!$E626,"")))</f>
        <v/>
      </c>
      <c r="E595" t="str">
        <f>IF(CTR1_Local!$F626="","",CTR1_Local!$F626)</f>
        <v/>
      </c>
      <c r="F595" s="261" t="str">
        <f>IF(CTR1_Local!$T626="","",IF(CTR1_Local!$T626="Yes","Removed",""))</f>
        <v/>
      </c>
      <c r="G595" t="str">
        <f>IF(CTR1_Local!$N626="","",IF(F595="Removed","",CTR1_Local!$N626))</f>
        <v/>
      </c>
      <c r="H595" t="str">
        <f>IF(CTR1_Local!$P626="","",IF($F595="Removed","",CTR1_Local!$P626))</f>
        <v/>
      </c>
      <c r="I595" t="str">
        <f>IF(CTR1_Local!$R626="","",IF($F595="Removed","",CTR1_Local!$R626))</f>
        <v/>
      </c>
      <c r="J595" s="160" t="str">
        <f>CTR1_Local!$H626</f>
        <v/>
      </c>
      <c r="K595" s="340" t="str">
        <f>CTR1_Local!$J626</f>
        <v/>
      </c>
      <c r="L595" s="350" t="str">
        <f>CTR1_Local!$L626</f>
        <v/>
      </c>
      <c r="M595" s="261" t="str">
        <f>IF(CTR1_Local!$V626="","",IF(CTR1_Local!$V626="Yes","confirm",""))</f>
        <v/>
      </c>
      <c r="N595" t="str">
        <f>IF(CTR1_Local!$W626="","",CTR1_Local!$W626)</f>
        <v/>
      </c>
    </row>
    <row r="596" spans="1:14" x14ac:dyDescent="0.2">
      <c r="A596" s="287" t="str">
        <f>IF(CTR1_Local!$D627="",CTR1_Local!B627,CTR1_Local!$D627)</f>
        <v/>
      </c>
      <c r="B596" s="26" t="str">
        <f>IF(A596="","",IF(RIGHT(A596,3)="NEW","Add new / another parish",CTR1_Local!$AN627))</f>
        <v/>
      </c>
      <c r="C596" s="26" t="str">
        <f t="shared" si="9"/>
        <v/>
      </c>
      <c r="D596" s="177" t="str">
        <f>IF(A596="","",IF(RIGHT(A596,3)="NEW",CTR1_Local!$E627,IF(CTR1_Local!$AO627="change",CTR1_Local!$E627,"")))</f>
        <v/>
      </c>
      <c r="E596" t="str">
        <f>IF(CTR1_Local!$F627="","",CTR1_Local!$F627)</f>
        <v/>
      </c>
      <c r="F596" s="261" t="str">
        <f>IF(CTR1_Local!$T627="","",IF(CTR1_Local!$T627="Yes","Removed",""))</f>
        <v/>
      </c>
      <c r="G596" t="str">
        <f>IF(CTR1_Local!$N627="","",IF(F596="Removed","",CTR1_Local!$N627))</f>
        <v/>
      </c>
      <c r="H596" t="str">
        <f>IF(CTR1_Local!$P627="","",IF($F596="Removed","",CTR1_Local!$P627))</f>
        <v/>
      </c>
      <c r="I596" t="str">
        <f>IF(CTR1_Local!$R627="","",IF($F596="Removed","",CTR1_Local!$R627))</f>
        <v/>
      </c>
      <c r="J596" s="160" t="str">
        <f>CTR1_Local!$H627</f>
        <v/>
      </c>
      <c r="K596" s="340" t="str">
        <f>CTR1_Local!$J627</f>
        <v/>
      </c>
      <c r="L596" s="350" t="str">
        <f>CTR1_Local!$L627</f>
        <v/>
      </c>
      <c r="M596" s="261" t="str">
        <f>IF(CTR1_Local!$V627="","",IF(CTR1_Local!$V627="Yes","confirm",""))</f>
        <v/>
      </c>
      <c r="N596" t="str">
        <f>IF(CTR1_Local!$W627="","",CTR1_Local!$W627)</f>
        <v/>
      </c>
    </row>
    <row r="597" spans="1:14" x14ac:dyDescent="0.2">
      <c r="A597" s="287" t="str">
        <f>IF(CTR1_Local!$D628="",CTR1_Local!B628,CTR1_Local!$D628)</f>
        <v/>
      </c>
      <c r="B597" s="26" t="str">
        <f>IF(A597="","",IF(RIGHT(A597,3)="NEW","Add new / another parish",CTR1_Local!$AN628))</f>
        <v/>
      </c>
      <c r="C597" s="26" t="str">
        <f t="shared" si="9"/>
        <v/>
      </c>
      <c r="D597" s="177" t="str">
        <f>IF(A597="","",IF(RIGHT(A597,3)="NEW",CTR1_Local!$E628,IF(CTR1_Local!$AO628="change",CTR1_Local!$E628,"")))</f>
        <v/>
      </c>
      <c r="E597" t="str">
        <f>IF(CTR1_Local!$F628="","",CTR1_Local!$F628)</f>
        <v/>
      </c>
      <c r="F597" s="261" t="str">
        <f>IF(CTR1_Local!$T628="","",IF(CTR1_Local!$T628="Yes","Removed",""))</f>
        <v/>
      </c>
      <c r="G597" t="str">
        <f>IF(CTR1_Local!$N628="","",IF(F597="Removed","",CTR1_Local!$N628))</f>
        <v/>
      </c>
      <c r="H597" t="str">
        <f>IF(CTR1_Local!$P628="","",IF($F597="Removed","",CTR1_Local!$P628))</f>
        <v/>
      </c>
      <c r="I597" t="str">
        <f>IF(CTR1_Local!$R628="","",IF($F597="Removed","",CTR1_Local!$R628))</f>
        <v/>
      </c>
      <c r="J597" s="160" t="str">
        <f>CTR1_Local!$H628</f>
        <v/>
      </c>
      <c r="K597" s="340" t="str">
        <f>CTR1_Local!$J628</f>
        <v/>
      </c>
      <c r="L597" s="350" t="str">
        <f>CTR1_Local!$L628</f>
        <v/>
      </c>
      <c r="M597" s="261" t="str">
        <f>IF(CTR1_Local!$V628="","",IF(CTR1_Local!$V628="Yes","confirm",""))</f>
        <v/>
      </c>
      <c r="N597" t="str">
        <f>IF(CTR1_Local!$W628="","",CTR1_Local!$W628)</f>
        <v/>
      </c>
    </row>
    <row r="598" spans="1:14" x14ac:dyDescent="0.2">
      <c r="A598" s="287" t="str">
        <f>IF(CTR1_Local!$D629="",CTR1_Local!B629,CTR1_Local!$D629)</f>
        <v/>
      </c>
      <c r="B598" s="26" t="str">
        <f>IF(A598="","",IF(RIGHT(A598,3)="NEW","Add new / another parish",CTR1_Local!$AN629))</f>
        <v/>
      </c>
      <c r="C598" s="26" t="str">
        <f t="shared" si="9"/>
        <v/>
      </c>
      <c r="D598" s="177" t="str">
        <f>IF(A598="","",IF(RIGHT(A598,3)="NEW",CTR1_Local!$E629,IF(CTR1_Local!$AO629="change",CTR1_Local!$E629,"")))</f>
        <v/>
      </c>
      <c r="E598" t="str">
        <f>IF(CTR1_Local!$F629="","",CTR1_Local!$F629)</f>
        <v/>
      </c>
      <c r="F598" s="261" t="str">
        <f>IF(CTR1_Local!$T629="","",IF(CTR1_Local!$T629="Yes","Removed",""))</f>
        <v/>
      </c>
      <c r="G598" t="str">
        <f>IF(CTR1_Local!$N629="","",IF(F598="Removed","",CTR1_Local!$N629))</f>
        <v/>
      </c>
      <c r="H598" t="str">
        <f>IF(CTR1_Local!$P629="","",IF($F598="Removed","",CTR1_Local!$P629))</f>
        <v/>
      </c>
      <c r="I598" t="str">
        <f>IF(CTR1_Local!$R629="","",IF($F598="Removed","",CTR1_Local!$R629))</f>
        <v/>
      </c>
      <c r="J598" s="160" t="str">
        <f>CTR1_Local!$H629</f>
        <v/>
      </c>
      <c r="K598" s="340" t="str">
        <f>CTR1_Local!$J629</f>
        <v/>
      </c>
      <c r="L598" s="350" t="str">
        <f>CTR1_Local!$L629</f>
        <v/>
      </c>
      <c r="M598" s="261" t="str">
        <f>IF(CTR1_Local!$V629="","",IF(CTR1_Local!$V629="Yes","confirm",""))</f>
        <v/>
      </c>
      <c r="N598" t="str">
        <f>IF(CTR1_Local!$W629="","",CTR1_Local!$W629)</f>
        <v/>
      </c>
    </row>
    <row r="599" spans="1:14" x14ac:dyDescent="0.2">
      <c r="A599" s="287" t="str">
        <f>IF(CTR1_Local!$D630="",CTR1_Local!B630,CTR1_Local!$D630)</f>
        <v/>
      </c>
      <c r="B599" s="26" t="str">
        <f>IF(A599="","",IF(RIGHT(A599,3)="NEW","Add new / another parish",CTR1_Local!$AN630))</f>
        <v/>
      </c>
      <c r="C599" s="26" t="str">
        <f t="shared" si="9"/>
        <v/>
      </c>
      <c r="D599" s="177" t="str">
        <f>IF(A599="","",IF(RIGHT(A599,3)="NEW",CTR1_Local!$E630,IF(CTR1_Local!$AO630="change",CTR1_Local!$E630,"")))</f>
        <v/>
      </c>
      <c r="E599" t="str">
        <f>IF(CTR1_Local!$F630="","",CTR1_Local!$F630)</f>
        <v/>
      </c>
      <c r="F599" s="261" t="str">
        <f>IF(CTR1_Local!$T630="","",IF(CTR1_Local!$T630="Yes","Removed",""))</f>
        <v/>
      </c>
      <c r="G599" t="str">
        <f>IF(CTR1_Local!$N630="","",IF(F599="Removed","",CTR1_Local!$N630))</f>
        <v/>
      </c>
      <c r="H599" t="str">
        <f>IF(CTR1_Local!$P630="","",IF($F599="Removed","",CTR1_Local!$P630))</f>
        <v/>
      </c>
      <c r="I599" t="str">
        <f>IF(CTR1_Local!$R630="","",IF($F599="Removed","",CTR1_Local!$R630))</f>
        <v/>
      </c>
      <c r="J599" s="160" t="str">
        <f>CTR1_Local!$H630</f>
        <v/>
      </c>
      <c r="K599" s="340" t="str">
        <f>CTR1_Local!$J630</f>
        <v/>
      </c>
      <c r="L599" s="350" t="str">
        <f>CTR1_Local!$L630</f>
        <v/>
      </c>
      <c r="M599" s="261" t="str">
        <f>IF(CTR1_Local!$V630="","",IF(CTR1_Local!$V630="Yes","confirm",""))</f>
        <v/>
      </c>
      <c r="N599" t="str">
        <f>IF(CTR1_Local!$W630="","",CTR1_Local!$W630)</f>
        <v/>
      </c>
    </row>
    <row r="600" spans="1:14" x14ac:dyDescent="0.2">
      <c r="A600" s="287" t="str">
        <f>IF(CTR1_Local!$D631="",CTR1_Local!B631,CTR1_Local!$D631)</f>
        <v/>
      </c>
      <c r="B600" s="26" t="str">
        <f>IF(A600="","",IF(RIGHT(A600,3)="NEW","Add new / another parish",CTR1_Local!$AN631))</f>
        <v/>
      </c>
      <c r="C600" s="26" t="str">
        <f t="shared" si="9"/>
        <v/>
      </c>
      <c r="D600" s="177" t="str">
        <f>IF(A600="","",IF(RIGHT(A600,3)="NEW",CTR1_Local!$E631,IF(CTR1_Local!$AO631="change",CTR1_Local!$E631,"")))</f>
        <v/>
      </c>
      <c r="E600" t="str">
        <f>IF(CTR1_Local!$F631="","",CTR1_Local!$F631)</f>
        <v/>
      </c>
      <c r="F600" s="261" t="str">
        <f>IF(CTR1_Local!$T631="","",IF(CTR1_Local!$T631="Yes","Removed",""))</f>
        <v/>
      </c>
      <c r="G600" t="str">
        <f>IF(CTR1_Local!$N631="","",IF(F600="Removed","",CTR1_Local!$N631))</f>
        <v/>
      </c>
      <c r="H600" t="str">
        <f>IF(CTR1_Local!$P631="","",IF($F600="Removed","",CTR1_Local!$P631))</f>
        <v/>
      </c>
      <c r="I600" t="str">
        <f>IF(CTR1_Local!$R631="","",IF($F600="Removed","",CTR1_Local!$R631))</f>
        <v/>
      </c>
      <c r="J600" s="160" t="str">
        <f>CTR1_Local!$H631</f>
        <v/>
      </c>
      <c r="K600" s="340" t="str">
        <f>CTR1_Local!$J631</f>
        <v/>
      </c>
      <c r="L600" s="350" t="str">
        <f>CTR1_Local!$L631</f>
        <v/>
      </c>
      <c r="M600" s="261" t="str">
        <f>IF(CTR1_Local!$V631="","",IF(CTR1_Local!$V631="Yes","confirm",""))</f>
        <v/>
      </c>
      <c r="N600" t="str">
        <f>IF(CTR1_Local!$W631="","",CTR1_Local!$W631)</f>
        <v/>
      </c>
    </row>
    <row r="601" spans="1:14" x14ac:dyDescent="0.2">
      <c r="A601" s="287" t="str">
        <f>IF(CTR1_Local!$D632="",CTR1_Local!B632,CTR1_Local!$D632)</f>
        <v/>
      </c>
      <c r="B601" s="26" t="str">
        <f>IF(A601="","",IF(RIGHT(A601,3)="NEW","Add new / another parish",CTR1_Local!$AN632))</f>
        <v/>
      </c>
      <c r="C601" s="26" t="str">
        <f t="shared" si="9"/>
        <v/>
      </c>
      <c r="D601" s="177" t="str">
        <f>IF(A601="","",IF(RIGHT(A601,3)="NEW",CTR1_Local!$E632,IF(CTR1_Local!$AO632="change",CTR1_Local!$E632,"")))</f>
        <v/>
      </c>
      <c r="E601" t="str">
        <f>IF(CTR1_Local!$F632="","",CTR1_Local!$F632)</f>
        <v/>
      </c>
      <c r="F601" s="261" t="str">
        <f>IF(CTR1_Local!$T632="","",IF(CTR1_Local!$T632="Yes","Removed",""))</f>
        <v/>
      </c>
      <c r="G601" t="str">
        <f>IF(CTR1_Local!$N632="","",IF(F601="Removed","",CTR1_Local!$N632))</f>
        <v/>
      </c>
      <c r="H601" t="str">
        <f>IF(CTR1_Local!$P632="","",IF($F601="Removed","",CTR1_Local!$P632))</f>
        <v/>
      </c>
      <c r="I601" t="str">
        <f>IF(CTR1_Local!$R632="","",IF($F601="Removed","",CTR1_Local!$R632))</f>
        <v/>
      </c>
      <c r="J601" s="160" t="str">
        <f>CTR1_Local!$H632</f>
        <v/>
      </c>
      <c r="K601" s="340" t="str">
        <f>CTR1_Local!$J632</f>
        <v/>
      </c>
      <c r="L601" s="350" t="str">
        <f>CTR1_Local!$L632</f>
        <v/>
      </c>
      <c r="M601" s="261" t="str">
        <f>IF(CTR1_Local!$V632="","",IF(CTR1_Local!$V632="Yes","confirm",""))</f>
        <v/>
      </c>
      <c r="N601" t="str">
        <f>IF(CTR1_Local!$W632="","",CTR1_Local!$W632)</f>
        <v/>
      </c>
    </row>
    <row r="602" spans="1:14" x14ac:dyDescent="0.2">
      <c r="A602" s="287" t="str">
        <f>IF(CTR1_Local!$D633="",CTR1_Local!B633,CTR1_Local!$D633)</f>
        <v/>
      </c>
      <c r="B602" s="26" t="str">
        <f>IF(A602="","",IF(RIGHT(A602,3)="NEW","Add new / another parish",CTR1_Local!$AN633))</f>
        <v/>
      </c>
      <c r="C602" s="26" t="str">
        <f t="shared" si="9"/>
        <v/>
      </c>
      <c r="D602" s="177" t="str">
        <f>IF(A602="","",IF(RIGHT(A602,3)="NEW",CTR1_Local!$E633,IF(CTR1_Local!$AO633="change",CTR1_Local!$E633,"")))</f>
        <v/>
      </c>
      <c r="E602" t="str">
        <f>IF(CTR1_Local!$F633="","",CTR1_Local!$F633)</f>
        <v/>
      </c>
      <c r="F602" s="261" t="str">
        <f>IF(CTR1_Local!$T633="","",IF(CTR1_Local!$T633="Yes","Removed",""))</f>
        <v/>
      </c>
      <c r="G602" t="str">
        <f>IF(CTR1_Local!$N633="","",IF(F602="Removed","",CTR1_Local!$N633))</f>
        <v/>
      </c>
      <c r="H602" t="str">
        <f>IF(CTR1_Local!$P633="","",IF($F602="Removed","",CTR1_Local!$P633))</f>
        <v/>
      </c>
      <c r="I602" t="str">
        <f>IF(CTR1_Local!$R633="","",IF($F602="Removed","",CTR1_Local!$R633))</f>
        <v/>
      </c>
      <c r="J602" s="160" t="str">
        <f>CTR1_Local!$H633</f>
        <v/>
      </c>
      <c r="K602" s="340" t="str">
        <f>CTR1_Local!$J633</f>
        <v/>
      </c>
      <c r="L602" s="350" t="str">
        <f>CTR1_Local!$L633</f>
        <v/>
      </c>
      <c r="M602" s="261" t="str">
        <f>IF(CTR1_Local!$V633="","",IF(CTR1_Local!$V633="Yes","confirm",""))</f>
        <v/>
      </c>
      <c r="N602" t="str">
        <f>IF(CTR1_Local!$W633="","",CTR1_Local!$W633)</f>
        <v/>
      </c>
    </row>
    <row r="603" spans="1:14" x14ac:dyDescent="0.2">
      <c r="A603" s="287" t="str">
        <f>IF(CTR1_Local!$D634="",CTR1_Local!B634,CTR1_Local!$D634)</f>
        <v/>
      </c>
      <c r="B603" s="26" t="str">
        <f>IF(A603="","",IF(RIGHT(A603,3)="NEW","Add new / another parish",CTR1_Local!$AN634))</f>
        <v/>
      </c>
      <c r="C603" s="26" t="str">
        <f t="shared" si="9"/>
        <v/>
      </c>
      <c r="D603" s="177" t="str">
        <f>IF(A603="","",IF(RIGHT(A603,3)="NEW",CTR1_Local!$E634,IF(CTR1_Local!$AO634="change",CTR1_Local!$E634,"")))</f>
        <v/>
      </c>
      <c r="E603" t="str">
        <f>IF(CTR1_Local!$F634="","",CTR1_Local!$F634)</f>
        <v/>
      </c>
      <c r="F603" s="261" t="str">
        <f>IF(CTR1_Local!$T634="","",IF(CTR1_Local!$T634="Yes","Removed",""))</f>
        <v/>
      </c>
      <c r="G603" t="str">
        <f>IF(CTR1_Local!$N634="","",IF(F603="Removed","",CTR1_Local!$N634))</f>
        <v/>
      </c>
      <c r="H603" t="str">
        <f>IF(CTR1_Local!$P634="","",IF($F603="Removed","",CTR1_Local!$P634))</f>
        <v/>
      </c>
      <c r="I603" t="str">
        <f>IF(CTR1_Local!$R634="","",IF($F603="Removed","",CTR1_Local!$R634))</f>
        <v/>
      </c>
      <c r="J603" s="160" t="str">
        <f>CTR1_Local!$H634</f>
        <v/>
      </c>
      <c r="K603" s="340" t="str">
        <f>CTR1_Local!$J634</f>
        <v/>
      </c>
      <c r="L603" s="350" t="str">
        <f>CTR1_Local!$L634</f>
        <v/>
      </c>
      <c r="M603" s="261" t="str">
        <f>IF(CTR1_Local!$V634="","",IF(CTR1_Local!$V634="Yes","confirm",""))</f>
        <v/>
      </c>
      <c r="N603" t="str">
        <f>IF(CTR1_Local!$W634="","",CTR1_Local!$W634)</f>
        <v/>
      </c>
    </row>
    <row r="604" spans="1:14" x14ac:dyDescent="0.2">
      <c r="A604" s="287" t="str">
        <f>IF(CTR1_Local!$D635="",CTR1_Local!B635,CTR1_Local!$D635)</f>
        <v/>
      </c>
      <c r="B604" s="26" t="str">
        <f>IF(A604="","",IF(RIGHT(A604,3)="NEW","Add new / another parish",CTR1_Local!$AN635))</f>
        <v/>
      </c>
      <c r="C604" s="26" t="str">
        <f t="shared" si="9"/>
        <v/>
      </c>
      <c r="D604" s="177" t="str">
        <f>IF(A604="","",IF(RIGHT(A604,3)="NEW",CTR1_Local!$E635,IF(CTR1_Local!$AO635="change",CTR1_Local!$E635,"")))</f>
        <v/>
      </c>
      <c r="E604" t="str">
        <f>IF(CTR1_Local!$F635="","",CTR1_Local!$F635)</f>
        <v/>
      </c>
      <c r="F604" s="261" t="str">
        <f>IF(CTR1_Local!$T635="","",IF(CTR1_Local!$T635="Yes","Removed",""))</f>
        <v/>
      </c>
      <c r="G604" t="str">
        <f>IF(CTR1_Local!$N635="","",IF(F604="Removed","",CTR1_Local!$N635))</f>
        <v/>
      </c>
      <c r="H604" t="str">
        <f>IF(CTR1_Local!$P635="","",IF($F604="Removed","",CTR1_Local!$P635))</f>
        <v/>
      </c>
      <c r="I604" t="str">
        <f>IF(CTR1_Local!$R635="","",IF($F604="Removed","",CTR1_Local!$R635))</f>
        <v/>
      </c>
      <c r="J604" s="160" t="str">
        <f>CTR1_Local!$H635</f>
        <v/>
      </c>
      <c r="K604" s="340" t="str">
        <f>CTR1_Local!$J635</f>
        <v/>
      </c>
      <c r="L604" s="350" t="str">
        <f>CTR1_Local!$L635</f>
        <v/>
      </c>
      <c r="M604" s="261" t="str">
        <f>IF(CTR1_Local!$V635="","",IF(CTR1_Local!$V635="Yes","confirm",""))</f>
        <v/>
      </c>
      <c r="N604" t="str">
        <f>IF(CTR1_Local!$W635="","",CTR1_Local!$W635)</f>
        <v/>
      </c>
    </row>
    <row r="605" spans="1:14" x14ac:dyDescent="0.2">
      <c r="A605" s="287" t="str">
        <f>IF(CTR1_Local!$D636="",CTR1_Local!B636,CTR1_Local!$D636)</f>
        <v/>
      </c>
      <c r="B605" s="26" t="str">
        <f>IF(A605="","",IF(RIGHT(A605,3)="NEW","Add new / another parish",CTR1_Local!$AN636))</f>
        <v/>
      </c>
      <c r="C605" s="26" t="str">
        <f t="shared" si="9"/>
        <v/>
      </c>
      <c r="D605" s="177" t="str">
        <f>IF(A605="","",IF(RIGHT(A605,3)="NEW",CTR1_Local!$E636,IF(CTR1_Local!$AO636="change",CTR1_Local!$E636,"")))</f>
        <v/>
      </c>
      <c r="E605" t="str">
        <f>IF(CTR1_Local!$F636="","",CTR1_Local!$F636)</f>
        <v/>
      </c>
      <c r="F605" s="261" t="str">
        <f>IF(CTR1_Local!$T636="","",IF(CTR1_Local!$T636="Yes","Removed",""))</f>
        <v/>
      </c>
      <c r="G605" t="str">
        <f>IF(CTR1_Local!$N636="","",IF(F605="Removed","",CTR1_Local!$N636))</f>
        <v/>
      </c>
      <c r="H605" t="str">
        <f>IF(CTR1_Local!$P636="","",IF($F605="Removed","",CTR1_Local!$P636))</f>
        <v/>
      </c>
      <c r="I605" t="str">
        <f>IF(CTR1_Local!$R636="","",IF($F605="Removed","",CTR1_Local!$R636))</f>
        <v/>
      </c>
      <c r="J605" s="160" t="str">
        <f>CTR1_Local!$H636</f>
        <v/>
      </c>
      <c r="K605" s="340" t="str">
        <f>CTR1_Local!$J636</f>
        <v/>
      </c>
      <c r="L605" s="350" t="str">
        <f>CTR1_Local!$L636</f>
        <v/>
      </c>
      <c r="M605" s="261" t="str">
        <f>IF(CTR1_Local!$V636="","",IF(CTR1_Local!$V636="Yes","confirm",""))</f>
        <v/>
      </c>
      <c r="N605" t="str">
        <f>IF(CTR1_Local!$W636="","",CTR1_Local!$W636)</f>
        <v/>
      </c>
    </row>
    <row r="606" spans="1:14" x14ac:dyDescent="0.2">
      <c r="A606" s="287" t="str">
        <f>IF(CTR1_Local!$D637="",CTR1_Local!B637,CTR1_Local!$D637)</f>
        <v/>
      </c>
      <c r="B606" s="26" t="str">
        <f>IF(A606="","",IF(RIGHT(A606,3)="NEW","Add new / another parish",CTR1_Local!$AN637))</f>
        <v/>
      </c>
      <c r="C606" s="26" t="str">
        <f t="shared" si="9"/>
        <v/>
      </c>
      <c r="D606" s="177" t="str">
        <f>IF(A606="","",IF(RIGHT(A606,3)="NEW",CTR1_Local!$E637,IF(CTR1_Local!$AO637="change",CTR1_Local!$E637,"")))</f>
        <v/>
      </c>
      <c r="E606" t="str">
        <f>IF(CTR1_Local!$F637="","",CTR1_Local!$F637)</f>
        <v/>
      </c>
      <c r="F606" s="261" t="str">
        <f>IF(CTR1_Local!$T637="","",IF(CTR1_Local!$T637="Yes","Removed",""))</f>
        <v/>
      </c>
      <c r="G606" t="str">
        <f>IF(CTR1_Local!$N637="","",IF(F606="Removed","",CTR1_Local!$N637))</f>
        <v/>
      </c>
      <c r="H606" t="str">
        <f>IF(CTR1_Local!$P637="","",IF($F606="Removed","",CTR1_Local!$P637))</f>
        <v/>
      </c>
      <c r="I606" t="str">
        <f>IF(CTR1_Local!$R637="","",IF($F606="Removed","",CTR1_Local!$R637))</f>
        <v/>
      </c>
      <c r="J606" s="160" t="str">
        <f>CTR1_Local!$H637</f>
        <v/>
      </c>
      <c r="K606" s="340" t="str">
        <f>CTR1_Local!$J637</f>
        <v/>
      </c>
      <c r="L606" s="350" t="str">
        <f>CTR1_Local!$L637</f>
        <v/>
      </c>
      <c r="M606" s="261" t="str">
        <f>IF(CTR1_Local!$V637="","",IF(CTR1_Local!$V637="Yes","confirm",""))</f>
        <v/>
      </c>
      <c r="N606" t="str">
        <f>IF(CTR1_Local!$W637="","",CTR1_Local!$W637)</f>
        <v/>
      </c>
    </row>
    <row r="607" spans="1:14" x14ac:dyDescent="0.2">
      <c r="A607" s="287" t="str">
        <f>IF(CTR1_Local!$D638="",CTR1_Local!B638,CTR1_Local!$D638)</f>
        <v/>
      </c>
      <c r="B607" s="26" t="str">
        <f>IF(A607="","",IF(RIGHT(A607,3)="NEW","Add new / another parish",CTR1_Local!$AN638))</f>
        <v/>
      </c>
      <c r="C607" s="26" t="str">
        <f t="shared" si="9"/>
        <v/>
      </c>
      <c r="D607" s="177" t="str">
        <f>IF(A607="","",IF(RIGHT(A607,3)="NEW",CTR1_Local!$E638,IF(CTR1_Local!$AO638="change",CTR1_Local!$E638,"")))</f>
        <v/>
      </c>
      <c r="E607" t="str">
        <f>IF(CTR1_Local!$F638="","",CTR1_Local!$F638)</f>
        <v/>
      </c>
      <c r="F607" s="261" t="str">
        <f>IF(CTR1_Local!$T638="","",IF(CTR1_Local!$T638="Yes","Removed",""))</f>
        <v/>
      </c>
      <c r="G607" t="str">
        <f>IF(CTR1_Local!$N638="","",IF(F607="Removed","",CTR1_Local!$N638))</f>
        <v/>
      </c>
      <c r="H607" t="str">
        <f>IF(CTR1_Local!$P638="","",IF($F607="Removed","",CTR1_Local!$P638))</f>
        <v/>
      </c>
      <c r="I607" t="str">
        <f>IF(CTR1_Local!$R638="","",IF($F607="Removed","",CTR1_Local!$R638))</f>
        <v/>
      </c>
      <c r="J607" s="160" t="str">
        <f>CTR1_Local!$H638</f>
        <v/>
      </c>
      <c r="K607" s="340" t="str">
        <f>CTR1_Local!$J638</f>
        <v/>
      </c>
      <c r="L607" s="350" t="str">
        <f>CTR1_Local!$L638</f>
        <v/>
      </c>
      <c r="M607" s="261" t="str">
        <f>IF(CTR1_Local!$V638="","",IF(CTR1_Local!$V638="Yes","confirm",""))</f>
        <v/>
      </c>
      <c r="N607" t="str">
        <f>IF(CTR1_Local!$W638="","",CTR1_Local!$W638)</f>
        <v/>
      </c>
    </row>
    <row r="608" spans="1:14" x14ac:dyDescent="0.2">
      <c r="A608" s="287" t="str">
        <f>IF(CTR1_Local!$D639="",CTR1_Local!B639,CTR1_Local!$D639)</f>
        <v/>
      </c>
      <c r="B608" s="26" t="str">
        <f>IF(A608="","",IF(RIGHT(A608,3)="NEW","Add new / another parish",CTR1_Local!$AN639))</f>
        <v/>
      </c>
      <c r="C608" s="26" t="str">
        <f t="shared" si="9"/>
        <v/>
      </c>
      <c r="D608" s="177" t="str">
        <f>IF(A608="","",IF(RIGHT(A608,3)="NEW",CTR1_Local!$E639,IF(CTR1_Local!$AO639="change",CTR1_Local!$E639,"")))</f>
        <v/>
      </c>
      <c r="E608" t="str">
        <f>IF(CTR1_Local!$F639="","",CTR1_Local!$F639)</f>
        <v/>
      </c>
      <c r="F608" s="261" t="str">
        <f>IF(CTR1_Local!$T639="","",IF(CTR1_Local!$T639="Yes","Removed",""))</f>
        <v/>
      </c>
      <c r="G608" t="str">
        <f>IF(CTR1_Local!$N639="","",IF(F608="Removed","",CTR1_Local!$N639))</f>
        <v/>
      </c>
      <c r="H608" t="str">
        <f>IF(CTR1_Local!$P639="","",IF($F608="Removed","",CTR1_Local!$P639))</f>
        <v/>
      </c>
      <c r="I608" t="str">
        <f>IF(CTR1_Local!$R639="","",IF($F608="Removed","",CTR1_Local!$R639))</f>
        <v/>
      </c>
      <c r="J608" s="160" t="str">
        <f>CTR1_Local!$H639</f>
        <v/>
      </c>
      <c r="K608" s="340" t="str">
        <f>CTR1_Local!$J639</f>
        <v/>
      </c>
      <c r="L608" s="350" t="str">
        <f>CTR1_Local!$L639</f>
        <v/>
      </c>
      <c r="M608" s="261" t="str">
        <f>IF(CTR1_Local!$V639="","",IF(CTR1_Local!$V639="Yes","confirm",""))</f>
        <v/>
      </c>
      <c r="N608" t="str">
        <f>IF(CTR1_Local!$W639="","",CTR1_Local!$W639)</f>
        <v/>
      </c>
    </row>
    <row r="609" spans="1:14" x14ac:dyDescent="0.2">
      <c r="A609" s="287" t="str">
        <f>IF(CTR1_Local!$D640="",CTR1_Local!B640,CTR1_Local!$D640)</f>
        <v/>
      </c>
      <c r="B609" s="26" t="str">
        <f>IF(A609="","",IF(RIGHT(A609,3)="NEW","Add new / another parish",CTR1_Local!$AN640))</f>
        <v/>
      </c>
      <c r="C609" s="26" t="str">
        <f t="shared" si="9"/>
        <v/>
      </c>
      <c r="D609" s="177" t="str">
        <f>IF(A609="","",IF(RIGHT(A609,3)="NEW",CTR1_Local!$E640,IF(CTR1_Local!$AO640="change",CTR1_Local!$E640,"")))</f>
        <v/>
      </c>
      <c r="E609" t="str">
        <f>IF(CTR1_Local!$F640="","",CTR1_Local!$F640)</f>
        <v/>
      </c>
      <c r="F609" s="261" t="str">
        <f>IF(CTR1_Local!$T640="","",IF(CTR1_Local!$T640="Yes","Removed",""))</f>
        <v/>
      </c>
      <c r="G609" t="str">
        <f>IF(CTR1_Local!$N640="","",IF(F609="Removed","",CTR1_Local!$N640))</f>
        <v/>
      </c>
      <c r="H609" t="str">
        <f>IF(CTR1_Local!$P640="","",IF($F609="Removed","",CTR1_Local!$P640))</f>
        <v/>
      </c>
      <c r="I609" t="str">
        <f>IF(CTR1_Local!$R640="","",IF($F609="Removed","",CTR1_Local!$R640))</f>
        <v/>
      </c>
      <c r="J609" s="160" t="str">
        <f>CTR1_Local!$H640</f>
        <v/>
      </c>
      <c r="K609" s="340" t="str">
        <f>CTR1_Local!$J640</f>
        <v/>
      </c>
      <c r="L609" s="350" t="str">
        <f>CTR1_Local!$L640</f>
        <v/>
      </c>
      <c r="M609" s="261" t="str">
        <f>IF(CTR1_Local!$V640="","",IF(CTR1_Local!$V640="Yes","confirm",""))</f>
        <v/>
      </c>
      <c r="N609" t="str">
        <f>IF(CTR1_Local!$W640="","",CTR1_Local!$W640)</f>
        <v/>
      </c>
    </row>
    <row r="610" spans="1:14" x14ac:dyDescent="0.2">
      <c r="A610" s="287" t="str">
        <f>IF(CTR1_Local!$D641="",CTR1_Local!B641,CTR1_Local!$D641)</f>
        <v/>
      </c>
      <c r="B610" s="26" t="str">
        <f>IF(A610="","",IF(RIGHT(A610,3)="NEW","Add new / another parish",CTR1_Local!$AN641))</f>
        <v/>
      </c>
      <c r="C610" s="26" t="str">
        <f t="shared" si="9"/>
        <v/>
      </c>
      <c r="D610" s="177" t="str">
        <f>IF(A610="","",IF(RIGHT(A610,3)="NEW",CTR1_Local!$E641,IF(CTR1_Local!$AO641="change",CTR1_Local!$E641,"")))</f>
        <v/>
      </c>
      <c r="E610" t="str">
        <f>IF(CTR1_Local!$F641="","",CTR1_Local!$F641)</f>
        <v/>
      </c>
      <c r="F610" s="261" t="str">
        <f>IF(CTR1_Local!$T641="","",IF(CTR1_Local!$T641="Yes","Removed",""))</f>
        <v/>
      </c>
      <c r="G610" t="str">
        <f>IF(CTR1_Local!$N641="","",IF(F610="Removed","",CTR1_Local!$N641))</f>
        <v/>
      </c>
      <c r="H610" t="str">
        <f>IF(CTR1_Local!$P641="","",IF($F610="Removed","",CTR1_Local!$P641))</f>
        <v/>
      </c>
      <c r="I610" t="str">
        <f>IF(CTR1_Local!$R641="","",IF($F610="Removed","",CTR1_Local!$R641))</f>
        <v/>
      </c>
      <c r="J610" s="160" t="str">
        <f>CTR1_Local!$H641</f>
        <v/>
      </c>
      <c r="K610" s="340" t="str">
        <f>CTR1_Local!$J641</f>
        <v/>
      </c>
      <c r="L610" s="350" t="str">
        <f>CTR1_Local!$L641</f>
        <v/>
      </c>
      <c r="M610" s="261" t="str">
        <f>IF(CTR1_Local!$V641="","",IF(CTR1_Local!$V641="Yes","confirm",""))</f>
        <v/>
      </c>
      <c r="N610" t="str">
        <f>IF(CTR1_Local!$W641="","",CTR1_Local!$W641)</f>
        <v/>
      </c>
    </row>
    <row r="611" spans="1:14" x14ac:dyDescent="0.2">
      <c r="A611" s="287" t="str">
        <f>IF(CTR1_Local!$D642="",CTR1_Local!B642,CTR1_Local!$D642)</f>
        <v/>
      </c>
      <c r="B611" s="26" t="str">
        <f>IF(A611="","",IF(RIGHT(A611,3)="NEW","Add new / another parish",CTR1_Local!$AN642))</f>
        <v/>
      </c>
      <c r="C611" s="26" t="str">
        <f t="shared" si="9"/>
        <v/>
      </c>
      <c r="D611" s="177" t="str">
        <f>IF(A611="","",IF(RIGHT(A611,3)="NEW",CTR1_Local!$E642,IF(CTR1_Local!$AO642="change",CTR1_Local!$E642,"")))</f>
        <v/>
      </c>
      <c r="E611" t="str">
        <f>IF(CTR1_Local!$F642="","",CTR1_Local!$F642)</f>
        <v/>
      </c>
      <c r="F611" s="261" t="str">
        <f>IF(CTR1_Local!$T642="","",IF(CTR1_Local!$T642="Yes","Removed",""))</f>
        <v/>
      </c>
      <c r="G611" t="str">
        <f>IF(CTR1_Local!$N642="","",IF(F611="Removed","",CTR1_Local!$N642))</f>
        <v/>
      </c>
      <c r="H611" t="str">
        <f>IF(CTR1_Local!$P642="","",IF($F611="Removed","",CTR1_Local!$P642))</f>
        <v/>
      </c>
      <c r="I611" t="str">
        <f>IF(CTR1_Local!$R642="","",IF($F611="Removed","",CTR1_Local!$R642))</f>
        <v/>
      </c>
      <c r="J611" s="160" t="str">
        <f>CTR1_Local!$H642</f>
        <v/>
      </c>
      <c r="K611" s="340" t="str">
        <f>CTR1_Local!$J642</f>
        <v/>
      </c>
      <c r="L611" s="350" t="str">
        <f>CTR1_Local!$L642</f>
        <v/>
      </c>
      <c r="M611" s="261" t="str">
        <f>IF(CTR1_Local!$V642="","",IF(CTR1_Local!$V642="Yes","confirm",""))</f>
        <v/>
      </c>
      <c r="N611" t="str">
        <f>IF(CTR1_Local!$W642="","",CTR1_Local!$W642)</f>
        <v/>
      </c>
    </row>
    <row r="612" spans="1:14" x14ac:dyDescent="0.2">
      <c r="A612" s="287" t="str">
        <f>IF(CTR1_Local!$D643="",CTR1_Local!B643,CTR1_Local!$D643)</f>
        <v/>
      </c>
      <c r="B612" s="26" t="str">
        <f>IF(A612="","",IF(RIGHT(A612,3)="NEW","Add new / another parish",CTR1_Local!$AN643))</f>
        <v/>
      </c>
      <c r="C612" s="26" t="str">
        <f t="shared" si="9"/>
        <v/>
      </c>
      <c r="D612" s="177" t="str">
        <f>IF(A612="","",IF(RIGHT(A612,3)="NEW",CTR1_Local!$E643,IF(CTR1_Local!$AO643="change",CTR1_Local!$E643,"")))</f>
        <v/>
      </c>
      <c r="E612" t="str">
        <f>IF(CTR1_Local!$F643="","",CTR1_Local!$F643)</f>
        <v/>
      </c>
      <c r="F612" s="261" t="str">
        <f>IF(CTR1_Local!$T643="","",IF(CTR1_Local!$T643="Yes","Removed",""))</f>
        <v/>
      </c>
      <c r="G612" t="str">
        <f>IF(CTR1_Local!$N643="","",IF(F612="Removed","",CTR1_Local!$N643))</f>
        <v/>
      </c>
      <c r="H612" t="str">
        <f>IF(CTR1_Local!$P643="","",IF($F612="Removed","",CTR1_Local!$P643))</f>
        <v/>
      </c>
      <c r="I612" t="str">
        <f>IF(CTR1_Local!$R643="","",IF($F612="Removed","",CTR1_Local!$R643))</f>
        <v/>
      </c>
      <c r="J612" s="160" t="str">
        <f>CTR1_Local!$H643</f>
        <v/>
      </c>
      <c r="K612" s="340" t="str">
        <f>CTR1_Local!$J643</f>
        <v/>
      </c>
      <c r="L612" s="350" t="str">
        <f>CTR1_Local!$L643</f>
        <v/>
      </c>
      <c r="M612" s="261" t="str">
        <f>IF(CTR1_Local!$V643="","",IF(CTR1_Local!$V643="Yes","confirm",""))</f>
        <v/>
      </c>
      <c r="N612" t="str">
        <f>IF(CTR1_Local!$W643="","",CTR1_Local!$W643)</f>
        <v/>
      </c>
    </row>
    <row r="613" spans="1:14" x14ac:dyDescent="0.2">
      <c r="A613" s="287" t="str">
        <f>IF(CTR1_Local!$D644="",CTR1_Local!B644,CTR1_Local!$D644)</f>
        <v/>
      </c>
      <c r="B613" s="26" t="str">
        <f>IF(A613="","",IF(RIGHT(A613,3)="NEW","Add new / another parish",CTR1_Local!$AN644))</f>
        <v/>
      </c>
      <c r="C613" s="26" t="str">
        <f t="shared" si="9"/>
        <v/>
      </c>
      <c r="D613" s="177" t="str">
        <f>IF(A613="","",IF(RIGHT(A613,3)="NEW",CTR1_Local!$E644,IF(CTR1_Local!$AO644="change",CTR1_Local!$E644,"")))</f>
        <v/>
      </c>
      <c r="E613" t="str">
        <f>IF(CTR1_Local!$F644="","",CTR1_Local!$F644)</f>
        <v/>
      </c>
      <c r="F613" s="261" t="str">
        <f>IF(CTR1_Local!$T644="","",IF(CTR1_Local!$T644="Yes","Removed",""))</f>
        <v/>
      </c>
      <c r="G613" t="str">
        <f>IF(CTR1_Local!$N644="","",IF(F613="Removed","",CTR1_Local!$N644))</f>
        <v/>
      </c>
      <c r="H613" t="str">
        <f>IF(CTR1_Local!$P644="","",IF($F613="Removed","",CTR1_Local!$P644))</f>
        <v/>
      </c>
      <c r="I613" t="str">
        <f>IF(CTR1_Local!$R644="","",IF($F613="Removed","",CTR1_Local!$R644))</f>
        <v/>
      </c>
      <c r="J613" s="160" t="str">
        <f>CTR1_Local!$H644</f>
        <v/>
      </c>
      <c r="K613" s="340" t="str">
        <f>CTR1_Local!$J644</f>
        <v/>
      </c>
      <c r="L613" s="350" t="str">
        <f>CTR1_Local!$L644</f>
        <v/>
      </c>
      <c r="M613" s="261" t="str">
        <f>IF(CTR1_Local!$V644="","",IF(CTR1_Local!$V644="Yes","confirm",""))</f>
        <v/>
      </c>
      <c r="N613" t="str">
        <f>IF(CTR1_Local!$W644="","",CTR1_Local!$W644)</f>
        <v/>
      </c>
    </row>
    <row r="614" spans="1:14" x14ac:dyDescent="0.2">
      <c r="A614" s="287" t="str">
        <f>IF(CTR1_Local!$D645="",CTR1_Local!B645,CTR1_Local!$D645)</f>
        <v/>
      </c>
      <c r="B614" s="26" t="str">
        <f>IF(A614="","",IF(RIGHT(A614,3)="NEW","Add new / another parish",CTR1_Local!$AN645))</f>
        <v/>
      </c>
      <c r="C614" s="26" t="str">
        <f t="shared" si="9"/>
        <v/>
      </c>
      <c r="D614" s="177" t="str">
        <f>IF(A614="","",IF(RIGHT(A614,3)="NEW",CTR1_Local!$E645,IF(CTR1_Local!$AO645="change",CTR1_Local!$E645,"")))</f>
        <v/>
      </c>
      <c r="E614" t="str">
        <f>IF(CTR1_Local!$F645="","",CTR1_Local!$F645)</f>
        <v/>
      </c>
      <c r="F614" s="261" t="str">
        <f>IF(CTR1_Local!$T645="","",IF(CTR1_Local!$T645="Yes","Removed",""))</f>
        <v/>
      </c>
      <c r="G614" t="str">
        <f>IF(CTR1_Local!$N645="","",IF(F614="Removed","",CTR1_Local!$N645))</f>
        <v/>
      </c>
      <c r="H614" t="str">
        <f>IF(CTR1_Local!$P645="","",IF($F614="Removed","",CTR1_Local!$P645))</f>
        <v/>
      </c>
      <c r="I614" t="str">
        <f>IF(CTR1_Local!$R645="","",IF($F614="Removed","",CTR1_Local!$R645))</f>
        <v/>
      </c>
      <c r="J614" s="160" t="str">
        <f>CTR1_Local!$H645</f>
        <v/>
      </c>
      <c r="K614" s="340" t="str">
        <f>CTR1_Local!$J645</f>
        <v/>
      </c>
      <c r="L614" s="350" t="str">
        <f>CTR1_Local!$L645</f>
        <v/>
      </c>
      <c r="M614" s="261" t="str">
        <f>IF(CTR1_Local!$V645="","",IF(CTR1_Local!$V645="Yes","confirm",""))</f>
        <v/>
      </c>
      <c r="N614" t="str">
        <f>IF(CTR1_Local!$W645="","",CTR1_Local!$W645)</f>
        <v/>
      </c>
    </row>
    <row r="615" spans="1:14" x14ac:dyDescent="0.2">
      <c r="A615" s="287" t="str">
        <f>IF(CTR1_Local!$D646="",CTR1_Local!B646,CTR1_Local!$D646)</f>
        <v/>
      </c>
      <c r="B615" s="26" t="str">
        <f>IF(A615="","",IF(RIGHT(A615,3)="NEW","Add new / another parish",CTR1_Local!$AN646))</f>
        <v/>
      </c>
      <c r="C615" s="26" t="str">
        <f t="shared" si="9"/>
        <v/>
      </c>
      <c r="D615" s="177" t="str">
        <f>IF(A615="","",IF(RIGHT(A615,3)="NEW",CTR1_Local!$E646,IF(CTR1_Local!$AO646="change",CTR1_Local!$E646,"")))</f>
        <v/>
      </c>
      <c r="E615" t="str">
        <f>IF(CTR1_Local!$F646="","",CTR1_Local!$F646)</f>
        <v/>
      </c>
      <c r="F615" s="261" t="str">
        <f>IF(CTR1_Local!$T646="","",IF(CTR1_Local!$T646="Yes","Removed",""))</f>
        <v/>
      </c>
      <c r="G615" t="str">
        <f>IF(CTR1_Local!$N646="","",IF(F615="Removed","",CTR1_Local!$N646))</f>
        <v/>
      </c>
      <c r="H615" t="str">
        <f>IF(CTR1_Local!$P646="","",IF($F615="Removed","",CTR1_Local!$P646))</f>
        <v/>
      </c>
      <c r="I615" t="str">
        <f>IF(CTR1_Local!$R646="","",IF($F615="Removed","",CTR1_Local!$R646))</f>
        <v/>
      </c>
      <c r="J615" s="160" t="str">
        <f>CTR1_Local!$H646</f>
        <v/>
      </c>
      <c r="K615" s="340" t="str">
        <f>CTR1_Local!$J646</f>
        <v/>
      </c>
      <c r="L615" s="350" t="str">
        <f>CTR1_Local!$L646</f>
        <v/>
      </c>
      <c r="M615" s="261" t="str">
        <f>IF(CTR1_Local!$V646="","",IF(CTR1_Local!$V646="Yes","confirm",""))</f>
        <v/>
      </c>
      <c r="N615" t="str">
        <f>IF(CTR1_Local!$W646="","",CTR1_Local!$W646)</f>
        <v/>
      </c>
    </row>
    <row r="616" spans="1:14" x14ac:dyDescent="0.2">
      <c r="A616" s="287" t="str">
        <f>IF(CTR1_Local!$D647="",CTR1_Local!B647,CTR1_Local!$D647)</f>
        <v/>
      </c>
      <c r="B616" s="26" t="str">
        <f>IF(A616="","",IF(RIGHT(A616,3)="NEW","Add new / another parish",CTR1_Local!$AN647))</f>
        <v/>
      </c>
      <c r="C616" s="26" t="str">
        <f t="shared" si="9"/>
        <v/>
      </c>
      <c r="D616" s="177" t="str">
        <f>IF(A616="","",IF(RIGHT(A616,3)="NEW",CTR1_Local!$E647,IF(CTR1_Local!$AO647="change",CTR1_Local!$E647,"")))</f>
        <v/>
      </c>
      <c r="E616" t="str">
        <f>IF(CTR1_Local!$F647="","",CTR1_Local!$F647)</f>
        <v/>
      </c>
      <c r="F616" s="261" t="str">
        <f>IF(CTR1_Local!$T647="","",IF(CTR1_Local!$T647="Yes","Removed",""))</f>
        <v/>
      </c>
      <c r="G616" t="str">
        <f>IF(CTR1_Local!$N647="","",IF(F616="Removed","",CTR1_Local!$N647))</f>
        <v/>
      </c>
      <c r="H616" t="str">
        <f>IF(CTR1_Local!$P647="","",IF($F616="Removed","",CTR1_Local!$P647))</f>
        <v/>
      </c>
      <c r="I616" t="str">
        <f>IF(CTR1_Local!$R647="","",IF($F616="Removed","",CTR1_Local!$R647))</f>
        <v/>
      </c>
      <c r="J616" s="160" t="str">
        <f>CTR1_Local!$H647</f>
        <v/>
      </c>
      <c r="K616" s="340" t="str">
        <f>CTR1_Local!$J647</f>
        <v/>
      </c>
      <c r="L616" s="350" t="str">
        <f>CTR1_Local!$L647</f>
        <v/>
      </c>
      <c r="M616" s="261" t="str">
        <f>IF(CTR1_Local!$V647="","",IF(CTR1_Local!$V647="Yes","confirm",""))</f>
        <v/>
      </c>
      <c r="N616" t="str">
        <f>IF(CTR1_Local!$W647="","",CTR1_Local!$W647)</f>
        <v/>
      </c>
    </row>
    <row r="617" spans="1:14" x14ac:dyDescent="0.2">
      <c r="A617" s="287" t="str">
        <f>IF(CTR1_Local!$D648="",CTR1_Local!B648,CTR1_Local!$D648)</f>
        <v/>
      </c>
      <c r="B617" s="26" t="str">
        <f>IF(A617="","",IF(RIGHT(A617,3)="NEW","Add new / another parish",CTR1_Local!$AN648))</f>
        <v/>
      </c>
      <c r="C617" s="26" t="str">
        <f t="shared" si="9"/>
        <v/>
      </c>
      <c r="D617" s="177" t="str">
        <f>IF(A617="","",IF(RIGHT(A617,3)="NEW",CTR1_Local!$E648,IF(CTR1_Local!$AO648="change",CTR1_Local!$E648,"")))</f>
        <v/>
      </c>
      <c r="E617" t="str">
        <f>IF(CTR1_Local!$F648="","",CTR1_Local!$F648)</f>
        <v/>
      </c>
      <c r="F617" s="261" t="str">
        <f>IF(CTR1_Local!$T648="","",IF(CTR1_Local!$T648="Yes","Removed",""))</f>
        <v/>
      </c>
      <c r="G617" t="str">
        <f>IF(CTR1_Local!$N648="","",IF(F617="Removed","",CTR1_Local!$N648))</f>
        <v/>
      </c>
      <c r="H617" t="str">
        <f>IF(CTR1_Local!$P648="","",IF($F617="Removed","",CTR1_Local!$P648))</f>
        <v/>
      </c>
      <c r="I617" t="str">
        <f>IF(CTR1_Local!$R648="","",IF($F617="Removed","",CTR1_Local!$R648))</f>
        <v/>
      </c>
      <c r="J617" s="160" t="str">
        <f>CTR1_Local!$H648</f>
        <v/>
      </c>
      <c r="K617" s="340" t="str">
        <f>CTR1_Local!$J648</f>
        <v/>
      </c>
      <c r="L617" s="350" t="str">
        <f>CTR1_Local!$L648</f>
        <v/>
      </c>
      <c r="M617" s="261" t="str">
        <f>IF(CTR1_Local!$V648="","",IF(CTR1_Local!$V648="Yes","confirm",""))</f>
        <v/>
      </c>
      <c r="N617" t="str">
        <f>IF(CTR1_Local!$W648="","",CTR1_Local!$W648)</f>
        <v/>
      </c>
    </row>
    <row r="618" spans="1:14" x14ac:dyDescent="0.2">
      <c r="A618" s="287" t="str">
        <f>IF(CTR1_Local!$D649="",CTR1_Local!B649,CTR1_Local!$D649)</f>
        <v/>
      </c>
      <c r="B618" s="26" t="str">
        <f>IF(A618="","",IF(RIGHT(A618,3)="NEW","Add new / another parish",CTR1_Local!$AN649))</f>
        <v/>
      </c>
      <c r="C618" s="26" t="str">
        <f t="shared" si="9"/>
        <v/>
      </c>
      <c r="D618" s="177" t="str">
        <f>IF(A618="","",IF(RIGHT(A618,3)="NEW",CTR1_Local!$E649,IF(CTR1_Local!$AO649="change",CTR1_Local!$E649,"")))</f>
        <v/>
      </c>
      <c r="E618" t="str">
        <f>IF(CTR1_Local!$F649="","",CTR1_Local!$F649)</f>
        <v/>
      </c>
      <c r="F618" s="261" t="str">
        <f>IF(CTR1_Local!$T649="","",IF(CTR1_Local!$T649="Yes","Removed",""))</f>
        <v/>
      </c>
      <c r="G618" t="str">
        <f>IF(CTR1_Local!$N649="","",IF(F618="Removed","",CTR1_Local!$N649))</f>
        <v/>
      </c>
      <c r="H618" t="str">
        <f>IF(CTR1_Local!$P649="","",IF($F618="Removed","",CTR1_Local!$P649))</f>
        <v/>
      </c>
      <c r="I618" t="str">
        <f>IF(CTR1_Local!$R649="","",IF($F618="Removed","",CTR1_Local!$R649))</f>
        <v/>
      </c>
      <c r="J618" s="160" t="str">
        <f>CTR1_Local!$H649</f>
        <v/>
      </c>
      <c r="K618" s="340" t="str">
        <f>CTR1_Local!$J649</f>
        <v/>
      </c>
      <c r="L618" s="350" t="str">
        <f>CTR1_Local!$L649</f>
        <v/>
      </c>
      <c r="M618" s="261" t="str">
        <f>IF(CTR1_Local!$V649="","",IF(CTR1_Local!$V649="Yes","confirm",""))</f>
        <v/>
      </c>
      <c r="N618" t="str">
        <f>IF(CTR1_Local!$W649="","",CTR1_Local!$W649)</f>
        <v/>
      </c>
    </row>
    <row r="619" spans="1:14" x14ac:dyDescent="0.2">
      <c r="A619" s="287" t="str">
        <f>IF(CTR1_Local!$D650="",CTR1_Local!B650,CTR1_Local!$D650)</f>
        <v/>
      </c>
      <c r="B619" s="26" t="str">
        <f>IF(A619="","",IF(RIGHT(A619,3)="NEW","Add new / another parish",CTR1_Local!$AN650))</f>
        <v/>
      </c>
      <c r="C619" s="26" t="str">
        <f t="shared" si="9"/>
        <v/>
      </c>
      <c r="D619" s="177" t="str">
        <f>IF(A619="","",IF(RIGHT(A619,3)="NEW",CTR1_Local!$E650,IF(CTR1_Local!$AO650="change",CTR1_Local!$E650,"")))</f>
        <v/>
      </c>
      <c r="E619" t="str">
        <f>IF(CTR1_Local!$F650="","",CTR1_Local!$F650)</f>
        <v/>
      </c>
      <c r="F619" s="261" t="str">
        <f>IF(CTR1_Local!$T650="","",IF(CTR1_Local!$T650="Yes","Removed",""))</f>
        <v/>
      </c>
      <c r="G619" t="str">
        <f>IF(CTR1_Local!$N650="","",IF(F619="Removed","",CTR1_Local!$N650))</f>
        <v/>
      </c>
      <c r="H619" t="str">
        <f>IF(CTR1_Local!$P650="","",IF($F619="Removed","",CTR1_Local!$P650))</f>
        <v/>
      </c>
      <c r="I619" t="str">
        <f>IF(CTR1_Local!$R650="","",IF($F619="Removed","",CTR1_Local!$R650))</f>
        <v/>
      </c>
      <c r="J619" s="160" t="str">
        <f>CTR1_Local!$H650</f>
        <v/>
      </c>
      <c r="K619" s="340" t="str">
        <f>CTR1_Local!$J650</f>
        <v/>
      </c>
      <c r="L619" s="350" t="str">
        <f>CTR1_Local!$L650</f>
        <v/>
      </c>
      <c r="M619" s="261" t="str">
        <f>IF(CTR1_Local!$V650="","",IF(CTR1_Local!$V650="Yes","confirm",""))</f>
        <v/>
      </c>
      <c r="N619" t="str">
        <f>IF(CTR1_Local!$W650="","",CTR1_Local!$W650)</f>
        <v/>
      </c>
    </row>
    <row r="620" spans="1:14" x14ac:dyDescent="0.2">
      <c r="A620" s="287" t="str">
        <f>IF(CTR1_Local!$D651="",CTR1_Local!B651,CTR1_Local!$D651)</f>
        <v/>
      </c>
      <c r="B620" s="26" t="str">
        <f>IF(A620="","",IF(RIGHT(A620,3)="NEW","Add new / another parish",CTR1_Local!$AN651))</f>
        <v/>
      </c>
      <c r="C620" s="26" t="str">
        <f t="shared" si="9"/>
        <v/>
      </c>
      <c r="D620" s="177" t="str">
        <f>IF(A620="","",IF(RIGHT(A620,3)="NEW",CTR1_Local!$E651,IF(CTR1_Local!$AO651="change",CTR1_Local!$E651,"")))</f>
        <v/>
      </c>
      <c r="E620" t="str">
        <f>IF(CTR1_Local!$F651="","",CTR1_Local!$F651)</f>
        <v/>
      </c>
      <c r="F620" s="261" t="str">
        <f>IF(CTR1_Local!$T651="","",IF(CTR1_Local!$T651="Yes","Removed",""))</f>
        <v/>
      </c>
      <c r="G620" t="str">
        <f>IF(CTR1_Local!$N651="","",IF(F620="Removed","",CTR1_Local!$N651))</f>
        <v/>
      </c>
      <c r="H620" t="str">
        <f>IF(CTR1_Local!$P651="","",IF($F620="Removed","",CTR1_Local!$P651))</f>
        <v/>
      </c>
      <c r="I620" t="str">
        <f>IF(CTR1_Local!$R651="","",IF($F620="Removed","",CTR1_Local!$R651))</f>
        <v/>
      </c>
      <c r="J620" s="160" t="str">
        <f>CTR1_Local!$H651</f>
        <v/>
      </c>
      <c r="K620" s="340" t="str">
        <f>CTR1_Local!$J651</f>
        <v/>
      </c>
      <c r="L620" s="350" t="str">
        <f>CTR1_Local!$L651</f>
        <v/>
      </c>
      <c r="M620" s="261" t="str">
        <f>IF(CTR1_Local!$V651="","",IF(CTR1_Local!$V651="Yes","confirm",""))</f>
        <v/>
      </c>
      <c r="N620" t="str">
        <f>IF(CTR1_Local!$W651="","",CTR1_Local!$W651)</f>
        <v/>
      </c>
    </row>
    <row r="621" spans="1:14" x14ac:dyDescent="0.2">
      <c r="A621" s="287" t="str">
        <f>IF(CTR1_Local!$D652="",CTR1_Local!B652,CTR1_Local!$D652)</f>
        <v/>
      </c>
      <c r="B621" s="26" t="str">
        <f>IF(A621="","",IF(RIGHT(A621,3)="NEW","Add new / another parish",CTR1_Local!$AN652))</f>
        <v/>
      </c>
      <c r="C621" s="26" t="str">
        <f t="shared" si="9"/>
        <v/>
      </c>
      <c r="D621" s="177" t="str">
        <f>IF(A621="","",IF(RIGHT(A621,3)="NEW",CTR1_Local!$E652,IF(CTR1_Local!$AO652="change",CTR1_Local!$E652,"")))</f>
        <v/>
      </c>
      <c r="E621" t="str">
        <f>IF(CTR1_Local!$F652="","",CTR1_Local!$F652)</f>
        <v/>
      </c>
      <c r="F621" s="261" t="str">
        <f>IF(CTR1_Local!$T652="","",IF(CTR1_Local!$T652="Yes","Removed",""))</f>
        <v/>
      </c>
      <c r="G621" t="str">
        <f>IF(CTR1_Local!$N652="","",IF(F621="Removed","",CTR1_Local!$N652))</f>
        <v/>
      </c>
      <c r="H621" t="str">
        <f>IF(CTR1_Local!$P652="","",IF($F621="Removed","",CTR1_Local!$P652))</f>
        <v/>
      </c>
      <c r="I621" t="str">
        <f>IF(CTR1_Local!$R652="","",IF($F621="Removed","",CTR1_Local!$R652))</f>
        <v/>
      </c>
      <c r="J621" s="160" t="str">
        <f>CTR1_Local!$H652</f>
        <v/>
      </c>
      <c r="K621" s="340" t="str">
        <f>CTR1_Local!$J652</f>
        <v/>
      </c>
      <c r="L621" s="350" t="str">
        <f>CTR1_Local!$L652</f>
        <v/>
      </c>
      <c r="M621" s="261" t="str">
        <f>IF(CTR1_Local!$V652="","",IF(CTR1_Local!$V652="Yes","confirm",""))</f>
        <v/>
      </c>
      <c r="N621" t="str">
        <f>IF(CTR1_Local!$W652="","",CTR1_Local!$W652)</f>
        <v/>
      </c>
    </row>
    <row r="622" spans="1:14" x14ac:dyDescent="0.2">
      <c r="A622" s="287" t="str">
        <f>IF(CTR1_Local!$D653="",CTR1_Local!B653,CTR1_Local!$D653)</f>
        <v/>
      </c>
      <c r="B622" s="26" t="str">
        <f>IF(A622="","",IF(RIGHT(A622,3)="NEW","Add new / another parish",CTR1_Local!$AN653))</f>
        <v/>
      </c>
      <c r="C622" s="26" t="str">
        <f t="shared" si="9"/>
        <v/>
      </c>
      <c r="D622" s="177" t="str">
        <f>IF(A622="","",IF(RIGHT(A622,3)="NEW",CTR1_Local!$E653,IF(CTR1_Local!$AO653="change",CTR1_Local!$E653,"")))</f>
        <v/>
      </c>
      <c r="E622" t="str">
        <f>IF(CTR1_Local!$F653="","",CTR1_Local!$F653)</f>
        <v/>
      </c>
      <c r="F622" s="261" t="str">
        <f>IF(CTR1_Local!$T653="","",IF(CTR1_Local!$T653="Yes","Removed",""))</f>
        <v/>
      </c>
      <c r="G622" t="str">
        <f>IF(CTR1_Local!$N653="","",IF(F622="Removed","",CTR1_Local!$N653))</f>
        <v/>
      </c>
      <c r="H622" t="str">
        <f>IF(CTR1_Local!$P653="","",IF($F622="Removed","",CTR1_Local!$P653))</f>
        <v/>
      </c>
      <c r="I622" t="str">
        <f>IF(CTR1_Local!$R653="","",IF($F622="Removed","",CTR1_Local!$R653))</f>
        <v/>
      </c>
      <c r="J622" s="160" t="str">
        <f>CTR1_Local!$H653</f>
        <v/>
      </c>
      <c r="K622" s="340" t="str">
        <f>CTR1_Local!$J653</f>
        <v/>
      </c>
      <c r="L622" s="350" t="str">
        <f>CTR1_Local!$L653</f>
        <v/>
      </c>
      <c r="M622" s="261" t="str">
        <f>IF(CTR1_Local!$V653="","",IF(CTR1_Local!$V653="Yes","confirm",""))</f>
        <v/>
      </c>
      <c r="N622" t="str">
        <f>IF(CTR1_Local!$W653="","",CTR1_Local!$W653)</f>
        <v/>
      </c>
    </row>
    <row r="623" spans="1:14" x14ac:dyDescent="0.2">
      <c r="A623" s="287" t="str">
        <f>IF(CTR1_Local!$D654="",CTR1_Local!B654,CTR1_Local!$D654)</f>
        <v/>
      </c>
      <c r="B623" s="26" t="str">
        <f>IF(A623="","",IF(RIGHT(A623,3)="NEW","Add new / another parish",CTR1_Local!$AN654))</f>
        <v/>
      </c>
      <c r="C623" s="26" t="str">
        <f t="shared" si="9"/>
        <v/>
      </c>
      <c r="D623" s="177" t="str">
        <f>IF(A623="","",IF(RIGHT(A623,3)="NEW",CTR1_Local!$E654,IF(CTR1_Local!$AO654="change",CTR1_Local!$E654,"")))</f>
        <v/>
      </c>
      <c r="E623" t="str">
        <f>IF(CTR1_Local!$F654="","",CTR1_Local!$F654)</f>
        <v/>
      </c>
      <c r="F623" s="261" t="str">
        <f>IF(CTR1_Local!$T654="","",IF(CTR1_Local!$T654="Yes","Removed",""))</f>
        <v/>
      </c>
      <c r="G623" t="str">
        <f>IF(CTR1_Local!$N654="","",IF(F623="Removed","",CTR1_Local!$N654))</f>
        <v/>
      </c>
      <c r="H623" t="str">
        <f>IF(CTR1_Local!$P654="","",IF($F623="Removed","",CTR1_Local!$P654))</f>
        <v/>
      </c>
      <c r="I623" t="str">
        <f>IF(CTR1_Local!$R654="","",IF($F623="Removed","",CTR1_Local!$R654))</f>
        <v/>
      </c>
      <c r="J623" s="160" t="str">
        <f>CTR1_Local!$H654</f>
        <v/>
      </c>
      <c r="K623" s="340" t="str">
        <f>CTR1_Local!$J654</f>
        <v/>
      </c>
      <c r="L623" s="350" t="str">
        <f>CTR1_Local!$L654</f>
        <v/>
      </c>
      <c r="M623" s="261" t="str">
        <f>IF(CTR1_Local!$V654="","",IF(CTR1_Local!$V654="Yes","confirm",""))</f>
        <v/>
      </c>
      <c r="N623" t="str">
        <f>IF(CTR1_Local!$W654="","",CTR1_Local!$W654)</f>
        <v/>
      </c>
    </row>
    <row r="624" spans="1:14" x14ac:dyDescent="0.2">
      <c r="A624" s="287" t="str">
        <f>IF(CTR1_Local!$D655="",CTR1_Local!B655,CTR1_Local!$D655)</f>
        <v/>
      </c>
      <c r="B624" s="26" t="str">
        <f>IF(A624="","",IF(RIGHT(A624,3)="NEW","Add new / another parish",CTR1_Local!$AN655))</f>
        <v/>
      </c>
      <c r="C624" s="26" t="str">
        <f t="shared" si="9"/>
        <v/>
      </c>
      <c r="D624" s="177" t="str">
        <f>IF(A624="","",IF(RIGHT(A624,3)="NEW",CTR1_Local!$E655,IF(CTR1_Local!$AO655="change",CTR1_Local!$E655,"")))</f>
        <v/>
      </c>
      <c r="E624" t="str">
        <f>IF(CTR1_Local!$F655="","",CTR1_Local!$F655)</f>
        <v/>
      </c>
      <c r="F624" s="261" t="str">
        <f>IF(CTR1_Local!$T655="","",IF(CTR1_Local!$T655="Yes","Removed",""))</f>
        <v/>
      </c>
      <c r="G624" t="str">
        <f>IF(CTR1_Local!$N655="","",IF(F624="Removed","",CTR1_Local!$N655))</f>
        <v/>
      </c>
      <c r="H624" t="str">
        <f>IF(CTR1_Local!$P655="","",IF($F624="Removed","",CTR1_Local!$P655))</f>
        <v/>
      </c>
      <c r="I624" t="str">
        <f>IF(CTR1_Local!$R655="","",IF($F624="Removed","",CTR1_Local!$R655))</f>
        <v/>
      </c>
      <c r="J624" s="160" t="str">
        <f>CTR1_Local!$H655</f>
        <v/>
      </c>
      <c r="K624" s="340" t="str">
        <f>CTR1_Local!$J655</f>
        <v/>
      </c>
      <c r="L624" s="350" t="str">
        <f>CTR1_Local!$L655</f>
        <v/>
      </c>
      <c r="M624" s="261" t="str">
        <f>IF(CTR1_Local!$V655="","",IF(CTR1_Local!$V655="Yes","confirm",""))</f>
        <v/>
      </c>
      <c r="N624" t="str">
        <f>IF(CTR1_Local!$W655="","",CTR1_Local!$W655)</f>
        <v/>
      </c>
    </row>
    <row r="625" spans="1:14" x14ac:dyDescent="0.2">
      <c r="A625" s="287" t="str">
        <f>IF(CTR1_Local!$D656="",CTR1_Local!B656,CTR1_Local!$D656)</f>
        <v/>
      </c>
      <c r="B625" s="26" t="str">
        <f>IF(A625="","",IF(RIGHT(A625,3)="NEW","Add new / another parish",CTR1_Local!$AN656))</f>
        <v/>
      </c>
      <c r="C625" s="26" t="str">
        <f t="shared" si="9"/>
        <v/>
      </c>
      <c r="D625" s="177" t="str">
        <f>IF(A625="","",IF(RIGHT(A625,3)="NEW",CTR1_Local!$E656,IF(CTR1_Local!$AO656="change",CTR1_Local!$E656,"")))</f>
        <v/>
      </c>
      <c r="E625" t="str">
        <f>IF(CTR1_Local!$F656="","",CTR1_Local!$F656)</f>
        <v/>
      </c>
      <c r="F625" s="261" t="str">
        <f>IF(CTR1_Local!$T656="","",IF(CTR1_Local!$T656="Yes","Removed",""))</f>
        <v/>
      </c>
      <c r="G625" t="str">
        <f>IF(CTR1_Local!$N656="","",IF(F625="Removed","",CTR1_Local!$N656))</f>
        <v/>
      </c>
      <c r="H625" t="str">
        <f>IF(CTR1_Local!$P656="","",IF($F625="Removed","",CTR1_Local!$P656))</f>
        <v/>
      </c>
      <c r="I625" t="str">
        <f>IF(CTR1_Local!$R656="","",IF($F625="Removed","",CTR1_Local!$R656))</f>
        <v/>
      </c>
      <c r="J625" s="160" t="str">
        <f>CTR1_Local!$H656</f>
        <v/>
      </c>
      <c r="K625" s="340" t="str">
        <f>CTR1_Local!$J656</f>
        <v/>
      </c>
      <c r="L625" s="350" t="str">
        <f>CTR1_Local!$L656</f>
        <v/>
      </c>
      <c r="M625" s="261" t="str">
        <f>IF(CTR1_Local!$V656="","",IF(CTR1_Local!$V656="Yes","confirm",""))</f>
        <v/>
      </c>
      <c r="N625" t="str">
        <f>IF(CTR1_Local!$W656="","",CTR1_Local!$W656)</f>
        <v/>
      </c>
    </row>
    <row r="626" spans="1:14" x14ac:dyDescent="0.2">
      <c r="A626" s="287" t="str">
        <f>IF(CTR1_Local!$D657="",CTR1_Local!B657,CTR1_Local!$D657)</f>
        <v/>
      </c>
      <c r="B626" s="26" t="str">
        <f>IF(A626="","",IF(RIGHT(A626,3)="NEW","Add new / another parish",CTR1_Local!$AN657))</f>
        <v/>
      </c>
      <c r="C626" s="26" t="str">
        <f t="shared" si="9"/>
        <v/>
      </c>
      <c r="D626" s="177" t="str">
        <f>IF(A626="","",IF(RIGHT(A626,3)="NEW",CTR1_Local!$E657,IF(CTR1_Local!$AO657="change",CTR1_Local!$E657,"")))</f>
        <v/>
      </c>
      <c r="E626" t="str">
        <f>IF(CTR1_Local!$F657="","",CTR1_Local!$F657)</f>
        <v/>
      </c>
      <c r="F626" s="261" t="str">
        <f>IF(CTR1_Local!$T657="","",IF(CTR1_Local!$T657="Yes","Removed",""))</f>
        <v/>
      </c>
      <c r="G626" t="str">
        <f>IF(CTR1_Local!$N657="","",IF(F626="Removed","",CTR1_Local!$N657))</f>
        <v/>
      </c>
      <c r="H626" t="str">
        <f>IF(CTR1_Local!$P657="","",IF($F626="Removed","",CTR1_Local!$P657))</f>
        <v/>
      </c>
      <c r="I626" t="str">
        <f>IF(CTR1_Local!$R657="","",IF($F626="Removed","",CTR1_Local!$R657))</f>
        <v/>
      </c>
      <c r="J626" s="160" t="str">
        <f>CTR1_Local!$H657</f>
        <v/>
      </c>
      <c r="K626" s="340" t="str">
        <f>CTR1_Local!$J657</f>
        <v/>
      </c>
      <c r="L626" s="350" t="str">
        <f>CTR1_Local!$L657</f>
        <v/>
      </c>
      <c r="M626" s="261" t="str">
        <f>IF(CTR1_Local!$V657="","",IF(CTR1_Local!$V657="Yes","confirm",""))</f>
        <v/>
      </c>
      <c r="N626" t="str">
        <f>IF(CTR1_Local!$W657="","",CTR1_Local!$W657)</f>
        <v/>
      </c>
    </row>
    <row r="627" spans="1:14" x14ac:dyDescent="0.2">
      <c r="A627" s="287" t="str">
        <f>IF(CTR1_Local!$D658="",CTR1_Local!B658,CTR1_Local!$D658)</f>
        <v/>
      </c>
      <c r="B627" s="26" t="str">
        <f>IF(A627="","",IF(RIGHT(A627,3)="NEW","Add new / another parish",CTR1_Local!$AN658))</f>
        <v/>
      </c>
      <c r="C627" s="26" t="str">
        <f t="shared" si="9"/>
        <v/>
      </c>
      <c r="D627" s="177" t="str">
        <f>IF(A627="","",IF(RIGHT(A627,3)="NEW",CTR1_Local!$E658,IF(CTR1_Local!$AO658="change",CTR1_Local!$E658,"")))</f>
        <v/>
      </c>
      <c r="E627" t="str">
        <f>IF(CTR1_Local!$F658="","",CTR1_Local!$F658)</f>
        <v/>
      </c>
      <c r="F627" s="261" t="str">
        <f>IF(CTR1_Local!$T658="","",IF(CTR1_Local!$T658="Yes","Removed",""))</f>
        <v/>
      </c>
      <c r="G627" t="str">
        <f>IF(CTR1_Local!$N658="","",IF(F627="Removed","",CTR1_Local!$N658))</f>
        <v/>
      </c>
      <c r="H627" t="str">
        <f>IF(CTR1_Local!$P658="","",IF($F627="Removed","",CTR1_Local!$P658))</f>
        <v/>
      </c>
      <c r="I627" t="str">
        <f>IF(CTR1_Local!$R658="","",IF($F627="Removed","",CTR1_Local!$R658))</f>
        <v/>
      </c>
      <c r="J627" s="160" t="str">
        <f>CTR1_Local!$H658</f>
        <v/>
      </c>
      <c r="K627" s="340" t="str">
        <f>CTR1_Local!$J658</f>
        <v/>
      </c>
      <c r="L627" s="350" t="str">
        <f>CTR1_Local!$L658</f>
        <v/>
      </c>
      <c r="M627" s="261" t="str">
        <f>IF(CTR1_Local!$V658="","",IF(CTR1_Local!$V658="Yes","confirm",""))</f>
        <v/>
      </c>
      <c r="N627" t="str">
        <f>IF(CTR1_Local!$W658="","",CTR1_Local!$W658)</f>
        <v/>
      </c>
    </row>
    <row r="628" spans="1:14" x14ac:dyDescent="0.2">
      <c r="A628" s="287" t="str">
        <f>IF(CTR1_Local!$D659="",CTR1_Local!B659,CTR1_Local!$D659)</f>
        <v/>
      </c>
      <c r="B628" s="26" t="str">
        <f>IF(A628="","",IF(RIGHT(A628,3)="NEW","Add new / another parish",CTR1_Local!$AN659))</f>
        <v/>
      </c>
      <c r="C628" s="26" t="str">
        <f t="shared" si="9"/>
        <v/>
      </c>
      <c r="D628" s="177" t="str">
        <f>IF(A628="","",IF(RIGHT(A628,3)="NEW",CTR1_Local!$E659,IF(CTR1_Local!$AO659="change",CTR1_Local!$E659,"")))</f>
        <v/>
      </c>
      <c r="E628" t="str">
        <f>IF(CTR1_Local!$F659="","",CTR1_Local!$F659)</f>
        <v/>
      </c>
      <c r="F628" s="261" t="str">
        <f>IF(CTR1_Local!$T659="","",IF(CTR1_Local!$T659="Yes","Removed",""))</f>
        <v/>
      </c>
      <c r="G628" t="str">
        <f>IF(CTR1_Local!$N659="","",IF(F628="Removed","",CTR1_Local!$N659))</f>
        <v/>
      </c>
      <c r="H628" t="str">
        <f>IF(CTR1_Local!$P659="","",IF($F628="Removed","",CTR1_Local!$P659))</f>
        <v/>
      </c>
      <c r="I628" t="str">
        <f>IF(CTR1_Local!$R659="","",IF($F628="Removed","",CTR1_Local!$R659))</f>
        <v/>
      </c>
      <c r="J628" s="160" t="str">
        <f>CTR1_Local!$H659</f>
        <v/>
      </c>
      <c r="K628" s="340" t="str">
        <f>CTR1_Local!$J659</f>
        <v/>
      </c>
      <c r="L628" s="350" t="str">
        <f>CTR1_Local!$L659</f>
        <v/>
      </c>
      <c r="M628" s="261" t="str">
        <f>IF(CTR1_Local!$V659="","",IF(CTR1_Local!$V659="Yes","confirm",""))</f>
        <v/>
      </c>
      <c r="N628" t="str">
        <f>IF(CTR1_Local!$W659="","",CTR1_Local!$W659)</f>
        <v/>
      </c>
    </row>
    <row r="629" spans="1:14" x14ac:dyDescent="0.2">
      <c r="A629" s="287" t="str">
        <f>IF(CTR1_Local!$D660="",CTR1_Local!B660,CTR1_Local!$D660)</f>
        <v/>
      </c>
      <c r="B629" s="26" t="str">
        <f>IF(A629="","",IF(RIGHT(A629,3)="NEW","Add new / another parish",CTR1_Local!$AN660))</f>
        <v/>
      </c>
      <c r="C629" s="26" t="str">
        <f t="shared" si="9"/>
        <v/>
      </c>
      <c r="D629" s="177" t="str">
        <f>IF(A629="","",IF(RIGHT(A629,3)="NEW",CTR1_Local!$E660,IF(CTR1_Local!$AO660="change",CTR1_Local!$E660,"")))</f>
        <v/>
      </c>
      <c r="E629" t="str">
        <f>IF(CTR1_Local!$F660="","",CTR1_Local!$F660)</f>
        <v/>
      </c>
      <c r="F629" s="261" t="str">
        <f>IF(CTR1_Local!$T660="","",IF(CTR1_Local!$T660="Yes","Removed",""))</f>
        <v/>
      </c>
      <c r="G629" t="str">
        <f>IF(CTR1_Local!$N660="","",IF(F629="Removed","",CTR1_Local!$N660))</f>
        <v/>
      </c>
      <c r="H629" t="str">
        <f>IF(CTR1_Local!$P660="","",IF($F629="Removed","",CTR1_Local!$P660))</f>
        <v/>
      </c>
      <c r="I629" t="str">
        <f>IF(CTR1_Local!$R660="","",IF($F629="Removed","",CTR1_Local!$R660))</f>
        <v/>
      </c>
      <c r="J629" s="160" t="str">
        <f>CTR1_Local!$H660</f>
        <v/>
      </c>
      <c r="K629" s="340" t="str">
        <f>CTR1_Local!$J660</f>
        <v/>
      </c>
      <c r="L629" s="350" t="str">
        <f>CTR1_Local!$L660</f>
        <v/>
      </c>
      <c r="M629" s="261" t="str">
        <f>IF(CTR1_Local!$V660="","",IF(CTR1_Local!$V660="Yes","confirm",""))</f>
        <v/>
      </c>
      <c r="N629" t="str">
        <f>IF(CTR1_Local!$W660="","",CTR1_Local!$W660)</f>
        <v/>
      </c>
    </row>
    <row r="630" spans="1:14" x14ac:dyDescent="0.2">
      <c r="A630" s="287" t="str">
        <f>IF(CTR1_Local!$D661="",CTR1_Local!B661,CTR1_Local!$D661)</f>
        <v/>
      </c>
      <c r="B630" s="26" t="str">
        <f>IF(A630="","",IF(RIGHT(A630,3)="NEW","Add new / another parish",CTR1_Local!$AN661))</f>
        <v/>
      </c>
      <c r="C630" s="26" t="str">
        <f t="shared" si="9"/>
        <v/>
      </c>
      <c r="D630" s="177" t="str">
        <f>IF(A630="","",IF(RIGHT(A630,3)="NEW",CTR1_Local!$E661,IF(CTR1_Local!$AO661="change",CTR1_Local!$E661,"")))</f>
        <v/>
      </c>
      <c r="E630" t="str">
        <f>IF(CTR1_Local!$F661="","",CTR1_Local!$F661)</f>
        <v/>
      </c>
      <c r="F630" s="261" t="str">
        <f>IF(CTR1_Local!$T661="","",IF(CTR1_Local!$T661="Yes","Removed",""))</f>
        <v/>
      </c>
      <c r="G630" t="str">
        <f>IF(CTR1_Local!$N661="","",IF(F630="Removed","",CTR1_Local!$N661))</f>
        <v/>
      </c>
      <c r="H630" t="str">
        <f>IF(CTR1_Local!$P661="","",IF($F630="Removed","",CTR1_Local!$P661))</f>
        <v/>
      </c>
      <c r="I630" t="str">
        <f>IF(CTR1_Local!$R661="","",IF($F630="Removed","",CTR1_Local!$R661))</f>
        <v/>
      </c>
      <c r="J630" s="160" t="str">
        <f>CTR1_Local!$H661</f>
        <v/>
      </c>
      <c r="K630" s="340" t="str">
        <f>CTR1_Local!$J661</f>
        <v/>
      </c>
      <c r="L630" s="350" t="str">
        <f>CTR1_Local!$L661</f>
        <v/>
      </c>
      <c r="M630" s="261" t="str">
        <f>IF(CTR1_Local!$V661="","",IF(CTR1_Local!$V661="Yes","confirm",""))</f>
        <v/>
      </c>
      <c r="N630" t="str">
        <f>IF(CTR1_Local!$W661="","",CTR1_Local!$W661)</f>
        <v/>
      </c>
    </row>
    <row r="631" spans="1:14" x14ac:dyDescent="0.2">
      <c r="A631" s="287" t="str">
        <f>IF(CTR1_Local!$D662="",CTR1_Local!B662,CTR1_Local!$D662)</f>
        <v/>
      </c>
      <c r="B631" s="26" t="str">
        <f>IF(A631="","",IF(RIGHT(A631,3)="NEW","Add new / another parish",CTR1_Local!$AN662))</f>
        <v/>
      </c>
      <c r="C631" s="26" t="str">
        <f t="shared" si="9"/>
        <v/>
      </c>
      <c r="D631" s="177" t="str">
        <f>IF(A631="","",IF(RIGHT(A631,3)="NEW",CTR1_Local!$E662,IF(CTR1_Local!$AO662="change",CTR1_Local!$E662,"")))</f>
        <v/>
      </c>
      <c r="E631" t="str">
        <f>IF(CTR1_Local!$F662="","",CTR1_Local!$F662)</f>
        <v/>
      </c>
      <c r="F631" s="261" t="str">
        <f>IF(CTR1_Local!$T662="","",IF(CTR1_Local!$T662="Yes","Removed",""))</f>
        <v/>
      </c>
      <c r="G631" t="str">
        <f>IF(CTR1_Local!$N662="","",IF(F631="Removed","",CTR1_Local!$N662))</f>
        <v/>
      </c>
      <c r="H631" t="str">
        <f>IF(CTR1_Local!$P662="","",IF($F631="Removed","",CTR1_Local!$P662))</f>
        <v/>
      </c>
      <c r="I631" t="str">
        <f>IF(CTR1_Local!$R662="","",IF($F631="Removed","",CTR1_Local!$R662))</f>
        <v/>
      </c>
      <c r="J631" s="160" t="str">
        <f>CTR1_Local!$H662</f>
        <v/>
      </c>
      <c r="K631" s="340" t="str">
        <f>CTR1_Local!$J662</f>
        <v/>
      </c>
      <c r="L631" s="350" t="str">
        <f>CTR1_Local!$L662</f>
        <v/>
      </c>
      <c r="M631" s="261" t="str">
        <f>IF(CTR1_Local!$V662="","",IF(CTR1_Local!$V662="Yes","confirm",""))</f>
        <v/>
      </c>
      <c r="N631" t="str">
        <f>IF(CTR1_Local!$W662="","",CTR1_Local!$W662)</f>
        <v/>
      </c>
    </row>
    <row r="632" spans="1:14" x14ac:dyDescent="0.2">
      <c r="A632" s="287" t="str">
        <f>IF(CTR1_Local!$D663="",CTR1_Local!B663,CTR1_Local!$D663)</f>
        <v/>
      </c>
      <c r="B632" s="26" t="str">
        <f>IF(A632="","",IF(RIGHT(A632,3)="NEW","Add new / another parish",CTR1_Local!$AN663))</f>
        <v/>
      </c>
      <c r="C632" s="26" t="str">
        <f t="shared" si="9"/>
        <v/>
      </c>
      <c r="D632" s="177" t="str">
        <f>IF(A632="","",IF(RIGHT(A632,3)="NEW",CTR1_Local!$E663,IF(CTR1_Local!$AO663="change",CTR1_Local!$E663,"")))</f>
        <v/>
      </c>
      <c r="E632" t="str">
        <f>IF(CTR1_Local!$F663="","",CTR1_Local!$F663)</f>
        <v/>
      </c>
      <c r="F632" s="261" t="str">
        <f>IF(CTR1_Local!$T663="","",IF(CTR1_Local!$T663="Yes","Removed",""))</f>
        <v/>
      </c>
      <c r="G632" t="str">
        <f>IF(CTR1_Local!$N663="","",IF(F632="Removed","",CTR1_Local!$N663))</f>
        <v/>
      </c>
      <c r="H632" t="str">
        <f>IF(CTR1_Local!$P663="","",IF($F632="Removed","",CTR1_Local!$P663))</f>
        <v/>
      </c>
      <c r="I632" t="str">
        <f>IF(CTR1_Local!$R663="","",IF($F632="Removed","",CTR1_Local!$R663))</f>
        <v/>
      </c>
      <c r="J632" s="160" t="str">
        <f>CTR1_Local!$H663</f>
        <v/>
      </c>
      <c r="K632" s="340" t="str">
        <f>CTR1_Local!$J663</f>
        <v/>
      </c>
      <c r="L632" s="350" t="str">
        <f>CTR1_Local!$L663</f>
        <v/>
      </c>
      <c r="M632" s="261" t="str">
        <f>IF(CTR1_Local!$V663="","",IF(CTR1_Local!$V663="Yes","confirm",""))</f>
        <v/>
      </c>
      <c r="N632" t="str">
        <f>IF(CTR1_Local!$W663="","",CTR1_Local!$W663)</f>
        <v/>
      </c>
    </row>
    <row r="633" spans="1:14" x14ac:dyDescent="0.2">
      <c r="A633" s="287" t="str">
        <f>IF(CTR1_Local!$D664="",CTR1_Local!B664,CTR1_Local!$D664)</f>
        <v/>
      </c>
      <c r="B633" s="26" t="str">
        <f>IF(A633="","",IF(RIGHT(A633,3)="NEW","Add new / another parish",CTR1_Local!$AN664))</f>
        <v/>
      </c>
      <c r="C633" s="26" t="str">
        <f t="shared" si="9"/>
        <v/>
      </c>
      <c r="D633" s="177" t="str">
        <f>IF(A633="","",IF(RIGHT(A633,3)="NEW",CTR1_Local!$E664,IF(CTR1_Local!$AO664="change",CTR1_Local!$E664,"")))</f>
        <v/>
      </c>
      <c r="E633" t="str">
        <f>IF(CTR1_Local!$F664="","",CTR1_Local!$F664)</f>
        <v/>
      </c>
      <c r="F633" s="261" t="str">
        <f>IF(CTR1_Local!$T664="","",IF(CTR1_Local!$T664="Yes","Removed",""))</f>
        <v/>
      </c>
      <c r="G633" t="str">
        <f>IF(CTR1_Local!$N664="","",IF(F633="Removed","",CTR1_Local!$N664))</f>
        <v/>
      </c>
      <c r="H633" t="str">
        <f>IF(CTR1_Local!$P664="","",IF($F633="Removed","",CTR1_Local!$P664))</f>
        <v/>
      </c>
      <c r="I633" t="str">
        <f>IF(CTR1_Local!$R664="","",IF($F633="Removed","",CTR1_Local!$R664))</f>
        <v/>
      </c>
      <c r="J633" s="160" t="str">
        <f>CTR1_Local!$H664</f>
        <v/>
      </c>
      <c r="K633" s="340" t="str">
        <f>CTR1_Local!$J664</f>
        <v/>
      </c>
      <c r="L633" s="350" t="str">
        <f>CTR1_Local!$L664</f>
        <v/>
      </c>
      <c r="M633" s="261" t="str">
        <f>IF(CTR1_Local!$V664="","",IF(CTR1_Local!$V664="Yes","confirm",""))</f>
        <v/>
      </c>
      <c r="N633" t="str">
        <f>IF(CTR1_Local!$W664="","",CTR1_Local!$W664)</f>
        <v/>
      </c>
    </row>
    <row r="634" spans="1:14" x14ac:dyDescent="0.2">
      <c r="A634" s="287" t="str">
        <f>IF(CTR1_Local!$D665="",CTR1_Local!B665,CTR1_Local!$D665)</f>
        <v/>
      </c>
      <c r="B634" s="26" t="str">
        <f>IF(A634="","",IF(RIGHT(A634,3)="NEW","Add new / another parish",CTR1_Local!$AN665))</f>
        <v/>
      </c>
      <c r="C634" s="26" t="str">
        <f t="shared" si="9"/>
        <v/>
      </c>
      <c r="D634" s="177" t="str">
        <f>IF(A634="","",IF(RIGHT(A634,3)="NEW",CTR1_Local!$E665,IF(CTR1_Local!$AO665="change",CTR1_Local!$E665,"")))</f>
        <v/>
      </c>
      <c r="E634" t="str">
        <f>IF(CTR1_Local!$F665="","",CTR1_Local!$F665)</f>
        <v/>
      </c>
      <c r="F634" s="261" t="str">
        <f>IF(CTR1_Local!$T665="","",IF(CTR1_Local!$T665="Yes","Removed",""))</f>
        <v/>
      </c>
      <c r="G634" t="str">
        <f>IF(CTR1_Local!$N665="","",IF(F634="Removed","",CTR1_Local!$N665))</f>
        <v/>
      </c>
      <c r="H634" t="str">
        <f>IF(CTR1_Local!$P665="","",IF($F634="Removed","",CTR1_Local!$P665))</f>
        <v/>
      </c>
      <c r="I634" t="str">
        <f>IF(CTR1_Local!$R665="","",IF($F634="Removed","",CTR1_Local!$R665))</f>
        <v/>
      </c>
      <c r="J634" s="160" t="str">
        <f>CTR1_Local!$H665</f>
        <v/>
      </c>
      <c r="K634" s="340" t="str">
        <f>CTR1_Local!$J665</f>
        <v/>
      </c>
      <c r="L634" s="350" t="str">
        <f>CTR1_Local!$L665</f>
        <v/>
      </c>
      <c r="M634" s="261" t="str">
        <f>IF(CTR1_Local!$V665="","",IF(CTR1_Local!$V665="Yes","confirm",""))</f>
        <v/>
      </c>
      <c r="N634" t="str">
        <f>IF(CTR1_Local!$W665="","",CTR1_Local!$W665)</f>
        <v/>
      </c>
    </row>
    <row r="635" spans="1:14" x14ac:dyDescent="0.2">
      <c r="A635" s="287" t="str">
        <f>IF(CTR1_Local!$D666="",CTR1_Local!B666,CTR1_Local!$D666)</f>
        <v/>
      </c>
      <c r="B635" s="26" t="str">
        <f>IF(A635="","",IF(RIGHT(A635,3)="NEW","Add new / another parish",CTR1_Local!$AN666))</f>
        <v/>
      </c>
      <c r="C635" s="26" t="str">
        <f t="shared" si="9"/>
        <v/>
      </c>
      <c r="D635" s="177" t="str">
        <f>IF(A635="","",IF(RIGHT(A635,3)="NEW",CTR1_Local!$E666,IF(CTR1_Local!$AO666="change",CTR1_Local!$E666,"")))</f>
        <v/>
      </c>
      <c r="E635" t="str">
        <f>IF(CTR1_Local!$F666="","",CTR1_Local!$F666)</f>
        <v/>
      </c>
      <c r="F635" s="261" t="str">
        <f>IF(CTR1_Local!$T666="","",IF(CTR1_Local!$T666="Yes","Removed",""))</f>
        <v/>
      </c>
      <c r="G635" t="str">
        <f>IF(CTR1_Local!$N666="","",IF(F635="Removed","",CTR1_Local!$N666))</f>
        <v/>
      </c>
      <c r="H635" t="str">
        <f>IF(CTR1_Local!$P666="","",IF($F635="Removed","",CTR1_Local!$P666))</f>
        <v/>
      </c>
      <c r="I635" t="str">
        <f>IF(CTR1_Local!$R666="","",IF($F635="Removed","",CTR1_Local!$R666))</f>
        <v/>
      </c>
      <c r="J635" s="160" t="str">
        <f>CTR1_Local!$H666</f>
        <v/>
      </c>
      <c r="K635" s="340" t="str">
        <f>CTR1_Local!$J666</f>
        <v/>
      </c>
      <c r="L635" s="350" t="str">
        <f>CTR1_Local!$L666</f>
        <v/>
      </c>
      <c r="M635" s="261" t="str">
        <f>IF(CTR1_Local!$V666="","",IF(CTR1_Local!$V666="Yes","confirm",""))</f>
        <v/>
      </c>
      <c r="N635" t="str">
        <f>IF(CTR1_Local!$W666="","",CTR1_Local!$W666)</f>
        <v/>
      </c>
    </row>
    <row r="636" spans="1:14" x14ac:dyDescent="0.2">
      <c r="A636" s="287" t="str">
        <f>IF(CTR1_Local!$D667="",CTR1_Local!B667,CTR1_Local!$D667)</f>
        <v/>
      </c>
      <c r="B636" s="26" t="str">
        <f>IF(A636="","",IF(RIGHT(A636,3)="NEW","Add new / another parish",CTR1_Local!$AN667))</f>
        <v/>
      </c>
      <c r="C636" s="26" t="str">
        <f t="shared" si="9"/>
        <v/>
      </c>
      <c r="D636" s="177" t="str">
        <f>IF(A636="","",IF(RIGHT(A636,3)="NEW",CTR1_Local!$E667,IF(CTR1_Local!$AO667="change",CTR1_Local!$E667,"")))</f>
        <v/>
      </c>
      <c r="E636" t="str">
        <f>IF(CTR1_Local!$F667="","",CTR1_Local!$F667)</f>
        <v/>
      </c>
      <c r="F636" s="261" t="str">
        <f>IF(CTR1_Local!$T667="","",IF(CTR1_Local!$T667="Yes","Removed",""))</f>
        <v/>
      </c>
      <c r="G636" t="str">
        <f>IF(CTR1_Local!$N667="","",IF(F636="Removed","",CTR1_Local!$N667))</f>
        <v/>
      </c>
      <c r="H636" t="str">
        <f>IF(CTR1_Local!$P667="","",IF($F636="Removed","",CTR1_Local!$P667))</f>
        <v/>
      </c>
      <c r="I636" t="str">
        <f>IF(CTR1_Local!$R667="","",IF($F636="Removed","",CTR1_Local!$R667))</f>
        <v/>
      </c>
      <c r="J636" s="160" t="str">
        <f>CTR1_Local!$H667</f>
        <v/>
      </c>
      <c r="K636" s="340" t="str">
        <f>CTR1_Local!$J667</f>
        <v/>
      </c>
      <c r="L636" s="350" t="str">
        <f>CTR1_Local!$L667</f>
        <v/>
      </c>
      <c r="M636" s="261" t="str">
        <f>IF(CTR1_Local!$V667="","",IF(CTR1_Local!$V667="Yes","confirm",""))</f>
        <v/>
      </c>
      <c r="N636" t="str">
        <f>IF(CTR1_Local!$W667="","",CTR1_Local!$W667)</f>
        <v/>
      </c>
    </row>
    <row r="637" spans="1:14" x14ac:dyDescent="0.2">
      <c r="A637" s="287" t="str">
        <f>IF(CTR1_Local!$D668="",CTR1_Local!B668,CTR1_Local!$D668)</f>
        <v/>
      </c>
      <c r="B637" s="26" t="str">
        <f>IF(A637="","",IF(RIGHT(A637,3)="NEW","Add new / another parish",CTR1_Local!$AN668))</f>
        <v/>
      </c>
      <c r="C637" s="26" t="str">
        <f t="shared" si="9"/>
        <v/>
      </c>
      <c r="D637" s="177" t="str">
        <f>IF(A637="","",IF(RIGHT(A637,3)="NEW",CTR1_Local!$E668,IF(CTR1_Local!$AO668="change",CTR1_Local!$E668,"")))</f>
        <v/>
      </c>
      <c r="E637" t="str">
        <f>IF(CTR1_Local!$F668="","",CTR1_Local!$F668)</f>
        <v/>
      </c>
      <c r="F637" s="261" t="str">
        <f>IF(CTR1_Local!$T668="","",IF(CTR1_Local!$T668="Yes","Removed",""))</f>
        <v/>
      </c>
      <c r="G637" t="str">
        <f>IF(CTR1_Local!$N668="","",IF(F637="Removed","",CTR1_Local!$N668))</f>
        <v/>
      </c>
      <c r="H637" t="str">
        <f>IF(CTR1_Local!$P668="","",IF($F637="Removed","",CTR1_Local!$P668))</f>
        <v/>
      </c>
      <c r="I637" t="str">
        <f>IF(CTR1_Local!$R668="","",IF($F637="Removed","",CTR1_Local!$R668))</f>
        <v/>
      </c>
      <c r="J637" s="160" t="str">
        <f>CTR1_Local!$H668</f>
        <v/>
      </c>
      <c r="K637" s="340" t="str">
        <f>CTR1_Local!$J668</f>
        <v/>
      </c>
      <c r="L637" s="350" t="str">
        <f>CTR1_Local!$L668</f>
        <v/>
      </c>
      <c r="M637" s="261" t="str">
        <f>IF(CTR1_Local!$V668="","",IF(CTR1_Local!$V668="Yes","confirm",""))</f>
        <v/>
      </c>
      <c r="N637" t="str">
        <f>IF(CTR1_Local!$W668="","",CTR1_Local!$W668)</f>
        <v/>
      </c>
    </row>
    <row r="638" spans="1:14" x14ac:dyDescent="0.2">
      <c r="A638" s="287" t="str">
        <f>IF(CTR1_Local!$D669="",CTR1_Local!B669,CTR1_Local!$D669)</f>
        <v/>
      </c>
      <c r="B638" s="26" t="str">
        <f>IF(A638="","",IF(RIGHT(A638,3)="NEW","Add new / another parish",CTR1_Local!$AN669))</f>
        <v/>
      </c>
      <c r="C638" s="26" t="str">
        <f t="shared" si="9"/>
        <v/>
      </c>
      <c r="D638" s="177" t="str">
        <f>IF(A638="","",IF(RIGHT(A638,3)="NEW",CTR1_Local!$E669,IF(CTR1_Local!$AO669="change",CTR1_Local!$E669,"")))</f>
        <v/>
      </c>
      <c r="E638" t="str">
        <f>IF(CTR1_Local!$F669="","",CTR1_Local!$F669)</f>
        <v/>
      </c>
      <c r="F638" s="261" t="str">
        <f>IF(CTR1_Local!$T669="","",IF(CTR1_Local!$T669="Yes","Removed",""))</f>
        <v/>
      </c>
      <c r="G638" t="str">
        <f>IF(CTR1_Local!$N669="","",IF(F638="Removed","",CTR1_Local!$N669))</f>
        <v/>
      </c>
      <c r="H638" t="str">
        <f>IF(CTR1_Local!$P669="","",IF($F638="Removed","",CTR1_Local!$P669))</f>
        <v/>
      </c>
      <c r="I638" t="str">
        <f>IF(CTR1_Local!$R669="","",IF($F638="Removed","",CTR1_Local!$R669))</f>
        <v/>
      </c>
      <c r="J638" s="160" t="str">
        <f>CTR1_Local!$H669</f>
        <v/>
      </c>
      <c r="K638" s="340" t="str">
        <f>CTR1_Local!$J669</f>
        <v/>
      </c>
      <c r="L638" s="350" t="str">
        <f>CTR1_Local!$L669</f>
        <v/>
      </c>
      <c r="M638" s="261" t="str">
        <f>IF(CTR1_Local!$V669="","",IF(CTR1_Local!$V669="Yes","confirm",""))</f>
        <v/>
      </c>
      <c r="N638" t="str">
        <f>IF(CTR1_Local!$W669="","",CTR1_Local!$W669)</f>
        <v/>
      </c>
    </row>
    <row r="639" spans="1:14" x14ac:dyDescent="0.2">
      <c r="A639" s="287" t="str">
        <f>IF(CTR1_Local!$D670="",CTR1_Local!B670,CTR1_Local!$D670)</f>
        <v/>
      </c>
      <c r="B639" s="26" t="str">
        <f>IF(A639="","",IF(RIGHT(A639,3)="NEW","Add new / another parish",CTR1_Local!$AN670))</f>
        <v/>
      </c>
      <c r="C639" s="26" t="str">
        <f t="shared" si="9"/>
        <v/>
      </c>
      <c r="D639" s="177" t="str">
        <f>IF(A639="","",IF(RIGHT(A639,3)="NEW",CTR1_Local!$E670,IF(CTR1_Local!$AO670="change",CTR1_Local!$E670,"")))</f>
        <v/>
      </c>
      <c r="E639" t="str">
        <f>IF(CTR1_Local!$F670="","",CTR1_Local!$F670)</f>
        <v/>
      </c>
      <c r="F639" s="261" t="str">
        <f>IF(CTR1_Local!$T670="","",IF(CTR1_Local!$T670="Yes","Removed",""))</f>
        <v/>
      </c>
      <c r="G639" t="str">
        <f>IF(CTR1_Local!$N670="","",IF(F639="Removed","",CTR1_Local!$N670))</f>
        <v/>
      </c>
      <c r="H639" t="str">
        <f>IF(CTR1_Local!$P670="","",IF($F639="Removed","",CTR1_Local!$P670))</f>
        <v/>
      </c>
      <c r="I639" t="str">
        <f>IF(CTR1_Local!$R670="","",IF($F639="Removed","",CTR1_Local!$R670))</f>
        <v/>
      </c>
      <c r="J639" s="160" t="str">
        <f>CTR1_Local!$H670</f>
        <v/>
      </c>
      <c r="K639" s="340" t="str">
        <f>CTR1_Local!$J670</f>
        <v/>
      </c>
      <c r="L639" s="350" t="str">
        <f>CTR1_Local!$L670</f>
        <v/>
      </c>
      <c r="M639" s="261" t="str">
        <f>IF(CTR1_Local!$V670="","",IF(CTR1_Local!$V670="Yes","confirm",""))</f>
        <v/>
      </c>
      <c r="N639" t="str">
        <f>IF(CTR1_Local!$W670="","",CTR1_Local!$W670)</f>
        <v/>
      </c>
    </row>
    <row r="640" spans="1:14" x14ac:dyDescent="0.2">
      <c r="A640" s="287" t="str">
        <f>IF(CTR1_Local!$D671="",CTR1_Local!B671,CTR1_Local!$D671)</f>
        <v/>
      </c>
      <c r="B640" s="26" t="str">
        <f>IF(A640="","",IF(RIGHT(A640,3)="NEW","Add new / another parish",CTR1_Local!$AN671))</f>
        <v/>
      </c>
      <c r="C640" s="26" t="str">
        <f t="shared" si="9"/>
        <v/>
      </c>
      <c r="D640" s="177" t="str">
        <f>IF(A640="","",IF(RIGHT(A640,3)="NEW",CTR1_Local!$E671,IF(CTR1_Local!$AO671="change",CTR1_Local!$E671,"")))</f>
        <v/>
      </c>
      <c r="E640" t="str">
        <f>IF(CTR1_Local!$F671="","",CTR1_Local!$F671)</f>
        <v/>
      </c>
      <c r="F640" s="261" t="str">
        <f>IF(CTR1_Local!$T671="","",IF(CTR1_Local!$T671="Yes","Removed",""))</f>
        <v/>
      </c>
      <c r="G640" t="str">
        <f>IF(CTR1_Local!$N671="","",IF(F640="Removed","",CTR1_Local!$N671))</f>
        <v/>
      </c>
      <c r="H640" t="str">
        <f>IF(CTR1_Local!$P671="","",IF($F640="Removed","",CTR1_Local!$P671))</f>
        <v/>
      </c>
      <c r="I640" t="str">
        <f>IF(CTR1_Local!$R671="","",IF($F640="Removed","",CTR1_Local!$R671))</f>
        <v/>
      </c>
      <c r="J640" s="160" t="str">
        <f>CTR1_Local!$H671</f>
        <v/>
      </c>
      <c r="K640" s="340" t="str">
        <f>CTR1_Local!$J671</f>
        <v/>
      </c>
      <c r="L640" s="350" t="str">
        <f>CTR1_Local!$L671</f>
        <v/>
      </c>
      <c r="M640" s="261" t="str">
        <f>IF(CTR1_Local!$V671="","",IF(CTR1_Local!$V671="Yes","confirm",""))</f>
        <v/>
      </c>
      <c r="N640" t="str">
        <f>IF(CTR1_Local!$W671="","",CTR1_Local!$W671)</f>
        <v/>
      </c>
    </row>
    <row r="641" spans="1:14" x14ac:dyDescent="0.2">
      <c r="A641" s="287" t="str">
        <f>IF(CTR1_Local!$D672="",CTR1_Local!B672,CTR1_Local!$D672)</f>
        <v/>
      </c>
      <c r="B641" s="26" t="str">
        <f>IF(A641="","",IF(RIGHT(A641,3)="NEW","Add new / another parish",CTR1_Local!$AN672))</f>
        <v/>
      </c>
      <c r="C641" s="26" t="str">
        <f t="shared" si="9"/>
        <v/>
      </c>
      <c r="D641" s="177" t="str">
        <f>IF(A641="","",IF(RIGHT(A641,3)="NEW",CTR1_Local!$E672,IF(CTR1_Local!$AO672="change",CTR1_Local!$E672,"")))</f>
        <v/>
      </c>
      <c r="E641" t="str">
        <f>IF(CTR1_Local!$F672="","",CTR1_Local!$F672)</f>
        <v/>
      </c>
      <c r="F641" s="261" t="str">
        <f>IF(CTR1_Local!$T672="","",IF(CTR1_Local!$T672="Yes","Removed",""))</f>
        <v/>
      </c>
      <c r="G641" t="str">
        <f>IF(CTR1_Local!$N672="","",IF(F641="Removed","",CTR1_Local!$N672))</f>
        <v/>
      </c>
      <c r="H641" t="str">
        <f>IF(CTR1_Local!$P672="","",IF($F641="Removed","",CTR1_Local!$P672))</f>
        <v/>
      </c>
      <c r="I641" t="str">
        <f>IF(CTR1_Local!$R672="","",IF($F641="Removed","",CTR1_Local!$R672))</f>
        <v/>
      </c>
      <c r="J641" s="160" t="str">
        <f>CTR1_Local!$H672</f>
        <v/>
      </c>
      <c r="K641" s="340" t="str">
        <f>CTR1_Local!$J672</f>
        <v/>
      </c>
      <c r="L641" s="350" t="str">
        <f>CTR1_Local!$L672</f>
        <v/>
      </c>
      <c r="M641" s="261" t="str">
        <f>IF(CTR1_Local!$V672="","",IF(CTR1_Local!$V672="Yes","confirm",""))</f>
        <v/>
      </c>
      <c r="N641" t="str">
        <f>IF(CTR1_Local!$W672="","",CTR1_Local!$W672)</f>
        <v/>
      </c>
    </row>
    <row r="642" spans="1:14" x14ac:dyDescent="0.2">
      <c r="A642" s="287" t="str">
        <f>IF(CTR1_Local!$D673="",CTR1_Local!B673,CTR1_Local!$D673)</f>
        <v/>
      </c>
      <c r="B642" s="26" t="str">
        <f>IF(A642="","",IF(RIGHT(A642,3)="NEW","Add new / another parish",CTR1_Local!$AN673))</f>
        <v/>
      </c>
      <c r="C642" s="26" t="str">
        <f t="shared" si="9"/>
        <v/>
      </c>
      <c r="D642" s="177" t="str">
        <f>IF(A642="","",IF(RIGHT(A642,3)="NEW",CTR1_Local!$E673,IF(CTR1_Local!$AO673="change",CTR1_Local!$E673,"")))</f>
        <v/>
      </c>
      <c r="E642" t="str">
        <f>IF(CTR1_Local!$F673="","",CTR1_Local!$F673)</f>
        <v/>
      </c>
      <c r="F642" s="261" t="str">
        <f>IF(CTR1_Local!$T673="","",IF(CTR1_Local!$T673="Yes","Removed",""))</f>
        <v/>
      </c>
      <c r="G642" t="str">
        <f>IF(CTR1_Local!$N673="","",IF(F642="Removed","",CTR1_Local!$N673))</f>
        <v/>
      </c>
      <c r="H642" t="str">
        <f>IF(CTR1_Local!$P673="","",IF($F642="Removed","",CTR1_Local!$P673))</f>
        <v/>
      </c>
      <c r="I642" t="str">
        <f>IF(CTR1_Local!$R673="","",IF($F642="Removed","",CTR1_Local!$R673))</f>
        <v/>
      </c>
      <c r="J642" s="160" t="str">
        <f>CTR1_Local!$H673</f>
        <v/>
      </c>
      <c r="K642" s="340" t="str">
        <f>CTR1_Local!$J673</f>
        <v/>
      </c>
      <c r="L642" s="350" t="str">
        <f>CTR1_Local!$L673</f>
        <v/>
      </c>
      <c r="M642" s="261" t="str">
        <f>IF(CTR1_Local!$V673="","",IF(CTR1_Local!$V673="Yes","confirm",""))</f>
        <v/>
      </c>
      <c r="N642" t="str">
        <f>IF(CTR1_Local!$W673="","",CTR1_Local!$W673)</f>
        <v/>
      </c>
    </row>
    <row r="643" spans="1:14" x14ac:dyDescent="0.2">
      <c r="A643" s="287" t="str">
        <f>IF(CTR1_Local!$D674="",CTR1_Local!B674,CTR1_Local!$D674)</f>
        <v/>
      </c>
      <c r="B643" s="26" t="str">
        <f>IF(A643="","",IF(RIGHT(A643,3)="NEW","Add new / another parish",CTR1_Local!$AN674))</f>
        <v/>
      </c>
      <c r="C643" s="26" t="str">
        <f t="shared" ref="C643:C676" si="10">IF(OR(B643="",D643=""),"",IF(AND(B643&lt;&gt;"",D643&lt;&gt;"",B643&lt;&gt;"Add new / another parish"),"yes",""))</f>
        <v/>
      </c>
      <c r="D643" s="177" t="str">
        <f>IF(A643="","",IF(RIGHT(A643,3)="NEW",CTR1_Local!$E674,IF(CTR1_Local!$AO674="change",CTR1_Local!$E674,"")))</f>
        <v/>
      </c>
      <c r="E643" t="str">
        <f>IF(CTR1_Local!$F674="","",CTR1_Local!$F674)</f>
        <v/>
      </c>
      <c r="F643" s="261" t="str">
        <f>IF(CTR1_Local!$T674="","",IF(CTR1_Local!$T674="Yes","Removed",""))</f>
        <v/>
      </c>
      <c r="G643" t="str">
        <f>IF(CTR1_Local!$N674="","",IF(F643="Removed","",CTR1_Local!$N674))</f>
        <v/>
      </c>
      <c r="H643" t="str">
        <f>IF(CTR1_Local!$P674="","",IF($F643="Removed","",CTR1_Local!$P674))</f>
        <v/>
      </c>
      <c r="I643" t="str">
        <f>IF(CTR1_Local!$R674="","",IF($F643="Removed","",CTR1_Local!$R674))</f>
        <v/>
      </c>
      <c r="J643" s="160" t="str">
        <f>CTR1_Local!$H674</f>
        <v/>
      </c>
      <c r="K643" s="340" t="str">
        <f>CTR1_Local!$J674</f>
        <v/>
      </c>
      <c r="L643" s="350" t="str">
        <f>CTR1_Local!$L674</f>
        <v/>
      </c>
      <c r="M643" s="261" t="str">
        <f>IF(CTR1_Local!$V674="","",IF(CTR1_Local!$V674="Yes","confirm",""))</f>
        <v/>
      </c>
      <c r="N643" t="str">
        <f>IF(CTR1_Local!$W674="","",CTR1_Local!$W674)</f>
        <v/>
      </c>
    </row>
    <row r="644" spans="1:14" x14ac:dyDescent="0.2">
      <c r="A644" s="287" t="str">
        <f>IF(CTR1_Local!$D675="",CTR1_Local!B675,CTR1_Local!$D675)</f>
        <v/>
      </c>
      <c r="B644" s="26" t="str">
        <f>IF(A644="","",IF(RIGHT(A644,3)="NEW","Add new / another parish",CTR1_Local!$AN675))</f>
        <v/>
      </c>
      <c r="C644" s="26" t="str">
        <f t="shared" si="10"/>
        <v/>
      </c>
      <c r="D644" s="177" t="str">
        <f>IF(A644="","",IF(RIGHT(A644,3)="NEW",CTR1_Local!$E675,IF(CTR1_Local!$AO675="change",CTR1_Local!$E675,"")))</f>
        <v/>
      </c>
      <c r="E644" t="str">
        <f>IF(CTR1_Local!$F675="","",CTR1_Local!$F675)</f>
        <v/>
      </c>
      <c r="F644" s="261" t="str">
        <f>IF(CTR1_Local!$T675="","",IF(CTR1_Local!$T675="Yes","Removed",""))</f>
        <v/>
      </c>
      <c r="G644" t="str">
        <f>IF(CTR1_Local!$N675="","",IF(F644="Removed","",CTR1_Local!$N675))</f>
        <v/>
      </c>
      <c r="H644" t="str">
        <f>IF(CTR1_Local!$P675="","",IF($F644="Removed","",CTR1_Local!$P675))</f>
        <v/>
      </c>
      <c r="I644" t="str">
        <f>IF(CTR1_Local!$R675="","",IF($F644="Removed","",CTR1_Local!$R675))</f>
        <v/>
      </c>
      <c r="J644" s="160" t="str">
        <f>CTR1_Local!$H675</f>
        <v/>
      </c>
      <c r="K644" s="340" t="str">
        <f>CTR1_Local!$J675</f>
        <v/>
      </c>
      <c r="L644" s="350" t="str">
        <f>CTR1_Local!$L675</f>
        <v/>
      </c>
      <c r="M644" s="261" t="str">
        <f>IF(CTR1_Local!$V675="","",IF(CTR1_Local!$V675="Yes","confirm",""))</f>
        <v/>
      </c>
      <c r="N644" t="str">
        <f>IF(CTR1_Local!$W675="","",CTR1_Local!$W675)</f>
        <v/>
      </c>
    </row>
    <row r="645" spans="1:14" x14ac:dyDescent="0.2">
      <c r="A645" s="287" t="str">
        <f>IF(CTR1_Local!$D676="",CTR1_Local!B676,CTR1_Local!$D676)</f>
        <v/>
      </c>
      <c r="B645" s="26" t="str">
        <f>IF(A645="","",IF(RIGHT(A645,3)="NEW","Add new / another parish",CTR1_Local!$AN676))</f>
        <v/>
      </c>
      <c r="C645" s="26" t="str">
        <f t="shared" si="10"/>
        <v/>
      </c>
      <c r="D645" s="177" t="str">
        <f>IF(A645="","",IF(RIGHT(A645,3)="NEW",CTR1_Local!$E676,IF(CTR1_Local!$AO676="change",CTR1_Local!$E676,"")))</f>
        <v/>
      </c>
      <c r="E645" t="str">
        <f>IF(CTR1_Local!$F676="","",CTR1_Local!$F676)</f>
        <v/>
      </c>
      <c r="F645" s="261" t="str">
        <f>IF(CTR1_Local!$T676="","",IF(CTR1_Local!$T676="Yes","Removed",""))</f>
        <v/>
      </c>
      <c r="G645" t="str">
        <f>IF(CTR1_Local!$N676="","",IF(F645="Removed","",CTR1_Local!$N676))</f>
        <v/>
      </c>
      <c r="H645" t="str">
        <f>IF(CTR1_Local!$P676="","",IF($F645="Removed","",CTR1_Local!$P676))</f>
        <v/>
      </c>
      <c r="I645" t="str">
        <f>IF(CTR1_Local!$R676="","",IF($F645="Removed","",CTR1_Local!$R676))</f>
        <v/>
      </c>
      <c r="J645" s="160" t="str">
        <f>CTR1_Local!$H676</f>
        <v/>
      </c>
      <c r="K645" s="340" t="str">
        <f>CTR1_Local!$J676</f>
        <v/>
      </c>
      <c r="L645" s="350" t="str">
        <f>CTR1_Local!$L676</f>
        <v/>
      </c>
      <c r="M645" s="261" t="str">
        <f>IF(CTR1_Local!$V676="","",IF(CTR1_Local!$V676="Yes","confirm",""))</f>
        <v/>
      </c>
      <c r="N645" t="str">
        <f>IF(CTR1_Local!$W676="","",CTR1_Local!$W676)</f>
        <v/>
      </c>
    </row>
    <row r="646" spans="1:14" x14ac:dyDescent="0.2">
      <c r="A646" s="287" t="str">
        <f>IF(CTR1_Local!$D677="",CTR1_Local!B677,CTR1_Local!$D677)</f>
        <v/>
      </c>
      <c r="B646" s="26" t="str">
        <f>IF(A646="","",IF(RIGHT(A646,3)="NEW","Add new / another parish",CTR1_Local!$AN677))</f>
        <v/>
      </c>
      <c r="C646" s="26" t="str">
        <f t="shared" si="10"/>
        <v/>
      </c>
      <c r="D646" s="177" t="str">
        <f>IF(A646="","",IF(RIGHT(A646,3)="NEW",CTR1_Local!$E677,IF(CTR1_Local!$AO677="change",CTR1_Local!$E677,"")))</f>
        <v/>
      </c>
      <c r="E646" t="str">
        <f>IF(CTR1_Local!$F677="","",CTR1_Local!$F677)</f>
        <v/>
      </c>
      <c r="F646" s="261" t="str">
        <f>IF(CTR1_Local!$T677="","",IF(CTR1_Local!$T677="Yes","Removed",""))</f>
        <v/>
      </c>
      <c r="G646" t="str">
        <f>IF(CTR1_Local!$N677="","",IF(F646="Removed","",CTR1_Local!$N677))</f>
        <v/>
      </c>
      <c r="H646" t="str">
        <f>IF(CTR1_Local!$P677="","",IF($F646="Removed","",CTR1_Local!$P677))</f>
        <v/>
      </c>
      <c r="I646" t="str">
        <f>IF(CTR1_Local!$R677="","",IF($F646="Removed","",CTR1_Local!$R677))</f>
        <v/>
      </c>
      <c r="J646" s="160" t="str">
        <f>CTR1_Local!$H677</f>
        <v/>
      </c>
      <c r="K646" s="340" t="str">
        <f>CTR1_Local!$J677</f>
        <v/>
      </c>
      <c r="L646" s="350" t="str">
        <f>CTR1_Local!$L677</f>
        <v/>
      </c>
      <c r="M646" s="261" t="str">
        <f>IF(CTR1_Local!$V677="","",IF(CTR1_Local!$V677="Yes","confirm",""))</f>
        <v/>
      </c>
      <c r="N646" t="str">
        <f>IF(CTR1_Local!$W677="","",CTR1_Local!$W677)</f>
        <v/>
      </c>
    </row>
    <row r="647" spans="1:14" x14ac:dyDescent="0.2">
      <c r="A647" s="287" t="str">
        <f>IF(CTR1_Local!$D678="",CTR1_Local!B678,CTR1_Local!$D678)</f>
        <v/>
      </c>
      <c r="B647" s="26" t="str">
        <f>IF(A647="","",IF(RIGHT(A647,3)="NEW","Add new / another parish",CTR1_Local!$AN678))</f>
        <v/>
      </c>
      <c r="C647" s="26" t="str">
        <f t="shared" si="10"/>
        <v/>
      </c>
      <c r="D647" s="177" t="str">
        <f>IF(A647="","",IF(RIGHT(A647,3)="NEW",CTR1_Local!$E678,IF(CTR1_Local!$AO678="change",CTR1_Local!$E678,"")))</f>
        <v/>
      </c>
      <c r="E647" t="str">
        <f>IF(CTR1_Local!$F678="","",CTR1_Local!$F678)</f>
        <v/>
      </c>
      <c r="F647" s="261" t="str">
        <f>IF(CTR1_Local!$T678="","",IF(CTR1_Local!$T678="Yes","Removed",""))</f>
        <v/>
      </c>
      <c r="G647" t="str">
        <f>IF(CTR1_Local!$N678="","",IF(F647="Removed","",CTR1_Local!$N678))</f>
        <v/>
      </c>
      <c r="H647" t="str">
        <f>IF(CTR1_Local!$P678="","",IF($F647="Removed","",CTR1_Local!$P678))</f>
        <v/>
      </c>
      <c r="I647" t="str">
        <f>IF(CTR1_Local!$R678="","",IF($F647="Removed","",CTR1_Local!$R678))</f>
        <v/>
      </c>
      <c r="J647" s="160" t="str">
        <f>CTR1_Local!$H678</f>
        <v/>
      </c>
      <c r="K647" s="340" t="str">
        <f>CTR1_Local!$J678</f>
        <v/>
      </c>
      <c r="L647" s="350" t="str">
        <f>CTR1_Local!$L678</f>
        <v/>
      </c>
      <c r="M647" s="261" t="str">
        <f>IF(CTR1_Local!$V678="","",IF(CTR1_Local!$V678="Yes","confirm",""))</f>
        <v/>
      </c>
      <c r="N647" t="str">
        <f>IF(CTR1_Local!$W678="","",CTR1_Local!$W678)</f>
        <v/>
      </c>
    </row>
    <row r="648" spans="1:14" x14ac:dyDescent="0.2">
      <c r="A648" s="287" t="str">
        <f>IF(CTR1_Local!$D679="",CTR1_Local!B679,CTR1_Local!$D679)</f>
        <v/>
      </c>
      <c r="B648" s="26" t="str">
        <f>IF(A648="","",IF(RIGHT(A648,3)="NEW","Add new / another parish",CTR1_Local!$AN679))</f>
        <v/>
      </c>
      <c r="C648" s="26" t="str">
        <f t="shared" si="10"/>
        <v/>
      </c>
      <c r="D648" s="177" t="str">
        <f>IF(A648="","",IF(RIGHT(A648,3)="NEW",CTR1_Local!$E679,IF(CTR1_Local!$AO679="change",CTR1_Local!$E679,"")))</f>
        <v/>
      </c>
      <c r="E648" t="str">
        <f>IF(CTR1_Local!$F679="","",CTR1_Local!$F679)</f>
        <v/>
      </c>
      <c r="F648" s="261" t="str">
        <f>IF(CTR1_Local!$T679="","",IF(CTR1_Local!$T679="Yes","Removed",""))</f>
        <v/>
      </c>
      <c r="G648" t="str">
        <f>IF(CTR1_Local!$N679="","",IF(F648="Removed","",CTR1_Local!$N679))</f>
        <v/>
      </c>
      <c r="H648" t="str">
        <f>IF(CTR1_Local!$P679="","",IF($F648="Removed","",CTR1_Local!$P679))</f>
        <v/>
      </c>
      <c r="I648" t="str">
        <f>IF(CTR1_Local!$R679="","",IF($F648="Removed","",CTR1_Local!$R679))</f>
        <v/>
      </c>
      <c r="J648" s="160" t="str">
        <f>CTR1_Local!$H679</f>
        <v/>
      </c>
      <c r="K648" s="340" t="str">
        <f>CTR1_Local!$J679</f>
        <v/>
      </c>
      <c r="L648" s="350" t="str">
        <f>CTR1_Local!$L679</f>
        <v/>
      </c>
      <c r="M648" s="261" t="str">
        <f>IF(CTR1_Local!$V679="","",IF(CTR1_Local!$V679="Yes","confirm",""))</f>
        <v/>
      </c>
      <c r="N648" t="str">
        <f>IF(CTR1_Local!$W679="","",CTR1_Local!$W679)</f>
        <v/>
      </c>
    </row>
    <row r="649" spans="1:14" x14ac:dyDescent="0.2">
      <c r="A649" s="287" t="str">
        <f>IF(CTR1_Local!$D680="",CTR1_Local!B680,CTR1_Local!$D680)</f>
        <v/>
      </c>
      <c r="B649" s="26" t="str">
        <f>IF(A649="","",IF(RIGHT(A649,3)="NEW","Add new / another parish",CTR1_Local!$AN680))</f>
        <v/>
      </c>
      <c r="C649" s="26" t="str">
        <f t="shared" si="10"/>
        <v/>
      </c>
      <c r="D649" s="177" t="str">
        <f>IF(A649="","",IF(RIGHT(A649,3)="NEW",CTR1_Local!$E680,IF(CTR1_Local!$AO680="change",CTR1_Local!$E680,"")))</f>
        <v/>
      </c>
      <c r="E649" t="str">
        <f>IF(CTR1_Local!$F680="","",CTR1_Local!$F680)</f>
        <v/>
      </c>
      <c r="F649" s="261" t="str">
        <f>IF(CTR1_Local!$T680="","",IF(CTR1_Local!$T680="Yes","Removed",""))</f>
        <v/>
      </c>
      <c r="G649" t="str">
        <f>IF(CTR1_Local!$N680="","",IF(F649="Removed","",CTR1_Local!$N680))</f>
        <v/>
      </c>
      <c r="H649" t="str">
        <f>IF(CTR1_Local!$P680="","",IF($F649="Removed","",CTR1_Local!$P680))</f>
        <v/>
      </c>
      <c r="I649" t="str">
        <f>IF(CTR1_Local!$R680="","",IF($F649="Removed","",CTR1_Local!$R680))</f>
        <v/>
      </c>
      <c r="J649" s="160" t="str">
        <f>CTR1_Local!$H680</f>
        <v/>
      </c>
      <c r="K649" s="340" t="str">
        <f>CTR1_Local!$J680</f>
        <v/>
      </c>
      <c r="L649" s="350" t="str">
        <f>CTR1_Local!$L680</f>
        <v/>
      </c>
      <c r="M649" s="261" t="str">
        <f>IF(CTR1_Local!$V680="","",IF(CTR1_Local!$V680="Yes","confirm",""))</f>
        <v/>
      </c>
      <c r="N649" t="str">
        <f>IF(CTR1_Local!$W680="","",CTR1_Local!$W680)</f>
        <v/>
      </c>
    </row>
    <row r="650" spans="1:14" x14ac:dyDescent="0.2">
      <c r="A650" s="287" t="str">
        <f>IF(CTR1_Local!$D681="",CTR1_Local!B681,CTR1_Local!$D681)</f>
        <v/>
      </c>
      <c r="B650" s="26" t="str">
        <f>IF(A650="","",IF(RIGHT(A650,3)="NEW","Add new / another parish",CTR1_Local!$AN681))</f>
        <v/>
      </c>
      <c r="C650" s="26" t="str">
        <f t="shared" si="10"/>
        <v/>
      </c>
      <c r="D650" s="177" t="str">
        <f>IF(A650="","",IF(RIGHT(A650,3)="NEW",CTR1_Local!$E681,IF(CTR1_Local!$AO681="change",CTR1_Local!$E681,"")))</f>
        <v/>
      </c>
      <c r="E650" t="str">
        <f>IF(CTR1_Local!$F681="","",CTR1_Local!$F681)</f>
        <v/>
      </c>
      <c r="F650" s="261" t="str">
        <f>IF(CTR1_Local!$T681="","",IF(CTR1_Local!$T681="Yes","Removed",""))</f>
        <v/>
      </c>
      <c r="G650" t="str">
        <f>IF(CTR1_Local!$N681="","",IF(F650="Removed","",CTR1_Local!$N681))</f>
        <v/>
      </c>
      <c r="H650" t="str">
        <f>IF(CTR1_Local!$P681="","",IF($F650="Removed","",CTR1_Local!$P681))</f>
        <v/>
      </c>
      <c r="I650" t="str">
        <f>IF(CTR1_Local!$R681="","",IF($F650="Removed","",CTR1_Local!$R681))</f>
        <v/>
      </c>
      <c r="J650" s="160" t="str">
        <f>CTR1_Local!$H681</f>
        <v/>
      </c>
      <c r="K650" s="340" t="str">
        <f>CTR1_Local!$J681</f>
        <v/>
      </c>
      <c r="L650" s="350" t="str">
        <f>CTR1_Local!$L681</f>
        <v/>
      </c>
      <c r="M650" s="261" t="str">
        <f>IF(CTR1_Local!$V681="","",IF(CTR1_Local!$V681="Yes","confirm",""))</f>
        <v/>
      </c>
      <c r="N650" t="str">
        <f>IF(CTR1_Local!$W681="","",CTR1_Local!$W681)</f>
        <v/>
      </c>
    </row>
    <row r="651" spans="1:14" x14ac:dyDescent="0.2">
      <c r="A651" s="287" t="str">
        <f>IF(CTR1_Local!$D682="",CTR1_Local!B682,CTR1_Local!$D682)</f>
        <v/>
      </c>
      <c r="B651" s="26" t="str">
        <f>IF(A651="","",IF(RIGHT(A651,3)="NEW","Add new / another parish",CTR1_Local!$AN682))</f>
        <v/>
      </c>
      <c r="C651" s="26" t="str">
        <f t="shared" si="10"/>
        <v/>
      </c>
      <c r="D651" s="177" t="str">
        <f>IF(A651="","",IF(RIGHT(A651,3)="NEW",CTR1_Local!$E682,IF(CTR1_Local!$AO682="change",CTR1_Local!$E682,"")))</f>
        <v/>
      </c>
      <c r="E651" t="str">
        <f>IF(CTR1_Local!$F682="","",CTR1_Local!$F682)</f>
        <v/>
      </c>
      <c r="F651" s="261" t="str">
        <f>IF(CTR1_Local!$T682="","",IF(CTR1_Local!$T682="Yes","Removed",""))</f>
        <v/>
      </c>
      <c r="G651" t="str">
        <f>IF(CTR1_Local!$N682="","",IF(F651="Removed","",CTR1_Local!$N682))</f>
        <v/>
      </c>
      <c r="H651" t="str">
        <f>IF(CTR1_Local!$P682="","",IF($F651="Removed","",CTR1_Local!$P682))</f>
        <v/>
      </c>
      <c r="I651" t="str">
        <f>IF(CTR1_Local!$R682="","",IF($F651="Removed","",CTR1_Local!$R682))</f>
        <v/>
      </c>
      <c r="J651" s="160" t="str">
        <f>CTR1_Local!$H682</f>
        <v/>
      </c>
      <c r="K651" s="340" t="str">
        <f>CTR1_Local!$J682</f>
        <v/>
      </c>
      <c r="L651" s="350" t="str">
        <f>CTR1_Local!$L682</f>
        <v/>
      </c>
      <c r="M651" s="261" t="str">
        <f>IF(CTR1_Local!$V682="","",IF(CTR1_Local!$V682="Yes","confirm",""))</f>
        <v/>
      </c>
      <c r="N651" t="str">
        <f>IF(CTR1_Local!$W682="","",CTR1_Local!$W682)</f>
        <v/>
      </c>
    </row>
    <row r="652" spans="1:14" x14ac:dyDescent="0.2">
      <c r="A652" s="287" t="str">
        <f>IF(CTR1_Local!$D683="",CTR1_Local!B683,CTR1_Local!$D683)</f>
        <v/>
      </c>
      <c r="B652" s="26" t="str">
        <f>IF(A652="","",IF(RIGHT(A652,3)="NEW","Add new / another parish",CTR1_Local!$AN683))</f>
        <v/>
      </c>
      <c r="C652" s="26" t="str">
        <f t="shared" si="10"/>
        <v/>
      </c>
      <c r="D652" s="177" t="str">
        <f>IF(A652="","",IF(RIGHT(A652,3)="NEW",CTR1_Local!$E683,IF(CTR1_Local!$AO683="change",CTR1_Local!$E683,"")))</f>
        <v/>
      </c>
      <c r="E652" t="str">
        <f>IF(CTR1_Local!$F683="","",CTR1_Local!$F683)</f>
        <v/>
      </c>
      <c r="F652" s="261" t="str">
        <f>IF(CTR1_Local!$T683="","",IF(CTR1_Local!$T683="Yes","Removed",""))</f>
        <v/>
      </c>
      <c r="G652" t="str">
        <f>IF(CTR1_Local!$N683="","",IF(F652="Removed","",CTR1_Local!$N683))</f>
        <v/>
      </c>
      <c r="H652" t="str">
        <f>IF(CTR1_Local!$P683="","",IF($F652="Removed","",CTR1_Local!$P683))</f>
        <v/>
      </c>
      <c r="I652" t="str">
        <f>IF(CTR1_Local!$R683="","",IF($F652="Removed","",CTR1_Local!$R683))</f>
        <v/>
      </c>
      <c r="J652" s="160" t="str">
        <f>CTR1_Local!$H683</f>
        <v/>
      </c>
      <c r="K652" s="340" t="str">
        <f>CTR1_Local!$J683</f>
        <v/>
      </c>
      <c r="L652" s="350" t="str">
        <f>CTR1_Local!$L683</f>
        <v/>
      </c>
      <c r="M652" s="261" t="str">
        <f>IF(CTR1_Local!$V683="","",IF(CTR1_Local!$V683="Yes","confirm",""))</f>
        <v/>
      </c>
      <c r="N652" t="str">
        <f>IF(CTR1_Local!$W683="","",CTR1_Local!$W683)</f>
        <v/>
      </c>
    </row>
    <row r="653" spans="1:14" x14ac:dyDescent="0.2">
      <c r="A653" s="287" t="str">
        <f>IF(CTR1_Local!$D684="",CTR1_Local!B684,CTR1_Local!$D684)</f>
        <v/>
      </c>
      <c r="B653" s="26" t="str">
        <f>IF(A653="","",IF(RIGHT(A653,3)="NEW","Add new / another parish",CTR1_Local!$AN684))</f>
        <v/>
      </c>
      <c r="C653" s="26" t="str">
        <f t="shared" si="10"/>
        <v/>
      </c>
      <c r="D653" s="177" t="str">
        <f>IF(A653="","",IF(RIGHT(A653,3)="NEW",CTR1_Local!$E684,IF(CTR1_Local!$AO684="change",CTR1_Local!$E684,"")))</f>
        <v/>
      </c>
      <c r="E653" t="str">
        <f>IF(CTR1_Local!$F684="","",CTR1_Local!$F684)</f>
        <v/>
      </c>
      <c r="F653" s="261" t="str">
        <f>IF(CTR1_Local!$T684="","",IF(CTR1_Local!$T684="Yes","Removed",""))</f>
        <v/>
      </c>
      <c r="G653" t="str">
        <f>IF(CTR1_Local!$N684="","",IF(F653="Removed","",CTR1_Local!$N684))</f>
        <v/>
      </c>
      <c r="H653" t="str">
        <f>IF(CTR1_Local!$P684="","",IF($F653="Removed","",CTR1_Local!$P684))</f>
        <v/>
      </c>
      <c r="I653" t="str">
        <f>IF(CTR1_Local!$R684="","",IF($F653="Removed","",CTR1_Local!$R684))</f>
        <v/>
      </c>
      <c r="J653" s="160" t="str">
        <f>CTR1_Local!$H684</f>
        <v/>
      </c>
      <c r="K653" s="340" t="str">
        <f>CTR1_Local!$J684</f>
        <v/>
      </c>
      <c r="L653" s="350" t="str">
        <f>CTR1_Local!$L684</f>
        <v/>
      </c>
      <c r="M653" s="261" t="str">
        <f>IF(CTR1_Local!$V684="","",IF(CTR1_Local!$V684="Yes","confirm",""))</f>
        <v/>
      </c>
      <c r="N653" t="str">
        <f>IF(CTR1_Local!$W684="","",CTR1_Local!$W684)</f>
        <v/>
      </c>
    </row>
    <row r="654" spans="1:14" x14ac:dyDescent="0.2">
      <c r="A654" s="287" t="str">
        <f>IF(CTR1_Local!$D685="",CTR1_Local!B685,CTR1_Local!$D685)</f>
        <v/>
      </c>
      <c r="B654" s="26" t="str">
        <f>IF(A654="","",IF(RIGHT(A654,3)="NEW","Add new / another parish",CTR1_Local!$AN685))</f>
        <v/>
      </c>
      <c r="C654" s="26" t="str">
        <f t="shared" si="10"/>
        <v/>
      </c>
      <c r="D654" s="177" t="str">
        <f>IF(A654="","",IF(RIGHT(A654,3)="NEW",CTR1_Local!$E685,IF(CTR1_Local!$AO685="change",CTR1_Local!$E685,"")))</f>
        <v/>
      </c>
      <c r="E654" t="str">
        <f>IF(CTR1_Local!$F685="","",CTR1_Local!$F685)</f>
        <v/>
      </c>
      <c r="F654" s="261" t="str">
        <f>IF(CTR1_Local!$T685="","",IF(CTR1_Local!$T685="Yes","Removed",""))</f>
        <v/>
      </c>
      <c r="G654" t="str">
        <f>IF(CTR1_Local!$N685="","",IF(F654="Removed","",CTR1_Local!$N685))</f>
        <v/>
      </c>
      <c r="H654" t="str">
        <f>IF(CTR1_Local!$P685="","",IF($F654="Removed","",CTR1_Local!$P685))</f>
        <v/>
      </c>
      <c r="I654" t="str">
        <f>IF(CTR1_Local!$R685="","",IF($F654="Removed","",CTR1_Local!$R685))</f>
        <v/>
      </c>
      <c r="J654" s="160" t="str">
        <f>CTR1_Local!$H685</f>
        <v/>
      </c>
      <c r="K654" s="340" t="str">
        <f>CTR1_Local!$J685</f>
        <v/>
      </c>
      <c r="L654" s="350" t="str">
        <f>CTR1_Local!$L685</f>
        <v/>
      </c>
      <c r="M654" s="261" t="str">
        <f>IF(CTR1_Local!$V685="","",IF(CTR1_Local!$V685="Yes","confirm",""))</f>
        <v/>
      </c>
      <c r="N654" t="str">
        <f>IF(CTR1_Local!$W685="","",CTR1_Local!$W685)</f>
        <v/>
      </c>
    </row>
    <row r="655" spans="1:14" x14ac:dyDescent="0.2">
      <c r="A655" s="287" t="str">
        <f>IF(CTR1_Local!$D686="",CTR1_Local!B686,CTR1_Local!$D686)</f>
        <v/>
      </c>
      <c r="B655" s="26" t="str">
        <f>IF(A655="","",IF(RIGHT(A655,3)="NEW","Add new / another parish",CTR1_Local!$AN686))</f>
        <v/>
      </c>
      <c r="C655" s="26" t="str">
        <f t="shared" si="10"/>
        <v/>
      </c>
      <c r="D655" s="177" t="str">
        <f>IF(A655="","",IF(RIGHT(A655,3)="NEW",CTR1_Local!$E686,IF(CTR1_Local!$AO686="change",CTR1_Local!$E686,"")))</f>
        <v/>
      </c>
      <c r="E655" t="str">
        <f>IF(CTR1_Local!$F686="","",CTR1_Local!$F686)</f>
        <v/>
      </c>
      <c r="F655" s="261" t="str">
        <f>IF(CTR1_Local!$T686="","",IF(CTR1_Local!$T686="Yes","Removed",""))</f>
        <v/>
      </c>
      <c r="G655" t="str">
        <f>IF(CTR1_Local!$N686="","",IF(F655="Removed","",CTR1_Local!$N686))</f>
        <v/>
      </c>
      <c r="H655" t="str">
        <f>IF(CTR1_Local!$P686="","",IF($F655="Removed","",CTR1_Local!$P686))</f>
        <v/>
      </c>
      <c r="I655" t="str">
        <f>IF(CTR1_Local!$R686="","",IF($F655="Removed","",CTR1_Local!$R686))</f>
        <v/>
      </c>
      <c r="J655" s="160" t="str">
        <f>CTR1_Local!$H686</f>
        <v/>
      </c>
      <c r="K655" s="340" t="str">
        <f>CTR1_Local!$J686</f>
        <v/>
      </c>
      <c r="L655" s="350" t="str">
        <f>CTR1_Local!$L686</f>
        <v/>
      </c>
      <c r="M655" s="261" t="str">
        <f>IF(CTR1_Local!$V686="","",IF(CTR1_Local!$V686="Yes","confirm",""))</f>
        <v/>
      </c>
      <c r="N655" t="str">
        <f>IF(CTR1_Local!$W686="","",CTR1_Local!$W686)</f>
        <v/>
      </c>
    </row>
    <row r="656" spans="1:14" x14ac:dyDescent="0.2">
      <c r="A656" s="287" t="str">
        <f>IF(CTR1_Local!$D687="",CTR1_Local!B687,CTR1_Local!$D687)</f>
        <v/>
      </c>
      <c r="B656" s="26" t="str">
        <f>IF(A656="","",IF(RIGHT(A656,3)="NEW","Add new / another parish",CTR1_Local!$AN687))</f>
        <v/>
      </c>
      <c r="C656" s="26" t="str">
        <f t="shared" si="10"/>
        <v/>
      </c>
      <c r="D656" s="177" t="str">
        <f>IF(A656="","",IF(RIGHT(A656,3)="NEW",CTR1_Local!$E687,IF(CTR1_Local!$AO687="change",CTR1_Local!$E687,"")))</f>
        <v/>
      </c>
      <c r="E656" t="str">
        <f>IF(CTR1_Local!$F687="","",CTR1_Local!$F687)</f>
        <v/>
      </c>
      <c r="F656" s="261" t="str">
        <f>IF(CTR1_Local!$T687="","",IF(CTR1_Local!$T687="Yes","Removed",""))</f>
        <v/>
      </c>
      <c r="G656" t="str">
        <f>IF(CTR1_Local!$N687="","",IF(F656="Removed","",CTR1_Local!$N687))</f>
        <v/>
      </c>
      <c r="H656" t="str">
        <f>IF(CTR1_Local!$P687="","",IF($F656="Removed","",CTR1_Local!$P687))</f>
        <v/>
      </c>
      <c r="I656" t="str">
        <f>IF(CTR1_Local!$R687="","",IF($F656="Removed","",CTR1_Local!$R687))</f>
        <v/>
      </c>
      <c r="J656" s="160" t="str">
        <f>CTR1_Local!$H687</f>
        <v/>
      </c>
      <c r="K656" s="340" t="str">
        <f>CTR1_Local!$J687</f>
        <v/>
      </c>
      <c r="L656" s="350" t="str">
        <f>CTR1_Local!$L687</f>
        <v/>
      </c>
      <c r="M656" s="261" t="str">
        <f>IF(CTR1_Local!$V687="","",IF(CTR1_Local!$V687="Yes","confirm",""))</f>
        <v/>
      </c>
      <c r="N656" t="str">
        <f>IF(CTR1_Local!$W687="","",CTR1_Local!$W687)</f>
        <v/>
      </c>
    </row>
    <row r="657" spans="1:14" x14ac:dyDescent="0.2">
      <c r="A657" s="287" t="str">
        <f>IF(CTR1_Local!$D688="",CTR1_Local!B688,CTR1_Local!$D688)</f>
        <v/>
      </c>
      <c r="B657" s="26" t="str">
        <f>IF(A657="","",IF(RIGHT(A657,3)="NEW","Add new / another parish",CTR1_Local!$AN688))</f>
        <v/>
      </c>
      <c r="C657" s="26" t="str">
        <f t="shared" si="10"/>
        <v/>
      </c>
      <c r="D657" s="177" t="str">
        <f>IF(A657="","",IF(RIGHT(A657,3)="NEW",CTR1_Local!$E688,IF(CTR1_Local!$AO688="change",CTR1_Local!$E688,"")))</f>
        <v/>
      </c>
      <c r="E657" t="str">
        <f>IF(CTR1_Local!$F688="","",CTR1_Local!$F688)</f>
        <v/>
      </c>
      <c r="F657" s="261" t="str">
        <f>IF(CTR1_Local!$T688="","",IF(CTR1_Local!$T688="Yes","Removed",""))</f>
        <v/>
      </c>
      <c r="G657" t="str">
        <f>IF(CTR1_Local!$N688="","",IF(F657="Removed","",CTR1_Local!$N688))</f>
        <v/>
      </c>
      <c r="H657" t="str">
        <f>IF(CTR1_Local!$P688="","",IF($F657="Removed","",CTR1_Local!$P688))</f>
        <v/>
      </c>
      <c r="I657" t="str">
        <f>IF(CTR1_Local!$R688="","",IF($F657="Removed","",CTR1_Local!$R688))</f>
        <v/>
      </c>
      <c r="J657" s="160" t="str">
        <f>CTR1_Local!$H688</f>
        <v/>
      </c>
      <c r="K657" s="340" t="str">
        <f>CTR1_Local!$J688</f>
        <v/>
      </c>
      <c r="L657" s="350" t="str">
        <f>CTR1_Local!$L688</f>
        <v/>
      </c>
      <c r="M657" s="261" t="str">
        <f>IF(CTR1_Local!$V688="","",IF(CTR1_Local!$V688="Yes","confirm",""))</f>
        <v/>
      </c>
      <c r="N657" t="str">
        <f>IF(CTR1_Local!$W688="","",CTR1_Local!$W688)</f>
        <v/>
      </c>
    </row>
    <row r="658" spans="1:14" x14ac:dyDescent="0.2">
      <c r="A658" s="287" t="str">
        <f>IF(CTR1_Local!$D689="",CTR1_Local!B689,CTR1_Local!$D689)</f>
        <v/>
      </c>
      <c r="B658" s="26" t="str">
        <f>IF(A658="","",IF(RIGHT(A658,3)="NEW","Add new / another parish",CTR1_Local!$AN689))</f>
        <v/>
      </c>
      <c r="C658" s="26" t="str">
        <f t="shared" si="10"/>
        <v/>
      </c>
      <c r="D658" s="177" t="str">
        <f>IF(A658="","",IF(RIGHT(A658,3)="NEW",CTR1_Local!$E689,IF(CTR1_Local!$AO689="change",CTR1_Local!$E689,"")))</f>
        <v/>
      </c>
      <c r="E658" t="str">
        <f>IF(CTR1_Local!$F689="","",CTR1_Local!$F689)</f>
        <v/>
      </c>
      <c r="F658" s="261" t="str">
        <f>IF(CTR1_Local!$T689="","",IF(CTR1_Local!$T689="Yes","Removed",""))</f>
        <v/>
      </c>
      <c r="G658" t="str">
        <f>IF(CTR1_Local!$N689="","",IF(F658="Removed","",CTR1_Local!$N689))</f>
        <v/>
      </c>
      <c r="H658" t="str">
        <f>IF(CTR1_Local!$P689="","",IF($F658="Removed","",CTR1_Local!$P689))</f>
        <v/>
      </c>
      <c r="I658" t="str">
        <f>IF(CTR1_Local!$R689="","",IF($F658="Removed","",CTR1_Local!$R689))</f>
        <v/>
      </c>
      <c r="J658" s="160" t="str">
        <f>CTR1_Local!$H689</f>
        <v/>
      </c>
      <c r="K658" s="340" t="str">
        <f>CTR1_Local!$J689</f>
        <v/>
      </c>
      <c r="L658" s="350" t="str">
        <f>CTR1_Local!$L689</f>
        <v/>
      </c>
      <c r="M658" s="261" t="str">
        <f>IF(CTR1_Local!$V689="","",IF(CTR1_Local!$V689="Yes","confirm",""))</f>
        <v/>
      </c>
      <c r="N658" t="str">
        <f>IF(CTR1_Local!$W689="","",CTR1_Local!$W689)</f>
        <v/>
      </c>
    </row>
    <row r="659" spans="1:14" x14ac:dyDescent="0.2">
      <c r="A659" s="287" t="str">
        <f>IF(CTR1_Local!$D690="",CTR1_Local!B690,CTR1_Local!$D690)</f>
        <v/>
      </c>
      <c r="B659" s="26" t="str">
        <f>IF(A659="","",IF(RIGHT(A659,3)="NEW","Add new / another parish",CTR1_Local!$AN690))</f>
        <v/>
      </c>
      <c r="C659" s="26" t="str">
        <f t="shared" si="10"/>
        <v/>
      </c>
      <c r="D659" s="177" t="str">
        <f>IF(A659="","",IF(RIGHT(A659,3)="NEW",CTR1_Local!$E690,IF(CTR1_Local!$AO690="change",CTR1_Local!$E690,"")))</f>
        <v/>
      </c>
      <c r="E659" t="str">
        <f>IF(CTR1_Local!$F690="","",CTR1_Local!$F690)</f>
        <v/>
      </c>
      <c r="F659" s="261" t="str">
        <f>IF(CTR1_Local!$T690="","",IF(CTR1_Local!$T690="Yes","Removed",""))</f>
        <v/>
      </c>
      <c r="G659" t="str">
        <f>IF(CTR1_Local!$N690="","",IF(F659="Removed","",CTR1_Local!$N690))</f>
        <v/>
      </c>
      <c r="H659" t="str">
        <f>IF(CTR1_Local!$P690="","",IF($F659="Removed","",CTR1_Local!$P690))</f>
        <v/>
      </c>
      <c r="I659" t="str">
        <f>IF(CTR1_Local!$R690="","",IF($F659="Removed","",CTR1_Local!$R690))</f>
        <v/>
      </c>
      <c r="J659" s="160" t="str">
        <f>CTR1_Local!$H690</f>
        <v/>
      </c>
      <c r="K659" s="340" t="str">
        <f>CTR1_Local!$J690</f>
        <v/>
      </c>
      <c r="L659" s="350" t="str">
        <f>CTR1_Local!$L690</f>
        <v/>
      </c>
      <c r="M659" s="261" t="str">
        <f>IF(CTR1_Local!$V690="","",IF(CTR1_Local!$V690="Yes","confirm",""))</f>
        <v/>
      </c>
      <c r="N659" t="str">
        <f>IF(CTR1_Local!$W690="","",CTR1_Local!$W690)</f>
        <v/>
      </c>
    </row>
    <row r="660" spans="1:14" x14ac:dyDescent="0.2">
      <c r="A660" s="287" t="str">
        <f>IF(CTR1_Local!$D691="",CTR1_Local!B691,CTR1_Local!$D691)</f>
        <v/>
      </c>
      <c r="B660" s="26" t="str">
        <f>IF(A660="","",IF(RIGHT(A660,3)="NEW","Add new / another parish",CTR1_Local!$AN691))</f>
        <v/>
      </c>
      <c r="C660" s="26" t="str">
        <f t="shared" si="10"/>
        <v/>
      </c>
      <c r="D660" s="177" t="str">
        <f>IF(A660="","",IF(RIGHT(A660,3)="NEW",CTR1_Local!$E691,IF(CTR1_Local!$AO691="change",CTR1_Local!$E691,"")))</f>
        <v/>
      </c>
      <c r="E660" t="str">
        <f>IF(CTR1_Local!$F691="","",CTR1_Local!$F691)</f>
        <v/>
      </c>
      <c r="F660" s="261" t="str">
        <f>IF(CTR1_Local!$T691="","",IF(CTR1_Local!$T691="Yes","Removed",""))</f>
        <v/>
      </c>
      <c r="G660" t="str">
        <f>IF(CTR1_Local!$N691="","",IF(F660="Removed","",CTR1_Local!$N691))</f>
        <v/>
      </c>
      <c r="H660" t="str">
        <f>IF(CTR1_Local!$P691="","",IF($F660="Removed","",CTR1_Local!$P691))</f>
        <v/>
      </c>
      <c r="I660" t="str">
        <f>IF(CTR1_Local!$R691="","",IF($F660="Removed","",CTR1_Local!$R691))</f>
        <v/>
      </c>
      <c r="J660" s="160" t="str">
        <f>CTR1_Local!$H691</f>
        <v/>
      </c>
      <c r="K660" s="340" t="str">
        <f>CTR1_Local!$J691</f>
        <v/>
      </c>
      <c r="L660" s="350" t="str">
        <f>CTR1_Local!$L691</f>
        <v/>
      </c>
      <c r="M660" s="261" t="str">
        <f>IF(CTR1_Local!$V691="","",IF(CTR1_Local!$V691="Yes","confirm",""))</f>
        <v/>
      </c>
      <c r="N660" t="str">
        <f>IF(CTR1_Local!$W691="","",CTR1_Local!$W691)</f>
        <v/>
      </c>
    </row>
    <row r="661" spans="1:14" x14ac:dyDescent="0.2">
      <c r="A661" s="287" t="str">
        <f>IF(CTR1_Local!$D692="",CTR1_Local!B692,CTR1_Local!$D692)</f>
        <v/>
      </c>
      <c r="B661" s="26" t="str">
        <f>IF(A661="","",IF(RIGHT(A661,3)="NEW","Add new / another parish",CTR1_Local!$AN692))</f>
        <v/>
      </c>
      <c r="C661" s="26" t="str">
        <f t="shared" si="10"/>
        <v/>
      </c>
      <c r="D661" s="177" t="str">
        <f>IF(A661="","",IF(RIGHT(A661,3)="NEW",CTR1_Local!$E692,IF(CTR1_Local!$AO692="change",CTR1_Local!$E692,"")))</f>
        <v/>
      </c>
      <c r="E661" t="str">
        <f>IF(CTR1_Local!$F692="","",CTR1_Local!$F692)</f>
        <v/>
      </c>
      <c r="F661" s="261" t="str">
        <f>IF(CTR1_Local!$T692="","",IF(CTR1_Local!$T692="Yes","Removed",""))</f>
        <v/>
      </c>
      <c r="G661" t="str">
        <f>IF(CTR1_Local!$N692="","",IF(F661="Removed","",CTR1_Local!$N692))</f>
        <v/>
      </c>
      <c r="H661" t="str">
        <f>IF(CTR1_Local!$P692="","",IF($F661="Removed","",CTR1_Local!$P692))</f>
        <v/>
      </c>
      <c r="I661" t="str">
        <f>IF(CTR1_Local!$R692="","",IF($F661="Removed","",CTR1_Local!$R692))</f>
        <v/>
      </c>
      <c r="J661" s="160" t="str">
        <f>CTR1_Local!$H692</f>
        <v/>
      </c>
      <c r="K661" s="340" t="str">
        <f>CTR1_Local!$J692</f>
        <v/>
      </c>
      <c r="L661" s="350" t="str">
        <f>CTR1_Local!$L692</f>
        <v/>
      </c>
      <c r="M661" s="261" t="str">
        <f>IF(CTR1_Local!$V692="","",IF(CTR1_Local!$V692="Yes","confirm",""))</f>
        <v/>
      </c>
      <c r="N661" t="str">
        <f>IF(CTR1_Local!$W692="","",CTR1_Local!$W692)</f>
        <v/>
      </c>
    </row>
    <row r="662" spans="1:14" x14ac:dyDescent="0.2">
      <c r="A662" s="287" t="str">
        <f>IF(CTR1_Local!$D693="",CTR1_Local!B693,CTR1_Local!$D693)</f>
        <v/>
      </c>
      <c r="B662" s="26" t="str">
        <f>IF(A662="","",IF(RIGHT(A662,3)="NEW","Add new / another parish",CTR1_Local!$AN693))</f>
        <v/>
      </c>
      <c r="C662" s="26" t="str">
        <f t="shared" si="10"/>
        <v/>
      </c>
      <c r="D662" s="177" t="str">
        <f>IF(A662="","",IF(RIGHT(A662,3)="NEW",CTR1_Local!$E693,IF(CTR1_Local!$AO693="change",CTR1_Local!$E693,"")))</f>
        <v/>
      </c>
      <c r="E662" t="str">
        <f>IF(CTR1_Local!$F693="","",CTR1_Local!$F693)</f>
        <v/>
      </c>
      <c r="F662" s="261" t="str">
        <f>IF(CTR1_Local!$T693="","",IF(CTR1_Local!$T693="Yes","Removed",""))</f>
        <v/>
      </c>
      <c r="G662" t="str">
        <f>IF(CTR1_Local!$N693="","",IF(F662="Removed","",CTR1_Local!$N693))</f>
        <v/>
      </c>
      <c r="H662" t="str">
        <f>IF(CTR1_Local!$P693="","",IF($F662="Removed","",CTR1_Local!$P693))</f>
        <v/>
      </c>
      <c r="I662" t="str">
        <f>IF(CTR1_Local!$R693="","",IF($F662="Removed","",CTR1_Local!$R693))</f>
        <v/>
      </c>
      <c r="J662" s="160" t="str">
        <f>CTR1_Local!$H693</f>
        <v/>
      </c>
      <c r="K662" s="340" t="str">
        <f>CTR1_Local!$J693</f>
        <v/>
      </c>
      <c r="L662" s="350" t="str">
        <f>CTR1_Local!$L693</f>
        <v/>
      </c>
      <c r="M662" s="261" t="str">
        <f>IF(CTR1_Local!$V693="","",IF(CTR1_Local!$V693="Yes","confirm",""))</f>
        <v/>
      </c>
      <c r="N662" t="str">
        <f>IF(CTR1_Local!$W693="","",CTR1_Local!$W693)</f>
        <v/>
      </c>
    </row>
    <row r="663" spans="1:14" x14ac:dyDescent="0.2">
      <c r="A663" s="287" t="str">
        <f>IF(CTR1_Local!$D694="",CTR1_Local!B694,CTR1_Local!$D694)</f>
        <v/>
      </c>
      <c r="B663" s="26" t="str">
        <f>IF(A663="","",IF(RIGHT(A663,3)="NEW","Add new / another parish",CTR1_Local!$AN694))</f>
        <v/>
      </c>
      <c r="C663" s="26" t="str">
        <f t="shared" si="10"/>
        <v/>
      </c>
      <c r="D663" s="177" t="str">
        <f>IF(A663="","",IF(RIGHT(A663,3)="NEW",CTR1_Local!$E694,IF(CTR1_Local!$AO694="change",CTR1_Local!$E694,"")))</f>
        <v/>
      </c>
      <c r="E663" t="str">
        <f>IF(CTR1_Local!$F694="","",CTR1_Local!$F694)</f>
        <v/>
      </c>
      <c r="F663" s="261" t="str">
        <f>IF(CTR1_Local!$T694="","",IF(CTR1_Local!$T694="Yes","Removed",""))</f>
        <v/>
      </c>
      <c r="G663" t="str">
        <f>IF(CTR1_Local!$N694="","",IF(F663="Removed","",CTR1_Local!$N694))</f>
        <v/>
      </c>
      <c r="H663" t="str">
        <f>IF(CTR1_Local!$P694="","",IF($F663="Removed","",CTR1_Local!$P694))</f>
        <v/>
      </c>
      <c r="I663" t="str">
        <f>IF(CTR1_Local!$R694="","",IF($F663="Removed","",CTR1_Local!$R694))</f>
        <v/>
      </c>
      <c r="J663" s="160" t="str">
        <f>CTR1_Local!$H694</f>
        <v/>
      </c>
      <c r="K663" s="340" t="str">
        <f>CTR1_Local!$J694</f>
        <v/>
      </c>
      <c r="L663" s="350" t="str">
        <f>CTR1_Local!$L694</f>
        <v/>
      </c>
      <c r="M663" s="261" t="str">
        <f>IF(CTR1_Local!$V694="","",IF(CTR1_Local!$V694="Yes","confirm",""))</f>
        <v/>
      </c>
      <c r="N663" t="str">
        <f>IF(CTR1_Local!$W694="","",CTR1_Local!$W694)</f>
        <v/>
      </c>
    </row>
    <row r="664" spans="1:14" x14ac:dyDescent="0.2">
      <c r="A664" s="287" t="str">
        <f>IF(CTR1_Local!$D695="",CTR1_Local!B695,CTR1_Local!$D695)</f>
        <v/>
      </c>
      <c r="B664" s="26" t="str">
        <f>IF(A664="","",IF(RIGHT(A664,3)="NEW","Add new / another parish",CTR1_Local!$AN695))</f>
        <v/>
      </c>
      <c r="C664" s="26" t="str">
        <f t="shared" si="10"/>
        <v/>
      </c>
      <c r="D664" s="177" t="str">
        <f>IF(A664="","",IF(RIGHT(A664,3)="NEW",CTR1_Local!$E695,IF(CTR1_Local!$AO695="change",CTR1_Local!$E695,"")))</f>
        <v/>
      </c>
      <c r="E664" t="str">
        <f>IF(CTR1_Local!$F695="","",CTR1_Local!$F695)</f>
        <v/>
      </c>
      <c r="F664" s="261" t="str">
        <f>IF(CTR1_Local!$T695="","",IF(CTR1_Local!$T695="Yes","Removed",""))</f>
        <v/>
      </c>
      <c r="G664" t="str">
        <f>IF(CTR1_Local!$N695="","",IF(F664="Removed","",CTR1_Local!$N695))</f>
        <v/>
      </c>
      <c r="H664" t="str">
        <f>IF(CTR1_Local!$P695="","",IF($F664="Removed","",CTR1_Local!$P695))</f>
        <v/>
      </c>
      <c r="I664" t="str">
        <f>IF(CTR1_Local!$R695="","",IF($F664="Removed","",CTR1_Local!$R695))</f>
        <v/>
      </c>
      <c r="J664" s="160" t="str">
        <f>CTR1_Local!$H695</f>
        <v/>
      </c>
      <c r="K664" s="340" t="str">
        <f>CTR1_Local!$J695</f>
        <v/>
      </c>
      <c r="L664" s="350" t="str">
        <f>CTR1_Local!$L695</f>
        <v/>
      </c>
      <c r="M664" s="261" t="str">
        <f>IF(CTR1_Local!$V695="","",IF(CTR1_Local!$V695="Yes","confirm",""))</f>
        <v/>
      </c>
      <c r="N664" t="str">
        <f>IF(CTR1_Local!$W695="","",CTR1_Local!$W695)</f>
        <v/>
      </c>
    </row>
    <row r="665" spans="1:14" x14ac:dyDescent="0.2">
      <c r="A665" s="287" t="str">
        <f>IF(CTR1_Local!$D696="",CTR1_Local!B696,CTR1_Local!$D696)</f>
        <v/>
      </c>
      <c r="B665" s="26" t="str">
        <f>IF(A665="","",IF(RIGHT(A665,3)="NEW","Add new / another parish",CTR1_Local!$AN696))</f>
        <v/>
      </c>
      <c r="C665" s="26" t="str">
        <f t="shared" si="10"/>
        <v/>
      </c>
      <c r="D665" s="177" t="str">
        <f>IF(A665="","",IF(RIGHT(A665,3)="NEW",CTR1_Local!$E696,IF(CTR1_Local!$AO696="change",CTR1_Local!$E696,"")))</f>
        <v/>
      </c>
      <c r="E665" t="str">
        <f>IF(CTR1_Local!$F696="","",CTR1_Local!$F696)</f>
        <v/>
      </c>
      <c r="F665" s="261" t="str">
        <f>IF(CTR1_Local!$T696="","",IF(CTR1_Local!$T696="Yes","Removed",""))</f>
        <v/>
      </c>
      <c r="G665" t="str">
        <f>IF(CTR1_Local!$N696="","",IF(F665="Removed","",CTR1_Local!$N696))</f>
        <v/>
      </c>
      <c r="H665" t="str">
        <f>IF(CTR1_Local!$P696="","",IF($F665="Removed","",CTR1_Local!$P696))</f>
        <v/>
      </c>
      <c r="I665" t="str">
        <f>IF(CTR1_Local!$R696="","",IF($F665="Removed","",CTR1_Local!$R696))</f>
        <v/>
      </c>
      <c r="J665" s="160" t="str">
        <f>CTR1_Local!$H696</f>
        <v/>
      </c>
      <c r="K665" s="340" t="str">
        <f>CTR1_Local!$J696</f>
        <v/>
      </c>
      <c r="L665" s="350" t="str">
        <f>CTR1_Local!$L696</f>
        <v/>
      </c>
      <c r="M665" s="261" t="str">
        <f>IF(CTR1_Local!$V696="","",IF(CTR1_Local!$V696="Yes","confirm",""))</f>
        <v/>
      </c>
      <c r="N665" t="str">
        <f>IF(CTR1_Local!$W696="","",CTR1_Local!$W696)</f>
        <v/>
      </c>
    </row>
    <row r="666" spans="1:14" x14ac:dyDescent="0.2">
      <c r="A666" s="287" t="str">
        <f>IF(CTR1_Local!$D697="",CTR1_Local!B697,CTR1_Local!$D697)</f>
        <v/>
      </c>
      <c r="B666" s="26" t="str">
        <f>IF(A666="","",IF(RIGHT(A666,3)="NEW","Add new / another parish",CTR1_Local!$AN697))</f>
        <v/>
      </c>
      <c r="C666" s="26" t="str">
        <f t="shared" si="10"/>
        <v/>
      </c>
      <c r="D666" s="177" t="str">
        <f>IF(A666="","",IF(RIGHT(A666,3)="NEW",CTR1_Local!$E697,IF(CTR1_Local!$AO697="change",CTR1_Local!$E697,"")))</f>
        <v/>
      </c>
      <c r="E666" t="str">
        <f>IF(CTR1_Local!$F697="","",CTR1_Local!$F697)</f>
        <v/>
      </c>
      <c r="F666" s="261" t="str">
        <f>IF(CTR1_Local!$T697="","",IF(CTR1_Local!$T697="Yes","Removed",""))</f>
        <v/>
      </c>
      <c r="G666" t="str">
        <f>IF(CTR1_Local!$N697="","",IF(F666="Removed","",CTR1_Local!$N697))</f>
        <v/>
      </c>
      <c r="H666" t="str">
        <f>IF(CTR1_Local!$P697="","",IF($F666="Removed","",CTR1_Local!$P697))</f>
        <v/>
      </c>
      <c r="I666" t="str">
        <f>IF(CTR1_Local!$R697="","",IF($F666="Removed","",CTR1_Local!$R697))</f>
        <v/>
      </c>
      <c r="J666" s="160" t="str">
        <f>CTR1_Local!$H697</f>
        <v/>
      </c>
      <c r="K666" s="340" t="str">
        <f>CTR1_Local!$J697</f>
        <v/>
      </c>
      <c r="L666" s="350" t="str">
        <f>CTR1_Local!$L697</f>
        <v/>
      </c>
      <c r="M666" s="261" t="str">
        <f>IF(CTR1_Local!$V697="","",IF(CTR1_Local!$V697="Yes","confirm",""))</f>
        <v/>
      </c>
      <c r="N666" t="str">
        <f>IF(CTR1_Local!$W697="","",CTR1_Local!$W697)</f>
        <v/>
      </c>
    </row>
    <row r="667" spans="1:14" x14ac:dyDescent="0.2">
      <c r="A667" s="287" t="str">
        <f>IF(CTR1_Local!$D698="",CTR1_Local!B698,CTR1_Local!$D698)</f>
        <v/>
      </c>
      <c r="B667" s="26" t="str">
        <f>IF(A667="","",IF(RIGHT(A667,3)="NEW","Add new / another parish",CTR1_Local!$AN698))</f>
        <v/>
      </c>
      <c r="C667" s="26" t="str">
        <f t="shared" si="10"/>
        <v/>
      </c>
      <c r="D667" s="177" t="str">
        <f>IF(A667="","",IF(RIGHT(A667,3)="NEW",CTR1_Local!$E698,IF(CTR1_Local!$AO698="change",CTR1_Local!$E698,"")))</f>
        <v/>
      </c>
      <c r="E667" t="str">
        <f>IF(CTR1_Local!$F698="","",CTR1_Local!$F698)</f>
        <v/>
      </c>
      <c r="F667" s="261" t="str">
        <f>IF(CTR1_Local!$T698="","",IF(CTR1_Local!$T698="Yes","Removed",""))</f>
        <v/>
      </c>
      <c r="G667" t="str">
        <f>IF(CTR1_Local!$N698="","",IF(F667="Removed","",CTR1_Local!$N698))</f>
        <v/>
      </c>
      <c r="H667" t="str">
        <f>IF(CTR1_Local!$P698="","",IF($F667="Removed","",CTR1_Local!$P698))</f>
        <v/>
      </c>
      <c r="I667" t="str">
        <f>IF(CTR1_Local!$R698="","",IF($F667="Removed","",CTR1_Local!$R698))</f>
        <v/>
      </c>
      <c r="J667" s="160" t="str">
        <f>CTR1_Local!$H698</f>
        <v/>
      </c>
      <c r="K667" s="340" t="str">
        <f>CTR1_Local!$J698</f>
        <v/>
      </c>
      <c r="L667" s="350" t="str">
        <f>CTR1_Local!$L698</f>
        <v/>
      </c>
      <c r="M667" s="261" t="str">
        <f>IF(CTR1_Local!$V698="","",IF(CTR1_Local!$V698="Yes","confirm",""))</f>
        <v/>
      </c>
      <c r="N667" t="str">
        <f>IF(CTR1_Local!$W698="","",CTR1_Local!$W698)</f>
        <v/>
      </c>
    </row>
    <row r="668" spans="1:14" x14ac:dyDescent="0.2">
      <c r="A668" s="287" t="str">
        <f>IF(CTR1_Local!$D699="",CTR1_Local!B699,CTR1_Local!$D699)</f>
        <v/>
      </c>
      <c r="B668" s="26" t="str">
        <f>IF(A668="","",IF(RIGHT(A668,3)="NEW","Add new / another parish",CTR1_Local!$AN699))</f>
        <v/>
      </c>
      <c r="C668" s="26" t="str">
        <f t="shared" si="10"/>
        <v/>
      </c>
      <c r="D668" s="177" t="str">
        <f>IF(A668="","",IF(RIGHT(A668,3)="NEW",CTR1_Local!$E699,IF(CTR1_Local!$AO699="change",CTR1_Local!$E699,"")))</f>
        <v/>
      </c>
      <c r="E668" t="str">
        <f>IF(CTR1_Local!$F699="","",CTR1_Local!$F699)</f>
        <v/>
      </c>
      <c r="F668" s="261" t="str">
        <f>IF(CTR1_Local!$T699="","",IF(CTR1_Local!$T699="Yes","Removed",""))</f>
        <v/>
      </c>
      <c r="G668" t="str">
        <f>IF(CTR1_Local!$N699="","",IF(F668="Removed","",CTR1_Local!$N699))</f>
        <v/>
      </c>
      <c r="H668" t="str">
        <f>IF(CTR1_Local!$P699="","",IF($F668="Removed","",CTR1_Local!$P699))</f>
        <v/>
      </c>
      <c r="I668" t="str">
        <f>IF(CTR1_Local!$R699="","",IF($F668="Removed","",CTR1_Local!$R699))</f>
        <v/>
      </c>
      <c r="J668" s="160" t="str">
        <f>CTR1_Local!$H699</f>
        <v/>
      </c>
      <c r="K668" s="340" t="str">
        <f>CTR1_Local!$J699</f>
        <v/>
      </c>
      <c r="L668" s="350" t="str">
        <f>CTR1_Local!$L699</f>
        <v/>
      </c>
      <c r="M668" s="261" t="str">
        <f>IF(CTR1_Local!$V699="","",IF(CTR1_Local!$V699="Yes","confirm",""))</f>
        <v/>
      </c>
      <c r="N668" t="str">
        <f>IF(CTR1_Local!$W699="","",CTR1_Local!$W699)</f>
        <v/>
      </c>
    </row>
    <row r="669" spans="1:14" x14ac:dyDescent="0.2">
      <c r="A669" s="287" t="str">
        <f>IF(CTR1_Local!$D700="",CTR1_Local!B700,CTR1_Local!$D700)</f>
        <v/>
      </c>
      <c r="B669" s="26" t="str">
        <f>IF(A669="","",IF(RIGHT(A669,3)="NEW","Add new / another parish",CTR1_Local!$AN700))</f>
        <v/>
      </c>
      <c r="C669" s="26" t="str">
        <f t="shared" si="10"/>
        <v/>
      </c>
      <c r="D669" s="177" t="str">
        <f>IF(A669="","",IF(RIGHT(A669,3)="NEW",CTR1_Local!$E700,IF(CTR1_Local!$AO700="change",CTR1_Local!$E700,"")))</f>
        <v/>
      </c>
      <c r="E669" t="str">
        <f>IF(CTR1_Local!$F700="","",CTR1_Local!$F700)</f>
        <v/>
      </c>
      <c r="F669" s="261" t="str">
        <f>IF(CTR1_Local!$T700="","",IF(CTR1_Local!$T700="Yes","Removed",""))</f>
        <v/>
      </c>
      <c r="G669" t="str">
        <f>IF(CTR1_Local!$N700="","",IF(F669="Removed","",CTR1_Local!$N700))</f>
        <v/>
      </c>
      <c r="H669" t="str">
        <f>IF(CTR1_Local!$P700="","",IF($F669="Removed","",CTR1_Local!$P700))</f>
        <v/>
      </c>
      <c r="I669" t="str">
        <f>IF(CTR1_Local!$R700="","",IF($F669="Removed","",CTR1_Local!$R700))</f>
        <v/>
      </c>
      <c r="J669" s="160" t="str">
        <f>CTR1_Local!$H700</f>
        <v/>
      </c>
      <c r="K669" s="340" t="str">
        <f>CTR1_Local!$J700</f>
        <v/>
      </c>
      <c r="L669" s="350" t="str">
        <f>CTR1_Local!$L700</f>
        <v/>
      </c>
      <c r="M669" s="261" t="str">
        <f>IF(CTR1_Local!$V700="","",IF(CTR1_Local!$V700="Yes","confirm",""))</f>
        <v/>
      </c>
      <c r="N669" t="str">
        <f>IF(CTR1_Local!$W700="","",CTR1_Local!$W700)</f>
        <v/>
      </c>
    </row>
    <row r="670" spans="1:14" x14ac:dyDescent="0.2">
      <c r="A670" s="287" t="str">
        <f>IF(CTR1_Local!$D701="",CTR1_Local!B701,CTR1_Local!$D701)</f>
        <v/>
      </c>
      <c r="B670" s="26" t="str">
        <f>IF(A670="","",IF(RIGHT(A670,3)="NEW","Add new / another parish",CTR1_Local!$AN701))</f>
        <v/>
      </c>
      <c r="C670" s="26" t="str">
        <f t="shared" si="10"/>
        <v/>
      </c>
      <c r="D670" s="177" t="str">
        <f>IF(A670="","",IF(RIGHT(A670,3)="NEW",CTR1_Local!$E701,IF(CTR1_Local!$AO701="change",CTR1_Local!$E701,"")))</f>
        <v/>
      </c>
      <c r="E670" t="str">
        <f>IF(CTR1_Local!$F701="","",CTR1_Local!$F701)</f>
        <v/>
      </c>
      <c r="F670" s="261" t="str">
        <f>IF(CTR1_Local!$T701="","",IF(CTR1_Local!$T701="Yes","Removed",""))</f>
        <v/>
      </c>
      <c r="G670" t="str">
        <f>IF(CTR1_Local!$N701="","",IF(F670="Removed","",CTR1_Local!$N701))</f>
        <v/>
      </c>
      <c r="H670" t="str">
        <f>IF(CTR1_Local!$P701="","",IF($F670="Removed","",CTR1_Local!$P701))</f>
        <v/>
      </c>
      <c r="I670" t="str">
        <f>IF(CTR1_Local!$R701="","",IF($F670="Removed","",CTR1_Local!$R701))</f>
        <v/>
      </c>
      <c r="J670" s="160" t="str">
        <f>CTR1_Local!$H701</f>
        <v/>
      </c>
      <c r="K670" s="340" t="str">
        <f>CTR1_Local!$J701</f>
        <v/>
      </c>
      <c r="L670" s="350" t="str">
        <f>CTR1_Local!$L701</f>
        <v/>
      </c>
      <c r="M670" s="261" t="str">
        <f>IF(CTR1_Local!$V701="","",IF(CTR1_Local!$V701="Yes","confirm",""))</f>
        <v/>
      </c>
      <c r="N670" t="str">
        <f>IF(CTR1_Local!$W701="","",CTR1_Local!$W701)</f>
        <v/>
      </c>
    </row>
    <row r="671" spans="1:14" x14ac:dyDescent="0.2">
      <c r="A671" s="287" t="str">
        <f>IF(CTR1_Local!$D702="",CTR1_Local!B702,CTR1_Local!$D702)</f>
        <v/>
      </c>
      <c r="B671" s="26" t="str">
        <f>IF(A671="","",IF(RIGHT(A671,3)="NEW","Add new / another parish",CTR1_Local!$AN702))</f>
        <v/>
      </c>
      <c r="C671" s="26" t="str">
        <f t="shared" si="10"/>
        <v/>
      </c>
      <c r="D671" s="177" t="str">
        <f>IF(A671="","",IF(RIGHT(A671,3)="NEW",CTR1_Local!$E702,IF(CTR1_Local!$AO702="change",CTR1_Local!$E702,"")))</f>
        <v/>
      </c>
      <c r="E671" t="str">
        <f>IF(CTR1_Local!$F702="","",CTR1_Local!$F702)</f>
        <v/>
      </c>
      <c r="F671" s="261" t="str">
        <f>IF(CTR1_Local!$T702="","",IF(CTR1_Local!$T702="Yes","Removed",""))</f>
        <v/>
      </c>
      <c r="G671" t="str">
        <f>IF(CTR1_Local!$N702="","",IF(F671="Removed","",CTR1_Local!$N702))</f>
        <v/>
      </c>
      <c r="H671" t="str">
        <f>IF(CTR1_Local!$P702="","",IF($F671="Removed","",CTR1_Local!$P702))</f>
        <v/>
      </c>
      <c r="I671" t="str">
        <f>IF(CTR1_Local!$R702="","",IF($F671="Removed","",CTR1_Local!$R702))</f>
        <v/>
      </c>
      <c r="J671" s="160" t="str">
        <f>CTR1_Local!$H702</f>
        <v/>
      </c>
      <c r="K671" s="340" t="str">
        <f>CTR1_Local!$J702</f>
        <v/>
      </c>
      <c r="L671" s="350" t="str">
        <f>CTR1_Local!$L702</f>
        <v/>
      </c>
      <c r="M671" s="261" t="str">
        <f>IF(CTR1_Local!$V702="","",IF(CTR1_Local!$V702="Yes","confirm",""))</f>
        <v/>
      </c>
      <c r="N671" t="str">
        <f>IF(CTR1_Local!$W702="","",CTR1_Local!$W702)</f>
        <v/>
      </c>
    </row>
    <row r="672" spans="1:14" ht="12.75" customHeight="1" x14ac:dyDescent="0.2">
      <c r="A672" s="287" t="str">
        <f>IF(CTR1_Local!$D703="",CTR1_Local!B703,CTR1_Local!$D703)</f>
        <v/>
      </c>
      <c r="B672" s="26" t="str">
        <f>IF(A672="","",IF(RIGHT(A672,3)="NEW","Add new / another parish",CTR1_Local!$AN703))</f>
        <v/>
      </c>
      <c r="C672" s="26" t="str">
        <f t="shared" si="10"/>
        <v/>
      </c>
      <c r="D672" s="177" t="str">
        <f>IF(A672="","",IF(RIGHT(A672,3)="NEW",CTR1_Local!$E703,IF(CTR1_Local!$AO703="change",CTR1_Local!$E703,"")))</f>
        <v/>
      </c>
      <c r="E672" t="str">
        <f>IF(CTR1_Local!$F703="","",CTR1_Local!$F703)</f>
        <v/>
      </c>
      <c r="F672" s="261" t="str">
        <f>IF(CTR1_Local!$T703="","",IF(CTR1_Local!$T703="Yes","Removed",""))</f>
        <v/>
      </c>
      <c r="G672" t="str">
        <f>IF(CTR1_Local!$N703="","",IF(F672="Removed","",CTR1_Local!$N703))</f>
        <v/>
      </c>
      <c r="H672" t="str">
        <f>IF(CTR1_Local!$P703="","",IF($F672="Removed","",CTR1_Local!$P703))</f>
        <v/>
      </c>
      <c r="I672" t="str">
        <f>IF(CTR1_Local!$R703="","",IF($F672="Removed","",CTR1_Local!$R703))</f>
        <v/>
      </c>
      <c r="J672" s="160" t="str">
        <f>CTR1_Local!$H703</f>
        <v/>
      </c>
      <c r="K672" s="340" t="str">
        <f>CTR1_Local!$J703</f>
        <v/>
      </c>
      <c r="L672" s="350" t="str">
        <f>CTR1_Local!$L703</f>
        <v/>
      </c>
      <c r="M672" s="261" t="str">
        <f>IF(CTR1_Local!$V703="","",IF(CTR1_Local!$V703="Yes","confirm",""))</f>
        <v/>
      </c>
      <c r="N672" t="str">
        <f>IF(CTR1_Local!$W703="","",CTR1_Local!$W703)</f>
        <v/>
      </c>
    </row>
    <row r="673" spans="1:14" ht="12.75" customHeight="1" x14ac:dyDescent="0.2">
      <c r="A673" s="287" t="str">
        <f>IF(CTR1_Local!$D704="",CTR1_Local!B704,CTR1_Local!$D704)</f>
        <v/>
      </c>
      <c r="B673" s="26" t="str">
        <f>IF(A673="","",IF(RIGHT(A673,3)="NEW","Add new / another parish",CTR1_Local!$AN704))</f>
        <v/>
      </c>
      <c r="C673" s="26" t="str">
        <f t="shared" si="10"/>
        <v/>
      </c>
      <c r="D673" s="177" t="str">
        <f>IF(A673="","",IF(RIGHT(A673,3)="NEW",CTR1_Local!$E704,IF(CTR1_Local!$AO704="change",CTR1_Local!$E704,"")))</f>
        <v/>
      </c>
      <c r="E673" t="str">
        <f>IF(CTR1_Local!$F704="","",CTR1_Local!$F704)</f>
        <v/>
      </c>
      <c r="F673" s="261" t="str">
        <f>IF(CTR1_Local!$T704="","",IF(CTR1_Local!$T704="Yes","Removed",""))</f>
        <v/>
      </c>
      <c r="G673" t="str">
        <f>IF(CTR1_Local!$N704="","",IF(F673="Removed","",CTR1_Local!$N704))</f>
        <v/>
      </c>
      <c r="H673" t="str">
        <f>IF(CTR1_Local!$P704="","",IF($F673="Removed","",CTR1_Local!$P704))</f>
        <v/>
      </c>
      <c r="I673" t="str">
        <f>IF(CTR1_Local!$R704="","",IF($F673="Removed","",CTR1_Local!$R704))</f>
        <v/>
      </c>
      <c r="J673" s="160" t="str">
        <f>CTR1_Local!$H704</f>
        <v/>
      </c>
      <c r="K673" s="340" t="str">
        <f>CTR1_Local!$J704</f>
        <v/>
      </c>
      <c r="L673" s="350" t="str">
        <f>CTR1_Local!$L704</f>
        <v/>
      </c>
      <c r="M673" s="261" t="str">
        <f>IF(CTR1_Local!$V704="","",IF(CTR1_Local!$V704="Yes","confirm",""))</f>
        <v/>
      </c>
      <c r="N673" t="str">
        <f>IF(CTR1_Local!$W704="","",CTR1_Local!$W704)</f>
        <v/>
      </c>
    </row>
    <row r="674" spans="1:14" ht="12.75" customHeight="1" x14ac:dyDescent="0.2">
      <c r="A674" s="287" t="str">
        <f>IF(CTR1_Local!$D705="",CTR1_Local!B705,CTR1_Local!$D705)</f>
        <v/>
      </c>
      <c r="B674" s="26" t="str">
        <f>IF(A674="","",IF(RIGHT(A674,3)="NEW","Add new / another parish",CTR1_Local!$AN705))</f>
        <v/>
      </c>
      <c r="C674" s="26" t="str">
        <f t="shared" si="10"/>
        <v/>
      </c>
      <c r="D674" s="177" t="str">
        <f>IF(A674="","",IF(RIGHT(A674,3)="NEW",CTR1_Local!$E705,IF(CTR1_Local!$AO705="change",CTR1_Local!$E705,"")))</f>
        <v/>
      </c>
      <c r="E674" t="str">
        <f>IF(CTR1_Local!$F705="","",CTR1_Local!$F705)</f>
        <v/>
      </c>
      <c r="F674" s="261" t="str">
        <f>IF(CTR1_Local!$T705="","",IF(CTR1_Local!$T705="Yes","Removed",""))</f>
        <v/>
      </c>
      <c r="G674" t="str">
        <f>IF(CTR1_Local!$N705="","",IF(F674="Removed","",CTR1_Local!$N705))</f>
        <v/>
      </c>
      <c r="H674" t="str">
        <f>IF(CTR1_Local!$P705="","",IF($F674="Removed","",CTR1_Local!$P705))</f>
        <v/>
      </c>
      <c r="I674" t="str">
        <f>IF(CTR1_Local!$R705="","",IF($F674="Removed","",CTR1_Local!$R705))</f>
        <v/>
      </c>
      <c r="J674" s="160" t="str">
        <f>CTR1_Local!$H705</f>
        <v/>
      </c>
      <c r="K674" s="340" t="str">
        <f>CTR1_Local!$J705</f>
        <v/>
      </c>
      <c r="L674" s="350" t="str">
        <f>CTR1_Local!$L705</f>
        <v/>
      </c>
      <c r="M674" s="261" t="str">
        <f>IF(CTR1_Local!$V705="","",IF(CTR1_Local!$V705="Yes","confirm",""))</f>
        <v/>
      </c>
      <c r="N674" t="str">
        <f>IF(CTR1_Local!$W705="","",CTR1_Local!$W705)</f>
        <v/>
      </c>
    </row>
    <row r="675" spans="1:14" ht="12.75" customHeight="1" x14ac:dyDescent="0.2">
      <c r="A675" s="287" t="str">
        <f>IF(CTR1_Local!$D706="",CTR1_Local!B706,CTR1_Local!$D706)</f>
        <v/>
      </c>
      <c r="B675" s="26" t="str">
        <f>IF(A675="","",IF(RIGHT(A675,3)="NEW","Add new / another parish",CTR1_Local!$AN706))</f>
        <v/>
      </c>
      <c r="C675" s="26" t="str">
        <f t="shared" si="10"/>
        <v/>
      </c>
      <c r="D675" s="177" t="str">
        <f>IF(A675="","",IF(RIGHT(A675,3)="NEW",CTR1_Local!$E706,IF(CTR1_Local!$AO706="change",CTR1_Local!$E706,"")))</f>
        <v/>
      </c>
      <c r="E675" t="str">
        <f>IF(CTR1_Local!$F706="","",CTR1_Local!$F706)</f>
        <v/>
      </c>
      <c r="F675" s="261" t="str">
        <f>IF(CTR1_Local!$T706="","",IF(CTR1_Local!$T706="Yes","Removed",""))</f>
        <v/>
      </c>
      <c r="G675" t="str">
        <f>IF(CTR1_Local!$N706="","",IF(F675="Removed","",CTR1_Local!$N706))</f>
        <v/>
      </c>
      <c r="H675" t="str">
        <f>IF(CTR1_Local!$P706="","",IF($F675="Removed","",CTR1_Local!$P706))</f>
        <v/>
      </c>
      <c r="I675" t="str">
        <f>IF(CTR1_Local!$R706="","",IF($F675="Removed","",CTR1_Local!$R706))</f>
        <v/>
      </c>
      <c r="J675" s="160" t="str">
        <f>CTR1_Local!$H706</f>
        <v/>
      </c>
      <c r="K675" s="340" t="str">
        <f>CTR1_Local!$J706</f>
        <v/>
      </c>
      <c r="L675" s="350" t="str">
        <f>CTR1_Local!$L706</f>
        <v/>
      </c>
      <c r="M675" s="261" t="str">
        <f>IF(CTR1_Local!$V706="","",IF(CTR1_Local!$V706="Yes","confirm",""))</f>
        <v/>
      </c>
      <c r="N675" t="str">
        <f>IF(CTR1_Local!$W706="","",CTR1_Local!$W706)</f>
        <v/>
      </c>
    </row>
    <row r="676" spans="1:14" ht="12.75" customHeight="1" x14ac:dyDescent="0.2">
      <c r="A676" s="287" t="str">
        <f>IF(CTR1_Local!$D707="",CTR1_Local!B707,CTR1_Local!$D707)</f>
        <v/>
      </c>
      <c r="B676" s="26" t="str">
        <f>IF(A676="","",IF(RIGHT(A676,3)="NEW","Add new / another parish",CTR1_Local!$AN707))</f>
        <v/>
      </c>
      <c r="C676" s="26" t="str">
        <f t="shared" si="10"/>
        <v/>
      </c>
      <c r="D676" s="177" t="str">
        <f>IF(A676="","",IF(RIGHT(A676,3)="NEW",CTR1_Local!$E707,IF(CTR1_Local!$AO707="change",CTR1_Local!$E707,"")))</f>
        <v/>
      </c>
      <c r="E676" t="str">
        <f>IF(CTR1_Local!$F707="","",CTR1_Local!$F707)</f>
        <v/>
      </c>
      <c r="F676" s="261" t="str">
        <f>IF(CTR1_Local!$T707="","",IF(CTR1_Local!$T707="Yes","Removed",""))</f>
        <v/>
      </c>
      <c r="G676" t="str">
        <f>IF(CTR1_Local!$N707="","",IF(F676="Removed","",CTR1_Local!$N707))</f>
        <v/>
      </c>
      <c r="H676" t="str">
        <f>IF(CTR1_Local!$P707="","",IF($F676="Removed","",CTR1_Local!$P707))</f>
        <v/>
      </c>
      <c r="I676" t="str">
        <f>IF(CTR1_Local!$R707="","",IF($F676="Removed","",CTR1_Local!$R707))</f>
        <v/>
      </c>
      <c r="J676" s="160" t="str">
        <f>CTR1_Local!$H707</f>
        <v/>
      </c>
      <c r="K676" s="340" t="str">
        <f>CTR1_Local!$J707</f>
        <v/>
      </c>
      <c r="L676" s="350" t="str">
        <f>CTR1_Local!$L707</f>
        <v/>
      </c>
      <c r="M676" s="261" t="str">
        <f>IF(CTR1_Local!$V707="","",IF(CTR1_Local!$V707="Yes","confirm",""))</f>
        <v/>
      </c>
      <c r="N676" t="str">
        <f>IF(CTR1_Local!$W707="","",CTR1_Local!$W707)</f>
        <v/>
      </c>
    </row>
  </sheetData>
  <sheetProtection algorithmName="SHA-512" hashValue="CzUdXBK3ofSV37Pjf9afCT3OENqOs43S4rtvUiS+6jaxiIYdzjQdTsqPqHGTXGrPj/SWztlnNHX0cWR9HY3S9w==" saltValue="jsoMT4wjP1qlufyxiRgpTQ=="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57"/>
  <sheetViews>
    <sheetView showGridLines="0" tabSelected="1" zoomScale="90" zoomScaleNormal="90" workbookViewId="0"/>
  </sheetViews>
  <sheetFormatPr defaultRowHeight="12.75" x14ac:dyDescent="0.2"/>
  <cols>
    <col min="1" max="1" width="4.5703125" customWidth="1"/>
    <col min="2" max="2" width="9.5703125" customWidth="1"/>
    <col min="3" max="3" width="154.28515625" customWidth="1"/>
    <col min="4" max="4" width="4.5703125" style="1" customWidth="1"/>
    <col min="5" max="5" width="9.140625" style="1"/>
  </cols>
  <sheetData>
    <row r="1" spans="1:5" s="517" customFormat="1" ht="15" x14ac:dyDescent="0.2">
      <c r="A1" s="514"/>
      <c r="B1" s="515"/>
      <c r="C1" s="515"/>
      <c r="D1" s="516"/>
      <c r="E1" s="6"/>
    </row>
    <row r="2" spans="1:5" s="517" customFormat="1" ht="18" x14ac:dyDescent="0.25">
      <c r="A2" s="900" t="s">
        <v>66</v>
      </c>
      <c r="B2" s="901"/>
      <c r="C2" s="902"/>
      <c r="D2" s="903"/>
      <c r="E2" s="6"/>
    </row>
    <row r="3" spans="1:5" s="517" customFormat="1" ht="18" x14ac:dyDescent="0.25">
      <c r="A3" s="904" t="s">
        <v>67</v>
      </c>
      <c r="B3" s="905"/>
      <c r="C3" s="905"/>
      <c r="D3" s="906"/>
      <c r="E3" s="6"/>
    </row>
    <row r="4" spans="1:5" s="517" customFormat="1" ht="15.75" customHeight="1" x14ac:dyDescent="0.25">
      <c r="A4" s="907"/>
      <c r="B4" s="908"/>
      <c r="C4" s="909"/>
      <c r="D4" s="910"/>
      <c r="E4" s="6"/>
    </row>
    <row r="5" spans="1:5" s="517" customFormat="1" ht="15.75" customHeight="1" x14ac:dyDescent="0.25">
      <c r="A5" s="915" t="s">
        <v>68</v>
      </c>
      <c r="B5" s="916"/>
      <c r="C5" s="916"/>
      <c r="D5" s="917"/>
      <c r="E5" s="6"/>
    </row>
    <row r="6" spans="1:5" s="517" customFormat="1" ht="15.75" customHeight="1" x14ac:dyDescent="0.25">
      <c r="A6" s="911" t="s">
        <v>69</v>
      </c>
      <c r="B6" s="908"/>
      <c r="C6" s="909"/>
      <c r="D6" s="910"/>
      <c r="E6" s="6"/>
    </row>
    <row r="7" spans="1:5" s="517" customFormat="1" ht="112.5" customHeight="1" x14ac:dyDescent="0.25">
      <c r="A7" s="914" t="s">
        <v>70</v>
      </c>
      <c r="B7" s="909"/>
      <c r="C7" s="909"/>
      <c r="D7" s="910"/>
      <c r="E7" s="6"/>
    </row>
    <row r="8" spans="1:5" s="517" customFormat="1" ht="15.75" customHeight="1" x14ac:dyDescent="0.25">
      <c r="A8" s="519"/>
      <c r="B8" s="6"/>
      <c r="C8" s="6"/>
      <c r="D8" s="518"/>
      <c r="E8" s="6"/>
    </row>
    <row r="9" spans="1:5" s="517" customFormat="1" ht="15.75" thickBot="1" x14ac:dyDescent="0.25">
      <c r="A9" s="520"/>
      <c r="B9" s="521"/>
      <c r="C9" s="522" t="s">
        <v>71</v>
      </c>
      <c r="D9" s="523" t="s">
        <v>72</v>
      </c>
      <c r="E9" s="6"/>
    </row>
    <row r="10" spans="1:5" s="1" customFormat="1" ht="15" customHeight="1" thickBot="1" x14ac:dyDescent="0.25"/>
    <row r="11" spans="1:5" x14ac:dyDescent="0.2">
      <c r="A11" s="524"/>
      <c r="B11" s="525"/>
      <c r="C11" s="525"/>
      <c r="D11" s="526"/>
      <c r="E11"/>
    </row>
    <row r="12" spans="1:5" s="527" customFormat="1" ht="18" x14ac:dyDescent="0.25">
      <c r="A12" s="911" t="s">
        <v>73</v>
      </c>
      <c r="B12" s="912"/>
      <c r="C12" s="912"/>
      <c r="D12" s="913"/>
    </row>
    <row r="13" spans="1:5" s="6" customFormat="1" ht="15.75" x14ac:dyDescent="0.2">
      <c r="A13" s="888" t="s">
        <v>74</v>
      </c>
      <c r="B13" s="889"/>
      <c r="C13" s="889"/>
      <c r="D13" s="890"/>
    </row>
    <row r="14" spans="1:5" s="6" customFormat="1" ht="16.5" thickBot="1" x14ac:dyDescent="0.3">
      <c r="A14" s="528"/>
      <c r="B14" s="529"/>
      <c r="C14" s="891"/>
      <c r="D14" s="892"/>
    </row>
    <row r="15" spans="1:5" ht="15" x14ac:dyDescent="0.25">
      <c r="A15" s="7"/>
      <c r="B15" s="8"/>
      <c r="C15" s="1"/>
      <c r="D15" s="9"/>
    </row>
    <row r="16" spans="1:5" ht="15" x14ac:dyDescent="0.25">
      <c r="A16" s="7"/>
      <c r="B16" s="8" t="s">
        <v>75</v>
      </c>
      <c r="C16" s="1"/>
      <c r="D16" s="9"/>
    </row>
    <row r="17" spans="1:4" ht="12.75" customHeight="1" x14ac:dyDescent="0.2">
      <c r="A17" s="12"/>
      <c r="C17" s="513"/>
      <c r="D17" s="9"/>
    </row>
    <row r="18" spans="1:4" ht="31.5" customHeight="1" x14ac:dyDescent="0.2">
      <c r="A18" s="10"/>
      <c r="B18" s="898" t="s">
        <v>76</v>
      </c>
      <c r="C18" s="898"/>
      <c r="D18" s="899"/>
    </row>
    <row r="19" spans="1:4" ht="14.25" x14ac:dyDescent="0.2">
      <c r="A19" s="10"/>
      <c r="B19" s="513"/>
      <c r="C19" s="513"/>
      <c r="D19" s="9"/>
    </row>
    <row r="20" spans="1:4" ht="14.25" x14ac:dyDescent="0.2">
      <c r="A20" s="12"/>
      <c r="B20" s="11" t="s">
        <v>77</v>
      </c>
      <c r="C20" s="1"/>
      <c r="D20" s="9"/>
    </row>
    <row r="21" spans="1:4" ht="15" thickBot="1" x14ac:dyDescent="0.25">
      <c r="A21" s="10"/>
      <c r="B21" s="11"/>
      <c r="C21" s="1"/>
      <c r="D21" s="9"/>
    </row>
    <row r="22" spans="1:4" ht="13.5" thickBot="1" x14ac:dyDescent="0.25">
      <c r="A22" s="13"/>
      <c r="B22" s="14"/>
      <c r="C22" s="894" t="s">
        <v>78</v>
      </c>
      <c r="D22" s="9"/>
    </row>
    <row r="23" spans="1:4" ht="14.25" customHeight="1" x14ac:dyDescent="0.2">
      <c r="A23" s="13"/>
      <c r="B23" s="1"/>
      <c r="C23" s="894"/>
      <c r="D23" s="9"/>
    </row>
    <row r="24" spans="1:4" ht="15" thickBot="1" x14ac:dyDescent="0.25">
      <c r="A24" s="13"/>
      <c r="B24" s="1"/>
      <c r="C24" s="16"/>
      <c r="D24" s="9"/>
    </row>
    <row r="25" spans="1:4" ht="13.5" thickBot="1" x14ac:dyDescent="0.25">
      <c r="A25" s="13"/>
      <c r="B25" s="17"/>
      <c r="C25" s="894" t="s">
        <v>79</v>
      </c>
      <c r="D25" s="9"/>
    </row>
    <row r="26" spans="1:4" ht="15" customHeight="1" x14ac:dyDescent="0.2">
      <c r="A26" s="13"/>
      <c r="C26" s="894"/>
      <c r="D26" s="9"/>
    </row>
    <row r="27" spans="1:4" ht="15" thickBot="1" x14ac:dyDescent="0.25">
      <c r="A27" s="13"/>
      <c r="C27" s="15"/>
      <c r="D27" s="9"/>
    </row>
    <row r="28" spans="1:4" ht="13.5" customHeight="1" thickBot="1" x14ac:dyDescent="0.25">
      <c r="A28" s="13"/>
      <c r="B28" s="19"/>
      <c r="C28" s="18" t="s">
        <v>80</v>
      </c>
      <c r="D28" s="9"/>
    </row>
    <row r="29" spans="1:4" ht="12.75" customHeight="1" x14ac:dyDescent="0.2">
      <c r="A29" s="13"/>
      <c r="B29" s="1"/>
      <c r="C29" s="15"/>
      <c r="D29" s="9"/>
    </row>
    <row r="30" spans="1:4" ht="14.25" x14ac:dyDescent="0.2">
      <c r="A30" s="13"/>
      <c r="B30" s="1"/>
      <c r="C30" s="15"/>
      <c r="D30" s="9"/>
    </row>
    <row r="31" spans="1:4" ht="15" x14ac:dyDescent="0.25">
      <c r="A31" s="7"/>
      <c r="B31" s="8" t="s">
        <v>81</v>
      </c>
      <c r="C31" s="1"/>
      <c r="D31" s="9"/>
    </row>
    <row r="32" spans="1:4" ht="15" x14ac:dyDescent="0.25">
      <c r="A32" s="7"/>
      <c r="B32" s="8"/>
      <c r="C32" s="1"/>
      <c r="D32" s="9"/>
    </row>
    <row r="33" spans="1:4" x14ac:dyDescent="0.2">
      <c r="A33" s="13"/>
      <c r="B33" s="893" t="s">
        <v>82</v>
      </c>
      <c r="C33" s="887"/>
      <c r="D33" s="9"/>
    </row>
    <row r="34" spans="1:4" x14ac:dyDescent="0.2">
      <c r="A34" s="13"/>
      <c r="B34" s="887"/>
      <c r="C34" s="887"/>
      <c r="D34" s="9"/>
    </row>
    <row r="35" spans="1:4" x14ac:dyDescent="0.2">
      <c r="A35" s="13"/>
      <c r="B35" s="887"/>
      <c r="C35" s="887"/>
      <c r="D35" s="9"/>
    </row>
    <row r="36" spans="1:4" x14ac:dyDescent="0.2">
      <c r="A36" s="13"/>
      <c r="B36" s="887"/>
      <c r="C36" s="887"/>
      <c r="D36" s="9"/>
    </row>
    <row r="37" spans="1:4" x14ac:dyDescent="0.2">
      <c r="A37" s="13"/>
      <c r="B37" s="887"/>
      <c r="C37" s="887"/>
      <c r="D37" s="9"/>
    </row>
    <row r="38" spans="1:4" ht="14.25" x14ac:dyDescent="0.2">
      <c r="A38" s="10" t="s">
        <v>83</v>
      </c>
      <c r="B38" s="887"/>
      <c r="C38" s="887"/>
      <c r="D38" s="9"/>
    </row>
    <row r="39" spans="1:4" ht="15" x14ac:dyDescent="0.25">
      <c r="A39" s="7"/>
      <c r="B39" s="8" t="s">
        <v>84</v>
      </c>
      <c r="C39" s="1"/>
      <c r="D39" s="9"/>
    </row>
    <row r="40" spans="1:4" ht="15" x14ac:dyDescent="0.25">
      <c r="A40" s="7"/>
      <c r="B40" s="8"/>
      <c r="C40" s="1"/>
      <c r="D40" s="9"/>
    </row>
    <row r="41" spans="1:4" ht="43.5" customHeight="1" x14ac:dyDescent="0.2">
      <c r="A41" s="13"/>
      <c r="B41" s="897" t="s">
        <v>85</v>
      </c>
      <c r="C41" s="897"/>
      <c r="D41" s="9"/>
    </row>
    <row r="42" spans="1:4" ht="90.6" customHeight="1" x14ac:dyDescent="0.2">
      <c r="A42" s="13"/>
      <c r="B42" s="885" t="s">
        <v>86</v>
      </c>
      <c r="C42" s="885"/>
      <c r="D42" s="9"/>
    </row>
    <row r="43" spans="1:4" ht="17.100000000000001" customHeight="1" x14ac:dyDescent="0.25">
      <c r="A43" s="13"/>
      <c r="B43" s="870" t="s">
        <v>87</v>
      </c>
      <c r="C43" s="792"/>
      <c r="D43" s="9"/>
    </row>
    <row r="44" spans="1:4" ht="48.75" customHeight="1" x14ac:dyDescent="0.25">
      <c r="A44" s="20"/>
      <c r="B44" s="895" t="s">
        <v>88</v>
      </c>
      <c r="C44" s="896"/>
      <c r="D44" s="9"/>
    </row>
    <row r="45" spans="1:4" ht="15" x14ac:dyDescent="0.25">
      <c r="A45" s="20"/>
      <c r="B45" s="161"/>
      <c r="C45" s="21"/>
      <c r="D45" s="9"/>
    </row>
    <row r="46" spans="1:4" ht="15" x14ac:dyDescent="0.25">
      <c r="A46" s="20"/>
      <c r="B46" s="8" t="s">
        <v>89</v>
      </c>
      <c r="C46" s="1"/>
      <c r="D46" s="9"/>
    </row>
    <row r="47" spans="1:4" ht="9.9499999999999993" customHeight="1" x14ac:dyDescent="0.25">
      <c r="A47" s="20"/>
      <c r="B47" s="8"/>
      <c r="C47" s="1"/>
      <c r="D47" s="9"/>
    </row>
    <row r="48" spans="1:4" ht="18.95" customHeight="1" x14ac:dyDescent="0.2">
      <c r="A48" s="13"/>
      <c r="B48" s="886" t="s">
        <v>90</v>
      </c>
      <c r="C48" s="887"/>
      <c r="D48" s="9"/>
    </row>
    <row r="49" spans="1:4" ht="15.75" customHeight="1" x14ac:dyDescent="0.2">
      <c r="A49" s="13"/>
      <c r="B49" s="887"/>
      <c r="C49" s="887"/>
      <c r="D49" s="9"/>
    </row>
    <row r="50" spans="1:4" ht="13.5" thickBot="1" x14ac:dyDescent="0.25">
      <c r="A50" s="270"/>
      <c r="B50" s="271"/>
      <c r="C50" s="271"/>
      <c r="D50" s="272"/>
    </row>
    <row r="53" spans="1:4" x14ac:dyDescent="0.2">
      <c r="B53" s="883"/>
      <c r="C53" s="884"/>
    </row>
    <row r="54" spans="1:4" x14ac:dyDescent="0.2">
      <c r="B54" s="884"/>
      <c r="C54" s="884"/>
    </row>
    <row r="55" spans="1:4" x14ac:dyDescent="0.2">
      <c r="B55" s="162"/>
      <c r="C55" s="162"/>
    </row>
    <row r="56" spans="1:4" x14ac:dyDescent="0.2">
      <c r="B56" s="883"/>
      <c r="C56" s="883"/>
    </row>
    <row r="57" spans="1:4" x14ac:dyDescent="0.2">
      <c r="B57" s="883"/>
      <c r="C57" s="883"/>
    </row>
  </sheetData>
  <sheetProtection sheet="1" objects="1" scenarios="1"/>
  <mergeCells count="19">
    <mergeCell ref="A2:D2"/>
    <mergeCell ref="A3:D3"/>
    <mergeCell ref="A4:D4"/>
    <mergeCell ref="A6:D6"/>
    <mergeCell ref="A12:D12"/>
    <mergeCell ref="A7:D7"/>
    <mergeCell ref="A5:D5"/>
    <mergeCell ref="B53:C54"/>
    <mergeCell ref="B56:C57"/>
    <mergeCell ref="B42:C42"/>
    <mergeCell ref="B48:C49"/>
    <mergeCell ref="A13:D13"/>
    <mergeCell ref="C14:D14"/>
    <mergeCell ref="B33:C38"/>
    <mergeCell ref="C22:C23"/>
    <mergeCell ref="C25:C26"/>
    <mergeCell ref="B44:C44"/>
    <mergeCell ref="B41:C41"/>
    <mergeCell ref="B18:D18"/>
  </mergeCells>
  <phoneticPr fontId="0" type="noConversion"/>
  <printOptions horizontalCentered="1"/>
  <pageMargins left="0.59055118110236227" right="0.59055118110236227" top="0.98425196850393704" bottom="0.98425196850393704" header="0.51181102362204722" footer="0.51181102362204722"/>
  <pageSetup paperSize="9" scale="83" orientation="portrait" r:id="rId1"/>
  <headerFooter alignWithMargins="0">
    <oddHeader>&amp;A</oddHeader>
    <oddFooter>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DD96A-0917-4E71-B144-7B979888D387}">
  <sheetPr codeName="Sheet2">
    <pageSetUpPr fitToPage="1"/>
  </sheetPr>
  <dimension ref="A1:BY443"/>
  <sheetViews>
    <sheetView showGridLines="0" zoomScale="60" zoomScaleNormal="60" zoomScaleSheetLayoutView="50" workbookViewId="0"/>
  </sheetViews>
  <sheetFormatPr defaultColWidth="9.140625" defaultRowHeight="12.75" customHeight="1" x14ac:dyDescent="0.2"/>
  <cols>
    <col min="1" max="1" width="5.85546875" style="290" customWidth="1"/>
    <col min="2" max="2" width="7.42578125" style="290" customWidth="1"/>
    <col min="3" max="3" width="78.28515625" style="290" customWidth="1"/>
    <col min="4" max="6" width="25.85546875" style="290" customWidth="1"/>
    <col min="7" max="7" width="3.5703125" style="290" customWidth="1"/>
    <col min="8" max="8" width="24.5703125" style="290" customWidth="1"/>
    <col min="9" max="10" width="25.85546875" style="290" customWidth="1"/>
    <col min="11" max="11" width="6.7109375" style="290" customWidth="1"/>
    <col min="12" max="12" width="25.5703125" style="296" hidden="1" customWidth="1"/>
    <col min="13" max="13" width="11.85546875" style="295" hidden="1" customWidth="1"/>
    <col min="14" max="14" width="6.7109375" style="292" hidden="1" customWidth="1"/>
    <col min="15" max="15" width="13.85546875" style="294" hidden="1" customWidth="1"/>
    <col min="16" max="16" width="6.7109375" style="293" customWidth="1"/>
    <col min="17" max="17" width="6.7109375" style="292" customWidth="1"/>
    <col min="18" max="18" width="6.7109375" style="290" customWidth="1"/>
    <col min="19" max="19" width="12.140625" style="291" customWidth="1"/>
    <col min="20" max="20" width="9.5703125" style="291" customWidth="1"/>
    <col min="21" max="21" width="10.42578125" style="291" customWidth="1"/>
    <col min="22" max="22" width="11.140625" style="291" customWidth="1"/>
    <col min="23" max="23" width="10.42578125" style="291" customWidth="1"/>
    <col min="24" max="24" width="8.42578125" style="291" customWidth="1"/>
    <col min="25" max="25" width="9.42578125" style="291" customWidth="1"/>
    <col min="26" max="26" width="10.42578125" style="291" customWidth="1"/>
    <col min="27" max="29" width="11.5703125" style="291" customWidth="1"/>
    <col min="30" max="35" width="12.140625" style="291" customWidth="1"/>
    <col min="36" max="37" width="12.140625" style="291" bestFit="1" customWidth="1"/>
    <col min="38" max="38" width="12.140625" style="291" customWidth="1"/>
    <col min="39" max="43" width="12.140625" style="291" bestFit="1" customWidth="1"/>
    <col min="44" max="45" width="12.140625" style="290" bestFit="1" customWidth="1"/>
    <col min="46" max="16384" width="9.140625" style="290"/>
  </cols>
  <sheetData>
    <row r="1" spans="1:77" s="533" customFormat="1" ht="20.100000000000001" customHeight="1" x14ac:dyDescent="0.25">
      <c r="A1" s="530"/>
      <c r="B1" s="530"/>
      <c r="C1" s="996"/>
      <c r="D1" s="997"/>
      <c r="E1" s="997"/>
      <c r="F1" s="997"/>
      <c r="G1" s="997"/>
      <c r="H1" s="997"/>
      <c r="I1" s="531"/>
      <c r="J1" s="845">
        <v>297</v>
      </c>
      <c r="K1" s="532"/>
      <c r="L1" s="294"/>
      <c r="M1" s="292"/>
      <c r="N1" s="292"/>
      <c r="O1" s="294"/>
      <c r="P1" s="293"/>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0"/>
      <c r="AT1" s="290"/>
      <c r="AU1" s="290"/>
      <c r="AV1" s="290"/>
      <c r="AW1" s="290"/>
      <c r="AX1" s="290"/>
      <c r="AY1" s="290"/>
      <c r="AZ1" s="298" t="s">
        <v>91</v>
      </c>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row>
    <row r="2" spans="1:77" ht="20.100000000000001" customHeight="1" x14ac:dyDescent="0.25">
      <c r="A2" s="534"/>
      <c r="B2" s="323"/>
      <c r="C2" s="998"/>
      <c r="D2" s="998"/>
      <c r="E2" s="998"/>
      <c r="F2" s="998"/>
      <c r="G2" s="998"/>
      <c r="H2" s="998"/>
      <c r="J2" s="535"/>
      <c r="K2" s="536"/>
      <c r="L2" s="294"/>
      <c r="M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row>
    <row r="3" spans="1:77" ht="20.100000000000001" customHeight="1" x14ac:dyDescent="0.25">
      <c r="A3" s="534"/>
      <c r="B3" s="323"/>
      <c r="C3" s="998"/>
      <c r="D3" s="998"/>
      <c r="E3" s="998"/>
      <c r="F3" s="998"/>
      <c r="G3" s="998"/>
      <c r="H3" s="998"/>
      <c r="J3" s="535"/>
      <c r="K3" s="536"/>
      <c r="L3" s="294"/>
      <c r="M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row>
    <row r="4" spans="1:77" ht="20.100000000000001" customHeight="1" x14ac:dyDescent="0.25">
      <c r="A4" s="534"/>
      <c r="B4" s="323"/>
      <c r="C4" s="998"/>
      <c r="D4" s="998"/>
      <c r="E4" s="998"/>
      <c r="F4" s="998"/>
      <c r="G4" s="998"/>
      <c r="H4" s="998"/>
      <c r="J4" s="535"/>
      <c r="K4" s="536"/>
      <c r="L4" s="294"/>
      <c r="M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row>
    <row r="5" spans="1:77" ht="20.25" x14ac:dyDescent="0.3">
      <c r="A5" s="994" t="s">
        <v>92</v>
      </c>
      <c r="B5" s="995"/>
      <c r="C5" s="995"/>
      <c r="D5" s="995"/>
      <c r="E5" s="995"/>
      <c r="F5" s="995"/>
      <c r="G5" s="995"/>
      <c r="H5" s="995"/>
      <c r="I5" s="995"/>
      <c r="J5" s="995"/>
      <c r="K5" s="537"/>
      <c r="L5" s="294"/>
      <c r="M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row>
    <row r="6" spans="1:77" s="541" customFormat="1" ht="23.25" x14ac:dyDescent="0.35">
      <c r="A6" s="1002" t="s">
        <v>67</v>
      </c>
      <c r="B6" s="1003"/>
      <c r="C6" s="1003"/>
      <c r="D6" s="1003"/>
      <c r="E6" s="1003"/>
      <c r="F6" s="1003"/>
      <c r="G6" s="1003"/>
      <c r="H6" s="1003"/>
      <c r="I6" s="1003"/>
      <c r="J6" s="1003"/>
      <c r="K6" s="537"/>
      <c r="L6" s="538"/>
      <c r="M6" s="539"/>
      <c r="N6" s="539"/>
      <c r="O6" s="538"/>
      <c r="P6" s="540"/>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row>
    <row r="7" spans="1:77" ht="15.75" x14ac:dyDescent="0.25">
      <c r="A7" s="1005" t="s">
        <v>93</v>
      </c>
      <c r="B7" s="1000"/>
      <c r="C7" s="1000"/>
      <c r="D7" s="1000"/>
      <c r="E7" s="1000"/>
      <c r="F7" s="1000"/>
      <c r="G7" s="1000"/>
      <c r="H7" s="1000"/>
      <c r="I7" s="1000"/>
      <c r="J7" s="1000"/>
      <c r="K7" s="537"/>
      <c r="L7" s="294"/>
      <c r="M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row>
    <row r="8" spans="1:77" ht="16.5" x14ac:dyDescent="0.25">
      <c r="A8" s="534"/>
      <c r="B8" s="543"/>
      <c r="C8" s="543"/>
      <c r="D8" s="543"/>
      <c r="E8" s="543"/>
      <c r="F8" s="543"/>
      <c r="G8" s="543"/>
      <c r="H8" s="543"/>
      <c r="I8" s="543"/>
      <c r="J8" s="544"/>
      <c r="K8" s="545"/>
      <c r="L8" s="294"/>
      <c r="M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row>
    <row r="9" spans="1:77" ht="15.75" x14ac:dyDescent="0.2">
      <c r="A9" s="1001" t="s">
        <v>94</v>
      </c>
      <c r="B9" s="1000"/>
      <c r="C9" s="1000"/>
      <c r="D9" s="1000"/>
      <c r="E9" s="1000"/>
      <c r="F9" s="1000"/>
      <c r="G9" s="1000"/>
      <c r="H9" s="1000"/>
      <c r="I9" s="1000"/>
      <c r="J9" s="1000"/>
      <c r="K9" s="537"/>
      <c r="L9" s="294"/>
      <c r="M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row>
    <row r="10" spans="1:77" ht="15.75" x14ac:dyDescent="0.25">
      <c r="A10" s="534"/>
      <c r="B10" s="1004"/>
      <c r="C10" s="1004"/>
      <c r="D10" s="1004"/>
      <c r="E10" s="1004"/>
      <c r="F10" s="1004"/>
      <c r="G10" s="1004"/>
      <c r="H10" s="1004"/>
      <c r="I10" s="1004"/>
      <c r="J10" s="1004"/>
      <c r="K10" s="547"/>
      <c r="L10" s="294"/>
      <c r="M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row>
    <row r="11" spans="1:77" ht="16.5" customHeight="1" x14ac:dyDescent="0.2">
      <c r="A11" s="999" t="s">
        <v>95</v>
      </c>
      <c r="B11" s="1000"/>
      <c r="C11" s="1000"/>
      <c r="D11" s="1000"/>
      <c r="E11" s="1000"/>
      <c r="F11" s="1000"/>
      <c r="G11" s="1000"/>
      <c r="H11" s="1000"/>
      <c r="I11" s="1000"/>
      <c r="J11" s="1000"/>
      <c r="K11" s="537"/>
      <c r="L11" s="294"/>
      <c r="M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row>
    <row r="12" spans="1:77" ht="15.75" x14ac:dyDescent="0.25">
      <c r="A12" s="548"/>
      <c r="B12" s="549"/>
      <c r="C12" s="550"/>
      <c r="D12" s="550"/>
      <c r="E12" s="550"/>
      <c r="F12" s="550"/>
      <c r="G12" s="550"/>
      <c r="H12" s="550"/>
      <c r="I12" s="551"/>
      <c r="J12" s="551" t="str">
        <f>Instructions!C9</f>
        <v>Ver</v>
      </c>
      <c r="K12" s="552" t="str">
        <f>Instructions!D9</f>
        <v>1.1</v>
      </c>
      <c r="L12" s="294"/>
      <c r="M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row>
    <row r="13" spans="1:77" ht="15.75" x14ac:dyDescent="0.25">
      <c r="A13" s="553"/>
      <c r="B13" s="554"/>
      <c r="C13" s="555"/>
      <c r="D13" s="555"/>
      <c r="E13" s="555"/>
      <c r="F13" s="555"/>
      <c r="G13" s="555"/>
      <c r="H13" s="555"/>
      <c r="I13" s="555"/>
      <c r="J13" s="531"/>
      <c r="K13" s="556"/>
      <c r="L13" s="294"/>
      <c r="M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row>
    <row r="14" spans="1:77" ht="15.75" x14ac:dyDescent="0.25">
      <c r="A14" s="534"/>
      <c r="I14" s="535"/>
      <c r="K14" s="537"/>
      <c r="L14" s="294"/>
      <c r="M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row>
    <row r="15" spans="1:77" ht="16.5" x14ac:dyDescent="0.25">
      <c r="A15" s="534"/>
      <c r="C15" s="557" t="s">
        <v>96</v>
      </c>
      <c r="D15" s="558"/>
      <c r="E15" s="535"/>
      <c r="F15" s="535"/>
      <c r="G15" s="535"/>
      <c r="H15" s="535"/>
      <c r="J15" s="559"/>
      <c r="K15" s="560"/>
      <c r="L15" s="294"/>
      <c r="M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row>
    <row r="16" spans="1:77" x14ac:dyDescent="0.2">
      <c r="A16" s="534"/>
      <c r="B16" s="561"/>
      <c r="C16" s="562"/>
      <c r="D16" s="562"/>
      <c r="E16" s="559"/>
      <c r="F16" s="559"/>
      <c r="G16" s="559"/>
      <c r="H16" s="559"/>
      <c r="J16" s="559"/>
      <c r="K16" s="560"/>
      <c r="L16" s="294"/>
      <c r="M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row>
    <row r="17" spans="1:44" ht="18" x14ac:dyDescent="0.25">
      <c r="A17" s="534"/>
      <c r="B17" s="561"/>
      <c r="E17" s="562"/>
      <c r="F17" s="562"/>
      <c r="G17" s="562"/>
      <c r="H17" s="562"/>
      <c r="I17" s="563"/>
      <c r="J17" s="559"/>
      <c r="K17" s="560"/>
      <c r="L17" s="294"/>
      <c r="M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row>
    <row r="18" spans="1:44" x14ac:dyDescent="0.2">
      <c r="A18" s="534"/>
      <c r="E18" s="562"/>
      <c r="F18" s="562"/>
      <c r="G18" s="562"/>
      <c r="H18" s="562"/>
      <c r="I18" s="559"/>
      <c r="K18" s="537"/>
      <c r="L18" s="294"/>
      <c r="M18" s="292"/>
      <c r="P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0"/>
      <c r="AQ18" s="290"/>
    </row>
    <row r="19" spans="1:44" x14ac:dyDescent="0.2">
      <c r="A19" s="534"/>
      <c r="E19" s="562"/>
      <c r="F19" s="562"/>
      <c r="G19" s="562"/>
      <c r="H19" s="562"/>
      <c r="I19" s="559"/>
      <c r="K19" s="537"/>
      <c r="L19" s="294"/>
      <c r="M19" s="292"/>
      <c r="P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0"/>
      <c r="AQ19" s="290"/>
    </row>
    <row r="20" spans="1:44" ht="15.75" x14ac:dyDescent="0.25">
      <c r="A20" s="534"/>
      <c r="C20" s="564" t="s">
        <v>97</v>
      </c>
      <c r="D20" s="564"/>
      <c r="E20" s="565" t="str" cm="1">
        <f t="array" ref="E20">_xlfn.XLOOKUP($J$1,INDEX(datar,,1),INDEX(datar,,2))</f>
        <v>ZZZZ</v>
      </c>
      <c r="F20" s="566"/>
      <c r="G20" s="566"/>
      <c r="H20" s="567"/>
      <c r="I20" s="568"/>
      <c r="K20" s="537"/>
      <c r="L20" s="294"/>
      <c r="M20" s="292"/>
      <c r="P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0"/>
      <c r="AQ20" s="290"/>
    </row>
    <row r="21" spans="1:44" ht="16.5" thickBot="1" x14ac:dyDescent="0.3">
      <c r="A21" s="534"/>
      <c r="C21" s="564" t="s">
        <v>98</v>
      </c>
      <c r="D21" s="564"/>
      <c r="E21" s="569" t="str" cm="1">
        <f t="array" ref="E21">_xlfn.XLOOKUP($J$1,INDEX(datar,,1),INDEX(datar,,3))</f>
        <v>EZZZZ</v>
      </c>
      <c r="F21" s="570"/>
      <c r="G21" s="570"/>
      <c r="H21" s="571"/>
      <c r="I21" s="568"/>
      <c r="K21" s="537"/>
      <c r="L21" s="294"/>
      <c r="M21" s="292"/>
      <c r="P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0"/>
      <c r="AQ21" s="290"/>
    </row>
    <row r="22" spans="1:44" ht="15.75" x14ac:dyDescent="0.25">
      <c r="C22" s="572"/>
      <c r="D22" s="572"/>
      <c r="E22" s="572"/>
      <c r="F22" s="573"/>
      <c r="K22" s="537"/>
      <c r="L22" s="574"/>
      <c r="M22" s="292"/>
      <c r="P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0"/>
      <c r="AQ22" s="290"/>
    </row>
    <row r="23" spans="1:44" x14ac:dyDescent="0.2">
      <c r="A23" s="575"/>
      <c r="I23" s="568"/>
      <c r="K23" s="537"/>
      <c r="L23" s="574"/>
      <c r="M23" s="292"/>
      <c r="P23" s="292"/>
      <c r="R23" s="292"/>
      <c r="S23" s="292"/>
      <c r="T23" s="292"/>
      <c r="U23" s="292"/>
      <c r="V23" s="292"/>
      <c r="W23" s="292"/>
      <c r="X23" s="292"/>
      <c r="Y23" s="292"/>
      <c r="Z23" s="292"/>
      <c r="AA23" s="292"/>
      <c r="AB23" s="292"/>
      <c r="AC23" s="292"/>
      <c r="AD23" s="292"/>
      <c r="AE23" s="292"/>
      <c r="AF23" s="292"/>
      <c r="AG23" s="292"/>
      <c r="AH23" s="292"/>
      <c r="AI23" s="292"/>
      <c r="AJ23" s="292"/>
      <c r="AK23" s="292"/>
      <c r="AL23" s="292"/>
      <c r="AM23" s="292"/>
      <c r="AN23" s="292"/>
      <c r="AO23" s="292"/>
      <c r="AP23" s="290"/>
      <c r="AQ23" s="290"/>
    </row>
    <row r="24" spans="1:44" ht="16.5" x14ac:dyDescent="0.25">
      <c r="A24" s="534"/>
      <c r="E24" s="546"/>
      <c r="F24" s="576" t="s">
        <v>99</v>
      </c>
      <c r="G24" s="577"/>
      <c r="H24" s="576" t="s">
        <v>67</v>
      </c>
      <c r="I24" s="568"/>
      <c r="K24" s="537"/>
      <c r="L24" s="574"/>
      <c r="M24" s="292"/>
      <c r="N24" s="990"/>
      <c r="O24" s="990"/>
      <c r="P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0"/>
      <c r="AQ24" s="290"/>
    </row>
    <row r="25" spans="1:44" ht="16.5" x14ac:dyDescent="0.25">
      <c r="A25" s="534"/>
      <c r="E25" s="546"/>
      <c r="F25" s="577" t="s">
        <v>100</v>
      </c>
      <c r="G25" s="577"/>
      <c r="H25" s="577" t="s">
        <v>100</v>
      </c>
      <c r="I25" s="568"/>
      <c r="K25" s="537"/>
      <c r="L25" s="574"/>
      <c r="M25" s="292"/>
      <c r="N25" s="992"/>
      <c r="O25" s="992"/>
      <c r="P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0"/>
      <c r="AQ25" s="290"/>
    </row>
    <row r="26" spans="1:44" ht="27.95" customHeight="1" thickBot="1" x14ac:dyDescent="0.3">
      <c r="A26" s="534"/>
      <c r="B26" s="578" t="s">
        <v>101</v>
      </c>
      <c r="C26" s="579"/>
      <c r="E26" s="546"/>
      <c r="F26" s="577"/>
      <c r="G26" s="577"/>
      <c r="H26" s="577"/>
      <c r="I26" s="568"/>
      <c r="K26" s="537"/>
      <c r="L26" s="574"/>
      <c r="M26" s="292"/>
      <c r="N26" s="991"/>
      <c r="O26" s="991"/>
      <c r="P26" s="580"/>
      <c r="Q26" s="580"/>
      <c r="R26" s="580"/>
      <c r="S26" s="580"/>
      <c r="T26" s="580"/>
      <c r="U26" s="580"/>
      <c r="V26" s="580"/>
      <c r="W26" s="580"/>
      <c r="X26" s="580"/>
      <c r="Y26" s="580"/>
      <c r="Z26" s="292"/>
      <c r="AA26" s="292"/>
      <c r="AB26" s="292"/>
      <c r="AC26" s="292"/>
      <c r="AD26" s="292"/>
      <c r="AE26" s="292"/>
      <c r="AF26" s="292"/>
      <c r="AG26" s="292"/>
      <c r="AH26" s="292"/>
      <c r="AI26" s="292"/>
      <c r="AJ26" s="292"/>
      <c r="AK26" s="292"/>
      <c r="AL26" s="292"/>
      <c r="AM26" s="292"/>
      <c r="AN26" s="292"/>
      <c r="AO26" s="292"/>
      <c r="AP26" s="290"/>
      <c r="AQ26" s="290"/>
    </row>
    <row r="27" spans="1:44" ht="21" customHeight="1" thickBot="1" x14ac:dyDescent="0.3">
      <c r="A27" s="581"/>
      <c r="B27" s="928" t="s">
        <v>102</v>
      </c>
      <c r="C27" s="946"/>
      <c r="D27" s="929"/>
      <c r="E27" s="584"/>
      <c r="F27" s="585" cm="1">
        <f t="array" ref="F27">_xlfn.XLOOKUP($J$1,INDEX(datar,,1),INDEX(datar,,7))</f>
        <v>0</v>
      </c>
      <c r="G27" s="584"/>
      <c r="H27" s="586"/>
      <c r="I27" s="546"/>
      <c r="K27" s="537"/>
      <c r="L27" s="294"/>
      <c r="M27" s="292"/>
      <c r="N27" s="587"/>
      <c r="O27" s="588"/>
      <c r="R27" s="580"/>
      <c r="S27" s="580"/>
      <c r="T27" s="580"/>
      <c r="U27" s="580"/>
      <c r="V27" s="580"/>
      <c r="W27" s="580"/>
      <c r="X27" s="580"/>
      <c r="Y27" s="580"/>
      <c r="Z27" s="580"/>
      <c r="AA27" s="580"/>
      <c r="AB27" s="580"/>
      <c r="AC27" s="292"/>
      <c r="AD27" s="292"/>
      <c r="AE27" s="292"/>
      <c r="AF27" s="292"/>
      <c r="AG27" s="292"/>
      <c r="AH27" s="292"/>
      <c r="AI27" s="292"/>
      <c r="AJ27" s="292"/>
      <c r="AK27" s="292"/>
      <c r="AL27" s="292"/>
      <c r="AM27" s="292"/>
      <c r="AN27" s="292"/>
      <c r="AO27" s="292"/>
      <c r="AP27" s="292"/>
      <c r="AQ27" s="292"/>
      <c r="AR27" s="292"/>
    </row>
    <row r="28" spans="1:44" ht="21" customHeight="1" x14ac:dyDescent="0.25">
      <c r="A28" s="581"/>
      <c r="B28" s="929"/>
      <c r="C28" s="929"/>
      <c r="D28" s="929"/>
      <c r="E28" s="546"/>
      <c r="F28" s="589"/>
      <c r="G28" s="546"/>
      <c r="H28" s="546"/>
      <c r="I28" s="546"/>
      <c r="K28" s="537"/>
      <c r="L28" s="294"/>
      <c r="M28" s="292"/>
      <c r="N28" s="587"/>
      <c r="O28" s="588"/>
      <c r="R28" s="580"/>
      <c r="S28" s="580"/>
      <c r="T28" s="580"/>
      <c r="U28" s="580"/>
      <c r="V28" s="580"/>
      <c r="W28" s="580"/>
      <c r="X28" s="580"/>
      <c r="Y28" s="580"/>
      <c r="Z28" s="580"/>
      <c r="AA28" s="580"/>
      <c r="AB28" s="580"/>
      <c r="AC28" s="292"/>
      <c r="AD28" s="292"/>
      <c r="AE28" s="292"/>
      <c r="AF28" s="292"/>
      <c r="AG28" s="292"/>
      <c r="AH28" s="292"/>
      <c r="AI28" s="292"/>
      <c r="AJ28" s="292"/>
      <c r="AK28" s="292"/>
      <c r="AL28" s="292"/>
      <c r="AM28" s="292"/>
      <c r="AN28" s="292"/>
      <c r="AO28" s="292"/>
      <c r="AP28" s="292"/>
      <c r="AQ28" s="292"/>
      <c r="AR28" s="292"/>
    </row>
    <row r="29" spans="1:44" ht="21" customHeight="1" thickBot="1" x14ac:dyDescent="0.3">
      <c r="A29" s="581"/>
      <c r="B29" s="1008" t="s">
        <v>103</v>
      </c>
      <c r="C29" s="946"/>
      <c r="D29" s="946"/>
      <c r="E29" s="546"/>
      <c r="F29" s="589"/>
      <c r="G29" s="546"/>
      <c r="H29" s="546"/>
      <c r="I29" s="546"/>
      <c r="K29" s="537"/>
      <c r="L29" s="294"/>
      <c r="M29" s="292"/>
      <c r="N29" s="587"/>
      <c r="O29" s="588"/>
      <c r="R29" s="580"/>
      <c r="S29" s="580"/>
      <c r="T29" s="580"/>
      <c r="U29" s="580"/>
      <c r="V29" s="580"/>
      <c r="W29" s="580"/>
      <c r="X29" s="580"/>
      <c r="Y29" s="580"/>
      <c r="Z29" s="580"/>
      <c r="AA29" s="580"/>
      <c r="AB29" s="580"/>
      <c r="AC29" s="292"/>
      <c r="AD29" s="292"/>
      <c r="AE29" s="292"/>
      <c r="AF29" s="292"/>
      <c r="AG29" s="292"/>
      <c r="AH29" s="292"/>
      <c r="AI29" s="292"/>
      <c r="AJ29" s="292"/>
      <c r="AK29" s="292"/>
      <c r="AL29" s="292"/>
      <c r="AM29" s="292"/>
      <c r="AN29" s="292"/>
      <c r="AO29" s="292"/>
      <c r="AP29" s="292"/>
      <c r="AQ29" s="292"/>
      <c r="AR29" s="292"/>
    </row>
    <row r="30" spans="1:44" ht="21" customHeight="1" thickBot="1" x14ac:dyDescent="0.3">
      <c r="A30" s="581"/>
      <c r="B30" s="946"/>
      <c r="C30" s="946"/>
      <c r="D30" s="946"/>
      <c r="E30" s="546"/>
      <c r="F30" s="585" cm="1">
        <f t="array" ref="F30">_xlfn.XLOOKUP($J$1,INDEX(datar,,1),INDEX(datar,,8))</f>
        <v>0</v>
      </c>
      <c r="G30" s="546"/>
      <c r="H30" s="590"/>
      <c r="I30" s="1006" t="str">
        <f>IF(OR(H30="",H30=0),"", "Please ensure this figure is included in line 1")</f>
        <v/>
      </c>
      <c r="J30" s="963"/>
      <c r="K30" s="537"/>
      <c r="L30" s="294"/>
      <c r="M30" s="292"/>
      <c r="N30" s="587"/>
      <c r="O30" s="588"/>
      <c r="R30" s="580"/>
      <c r="S30" s="580"/>
      <c r="T30" s="580"/>
      <c r="U30" s="580"/>
      <c r="V30" s="580"/>
      <c r="W30" s="580"/>
      <c r="X30" s="580"/>
      <c r="Y30" s="580"/>
      <c r="Z30" s="580"/>
      <c r="AA30" s="580"/>
      <c r="AB30" s="580"/>
      <c r="AC30" s="292"/>
      <c r="AD30" s="292"/>
      <c r="AE30" s="292"/>
      <c r="AF30" s="292"/>
      <c r="AG30" s="292"/>
      <c r="AH30" s="292"/>
      <c r="AI30" s="292"/>
      <c r="AJ30" s="292"/>
      <c r="AK30" s="292"/>
      <c r="AL30" s="292"/>
      <c r="AM30" s="292"/>
      <c r="AN30" s="292"/>
      <c r="AO30" s="292"/>
      <c r="AP30" s="292"/>
      <c r="AQ30" s="292"/>
      <c r="AR30" s="292"/>
    </row>
    <row r="31" spans="1:44" ht="21" customHeight="1" thickBot="1" x14ac:dyDescent="0.3">
      <c r="A31" s="581"/>
      <c r="B31" s="946"/>
      <c r="C31" s="946"/>
      <c r="D31" s="946"/>
      <c r="E31" s="546"/>
      <c r="F31" s="589"/>
      <c r="G31" s="546"/>
      <c r="H31" s="546"/>
      <c r="I31" s="546"/>
      <c r="K31" s="537"/>
      <c r="L31" s="294"/>
      <c r="M31" s="292"/>
      <c r="N31" s="591"/>
      <c r="O31" s="587"/>
      <c r="R31" s="580"/>
      <c r="S31" s="580"/>
      <c r="T31" s="580"/>
      <c r="U31" s="580"/>
      <c r="V31" s="580"/>
      <c r="W31" s="580"/>
      <c r="X31" s="580"/>
      <c r="Y31" s="580"/>
      <c r="Z31" s="580"/>
      <c r="AA31" s="580"/>
      <c r="AB31" s="580"/>
      <c r="AC31" s="292"/>
      <c r="AD31" s="292"/>
      <c r="AE31" s="292"/>
      <c r="AF31" s="292"/>
      <c r="AG31" s="292"/>
      <c r="AH31" s="292"/>
      <c r="AI31" s="292"/>
      <c r="AJ31" s="292"/>
      <c r="AK31" s="292"/>
      <c r="AL31" s="292"/>
      <c r="AM31" s="292"/>
      <c r="AN31" s="292"/>
      <c r="AO31" s="292"/>
      <c r="AP31" s="292"/>
      <c r="AQ31" s="292"/>
      <c r="AR31" s="292"/>
    </row>
    <row r="32" spans="1:44" ht="21.75" customHeight="1" thickBot="1" x14ac:dyDescent="0.3">
      <c r="A32" s="581"/>
      <c r="B32" s="928" t="s">
        <v>104</v>
      </c>
      <c r="C32" s="946"/>
      <c r="D32" s="929"/>
      <c r="E32" s="584"/>
      <c r="F32" s="585" cm="1">
        <f t="array" ref="F32">_xlfn.XLOOKUP($J$1,INDEX(datar,,1),INDEX(datar,,9))</f>
        <v>0</v>
      </c>
      <c r="G32" s="584"/>
      <c r="H32" s="586"/>
      <c r="I32" s="1006" t="str">
        <f>IF(OR(H32="",H32=0),"", "Please ensure this figure is included in line 1")</f>
        <v/>
      </c>
      <c r="J32" s="963"/>
      <c r="K32" s="537"/>
      <c r="L32" s="294"/>
      <c r="M32" s="292"/>
      <c r="N32" s="587"/>
      <c r="O32" s="587"/>
      <c r="R32" s="580"/>
      <c r="S32" s="580"/>
      <c r="T32" s="580"/>
      <c r="U32" s="580"/>
      <c r="V32" s="580"/>
      <c r="W32" s="580"/>
      <c r="X32" s="580"/>
      <c r="Y32" s="580"/>
      <c r="Z32" s="580"/>
      <c r="AA32" s="580"/>
      <c r="AB32" s="580"/>
      <c r="AC32" s="292"/>
      <c r="AD32" s="292"/>
      <c r="AE32" s="292"/>
      <c r="AF32" s="292"/>
      <c r="AG32" s="292"/>
      <c r="AH32" s="292"/>
      <c r="AI32" s="292"/>
      <c r="AJ32" s="292"/>
      <c r="AK32" s="292"/>
      <c r="AL32" s="292"/>
      <c r="AM32" s="292"/>
      <c r="AN32" s="292"/>
      <c r="AO32" s="292"/>
      <c r="AP32" s="292"/>
      <c r="AQ32" s="292"/>
      <c r="AR32" s="292"/>
    </row>
    <row r="33" spans="1:44" ht="21" customHeight="1" x14ac:dyDescent="0.25">
      <c r="A33" s="581"/>
      <c r="B33" s="546"/>
      <c r="C33" s="592"/>
      <c r="D33" s="593"/>
      <c r="E33" s="593"/>
      <c r="F33" s="593"/>
      <c r="G33" s="593"/>
      <c r="H33" s="1007" t="str">
        <f>IF((H30+H32) &gt; H27, "The sum of line 1a and line 2 cannot be greater than line 1", "")</f>
        <v/>
      </c>
      <c r="I33" s="1007"/>
      <c r="J33" s="1007"/>
      <c r="K33" s="537"/>
      <c r="L33" s="294"/>
      <c r="M33" s="292"/>
      <c r="O33" s="587"/>
      <c r="R33" s="580"/>
      <c r="S33" s="580"/>
      <c r="T33" s="580"/>
      <c r="U33" s="580"/>
      <c r="V33" s="580"/>
      <c r="W33" s="580"/>
      <c r="X33" s="580"/>
      <c r="Y33" s="580"/>
      <c r="Z33" s="580"/>
      <c r="AA33" s="580"/>
      <c r="AB33" s="580"/>
      <c r="AC33" s="292"/>
      <c r="AD33" s="292"/>
      <c r="AE33" s="292"/>
      <c r="AF33" s="292"/>
      <c r="AG33" s="292"/>
      <c r="AH33" s="292"/>
      <c r="AI33" s="292"/>
      <c r="AJ33" s="292"/>
      <c r="AK33" s="292"/>
      <c r="AL33" s="292"/>
      <c r="AM33" s="292"/>
      <c r="AN33" s="292"/>
      <c r="AO33" s="292"/>
      <c r="AP33" s="292"/>
      <c r="AQ33" s="292"/>
      <c r="AR33" s="292"/>
    </row>
    <row r="34" spans="1:44" ht="21" customHeight="1" x14ac:dyDescent="0.25">
      <c r="A34" s="581"/>
      <c r="B34" s="928" t="s">
        <v>105</v>
      </c>
      <c r="C34" s="946"/>
      <c r="D34" s="929"/>
      <c r="E34" s="594"/>
      <c r="F34" s="595">
        <f>F27-F32</f>
        <v>0</v>
      </c>
      <c r="G34" s="594"/>
      <c r="H34" s="595">
        <f>H27-H32</f>
        <v>0</v>
      </c>
      <c r="I34" s="546"/>
      <c r="K34" s="537"/>
      <c r="L34" s="294"/>
      <c r="M34" s="292"/>
      <c r="N34" s="587"/>
      <c r="O34" s="596"/>
      <c r="R34" s="580"/>
      <c r="S34" s="580"/>
      <c r="T34" s="580"/>
      <c r="U34" s="580"/>
      <c r="V34" s="580"/>
      <c r="W34" s="580"/>
      <c r="X34" s="580"/>
      <c r="Y34" s="580"/>
      <c r="Z34" s="580"/>
      <c r="AA34" s="580"/>
      <c r="AB34" s="580"/>
      <c r="AC34" s="292"/>
      <c r="AD34" s="292"/>
      <c r="AE34" s="292"/>
      <c r="AF34" s="292"/>
      <c r="AG34" s="292"/>
      <c r="AH34" s="292"/>
      <c r="AI34" s="292"/>
      <c r="AJ34" s="292"/>
      <c r="AK34" s="292"/>
      <c r="AL34" s="292"/>
      <c r="AM34" s="292"/>
      <c r="AN34" s="292"/>
      <c r="AO34" s="292"/>
      <c r="AP34" s="292"/>
      <c r="AQ34" s="292"/>
      <c r="AR34" s="292"/>
    </row>
    <row r="35" spans="1:44" s="542" customFormat="1" ht="21" customHeight="1" x14ac:dyDescent="0.25">
      <c r="A35" s="581"/>
      <c r="B35" s="929"/>
      <c r="C35" s="929"/>
      <c r="D35" s="929"/>
      <c r="E35" s="546"/>
      <c r="F35" s="546"/>
      <c r="G35" s="546"/>
      <c r="H35" s="546"/>
      <c r="I35" s="546"/>
      <c r="K35" s="597"/>
      <c r="L35" s="598"/>
      <c r="M35" s="591"/>
      <c r="N35" s="591"/>
      <c r="O35" s="587"/>
      <c r="P35" s="599"/>
      <c r="Q35" s="591"/>
      <c r="R35" s="600"/>
      <c r="S35" s="600"/>
      <c r="T35" s="600"/>
      <c r="U35" s="600"/>
      <c r="V35" s="600"/>
      <c r="W35" s="600"/>
      <c r="X35" s="600"/>
      <c r="Y35" s="600"/>
      <c r="Z35" s="600"/>
      <c r="AA35" s="600"/>
      <c r="AB35" s="600"/>
      <c r="AC35" s="591"/>
      <c r="AD35" s="591"/>
      <c r="AE35" s="591"/>
      <c r="AF35" s="591"/>
      <c r="AG35" s="591"/>
      <c r="AH35" s="591"/>
      <c r="AI35" s="591"/>
      <c r="AJ35" s="591"/>
      <c r="AK35" s="591"/>
      <c r="AL35" s="591"/>
      <c r="AM35" s="591"/>
      <c r="AN35" s="591"/>
      <c r="AO35" s="591"/>
      <c r="AP35" s="591"/>
      <c r="AQ35" s="591"/>
      <c r="AR35" s="591"/>
    </row>
    <row r="36" spans="1:44" s="542" customFormat="1" ht="21.75" customHeight="1" x14ac:dyDescent="0.25">
      <c r="A36" s="581"/>
      <c r="B36" s="290"/>
      <c r="C36" s="946" t="s">
        <v>106</v>
      </c>
      <c r="D36" s="946"/>
      <c r="E36" s="946"/>
      <c r="F36" s="585" cm="1">
        <f t="array" ref="F36">_xlfn.XLOOKUP($J$1,INDEX(datar,,1),INDEX(datar,,11))</f>
        <v>0</v>
      </c>
      <c r="G36" s="594"/>
      <c r="H36" s="586"/>
      <c r="I36" s="546"/>
      <c r="K36" s="597"/>
      <c r="L36" s="598"/>
      <c r="M36" s="591"/>
      <c r="N36" s="591"/>
      <c r="O36" s="587"/>
      <c r="P36" s="599"/>
      <c r="Q36" s="591"/>
      <c r="R36" s="600"/>
      <c r="S36" s="600"/>
      <c r="T36" s="600"/>
      <c r="U36" s="600"/>
      <c r="V36" s="600"/>
      <c r="W36" s="600"/>
      <c r="X36" s="600"/>
      <c r="Y36" s="600"/>
      <c r="Z36" s="600"/>
      <c r="AA36" s="600"/>
      <c r="AB36" s="600"/>
      <c r="AC36" s="591"/>
      <c r="AD36" s="591"/>
      <c r="AE36" s="591"/>
      <c r="AF36" s="591"/>
      <c r="AG36" s="591"/>
      <c r="AH36" s="591"/>
      <c r="AI36" s="591"/>
      <c r="AJ36" s="591"/>
      <c r="AK36" s="591"/>
      <c r="AL36" s="591"/>
      <c r="AM36" s="591"/>
      <c r="AN36" s="591"/>
      <c r="AO36" s="591"/>
      <c r="AP36" s="591"/>
      <c r="AQ36" s="591"/>
      <c r="AR36" s="591"/>
    </row>
    <row r="37" spans="1:44" s="542" customFormat="1" ht="35.25" customHeight="1" x14ac:dyDescent="0.25">
      <c r="A37" s="581"/>
      <c r="B37" s="290"/>
      <c r="C37" s="946"/>
      <c r="D37" s="946"/>
      <c r="E37" s="946"/>
      <c r="F37" s="546"/>
      <c r="G37" s="546"/>
      <c r="H37" s="546"/>
      <c r="I37" s="546"/>
      <c r="K37" s="597"/>
      <c r="L37" s="598"/>
      <c r="M37" s="591"/>
      <c r="N37" s="591"/>
      <c r="O37" s="587"/>
      <c r="P37" s="599"/>
      <c r="Q37" s="591"/>
      <c r="R37" s="600"/>
      <c r="S37" s="600"/>
      <c r="T37" s="600"/>
      <c r="U37" s="600"/>
      <c r="V37" s="600"/>
      <c r="W37" s="600"/>
      <c r="X37" s="600"/>
      <c r="Y37" s="600"/>
      <c r="Z37" s="600"/>
      <c r="AA37" s="600"/>
      <c r="AB37" s="600"/>
      <c r="AC37" s="591"/>
      <c r="AD37" s="591"/>
      <c r="AE37" s="591"/>
      <c r="AF37" s="591"/>
      <c r="AG37" s="591"/>
      <c r="AH37" s="591"/>
      <c r="AI37" s="591"/>
      <c r="AJ37" s="591"/>
      <c r="AK37" s="591"/>
      <c r="AL37" s="591"/>
      <c r="AM37" s="591"/>
      <c r="AN37" s="591"/>
      <c r="AO37" s="591"/>
      <c r="AP37" s="591"/>
      <c r="AQ37" s="591"/>
      <c r="AR37" s="591"/>
    </row>
    <row r="38" spans="1:44" ht="18.75" customHeight="1" x14ac:dyDescent="0.25">
      <c r="A38" s="581"/>
      <c r="B38" s="601"/>
      <c r="C38" s="1009" t="str">
        <f>IF(H36="","",IF(H36&gt;H34,"Levies cannot be more than the council tax requirement (line 3)",""))</f>
        <v/>
      </c>
      <c r="D38" s="973"/>
      <c r="E38" s="973"/>
      <c r="F38" s="973"/>
      <c r="G38" s="973"/>
      <c r="H38" s="973"/>
      <c r="I38" s="973"/>
      <c r="J38" s="973"/>
      <c r="K38" s="537"/>
      <c r="L38" s="294"/>
      <c r="M38" s="292"/>
      <c r="R38" s="580"/>
      <c r="S38" s="580"/>
      <c r="T38" s="580"/>
      <c r="U38" s="580"/>
      <c r="V38" s="580"/>
      <c r="W38" s="580"/>
      <c r="X38" s="580"/>
      <c r="Y38" s="580"/>
      <c r="Z38" s="580"/>
      <c r="AA38" s="580"/>
      <c r="AB38" s="580"/>
      <c r="AC38" s="292"/>
      <c r="AD38" s="292"/>
      <c r="AE38" s="292"/>
      <c r="AF38" s="292"/>
      <c r="AG38" s="292"/>
      <c r="AH38" s="292"/>
      <c r="AI38" s="292"/>
      <c r="AJ38" s="292"/>
      <c r="AK38" s="292"/>
      <c r="AL38" s="292"/>
      <c r="AM38" s="292"/>
      <c r="AN38" s="292"/>
      <c r="AO38" s="292"/>
      <c r="AP38" s="292"/>
      <c r="AQ38" s="292"/>
      <c r="AR38" s="292"/>
    </row>
    <row r="39" spans="1:44" ht="31.35" customHeight="1" x14ac:dyDescent="0.25">
      <c r="A39" s="602"/>
      <c r="B39" s="603" t="s">
        <v>107</v>
      </c>
      <c r="C39" s="604"/>
      <c r="D39" s="604"/>
      <c r="E39" s="604"/>
      <c r="F39" s="604"/>
      <c r="G39" s="584"/>
      <c r="H39" s="605"/>
      <c r="I39" s="546"/>
      <c r="K39" s="537"/>
      <c r="L39" s="294"/>
      <c r="M39" s="587"/>
      <c r="N39" s="331"/>
      <c r="O39" s="330"/>
      <c r="R39" s="580"/>
      <c r="S39" s="580"/>
      <c r="T39" s="580"/>
      <c r="U39" s="580"/>
      <c r="V39" s="580"/>
      <c r="W39" s="580"/>
      <c r="X39" s="580"/>
      <c r="Y39" s="580"/>
      <c r="Z39" s="580"/>
      <c r="AA39" s="580"/>
      <c r="AB39" s="580"/>
      <c r="AC39" s="292"/>
      <c r="AD39" s="292"/>
      <c r="AE39" s="292"/>
      <c r="AF39" s="292"/>
      <c r="AG39" s="292"/>
      <c r="AH39" s="292"/>
      <c r="AI39" s="292"/>
      <c r="AJ39" s="292"/>
      <c r="AK39" s="292"/>
      <c r="AL39" s="292"/>
      <c r="AM39" s="292"/>
      <c r="AN39" s="292"/>
      <c r="AO39" s="292"/>
      <c r="AP39" s="292"/>
      <c r="AQ39" s="292"/>
      <c r="AR39" s="292"/>
    </row>
    <row r="40" spans="1:44" ht="21" customHeight="1" x14ac:dyDescent="0.25">
      <c r="A40" s="581"/>
      <c r="B40" s="928" t="s">
        <v>108</v>
      </c>
      <c r="C40" s="946"/>
      <c r="D40" s="929"/>
      <c r="E40" s="604"/>
      <c r="F40" s="606" cm="1">
        <f t="array" ref="F40">_xlfn.XLOOKUP($J$1,INDEX(datar,,1),INDEX(datar,,12))</f>
        <v>0</v>
      </c>
      <c r="G40" s="584"/>
      <c r="H40" s="337"/>
      <c r="I40" s="546"/>
      <c r="K40" s="537"/>
      <c r="L40" s="294"/>
      <c r="M40" s="587"/>
      <c r="R40" s="580"/>
      <c r="S40" s="580"/>
      <c r="T40" s="580"/>
      <c r="U40" s="580"/>
      <c r="V40" s="580"/>
      <c r="W40" s="580"/>
      <c r="X40" s="580"/>
      <c r="Y40" s="580"/>
      <c r="Z40" s="580"/>
      <c r="AA40" s="580"/>
      <c r="AB40" s="580"/>
      <c r="AC40" s="292"/>
      <c r="AD40" s="292"/>
      <c r="AE40" s="292"/>
      <c r="AF40" s="292"/>
      <c r="AG40" s="292"/>
      <c r="AH40" s="292"/>
      <c r="AI40" s="292"/>
      <c r="AJ40" s="292"/>
      <c r="AK40" s="292"/>
      <c r="AL40" s="292"/>
      <c r="AM40" s="292"/>
      <c r="AN40" s="292"/>
      <c r="AO40" s="292"/>
      <c r="AP40" s="292"/>
      <c r="AQ40" s="292"/>
      <c r="AR40" s="292"/>
    </row>
    <row r="41" spans="1:44" ht="21" customHeight="1" x14ac:dyDescent="0.25">
      <c r="A41" s="581"/>
      <c r="B41" s="582"/>
      <c r="C41" s="583"/>
      <c r="D41" s="583"/>
      <c r="E41" s="604"/>
      <c r="F41" s="926">
        <v>454</v>
      </c>
      <c r="G41" s="927"/>
      <c r="H41" s="927"/>
      <c r="I41" s="546"/>
      <c r="K41" s="537"/>
      <c r="L41" s="294"/>
      <c r="M41" s="587"/>
      <c r="R41" s="580"/>
      <c r="S41" s="580"/>
      <c r="T41" s="580"/>
      <c r="U41" s="580"/>
      <c r="V41" s="580"/>
      <c r="W41" s="580"/>
      <c r="X41" s="580"/>
      <c r="Y41" s="580"/>
      <c r="Z41" s="580"/>
      <c r="AA41" s="580"/>
      <c r="AB41" s="580"/>
      <c r="AC41" s="292"/>
      <c r="AD41" s="292"/>
      <c r="AE41" s="292"/>
      <c r="AF41" s="292"/>
      <c r="AG41" s="292"/>
      <c r="AH41" s="292"/>
      <c r="AI41" s="292"/>
      <c r="AJ41" s="292"/>
      <c r="AK41" s="292"/>
      <c r="AL41" s="292"/>
      <c r="AM41" s="292"/>
      <c r="AN41" s="292"/>
      <c r="AO41" s="292"/>
      <c r="AP41" s="292"/>
      <c r="AQ41" s="292"/>
      <c r="AR41" s="292"/>
    </row>
    <row r="42" spans="1:44" ht="21" customHeight="1" x14ac:dyDescent="0.25">
      <c r="A42" s="581"/>
      <c r="B42" s="979" t="s">
        <v>109</v>
      </c>
      <c r="C42" s="980"/>
      <c r="D42" s="980"/>
      <c r="E42" s="604"/>
      <c r="F42" s="607" cm="1">
        <f t="array" ref="F42">_xlfn.XLOOKUP($J$1,INDEX(datar,,1),INDEX(datar,,13))</f>
        <v>0</v>
      </c>
      <c r="G42" s="584"/>
      <c r="H42" s="608"/>
      <c r="I42" s="546"/>
      <c r="K42" s="537"/>
      <c r="L42" s="294"/>
      <c r="M42" s="587"/>
      <c r="R42" s="580"/>
      <c r="S42" s="580"/>
      <c r="T42" s="580"/>
      <c r="U42" s="580"/>
      <c r="V42" s="580"/>
      <c r="W42" s="580"/>
      <c r="X42" s="580"/>
      <c r="Y42" s="580"/>
      <c r="Z42" s="580"/>
      <c r="AA42" s="580"/>
      <c r="AB42" s="580"/>
      <c r="AC42" s="292"/>
      <c r="AD42" s="292"/>
      <c r="AE42" s="292"/>
      <c r="AF42" s="292"/>
      <c r="AG42" s="292"/>
      <c r="AH42" s="292"/>
      <c r="AI42" s="292"/>
      <c r="AJ42" s="292"/>
      <c r="AK42" s="292"/>
      <c r="AL42" s="292"/>
      <c r="AM42" s="292"/>
      <c r="AN42" s="292"/>
      <c r="AO42" s="292"/>
      <c r="AP42" s="292"/>
      <c r="AQ42" s="292"/>
      <c r="AR42" s="292"/>
    </row>
    <row r="43" spans="1:44" ht="21" customHeight="1" x14ac:dyDescent="0.25">
      <c r="A43" s="581"/>
      <c r="B43" s="609"/>
      <c r="C43" s="584"/>
      <c r="D43" s="584"/>
      <c r="E43" s="584"/>
      <c r="F43" s="981"/>
      <c r="G43" s="982"/>
      <c r="H43" s="982"/>
      <c r="I43" s="546"/>
      <c r="K43" s="537"/>
      <c r="L43" s="294"/>
      <c r="M43" s="587"/>
      <c r="R43" s="580"/>
      <c r="S43" s="580"/>
      <c r="T43" s="580"/>
      <c r="U43" s="580"/>
      <c r="V43" s="580"/>
      <c r="W43" s="580"/>
      <c r="X43" s="580"/>
      <c r="Y43" s="580"/>
      <c r="Z43" s="580"/>
      <c r="AA43" s="580"/>
      <c r="AB43" s="580"/>
      <c r="AC43" s="292"/>
      <c r="AD43" s="292"/>
      <c r="AE43" s="292"/>
      <c r="AF43" s="292"/>
      <c r="AG43" s="292"/>
      <c r="AH43" s="292"/>
      <c r="AI43" s="292"/>
      <c r="AJ43" s="292"/>
      <c r="AK43" s="292"/>
      <c r="AL43" s="292"/>
      <c r="AM43" s="292"/>
      <c r="AN43" s="292"/>
      <c r="AO43" s="292"/>
      <c r="AP43" s="292"/>
      <c r="AQ43" s="292"/>
      <c r="AR43" s="292"/>
    </row>
    <row r="44" spans="1:44" ht="21" customHeight="1" x14ac:dyDescent="0.25">
      <c r="A44" s="581"/>
      <c r="B44" s="979" t="s">
        <v>110</v>
      </c>
      <c r="C44" s="980"/>
      <c r="D44" s="980"/>
      <c r="E44" s="604"/>
      <c r="F44" s="606" cm="1">
        <f t="array" ref="F44">_xlfn.XLOOKUP($J$1,INDEX(datar,,1),INDEX(datar,,14))</f>
        <v>0</v>
      </c>
      <c r="G44" s="584"/>
      <c r="H44" s="337"/>
      <c r="I44" s="546"/>
      <c r="K44" s="537"/>
      <c r="L44" s="294"/>
      <c r="M44" s="587"/>
      <c r="R44" s="580"/>
      <c r="S44" s="580"/>
      <c r="T44" s="580"/>
      <c r="U44" s="580"/>
      <c r="V44" s="580"/>
      <c r="W44" s="580"/>
      <c r="X44" s="580"/>
      <c r="Y44" s="580"/>
      <c r="Z44" s="580"/>
      <c r="AA44" s="580"/>
      <c r="AB44" s="580"/>
      <c r="AC44" s="292"/>
      <c r="AD44" s="292"/>
      <c r="AE44" s="292"/>
      <c r="AF44" s="292"/>
      <c r="AG44" s="292"/>
      <c r="AH44" s="292"/>
      <c r="AI44" s="292"/>
      <c r="AJ44" s="292"/>
      <c r="AK44" s="292"/>
      <c r="AL44" s="292"/>
      <c r="AM44" s="292"/>
      <c r="AN44" s="292"/>
      <c r="AO44" s="292"/>
      <c r="AP44" s="292"/>
      <c r="AQ44" s="292"/>
      <c r="AR44" s="292"/>
    </row>
    <row r="45" spans="1:44" ht="21" customHeight="1" x14ac:dyDescent="0.25">
      <c r="A45" s="581"/>
      <c r="B45" s="604"/>
      <c r="C45" s="604"/>
      <c r="D45" s="604"/>
      <c r="E45" s="604"/>
      <c r="F45" s="604"/>
      <c r="G45" s="584"/>
      <c r="H45" s="610"/>
      <c r="I45" s="546"/>
      <c r="K45" s="537"/>
      <c r="L45" s="294"/>
      <c r="M45" s="587"/>
      <c r="R45" s="580"/>
      <c r="S45" s="580"/>
      <c r="T45" s="580"/>
      <c r="U45" s="580"/>
      <c r="V45" s="580"/>
      <c r="W45" s="580"/>
      <c r="X45" s="580"/>
      <c r="Y45" s="580"/>
      <c r="Z45" s="580"/>
      <c r="AA45" s="580"/>
      <c r="AB45" s="580"/>
      <c r="AC45" s="292"/>
      <c r="AD45" s="292"/>
      <c r="AE45" s="292"/>
      <c r="AF45" s="292"/>
      <c r="AG45" s="292"/>
      <c r="AH45" s="292"/>
      <c r="AI45" s="292"/>
      <c r="AJ45" s="292"/>
      <c r="AK45" s="292"/>
      <c r="AL45" s="292"/>
      <c r="AM45" s="292"/>
      <c r="AN45" s="292"/>
      <c r="AO45" s="292"/>
      <c r="AP45" s="292"/>
      <c r="AQ45" s="292"/>
      <c r="AR45" s="292"/>
    </row>
    <row r="46" spans="1:44" ht="21" customHeight="1" x14ac:dyDescent="0.25">
      <c r="A46" s="581"/>
      <c r="B46" s="928" t="s">
        <v>111</v>
      </c>
      <c r="C46" s="929"/>
      <c r="D46" s="929"/>
      <c r="E46" s="611"/>
      <c r="F46" s="606" cm="1">
        <f t="array" ref="F46">_xlfn.XLOOKUP($J$1,INDEX(datar,,1),INDEX(datar,,23))</f>
        <v>0</v>
      </c>
      <c r="G46" s="584"/>
      <c r="H46" s="612">
        <f>ROUND(((H40*H42)+H44),2)</f>
        <v>0</v>
      </c>
      <c r="I46" s="546"/>
      <c r="J46" s="613"/>
      <c r="K46" s="537"/>
      <c r="L46" s="294"/>
      <c r="M46" s="614"/>
      <c r="R46" s="580"/>
      <c r="S46" s="580"/>
      <c r="T46" s="580"/>
      <c r="U46" s="580"/>
      <c r="V46" s="580"/>
      <c r="W46" s="580"/>
      <c r="X46" s="580"/>
      <c r="Y46" s="580"/>
      <c r="Z46" s="580"/>
      <c r="AA46" s="580"/>
      <c r="AB46" s="580"/>
      <c r="AC46" s="292"/>
      <c r="AD46" s="292"/>
      <c r="AE46" s="292"/>
      <c r="AF46" s="292"/>
      <c r="AG46" s="292"/>
      <c r="AH46" s="292"/>
      <c r="AI46" s="292"/>
      <c r="AJ46" s="292"/>
      <c r="AK46" s="292"/>
      <c r="AL46" s="292"/>
      <c r="AM46" s="292"/>
      <c r="AN46" s="292"/>
      <c r="AO46" s="292"/>
      <c r="AP46" s="292"/>
      <c r="AQ46" s="292"/>
      <c r="AR46" s="292"/>
    </row>
    <row r="47" spans="1:44" ht="24" customHeight="1" x14ac:dyDescent="0.25">
      <c r="A47" s="581"/>
      <c r="B47" s="930"/>
      <c r="C47" s="930"/>
      <c r="D47" s="930"/>
      <c r="E47" s="577"/>
      <c r="F47" s="577"/>
      <c r="G47" s="983"/>
      <c r="H47" s="984"/>
      <c r="I47" s="984"/>
      <c r="K47" s="537"/>
      <c r="L47" s="294"/>
      <c r="M47" s="587"/>
      <c r="R47" s="580"/>
      <c r="S47" s="580"/>
      <c r="T47" s="580"/>
      <c r="U47" s="580"/>
      <c r="V47" s="580"/>
      <c r="W47" s="580"/>
      <c r="X47" s="580"/>
      <c r="Y47" s="580"/>
      <c r="Z47" s="580"/>
      <c r="AA47" s="580"/>
      <c r="AB47" s="580"/>
      <c r="AC47" s="292"/>
      <c r="AD47" s="292"/>
      <c r="AE47" s="292"/>
      <c r="AF47" s="292"/>
      <c r="AG47" s="292"/>
      <c r="AH47" s="292"/>
      <c r="AI47" s="292"/>
      <c r="AJ47" s="292"/>
      <c r="AK47" s="292"/>
      <c r="AL47" s="292"/>
      <c r="AM47" s="292"/>
      <c r="AN47" s="292"/>
      <c r="AO47" s="292"/>
      <c r="AP47" s="292"/>
      <c r="AQ47" s="292"/>
      <c r="AR47" s="292"/>
    </row>
    <row r="48" spans="1:44" ht="5.45" customHeight="1" x14ac:dyDescent="0.25">
      <c r="A48" s="615"/>
      <c r="B48" s="616"/>
      <c r="C48" s="616"/>
      <c r="D48" s="616"/>
      <c r="E48" s="616"/>
      <c r="F48" s="616"/>
      <c r="G48" s="617"/>
      <c r="H48" s="618"/>
      <c r="I48" s="618"/>
      <c r="J48" s="619"/>
      <c r="K48" s="620"/>
      <c r="L48" s="294"/>
      <c r="M48" s="587"/>
      <c r="R48" s="580"/>
      <c r="S48" s="580"/>
      <c r="T48" s="580"/>
      <c r="U48" s="580"/>
      <c r="V48" s="580"/>
      <c r="W48" s="580"/>
      <c r="X48" s="580"/>
      <c r="Y48" s="580"/>
      <c r="Z48" s="580"/>
      <c r="AA48" s="580"/>
      <c r="AB48" s="580"/>
      <c r="AC48" s="292"/>
      <c r="AD48" s="292"/>
      <c r="AE48" s="292"/>
      <c r="AF48" s="292"/>
      <c r="AG48" s="292"/>
      <c r="AH48" s="292"/>
      <c r="AI48" s="292"/>
      <c r="AJ48" s="292"/>
      <c r="AK48" s="292"/>
      <c r="AL48" s="292"/>
      <c r="AM48" s="292"/>
      <c r="AN48" s="292"/>
      <c r="AO48" s="292"/>
      <c r="AP48" s="292"/>
      <c r="AQ48" s="292"/>
      <c r="AR48" s="292"/>
    </row>
    <row r="49" spans="1:44" ht="47.1" customHeight="1" x14ac:dyDescent="0.25">
      <c r="A49" s="581"/>
      <c r="B49" s="603" t="str">
        <f>IF(L72=1,"COUNCIL TAXES (to nearest penny) - do not complete this section for this authority","COUNCIL TAXES (to nearest penny)")</f>
        <v>COUNCIL TAXES (to nearest penny)</v>
      </c>
      <c r="C49" s="604"/>
      <c r="D49" s="604"/>
      <c r="E49" s="604"/>
      <c r="F49" s="604"/>
      <c r="G49" s="584"/>
      <c r="H49" s="605"/>
      <c r="I49" s="621" t="s">
        <v>112</v>
      </c>
      <c r="J49" s="572" t="s">
        <v>113</v>
      </c>
      <c r="K49" s="537"/>
      <c r="L49" s="294"/>
      <c r="M49" s="587"/>
      <c r="N49" s="993"/>
      <c r="O49" s="993"/>
      <c r="R49" s="580"/>
      <c r="S49" s="580"/>
      <c r="T49" s="580"/>
      <c r="U49" s="580"/>
      <c r="V49" s="580"/>
      <c r="W49" s="580"/>
      <c r="X49" s="580"/>
      <c r="Y49" s="580"/>
      <c r="Z49" s="580"/>
      <c r="AA49" s="580"/>
      <c r="AB49" s="580"/>
      <c r="AC49" s="292"/>
      <c r="AD49" s="292"/>
      <c r="AE49" s="292"/>
      <c r="AF49" s="292"/>
      <c r="AG49" s="292"/>
      <c r="AH49" s="292"/>
      <c r="AI49" s="292"/>
      <c r="AJ49" s="292"/>
      <c r="AK49" s="292"/>
      <c r="AL49" s="292"/>
      <c r="AM49" s="292"/>
      <c r="AN49" s="292"/>
      <c r="AO49" s="292"/>
      <c r="AP49" s="292"/>
      <c r="AQ49" s="292"/>
      <c r="AR49" s="292"/>
    </row>
    <row r="50" spans="1:44" ht="21" customHeight="1" x14ac:dyDescent="0.2">
      <c r="A50" s="581"/>
      <c r="B50" s="928" t="s">
        <v>114</v>
      </c>
      <c r="C50" s="929"/>
      <c r="D50" s="929"/>
      <c r="E50" s="584"/>
      <c r="F50" s="606" cm="1">
        <f t="array" ref="F50">_xlfn.XLOOKUP($J$1,INDEX(datar,,1),INDEX(datar,,24))</f>
        <v>0</v>
      </c>
      <c r="G50" s="584"/>
      <c r="H50" s="622" t="str">
        <f>IF($L$72=1,"",IF(H46=0,"",ROUND(H27/H46,2)))</f>
        <v/>
      </c>
      <c r="I50" s="623" t="e">
        <f>$H$50-$F$50</f>
        <v>#VALUE!</v>
      </c>
      <c r="J50" s="624" t="e">
        <f>($H$50-$F$50)/$F$50</f>
        <v>#VALUE!</v>
      </c>
      <c r="K50" s="537"/>
      <c r="L50" s="294"/>
      <c r="M50" s="292"/>
      <c r="N50" s="614"/>
      <c r="O50" s="625"/>
      <c r="R50" s="580"/>
      <c r="S50" s="580"/>
      <c r="T50" s="580"/>
      <c r="U50" s="580"/>
      <c r="V50" s="580"/>
      <c r="W50" s="580"/>
      <c r="X50" s="580"/>
      <c r="Y50" s="580"/>
      <c r="Z50" s="580"/>
      <c r="AA50" s="580"/>
      <c r="AB50" s="580"/>
      <c r="AC50" s="292"/>
      <c r="AD50" s="292"/>
      <c r="AE50" s="292"/>
      <c r="AF50" s="292"/>
      <c r="AG50" s="292"/>
      <c r="AH50" s="292"/>
      <c r="AI50" s="292"/>
      <c r="AJ50" s="292"/>
      <c r="AK50" s="292"/>
      <c r="AL50" s="292"/>
      <c r="AM50" s="292"/>
      <c r="AN50" s="292"/>
      <c r="AO50" s="292"/>
      <c r="AP50" s="292"/>
      <c r="AQ50" s="292"/>
      <c r="AR50" s="292"/>
    </row>
    <row r="51" spans="1:44" ht="21" customHeight="1" x14ac:dyDescent="0.25">
      <c r="A51" s="581"/>
      <c r="B51" s="930"/>
      <c r="C51" s="930"/>
      <c r="D51" s="930"/>
      <c r="E51" s="584"/>
      <c r="F51" s="626"/>
      <c r="G51" s="584"/>
      <c r="H51" s="626"/>
      <c r="I51" s="546"/>
      <c r="K51" s="537"/>
      <c r="L51" s="294" t="s">
        <v>115</v>
      </c>
      <c r="M51" s="587"/>
      <c r="R51" s="580"/>
      <c r="S51" s="580"/>
      <c r="T51" s="580"/>
      <c r="U51" s="580"/>
      <c r="V51" s="580"/>
      <c r="W51" s="580"/>
      <c r="X51" s="580"/>
      <c r="Y51" s="580"/>
      <c r="Z51" s="580"/>
      <c r="AA51" s="580"/>
      <c r="AB51" s="580"/>
      <c r="AC51" s="292"/>
      <c r="AD51" s="292"/>
      <c r="AE51" s="292"/>
      <c r="AF51" s="292"/>
      <c r="AG51" s="292"/>
      <c r="AH51" s="292"/>
      <c r="AI51" s="292"/>
      <c r="AJ51" s="292"/>
      <c r="AK51" s="292"/>
      <c r="AL51" s="292"/>
      <c r="AM51" s="292"/>
      <c r="AN51" s="292"/>
      <c r="AO51" s="292"/>
      <c r="AP51" s="292"/>
      <c r="AQ51" s="292"/>
      <c r="AR51" s="292"/>
    </row>
    <row r="52" spans="1:44" ht="21" customHeight="1" thickBot="1" x14ac:dyDescent="0.3">
      <c r="A52" s="581"/>
      <c r="B52" s="931" t="s">
        <v>116</v>
      </c>
      <c r="C52" s="932"/>
      <c r="D52" s="932"/>
      <c r="E52" s="932"/>
      <c r="F52" s="932"/>
      <c r="G52" s="627"/>
      <c r="H52" s="628" t="str">
        <f>IF(H50="","",IF(H50=ROUND(H27/H46,2),"Yes",H50-ROUND(H27/H46,2)))</f>
        <v/>
      </c>
      <c r="I52" s="546"/>
      <c r="K52" s="537"/>
      <c r="L52" s="294">
        <f>IF(H52="Yes",1,0)</f>
        <v>0</v>
      </c>
      <c r="M52" s="292"/>
      <c r="R52" s="580"/>
      <c r="S52" s="580"/>
      <c r="T52" s="580"/>
      <c r="U52" s="580"/>
      <c r="V52" s="580"/>
      <c r="W52" s="580"/>
      <c r="X52" s="580"/>
      <c r="Y52" s="580"/>
      <c r="Z52" s="580"/>
      <c r="AA52" s="580"/>
      <c r="AB52" s="580"/>
      <c r="AC52" s="292"/>
      <c r="AD52" s="292"/>
      <c r="AE52" s="292"/>
      <c r="AF52" s="292"/>
      <c r="AG52" s="292"/>
      <c r="AH52" s="292"/>
      <c r="AI52" s="292"/>
      <c r="AJ52" s="292"/>
      <c r="AK52" s="292"/>
      <c r="AL52" s="292"/>
      <c r="AM52" s="292"/>
      <c r="AN52" s="292"/>
      <c r="AO52" s="292"/>
      <c r="AP52" s="292"/>
      <c r="AQ52" s="292"/>
      <c r="AR52" s="292"/>
    </row>
    <row r="53" spans="1:44" ht="21" customHeight="1" x14ac:dyDescent="0.25">
      <c r="A53" s="581"/>
      <c r="B53" s="932"/>
      <c r="C53" s="932"/>
      <c r="D53" s="932"/>
      <c r="E53" s="932"/>
      <c r="F53" s="932"/>
      <c r="G53" s="627"/>
      <c r="H53" s="629"/>
      <c r="I53" s="542"/>
      <c r="J53" s="564"/>
      <c r="K53" s="537"/>
      <c r="L53" s="294"/>
      <c r="M53" s="292"/>
      <c r="O53" s="630"/>
      <c r="R53" s="580"/>
      <c r="S53" s="580"/>
      <c r="T53" s="580"/>
      <c r="U53" s="580"/>
      <c r="V53" s="580"/>
      <c r="W53" s="580"/>
      <c r="X53" s="580"/>
      <c r="Y53" s="580"/>
      <c r="Z53" s="580"/>
      <c r="AA53" s="580"/>
      <c r="AB53" s="580"/>
      <c r="AC53" s="292"/>
      <c r="AD53" s="292"/>
      <c r="AE53" s="292"/>
      <c r="AF53" s="292"/>
      <c r="AG53" s="292"/>
      <c r="AH53" s="292"/>
      <c r="AI53" s="292"/>
      <c r="AJ53" s="292"/>
      <c r="AK53" s="292"/>
      <c r="AL53" s="292"/>
      <c r="AM53" s="292"/>
      <c r="AN53" s="292"/>
      <c r="AO53" s="292"/>
      <c r="AP53" s="292"/>
      <c r="AQ53" s="292"/>
      <c r="AR53" s="292"/>
    </row>
    <row r="54" spans="1:44" ht="21" customHeight="1" thickBot="1" x14ac:dyDescent="0.3">
      <c r="A54" s="581"/>
      <c r="B54" s="629"/>
      <c r="C54" s="629"/>
      <c r="D54" s="629"/>
      <c r="E54" s="629"/>
      <c r="F54" s="629"/>
      <c r="G54" s="629"/>
      <c r="H54" s="629"/>
      <c r="I54" s="621" t="s">
        <v>112</v>
      </c>
      <c r="J54" s="572" t="s">
        <v>113</v>
      </c>
      <c r="K54" s="537"/>
      <c r="L54" s="294" t="s">
        <v>117</v>
      </c>
      <c r="M54" s="294"/>
      <c r="N54" s="973"/>
      <c r="O54" s="993"/>
      <c r="R54" s="580"/>
      <c r="S54" s="580"/>
      <c r="T54" s="631"/>
      <c r="U54" s="580"/>
      <c r="V54" s="580"/>
      <c r="W54" s="580"/>
      <c r="X54" s="580"/>
      <c r="Y54" s="580"/>
      <c r="Z54" s="580"/>
      <c r="AA54" s="580"/>
      <c r="AB54" s="580"/>
      <c r="AC54" s="292"/>
      <c r="AD54" s="292"/>
      <c r="AE54" s="292"/>
      <c r="AF54" s="292"/>
      <c r="AG54" s="292"/>
      <c r="AH54" s="292"/>
      <c r="AI54" s="292"/>
      <c r="AJ54" s="292"/>
      <c r="AK54" s="292"/>
      <c r="AL54" s="292"/>
      <c r="AM54" s="292"/>
      <c r="AN54" s="292"/>
      <c r="AO54" s="292"/>
      <c r="AP54" s="292"/>
      <c r="AQ54" s="292"/>
      <c r="AR54" s="292"/>
    </row>
    <row r="55" spans="1:44" ht="21" customHeight="1" thickBot="1" x14ac:dyDescent="0.25">
      <c r="A55" s="581"/>
      <c r="B55" s="928" t="s">
        <v>118</v>
      </c>
      <c r="C55" s="929"/>
      <c r="D55" s="929"/>
      <c r="E55" s="632"/>
      <c r="F55" s="633" t="str">
        <f>IF($L$72=1,"",IF(F46=0,"",ROUND(F34/F46,2)))</f>
        <v/>
      </c>
      <c r="G55" s="632"/>
      <c r="H55" s="634" t="str">
        <f>IF($L$72=1,"",IF(H46=0,"",ROUND(H34/H46,2)))</f>
        <v/>
      </c>
      <c r="I55" s="623" t="e">
        <f>$H$55-$F$55</f>
        <v>#VALUE!</v>
      </c>
      <c r="J55" s="624" t="e">
        <f>($H$55-$F$55)/$F$55</f>
        <v>#VALUE!</v>
      </c>
      <c r="K55" s="537"/>
      <c r="L55" s="882">
        <f>_xlfn.XLOOKUP($E$21,Data!$C$6:$C$302,Data!$AH$6:$AH$302)</f>
        <v>0</v>
      </c>
      <c r="M55" s="635"/>
      <c r="N55" s="614"/>
      <c r="O55" s="636"/>
      <c r="Q55" s="330"/>
      <c r="R55" s="580"/>
      <c r="S55" s="580"/>
      <c r="T55" s="580"/>
      <c r="U55" s="580"/>
      <c r="V55" s="580"/>
      <c r="W55" s="580"/>
      <c r="X55" s="580"/>
      <c r="Y55" s="580"/>
      <c r="Z55" s="580"/>
      <c r="AA55" s="580"/>
      <c r="AB55" s="580"/>
      <c r="AC55" s="292"/>
      <c r="AD55" s="292"/>
      <c r="AE55" s="292"/>
      <c r="AF55" s="292"/>
      <c r="AG55" s="292"/>
      <c r="AH55" s="292"/>
      <c r="AI55" s="292"/>
      <c r="AJ55" s="292"/>
      <c r="AK55" s="292"/>
      <c r="AL55" s="292"/>
      <c r="AM55" s="292"/>
      <c r="AN55" s="292"/>
      <c r="AO55" s="292"/>
      <c r="AP55" s="292"/>
      <c r="AQ55" s="292"/>
      <c r="AR55" s="292"/>
    </row>
    <row r="56" spans="1:44" ht="24" customHeight="1" thickBot="1" x14ac:dyDescent="0.3">
      <c r="A56" s="581"/>
      <c r="B56" s="930"/>
      <c r="C56" s="930"/>
      <c r="D56" s="930"/>
      <c r="E56" s="604"/>
      <c r="F56" s="693" t="str">
        <f>IF(_xlfn.XLOOKUP($E$21,Data!$C$6:$C$302,Data!$AA$6:$AA$302,"")="Y","Note: ANA figure will be used for " &amp; $A$6 &amp; " in referendum principle check","")</f>
        <v/>
      </c>
      <c r="G56" s="604"/>
      <c r="H56" s="604"/>
      <c r="I56" s="546"/>
      <c r="K56" s="537"/>
      <c r="L56" s="294"/>
      <c r="M56" s="294"/>
      <c r="R56" s="580"/>
      <c r="S56" s="580"/>
      <c r="T56" s="580"/>
      <c r="U56" s="580"/>
      <c r="V56" s="580"/>
      <c r="W56" s="580"/>
      <c r="X56" s="580"/>
      <c r="Y56" s="580"/>
      <c r="Z56" s="580"/>
      <c r="AA56" s="580"/>
      <c r="AB56" s="580"/>
      <c r="AC56" s="292"/>
      <c r="AD56" s="292"/>
      <c r="AE56" s="292"/>
      <c r="AF56" s="292"/>
      <c r="AG56" s="292"/>
      <c r="AH56" s="292"/>
      <c r="AI56" s="292"/>
      <c r="AJ56" s="292"/>
      <c r="AK56" s="292"/>
      <c r="AL56" s="292"/>
      <c r="AM56" s="292"/>
      <c r="AN56" s="292"/>
      <c r="AO56" s="292"/>
      <c r="AP56" s="292"/>
      <c r="AQ56" s="292"/>
      <c r="AR56" s="292"/>
    </row>
    <row r="57" spans="1:44" ht="21" customHeight="1" x14ac:dyDescent="0.25">
      <c r="A57" s="581"/>
      <c r="B57" s="931" t="s">
        <v>119</v>
      </c>
      <c r="C57" s="932"/>
      <c r="D57" s="932"/>
      <c r="E57" s="932"/>
      <c r="F57" s="932"/>
      <c r="G57" s="604"/>
      <c r="H57" s="628" t="str">
        <f>IF(H55="","",IF(H55=ROUND(H34/H46,2),"Yes",H55-ROUND(H34/H46,2)))</f>
        <v/>
      </c>
      <c r="I57" s="546"/>
      <c r="K57" s="537"/>
      <c r="L57" s="294" t="s">
        <v>120</v>
      </c>
      <c r="M57" s="294"/>
      <c r="N57" s="292" t="s">
        <v>115</v>
      </c>
      <c r="R57" s="580"/>
      <c r="S57" s="580"/>
      <c r="T57" s="580"/>
      <c r="U57" s="580"/>
      <c r="V57" s="580"/>
      <c r="W57" s="580"/>
      <c r="X57" s="580"/>
      <c r="Y57" s="580"/>
      <c r="Z57" s="580"/>
      <c r="AA57" s="580"/>
      <c r="AB57" s="580"/>
      <c r="AC57" s="292"/>
      <c r="AD57" s="292"/>
      <c r="AE57" s="292"/>
      <c r="AF57" s="292"/>
      <c r="AG57" s="292"/>
      <c r="AH57" s="292"/>
      <c r="AI57" s="292"/>
      <c r="AJ57" s="292"/>
      <c r="AK57" s="292"/>
      <c r="AL57" s="292"/>
      <c r="AM57" s="292"/>
      <c r="AN57" s="292"/>
      <c r="AO57" s="292"/>
      <c r="AP57" s="292"/>
      <c r="AQ57" s="292"/>
      <c r="AR57" s="292"/>
    </row>
    <row r="58" spans="1:44" ht="14.25" customHeight="1" x14ac:dyDescent="0.25">
      <c r="A58" s="581"/>
      <c r="B58" s="932"/>
      <c r="C58" s="932"/>
      <c r="D58" s="932"/>
      <c r="E58" s="932"/>
      <c r="F58" s="932"/>
      <c r="G58" s="604"/>
      <c r="H58" s="637"/>
      <c r="I58" s="546"/>
      <c r="K58" s="537"/>
      <c r="L58" s="292" t="e">
        <f>H55-F55</f>
        <v>#VALUE!</v>
      </c>
      <c r="M58" s="638" t="e">
        <f>L58/F55</f>
        <v>#VALUE!</v>
      </c>
      <c r="N58" s="292">
        <f>IF(H57="Yes",1,0)</f>
        <v>0</v>
      </c>
      <c r="R58" s="580"/>
      <c r="S58" s="580"/>
      <c r="T58" s="580"/>
      <c r="U58" s="580"/>
      <c r="V58" s="580"/>
      <c r="W58" s="580"/>
      <c r="X58" s="580"/>
      <c r="Y58" s="580"/>
      <c r="Z58" s="580"/>
      <c r="AA58" s="580"/>
      <c r="AB58" s="580"/>
      <c r="AC58" s="292"/>
      <c r="AD58" s="292"/>
      <c r="AE58" s="292"/>
      <c r="AF58" s="292"/>
      <c r="AG58" s="292"/>
      <c r="AH58" s="292"/>
      <c r="AI58" s="292"/>
      <c r="AJ58" s="292"/>
      <c r="AK58" s="292"/>
      <c r="AL58" s="292"/>
      <c r="AM58" s="292"/>
      <c r="AN58" s="292"/>
      <c r="AO58" s="292"/>
      <c r="AP58" s="292"/>
      <c r="AQ58" s="292"/>
      <c r="AR58" s="292"/>
    </row>
    <row r="59" spans="1:44" ht="20.25" customHeight="1" x14ac:dyDescent="0.25">
      <c r="A59" s="581"/>
      <c r="B59" s="928"/>
      <c r="C59" s="928"/>
      <c r="D59" s="928"/>
      <c r="E59" s="604"/>
      <c r="F59" s="604"/>
      <c r="G59" s="604"/>
      <c r="H59" s="604"/>
      <c r="I59" s="546"/>
      <c r="K59" s="537"/>
      <c r="L59" s="294"/>
      <c r="M59" s="294"/>
      <c r="R59" s="580"/>
      <c r="S59" s="580"/>
      <c r="T59" s="580"/>
      <c r="U59" s="580"/>
      <c r="V59" s="580"/>
      <c r="W59" s="580"/>
      <c r="X59" s="580"/>
      <c r="Y59" s="580"/>
      <c r="Z59" s="580"/>
      <c r="AA59" s="580"/>
      <c r="AB59" s="580"/>
      <c r="AC59" s="292"/>
      <c r="AD59" s="292"/>
      <c r="AE59" s="292"/>
      <c r="AF59" s="292"/>
      <c r="AG59" s="292"/>
      <c r="AH59" s="292"/>
      <c r="AI59" s="292"/>
      <c r="AJ59" s="292"/>
      <c r="AK59" s="292"/>
      <c r="AL59" s="292"/>
      <c r="AM59" s="292"/>
      <c r="AN59" s="292"/>
      <c r="AO59" s="292"/>
      <c r="AP59" s="292"/>
      <c r="AQ59" s="292"/>
      <c r="AR59" s="292"/>
    </row>
    <row r="60" spans="1:44" ht="33" customHeight="1" x14ac:dyDescent="0.25">
      <c r="A60" s="581"/>
      <c r="B60" s="985" t="str">
        <f>IF(H55="","",IF(H55&gt;=L55,"Authority may be required to hold a referendum as the increase in council tax (change in Line 9) appears to have exceeded referendum principles. Please check your figures and obtain legal advice.","Authority DOES NOT appear to be subject to a referendum."))</f>
        <v/>
      </c>
      <c r="C60" s="985"/>
      <c r="D60" s="985"/>
      <c r="E60" s="985"/>
      <c r="F60" s="985"/>
      <c r="G60" s="985"/>
      <c r="H60" s="985"/>
      <c r="I60" s="546"/>
      <c r="K60" s="537"/>
      <c r="L60" s="330">
        <f>IF(H55&lt;L55,0,1)</f>
        <v>1</v>
      </c>
      <c r="M60" s="294"/>
      <c r="R60" s="580"/>
      <c r="S60" s="580"/>
      <c r="T60" s="580"/>
      <c r="U60" s="580"/>
      <c r="V60" s="580"/>
      <c r="W60" s="580"/>
      <c r="X60" s="580"/>
      <c r="Y60" s="580"/>
      <c r="Z60" s="580"/>
      <c r="AA60" s="580"/>
      <c r="AB60" s="580"/>
      <c r="AC60" s="292"/>
      <c r="AD60" s="292"/>
      <c r="AE60" s="292"/>
      <c r="AF60" s="292"/>
      <c r="AG60" s="292"/>
      <c r="AH60" s="292"/>
      <c r="AI60" s="292"/>
      <c r="AJ60" s="292"/>
      <c r="AK60" s="292"/>
      <c r="AL60" s="292"/>
      <c r="AM60" s="292"/>
      <c r="AN60" s="292"/>
      <c r="AO60" s="292"/>
      <c r="AP60" s="292"/>
      <c r="AQ60" s="292"/>
      <c r="AR60" s="292"/>
    </row>
    <row r="61" spans="1:44" ht="16.5" x14ac:dyDescent="0.25">
      <c r="A61" s="615"/>
      <c r="B61" s="639"/>
      <c r="C61" s="639"/>
      <c r="D61" s="639"/>
      <c r="E61" s="639"/>
      <c r="F61" s="639"/>
      <c r="G61" s="639"/>
      <c r="H61" s="639"/>
      <c r="I61" s="640"/>
      <c r="J61" s="619"/>
      <c r="K61" s="620"/>
      <c r="L61" s="330"/>
      <c r="M61" s="294"/>
      <c r="R61" s="580"/>
      <c r="S61" s="580"/>
      <c r="T61" s="580"/>
      <c r="U61" s="580"/>
      <c r="V61" s="580"/>
      <c r="W61" s="580"/>
      <c r="X61" s="580"/>
      <c r="Y61" s="580"/>
      <c r="Z61" s="580"/>
      <c r="AA61" s="580"/>
      <c r="AB61" s="580"/>
      <c r="AC61" s="292"/>
      <c r="AD61" s="292"/>
      <c r="AE61" s="292"/>
      <c r="AF61" s="292"/>
      <c r="AG61" s="292"/>
      <c r="AH61" s="292"/>
      <c r="AI61" s="292"/>
      <c r="AJ61" s="292"/>
      <c r="AK61" s="292"/>
      <c r="AL61" s="292"/>
      <c r="AM61" s="292"/>
      <c r="AN61" s="292"/>
      <c r="AO61" s="292"/>
      <c r="AP61" s="292"/>
      <c r="AQ61" s="292"/>
      <c r="AR61" s="292"/>
    </row>
    <row r="62" spans="1:44" ht="16.5" x14ac:dyDescent="0.25">
      <c r="A62" s="642"/>
      <c r="B62" s="643"/>
      <c r="C62" s="643"/>
      <c r="D62" s="643"/>
      <c r="E62" s="643"/>
      <c r="F62" s="643"/>
      <c r="G62" s="643"/>
      <c r="H62" s="643"/>
      <c r="I62" s="644"/>
      <c r="J62" s="531"/>
      <c r="K62" s="537"/>
      <c r="L62" s="328"/>
      <c r="M62" s="313"/>
      <c r="N62" s="311"/>
      <c r="O62" s="313"/>
      <c r="P62" s="310"/>
      <c r="Q62" s="311"/>
      <c r="R62" s="335"/>
      <c r="S62" s="335"/>
      <c r="T62" s="335"/>
      <c r="U62" s="335"/>
      <c r="V62" s="335"/>
      <c r="W62" s="335"/>
      <c r="X62" s="335"/>
      <c r="Y62" s="335"/>
      <c r="Z62" s="335"/>
      <c r="AA62" s="335"/>
      <c r="AB62" s="335"/>
      <c r="AC62" s="311"/>
      <c r="AD62" s="311"/>
      <c r="AE62" s="311"/>
      <c r="AF62" s="311"/>
      <c r="AG62" s="311"/>
      <c r="AH62" s="311"/>
      <c r="AI62" s="311"/>
      <c r="AJ62" s="311"/>
      <c r="AK62" s="311"/>
      <c r="AL62" s="311"/>
      <c r="AM62" s="311"/>
      <c r="AN62" s="295"/>
      <c r="AO62" s="295"/>
      <c r="AP62" s="295"/>
      <c r="AQ62" s="295"/>
      <c r="AR62" s="292"/>
    </row>
    <row r="63" spans="1:44" ht="33.6" customHeight="1" x14ac:dyDescent="0.25">
      <c r="A63" s="581"/>
      <c r="B63" s="928" t="str">
        <f>IF(OR(L66=0, L72=1), "ADULT SOCIAL CARE - do not complete section for this authority","ADULT SOCIAL CARE")</f>
        <v>ADULT SOCIAL CARE - do not complete section for this authority</v>
      </c>
      <c r="C63" s="928"/>
      <c r="D63" s="928"/>
      <c r="E63" s="645"/>
      <c r="F63" s="645"/>
      <c r="G63" s="645"/>
      <c r="H63" s="577" t="s">
        <v>100</v>
      </c>
      <c r="I63" s="546"/>
      <c r="K63" s="537"/>
      <c r="L63" s="328"/>
      <c r="M63" s="313"/>
      <c r="N63" s="311"/>
      <c r="O63" s="313"/>
      <c r="P63" s="310"/>
      <c r="Q63" s="311"/>
      <c r="R63" s="335"/>
      <c r="S63" s="335"/>
      <c r="T63" s="335"/>
      <c r="U63" s="335"/>
      <c r="V63" s="335"/>
      <c r="W63" s="335"/>
      <c r="X63" s="335"/>
      <c r="Y63" s="335"/>
      <c r="Z63" s="335"/>
      <c r="AA63" s="335"/>
      <c r="AB63" s="335"/>
      <c r="AC63" s="311"/>
      <c r="AD63" s="311"/>
      <c r="AE63" s="311"/>
      <c r="AF63" s="311"/>
      <c r="AG63" s="311"/>
      <c r="AH63" s="311"/>
      <c r="AI63" s="311"/>
      <c r="AJ63" s="311"/>
      <c r="AK63" s="311"/>
      <c r="AL63" s="311"/>
      <c r="AM63" s="311"/>
      <c r="AN63" s="295"/>
      <c r="AO63" s="295"/>
      <c r="AP63" s="295"/>
      <c r="AQ63" s="295"/>
      <c r="AR63" s="292"/>
    </row>
    <row r="64" spans="1:44" ht="20.25" customHeight="1" x14ac:dyDescent="0.25">
      <c r="A64" s="581"/>
      <c r="B64" s="928" t="s">
        <v>121</v>
      </c>
      <c r="C64" s="928"/>
      <c r="D64" s="928"/>
      <c r="E64" s="645"/>
      <c r="F64" s="645"/>
      <c r="G64" s="645"/>
      <c r="H64" s="586"/>
      <c r="I64" s="546"/>
      <c r="K64" s="537"/>
      <c r="L64" s="328"/>
      <c r="M64" s="313"/>
      <c r="N64" s="311"/>
      <c r="O64" s="313"/>
      <c r="P64" s="311"/>
      <c r="Q64" s="311"/>
      <c r="R64" s="335"/>
      <c r="S64" s="335"/>
      <c r="T64" s="335"/>
      <c r="U64" s="335"/>
      <c r="V64" s="335"/>
      <c r="W64" s="335"/>
      <c r="X64" s="335"/>
      <c r="Y64" s="335"/>
      <c r="Z64" s="335"/>
      <c r="AA64" s="335"/>
      <c r="AB64" s="335"/>
      <c r="AC64" s="311"/>
      <c r="AD64" s="311"/>
      <c r="AE64" s="311"/>
      <c r="AF64" s="311"/>
      <c r="AG64" s="311"/>
      <c r="AH64" s="311"/>
      <c r="AI64" s="311"/>
      <c r="AJ64" s="311"/>
      <c r="AK64" s="311"/>
      <c r="AL64" s="311"/>
      <c r="AM64" s="311"/>
      <c r="AN64" s="295"/>
      <c r="AO64" s="295"/>
      <c r="AP64" s="295"/>
      <c r="AQ64" s="295"/>
      <c r="AR64" s="292"/>
    </row>
    <row r="65" spans="1:44" ht="29.25" customHeight="1" x14ac:dyDescent="0.25">
      <c r="A65" s="581"/>
      <c r="B65" s="603"/>
      <c r="C65" s="604"/>
      <c r="D65" s="604"/>
      <c r="E65" s="604"/>
      <c r="F65" s="577" t="s">
        <v>100</v>
      </c>
      <c r="G65" s="604"/>
      <c r="H65" s="577" t="s">
        <v>122</v>
      </c>
      <c r="I65" s="546"/>
      <c r="K65" s="537"/>
      <c r="L65" s="313" t="s">
        <v>123</v>
      </c>
      <c r="M65" s="339" t="s">
        <v>124</v>
      </c>
      <c r="O65" s="313"/>
      <c r="P65" s="310"/>
      <c r="Q65" s="311"/>
      <c r="R65" s="335"/>
      <c r="S65" s="335"/>
      <c r="T65" s="335"/>
      <c r="U65" s="335"/>
      <c r="V65" s="335"/>
      <c r="W65" s="335"/>
      <c r="X65" s="335"/>
      <c r="Y65" s="335"/>
      <c r="Z65" s="335"/>
      <c r="AA65" s="335"/>
      <c r="AB65" s="335"/>
      <c r="AC65" s="311"/>
      <c r="AD65" s="311"/>
      <c r="AE65" s="311"/>
      <c r="AF65" s="311"/>
      <c r="AG65" s="311"/>
      <c r="AH65" s="311"/>
      <c r="AI65" s="311"/>
      <c r="AJ65" s="311"/>
      <c r="AK65" s="311"/>
      <c r="AL65" s="311"/>
      <c r="AM65" s="311"/>
      <c r="AN65" s="295"/>
      <c r="AO65" s="295"/>
      <c r="AP65" s="295"/>
      <c r="AQ65" s="295"/>
      <c r="AR65" s="292"/>
    </row>
    <row r="66" spans="1:44" ht="21" customHeight="1" x14ac:dyDescent="0.25">
      <c r="A66" s="581"/>
      <c r="B66" s="928" t="s">
        <v>125</v>
      </c>
      <c r="C66" s="928"/>
      <c r="D66" s="928"/>
      <c r="E66" s="632"/>
      <c r="F66" s="646" t="str">
        <f>IF(H64="","",ROUND(H64/H46,2))</f>
        <v/>
      </c>
      <c r="G66" s="647"/>
      <c r="H66" s="648" t="str">
        <f>IF(F66="","",F66/F55)</f>
        <v/>
      </c>
      <c r="I66" s="546"/>
      <c r="K66" s="537"/>
      <c r="L66" s="313">
        <f>IF(OR(_xlfn.XLOOKUP($E$21,Data!$C$6:$C$302,Data!$E$6:$E$302,"")="MD",_xlfn.XLOOKUP($E$21,Data!$C$6:$C$302,Data!$E$6:$E$302,"")="UA",_xlfn.XLOOKUP($E$21,Data!$C$6:$C$302,Data!$E$6:$E$302,"")="LB"),1,0)</f>
        <v>0</v>
      </c>
      <c r="M66" s="502">
        <f>_xlfn.XLOOKUP(CTR1_Billing!$E$21,Data!$C$6:$C$302,Data!$AI$6:$AI$302)</f>
        <v>0</v>
      </c>
      <c r="N66" s="338"/>
      <c r="O66" s="232"/>
      <c r="P66" s="310"/>
      <c r="Q66" s="328"/>
      <c r="R66" s="335"/>
      <c r="S66" s="335"/>
      <c r="T66" s="335"/>
      <c r="U66" s="335"/>
      <c r="V66" s="335"/>
      <c r="W66" s="335"/>
      <c r="X66" s="335"/>
      <c r="Y66" s="335"/>
      <c r="Z66" s="335"/>
      <c r="AA66" s="335"/>
      <c r="AB66" s="335"/>
      <c r="AC66" s="311"/>
      <c r="AD66" s="311"/>
      <c r="AE66" s="311"/>
      <c r="AF66" s="311"/>
      <c r="AG66" s="311"/>
      <c r="AH66" s="311"/>
      <c r="AI66" s="311"/>
      <c r="AJ66" s="311"/>
      <c r="AK66" s="311"/>
      <c r="AL66" s="311"/>
      <c r="AM66" s="311"/>
      <c r="AN66" s="295"/>
      <c r="AO66" s="295"/>
      <c r="AP66" s="295"/>
      <c r="AQ66" s="295"/>
      <c r="AR66" s="292"/>
    </row>
    <row r="67" spans="1:44" ht="21" customHeight="1" x14ac:dyDescent="0.25">
      <c r="A67" s="534"/>
      <c r="B67" s="928"/>
      <c r="C67" s="928"/>
      <c r="D67" s="928"/>
      <c r="E67" s="604"/>
      <c r="F67" s="604"/>
      <c r="G67" s="604"/>
      <c r="H67" s="604"/>
      <c r="I67" s="546"/>
      <c r="K67" s="537"/>
      <c r="L67" s="313"/>
      <c r="M67" s="311"/>
      <c r="N67" s="311"/>
      <c r="O67" s="313"/>
      <c r="P67" s="310"/>
      <c r="Q67" s="311"/>
      <c r="R67" s="335"/>
      <c r="S67" s="335"/>
      <c r="T67" s="335"/>
      <c r="U67" s="335"/>
      <c r="V67" s="335"/>
      <c r="W67" s="335"/>
      <c r="X67" s="335"/>
      <c r="Y67" s="335"/>
      <c r="Z67" s="335"/>
      <c r="AA67" s="335"/>
      <c r="AB67" s="335"/>
      <c r="AC67" s="311"/>
      <c r="AD67" s="311"/>
      <c r="AE67" s="311"/>
      <c r="AF67" s="311"/>
      <c r="AG67" s="311"/>
      <c r="AH67" s="311"/>
      <c r="AI67" s="311"/>
      <c r="AJ67" s="311"/>
      <c r="AK67" s="311"/>
      <c r="AL67" s="311"/>
      <c r="AM67" s="311"/>
      <c r="AN67" s="295"/>
      <c r="AO67" s="295"/>
      <c r="AP67" s="295"/>
      <c r="AQ67" s="295"/>
      <c r="AR67" s="292"/>
    </row>
    <row r="68" spans="1:44" ht="32.450000000000003" customHeight="1" x14ac:dyDescent="0.25">
      <c r="A68" s="534"/>
      <c r="B68" s="933" t="str">
        <f>IF(H64="","",IF(F66&gt;M66,"The Adult Social Care element of the increase in Band D council tax exceeds the referendum principle. Please check your figures again.","Adult Social Care element of the increase in Band D council tax does not appear to breach the referendum principle."))</f>
        <v/>
      </c>
      <c r="C68" s="933"/>
      <c r="D68" s="933"/>
      <c r="E68" s="933"/>
      <c r="F68" s="933"/>
      <c r="G68" s="933"/>
      <c r="H68" s="933"/>
      <c r="I68" s="546"/>
      <c r="K68" s="537"/>
      <c r="L68" s="313">
        <f>IF(F66&lt;=M66,0,1)</f>
        <v>1</v>
      </c>
      <c r="M68" s="311"/>
      <c r="N68" s="311"/>
      <c r="O68" s="313"/>
      <c r="P68" s="310"/>
      <c r="Q68" s="311"/>
      <c r="R68" s="335"/>
      <c r="S68" s="335"/>
      <c r="T68" s="335"/>
      <c r="U68" s="335"/>
      <c r="V68" s="335"/>
      <c r="W68" s="335"/>
      <c r="X68" s="335"/>
      <c r="Y68" s="335"/>
      <c r="Z68" s="335"/>
      <c r="AA68" s="335"/>
      <c r="AB68" s="335"/>
      <c r="AC68" s="311"/>
      <c r="AD68" s="311"/>
      <c r="AE68" s="311"/>
      <c r="AF68" s="311"/>
      <c r="AG68" s="311"/>
      <c r="AH68" s="311"/>
      <c r="AI68" s="311"/>
      <c r="AJ68" s="311"/>
      <c r="AK68" s="311"/>
      <c r="AL68" s="311"/>
      <c r="AM68" s="311"/>
      <c r="AN68" s="295"/>
      <c r="AO68" s="295"/>
      <c r="AP68" s="295"/>
      <c r="AQ68" s="295"/>
      <c r="AR68" s="292"/>
    </row>
    <row r="69" spans="1:44" ht="16.5" x14ac:dyDescent="0.25">
      <c r="A69" s="534"/>
      <c r="B69" s="582"/>
      <c r="C69" s="582"/>
      <c r="D69" s="582"/>
      <c r="E69" s="604"/>
      <c r="F69" s="604"/>
      <c r="G69" s="604"/>
      <c r="H69" s="604"/>
      <c r="I69" s="546"/>
      <c r="K69" s="537"/>
      <c r="L69" s="313"/>
      <c r="M69" s="311"/>
      <c r="N69" s="311"/>
      <c r="O69" s="313"/>
      <c r="P69" s="310"/>
      <c r="Q69" s="311"/>
      <c r="R69" s="335"/>
      <c r="S69" s="335"/>
      <c r="T69" s="335"/>
      <c r="U69" s="335"/>
      <c r="V69" s="335"/>
      <c r="W69" s="335"/>
      <c r="X69" s="335"/>
      <c r="Y69" s="335"/>
      <c r="Z69" s="335"/>
      <c r="AA69" s="335"/>
      <c r="AB69" s="335"/>
      <c r="AC69" s="311"/>
      <c r="AD69" s="311"/>
      <c r="AE69" s="311"/>
      <c r="AF69" s="311"/>
      <c r="AG69" s="311"/>
      <c r="AH69" s="311"/>
      <c r="AI69" s="311"/>
      <c r="AJ69" s="311"/>
      <c r="AK69" s="311"/>
      <c r="AL69" s="311"/>
      <c r="AM69" s="311"/>
      <c r="AN69" s="295"/>
      <c r="AO69" s="295"/>
      <c r="AP69" s="295"/>
      <c r="AQ69" s="295"/>
      <c r="AR69" s="292"/>
    </row>
    <row r="70" spans="1:44" ht="8.1" customHeight="1" thickBot="1" x14ac:dyDescent="0.3">
      <c r="A70" s="548"/>
      <c r="B70" s="619"/>
      <c r="C70" s="619"/>
      <c r="D70" s="619"/>
      <c r="E70" s="649"/>
      <c r="F70" s="649"/>
      <c r="G70" s="640"/>
      <c r="H70" s="640"/>
      <c r="I70" s="640"/>
      <c r="J70" s="619"/>
      <c r="K70" s="620"/>
      <c r="L70" s="313"/>
      <c r="M70" s="336"/>
      <c r="N70" s="311"/>
      <c r="O70" s="313"/>
      <c r="P70" s="310"/>
      <c r="Q70" s="311"/>
      <c r="R70" s="335"/>
      <c r="S70" s="335"/>
      <c r="T70" s="335"/>
      <c r="U70" s="335"/>
      <c r="V70" s="335"/>
      <c r="W70" s="335"/>
      <c r="X70" s="335"/>
      <c r="Y70" s="335"/>
      <c r="Z70" s="335"/>
      <c r="AA70" s="335"/>
      <c r="AB70" s="335"/>
      <c r="AC70" s="311"/>
      <c r="AD70" s="311"/>
      <c r="AE70" s="311"/>
      <c r="AF70" s="311"/>
      <c r="AG70" s="311"/>
      <c r="AH70" s="311"/>
      <c r="AI70" s="311"/>
      <c r="AJ70" s="311"/>
      <c r="AK70" s="311"/>
      <c r="AL70" s="311"/>
      <c r="AM70" s="311"/>
      <c r="AN70" s="295"/>
      <c r="AO70" s="295"/>
      <c r="AP70" s="295"/>
      <c r="AQ70" s="295"/>
      <c r="AR70" s="292"/>
    </row>
    <row r="71" spans="1:44" ht="15.6" hidden="1" customHeight="1" x14ac:dyDescent="0.25">
      <c r="A71" s="534"/>
      <c r="B71" s="601" t="s">
        <v>126</v>
      </c>
      <c r="E71" s="626"/>
      <c r="F71" s="626"/>
      <c r="G71" s="546"/>
      <c r="H71" s="546"/>
      <c r="I71" s="546"/>
      <c r="L71" s="313" t="s">
        <v>127</v>
      </c>
      <c r="M71" s="336"/>
      <c r="N71" s="311"/>
      <c r="O71" s="313"/>
      <c r="P71" s="310"/>
      <c r="Q71" s="311"/>
      <c r="R71" s="335"/>
      <c r="S71" s="335"/>
      <c r="T71" s="335"/>
      <c r="U71" s="335"/>
      <c r="V71" s="335"/>
      <c r="W71" s="335"/>
      <c r="X71" s="335"/>
      <c r="Y71" s="335"/>
      <c r="Z71" s="335"/>
      <c r="AA71" s="335"/>
      <c r="AB71" s="335"/>
      <c r="AC71" s="311"/>
      <c r="AD71" s="311"/>
      <c r="AE71" s="311"/>
      <c r="AF71" s="311"/>
      <c r="AG71" s="311"/>
      <c r="AH71" s="311"/>
      <c r="AI71" s="311"/>
      <c r="AJ71" s="311"/>
      <c r="AK71" s="311"/>
      <c r="AL71" s="311"/>
      <c r="AM71" s="311"/>
      <c r="AN71" s="295"/>
      <c r="AO71" s="295"/>
      <c r="AP71" s="295"/>
      <c r="AQ71" s="295"/>
      <c r="AR71" s="292"/>
    </row>
    <row r="72" spans="1:44" ht="15.6" hidden="1" customHeight="1" x14ac:dyDescent="0.25">
      <c r="A72" s="534"/>
      <c r="B72" s="848" t="str">
        <f>IF(L72=1,"NEW UNITARIES/MERGERS IN THE PROCESS OF EQUALISATION (INCLUDING THOSE COMPLETING EQUALISATION)","NEW UNITARIES/MERGERS IN THE PROCESS OF EQUALISATION (INCLUDING THOSE COMPLETING EQUALISATON) - do not complete this section for this authority")</f>
        <v>NEW UNITARIES/MERGERS IN THE PROCESS OF EQUALISATION (INCLUDING THOSE COMPLETING EQUALISATON) - do not complete this section for this authority</v>
      </c>
      <c r="C72" s="561"/>
      <c r="E72" s="626"/>
      <c r="F72" s="626"/>
      <c r="G72" s="546"/>
      <c r="H72" s="546"/>
      <c r="I72" s="546"/>
      <c r="K72" s="537"/>
      <c r="L72" s="847">
        <f>IF(COUNTIF(MergersUnitaries!$A:$A,$E$21)&gt; 0,1,0)</f>
        <v>0</v>
      </c>
      <c r="M72" s="336"/>
      <c r="N72" s="311"/>
      <c r="O72" s="313"/>
      <c r="P72" s="310"/>
      <c r="Q72" s="311"/>
      <c r="R72" s="335"/>
      <c r="S72" s="335"/>
      <c r="T72" s="335"/>
      <c r="U72" s="335"/>
      <c r="V72" s="335"/>
      <c r="W72" s="335"/>
      <c r="X72" s="335"/>
      <c r="Y72" s="335"/>
      <c r="Z72" s="335"/>
      <c r="AA72" s="335"/>
      <c r="AB72" s="335"/>
      <c r="AC72" s="311"/>
      <c r="AD72" s="311"/>
      <c r="AE72" s="311"/>
      <c r="AF72" s="311"/>
      <c r="AG72" s="311"/>
      <c r="AH72" s="311"/>
      <c r="AI72" s="311"/>
      <c r="AJ72" s="311"/>
      <c r="AK72" s="311"/>
      <c r="AL72" s="311"/>
      <c r="AM72" s="311"/>
      <c r="AN72" s="295"/>
      <c r="AO72" s="295"/>
      <c r="AP72" s="295"/>
      <c r="AQ72" s="295"/>
      <c r="AR72" s="292"/>
    </row>
    <row r="73" spans="1:44" ht="15.6" hidden="1" customHeight="1" thickBot="1" x14ac:dyDescent="0.3">
      <c r="A73" s="534"/>
      <c r="B73" s="848"/>
      <c r="C73" s="561"/>
      <c r="E73" s="626"/>
      <c r="F73" s="626"/>
      <c r="G73" s="546"/>
      <c r="H73" s="546"/>
      <c r="K73" s="537"/>
      <c r="L73" s="313"/>
      <c r="M73" s="336"/>
      <c r="N73" s="311"/>
      <c r="O73" s="313"/>
      <c r="P73" s="310"/>
      <c r="Q73" s="311"/>
      <c r="R73" s="335"/>
      <c r="S73" s="335"/>
      <c r="T73" s="335"/>
      <c r="U73" s="335"/>
      <c r="V73" s="335"/>
      <c r="W73" s="335"/>
      <c r="X73" s="335"/>
      <c r="Y73" s="335"/>
      <c r="Z73" s="335"/>
      <c r="AA73" s="335"/>
      <c r="AB73" s="335"/>
      <c r="AC73" s="311"/>
      <c r="AD73" s="311"/>
      <c r="AE73" s="311"/>
      <c r="AF73" s="311"/>
      <c r="AG73" s="311"/>
      <c r="AH73" s="311"/>
      <c r="AI73" s="311"/>
      <c r="AJ73" s="311"/>
      <c r="AK73" s="311"/>
      <c r="AL73" s="311"/>
      <c r="AM73" s="311"/>
      <c r="AN73" s="295"/>
      <c r="AO73" s="295"/>
      <c r="AP73" s="295"/>
      <c r="AQ73" s="295"/>
      <c r="AR73" s="292"/>
    </row>
    <row r="74" spans="1:44" ht="21" hidden="1" customHeight="1" thickBot="1" x14ac:dyDescent="0.3">
      <c r="A74" s="534"/>
      <c r="B74" s="937" t="s">
        <v>128</v>
      </c>
      <c r="C74" s="938"/>
      <c r="E74" s="626"/>
      <c r="F74" s="934" t="s">
        <v>129</v>
      </c>
      <c r="G74" s="935"/>
      <c r="H74" s="935"/>
      <c r="I74" s="936"/>
      <c r="K74" s="537"/>
      <c r="L74" s="313"/>
      <c r="M74" s="336"/>
      <c r="N74" s="311"/>
      <c r="O74" s="313"/>
      <c r="P74" s="310"/>
      <c r="Q74" s="311"/>
      <c r="R74" s="335"/>
      <c r="S74" s="335"/>
      <c r="T74" s="335"/>
      <c r="U74" s="335"/>
      <c r="V74" s="335"/>
      <c r="W74" s="335"/>
      <c r="X74" s="335"/>
      <c r="Y74" s="335"/>
      <c r="Z74" s="335"/>
      <c r="AA74" s="335"/>
      <c r="AB74" s="335"/>
      <c r="AC74" s="311"/>
      <c r="AD74" s="311"/>
      <c r="AE74" s="311"/>
      <c r="AF74" s="311"/>
      <c r="AG74" s="311"/>
      <c r="AH74" s="311"/>
      <c r="AI74" s="311"/>
      <c r="AJ74" s="311"/>
      <c r="AK74" s="311"/>
      <c r="AL74" s="311"/>
      <c r="AM74" s="311"/>
      <c r="AN74" s="295"/>
      <c r="AO74" s="295"/>
      <c r="AP74" s="295"/>
      <c r="AQ74" s="295"/>
      <c r="AR74" s="292"/>
    </row>
    <row r="75" spans="1:44" ht="30.6" hidden="1" customHeight="1" x14ac:dyDescent="0.25">
      <c r="A75" s="534"/>
      <c r="B75" s="848"/>
      <c r="C75" s="561"/>
      <c r="E75" s="626"/>
      <c r="F75" s="626"/>
      <c r="G75" s="546"/>
      <c r="H75" s="546"/>
      <c r="I75" s="546"/>
      <c r="K75" s="537"/>
      <c r="L75" s="313" t="s">
        <v>130</v>
      </c>
      <c r="M75" s="336"/>
      <c r="N75" s="311"/>
      <c r="O75" s="313"/>
      <c r="P75" s="310"/>
      <c r="Q75" s="311"/>
      <c r="R75" s="335"/>
      <c r="S75" s="335"/>
      <c r="T75" s="335"/>
      <c r="U75" s="335"/>
      <c r="V75" s="335"/>
      <c r="W75" s="335"/>
      <c r="X75" s="335"/>
      <c r="Y75" s="335"/>
      <c r="Z75" s="335"/>
      <c r="AA75" s="335"/>
      <c r="AB75" s="335"/>
      <c r="AC75" s="311"/>
      <c r="AD75" s="311"/>
      <c r="AE75" s="311"/>
      <c r="AF75" s="311"/>
      <c r="AG75" s="311"/>
      <c r="AH75" s="311"/>
      <c r="AI75" s="311"/>
      <c r="AJ75" s="311"/>
      <c r="AK75" s="311"/>
      <c r="AL75" s="311"/>
      <c r="AM75" s="311"/>
      <c r="AN75" s="295"/>
      <c r="AO75" s="295"/>
      <c r="AP75" s="295"/>
      <c r="AQ75" s="295"/>
      <c r="AR75" s="292"/>
    </row>
    <row r="76" spans="1:44" ht="15.6" hidden="1" customHeight="1" x14ac:dyDescent="0.25">
      <c r="A76" s="534"/>
      <c r="B76" s="937" t="s">
        <v>131</v>
      </c>
      <c r="C76" s="938"/>
      <c r="D76" s="938"/>
      <c r="E76" s="938"/>
      <c r="F76" s="626"/>
      <c r="G76" s="546"/>
      <c r="H76" s="546"/>
      <c r="I76" s="546"/>
      <c r="K76" s="537"/>
      <c r="L76" s="313">
        <f>Data!$AS$35</f>
        <v>3</v>
      </c>
      <c r="M76" s="336"/>
      <c r="N76" s="311"/>
      <c r="O76" s="313"/>
      <c r="P76" s="310"/>
      <c r="Q76" s="311"/>
      <c r="R76" s="335"/>
      <c r="S76" s="335"/>
      <c r="T76" s="335"/>
      <c r="U76" s="335"/>
      <c r="V76" s="335"/>
      <c r="W76" s="335"/>
      <c r="X76" s="335"/>
      <c r="Y76" s="335"/>
      <c r="Z76" s="335"/>
      <c r="AA76" s="335"/>
      <c r="AB76" s="335"/>
      <c r="AC76" s="311"/>
      <c r="AD76" s="311"/>
      <c r="AE76" s="311"/>
      <c r="AF76" s="311"/>
      <c r="AG76" s="311"/>
      <c r="AH76" s="311"/>
      <c r="AI76" s="311"/>
      <c r="AJ76" s="311"/>
      <c r="AK76" s="311"/>
      <c r="AL76" s="311"/>
      <c r="AM76" s="311"/>
      <c r="AN76" s="295"/>
      <c r="AO76" s="295"/>
      <c r="AP76" s="295"/>
      <c r="AQ76" s="295"/>
      <c r="AR76" s="292"/>
    </row>
    <row r="77" spans="1:44" ht="15.6" hidden="1" customHeight="1" x14ac:dyDescent="0.25">
      <c r="A77" s="534"/>
      <c r="B77" s="601" t="str">
        <f>IF(L76=1, "If a local authority is completing equalisation of the taxbase this year, please fill in the figure only in the last row of the table below. You can overwrite the formula in the cell.","")</f>
        <v/>
      </c>
      <c r="F77" s="626"/>
      <c r="G77" s="546"/>
      <c r="H77" s="546"/>
      <c r="I77" s="849"/>
      <c r="K77" s="537"/>
      <c r="L77" s="313"/>
      <c r="M77" s="336"/>
      <c r="N77" s="311"/>
      <c r="O77" s="313"/>
      <c r="P77" s="310"/>
      <c r="Q77" s="311"/>
      <c r="R77" s="335"/>
      <c r="S77" s="335"/>
      <c r="T77" s="335"/>
      <c r="U77" s="335"/>
      <c r="V77" s="335"/>
      <c r="W77" s="335"/>
      <c r="X77" s="335"/>
      <c r="Y77" s="335"/>
      <c r="Z77" s="335"/>
      <c r="AA77" s="335"/>
      <c r="AB77" s="335"/>
      <c r="AC77" s="311"/>
      <c r="AD77" s="311"/>
      <c r="AE77" s="311"/>
      <c r="AF77" s="311"/>
      <c r="AG77" s="311"/>
      <c r="AH77" s="311"/>
      <c r="AI77" s="311"/>
      <c r="AJ77" s="311"/>
      <c r="AK77" s="311"/>
      <c r="AL77" s="311"/>
      <c r="AM77" s="311"/>
      <c r="AN77" s="295"/>
      <c r="AO77" s="295"/>
      <c r="AP77" s="295"/>
      <c r="AQ77" s="295"/>
      <c r="AR77" s="292"/>
    </row>
    <row r="78" spans="1:44" ht="15.6" hidden="1" customHeight="1" thickBot="1" x14ac:dyDescent="0.3">
      <c r="A78" s="534"/>
      <c r="E78" s="626"/>
      <c r="F78" s="626"/>
      <c r="G78" s="546"/>
      <c r="H78" s="546"/>
      <c r="I78" s="546"/>
      <c r="K78" s="537"/>
      <c r="L78" s="313"/>
      <c r="M78" s="336"/>
      <c r="N78" s="311"/>
      <c r="O78" s="313"/>
      <c r="P78" s="310"/>
      <c r="Q78" s="311"/>
      <c r="R78" s="335"/>
      <c r="S78" s="335"/>
      <c r="T78" s="335"/>
      <c r="U78" s="335"/>
      <c r="V78" s="335"/>
      <c r="W78" s="335"/>
      <c r="X78" s="335"/>
      <c r="Y78" s="335"/>
      <c r="Z78" s="335"/>
      <c r="AA78" s="335"/>
      <c r="AB78" s="335"/>
      <c r="AC78" s="311"/>
      <c r="AD78" s="311"/>
      <c r="AE78" s="311"/>
      <c r="AF78" s="311"/>
      <c r="AG78" s="311"/>
      <c r="AH78" s="311"/>
      <c r="AI78" s="311"/>
      <c r="AJ78" s="311"/>
      <c r="AK78" s="311"/>
      <c r="AL78" s="311"/>
      <c r="AM78" s="311"/>
      <c r="AN78" s="295"/>
      <c r="AO78" s="295"/>
      <c r="AP78" s="295"/>
      <c r="AQ78" s="295"/>
      <c r="AR78" s="292"/>
    </row>
    <row r="79" spans="1:44" ht="170.1" hidden="1" customHeight="1" thickBot="1" x14ac:dyDescent="0.3">
      <c r="A79" s="534"/>
      <c r="B79" s="942" t="s">
        <v>132</v>
      </c>
      <c r="C79" s="943"/>
      <c r="D79" s="850" t="s">
        <v>133</v>
      </c>
      <c r="E79" s="850" t="s">
        <v>134</v>
      </c>
      <c r="F79" s="850" t="s">
        <v>135</v>
      </c>
      <c r="G79" s="920" t="s">
        <v>136</v>
      </c>
      <c r="H79" s="921"/>
      <c r="I79" s="851" t="s">
        <v>137</v>
      </c>
      <c r="J79" s="851" t="s">
        <v>138</v>
      </c>
      <c r="K79" s="852"/>
      <c r="L79" s="313" t="s">
        <v>117</v>
      </c>
      <c r="M79" s="334" t="s">
        <v>139</v>
      </c>
      <c r="N79" s="311"/>
      <c r="O79" s="313" t="s">
        <v>140</v>
      </c>
      <c r="P79" s="310"/>
      <c r="Q79" s="311"/>
      <c r="R79" s="335"/>
      <c r="S79" s="335"/>
      <c r="T79" s="335"/>
      <c r="U79" s="335"/>
      <c r="V79" s="335"/>
      <c r="W79" s="335"/>
      <c r="X79" s="335"/>
      <c r="Y79" s="335"/>
      <c r="Z79" s="335"/>
      <c r="AA79" s="335"/>
      <c r="AB79" s="335"/>
      <c r="AC79" s="311"/>
      <c r="AD79" s="311"/>
      <c r="AE79" s="311"/>
      <c r="AF79" s="311"/>
      <c r="AG79" s="311"/>
      <c r="AH79" s="311"/>
      <c r="AI79" s="311"/>
      <c r="AJ79" s="311"/>
      <c r="AK79" s="311"/>
      <c r="AL79" s="311"/>
      <c r="AM79" s="311"/>
      <c r="AN79" s="295"/>
      <c r="AO79" s="295"/>
      <c r="AP79" s="295"/>
      <c r="AQ79" s="295"/>
      <c r="AR79" s="292"/>
    </row>
    <row r="80" spans="1:44" ht="21" hidden="1" customHeight="1" thickBot="1" x14ac:dyDescent="0.35">
      <c r="A80" s="534"/>
      <c r="B80" s="922" t="str">
        <f>_xlfn.IFNA(_xlfn.XLOOKUP($E$21,MergersUnitaries!$A$2:$A$302,MergersUnitaries!$B$2:$B$302,""),"")</f>
        <v/>
      </c>
      <c r="C80" s="923"/>
      <c r="D80" s="853"/>
      <c r="E80" s="853"/>
      <c r="F80" s="853"/>
      <c r="G80" s="941"/>
      <c r="H80" s="924"/>
      <c r="I80" s="854" t="str">
        <f>IF(G80="","",ROUND(G80/D80,2))</f>
        <v/>
      </c>
      <c r="J80" s="855" t="str">
        <f t="shared" ref="J80:J86" si="0">IF(G80="","",I80/O80)</f>
        <v/>
      </c>
      <c r="K80" s="537"/>
      <c r="L80" s="343" t="str">
        <f>_xlfn.XLOOKUP($E$21,MergersUnitaries!$A$2:$A$302,MergersUnitaries!$J$2:$J$302,"-")</f>
        <v>-</v>
      </c>
      <c r="M80" s="344" t="str">
        <f>_xlfn.XLOOKUP($E$21,MergersUnitaries!$A$2:$A$302,MergersUnitaries!$R$2:$R$302,"-")</f>
        <v>-</v>
      </c>
      <c r="N80" s="345"/>
      <c r="O80" s="346" t="str">
        <f>_xlfn.XLOOKUP($E$21,MergersUnitaries!$A$2:$A$302,MergersUnitaries!$Z$2:$Z$302,"-")</f>
        <v>-</v>
      </c>
      <c r="P80" s="310"/>
      <c r="Q80" s="311"/>
      <c r="R80" s="335"/>
      <c r="S80" s="335"/>
      <c r="T80" s="335"/>
      <c r="U80" s="335"/>
      <c r="V80" s="335"/>
      <c r="W80" s="335"/>
      <c r="X80" s="335"/>
      <c r="Y80" s="335"/>
      <c r="Z80" s="335"/>
      <c r="AA80" s="335"/>
      <c r="AB80" s="335"/>
      <c r="AC80" s="311"/>
      <c r="AD80" s="311"/>
      <c r="AE80" s="311"/>
      <c r="AF80" s="311"/>
      <c r="AG80" s="311"/>
      <c r="AH80" s="311"/>
      <c r="AI80" s="311"/>
      <c r="AJ80" s="311"/>
      <c r="AK80" s="311"/>
      <c r="AL80" s="311"/>
      <c r="AM80" s="311"/>
      <c r="AN80" s="295"/>
      <c r="AO80" s="295"/>
      <c r="AP80" s="295"/>
      <c r="AQ80" s="295"/>
      <c r="AR80" s="292"/>
    </row>
    <row r="81" spans="1:44" ht="21" hidden="1" customHeight="1" thickBot="1" x14ac:dyDescent="0.35">
      <c r="A81" s="534"/>
      <c r="B81" s="922" t="str">
        <f>_xlfn.IFNA(_xlfn.XLOOKUP($E$21,MergersUnitaries!$A$2:$A$302,MergersUnitaries!$C$2:$C$302,""),"")</f>
        <v/>
      </c>
      <c r="C81" s="923"/>
      <c r="D81" s="853"/>
      <c r="E81" s="853"/>
      <c r="F81" s="853"/>
      <c r="G81" s="941"/>
      <c r="H81" s="924"/>
      <c r="I81" s="854" t="str">
        <f>IF(G81="","",ROUND(G81/D81,2))</f>
        <v/>
      </c>
      <c r="J81" s="855" t="str">
        <f t="shared" si="0"/>
        <v/>
      </c>
      <c r="K81" s="537"/>
      <c r="L81" s="343" t="str">
        <f>_xlfn.XLOOKUP($E$21,MergersUnitaries!$A$2:$A$302,MergersUnitaries!$K$2:$K$302,"-")</f>
        <v>-</v>
      </c>
      <c r="M81" s="344" t="str">
        <f>_xlfn.XLOOKUP($E$21,MergersUnitaries!$A$2:$A$302,MergersUnitaries!$S$2:$S$302,"-")</f>
        <v>-</v>
      </c>
      <c r="N81" s="345"/>
      <c r="O81" s="346" t="str">
        <f>_xlfn.XLOOKUP($E$21,MergersUnitaries!$A$2:$A$302,MergersUnitaries!$AA$2:$AA$302,"-")</f>
        <v>-</v>
      </c>
      <c r="P81" s="310"/>
      <c r="Q81" s="311"/>
      <c r="R81" s="335"/>
      <c r="S81" s="335"/>
      <c r="T81" s="335"/>
      <c r="U81" s="335"/>
      <c r="V81" s="335"/>
      <c r="W81" s="335"/>
      <c r="X81" s="335"/>
      <c r="Y81" s="335"/>
      <c r="Z81" s="335"/>
      <c r="AA81" s="335"/>
      <c r="AB81" s="335"/>
      <c r="AC81" s="311"/>
      <c r="AD81" s="311"/>
      <c r="AE81" s="311"/>
      <c r="AF81" s="311"/>
      <c r="AG81" s="311"/>
      <c r="AH81" s="311"/>
      <c r="AI81" s="311"/>
      <c r="AJ81" s="311"/>
      <c r="AK81" s="311"/>
      <c r="AL81" s="311"/>
      <c r="AM81" s="311"/>
      <c r="AN81" s="295"/>
      <c r="AO81" s="295"/>
      <c r="AP81" s="295"/>
      <c r="AQ81" s="295"/>
      <c r="AR81" s="292"/>
    </row>
    <row r="82" spans="1:44" ht="21" hidden="1" customHeight="1" thickBot="1" x14ac:dyDescent="0.35">
      <c r="A82" s="534"/>
      <c r="B82" s="922" t="str">
        <f>_xlfn.IFNA(_xlfn.XLOOKUP($E$21,MergersUnitaries!$A$2:$A$302,MergersUnitaries!$D$2:$D$302,""),"")</f>
        <v/>
      </c>
      <c r="C82" s="923"/>
      <c r="D82" s="853"/>
      <c r="E82" s="853"/>
      <c r="F82" s="853"/>
      <c r="G82" s="941"/>
      <c r="H82" s="924"/>
      <c r="I82" s="854" t="str">
        <f>IF(G82="","",ROUND(G82/D82,2))</f>
        <v/>
      </c>
      <c r="J82" s="855" t="str">
        <f t="shared" si="0"/>
        <v/>
      </c>
      <c r="K82" s="537"/>
      <c r="L82" s="343" t="str">
        <f>_xlfn.XLOOKUP($E$21,MergersUnitaries!$A$2:$A$302,MergersUnitaries!$L$2:$L$302,"-")</f>
        <v>-</v>
      </c>
      <c r="M82" s="344" t="str">
        <f>_xlfn.XLOOKUP($E$21,MergersUnitaries!$A$2:$A$302,MergersUnitaries!$T$2:$T$302,"-")</f>
        <v>-</v>
      </c>
      <c r="N82" s="345"/>
      <c r="O82" s="346" t="str">
        <f>_xlfn.XLOOKUP($E$21,MergersUnitaries!$A$2:$A$302,MergersUnitaries!$AB$2:$AB$302,"-")</f>
        <v>-</v>
      </c>
      <c r="P82" s="310"/>
      <c r="Q82" s="311"/>
      <c r="R82" s="335"/>
      <c r="S82" s="335"/>
      <c r="T82" s="335"/>
      <c r="U82" s="335"/>
      <c r="V82" s="335"/>
      <c r="W82" s="335"/>
      <c r="X82" s="335"/>
      <c r="Y82" s="335"/>
      <c r="Z82" s="335"/>
      <c r="AA82" s="335"/>
      <c r="AB82" s="335"/>
      <c r="AC82" s="311"/>
      <c r="AD82" s="311"/>
      <c r="AE82" s="311"/>
      <c r="AF82" s="311"/>
      <c r="AG82" s="311"/>
      <c r="AH82" s="311"/>
      <c r="AI82" s="311"/>
      <c r="AJ82" s="311"/>
      <c r="AK82" s="311"/>
      <c r="AL82" s="311"/>
      <c r="AM82" s="311"/>
      <c r="AN82" s="295"/>
      <c r="AO82" s="295"/>
      <c r="AP82" s="295"/>
      <c r="AQ82" s="295"/>
      <c r="AR82" s="292"/>
    </row>
    <row r="83" spans="1:44" ht="21" hidden="1" customHeight="1" thickBot="1" x14ac:dyDescent="0.35">
      <c r="A83" s="534"/>
      <c r="B83" s="922" t="str">
        <f>_xlfn.IFNA(_xlfn.XLOOKUP($E$21,MergersUnitaries!$A$2:$A$302,MergersUnitaries!$E$2:$E$302,""),"")</f>
        <v/>
      </c>
      <c r="C83" s="923"/>
      <c r="D83" s="853"/>
      <c r="E83" s="337"/>
      <c r="F83" s="337"/>
      <c r="G83" s="941"/>
      <c r="H83" s="924"/>
      <c r="I83" s="854" t="str">
        <f>IF(G83="","",ROUND(G83/D83,2))</f>
        <v/>
      </c>
      <c r="J83" s="855" t="str">
        <f t="shared" si="0"/>
        <v/>
      </c>
      <c r="K83" s="537"/>
      <c r="L83" s="343" t="str">
        <f>_xlfn.XLOOKUP($E$21,MergersUnitaries!$A$2:$A$302,MergersUnitaries!$M$2:$M$302,"-")</f>
        <v>-</v>
      </c>
      <c r="M83" s="344" t="str">
        <f>_xlfn.XLOOKUP($E$21,MergersUnitaries!$A$2:$A$302,MergersUnitaries!$U$2:$U$302,"-")</f>
        <v>-</v>
      </c>
      <c r="N83" s="345"/>
      <c r="O83" s="346" t="str">
        <f>_xlfn.XLOOKUP($E$21,MergersUnitaries!$A$2:$A$302,MergersUnitaries!$AC$2:$AC$302,"-")</f>
        <v>-</v>
      </c>
      <c r="P83" s="310"/>
      <c r="Q83" s="311"/>
      <c r="R83" s="335"/>
      <c r="S83" s="335"/>
      <c r="T83" s="335"/>
      <c r="U83" s="335"/>
      <c r="V83" s="335"/>
      <c r="W83" s="335"/>
      <c r="X83" s="335"/>
      <c r="Y83" s="335"/>
      <c r="Z83" s="335"/>
      <c r="AA83" s="335"/>
      <c r="AB83" s="335"/>
      <c r="AC83" s="311"/>
      <c r="AD83" s="311"/>
      <c r="AE83" s="311"/>
      <c r="AF83" s="311"/>
      <c r="AG83" s="311"/>
      <c r="AH83" s="311"/>
      <c r="AI83" s="311"/>
      <c r="AJ83" s="311"/>
      <c r="AK83" s="311"/>
      <c r="AL83" s="311"/>
      <c r="AM83" s="311"/>
      <c r="AN83" s="295"/>
      <c r="AO83" s="295"/>
      <c r="AP83" s="295"/>
      <c r="AQ83" s="295"/>
      <c r="AR83" s="292"/>
    </row>
    <row r="84" spans="1:44" ht="21" hidden="1" customHeight="1" thickBot="1" x14ac:dyDescent="0.35">
      <c r="A84" s="534"/>
      <c r="B84" s="922" t="str">
        <f>_xlfn.IFNA(_xlfn.XLOOKUP($E$21,MergersUnitaries!$A$2:$A$302,MergersUnitaries!$F$2:$F$302,""),"")</f>
        <v/>
      </c>
      <c r="C84" s="923"/>
      <c r="D84" s="856"/>
      <c r="E84" s="857"/>
      <c r="F84" s="857"/>
      <c r="G84" s="924"/>
      <c r="H84" s="925"/>
      <c r="I84" s="854" t="str">
        <f>IF(G84="","",ROUND(G84/D84,2))</f>
        <v/>
      </c>
      <c r="J84" s="855" t="str">
        <f t="shared" si="0"/>
        <v/>
      </c>
      <c r="K84" s="537"/>
      <c r="L84" s="343" t="str">
        <f>_xlfn.XLOOKUP($E$21,MergersUnitaries!$A$2:$A$302,MergersUnitaries!$N$2:$N$302,"-")</f>
        <v>-</v>
      </c>
      <c r="M84" s="344" t="str">
        <f>_xlfn.XLOOKUP($E$21,MergersUnitaries!$A$2:$A$302,MergersUnitaries!$V$2:$V$302,"-")</f>
        <v>-</v>
      </c>
      <c r="N84" s="345"/>
      <c r="O84" s="346" t="str">
        <f>_xlfn.XLOOKUP($E$21,MergersUnitaries!$A$2:$A$302,MergersUnitaries!$AD$2:$AD$302,"-")</f>
        <v>-</v>
      </c>
      <c r="P84" s="310"/>
      <c r="Q84" s="311"/>
      <c r="R84" s="335"/>
      <c r="S84" s="335"/>
      <c r="T84" s="335"/>
      <c r="U84" s="335"/>
      <c r="V84" s="335"/>
      <c r="W84" s="335"/>
      <c r="X84" s="335"/>
      <c r="Y84" s="335"/>
      <c r="Z84" s="335"/>
      <c r="AA84" s="335"/>
      <c r="AB84" s="335"/>
      <c r="AC84" s="311"/>
      <c r="AD84" s="311"/>
      <c r="AE84" s="311"/>
      <c r="AF84" s="311"/>
      <c r="AG84" s="311"/>
      <c r="AH84" s="311"/>
      <c r="AI84" s="311"/>
      <c r="AJ84" s="311"/>
      <c r="AK84" s="311"/>
      <c r="AL84" s="311"/>
      <c r="AM84" s="311"/>
      <c r="AN84" s="295"/>
      <c r="AO84" s="295"/>
      <c r="AP84" s="295"/>
      <c r="AQ84" s="295"/>
      <c r="AR84" s="292"/>
    </row>
    <row r="85" spans="1:44" ht="21" hidden="1" customHeight="1" thickBot="1" x14ac:dyDescent="0.35">
      <c r="A85" s="534"/>
      <c r="B85" s="922" t="str">
        <f>_xlfn.IFNA(_xlfn.XLOOKUP($E$21,MergersUnitaries!$A$2:$A$302,MergersUnitaries!$G$2:$G$302,""),"")</f>
        <v/>
      </c>
      <c r="C85" s="923"/>
      <c r="D85" s="856"/>
      <c r="E85" s="857"/>
      <c r="F85" s="857"/>
      <c r="G85" s="924"/>
      <c r="H85" s="925"/>
      <c r="I85" s="854"/>
      <c r="J85" s="855" t="str">
        <f t="shared" si="0"/>
        <v/>
      </c>
      <c r="K85" s="537"/>
      <c r="L85" s="343" t="str">
        <f>_xlfn.XLOOKUP($E$21,MergersUnitaries!$A$2:$A$302,MergersUnitaries!$O$2:$O$302,"-")</f>
        <v>-</v>
      </c>
      <c r="M85" s="344" t="str">
        <f>_xlfn.XLOOKUP($E$21,MergersUnitaries!$A$2:$A$302,MergersUnitaries!$W$2:$W$302,"-")</f>
        <v>-</v>
      </c>
      <c r="N85" s="345"/>
      <c r="O85" s="346" t="str">
        <f>_xlfn.XLOOKUP($E$21,MergersUnitaries!$A$2:$A$302,MergersUnitaries!$AE$2:$AE$302,"-")</f>
        <v>-</v>
      </c>
      <c r="P85" s="310"/>
      <c r="Q85" s="311"/>
      <c r="R85" s="335"/>
      <c r="S85" s="335"/>
      <c r="T85" s="335"/>
      <c r="U85" s="335"/>
      <c r="V85" s="335"/>
      <c r="W85" s="335"/>
      <c r="X85" s="335"/>
      <c r="Y85" s="335"/>
      <c r="Z85" s="335"/>
      <c r="AA85" s="335"/>
      <c r="AB85" s="335"/>
      <c r="AC85" s="311"/>
      <c r="AD85" s="311"/>
      <c r="AE85" s="311"/>
      <c r="AF85" s="311"/>
      <c r="AG85" s="311"/>
      <c r="AH85" s="311"/>
      <c r="AI85" s="311"/>
      <c r="AJ85" s="311"/>
      <c r="AK85" s="311"/>
      <c r="AL85" s="311"/>
      <c r="AM85" s="311"/>
      <c r="AN85" s="295"/>
      <c r="AO85" s="295"/>
      <c r="AP85" s="295"/>
      <c r="AQ85" s="295"/>
      <c r="AR85" s="292"/>
    </row>
    <row r="86" spans="1:44" ht="21" hidden="1" customHeight="1" thickBot="1" x14ac:dyDescent="0.35">
      <c r="A86" s="534"/>
      <c r="B86" s="922" t="str">
        <f>_xlfn.IFNA(_xlfn.XLOOKUP($E$21,MergersUnitaries!$A$2:$A$302,MergersUnitaries!$H$2:$H$302,""),"")</f>
        <v/>
      </c>
      <c r="C86" s="923"/>
      <c r="D86" s="856"/>
      <c r="E86" s="857"/>
      <c r="F86" s="857"/>
      <c r="G86" s="944"/>
      <c r="H86" s="945"/>
      <c r="I86" s="854" t="str">
        <f>IF(G86="","",ROUND(G86/D86,2))</f>
        <v/>
      </c>
      <c r="J86" s="855" t="str">
        <f t="shared" si="0"/>
        <v/>
      </c>
      <c r="K86" s="537"/>
      <c r="L86" s="343" t="str">
        <f>_xlfn.XLOOKUP($E$21,MergersUnitaries!$A$2:$A$302,MergersUnitaries!$P$2:$P$302,"-")</f>
        <v>-</v>
      </c>
      <c r="M86" s="344" t="str">
        <f>_xlfn.XLOOKUP($E$21,MergersUnitaries!$A$2:$A$302,MergersUnitaries!$X$2:$X$302,"-")</f>
        <v>-</v>
      </c>
      <c r="N86" s="345"/>
      <c r="O86" s="346" t="str">
        <f>_xlfn.XLOOKUP($E$21,MergersUnitaries!$A$2:$A$302,MergersUnitaries!$AF$2:$AF$302,"-")</f>
        <v>-</v>
      </c>
      <c r="P86" s="310"/>
      <c r="Q86" s="311"/>
      <c r="R86" s="335"/>
      <c r="S86" s="335"/>
      <c r="T86" s="335"/>
      <c r="U86" s="335"/>
      <c r="V86" s="335"/>
      <c r="W86" s="335"/>
      <c r="X86" s="335"/>
      <c r="Y86" s="335"/>
      <c r="Z86" s="335"/>
      <c r="AA86" s="335"/>
      <c r="AB86" s="335"/>
      <c r="AC86" s="311"/>
      <c r="AD86" s="311"/>
      <c r="AE86" s="311"/>
      <c r="AF86" s="311"/>
      <c r="AG86" s="311"/>
      <c r="AH86" s="311"/>
      <c r="AI86" s="311"/>
      <c r="AJ86" s="311"/>
      <c r="AK86" s="311"/>
      <c r="AL86" s="311"/>
      <c r="AM86" s="311"/>
      <c r="AN86" s="295"/>
      <c r="AO86" s="295"/>
      <c r="AP86" s="295"/>
      <c r="AQ86" s="295"/>
      <c r="AR86" s="292"/>
    </row>
    <row r="87" spans="1:44" ht="21" hidden="1" customHeight="1" thickBot="1" x14ac:dyDescent="0.35">
      <c r="A87" s="534"/>
      <c r="B87" s="939" t="str">
        <f>_xlfn.IFNA(_xlfn.XLOOKUP($E$21,MergersUnitaries!$A$2:$A$302,MergersUnitaries!$I$2:$I$302,""),"")</f>
        <v/>
      </c>
      <c r="C87" s="940"/>
      <c r="D87" s="858">
        <f>ROUND(D80+D81+D82+D83+D84+D85+D86, 1)</f>
        <v>0</v>
      </c>
      <c r="E87" s="858" t="str">
        <f>IF(D87=0,"",ROUND(H27/D87,2))</f>
        <v/>
      </c>
      <c r="F87" s="858" t="str">
        <f>IF(D87=0,"",ROUND(H34/D87,2))</f>
        <v/>
      </c>
      <c r="G87" s="918">
        <f>SUM(G80+G81+G82+G83+G84+G85+G86)</f>
        <v>0</v>
      </c>
      <c r="H87" s="919"/>
      <c r="I87" s="854" t="str">
        <f>IFERROR(ROUND(G87/D87,2),"")</f>
        <v/>
      </c>
      <c r="J87" s="855" t="str">
        <f>IFERROR(I87/O87,"")</f>
        <v/>
      </c>
      <c r="K87" s="537"/>
      <c r="L87" s="343" t="str">
        <f>_xlfn.XLOOKUP($E$21,MergersUnitaries!$A$2:$A$302,MergersUnitaries!$Q$2:$Q$302,"-")</f>
        <v>-</v>
      </c>
      <c r="M87" s="344" t="str">
        <f>_xlfn.XLOOKUP($E$21,MergersUnitaries!$A$2:$A$302,MergersUnitaries!$Y$2:$Y$302,"-")</f>
        <v>-</v>
      </c>
      <c r="N87" s="345"/>
      <c r="O87" s="346" t="str">
        <f>_xlfn.XLOOKUP($E$21,MergersUnitaries!$A$2:$A$302,MergersUnitaries!$AG$2:$AG$302,"-")</f>
        <v>-</v>
      </c>
      <c r="P87" s="310"/>
      <c r="Q87" s="311"/>
      <c r="R87" s="335"/>
      <c r="S87" s="335"/>
      <c r="T87" s="335"/>
      <c r="U87" s="335"/>
      <c r="V87" s="335"/>
      <c r="W87" s="335"/>
      <c r="X87" s="335"/>
      <c r="Y87" s="335"/>
      <c r="Z87" s="335"/>
      <c r="AA87" s="335"/>
      <c r="AB87" s="335"/>
      <c r="AC87" s="311"/>
      <c r="AD87" s="311"/>
      <c r="AE87" s="311"/>
      <c r="AF87" s="311"/>
      <c r="AG87" s="311"/>
      <c r="AH87" s="311"/>
      <c r="AI87" s="311"/>
      <c r="AJ87" s="311"/>
      <c r="AK87" s="311"/>
      <c r="AL87" s="311"/>
      <c r="AM87" s="311"/>
      <c r="AN87" s="295"/>
      <c r="AO87" s="295"/>
      <c r="AP87" s="295"/>
      <c r="AQ87" s="295"/>
      <c r="AR87" s="292"/>
    </row>
    <row r="88" spans="1:44" ht="21" hidden="1" customHeight="1" x14ac:dyDescent="0.25">
      <c r="A88" s="534"/>
      <c r="B88" s="577"/>
      <c r="C88" s="577"/>
      <c r="D88" s="967" t="str">
        <f>IF($L$72=0,"",IF(H46&lt;&gt;D87,"This figure should equal line 7",""))</f>
        <v/>
      </c>
      <c r="E88" s="961" t="str">
        <f>IF(OR(H27=0,D87=0),"",IF(ROUND(H27/D87,2)&lt;&gt;E87,"This figure should equal line 1/line 7",""))</f>
        <v/>
      </c>
      <c r="F88" s="961" t="str">
        <f>IF(OR(H34=0,D87=0),"",IF(ROUND(H34/D87,2)&lt;&gt;F87,"This figure should equal line 3/line 7",""))</f>
        <v/>
      </c>
      <c r="G88" s="951"/>
      <c r="H88" s="952"/>
      <c r="I88" s="961" t="str">
        <f>IF(OR(G87=0,D87=0),"",IF(ROUND(G87/D87,2)&lt;&gt;I87,"This figure should equal G90/D90",""))</f>
        <v/>
      </c>
      <c r="J88" s="961" t="str">
        <f>IF(F87="","",IF(I87/O87&lt;&gt;J87,"This figure should equal I90/previous year Band D",""))</f>
        <v/>
      </c>
      <c r="K88" s="537"/>
      <c r="L88" s="313"/>
      <c r="M88" s="336"/>
      <c r="N88" s="311"/>
      <c r="O88" s="313"/>
      <c r="P88" s="310"/>
      <c r="Q88" s="311"/>
      <c r="R88" s="335"/>
      <c r="S88" s="335"/>
      <c r="T88" s="335"/>
      <c r="U88" s="335"/>
      <c r="V88" s="335"/>
      <c r="W88" s="335"/>
      <c r="X88" s="335"/>
      <c r="Y88" s="335"/>
      <c r="Z88" s="335"/>
      <c r="AA88" s="335"/>
      <c r="AB88" s="335"/>
      <c r="AC88" s="311"/>
      <c r="AD88" s="311"/>
      <c r="AE88" s="311"/>
      <c r="AF88" s="311"/>
      <c r="AG88" s="311"/>
      <c r="AH88" s="311"/>
      <c r="AI88" s="311"/>
      <c r="AJ88" s="311"/>
      <c r="AK88" s="311"/>
      <c r="AL88" s="311"/>
      <c r="AM88" s="311"/>
      <c r="AN88" s="295"/>
      <c r="AO88" s="295"/>
      <c r="AP88" s="295"/>
      <c r="AQ88" s="295"/>
      <c r="AR88" s="292"/>
    </row>
    <row r="89" spans="1:44" ht="27.95" hidden="1" customHeight="1" x14ac:dyDescent="0.25">
      <c r="A89" s="534"/>
      <c r="B89" s="577"/>
      <c r="C89" s="577"/>
      <c r="D89" s="968"/>
      <c r="E89" s="962"/>
      <c r="F89" s="962"/>
      <c r="G89" s="953"/>
      <c r="H89" s="953"/>
      <c r="I89" s="962"/>
      <c r="J89" s="962"/>
      <c r="K89" s="537"/>
      <c r="L89" s="313"/>
      <c r="M89" s="336"/>
      <c r="N89" s="311"/>
      <c r="O89" s="313"/>
      <c r="P89" s="310"/>
      <c r="Q89" s="311"/>
      <c r="R89" s="335"/>
      <c r="S89" s="335"/>
      <c r="T89" s="335"/>
      <c r="U89" s="335"/>
      <c r="V89" s="335"/>
      <c r="W89" s="335"/>
      <c r="X89" s="335"/>
      <c r="Y89" s="335"/>
      <c r="Z89" s="335"/>
      <c r="AA89" s="335"/>
      <c r="AB89" s="335"/>
      <c r="AC89" s="311"/>
      <c r="AD89" s="311"/>
      <c r="AE89" s="311"/>
      <c r="AF89" s="311"/>
      <c r="AG89" s="311"/>
      <c r="AH89" s="311"/>
      <c r="AI89" s="311"/>
      <c r="AJ89" s="311"/>
      <c r="AK89" s="311"/>
      <c r="AL89" s="311"/>
      <c r="AM89" s="311"/>
      <c r="AN89" s="295"/>
      <c r="AO89" s="295"/>
      <c r="AP89" s="295"/>
      <c r="AQ89" s="295"/>
      <c r="AR89" s="292"/>
    </row>
    <row r="90" spans="1:44" ht="33" hidden="1" customHeight="1" x14ac:dyDescent="0.2">
      <c r="A90" s="949" t="str">
        <f>IF(OR(L76=1, L76=3),"",IF(AND(F80="", F81="", F82="", F83="", F84="",F85="",F86=""),"",IF(OR(F80&gt;=L80, F81&gt;=L81, F82&gt;=L82, F83&gt;=L83, F84&gt;=L84,F85&gt;=L85,F86&gt;=L86),"Authority may be required to hold a referendum as the increase in council tax in a predecessor area(s) appears to have exceeded referendum principles. Please check your figures and obtain legal advice.","Authority DOES NOT appear to be subject to a referendum.")))</f>
        <v/>
      </c>
      <c r="B90" s="950"/>
      <c r="C90" s="950"/>
      <c r="D90" s="950"/>
      <c r="E90" s="950"/>
      <c r="F90" s="950" t="str">
        <f>IF(OR(L76=1, L76=3),"",IF(AND(I80="", I81="", I82="", I83="", I84="",I85="",I86=""),"",IF(OR(AND(I80&lt;&gt;"",I80&gt;M80), AND(I81&lt;&gt;"",I81&gt;M81), AND(I82&lt;&gt;"",I82&gt;M82), AND(I83&lt;&gt;"",I83&gt;M83),AND(I84&lt;&gt;"",I84&gt;M84),AND(I85&lt;&gt;"",I85&gt;M85),AND(I86&lt;&gt;"", I86&gt;M86)),"The Adult Social Care element of the increase in Band D council tax in a predecessor area(s) exceeds their maximum increase for this year. Please check your figures again.","")))</f>
        <v/>
      </c>
      <c r="G90" s="959"/>
      <c r="H90" s="959"/>
      <c r="I90" s="959"/>
      <c r="J90" s="959"/>
      <c r="K90" s="960"/>
      <c r="L90" s="313"/>
      <c r="M90" s="336"/>
      <c r="N90" s="311"/>
      <c r="O90" s="313"/>
      <c r="P90" s="310"/>
      <c r="Q90" s="311"/>
      <c r="R90" s="335"/>
      <c r="S90" s="335"/>
      <c r="T90" s="335"/>
      <c r="U90" s="335"/>
      <c r="V90" s="335"/>
      <c r="W90" s="335"/>
      <c r="X90" s="335"/>
      <c r="Y90" s="335"/>
      <c r="Z90" s="335"/>
      <c r="AA90" s="335"/>
      <c r="AB90" s="335"/>
      <c r="AC90" s="311"/>
      <c r="AD90" s="311"/>
      <c r="AE90" s="311"/>
      <c r="AF90" s="311"/>
      <c r="AG90" s="311"/>
      <c r="AH90" s="311"/>
      <c r="AI90" s="311"/>
      <c r="AJ90" s="311"/>
      <c r="AK90" s="311"/>
      <c r="AL90" s="311"/>
      <c r="AM90" s="311"/>
      <c r="AN90" s="295"/>
      <c r="AO90" s="295"/>
      <c r="AP90" s="295"/>
      <c r="AQ90" s="295"/>
      <c r="AR90" s="292"/>
    </row>
    <row r="91" spans="1:44" ht="30" hidden="1" customHeight="1" x14ac:dyDescent="0.2">
      <c r="A91" s="949"/>
      <c r="B91" s="950"/>
      <c r="C91" s="950"/>
      <c r="D91" s="950"/>
      <c r="E91" s="950"/>
      <c r="F91" s="959"/>
      <c r="G91" s="959"/>
      <c r="H91" s="959"/>
      <c r="I91" s="959"/>
      <c r="J91" s="959"/>
      <c r="K91" s="960"/>
      <c r="L91" s="313"/>
      <c r="M91" s="336"/>
      <c r="N91" s="311"/>
      <c r="O91" s="313"/>
      <c r="P91" s="310"/>
      <c r="Q91" s="311"/>
      <c r="R91" s="335"/>
      <c r="S91" s="335"/>
      <c r="T91" s="335"/>
      <c r="U91" s="335"/>
      <c r="V91" s="335"/>
      <c r="W91" s="335"/>
      <c r="X91" s="335"/>
      <c r="Y91" s="335"/>
      <c r="Z91" s="335"/>
      <c r="AA91" s="335"/>
      <c r="AB91" s="335"/>
      <c r="AC91" s="311"/>
      <c r="AD91" s="311"/>
      <c r="AE91" s="311"/>
      <c r="AF91" s="311"/>
      <c r="AG91" s="311"/>
      <c r="AH91" s="311"/>
      <c r="AI91" s="311"/>
      <c r="AJ91" s="311"/>
      <c r="AK91" s="311"/>
      <c r="AL91" s="311"/>
      <c r="AM91" s="311"/>
      <c r="AN91" s="295"/>
      <c r="AO91" s="295"/>
      <c r="AP91" s="295"/>
      <c r="AQ91" s="295"/>
      <c r="AR91" s="292"/>
    </row>
    <row r="92" spans="1:44" ht="27" hidden="1" customHeight="1" x14ac:dyDescent="0.2">
      <c r="A92" s="949" t="str">
        <f>IF(OR(L76=2, L76=3),"",IF(F87="","",IF(F87&gt;=L87,"Authority may be required to hold a referendum as the increase in council tax across the predecessor areas appears to have exceeded referendum principles. Please check your figures and obtain legal advice.","Authority DOES NOT appear to be subject to a referendum.")))</f>
        <v/>
      </c>
      <c r="B92" s="950"/>
      <c r="C92" s="950"/>
      <c r="D92" s="950"/>
      <c r="E92" s="950"/>
      <c r="F92" s="950" t="str">
        <f>IF(OR(L76=2, L76=3),"",IF(I87="","",IF(I87&gt;M87,"The Adult Social Care element of the increase in Band D council tax across the predecessor areas exceeds your maximum increase for this year. Please check your figures again.","")))</f>
        <v/>
      </c>
      <c r="G92" s="963"/>
      <c r="H92" s="963"/>
      <c r="I92" s="963"/>
      <c r="J92" s="963"/>
      <c r="K92" s="964"/>
      <c r="L92" s="313"/>
      <c r="M92" s="336"/>
      <c r="N92" s="311"/>
      <c r="O92" s="313"/>
      <c r="P92" s="310"/>
      <c r="Q92" s="311"/>
      <c r="R92" s="335"/>
      <c r="S92" s="335"/>
      <c r="T92" s="335"/>
      <c r="U92" s="335"/>
      <c r="V92" s="335"/>
      <c r="W92" s="335"/>
      <c r="X92" s="335"/>
      <c r="Y92" s="335"/>
      <c r="Z92" s="335"/>
      <c r="AA92" s="335"/>
      <c r="AB92" s="335"/>
      <c r="AC92" s="311"/>
      <c r="AD92" s="311"/>
      <c r="AE92" s="311"/>
      <c r="AF92" s="311"/>
      <c r="AG92" s="311"/>
      <c r="AH92" s="311"/>
      <c r="AI92" s="311"/>
      <c r="AJ92" s="311"/>
      <c r="AK92" s="311"/>
      <c r="AL92" s="311"/>
      <c r="AM92" s="311"/>
      <c r="AN92" s="295"/>
      <c r="AO92" s="295"/>
      <c r="AP92" s="295"/>
      <c r="AQ92" s="295"/>
      <c r="AR92" s="292"/>
    </row>
    <row r="93" spans="1:44" ht="32.1" hidden="1" customHeight="1" x14ac:dyDescent="0.2">
      <c r="A93" s="949"/>
      <c r="B93" s="950"/>
      <c r="C93" s="950"/>
      <c r="D93" s="950"/>
      <c r="E93" s="950"/>
      <c r="F93" s="963"/>
      <c r="G93" s="963"/>
      <c r="H93" s="963"/>
      <c r="I93" s="963"/>
      <c r="J93" s="963"/>
      <c r="K93" s="964"/>
      <c r="L93" s="313"/>
      <c r="M93" s="336"/>
      <c r="N93" s="311"/>
      <c r="O93" s="313"/>
      <c r="P93" s="310"/>
      <c r="Q93" s="311"/>
      <c r="R93" s="335"/>
      <c r="S93" s="335"/>
      <c r="T93" s="335"/>
      <c r="U93" s="335"/>
      <c r="V93" s="335"/>
      <c r="W93" s="335"/>
      <c r="X93" s="335"/>
      <c r="Y93" s="335"/>
      <c r="Z93" s="335"/>
      <c r="AA93" s="335"/>
      <c r="AB93" s="335"/>
      <c r="AC93" s="311"/>
      <c r="AD93" s="311"/>
      <c r="AE93" s="311"/>
      <c r="AF93" s="311"/>
      <c r="AG93" s="311"/>
      <c r="AH93" s="311"/>
      <c r="AI93" s="311"/>
      <c r="AJ93" s="311"/>
      <c r="AK93" s="311"/>
      <c r="AL93" s="311"/>
      <c r="AM93" s="311"/>
      <c r="AN93" s="295"/>
      <c r="AO93" s="295"/>
      <c r="AP93" s="295"/>
      <c r="AQ93" s="295"/>
      <c r="AR93" s="292"/>
    </row>
    <row r="94" spans="1:44" ht="15.6" hidden="1" customHeight="1" thickBot="1" x14ac:dyDescent="0.25">
      <c r="A94" s="534"/>
      <c r="E94" s="626"/>
      <c r="F94" s="965"/>
      <c r="G94" s="965"/>
      <c r="H94" s="965"/>
      <c r="I94" s="965"/>
      <c r="J94" s="965"/>
      <c r="K94" s="966"/>
      <c r="L94" s="313"/>
      <c r="M94" s="336"/>
      <c r="N94" s="311"/>
      <c r="O94" s="313"/>
      <c r="P94" s="310"/>
      <c r="Q94" s="311"/>
      <c r="R94" s="335"/>
      <c r="S94" s="335"/>
      <c r="T94" s="335"/>
      <c r="U94" s="335"/>
      <c r="V94" s="335"/>
      <c r="W94" s="335"/>
      <c r="X94" s="335"/>
      <c r="Y94" s="335"/>
      <c r="Z94" s="335"/>
      <c r="AA94" s="335"/>
      <c r="AB94" s="335"/>
      <c r="AC94" s="311"/>
      <c r="AD94" s="311"/>
      <c r="AE94" s="311"/>
      <c r="AF94" s="311"/>
      <c r="AG94" s="311"/>
      <c r="AH94" s="311"/>
      <c r="AI94" s="311"/>
      <c r="AJ94" s="311"/>
      <c r="AK94" s="311"/>
      <c r="AL94" s="311"/>
      <c r="AM94" s="311"/>
      <c r="AN94" s="295"/>
      <c r="AO94" s="295"/>
      <c r="AP94" s="295"/>
      <c r="AQ94" s="295"/>
      <c r="AR94" s="292"/>
    </row>
    <row r="95" spans="1:44" ht="23.1" customHeight="1" x14ac:dyDescent="0.25">
      <c r="A95" s="553"/>
      <c r="B95" s="531"/>
      <c r="C95" s="531"/>
      <c r="D95" s="531"/>
      <c r="E95" s="610"/>
      <c r="F95" s="610"/>
      <c r="G95" s="644"/>
      <c r="H95" s="644"/>
      <c r="I95" s="644"/>
      <c r="J95" s="531"/>
      <c r="K95" s="537"/>
      <c r="L95" s="313"/>
      <c r="M95" s="311"/>
      <c r="N95" s="311"/>
      <c r="O95" s="313"/>
      <c r="P95" s="310"/>
      <c r="Q95" s="311"/>
      <c r="R95" s="335"/>
      <c r="S95" s="335"/>
      <c r="T95" s="335"/>
      <c r="U95" s="335"/>
      <c r="V95" s="335"/>
      <c r="W95" s="335"/>
      <c r="X95" s="335"/>
      <c r="Y95" s="335"/>
      <c r="Z95" s="335"/>
      <c r="AA95" s="335"/>
      <c r="AB95" s="335"/>
      <c r="AC95" s="311"/>
      <c r="AD95" s="311"/>
      <c r="AE95" s="311"/>
      <c r="AF95" s="311"/>
      <c r="AG95" s="311"/>
      <c r="AH95" s="311"/>
      <c r="AI95" s="311"/>
      <c r="AJ95" s="311"/>
      <c r="AK95" s="311"/>
      <c r="AL95" s="311"/>
      <c r="AM95" s="311"/>
      <c r="AN95" s="295"/>
      <c r="AO95" s="295"/>
      <c r="AP95" s="295"/>
      <c r="AQ95" s="295"/>
      <c r="AR95" s="292"/>
    </row>
    <row r="96" spans="1:44" ht="30.95" customHeight="1" thickBot="1" x14ac:dyDescent="0.3">
      <c r="A96" s="534"/>
      <c r="B96" s="650" t="s">
        <v>141</v>
      </c>
      <c r="D96" s="603"/>
      <c r="E96" s="603"/>
      <c r="F96" s="603"/>
      <c r="G96" s="603"/>
      <c r="H96" s="651"/>
      <c r="I96" s="651"/>
      <c r="K96" s="537"/>
      <c r="L96" s="313" t="s">
        <v>130</v>
      </c>
      <c r="M96" s="311"/>
      <c r="N96" s="311"/>
      <c r="O96" s="313"/>
      <c r="P96" s="310"/>
      <c r="Q96" s="311"/>
      <c r="R96" s="335"/>
      <c r="S96" s="335"/>
      <c r="T96" s="335"/>
      <c r="U96" s="335"/>
      <c r="V96" s="335"/>
      <c r="W96" s="335"/>
      <c r="X96" s="335"/>
      <c r="Y96" s="335"/>
      <c r="Z96" s="335"/>
      <c r="AA96" s="335"/>
      <c r="AB96" s="335"/>
      <c r="AC96" s="311"/>
      <c r="AD96" s="311"/>
      <c r="AE96" s="311"/>
      <c r="AF96" s="311"/>
      <c r="AG96" s="311"/>
      <c r="AH96" s="311"/>
      <c r="AI96" s="311"/>
      <c r="AJ96" s="311"/>
      <c r="AK96" s="311"/>
      <c r="AL96" s="311"/>
      <c r="AM96" s="311"/>
      <c r="AN96" s="295"/>
      <c r="AO96" s="295"/>
      <c r="AP96" s="295"/>
      <c r="AQ96" s="295"/>
      <c r="AR96" s="292"/>
    </row>
    <row r="97" spans="1:44" ht="21" customHeight="1" thickBot="1" x14ac:dyDescent="0.3">
      <c r="A97" s="581"/>
      <c r="B97" s="603" t="s">
        <v>142</v>
      </c>
      <c r="C97" s="535"/>
      <c r="D97" s="603"/>
      <c r="E97" s="603"/>
      <c r="F97" s="954" t="s">
        <v>143</v>
      </c>
      <c r="G97" s="955"/>
      <c r="H97" s="956"/>
      <c r="I97" s="626"/>
      <c r="K97" s="537"/>
      <c r="L97" s="334">
        <f>Data!$AS$9</f>
        <v>4</v>
      </c>
      <c r="M97" s="311"/>
      <c r="N97" s="311"/>
      <c r="O97" s="313"/>
      <c r="P97" s="310"/>
      <c r="Q97" s="311"/>
      <c r="R97" s="312"/>
      <c r="S97" s="312"/>
      <c r="T97" s="312"/>
      <c r="U97" s="312"/>
      <c r="V97" s="312"/>
      <c r="W97" s="312"/>
      <c r="X97" s="312"/>
      <c r="Y97" s="312"/>
      <c r="Z97" s="312"/>
      <c r="AA97" s="312"/>
      <c r="AB97" s="312"/>
      <c r="AC97" s="312"/>
      <c r="AD97" s="312"/>
      <c r="AE97" s="312"/>
      <c r="AF97" s="312"/>
      <c r="AG97" s="311"/>
      <c r="AH97" s="311"/>
      <c r="AI97" s="311"/>
      <c r="AJ97" s="311"/>
      <c r="AK97" s="311"/>
      <c r="AL97" s="311"/>
      <c r="AM97" s="311"/>
      <c r="AN97" s="295"/>
      <c r="AO97" s="295"/>
      <c r="AP97" s="295"/>
      <c r="AQ97" s="295"/>
      <c r="AR97" s="292"/>
    </row>
    <row r="98" spans="1:44" ht="21" customHeight="1" x14ac:dyDescent="0.2">
      <c r="A98" s="581"/>
      <c r="B98" s="972" t="str">
        <f>IF(F97="Yes - to be held","Please re-submit a new version of this form when you are aware of the outcome of this referendum.",IF(F97="Yes - resulted in no changes","Electorate voted to accept the council tax that was set.",IF(F97="Yes - changes made to form","Electorate voted for a lower increase.",IF(F97="no","",""))))</f>
        <v/>
      </c>
      <c r="C98" s="973"/>
      <c r="D98" s="973"/>
      <c r="E98" s="973"/>
      <c r="F98" s="973"/>
      <c r="G98" s="973"/>
      <c r="H98" s="973"/>
      <c r="I98" s="973"/>
      <c r="K98" s="537"/>
      <c r="L98" s="313"/>
      <c r="M98" s="311"/>
      <c r="N98" s="311"/>
      <c r="O98" s="313"/>
      <c r="P98" s="310"/>
      <c r="Q98" s="311"/>
      <c r="R98" s="335"/>
      <c r="S98" s="335"/>
      <c r="T98" s="335"/>
      <c r="U98" s="335"/>
      <c r="V98" s="335"/>
      <c r="W98" s="335"/>
      <c r="X98" s="335"/>
      <c r="Y98" s="335"/>
      <c r="Z98" s="335"/>
      <c r="AA98" s="335"/>
      <c r="AB98" s="335"/>
      <c r="AC98" s="311"/>
      <c r="AD98" s="311"/>
      <c r="AE98" s="311"/>
      <c r="AF98" s="311"/>
      <c r="AG98" s="311"/>
      <c r="AH98" s="311"/>
      <c r="AI98" s="311"/>
      <c r="AJ98" s="311"/>
      <c r="AK98" s="311"/>
      <c r="AL98" s="311"/>
      <c r="AM98" s="311"/>
      <c r="AN98" s="295"/>
      <c r="AO98" s="295"/>
      <c r="AP98" s="295"/>
      <c r="AQ98" s="295"/>
      <c r="AR98" s="292"/>
    </row>
    <row r="99" spans="1:44" ht="21" customHeight="1" x14ac:dyDescent="0.25">
      <c r="A99" s="581"/>
      <c r="B99" s="603" t="s">
        <v>144</v>
      </c>
      <c r="C99" s="535"/>
      <c r="D99" s="603"/>
      <c r="E99" s="603"/>
      <c r="F99" s="954" t="s">
        <v>143</v>
      </c>
      <c r="G99" s="955"/>
      <c r="H99" s="956"/>
      <c r="I99" s="626"/>
      <c r="K99" s="537"/>
      <c r="L99" s="313" t="s">
        <v>145</v>
      </c>
      <c r="M99" s="311"/>
      <c r="N99" s="311"/>
      <c r="O99" s="313"/>
      <c r="P99" s="310"/>
      <c r="Q99" s="311"/>
      <c r="R99" s="311"/>
      <c r="S99" s="311"/>
      <c r="T99" s="311"/>
      <c r="U99" s="311"/>
      <c r="V99" s="311"/>
      <c r="W99" s="311"/>
      <c r="X99" s="311"/>
      <c r="Y99" s="311"/>
      <c r="Z99" s="311"/>
      <c r="AA99" s="311"/>
      <c r="AB99" s="311"/>
      <c r="AC99" s="311"/>
      <c r="AD99" s="311"/>
      <c r="AE99" s="311"/>
      <c r="AF99" s="311"/>
      <c r="AG99" s="311"/>
      <c r="AH99" s="311"/>
      <c r="AI99" s="311"/>
      <c r="AJ99" s="311"/>
      <c r="AK99" s="311"/>
      <c r="AL99" s="311"/>
      <c r="AM99" s="311"/>
      <c r="AN99" s="295"/>
      <c r="AO99" s="295"/>
      <c r="AP99" s="295"/>
      <c r="AQ99" s="295"/>
      <c r="AR99" s="292"/>
    </row>
    <row r="100" spans="1:44" ht="21" customHeight="1" x14ac:dyDescent="0.2">
      <c r="A100" s="581"/>
      <c r="B100" s="974" t="str">
        <f>IF(F99="Yes - to be held","A revised version of this form will be required if any referendum results in a lower increase.",IF(F99="Yes - resulted in no changes","Electorate voted to accept the council tax that was set by each authority.",IF(F99="Yes - changes made to form","Electorate voted for a lower increase than that set by one or more precepting authority.",IF(F99="no","",""))))</f>
        <v/>
      </c>
      <c r="C100" s="973"/>
      <c r="D100" s="973"/>
      <c r="E100" s="973"/>
      <c r="F100" s="973"/>
      <c r="G100" s="973"/>
      <c r="H100" s="973"/>
      <c r="I100" s="973"/>
      <c r="J100" s="323"/>
      <c r="K100" s="537"/>
      <c r="L100" s="334">
        <f>Data!$AS$17</f>
        <v>4</v>
      </c>
      <c r="M100" s="311"/>
      <c r="N100" s="311"/>
      <c r="O100" s="313"/>
      <c r="P100" s="310"/>
      <c r="Q100" s="311"/>
      <c r="R100" s="311"/>
      <c r="S100" s="311"/>
      <c r="T100" s="311"/>
      <c r="U100" s="311"/>
      <c r="V100" s="311"/>
      <c r="W100" s="311"/>
      <c r="X100" s="311"/>
      <c r="Y100" s="311"/>
      <c r="Z100" s="311"/>
      <c r="AA100" s="311"/>
      <c r="AB100" s="311"/>
      <c r="AC100" s="311"/>
      <c r="AD100" s="311"/>
      <c r="AE100" s="311"/>
      <c r="AF100" s="311"/>
      <c r="AG100" s="311"/>
      <c r="AH100" s="311"/>
      <c r="AI100" s="311"/>
      <c r="AJ100" s="311"/>
      <c r="AK100" s="311"/>
      <c r="AL100" s="311"/>
      <c r="AM100" s="311"/>
      <c r="AN100" s="295"/>
      <c r="AO100" s="295"/>
      <c r="AP100" s="295"/>
      <c r="AQ100" s="295"/>
      <c r="AR100" s="292"/>
    </row>
    <row r="101" spans="1:44" ht="15" customHeight="1" x14ac:dyDescent="0.2">
      <c r="A101" s="970"/>
      <c r="B101" s="971"/>
      <c r="C101" s="971"/>
      <c r="D101" s="971"/>
      <c r="E101" s="971"/>
      <c r="F101" s="971"/>
      <c r="G101" s="971"/>
      <c r="H101" s="971"/>
      <c r="I101" s="971"/>
      <c r="J101" s="971"/>
      <c r="K101" s="652"/>
      <c r="L101" s="313"/>
      <c r="M101" s="311"/>
      <c r="N101" s="311"/>
      <c r="O101" s="313"/>
      <c r="P101" s="310"/>
      <c r="Q101" s="311"/>
      <c r="R101" s="311"/>
      <c r="S101" s="311"/>
      <c r="T101" s="311"/>
      <c r="U101" s="311"/>
      <c r="V101" s="311"/>
      <c r="W101" s="311"/>
      <c r="X101" s="311"/>
      <c r="Y101" s="311"/>
      <c r="Z101" s="311"/>
      <c r="AA101" s="311"/>
      <c r="AB101" s="311"/>
      <c r="AC101" s="311"/>
      <c r="AD101" s="311"/>
      <c r="AE101" s="311"/>
      <c r="AF101" s="311"/>
      <c r="AG101" s="311"/>
      <c r="AH101" s="311"/>
      <c r="AI101" s="311"/>
      <c r="AJ101" s="311"/>
      <c r="AK101" s="311"/>
      <c r="AL101" s="311"/>
      <c r="AM101" s="311"/>
      <c r="AN101" s="295"/>
      <c r="AO101" s="295"/>
      <c r="AP101" s="295"/>
      <c r="AQ101" s="295"/>
      <c r="AR101" s="292"/>
    </row>
    <row r="102" spans="1:44" ht="38.1" customHeight="1" x14ac:dyDescent="0.2">
      <c r="A102" s="553"/>
      <c r="B102" s="653" t="s">
        <v>146</v>
      </c>
      <c r="C102" s="653" t="str">
        <f>+$E$20</f>
        <v>ZZZZ</v>
      </c>
      <c r="D102" s="653"/>
      <c r="E102" s="653"/>
      <c r="F102" s="653"/>
      <c r="G102" s="653"/>
      <c r="H102" s="654"/>
      <c r="I102" s="655"/>
      <c r="J102" s="531"/>
      <c r="K102" s="537"/>
      <c r="L102" s="313"/>
      <c r="M102" s="313"/>
      <c r="N102" s="311"/>
      <c r="O102" s="313"/>
      <c r="P102" s="310"/>
      <c r="Q102" s="311"/>
      <c r="R102" s="311"/>
      <c r="S102" s="311"/>
      <c r="T102" s="311"/>
      <c r="U102" s="311"/>
      <c r="V102" s="311"/>
      <c r="W102" s="311"/>
      <c r="X102" s="311"/>
      <c r="Y102" s="311"/>
      <c r="Z102" s="311"/>
      <c r="AA102" s="311"/>
      <c r="AB102" s="311"/>
      <c r="AC102" s="311"/>
      <c r="AD102" s="311"/>
      <c r="AE102" s="311"/>
      <c r="AF102" s="311"/>
      <c r="AG102" s="311"/>
      <c r="AH102" s="311"/>
      <c r="AI102" s="311"/>
      <c r="AJ102" s="311"/>
      <c r="AK102" s="311"/>
      <c r="AL102" s="311"/>
      <c r="AM102" s="311"/>
      <c r="AN102" s="295"/>
      <c r="AO102" s="295"/>
      <c r="AP102" s="295"/>
      <c r="AQ102" s="295"/>
      <c r="AR102" s="292"/>
    </row>
    <row r="103" spans="1:44" ht="21" customHeight="1" x14ac:dyDescent="0.25">
      <c r="A103" s="581"/>
      <c r="B103" s="656" t="s">
        <v>147</v>
      </c>
      <c r="C103" s="603"/>
      <c r="D103" s="603"/>
      <c r="E103" s="603"/>
      <c r="F103" s="603"/>
      <c r="G103" s="603"/>
      <c r="H103" s="657"/>
      <c r="I103" s="568"/>
      <c r="K103" s="537"/>
      <c r="L103" s="313"/>
      <c r="M103" s="311"/>
      <c r="N103" s="311"/>
      <c r="O103" s="313"/>
      <c r="P103" s="310"/>
      <c r="Q103" s="311"/>
      <c r="R103" s="311"/>
      <c r="S103" s="311"/>
      <c r="T103" s="311"/>
      <c r="U103" s="311"/>
      <c r="V103" s="311"/>
      <c r="W103" s="311"/>
      <c r="X103" s="311"/>
      <c r="Y103" s="311"/>
      <c r="Z103" s="311"/>
      <c r="AA103" s="311"/>
      <c r="AB103" s="311"/>
      <c r="AC103" s="311"/>
      <c r="AD103" s="311"/>
      <c r="AE103" s="311"/>
      <c r="AF103" s="311"/>
      <c r="AG103" s="311"/>
      <c r="AH103" s="311"/>
      <c r="AI103" s="311"/>
      <c r="AJ103" s="311"/>
      <c r="AK103" s="311"/>
      <c r="AL103" s="311"/>
      <c r="AM103" s="311"/>
      <c r="AN103" s="295"/>
      <c r="AO103" s="295"/>
      <c r="AP103" s="295"/>
      <c r="AQ103" s="295"/>
      <c r="AR103" s="292"/>
    </row>
    <row r="104" spans="1:44" ht="16.5" x14ac:dyDescent="0.2">
      <c r="A104" s="581"/>
      <c r="B104" s="604"/>
      <c r="C104" s="604"/>
      <c r="D104" s="604"/>
      <c r="E104" s="658"/>
      <c r="F104" s="658" t="s">
        <v>148</v>
      </c>
      <c r="G104" s="658"/>
      <c r="H104" s="658" t="s">
        <v>149</v>
      </c>
      <c r="I104" s="568"/>
      <c r="K104" s="537"/>
      <c r="L104" s="313"/>
      <c r="M104" s="313"/>
      <c r="N104" s="311"/>
      <c r="O104" s="313"/>
      <c r="P104" s="310"/>
      <c r="Q104" s="311"/>
      <c r="R104" s="311"/>
      <c r="S104" s="311"/>
      <c r="T104" s="311"/>
      <c r="U104" s="311"/>
      <c r="V104" s="311"/>
      <c r="W104" s="311"/>
      <c r="X104" s="311"/>
      <c r="Y104" s="311"/>
      <c r="Z104" s="311"/>
      <c r="AA104" s="311"/>
      <c r="AB104" s="311"/>
      <c r="AC104" s="311"/>
      <c r="AD104" s="311"/>
      <c r="AE104" s="311"/>
      <c r="AF104" s="311"/>
      <c r="AG104" s="311"/>
      <c r="AH104" s="311"/>
      <c r="AI104" s="311"/>
      <c r="AJ104" s="311"/>
      <c r="AK104" s="311"/>
      <c r="AL104" s="311"/>
      <c r="AM104" s="311"/>
      <c r="AN104" s="295"/>
      <c r="AO104" s="295"/>
      <c r="AP104" s="295"/>
      <c r="AQ104" s="295"/>
      <c r="AR104" s="292"/>
    </row>
    <row r="105" spans="1:44" ht="16.5" x14ac:dyDescent="0.2">
      <c r="A105" s="581"/>
      <c r="B105" s="604"/>
      <c r="C105" s="604"/>
      <c r="D105" s="604"/>
      <c r="E105" s="658"/>
      <c r="F105" s="658" t="s">
        <v>150</v>
      </c>
      <c r="G105" s="658"/>
      <c r="H105" s="659" t="s">
        <v>151</v>
      </c>
      <c r="I105" s="568"/>
      <c r="K105" s="537"/>
      <c r="L105" s="313"/>
      <c r="M105" s="313"/>
      <c r="N105" s="311"/>
      <c r="O105" s="313"/>
      <c r="P105" s="310"/>
      <c r="Q105" s="311"/>
      <c r="R105" s="311"/>
      <c r="S105" s="311"/>
      <c r="T105" s="311"/>
      <c r="U105" s="311"/>
      <c r="V105" s="311"/>
      <c r="W105" s="311"/>
      <c r="X105" s="311"/>
      <c r="Y105" s="311"/>
      <c r="Z105" s="311"/>
      <c r="AA105" s="311"/>
      <c r="AB105" s="311"/>
      <c r="AC105" s="311"/>
      <c r="AD105" s="311"/>
      <c r="AE105" s="311"/>
      <c r="AF105" s="311"/>
      <c r="AG105" s="311"/>
      <c r="AH105" s="311"/>
      <c r="AI105" s="311"/>
      <c r="AJ105" s="311"/>
      <c r="AK105" s="311"/>
      <c r="AL105" s="311"/>
      <c r="AM105" s="311"/>
      <c r="AN105" s="295"/>
      <c r="AO105" s="295"/>
      <c r="AP105" s="295"/>
      <c r="AQ105" s="295"/>
      <c r="AR105" s="292"/>
    </row>
    <row r="106" spans="1:44" ht="16.5" x14ac:dyDescent="0.2">
      <c r="A106" s="581"/>
      <c r="B106" s="604"/>
      <c r="C106" s="660" t="s">
        <v>152</v>
      </c>
      <c r="D106" s="604"/>
      <c r="E106" s="658"/>
      <c r="F106" s="658" t="s">
        <v>153</v>
      </c>
      <c r="G106" s="658"/>
      <c r="H106" s="658" t="s">
        <v>154</v>
      </c>
      <c r="I106" s="568"/>
      <c r="K106" s="537"/>
      <c r="L106" s="313"/>
      <c r="M106" s="313"/>
      <c r="N106" s="311"/>
      <c r="O106" s="313"/>
      <c r="P106" s="310"/>
      <c r="Q106" s="311"/>
      <c r="R106" s="311"/>
      <c r="S106" s="311"/>
      <c r="T106" s="311"/>
      <c r="U106" s="311"/>
      <c r="V106" s="311"/>
      <c r="W106" s="311"/>
      <c r="X106" s="311"/>
      <c r="Y106" s="311"/>
      <c r="Z106" s="311"/>
      <c r="AA106" s="311"/>
      <c r="AB106" s="311"/>
      <c r="AC106" s="311"/>
      <c r="AD106" s="311"/>
      <c r="AE106" s="311"/>
      <c r="AF106" s="311"/>
      <c r="AG106" s="311"/>
      <c r="AH106" s="311"/>
      <c r="AI106" s="311"/>
      <c r="AJ106" s="311"/>
      <c r="AK106" s="311"/>
      <c r="AL106" s="311"/>
      <c r="AM106" s="311"/>
      <c r="AN106" s="295"/>
      <c r="AO106" s="295"/>
      <c r="AP106" s="295"/>
      <c r="AQ106" s="295"/>
      <c r="AR106" s="292"/>
    </row>
    <row r="107" spans="1:44" ht="21" customHeight="1" x14ac:dyDescent="0.2">
      <c r="A107" s="581"/>
      <c r="B107" s="604"/>
      <c r="C107" s="604"/>
      <c r="D107" s="604"/>
      <c r="E107" s="604"/>
      <c r="F107" s="658" t="s">
        <v>100</v>
      </c>
      <c r="G107" s="604"/>
      <c r="H107" s="658" t="s">
        <v>155</v>
      </c>
      <c r="I107" s="568"/>
      <c r="K107" s="537"/>
      <c r="L107" s="313"/>
      <c r="M107" s="311"/>
      <c r="N107" s="311"/>
      <c r="O107" s="313"/>
      <c r="P107" s="310"/>
      <c r="Q107" s="311"/>
      <c r="R107" s="311"/>
      <c r="S107" s="311"/>
      <c r="T107" s="311"/>
      <c r="U107" s="311"/>
      <c r="V107" s="311"/>
      <c r="W107" s="311"/>
      <c r="X107" s="311"/>
      <c r="Y107" s="311"/>
      <c r="Z107" s="311"/>
      <c r="AA107" s="311"/>
      <c r="AB107" s="311"/>
      <c r="AC107" s="311"/>
      <c r="AD107" s="311"/>
      <c r="AE107" s="311"/>
      <c r="AF107" s="311"/>
      <c r="AG107" s="311"/>
      <c r="AH107" s="311"/>
      <c r="AI107" s="311"/>
      <c r="AJ107" s="311"/>
      <c r="AK107" s="311"/>
      <c r="AL107" s="311"/>
      <c r="AM107" s="311"/>
      <c r="AN107" s="295"/>
      <c r="AO107" s="295"/>
      <c r="AP107" s="295"/>
      <c r="AQ107" s="295"/>
      <c r="AR107" s="292"/>
    </row>
    <row r="108" spans="1:44" ht="21" customHeight="1" x14ac:dyDescent="0.2">
      <c r="A108" s="581"/>
      <c r="B108" s="611" t="s">
        <v>156</v>
      </c>
      <c r="C108" s="661" t="str">
        <f>_xlfn.LET(_xlpm.val,_xlfn.XLOOKUP($J$1,Data!$A$6:$A$302,Data!$O$6:$O$302),IF(_xlpm.val="","",_xlpm.val))</f>
        <v/>
      </c>
      <c r="D108" s="584" t="s">
        <v>157</v>
      </c>
      <c r="E108" s="863">
        <f>_xlfn.IFNA(INDEX(Data!$P$6:$P$302,MATCH($E$21,Data!$C6:$C302,0)),0)</f>
        <v>0</v>
      </c>
      <c r="F108" s="586"/>
      <c r="G108" s="663"/>
      <c r="H108" s="664">
        <f>IF(F108=0,0,ROUND((+F108/H$46),2))</f>
        <v>0</v>
      </c>
      <c r="I108" s="568"/>
      <c r="K108" s="537"/>
      <c r="L108" s="332"/>
      <c r="M108" s="332"/>
      <c r="N108" s="313"/>
      <c r="O108" s="313"/>
      <c r="P108" s="310"/>
      <c r="Q108" s="311"/>
      <c r="R108" s="311"/>
      <c r="S108" s="311"/>
      <c r="T108" s="311"/>
      <c r="U108" s="311"/>
      <c r="V108" s="311"/>
      <c r="W108" s="311"/>
      <c r="X108" s="311"/>
      <c r="Y108" s="311"/>
      <c r="Z108" s="311"/>
      <c r="AA108" s="311"/>
      <c r="AB108" s="311"/>
      <c r="AC108" s="311"/>
      <c r="AD108" s="311"/>
      <c r="AE108" s="311"/>
      <c r="AF108" s="311"/>
      <c r="AG108" s="311"/>
      <c r="AH108" s="311"/>
      <c r="AI108" s="311"/>
      <c r="AJ108" s="311"/>
      <c r="AK108" s="311"/>
      <c r="AL108" s="311"/>
      <c r="AM108" s="311"/>
      <c r="AN108" s="295"/>
      <c r="AO108" s="295"/>
      <c r="AP108" s="295"/>
      <c r="AQ108" s="295"/>
      <c r="AR108" s="292"/>
    </row>
    <row r="109" spans="1:44" ht="21" customHeight="1" x14ac:dyDescent="0.2">
      <c r="A109" s="581"/>
      <c r="B109" s="584"/>
      <c r="C109" s="665"/>
      <c r="D109" s="584"/>
      <c r="E109" s="662"/>
      <c r="F109" s="957"/>
      <c r="G109" s="958"/>
      <c r="H109" s="958"/>
      <c r="I109" s="666"/>
      <c r="K109" s="537"/>
      <c r="L109" s="313"/>
      <c r="M109" s="313"/>
      <c r="N109" s="311"/>
      <c r="O109" s="313"/>
      <c r="P109" s="310"/>
      <c r="Q109" s="311"/>
      <c r="R109" s="311"/>
      <c r="S109" s="311"/>
      <c r="T109" s="311"/>
      <c r="U109" s="311"/>
      <c r="V109" s="311"/>
      <c r="W109" s="311"/>
      <c r="X109" s="311"/>
      <c r="Y109" s="311"/>
      <c r="Z109" s="311"/>
      <c r="AA109" s="311"/>
      <c r="AB109" s="311"/>
      <c r="AC109" s="311"/>
      <c r="AD109" s="311"/>
      <c r="AE109" s="311"/>
      <c r="AF109" s="311"/>
      <c r="AG109" s="311"/>
      <c r="AH109" s="311"/>
      <c r="AI109" s="311"/>
      <c r="AJ109" s="311"/>
      <c r="AK109" s="311"/>
      <c r="AL109" s="311"/>
      <c r="AM109" s="311"/>
      <c r="AN109" s="295"/>
      <c r="AO109" s="295"/>
      <c r="AP109" s="295"/>
      <c r="AQ109" s="295"/>
      <c r="AR109" s="292"/>
    </row>
    <row r="110" spans="1:44" ht="21" customHeight="1" x14ac:dyDescent="0.2">
      <c r="A110" s="581"/>
      <c r="B110" s="611" t="s">
        <v>158</v>
      </c>
      <c r="C110" s="661" t="str">
        <f>_xlfn.LET(_xlpm.val,_xlfn.XLOOKUP($J$1,Data!$A$6:$A$302,Data!$Q$6:$Q$302),IF(_xlpm.val="","",_xlpm.val))</f>
        <v/>
      </c>
      <c r="D110" s="584" t="s">
        <v>159</v>
      </c>
      <c r="E110" s="863">
        <f>_xlfn.IFNA(INDEX(Data!$R$6:$R$302,MATCH($E$21,Data!$C6:$C302,0)),0)</f>
        <v>0</v>
      </c>
      <c r="F110" s="667"/>
      <c r="G110" s="662"/>
      <c r="H110" s="668">
        <f>IF(F110=0,0,ROUND((+F110/H$46),2))</f>
        <v>0</v>
      </c>
      <c r="I110" s="666"/>
      <c r="K110" s="537"/>
      <c r="L110" s="332"/>
      <c r="M110" s="332"/>
      <c r="N110" s="333"/>
      <c r="O110" s="313"/>
      <c r="P110" s="310"/>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295"/>
      <c r="AO110" s="295"/>
      <c r="AP110" s="295"/>
      <c r="AQ110" s="295"/>
      <c r="AR110" s="292"/>
    </row>
    <row r="111" spans="1:44" ht="21" customHeight="1" x14ac:dyDescent="0.2">
      <c r="A111" s="581"/>
      <c r="B111" s="584"/>
      <c r="C111" s="665"/>
      <c r="D111" s="584"/>
      <c r="E111" s="662"/>
      <c r="F111" s="957"/>
      <c r="G111" s="958"/>
      <c r="H111" s="958"/>
      <c r="I111" s="666"/>
      <c r="K111" s="537"/>
      <c r="L111" s="313"/>
      <c r="M111" s="313"/>
      <c r="N111" s="311"/>
      <c r="O111" s="313"/>
      <c r="P111" s="310"/>
      <c r="Q111" s="311"/>
      <c r="R111" s="311"/>
      <c r="S111" s="311"/>
      <c r="T111" s="311"/>
      <c r="U111" s="311"/>
      <c r="V111" s="311"/>
      <c r="W111" s="311"/>
      <c r="X111" s="311"/>
      <c r="Y111" s="311"/>
      <c r="Z111" s="311"/>
      <c r="AA111" s="311"/>
      <c r="AB111" s="311"/>
      <c r="AC111" s="311"/>
      <c r="AD111" s="311"/>
      <c r="AE111" s="311"/>
      <c r="AF111" s="311"/>
      <c r="AG111" s="311"/>
      <c r="AH111" s="311"/>
      <c r="AI111" s="311"/>
      <c r="AJ111" s="311"/>
      <c r="AK111" s="311"/>
      <c r="AL111" s="311"/>
      <c r="AM111" s="311"/>
      <c r="AN111" s="295"/>
      <c r="AO111" s="295"/>
      <c r="AP111" s="295"/>
      <c r="AQ111" s="295"/>
      <c r="AR111" s="292"/>
    </row>
    <row r="112" spans="1:44" ht="21" customHeight="1" x14ac:dyDescent="0.2">
      <c r="A112" s="581"/>
      <c r="B112" s="611" t="s">
        <v>160</v>
      </c>
      <c r="C112" s="661" t="str">
        <f>_xlfn.LET(_xlpm.val,_xlfn.XLOOKUP($J$1,Data!$A$6:$A$302,Data!$S$6:$S$302),IF(_xlpm.val="","",_xlpm.val))</f>
        <v/>
      </c>
      <c r="D112" s="584" t="s">
        <v>161</v>
      </c>
      <c r="E112" s="863">
        <f>_xlfn.IFNA(INDEX(Data!$T$6:$T$302,MATCH($E$21,Data!$C6:$C302,0)),0)</f>
        <v>0</v>
      </c>
      <c r="F112" s="586"/>
      <c r="G112" s="662"/>
      <c r="H112" s="664">
        <f>IF(F112=0,0,ROUND((+F112/H$46),2))</f>
        <v>0</v>
      </c>
      <c r="I112" s="666"/>
      <c r="K112" s="537"/>
      <c r="L112" s="332"/>
      <c r="M112" s="332"/>
      <c r="N112" s="311"/>
      <c r="O112" s="313"/>
      <c r="P112" s="310"/>
      <c r="Q112" s="311"/>
      <c r="R112" s="311"/>
      <c r="S112" s="311"/>
      <c r="T112" s="311"/>
      <c r="U112" s="311"/>
      <c r="V112" s="311"/>
      <c r="W112" s="311"/>
      <c r="X112" s="311"/>
      <c r="Y112" s="311"/>
      <c r="Z112" s="311"/>
      <c r="AA112" s="311"/>
      <c r="AB112" s="311"/>
      <c r="AC112" s="311"/>
      <c r="AD112" s="311"/>
      <c r="AE112" s="311"/>
      <c r="AF112" s="311"/>
      <c r="AG112" s="311"/>
      <c r="AH112" s="311"/>
      <c r="AI112" s="311"/>
      <c r="AJ112" s="311"/>
      <c r="AK112" s="311"/>
      <c r="AL112" s="311"/>
      <c r="AM112" s="311"/>
      <c r="AN112" s="295"/>
      <c r="AO112" s="295"/>
      <c r="AP112" s="295"/>
      <c r="AQ112" s="295"/>
      <c r="AR112" s="292"/>
    </row>
    <row r="113" spans="1:44" ht="21" customHeight="1" thickBot="1" x14ac:dyDescent="0.25">
      <c r="A113" s="581"/>
      <c r="B113" s="669"/>
      <c r="C113" s="670"/>
      <c r="D113" s="669"/>
      <c r="E113" s="671"/>
      <c r="F113" s="957"/>
      <c r="G113" s="958"/>
      <c r="H113" s="958"/>
      <c r="I113" s="666"/>
      <c r="K113" s="537"/>
      <c r="L113" s="313"/>
      <c r="M113" s="313"/>
      <c r="N113" s="311"/>
      <c r="O113" s="313"/>
      <c r="P113" s="310"/>
      <c r="Q113" s="311"/>
      <c r="R113" s="311"/>
      <c r="S113" s="311"/>
      <c r="T113" s="311"/>
      <c r="U113" s="311"/>
      <c r="V113" s="311"/>
      <c r="W113" s="311"/>
      <c r="X113" s="311"/>
      <c r="Y113" s="311"/>
      <c r="Z113" s="311"/>
      <c r="AA113" s="311"/>
      <c r="AB113" s="311"/>
      <c r="AC113" s="311"/>
      <c r="AD113" s="311"/>
      <c r="AE113" s="311"/>
      <c r="AF113" s="311"/>
      <c r="AG113" s="311"/>
      <c r="AH113" s="311"/>
      <c r="AI113" s="311"/>
      <c r="AJ113" s="311"/>
      <c r="AK113" s="311"/>
      <c r="AL113" s="311"/>
      <c r="AM113" s="311"/>
      <c r="AN113" s="295"/>
      <c r="AO113" s="295"/>
      <c r="AP113" s="295"/>
      <c r="AQ113" s="295"/>
      <c r="AR113" s="292"/>
    </row>
    <row r="114" spans="1:44" ht="21" customHeight="1" thickBot="1" x14ac:dyDescent="0.25">
      <c r="A114" s="581"/>
      <c r="B114" s="611" t="s">
        <v>162</v>
      </c>
      <c r="C114" s="661" t="str">
        <f>_xlfn.LET(_xlpm.val,_xlfn.XLOOKUP($J$1,Data!$A$6:$A$302,Data!$U$6:$U$302),IF(_xlpm.val="","",_xlpm.val))</f>
        <v/>
      </c>
      <c r="D114" s="584" t="s">
        <v>163</v>
      </c>
      <c r="E114" s="864">
        <f>_xlfn.IFNA(INDEX(Data!$V$6:$V$302,MATCH($E$21,Data!$C6:$C302,0)),0)</f>
        <v>0</v>
      </c>
      <c r="F114" s="586"/>
      <c r="G114" s="662"/>
      <c r="H114" s="664">
        <f>IF(F114=0,0,ROUND((+F114/H$46),2))</f>
        <v>0</v>
      </c>
      <c r="I114" s="666"/>
      <c r="K114" s="537"/>
      <c r="L114" s="332"/>
      <c r="M114" s="332"/>
      <c r="N114" s="311"/>
      <c r="O114" s="313"/>
      <c r="P114" s="310"/>
      <c r="Q114" s="311"/>
      <c r="R114" s="311"/>
      <c r="S114" s="311"/>
      <c r="T114" s="311"/>
      <c r="U114" s="311"/>
      <c r="V114" s="311"/>
      <c r="W114" s="311"/>
      <c r="X114" s="311"/>
      <c r="Y114" s="311"/>
      <c r="Z114" s="311"/>
      <c r="AA114" s="311"/>
      <c r="AB114" s="311"/>
      <c r="AC114" s="311"/>
      <c r="AD114" s="311"/>
      <c r="AE114" s="311"/>
      <c r="AF114" s="311"/>
      <c r="AG114" s="311"/>
      <c r="AH114" s="311"/>
      <c r="AI114" s="311"/>
      <c r="AJ114" s="311"/>
      <c r="AK114" s="311"/>
      <c r="AL114" s="311"/>
      <c r="AM114" s="311"/>
      <c r="AN114" s="295"/>
      <c r="AO114" s="295"/>
      <c r="AP114" s="295"/>
      <c r="AQ114" s="295"/>
      <c r="AR114" s="292"/>
    </row>
    <row r="115" spans="1:44" ht="21" customHeight="1" x14ac:dyDescent="0.2">
      <c r="A115" s="581"/>
      <c r="B115" s="669"/>
      <c r="C115" s="669"/>
      <c r="D115" s="669"/>
      <c r="E115" s="671"/>
      <c r="F115" s="957"/>
      <c r="G115" s="958"/>
      <c r="H115" s="958"/>
      <c r="I115" s="666"/>
      <c r="K115" s="537"/>
      <c r="L115" s="313"/>
      <c r="M115" s="311"/>
      <c r="N115" s="311"/>
      <c r="O115" s="313"/>
      <c r="P115" s="310"/>
      <c r="Q115" s="311"/>
      <c r="R115" s="311"/>
      <c r="S115" s="311"/>
      <c r="T115" s="311"/>
      <c r="U115" s="311"/>
      <c r="V115" s="311"/>
      <c r="W115" s="311"/>
      <c r="X115" s="311"/>
      <c r="Y115" s="311"/>
      <c r="Z115" s="311"/>
      <c r="AA115" s="311"/>
      <c r="AB115" s="311"/>
      <c r="AC115" s="311"/>
      <c r="AD115" s="311"/>
      <c r="AE115" s="311"/>
      <c r="AF115" s="311"/>
      <c r="AG115" s="311"/>
      <c r="AH115" s="311"/>
      <c r="AI115" s="311"/>
      <c r="AJ115" s="311"/>
      <c r="AK115" s="311"/>
      <c r="AL115" s="311"/>
      <c r="AM115" s="311"/>
      <c r="AN115" s="295"/>
      <c r="AO115" s="295"/>
      <c r="AP115" s="295"/>
      <c r="AQ115" s="295"/>
      <c r="AR115" s="292"/>
    </row>
    <row r="116" spans="1:44" ht="21" customHeight="1" x14ac:dyDescent="0.2">
      <c r="A116" s="581"/>
      <c r="B116" s="611"/>
      <c r="C116" s="604"/>
      <c r="D116" s="584"/>
      <c r="E116" s="671"/>
      <c r="F116" s="603"/>
      <c r="G116" s="662"/>
      <c r="H116" s="603"/>
      <c r="I116" s="666"/>
      <c r="K116" s="537"/>
      <c r="L116" s="313"/>
      <c r="M116" s="311"/>
      <c r="N116" s="311"/>
      <c r="O116" s="313"/>
      <c r="P116" s="310"/>
      <c r="Q116" s="311"/>
      <c r="R116" s="311"/>
      <c r="S116" s="311"/>
      <c r="T116" s="311"/>
      <c r="U116" s="311"/>
      <c r="V116" s="311"/>
      <c r="W116" s="311"/>
      <c r="X116" s="311"/>
      <c r="Y116" s="311"/>
      <c r="Z116" s="311"/>
      <c r="AA116" s="311"/>
      <c r="AB116" s="311"/>
      <c r="AC116" s="311"/>
      <c r="AD116" s="311"/>
      <c r="AE116" s="311"/>
      <c r="AF116" s="311"/>
      <c r="AG116" s="311"/>
      <c r="AH116" s="311"/>
      <c r="AI116" s="311"/>
      <c r="AJ116" s="311"/>
      <c r="AK116" s="311"/>
      <c r="AL116" s="311"/>
      <c r="AM116" s="311"/>
      <c r="AN116" s="295"/>
      <c r="AO116" s="295"/>
      <c r="AP116" s="295"/>
      <c r="AQ116" s="295"/>
      <c r="AR116" s="292"/>
    </row>
    <row r="117" spans="1:44" ht="21" customHeight="1" x14ac:dyDescent="0.2">
      <c r="A117" s="581"/>
      <c r="B117" s="928" t="s">
        <v>164</v>
      </c>
      <c r="C117" s="946"/>
      <c r="D117" s="946"/>
      <c r="E117" s="946"/>
      <c r="F117" s="946"/>
      <c r="G117" s="665"/>
      <c r="H117" s="612">
        <f>IF(L72=1,IF(E87="",0,E87+H108+H110+H112+H114), IF(H50="",0,H50+H108+H110+H112+H114))</f>
        <v>0</v>
      </c>
      <c r="I117" s="568"/>
      <c r="J117" s="568"/>
      <c r="K117" s="672"/>
      <c r="L117" s="313"/>
      <c r="M117" s="311"/>
      <c r="N117" s="311"/>
      <c r="O117" s="313"/>
      <c r="P117" s="310"/>
      <c r="Q117" s="311"/>
      <c r="R117" s="311"/>
      <c r="S117" s="311"/>
      <c r="T117" s="311"/>
      <c r="U117" s="311"/>
      <c r="V117" s="311"/>
      <c r="W117" s="311"/>
      <c r="X117" s="311"/>
      <c r="Y117" s="311"/>
      <c r="Z117" s="311"/>
      <c r="AA117" s="311"/>
      <c r="AB117" s="311"/>
      <c r="AC117" s="311"/>
      <c r="AD117" s="311"/>
      <c r="AE117" s="311"/>
      <c r="AF117" s="311"/>
      <c r="AG117" s="311"/>
      <c r="AH117" s="311"/>
      <c r="AI117" s="311"/>
      <c r="AJ117" s="311"/>
      <c r="AK117" s="311"/>
      <c r="AL117" s="311"/>
      <c r="AM117" s="311"/>
      <c r="AN117" s="295"/>
      <c r="AO117" s="295"/>
      <c r="AP117" s="295"/>
      <c r="AQ117" s="295"/>
      <c r="AR117" s="292"/>
    </row>
    <row r="118" spans="1:44" ht="21" customHeight="1" x14ac:dyDescent="0.2">
      <c r="A118" s="581"/>
      <c r="B118" s="929"/>
      <c r="C118" s="929"/>
      <c r="D118" s="929"/>
      <c r="E118" s="929"/>
      <c r="F118" s="929"/>
      <c r="G118" s="969"/>
      <c r="H118" s="969"/>
      <c r="I118" s="969"/>
      <c r="J118" s="568"/>
      <c r="K118" s="672"/>
      <c r="L118" s="313"/>
      <c r="M118" s="311"/>
      <c r="N118" s="311"/>
      <c r="O118" s="313"/>
      <c r="P118" s="310"/>
      <c r="Q118" s="311"/>
      <c r="R118" s="311"/>
      <c r="S118" s="311"/>
      <c r="T118" s="311"/>
      <c r="U118" s="311"/>
      <c r="V118" s="311"/>
      <c r="W118" s="311"/>
      <c r="X118" s="311"/>
      <c r="Y118" s="311"/>
      <c r="Z118" s="311"/>
      <c r="AA118" s="311"/>
      <c r="AB118" s="311"/>
      <c r="AC118" s="311"/>
      <c r="AD118" s="311"/>
      <c r="AE118" s="311"/>
      <c r="AF118" s="311"/>
      <c r="AG118" s="311"/>
      <c r="AH118" s="311"/>
      <c r="AI118" s="311"/>
      <c r="AJ118" s="311"/>
      <c r="AK118" s="311"/>
      <c r="AL118" s="311"/>
      <c r="AM118" s="311"/>
      <c r="AN118" s="295"/>
      <c r="AO118" s="295"/>
      <c r="AP118" s="295"/>
      <c r="AQ118" s="295"/>
      <c r="AR118" s="292"/>
    </row>
    <row r="119" spans="1:44" ht="15" customHeight="1" x14ac:dyDescent="0.2">
      <c r="A119" s="548"/>
      <c r="B119" s="673"/>
      <c r="C119" s="674"/>
      <c r="D119" s="674"/>
      <c r="E119" s="674"/>
      <c r="F119" s="674"/>
      <c r="G119" s="674"/>
      <c r="H119" s="619"/>
      <c r="I119" s="675"/>
      <c r="J119" s="619"/>
      <c r="K119" s="620"/>
      <c r="L119" s="313"/>
      <c r="M119" s="329"/>
      <c r="N119" s="329"/>
      <c r="O119" s="328"/>
      <c r="P119" s="310"/>
      <c r="Q119" s="311"/>
      <c r="R119" s="311"/>
      <c r="S119" s="311"/>
      <c r="T119" s="311"/>
      <c r="U119" s="311"/>
      <c r="V119" s="311"/>
      <c r="W119" s="311"/>
      <c r="X119" s="311"/>
      <c r="Y119" s="311"/>
      <c r="Z119" s="311"/>
      <c r="AA119" s="311"/>
      <c r="AB119" s="311"/>
      <c r="AC119" s="311"/>
      <c r="AD119" s="311"/>
      <c r="AE119" s="311"/>
      <c r="AF119" s="311"/>
      <c r="AG119" s="311"/>
      <c r="AH119" s="311"/>
      <c r="AI119" s="311"/>
      <c r="AJ119" s="311"/>
      <c r="AK119" s="311"/>
      <c r="AL119" s="311"/>
      <c r="AM119" s="311"/>
      <c r="AN119" s="295"/>
      <c r="AO119" s="295"/>
      <c r="AP119" s="295"/>
      <c r="AQ119" s="295"/>
      <c r="AR119" s="292"/>
    </row>
    <row r="120" spans="1:44" ht="15" customHeight="1" x14ac:dyDescent="0.2">
      <c r="A120" s="553"/>
      <c r="B120" s="670"/>
      <c r="C120" s="676"/>
      <c r="D120" s="676"/>
      <c r="E120" s="676"/>
      <c r="F120" s="676"/>
      <c r="G120" s="676"/>
      <c r="H120" s="531"/>
      <c r="I120" s="655"/>
      <c r="J120" s="531"/>
      <c r="K120" s="556"/>
      <c r="L120" s="313"/>
      <c r="M120" s="329"/>
      <c r="N120" s="329"/>
      <c r="O120" s="328"/>
      <c r="P120" s="310"/>
      <c r="Q120" s="311"/>
      <c r="R120" s="311"/>
      <c r="S120" s="311"/>
      <c r="T120" s="311"/>
      <c r="U120" s="311"/>
      <c r="V120" s="311"/>
      <c r="W120" s="311"/>
      <c r="X120" s="311"/>
      <c r="Y120" s="311"/>
      <c r="Z120" s="311"/>
      <c r="AA120" s="311"/>
      <c r="AB120" s="311"/>
      <c r="AC120" s="311"/>
      <c r="AD120" s="311"/>
      <c r="AE120" s="311"/>
      <c r="AF120" s="311"/>
      <c r="AG120" s="311"/>
      <c r="AH120" s="311"/>
      <c r="AI120" s="311"/>
      <c r="AJ120" s="311"/>
      <c r="AK120" s="311"/>
      <c r="AL120" s="311"/>
      <c r="AM120" s="311"/>
      <c r="AN120" s="295"/>
      <c r="AO120" s="295"/>
      <c r="AP120" s="295"/>
      <c r="AQ120" s="295"/>
      <c r="AR120" s="292"/>
    </row>
    <row r="121" spans="1:44" ht="21" customHeight="1" x14ac:dyDescent="0.2">
      <c r="A121" s="534"/>
      <c r="B121" s="677" t="s">
        <v>165</v>
      </c>
      <c r="C121" s="665"/>
      <c r="D121" s="665"/>
      <c r="E121" s="665"/>
      <c r="F121" s="658"/>
      <c r="G121" s="658"/>
      <c r="H121" s="658"/>
      <c r="I121" s="568"/>
      <c r="K121" s="537"/>
      <c r="L121" s="313"/>
      <c r="M121" s="329"/>
      <c r="N121" s="329"/>
      <c r="O121" s="328"/>
      <c r="P121" s="310"/>
      <c r="Q121" s="311"/>
      <c r="R121" s="311"/>
      <c r="S121" s="311"/>
      <c r="T121" s="311"/>
      <c r="U121" s="311"/>
      <c r="V121" s="311"/>
      <c r="W121" s="311"/>
      <c r="X121" s="311"/>
      <c r="Y121" s="311"/>
      <c r="Z121" s="311"/>
      <c r="AA121" s="311"/>
      <c r="AB121" s="311"/>
      <c r="AC121" s="311"/>
      <c r="AD121" s="311"/>
      <c r="AE121" s="311"/>
      <c r="AF121" s="311"/>
      <c r="AG121" s="311"/>
      <c r="AH121" s="311"/>
      <c r="AI121" s="311"/>
      <c r="AJ121" s="311"/>
      <c r="AK121" s="311"/>
      <c r="AL121" s="311"/>
      <c r="AM121" s="311"/>
      <c r="AN121" s="295"/>
      <c r="AO121" s="295"/>
      <c r="AP121" s="295"/>
      <c r="AQ121" s="295"/>
      <c r="AR121" s="292"/>
    </row>
    <row r="122" spans="1:44" ht="24.95" customHeight="1" x14ac:dyDescent="0.2">
      <c r="A122" s="534"/>
      <c r="B122" s="678"/>
      <c r="C122" s="665"/>
      <c r="D122" s="665"/>
      <c r="E122" s="665"/>
      <c r="F122" s="658" t="s">
        <v>166</v>
      </c>
      <c r="G122" s="658"/>
      <c r="H122" s="658" t="s">
        <v>167</v>
      </c>
      <c r="I122" s="568"/>
      <c r="K122" s="537"/>
      <c r="L122" s="313"/>
      <c r="M122" s="329"/>
      <c r="N122" s="329"/>
      <c r="O122" s="328"/>
      <c r="P122" s="310"/>
      <c r="Q122" s="311"/>
      <c r="R122" s="311"/>
      <c r="S122" s="311"/>
      <c r="T122" s="311"/>
      <c r="U122" s="311"/>
      <c r="V122" s="311"/>
      <c r="W122" s="311"/>
      <c r="X122" s="311"/>
      <c r="Y122" s="311"/>
      <c r="Z122" s="311"/>
      <c r="AA122" s="311"/>
      <c r="AB122" s="311"/>
      <c r="AC122" s="311"/>
      <c r="AD122" s="311"/>
      <c r="AE122" s="311"/>
      <c r="AF122" s="311"/>
      <c r="AG122" s="311"/>
      <c r="AH122" s="311"/>
      <c r="AI122" s="311"/>
      <c r="AJ122" s="311"/>
      <c r="AK122" s="311"/>
      <c r="AL122" s="311"/>
      <c r="AM122" s="311"/>
      <c r="AN122" s="295"/>
      <c r="AO122" s="295"/>
      <c r="AP122" s="295"/>
      <c r="AQ122" s="295"/>
      <c r="AR122" s="292"/>
    </row>
    <row r="123" spans="1:44" ht="20.25" x14ac:dyDescent="0.2">
      <c r="A123" s="581"/>
      <c r="B123" s="946" t="s">
        <v>168</v>
      </c>
      <c r="C123" s="946"/>
      <c r="D123" s="946"/>
      <c r="E123" s="594"/>
      <c r="F123" s="586"/>
      <c r="G123" s="594"/>
      <c r="H123" s="679"/>
      <c r="I123" s="987" t="str">
        <f>IF(CTR1_Local!$N$33="","",IF(OR(CTR1_Local!$N$17&lt;&gt;CTR1_Billing!$F$123,CTR1_Local!$P$17&lt;&gt;CTR1_Billing!$H$123),"Please check against line 1 on the CTR1_Form_Local tab",""))</f>
        <v/>
      </c>
      <c r="J123" s="986"/>
      <c r="K123" s="537"/>
      <c r="L123" s="313"/>
      <c r="M123" s="329"/>
      <c r="N123" s="329"/>
      <c r="O123" s="328"/>
      <c r="P123" s="310"/>
      <c r="Q123" s="311"/>
      <c r="R123" s="311"/>
      <c r="S123" s="311"/>
      <c r="T123" s="311"/>
      <c r="U123" s="311"/>
      <c r="V123" s="311"/>
      <c r="W123" s="311"/>
      <c r="X123" s="311"/>
      <c r="Y123" s="311"/>
      <c r="Z123" s="311"/>
      <c r="AA123" s="311"/>
      <c r="AB123" s="311"/>
      <c r="AC123" s="311"/>
      <c r="AD123" s="311"/>
      <c r="AE123" s="311"/>
      <c r="AF123" s="311"/>
      <c r="AG123" s="311"/>
      <c r="AH123" s="311"/>
      <c r="AI123" s="311"/>
      <c r="AJ123" s="311"/>
      <c r="AK123" s="311"/>
      <c r="AL123" s="311"/>
      <c r="AM123" s="311"/>
      <c r="AN123" s="295"/>
      <c r="AO123" s="295"/>
      <c r="AP123" s="295"/>
      <c r="AQ123" s="295"/>
      <c r="AR123" s="292"/>
    </row>
    <row r="124" spans="1:44" ht="21" customHeight="1" x14ac:dyDescent="0.2">
      <c r="A124" s="581"/>
      <c r="B124" s="946"/>
      <c r="C124" s="946"/>
      <c r="D124" s="946"/>
      <c r="E124" s="681"/>
      <c r="F124" s="947"/>
      <c r="G124" s="948"/>
      <c r="H124" s="948"/>
      <c r="I124" s="568"/>
      <c r="K124" s="537"/>
      <c r="L124" s="313"/>
      <c r="M124" s="329"/>
      <c r="N124" s="329"/>
      <c r="O124" s="328"/>
      <c r="P124" s="310"/>
      <c r="Q124" s="311"/>
      <c r="R124" s="311"/>
      <c r="S124" s="311"/>
      <c r="T124" s="311"/>
      <c r="U124" s="311"/>
      <c r="V124" s="311"/>
      <c r="W124" s="311"/>
      <c r="X124" s="311"/>
      <c r="Y124" s="311"/>
      <c r="Z124" s="311"/>
      <c r="AA124" s="311"/>
      <c r="AB124" s="311"/>
      <c r="AC124" s="311"/>
      <c r="AD124" s="311"/>
      <c r="AE124" s="311"/>
      <c r="AF124" s="311"/>
      <c r="AG124" s="311"/>
      <c r="AH124" s="311"/>
      <c r="AI124" s="311"/>
      <c r="AJ124" s="311"/>
      <c r="AK124" s="311"/>
      <c r="AL124" s="311"/>
      <c r="AM124" s="311"/>
      <c r="AN124" s="295"/>
      <c r="AO124" s="295"/>
      <c r="AP124" s="295"/>
      <c r="AQ124" s="295"/>
      <c r="AR124" s="292"/>
    </row>
    <row r="125" spans="1:44" ht="20.25" x14ac:dyDescent="0.2">
      <c r="A125" s="581"/>
      <c r="B125" s="946" t="s">
        <v>169</v>
      </c>
      <c r="C125" s="930"/>
      <c r="D125" s="930"/>
      <c r="E125" s="594"/>
      <c r="F125" s="586"/>
      <c r="G125" s="594"/>
      <c r="H125" s="337"/>
      <c r="I125" s="987" t="str">
        <f>IF(CTR1_Local!$N$33="","",IF(OR(CTR1_Local!$N$19&lt;&gt;CTR1_Billing!$F$125,CTR1_Local!$P$19&lt;&gt;CTR1_Billing!$H$125), "Please check against line 2 on the CTR1_Form_Local tab",""))</f>
        <v/>
      </c>
      <c r="J125" s="986"/>
      <c r="K125" s="537"/>
      <c r="L125" s="313"/>
      <c r="M125" s="329"/>
      <c r="N125" s="329"/>
      <c r="O125" s="328"/>
      <c r="P125" s="310"/>
      <c r="Q125" s="311"/>
      <c r="R125" s="311"/>
      <c r="S125" s="311"/>
      <c r="T125" s="311"/>
      <c r="U125" s="311"/>
      <c r="V125" s="311"/>
      <c r="W125" s="311"/>
      <c r="X125" s="311"/>
      <c r="Y125" s="311"/>
      <c r="Z125" s="311"/>
      <c r="AA125" s="311"/>
      <c r="AB125" s="311"/>
      <c r="AC125" s="311"/>
      <c r="AD125" s="311"/>
      <c r="AE125" s="311"/>
      <c r="AF125" s="311"/>
      <c r="AG125" s="311"/>
      <c r="AH125" s="311"/>
      <c r="AI125" s="311"/>
      <c r="AJ125" s="311"/>
      <c r="AK125" s="311"/>
      <c r="AL125" s="311"/>
      <c r="AM125" s="311"/>
      <c r="AN125" s="295"/>
      <c r="AO125" s="295"/>
      <c r="AP125" s="295"/>
      <c r="AQ125" s="295"/>
      <c r="AR125" s="292"/>
    </row>
    <row r="126" spans="1:44" ht="15" x14ac:dyDescent="0.2">
      <c r="A126" s="581"/>
      <c r="B126" s="665"/>
      <c r="C126" s="665"/>
      <c r="D126" s="665"/>
      <c r="E126" s="681"/>
      <c r="F126" s="947"/>
      <c r="G126" s="948"/>
      <c r="H126" s="948"/>
      <c r="I126" s="568"/>
      <c r="K126" s="537"/>
      <c r="L126" s="313"/>
      <c r="M126" s="329"/>
      <c r="N126" s="329"/>
      <c r="O126" s="328"/>
      <c r="P126" s="310"/>
      <c r="Q126" s="311"/>
      <c r="R126" s="311"/>
      <c r="S126" s="311"/>
      <c r="T126" s="311"/>
      <c r="U126" s="311"/>
      <c r="V126" s="311"/>
      <c r="W126" s="311"/>
      <c r="X126" s="311"/>
      <c r="Y126" s="311"/>
      <c r="Z126" s="311"/>
      <c r="AA126" s="311"/>
      <c r="AB126" s="311"/>
      <c r="AC126" s="311"/>
      <c r="AD126" s="311"/>
      <c r="AE126" s="311"/>
      <c r="AF126" s="311"/>
      <c r="AG126" s="311"/>
      <c r="AH126" s="311"/>
      <c r="AI126" s="311"/>
      <c r="AJ126" s="311"/>
      <c r="AK126" s="311"/>
      <c r="AL126" s="311"/>
      <c r="AM126" s="311"/>
      <c r="AN126" s="295"/>
      <c r="AO126" s="295"/>
      <c r="AP126" s="295"/>
      <c r="AQ126" s="295"/>
      <c r="AR126" s="292"/>
    </row>
    <row r="127" spans="1:44" ht="20.25" x14ac:dyDescent="0.2">
      <c r="A127" s="581"/>
      <c r="B127" s="946" t="s">
        <v>170</v>
      </c>
      <c r="C127" s="946"/>
      <c r="D127" s="929"/>
      <c r="E127" s="594"/>
      <c r="F127" s="586"/>
      <c r="G127" s="594"/>
      <c r="H127" s="337"/>
      <c r="I127" s="987" t="str">
        <f>IF(CTR1_Local!$N$33="","",IF(OR(CTR1_Local!$N$21&lt;&gt;CTR1_Billing!$F$127,CTR1_Local!$P$21&lt;&gt;CTR1_Billing!$H$127), "Please check against line 3 on the CTR1_Form_Local tab",""))</f>
        <v/>
      </c>
      <c r="J127" s="986"/>
      <c r="K127" s="537"/>
      <c r="L127" s="313"/>
      <c r="M127" s="329"/>
      <c r="N127" s="329"/>
      <c r="O127" s="328"/>
      <c r="P127" s="310"/>
      <c r="Q127" s="311"/>
      <c r="R127" s="311"/>
      <c r="S127" s="311"/>
      <c r="T127" s="311"/>
      <c r="U127" s="311"/>
      <c r="V127" s="311"/>
      <c r="W127" s="311"/>
      <c r="X127" s="311"/>
      <c r="Y127" s="311"/>
      <c r="Z127" s="311"/>
      <c r="AA127" s="311"/>
      <c r="AB127" s="311"/>
      <c r="AC127" s="311"/>
      <c r="AD127" s="311"/>
      <c r="AE127" s="311"/>
      <c r="AF127" s="311"/>
      <c r="AG127" s="311"/>
      <c r="AH127" s="311"/>
      <c r="AI127" s="311"/>
      <c r="AJ127" s="311"/>
      <c r="AK127" s="311"/>
      <c r="AL127" s="311"/>
      <c r="AM127" s="311"/>
      <c r="AN127" s="295"/>
      <c r="AO127" s="295"/>
      <c r="AP127" s="295"/>
      <c r="AQ127" s="295"/>
      <c r="AR127" s="292"/>
    </row>
    <row r="128" spans="1:44" ht="20.25" x14ac:dyDescent="0.2">
      <c r="A128" s="581"/>
      <c r="B128" s="946"/>
      <c r="C128" s="946"/>
      <c r="D128" s="929"/>
      <c r="E128" s="594"/>
      <c r="F128" s="682"/>
      <c r="G128" s="594"/>
      <c r="H128" s="683"/>
      <c r="I128" s="680"/>
      <c r="J128" s="684"/>
      <c r="K128" s="537"/>
      <c r="L128" s="294"/>
      <c r="M128" s="331"/>
      <c r="N128" s="331"/>
      <c r="O128" s="330"/>
      <c r="R128" s="292"/>
      <c r="S128" s="292"/>
      <c r="T128" s="292"/>
      <c r="U128" s="292"/>
      <c r="V128" s="292"/>
      <c r="W128" s="292"/>
      <c r="X128" s="292"/>
      <c r="Y128" s="292"/>
      <c r="Z128" s="292"/>
      <c r="AA128" s="292"/>
      <c r="AB128" s="292"/>
      <c r="AC128" s="292"/>
      <c r="AD128" s="292"/>
      <c r="AE128" s="292"/>
      <c r="AF128" s="292"/>
      <c r="AG128" s="292"/>
      <c r="AH128" s="292"/>
      <c r="AI128" s="292"/>
      <c r="AJ128" s="292"/>
      <c r="AK128" s="292"/>
      <c r="AL128" s="292"/>
      <c r="AM128" s="292"/>
      <c r="AN128" s="292"/>
      <c r="AO128" s="292"/>
      <c r="AP128" s="292"/>
      <c r="AQ128" s="292"/>
      <c r="AR128" s="292"/>
    </row>
    <row r="129" spans="1:44" ht="20.25" x14ac:dyDescent="0.2">
      <c r="A129" s="581"/>
      <c r="B129" s="946"/>
      <c r="C129" s="946"/>
      <c r="D129" s="929"/>
      <c r="E129" s="594"/>
      <c r="F129" s="986"/>
      <c r="G129" s="986"/>
      <c r="H129" s="683"/>
      <c r="I129" s="680"/>
      <c r="J129" s="684"/>
      <c r="K129" s="537"/>
      <c r="L129" s="294"/>
      <c r="M129" s="331"/>
      <c r="N129" s="331"/>
      <c r="O129" s="330"/>
      <c r="R129" s="292"/>
      <c r="S129" s="292"/>
      <c r="T129" s="292"/>
      <c r="U129" s="292"/>
      <c r="V129" s="292"/>
      <c r="W129" s="292"/>
      <c r="X129" s="292"/>
      <c r="Y129" s="292"/>
      <c r="Z129" s="292"/>
      <c r="AA129" s="292"/>
      <c r="AB129" s="292"/>
      <c r="AC129" s="292"/>
      <c r="AD129" s="292"/>
      <c r="AE129" s="292"/>
      <c r="AF129" s="292"/>
      <c r="AG129" s="292"/>
      <c r="AH129" s="292"/>
      <c r="AI129" s="292"/>
      <c r="AJ129" s="292"/>
      <c r="AK129" s="292"/>
      <c r="AL129" s="292"/>
      <c r="AM129" s="292"/>
      <c r="AN129" s="292"/>
      <c r="AO129" s="292"/>
      <c r="AP129" s="292"/>
      <c r="AQ129" s="292"/>
      <c r="AR129" s="292"/>
    </row>
    <row r="130" spans="1:44" ht="20.25" x14ac:dyDescent="0.2">
      <c r="A130" s="581"/>
      <c r="B130" s="946"/>
      <c r="C130" s="946"/>
      <c r="D130" s="929"/>
      <c r="E130" s="594"/>
      <c r="F130" s="986"/>
      <c r="G130" s="986"/>
      <c r="H130" s="683"/>
      <c r="I130" s="680"/>
      <c r="J130" s="684"/>
      <c r="K130" s="537"/>
      <c r="L130" s="294"/>
      <c r="M130" s="331"/>
      <c r="N130" s="331"/>
      <c r="O130" s="330"/>
      <c r="R130" s="292"/>
      <c r="S130" s="292"/>
      <c r="T130" s="292"/>
      <c r="U130" s="292"/>
      <c r="V130" s="292"/>
      <c r="W130" s="292"/>
      <c r="X130" s="292"/>
      <c r="Y130" s="292"/>
      <c r="Z130" s="292"/>
      <c r="AA130" s="292"/>
      <c r="AB130" s="292"/>
      <c r="AC130" s="292"/>
      <c r="AD130" s="292"/>
      <c r="AE130" s="292"/>
      <c r="AF130" s="292"/>
      <c r="AG130" s="292"/>
      <c r="AH130" s="292"/>
      <c r="AI130" s="292"/>
      <c r="AJ130" s="292"/>
      <c r="AK130" s="292"/>
      <c r="AL130" s="292"/>
      <c r="AM130" s="292"/>
      <c r="AN130" s="292"/>
      <c r="AO130" s="292"/>
      <c r="AP130" s="292"/>
      <c r="AQ130" s="292"/>
      <c r="AR130" s="292"/>
    </row>
    <row r="131" spans="1:44" ht="20.25" x14ac:dyDescent="0.2">
      <c r="A131" s="581"/>
      <c r="B131" s="946"/>
      <c r="C131" s="946"/>
      <c r="D131" s="929"/>
      <c r="E131" s="594"/>
      <c r="F131" s="986"/>
      <c r="G131" s="986"/>
      <c r="H131" s="683"/>
      <c r="I131" s="680"/>
      <c r="J131" s="684"/>
      <c r="K131" s="537"/>
      <c r="L131" s="294"/>
      <c r="M131" s="331"/>
      <c r="N131" s="331"/>
      <c r="O131" s="330"/>
      <c r="R131" s="292"/>
      <c r="S131" s="292"/>
      <c r="T131" s="292"/>
      <c r="U131" s="292"/>
      <c r="V131" s="292"/>
      <c r="W131" s="292"/>
      <c r="X131" s="292"/>
      <c r="Y131" s="292"/>
      <c r="Z131" s="292"/>
      <c r="AA131" s="292"/>
      <c r="AB131" s="292"/>
      <c r="AC131" s="292"/>
      <c r="AD131" s="292"/>
      <c r="AE131" s="292"/>
      <c r="AF131" s="292"/>
      <c r="AG131" s="292"/>
      <c r="AH131" s="292"/>
      <c r="AI131" s="292"/>
      <c r="AJ131" s="292"/>
      <c r="AK131" s="292"/>
      <c r="AL131" s="292"/>
      <c r="AM131" s="292"/>
      <c r="AN131" s="292"/>
      <c r="AO131" s="292"/>
      <c r="AP131" s="292"/>
      <c r="AQ131" s="292"/>
      <c r="AR131" s="292"/>
    </row>
    <row r="132" spans="1:44" ht="20.25" x14ac:dyDescent="0.2">
      <c r="A132" s="581"/>
      <c r="B132" s="946"/>
      <c r="C132" s="946"/>
      <c r="D132" s="929"/>
      <c r="E132" s="594"/>
      <c r="F132" s="682"/>
      <c r="G132" s="594"/>
      <c r="H132" s="683"/>
      <c r="I132" s="680"/>
      <c r="J132" s="684"/>
      <c r="K132" s="537"/>
      <c r="L132" s="294"/>
      <c r="M132" s="331"/>
      <c r="N132" s="331"/>
      <c r="O132" s="330"/>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row>
    <row r="133" spans="1:44" ht="21" customHeight="1" x14ac:dyDescent="0.2">
      <c r="A133" s="548"/>
      <c r="B133" s="975"/>
      <c r="C133" s="975"/>
      <c r="D133" s="975"/>
      <c r="E133" s="674"/>
      <c r="F133" s="674"/>
      <c r="G133" s="674"/>
      <c r="H133" s="619"/>
      <c r="I133" s="675"/>
      <c r="J133" s="619"/>
      <c r="K133" s="620"/>
      <c r="L133" s="313"/>
      <c r="M133" s="329"/>
      <c r="N133" s="329"/>
      <c r="O133" s="328"/>
      <c r="P133" s="310"/>
      <c r="Q133" s="311"/>
      <c r="R133" s="311"/>
      <c r="S133" s="311"/>
      <c r="T133" s="311"/>
      <c r="U133" s="311"/>
      <c r="V133" s="311"/>
      <c r="W133" s="311"/>
      <c r="X133" s="311"/>
      <c r="Y133" s="311"/>
      <c r="Z133" s="311"/>
      <c r="AA133" s="311"/>
      <c r="AB133" s="311"/>
      <c r="AC133" s="311"/>
      <c r="AD133" s="311"/>
      <c r="AE133" s="311"/>
      <c r="AF133" s="311"/>
      <c r="AG133" s="311"/>
      <c r="AH133" s="311"/>
      <c r="AI133" s="311"/>
      <c r="AJ133" s="311"/>
      <c r="AK133" s="311"/>
      <c r="AL133" s="311"/>
      <c r="AM133" s="311"/>
      <c r="AN133" s="295"/>
      <c r="AO133" s="295"/>
      <c r="AP133" s="295"/>
      <c r="AQ133" s="295"/>
      <c r="AR133" s="292"/>
    </row>
    <row r="134" spans="1:44" ht="21" customHeight="1" x14ac:dyDescent="0.2">
      <c r="A134" s="553"/>
      <c r="B134" s="676"/>
      <c r="C134" s="676"/>
      <c r="D134" s="676"/>
      <c r="E134" s="676"/>
      <c r="F134" s="676"/>
      <c r="G134" s="676"/>
      <c r="H134" s="531"/>
      <c r="I134" s="655"/>
      <c r="J134" s="531"/>
      <c r="K134" s="537"/>
      <c r="L134" s="313"/>
      <c r="M134" s="329"/>
      <c r="N134" s="329"/>
      <c r="O134" s="328"/>
      <c r="P134" s="310"/>
      <c r="Q134" s="311"/>
      <c r="R134" s="311"/>
      <c r="S134" s="311"/>
      <c r="T134" s="311"/>
      <c r="U134" s="311"/>
      <c r="V134" s="311"/>
      <c r="W134" s="311"/>
      <c r="X134" s="311"/>
      <c r="Y134" s="311"/>
      <c r="Z134" s="311"/>
      <c r="AA134" s="311"/>
      <c r="AB134" s="311"/>
      <c r="AC134" s="311"/>
      <c r="AD134" s="311"/>
      <c r="AE134" s="311"/>
      <c r="AF134" s="311"/>
      <c r="AG134" s="311"/>
      <c r="AH134" s="311"/>
      <c r="AI134" s="311"/>
      <c r="AJ134" s="311"/>
      <c r="AK134" s="311"/>
      <c r="AL134" s="311"/>
      <c r="AM134" s="311"/>
      <c r="AN134" s="295"/>
      <c r="AO134" s="295"/>
      <c r="AP134" s="295"/>
      <c r="AQ134" s="295"/>
      <c r="AR134" s="292"/>
    </row>
    <row r="135" spans="1:44" ht="21" customHeight="1" x14ac:dyDescent="0.2">
      <c r="A135" s="534"/>
      <c r="B135" s="685" t="s">
        <v>171</v>
      </c>
      <c r="C135" s="584"/>
      <c r="D135" s="665"/>
      <c r="E135" s="665"/>
      <c r="F135" s="665"/>
      <c r="G135" s="665"/>
      <c r="I135" s="568"/>
      <c r="K135" s="537"/>
      <c r="L135" s="313"/>
      <c r="M135" s="329"/>
      <c r="N135" s="329"/>
      <c r="O135" s="328"/>
      <c r="P135" s="310"/>
      <c r="Q135" s="311"/>
      <c r="R135" s="311"/>
      <c r="S135" s="311"/>
      <c r="T135" s="311"/>
      <c r="U135" s="311"/>
      <c r="V135" s="311"/>
      <c r="W135" s="311"/>
      <c r="X135" s="311"/>
      <c r="Y135" s="311"/>
      <c r="Z135" s="311"/>
      <c r="AA135" s="311"/>
      <c r="AB135" s="311"/>
      <c r="AC135" s="311"/>
      <c r="AD135" s="311"/>
      <c r="AE135" s="311"/>
      <c r="AF135" s="311"/>
      <c r="AG135" s="311"/>
      <c r="AH135" s="311"/>
      <c r="AI135" s="311"/>
      <c r="AJ135" s="311"/>
      <c r="AK135" s="311"/>
      <c r="AL135" s="311"/>
      <c r="AM135" s="311"/>
      <c r="AN135" s="295"/>
      <c r="AO135" s="295"/>
      <c r="AP135" s="295"/>
      <c r="AQ135" s="295"/>
      <c r="AR135" s="292"/>
    </row>
    <row r="136" spans="1:44" ht="15.75" x14ac:dyDescent="0.25">
      <c r="A136" s="534"/>
      <c r="B136" s="976"/>
      <c r="C136" s="977"/>
      <c r="D136" s="977"/>
      <c r="E136" s="977"/>
      <c r="F136" s="665"/>
      <c r="G136" s="665"/>
      <c r="I136" s="568"/>
      <c r="K136" s="537"/>
      <c r="L136" s="313"/>
      <c r="M136" s="329"/>
      <c r="N136" s="329"/>
      <c r="O136" s="328"/>
      <c r="P136" s="310"/>
      <c r="Q136" s="311"/>
      <c r="R136" s="311"/>
      <c r="S136" s="311"/>
      <c r="T136" s="311"/>
      <c r="U136" s="311"/>
      <c r="V136" s="311"/>
      <c r="W136" s="311"/>
      <c r="X136" s="311"/>
      <c r="Y136" s="311"/>
      <c r="Z136" s="311"/>
      <c r="AA136" s="311"/>
      <c r="AB136" s="311"/>
      <c r="AC136" s="311"/>
      <c r="AD136" s="311"/>
      <c r="AE136" s="311"/>
      <c r="AF136" s="311"/>
      <c r="AG136" s="311"/>
      <c r="AH136" s="311"/>
      <c r="AI136" s="311"/>
      <c r="AJ136" s="311"/>
      <c r="AK136" s="311"/>
      <c r="AL136" s="311"/>
      <c r="AM136" s="311"/>
      <c r="AN136" s="295"/>
      <c r="AO136" s="295"/>
      <c r="AP136" s="295"/>
      <c r="AQ136" s="295"/>
      <c r="AR136" s="292"/>
    </row>
    <row r="137" spans="1:44" ht="21" customHeight="1" x14ac:dyDescent="0.2">
      <c r="A137" s="534"/>
      <c r="B137" s="978" t="s">
        <v>172</v>
      </c>
      <c r="C137" s="978"/>
      <c r="D137" s="978"/>
      <c r="E137" s="978"/>
      <c r="F137" s="978"/>
      <c r="G137" s="978"/>
      <c r="H137" s="978"/>
      <c r="I137" s="978"/>
      <c r="K137" s="537"/>
      <c r="L137" s="313"/>
      <c r="M137" s="329"/>
      <c r="N137" s="329"/>
      <c r="O137" s="328"/>
      <c r="P137" s="310"/>
      <c r="Q137" s="311"/>
      <c r="R137" s="311"/>
      <c r="S137" s="311"/>
      <c r="T137" s="311"/>
      <c r="U137" s="311"/>
      <c r="V137" s="311"/>
      <c r="W137" s="311"/>
      <c r="X137" s="311"/>
      <c r="Y137" s="311"/>
      <c r="Z137" s="311"/>
      <c r="AA137" s="311"/>
      <c r="AB137" s="311"/>
      <c r="AC137" s="311"/>
      <c r="AD137" s="311"/>
      <c r="AE137" s="311"/>
      <c r="AF137" s="311"/>
      <c r="AG137" s="311"/>
      <c r="AH137" s="311"/>
      <c r="AI137" s="311"/>
      <c r="AJ137" s="311"/>
      <c r="AK137" s="311"/>
      <c r="AL137" s="311"/>
      <c r="AM137" s="311"/>
      <c r="AN137" s="295"/>
      <c r="AO137" s="295"/>
      <c r="AP137" s="295"/>
      <c r="AQ137" s="295"/>
      <c r="AR137" s="292"/>
    </row>
    <row r="138" spans="1:44" ht="21" customHeight="1" x14ac:dyDescent="0.2">
      <c r="A138" s="534"/>
      <c r="B138" s="978"/>
      <c r="C138" s="978"/>
      <c r="D138" s="978"/>
      <c r="E138" s="978"/>
      <c r="F138" s="978"/>
      <c r="G138" s="978"/>
      <c r="H138" s="978"/>
      <c r="I138" s="978"/>
      <c r="K138" s="537"/>
      <c r="L138" s="313"/>
      <c r="M138" s="329"/>
      <c r="N138" s="329"/>
      <c r="O138" s="328"/>
      <c r="P138" s="310"/>
      <c r="Q138" s="311"/>
      <c r="R138" s="311"/>
      <c r="S138" s="311"/>
      <c r="T138" s="311"/>
      <c r="U138" s="311"/>
      <c r="V138" s="311"/>
      <c r="W138" s="311"/>
      <c r="X138" s="311"/>
      <c r="Y138" s="311"/>
      <c r="Z138" s="311"/>
      <c r="AA138" s="311"/>
      <c r="AB138" s="311"/>
      <c r="AC138" s="311"/>
      <c r="AD138" s="311"/>
      <c r="AE138" s="311"/>
      <c r="AF138" s="311"/>
      <c r="AG138" s="311"/>
      <c r="AH138" s="311"/>
      <c r="AI138" s="311"/>
      <c r="AJ138" s="311"/>
      <c r="AK138" s="311"/>
      <c r="AL138" s="311"/>
      <c r="AM138" s="311"/>
      <c r="AN138" s="295"/>
      <c r="AO138" s="295"/>
      <c r="AP138" s="295"/>
      <c r="AQ138" s="295"/>
      <c r="AR138" s="292"/>
    </row>
    <row r="139" spans="1:44" ht="50.1" customHeight="1" x14ac:dyDescent="0.2">
      <c r="A139" s="534"/>
      <c r="B139" s="978"/>
      <c r="C139" s="978"/>
      <c r="D139" s="978"/>
      <c r="E139" s="978"/>
      <c r="F139" s="978"/>
      <c r="G139" s="978"/>
      <c r="H139" s="978"/>
      <c r="I139" s="978"/>
      <c r="K139" s="537"/>
      <c r="L139" s="313"/>
      <c r="M139" s="329"/>
      <c r="N139" s="329"/>
      <c r="O139" s="328"/>
      <c r="P139" s="310"/>
      <c r="Q139" s="311"/>
      <c r="R139" s="311"/>
      <c r="S139" s="311"/>
      <c r="T139" s="311"/>
      <c r="U139" s="311"/>
      <c r="V139" s="311"/>
      <c r="W139" s="311"/>
      <c r="X139" s="311"/>
      <c r="Y139" s="311"/>
      <c r="Z139" s="311"/>
      <c r="AA139" s="311"/>
      <c r="AB139" s="311"/>
      <c r="AC139" s="311"/>
      <c r="AD139" s="311"/>
      <c r="AE139" s="311"/>
      <c r="AF139" s="311"/>
      <c r="AG139" s="311"/>
      <c r="AH139" s="311"/>
      <c r="AI139" s="311"/>
      <c r="AJ139" s="311"/>
      <c r="AK139" s="311"/>
      <c r="AL139" s="311"/>
      <c r="AM139" s="311"/>
      <c r="AN139" s="295"/>
      <c r="AO139" s="295"/>
      <c r="AP139" s="295"/>
      <c r="AQ139" s="295"/>
      <c r="AR139" s="292"/>
    </row>
    <row r="140" spans="1:44" ht="21" customHeight="1" thickBot="1" x14ac:dyDescent="0.25">
      <c r="A140" s="686"/>
      <c r="B140" s="687"/>
      <c r="C140" s="687"/>
      <c r="D140" s="688"/>
      <c r="E140" s="687"/>
      <c r="F140" s="687"/>
      <c r="G140" s="687"/>
      <c r="H140" s="689"/>
      <c r="I140" s="690"/>
      <c r="J140" s="691"/>
      <c r="K140" s="692"/>
      <c r="L140" s="294"/>
      <c r="M140" s="329"/>
      <c r="N140" s="329"/>
      <c r="O140" s="328"/>
      <c r="P140" s="310"/>
      <c r="Q140" s="311"/>
      <c r="R140" s="311"/>
      <c r="S140" s="311"/>
      <c r="T140" s="311"/>
      <c r="U140" s="311"/>
      <c r="V140" s="311"/>
      <c r="W140" s="311"/>
      <c r="X140" s="311"/>
      <c r="Y140" s="311"/>
      <c r="Z140" s="311"/>
      <c r="AA140" s="311"/>
      <c r="AB140" s="311"/>
      <c r="AC140" s="311"/>
      <c r="AD140" s="311"/>
      <c r="AE140" s="311"/>
      <c r="AF140" s="311"/>
      <c r="AG140" s="311"/>
      <c r="AH140" s="311"/>
      <c r="AI140" s="311"/>
      <c r="AJ140" s="311"/>
      <c r="AK140" s="311"/>
      <c r="AL140" s="311"/>
      <c r="AM140" s="311"/>
      <c r="AN140" s="295"/>
      <c r="AO140" s="295"/>
      <c r="AP140" s="295"/>
      <c r="AQ140" s="295"/>
      <c r="AR140" s="292"/>
    </row>
    <row r="141" spans="1:44" x14ac:dyDescent="0.2">
      <c r="A141" s="312"/>
      <c r="B141" s="312"/>
      <c r="C141" s="312"/>
      <c r="D141" s="312"/>
      <c r="E141" s="312"/>
      <c r="F141" s="312"/>
      <c r="G141" s="312"/>
      <c r="H141" s="312"/>
      <c r="I141" s="312"/>
      <c r="J141" s="312"/>
      <c r="K141" s="312"/>
      <c r="L141" s="313"/>
      <c r="M141" s="311"/>
      <c r="N141" s="311"/>
      <c r="O141" s="313"/>
      <c r="P141" s="310"/>
      <c r="Q141" s="311"/>
      <c r="R141" s="311"/>
      <c r="S141" s="311"/>
      <c r="T141" s="311"/>
      <c r="U141" s="311"/>
      <c r="V141" s="311"/>
      <c r="W141" s="311"/>
      <c r="X141" s="311"/>
      <c r="Y141" s="311"/>
      <c r="Z141" s="311"/>
      <c r="AA141" s="311"/>
      <c r="AB141" s="311"/>
      <c r="AC141" s="311"/>
      <c r="AD141" s="311"/>
      <c r="AE141" s="311"/>
      <c r="AF141" s="311"/>
      <c r="AG141" s="311"/>
      <c r="AH141" s="311"/>
      <c r="AI141" s="311"/>
      <c r="AJ141" s="311"/>
      <c r="AK141" s="311"/>
      <c r="AL141" s="311"/>
      <c r="AM141" s="311"/>
      <c r="AN141" s="295"/>
      <c r="AO141" s="295"/>
      <c r="AP141" s="295"/>
      <c r="AQ141" s="295"/>
      <c r="AR141" s="292"/>
    </row>
    <row r="142" spans="1:44" x14ac:dyDescent="0.2">
      <c r="A142" s="312"/>
      <c r="B142" s="312"/>
      <c r="C142" s="312"/>
      <c r="D142" s="312"/>
      <c r="E142" s="326"/>
      <c r="F142" s="326"/>
      <c r="G142" s="326"/>
      <c r="H142" s="326"/>
      <c r="I142" s="312"/>
      <c r="J142" s="312"/>
      <c r="K142" s="312"/>
      <c r="L142" s="313"/>
      <c r="M142" s="311"/>
      <c r="N142" s="311"/>
      <c r="O142" s="313"/>
      <c r="P142" s="310"/>
      <c r="Q142" s="311"/>
      <c r="R142" s="311"/>
      <c r="S142" s="311"/>
      <c r="T142" s="311"/>
      <c r="U142" s="311"/>
      <c r="V142" s="311"/>
      <c r="W142" s="311"/>
      <c r="X142" s="311"/>
      <c r="Y142" s="311"/>
      <c r="Z142" s="311"/>
      <c r="AA142" s="311"/>
      <c r="AB142" s="311"/>
      <c r="AC142" s="311"/>
      <c r="AD142" s="311"/>
      <c r="AE142" s="311"/>
      <c r="AF142" s="311"/>
      <c r="AG142" s="311"/>
      <c r="AH142" s="311"/>
      <c r="AI142" s="311"/>
      <c r="AJ142" s="311"/>
      <c r="AK142" s="311"/>
      <c r="AL142" s="311"/>
      <c r="AM142" s="311"/>
      <c r="AN142" s="295"/>
      <c r="AO142" s="295"/>
      <c r="AP142" s="295"/>
      <c r="AQ142" s="295"/>
      <c r="AR142" s="292"/>
    </row>
    <row r="143" spans="1:44" x14ac:dyDescent="0.2">
      <c r="A143" s="312"/>
      <c r="B143" s="312"/>
      <c r="C143" s="312"/>
      <c r="D143" s="312"/>
      <c r="E143" s="326"/>
      <c r="F143" s="326"/>
      <c r="G143" s="326"/>
      <c r="H143" s="326"/>
      <c r="I143" s="312"/>
      <c r="J143" s="312"/>
      <c r="K143" s="312"/>
      <c r="L143" s="313"/>
      <c r="M143" s="311"/>
      <c r="N143" s="311"/>
      <c r="O143" s="313"/>
      <c r="P143" s="310"/>
      <c r="Q143" s="311"/>
      <c r="R143" s="311"/>
      <c r="S143" s="311"/>
      <c r="T143" s="311"/>
      <c r="U143" s="311"/>
      <c r="V143" s="311"/>
      <c r="W143" s="311"/>
      <c r="X143" s="311"/>
      <c r="Y143" s="311"/>
      <c r="Z143" s="311"/>
      <c r="AA143" s="311"/>
      <c r="AB143" s="311"/>
      <c r="AC143" s="311"/>
      <c r="AD143" s="311"/>
      <c r="AE143" s="311"/>
      <c r="AF143" s="311"/>
      <c r="AG143" s="311"/>
      <c r="AH143" s="311"/>
      <c r="AI143" s="311"/>
      <c r="AJ143" s="311"/>
      <c r="AK143" s="311"/>
      <c r="AL143" s="311"/>
      <c r="AM143" s="311"/>
      <c r="AN143" s="295"/>
      <c r="AO143" s="295"/>
      <c r="AP143" s="295"/>
      <c r="AQ143" s="295"/>
      <c r="AR143" s="292"/>
    </row>
    <row r="144" spans="1:44" x14ac:dyDescent="0.2">
      <c r="A144" s="312"/>
      <c r="B144" s="312"/>
      <c r="C144" s="164"/>
      <c r="D144" s="312"/>
      <c r="E144" s="326"/>
      <c r="F144" s="326"/>
      <c r="G144" s="326"/>
      <c r="H144" s="326"/>
      <c r="I144" s="312"/>
      <c r="J144" s="312"/>
      <c r="K144" s="312"/>
      <c r="L144" s="313"/>
      <c r="M144" s="311"/>
      <c r="N144" s="311"/>
      <c r="O144" s="313"/>
      <c r="P144" s="310"/>
      <c r="Q144" s="311"/>
      <c r="R144" s="312"/>
      <c r="S144" s="312"/>
      <c r="T144" s="312"/>
      <c r="U144" s="312"/>
      <c r="V144" s="312"/>
      <c r="W144" s="312"/>
      <c r="X144" s="312"/>
      <c r="Y144" s="312"/>
      <c r="Z144" s="312"/>
      <c r="AA144" s="312"/>
      <c r="AB144" s="312"/>
      <c r="AC144" s="312"/>
      <c r="AD144" s="312"/>
      <c r="AE144" s="312"/>
      <c r="AF144" s="312"/>
      <c r="AG144" s="312"/>
      <c r="AH144" s="312"/>
      <c r="AI144" s="312"/>
      <c r="AJ144" s="312"/>
      <c r="AK144" s="312"/>
      <c r="AL144" s="312"/>
      <c r="AM144" s="312"/>
    </row>
    <row r="145" spans="1:43" x14ac:dyDescent="0.2">
      <c r="A145" s="312"/>
      <c r="B145" s="312"/>
      <c r="C145" s="312"/>
      <c r="D145" s="325"/>
      <c r="E145" s="325"/>
      <c r="F145" s="325"/>
      <c r="G145" s="325"/>
      <c r="H145" s="326"/>
      <c r="I145" s="312"/>
      <c r="J145" s="312"/>
      <c r="K145" s="312"/>
      <c r="L145" s="313"/>
      <c r="M145" s="311"/>
      <c r="N145" s="311"/>
      <c r="O145" s="313"/>
      <c r="P145" s="310"/>
      <c r="Q145" s="311"/>
      <c r="R145" s="312"/>
      <c r="S145" s="312"/>
      <c r="T145" s="312"/>
      <c r="U145" s="312"/>
      <c r="V145" s="312"/>
      <c r="W145" s="312"/>
      <c r="X145" s="312"/>
      <c r="Y145" s="312"/>
      <c r="Z145" s="312"/>
      <c r="AA145" s="312"/>
      <c r="AB145" s="312"/>
      <c r="AC145" s="312"/>
      <c r="AD145" s="312"/>
      <c r="AE145" s="312"/>
      <c r="AF145" s="312"/>
      <c r="AG145" s="312"/>
      <c r="AH145" s="312"/>
      <c r="AI145" s="312"/>
      <c r="AJ145" s="312"/>
      <c r="AK145" s="312"/>
      <c r="AL145" s="312"/>
      <c r="AM145" s="312"/>
    </row>
    <row r="146" spans="1:43" x14ac:dyDescent="0.2">
      <c r="A146" s="312"/>
      <c r="B146" s="312"/>
      <c r="C146" s="312"/>
      <c r="D146" s="325"/>
      <c r="E146" s="325"/>
      <c r="F146" s="325"/>
      <c r="G146" s="325"/>
      <c r="H146" s="326"/>
      <c r="I146" s="312"/>
      <c r="J146" s="312"/>
      <c r="K146" s="312"/>
      <c r="L146" s="313"/>
      <c r="M146" s="311"/>
      <c r="N146" s="311"/>
      <c r="O146" s="313"/>
      <c r="P146" s="310"/>
      <c r="Q146" s="311"/>
      <c r="R146" s="312"/>
      <c r="S146" s="312"/>
      <c r="T146" s="312"/>
      <c r="U146" s="312"/>
      <c r="V146" s="312"/>
      <c r="W146" s="312"/>
      <c r="X146" s="312"/>
      <c r="Y146" s="312"/>
      <c r="Z146" s="312"/>
      <c r="AA146" s="312"/>
      <c r="AB146" s="312"/>
      <c r="AC146" s="312"/>
      <c r="AD146" s="312"/>
      <c r="AE146" s="312"/>
      <c r="AF146" s="312"/>
      <c r="AG146" s="312"/>
      <c r="AH146" s="312"/>
      <c r="AI146" s="312"/>
      <c r="AJ146" s="312"/>
      <c r="AK146" s="312"/>
      <c r="AL146" s="312"/>
      <c r="AM146" s="312"/>
    </row>
    <row r="147" spans="1:43" ht="20.25" x14ac:dyDescent="0.2">
      <c r="A147" s="312"/>
      <c r="B147" s="312"/>
      <c r="C147" s="312"/>
      <c r="D147" s="325"/>
      <c r="E147" s="325"/>
      <c r="F147" s="327"/>
      <c r="G147" s="325"/>
      <c r="H147" s="326"/>
      <c r="I147" s="312"/>
      <c r="J147" s="312"/>
      <c r="K147" s="312"/>
      <c r="L147" s="313"/>
      <c r="M147" s="311"/>
      <c r="N147" s="311"/>
      <c r="O147" s="313"/>
      <c r="P147" s="310"/>
      <c r="Q147" s="311"/>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2"/>
      <c r="AM147" s="312"/>
    </row>
    <row r="148" spans="1:43" x14ac:dyDescent="0.2">
      <c r="A148" s="312"/>
      <c r="B148" s="312"/>
      <c r="C148" s="312"/>
      <c r="D148" s="325"/>
      <c r="E148" s="325"/>
      <c r="F148" s="325"/>
      <c r="G148" s="325"/>
      <c r="H148" s="326"/>
      <c r="I148" s="312"/>
      <c r="J148" s="312"/>
      <c r="K148" s="312"/>
      <c r="L148" s="313"/>
      <c r="M148" s="311"/>
      <c r="N148" s="311"/>
      <c r="O148" s="313"/>
      <c r="P148" s="310"/>
      <c r="Q148" s="311"/>
      <c r="R148" s="312"/>
      <c r="S148" s="312"/>
      <c r="T148" s="312"/>
      <c r="U148" s="312"/>
      <c r="V148" s="312"/>
      <c r="W148" s="312"/>
      <c r="X148" s="312"/>
      <c r="Y148" s="312"/>
      <c r="Z148" s="312"/>
      <c r="AA148" s="312"/>
      <c r="AB148" s="312"/>
      <c r="AC148" s="312"/>
      <c r="AD148" s="312"/>
      <c r="AE148" s="312"/>
      <c r="AF148" s="312"/>
      <c r="AG148" s="312"/>
      <c r="AH148" s="312"/>
      <c r="AI148" s="312"/>
      <c r="AJ148" s="312"/>
      <c r="AK148" s="312"/>
      <c r="AL148" s="312"/>
      <c r="AM148" s="312"/>
    </row>
    <row r="149" spans="1:43" x14ac:dyDescent="0.2">
      <c r="A149" s="312"/>
      <c r="B149" s="312"/>
      <c r="C149" s="312"/>
      <c r="D149" s="325"/>
      <c r="E149" s="325"/>
      <c r="F149" s="325"/>
      <c r="G149" s="325"/>
      <c r="H149" s="326"/>
      <c r="I149" s="312"/>
      <c r="J149" s="312"/>
      <c r="K149" s="312"/>
      <c r="L149" s="313"/>
      <c r="M149" s="311"/>
      <c r="N149" s="311"/>
      <c r="O149" s="313"/>
      <c r="P149" s="310"/>
      <c r="Q149" s="311"/>
      <c r="R149" s="312"/>
      <c r="S149" s="312"/>
      <c r="T149" s="312"/>
      <c r="U149" s="312"/>
      <c r="V149" s="312"/>
      <c r="W149" s="312"/>
      <c r="X149" s="312"/>
      <c r="Y149" s="312"/>
      <c r="Z149" s="312"/>
      <c r="AA149" s="312"/>
      <c r="AB149" s="312"/>
      <c r="AC149" s="312"/>
      <c r="AD149" s="312"/>
      <c r="AE149" s="312"/>
      <c r="AF149" s="312"/>
      <c r="AG149" s="312"/>
      <c r="AH149" s="312"/>
      <c r="AI149" s="312"/>
      <c r="AJ149" s="312"/>
      <c r="AK149" s="312"/>
      <c r="AL149" s="312"/>
      <c r="AM149" s="312"/>
    </row>
    <row r="150" spans="1:43" x14ac:dyDescent="0.2">
      <c r="A150" s="312"/>
      <c r="B150" s="312"/>
      <c r="C150" s="312"/>
      <c r="D150" s="325"/>
      <c r="E150" s="325"/>
      <c r="F150" s="325"/>
      <c r="G150" s="325"/>
      <c r="H150" s="312"/>
      <c r="I150" s="312"/>
      <c r="J150" s="312"/>
      <c r="K150" s="312"/>
      <c r="L150" s="313"/>
      <c r="M150" s="311"/>
      <c r="N150" s="311"/>
      <c r="O150" s="313"/>
      <c r="P150" s="310"/>
      <c r="Q150" s="311"/>
      <c r="R150" s="312"/>
      <c r="S150" s="312"/>
      <c r="T150" s="312"/>
      <c r="U150" s="312"/>
      <c r="V150" s="312"/>
      <c r="W150" s="312"/>
      <c r="X150" s="312"/>
      <c r="Y150" s="312"/>
      <c r="Z150" s="312"/>
      <c r="AA150" s="312"/>
      <c r="AB150" s="312"/>
      <c r="AC150" s="312"/>
      <c r="AD150" s="312"/>
      <c r="AE150" s="312"/>
      <c r="AF150" s="312"/>
      <c r="AG150" s="312"/>
      <c r="AH150" s="312"/>
      <c r="AI150" s="312"/>
      <c r="AJ150" s="312"/>
      <c r="AK150" s="312"/>
      <c r="AL150" s="312"/>
      <c r="AM150" s="312"/>
    </row>
    <row r="151" spans="1:43" x14ac:dyDescent="0.2">
      <c r="A151" s="312"/>
      <c r="B151" s="312"/>
      <c r="C151" s="312"/>
      <c r="D151" s="312"/>
      <c r="E151" s="312"/>
      <c r="F151" s="312"/>
      <c r="G151" s="312"/>
      <c r="H151" s="312"/>
      <c r="I151" s="312"/>
      <c r="J151" s="312"/>
      <c r="K151" s="312"/>
      <c r="L151" s="313"/>
      <c r="M151" s="311"/>
      <c r="N151" s="311"/>
      <c r="O151" s="313"/>
      <c r="P151" s="310"/>
      <c r="Q151" s="311"/>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row>
    <row r="152" spans="1:43" x14ac:dyDescent="0.2">
      <c r="A152" s="312"/>
      <c r="B152" s="312"/>
      <c r="C152" s="312"/>
      <c r="D152" s="312"/>
      <c r="E152" s="312"/>
      <c r="F152" s="312"/>
      <c r="G152" s="312"/>
      <c r="H152" s="312"/>
      <c r="I152" s="312"/>
      <c r="J152" s="312"/>
      <c r="K152" s="312"/>
      <c r="L152" s="313"/>
      <c r="M152" s="311"/>
      <c r="N152" s="311"/>
      <c r="O152" s="313"/>
      <c r="P152" s="310"/>
      <c r="Q152" s="311"/>
      <c r="R152" s="312"/>
      <c r="S152" s="312"/>
      <c r="T152" s="312"/>
      <c r="U152" s="312"/>
      <c r="V152" s="312"/>
      <c r="W152" s="312"/>
      <c r="X152" s="312"/>
      <c r="Y152" s="312"/>
      <c r="Z152" s="312"/>
      <c r="AA152" s="312"/>
      <c r="AB152" s="312"/>
      <c r="AC152" s="312"/>
      <c r="AD152" s="312"/>
      <c r="AE152" s="312"/>
      <c r="AF152" s="312"/>
      <c r="AG152" s="312"/>
      <c r="AH152" s="312"/>
      <c r="AI152" s="312"/>
      <c r="AJ152" s="312"/>
      <c r="AK152" s="312"/>
      <c r="AL152" s="312"/>
      <c r="AM152" s="312"/>
    </row>
    <row r="153" spans="1:43" x14ac:dyDescent="0.2">
      <c r="A153" s="312"/>
      <c r="B153" s="312"/>
      <c r="C153" s="312"/>
      <c r="D153" s="312"/>
      <c r="E153" s="312"/>
      <c r="F153" s="312"/>
      <c r="G153" s="312"/>
      <c r="H153" s="312"/>
      <c r="I153" s="312"/>
      <c r="J153" s="312"/>
      <c r="K153" s="312"/>
      <c r="L153" s="313"/>
      <c r="M153" s="311"/>
      <c r="N153" s="311"/>
      <c r="O153" s="313"/>
      <c r="P153" s="310"/>
      <c r="Q153" s="311"/>
      <c r="R153" s="312"/>
      <c r="S153" s="312"/>
      <c r="T153" s="312"/>
      <c r="U153" s="312"/>
      <c r="V153" s="312"/>
      <c r="W153" s="312"/>
      <c r="X153" s="312"/>
      <c r="Y153" s="312"/>
      <c r="Z153" s="312"/>
      <c r="AA153" s="312"/>
      <c r="AB153" s="312"/>
      <c r="AC153" s="312"/>
      <c r="AD153" s="312"/>
      <c r="AE153" s="312"/>
      <c r="AF153" s="312"/>
      <c r="AG153" s="312"/>
      <c r="AH153" s="312"/>
      <c r="AI153" s="312"/>
      <c r="AJ153" s="312"/>
      <c r="AK153" s="312"/>
      <c r="AL153" s="312"/>
      <c r="AM153" s="312"/>
    </row>
    <row r="154" spans="1:43" x14ac:dyDescent="0.2">
      <c r="A154" s="312"/>
      <c r="B154" s="312"/>
      <c r="C154" s="312"/>
      <c r="D154" s="312"/>
      <c r="E154" s="312"/>
      <c r="F154" s="312"/>
      <c r="G154" s="312"/>
      <c r="H154" s="312"/>
      <c r="I154" s="312"/>
      <c r="J154" s="312"/>
      <c r="K154" s="312"/>
      <c r="L154" s="313"/>
      <c r="M154" s="311"/>
      <c r="N154" s="311"/>
      <c r="O154" s="313"/>
      <c r="P154" s="310"/>
      <c r="Q154" s="311"/>
      <c r="R154" s="312"/>
      <c r="S154" s="312"/>
      <c r="T154" s="312"/>
      <c r="U154" s="312"/>
      <c r="V154" s="312"/>
      <c r="W154" s="312"/>
      <c r="X154" s="312"/>
      <c r="Y154" s="312"/>
      <c r="Z154" s="312"/>
      <c r="AA154" s="312"/>
      <c r="AB154" s="312"/>
      <c r="AC154" s="312"/>
      <c r="AD154" s="312"/>
      <c r="AE154" s="312"/>
      <c r="AF154" s="312"/>
      <c r="AG154" s="312"/>
      <c r="AH154" s="312"/>
      <c r="AI154" s="312"/>
      <c r="AJ154" s="312"/>
      <c r="AK154" s="312"/>
      <c r="AL154" s="312"/>
      <c r="AM154" s="312"/>
    </row>
    <row r="155" spans="1:43" x14ac:dyDescent="0.2">
      <c r="A155" s="312"/>
      <c r="B155" s="312"/>
      <c r="C155" s="312"/>
      <c r="D155" s="312"/>
      <c r="E155" s="312"/>
      <c r="F155" s="312"/>
      <c r="G155" s="312"/>
      <c r="H155" s="312"/>
      <c r="I155" s="312"/>
      <c r="J155" s="312"/>
      <c r="K155" s="312"/>
      <c r="L155" s="313"/>
      <c r="M155" s="311"/>
      <c r="N155" s="311"/>
      <c r="O155" s="313"/>
      <c r="P155" s="310"/>
      <c r="Q155" s="311"/>
      <c r="R155" s="312"/>
      <c r="S155" s="312"/>
      <c r="T155" s="312"/>
      <c r="U155" s="312"/>
      <c r="V155" s="312"/>
      <c r="W155" s="312"/>
      <c r="X155" s="312"/>
      <c r="Y155" s="312"/>
      <c r="Z155" s="312"/>
      <c r="AA155" s="312"/>
      <c r="AB155" s="312"/>
      <c r="AC155" s="312"/>
      <c r="AD155" s="312"/>
      <c r="AE155" s="312"/>
      <c r="AF155" s="312"/>
      <c r="AG155" s="312"/>
      <c r="AH155" s="312"/>
      <c r="AI155" s="312"/>
      <c r="AJ155" s="312"/>
      <c r="AK155" s="312"/>
      <c r="AL155" s="312"/>
      <c r="AM155" s="312"/>
    </row>
    <row r="156" spans="1:43" x14ac:dyDescent="0.2">
      <c r="A156" s="312"/>
      <c r="B156" s="312"/>
      <c r="C156" s="312"/>
      <c r="D156" s="312"/>
      <c r="E156" s="312"/>
      <c r="F156" s="312"/>
      <c r="G156" s="312"/>
      <c r="H156" s="312"/>
      <c r="I156" s="312"/>
      <c r="J156" s="312"/>
      <c r="K156" s="312"/>
      <c r="L156" s="313"/>
      <c r="M156" s="311"/>
      <c r="N156" s="311"/>
      <c r="O156" s="313"/>
      <c r="P156" s="310"/>
      <c r="Q156" s="311"/>
      <c r="R156" s="312"/>
      <c r="S156" s="312"/>
      <c r="T156" s="312"/>
      <c r="U156" s="312"/>
      <c r="V156" s="312"/>
      <c r="W156" s="312"/>
      <c r="X156" s="312"/>
      <c r="Y156" s="312"/>
      <c r="Z156" s="312"/>
      <c r="AA156" s="312"/>
      <c r="AB156" s="312"/>
      <c r="AC156" s="312"/>
      <c r="AD156" s="312"/>
      <c r="AE156" s="312"/>
      <c r="AF156" s="312"/>
      <c r="AG156" s="312"/>
      <c r="AH156" s="312"/>
      <c r="AI156" s="312"/>
      <c r="AJ156" s="312"/>
      <c r="AK156" s="312"/>
      <c r="AL156" s="312"/>
      <c r="AM156" s="312"/>
      <c r="AN156" s="290"/>
      <c r="AO156" s="290"/>
      <c r="AP156" s="290"/>
      <c r="AQ156" s="290"/>
    </row>
    <row r="157" spans="1:43" x14ac:dyDescent="0.2">
      <c r="A157" s="312"/>
      <c r="B157" s="312"/>
      <c r="C157" s="312"/>
      <c r="D157" s="312"/>
      <c r="E157" s="312"/>
      <c r="F157" s="312"/>
      <c r="G157" s="312"/>
      <c r="H157" s="312"/>
      <c r="I157" s="312"/>
      <c r="J157" s="312"/>
      <c r="K157" s="312"/>
      <c r="L157" s="313"/>
      <c r="M157" s="311"/>
      <c r="N157" s="311"/>
      <c r="O157" s="313"/>
      <c r="P157" s="310"/>
      <c r="Q157" s="311"/>
      <c r="R157" s="312"/>
      <c r="S157" s="312"/>
      <c r="T157" s="312"/>
      <c r="U157" s="312"/>
      <c r="V157" s="312"/>
      <c r="W157" s="312"/>
      <c r="X157" s="312"/>
      <c r="Y157" s="312"/>
      <c r="Z157" s="312"/>
      <c r="AA157" s="312"/>
      <c r="AB157" s="312"/>
      <c r="AC157" s="312"/>
      <c r="AD157" s="312"/>
      <c r="AE157" s="312"/>
      <c r="AF157" s="312"/>
      <c r="AG157" s="312"/>
      <c r="AH157" s="312"/>
      <c r="AI157" s="312"/>
      <c r="AJ157" s="312"/>
      <c r="AK157" s="312"/>
      <c r="AL157" s="312"/>
      <c r="AM157" s="312"/>
      <c r="AN157" s="290"/>
      <c r="AO157" s="290"/>
      <c r="AP157" s="290"/>
      <c r="AQ157" s="290"/>
    </row>
    <row r="158" spans="1:43" x14ac:dyDescent="0.2">
      <c r="A158" s="312"/>
      <c r="B158" s="312"/>
      <c r="C158" s="312"/>
      <c r="D158" s="312"/>
      <c r="E158" s="312"/>
      <c r="F158" s="312"/>
      <c r="G158" s="312"/>
      <c r="H158" s="312"/>
      <c r="I158" s="312"/>
      <c r="J158" s="312"/>
      <c r="K158" s="312"/>
      <c r="L158" s="313"/>
      <c r="M158" s="311"/>
      <c r="N158" s="311"/>
      <c r="O158" s="313"/>
      <c r="P158" s="310"/>
      <c r="Q158" s="311"/>
      <c r="R158" s="312"/>
      <c r="S158" s="312"/>
      <c r="T158" s="312"/>
      <c r="U158" s="312"/>
      <c r="V158" s="312"/>
      <c r="W158" s="312"/>
      <c r="X158" s="312"/>
      <c r="Y158" s="312"/>
      <c r="Z158" s="312"/>
      <c r="AA158" s="312"/>
      <c r="AB158" s="312"/>
      <c r="AC158" s="312"/>
      <c r="AD158" s="312"/>
      <c r="AE158" s="312"/>
      <c r="AF158" s="312"/>
      <c r="AG158" s="312"/>
      <c r="AH158" s="312"/>
      <c r="AI158" s="312"/>
      <c r="AJ158" s="312"/>
      <c r="AK158" s="312"/>
      <c r="AL158" s="312"/>
      <c r="AM158" s="312"/>
      <c r="AN158" s="290"/>
      <c r="AO158" s="290"/>
      <c r="AP158" s="290"/>
      <c r="AQ158" s="290"/>
    </row>
    <row r="159" spans="1:43" x14ac:dyDescent="0.2">
      <c r="A159" s="312"/>
      <c r="B159" s="312"/>
      <c r="C159" s="312"/>
      <c r="D159" s="312"/>
      <c r="E159" s="312"/>
      <c r="F159" s="312"/>
      <c r="G159" s="312"/>
      <c r="H159" s="312"/>
      <c r="I159" s="312"/>
      <c r="J159" s="312"/>
      <c r="K159" s="312"/>
      <c r="L159" s="313"/>
      <c r="M159" s="311"/>
      <c r="N159" s="311"/>
      <c r="O159" s="313"/>
      <c r="P159" s="310"/>
      <c r="Q159" s="311"/>
      <c r="R159" s="312"/>
      <c r="S159" s="312"/>
      <c r="T159" s="312"/>
      <c r="U159" s="312"/>
      <c r="V159" s="312"/>
      <c r="W159" s="312"/>
      <c r="X159" s="312"/>
      <c r="Y159" s="312"/>
      <c r="Z159" s="312"/>
      <c r="AA159" s="312"/>
      <c r="AB159" s="312"/>
      <c r="AC159" s="312"/>
      <c r="AD159" s="312"/>
      <c r="AE159" s="312"/>
      <c r="AF159" s="312"/>
      <c r="AG159" s="312"/>
      <c r="AH159" s="312"/>
      <c r="AI159" s="312"/>
      <c r="AJ159" s="312"/>
      <c r="AK159" s="312"/>
      <c r="AL159" s="312"/>
      <c r="AM159" s="312"/>
      <c r="AN159" s="290"/>
      <c r="AO159" s="290"/>
      <c r="AP159" s="290"/>
      <c r="AQ159" s="290"/>
    </row>
    <row r="160" spans="1:43" x14ac:dyDescent="0.2">
      <c r="A160" s="312"/>
      <c r="B160" s="312"/>
      <c r="C160" s="312"/>
      <c r="D160" s="312"/>
      <c r="E160" s="312"/>
      <c r="F160" s="312"/>
      <c r="G160" s="312"/>
      <c r="H160" s="312"/>
      <c r="I160" s="312"/>
      <c r="J160" s="312"/>
      <c r="K160" s="312"/>
      <c r="L160" s="313"/>
      <c r="M160" s="311"/>
      <c r="N160" s="311"/>
      <c r="O160" s="313"/>
      <c r="P160" s="310"/>
      <c r="Q160" s="311"/>
      <c r="R160" s="312"/>
      <c r="S160" s="312"/>
      <c r="T160" s="312"/>
      <c r="U160" s="312"/>
      <c r="V160" s="312"/>
      <c r="W160" s="312"/>
      <c r="X160" s="312"/>
      <c r="Y160" s="312"/>
      <c r="Z160" s="312"/>
      <c r="AA160" s="312"/>
      <c r="AB160" s="312"/>
      <c r="AC160" s="312"/>
      <c r="AD160" s="312"/>
      <c r="AE160" s="312"/>
      <c r="AF160" s="312"/>
      <c r="AG160" s="312"/>
      <c r="AH160" s="312"/>
      <c r="AI160" s="312"/>
      <c r="AJ160" s="312"/>
      <c r="AK160" s="312"/>
      <c r="AL160" s="312"/>
      <c r="AM160" s="312"/>
      <c r="AN160" s="290"/>
      <c r="AO160" s="290"/>
      <c r="AP160" s="290"/>
      <c r="AQ160" s="290"/>
    </row>
    <row r="161" spans="1:43" x14ac:dyDescent="0.2">
      <c r="A161" s="312"/>
      <c r="B161" s="312"/>
      <c r="C161" s="312"/>
      <c r="D161" s="312"/>
      <c r="E161" s="312"/>
      <c r="F161" s="312"/>
      <c r="G161" s="312"/>
      <c r="H161" s="312"/>
      <c r="I161" s="312"/>
      <c r="J161" s="312"/>
      <c r="K161" s="312"/>
      <c r="L161" s="313"/>
      <c r="M161" s="311"/>
      <c r="N161" s="311"/>
      <c r="O161" s="313"/>
      <c r="P161" s="310"/>
      <c r="Q161" s="311"/>
      <c r="R161" s="312"/>
      <c r="S161" s="312"/>
      <c r="T161" s="312"/>
      <c r="U161" s="312"/>
      <c r="V161" s="312"/>
      <c r="W161" s="312"/>
      <c r="X161" s="312"/>
      <c r="Y161" s="312"/>
      <c r="Z161" s="312"/>
      <c r="AA161" s="312"/>
      <c r="AB161" s="312"/>
      <c r="AC161" s="312"/>
      <c r="AD161" s="312"/>
      <c r="AE161" s="312"/>
      <c r="AF161" s="312"/>
      <c r="AG161" s="312"/>
      <c r="AH161" s="312"/>
      <c r="AI161" s="312"/>
      <c r="AJ161" s="312"/>
      <c r="AK161" s="312"/>
      <c r="AL161" s="312"/>
      <c r="AM161" s="312"/>
      <c r="AN161" s="290"/>
      <c r="AO161" s="290"/>
      <c r="AP161" s="290"/>
      <c r="AQ161" s="290"/>
    </row>
    <row r="162" spans="1:43" x14ac:dyDescent="0.2">
      <c r="A162" s="312"/>
      <c r="B162" s="312"/>
      <c r="C162" s="312"/>
      <c r="D162" s="312"/>
      <c r="E162" s="312"/>
      <c r="F162" s="312"/>
      <c r="G162" s="312"/>
      <c r="H162" s="312"/>
      <c r="I162" s="312"/>
      <c r="J162" s="312"/>
      <c r="K162" s="312"/>
      <c r="L162" s="313"/>
      <c r="M162" s="311"/>
      <c r="N162" s="311"/>
      <c r="O162" s="313"/>
      <c r="P162" s="310"/>
      <c r="Q162" s="311"/>
      <c r="R162" s="312"/>
      <c r="S162" s="312"/>
      <c r="T162" s="312"/>
      <c r="U162" s="312"/>
      <c r="V162" s="312"/>
      <c r="W162" s="312"/>
      <c r="X162" s="312"/>
      <c r="Y162" s="312"/>
      <c r="Z162" s="312"/>
      <c r="AA162" s="312"/>
      <c r="AB162" s="312"/>
      <c r="AC162" s="312"/>
      <c r="AD162" s="312"/>
      <c r="AE162" s="312"/>
      <c r="AF162" s="312"/>
      <c r="AG162" s="312"/>
      <c r="AH162" s="312"/>
      <c r="AI162" s="312"/>
      <c r="AJ162" s="312"/>
      <c r="AK162" s="312"/>
      <c r="AL162" s="312"/>
      <c r="AM162" s="312"/>
      <c r="AN162" s="290"/>
      <c r="AO162" s="290"/>
      <c r="AP162" s="290"/>
      <c r="AQ162" s="290"/>
    </row>
    <row r="163" spans="1:43" x14ac:dyDescent="0.2">
      <c r="A163" s="312"/>
      <c r="B163" s="312"/>
      <c r="C163" s="312"/>
      <c r="D163" s="312"/>
      <c r="E163" s="312"/>
      <c r="F163" s="312"/>
      <c r="G163" s="312"/>
      <c r="H163" s="312"/>
      <c r="I163" s="312"/>
      <c r="J163" s="312"/>
      <c r="K163" s="312"/>
      <c r="L163" s="313"/>
      <c r="M163" s="311"/>
      <c r="N163" s="311"/>
      <c r="O163" s="313"/>
      <c r="P163" s="310"/>
      <c r="Q163" s="311"/>
      <c r="R163" s="312"/>
      <c r="S163" s="312"/>
      <c r="T163" s="312"/>
      <c r="U163" s="312"/>
      <c r="V163" s="312"/>
      <c r="W163" s="312"/>
      <c r="X163" s="312"/>
      <c r="Y163" s="312"/>
      <c r="Z163" s="312"/>
      <c r="AA163" s="312"/>
      <c r="AB163" s="312"/>
      <c r="AC163" s="312"/>
      <c r="AD163" s="312"/>
      <c r="AE163" s="312"/>
      <c r="AF163" s="312"/>
      <c r="AG163" s="312"/>
      <c r="AH163" s="312"/>
      <c r="AI163" s="312"/>
      <c r="AJ163" s="312"/>
      <c r="AK163" s="312"/>
      <c r="AL163" s="312"/>
      <c r="AM163" s="312"/>
      <c r="AN163" s="290"/>
      <c r="AO163" s="290"/>
      <c r="AP163" s="290"/>
      <c r="AQ163" s="290"/>
    </row>
    <row r="164" spans="1:43" x14ac:dyDescent="0.2">
      <c r="A164" s="312"/>
      <c r="B164" s="312"/>
      <c r="C164" s="312"/>
      <c r="D164" s="312"/>
      <c r="E164" s="312"/>
      <c r="F164" s="312"/>
      <c r="G164" s="312"/>
      <c r="H164" s="312"/>
      <c r="I164" s="312"/>
      <c r="J164" s="312"/>
      <c r="K164" s="312"/>
      <c r="L164" s="313"/>
      <c r="M164" s="311"/>
      <c r="N164" s="311"/>
      <c r="O164" s="313"/>
      <c r="P164" s="310"/>
      <c r="Q164" s="311"/>
      <c r="R164" s="312"/>
      <c r="S164" s="312"/>
      <c r="T164" s="312"/>
      <c r="U164" s="312"/>
      <c r="V164" s="312"/>
      <c r="W164" s="312"/>
      <c r="X164" s="312"/>
      <c r="Y164" s="312"/>
      <c r="Z164" s="312"/>
      <c r="AA164" s="312"/>
      <c r="AB164" s="312"/>
      <c r="AC164" s="312"/>
      <c r="AD164" s="312"/>
      <c r="AE164" s="312"/>
      <c r="AF164" s="312"/>
      <c r="AG164" s="312"/>
      <c r="AH164" s="312"/>
      <c r="AI164" s="312"/>
      <c r="AJ164" s="312"/>
      <c r="AK164" s="312"/>
      <c r="AL164" s="312"/>
      <c r="AM164" s="312"/>
      <c r="AN164" s="290"/>
      <c r="AO164" s="290"/>
      <c r="AP164" s="290"/>
      <c r="AQ164" s="290"/>
    </row>
    <row r="165" spans="1:43" x14ac:dyDescent="0.2">
      <c r="A165" s="312"/>
      <c r="B165" s="312"/>
      <c r="C165" s="312"/>
      <c r="D165" s="312"/>
      <c r="E165" s="312"/>
      <c r="F165" s="312"/>
      <c r="G165" s="312"/>
      <c r="H165" s="312"/>
      <c r="I165" s="312"/>
      <c r="J165" s="312"/>
      <c r="K165" s="312"/>
      <c r="L165" s="313"/>
      <c r="M165" s="311"/>
      <c r="N165" s="311"/>
      <c r="O165" s="313"/>
      <c r="P165" s="310"/>
      <c r="Q165" s="311"/>
      <c r="R165" s="312"/>
      <c r="S165" s="312"/>
      <c r="T165" s="312"/>
      <c r="U165" s="312"/>
      <c r="V165" s="312"/>
      <c r="W165" s="312"/>
      <c r="X165" s="312"/>
      <c r="Y165" s="312"/>
      <c r="Z165" s="312"/>
      <c r="AA165" s="312"/>
      <c r="AB165" s="312"/>
      <c r="AC165" s="312"/>
      <c r="AD165" s="312"/>
      <c r="AE165" s="312"/>
      <c r="AF165" s="312"/>
      <c r="AG165" s="312"/>
      <c r="AH165" s="312"/>
      <c r="AI165" s="312"/>
      <c r="AJ165" s="312"/>
      <c r="AK165" s="312"/>
      <c r="AL165" s="312"/>
      <c r="AM165" s="312"/>
      <c r="AN165" s="290"/>
      <c r="AO165" s="290"/>
      <c r="AP165" s="290"/>
      <c r="AQ165" s="290"/>
    </row>
    <row r="166" spans="1:43" x14ac:dyDescent="0.2">
      <c r="A166" s="312"/>
      <c r="B166" s="312"/>
      <c r="C166" s="312"/>
      <c r="D166" s="312"/>
      <c r="E166" s="312"/>
      <c r="F166" s="312"/>
      <c r="G166" s="312"/>
      <c r="H166" s="312"/>
      <c r="I166" s="312"/>
      <c r="J166" s="312"/>
      <c r="K166" s="312"/>
      <c r="L166" s="313"/>
      <c r="M166" s="311"/>
      <c r="N166" s="311"/>
      <c r="O166" s="313"/>
      <c r="P166" s="310"/>
      <c r="Q166" s="311"/>
      <c r="R166" s="312"/>
      <c r="S166" s="312"/>
      <c r="T166" s="312"/>
      <c r="U166" s="312"/>
      <c r="V166" s="312"/>
      <c r="W166" s="312"/>
      <c r="X166" s="312"/>
      <c r="Y166" s="312"/>
      <c r="Z166" s="312"/>
      <c r="AA166" s="312"/>
      <c r="AB166" s="312"/>
      <c r="AC166" s="312"/>
      <c r="AD166" s="312"/>
      <c r="AE166" s="312"/>
      <c r="AF166" s="312"/>
      <c r="AG166" s="312"/>
      <c r="AH166" s="312"/>
      <c r="AI166" s="312"/>
      <c r="AJ166" s="312"/>
      <c r="AK166" s="312"/>
      <c r="AL166" s="312"/>
      <c r="AM166" s="312"/>
      <c r="AN166" s="290"/>
      <c r="AO166" s="290"/>
      <c r="AP166" s="290"/>
      <c r="AQ166" s="290"/>
    </row>
    <row r="167" spans="1:43" x14ac:dyDescent="0.2">
      <c r="A167" s="312"/>
      <c r="B167" s="312"/>
      <c r="C167" s="312"/>
      <c r="D167" s="312"/>
      <c r="E167" s="312"/>
      <c r="F167" s="312"/>
      <c r="G167" s="312"/>
      <c r="H167" s="312"/>
      <c r="I167" s="312"/>
      <c r="J167" s="312"/>
      <c r="K167" s="312"/>
      <c r="L167" s="313"/>
      <c r="M167" s="311"/>
      <c r="N167" s="311"/>
      <c r="O167" s="313"/>
      <c r="P167" s="310"/>
      <c r="Q167" s="311"/>
      <c r="R167" s="312"/>
      <c r="S167" s="312"/>
      <c r="T167" s="312"/>
      <c r="U167" s="312"/>
      <c r="V167" s="312"/>
      <c r="W167" s="312"/>
      <c r="X167" s="312"/>
      <c r="Y167" s="312"/>
      <c r="Z167" s="312"/>
      <c r="AA167" s="312"/>
      <c r="AB167" s="312"/>
      <c r="AC167" s="312"/>
      <c r="AD167" s="312"/>
      <c r="AE167" s="312"/>
      <c r="AF167" s="312"/>
      <c r="AG167" s="312"/>
      <c r="AH167" s="312"/>
      <c r="AI167" s="312"/>
      <c r="AJ167" s="312"/>
      <c r="AK167" s="312"/>
      <c r="AL167" s="312"/>
      <c r="AM167" s="312"/>
      <c r="AN167" s="290"/>
      <c r="AO167" s="290"/>
      <c r="AP167" s="290"/>
      <c r="AQ167" s="290"/>
    </row>
    <row r="168" spans="1:43" x14ac:dyDescent="0.2">
      <c r="A168" s="312"/>
      <c r="B168" s="312"/>
      <c r="C168" s="312"/>
      <c r="D168" s="312"/>
      <c r="E168" s="312"/>
      <c r="F168" s="312"/>
      <c r="G168" s="312"/>
      <c r="H168" s="312"/>
      <c r="I168" s="312"/>
      <c r="J168" s="312"/>
      <c r="K168" s="312"/>
      <c r="L168" s="313"/>
      <c r="M168" s="311"/>
      <c r="N168" s="311"/>
      <c r="O168" s="313"/>
      <c r="P168" s="310"/>
      <c r="Q168" s="311"/>
      <c r="R168" s="312"/>
      <c r="S168" s="312"/>
      <c r="T168" s="312"/>
      <c r="U168" s="312"/>
      <c r="V168" s="312"/>
      <c r="W168" s="312"/>
      <c r="X168" s="312"/>
      <c r="Y168" s="312"/>
      <c r="Z168" s="312"/>
      <c r="AA168" s="312"/>
      <c r="AB168" s="312"/>
      <c r="AC168" s="312"/>
      <c r="AD168" s="312"/>
      <c r="AE168" s="312"/>
      <c r="AF168" s="312"/>
      <c r="AG168" s="312"/>
      <c r="AH168" s="312"/>
      <c r="AI168" s="312"/>
      <c r="AJ168" s="312"/>
      <c r="AK168" s="312"/>
      <c r="AL168" s="312"/>
      <c r="AM168" s="312"/>
      <c r="AN168" s="290"/>
      <c r="AO168" s="290"/>
      <c r="AP168" s="290"/>
      <c r="AQ168" s="290"/>
    </row>
    <row r="169" spans="1:43" x14ac:dyDescent="0.2">
      <c r="A169" s="312"/>
      <c r="B169" s="312"/>
      <c r="C169" s="312"/>
      <c r="D169" s="312"/>
      <c r="E169" s="312"/>
      <c r="F169" s="312"/>
      <c r="G169" s="312"/>
      <c r="H169" s="312"/>
      <c r="I169" s="312"/>
      <c r="J169" s="312"/>
      <c r="K169" s="312"/>
      <c r="L169" s="313"/>
      <c r="M169" s="311"/>
      <c r="N169" s="311"/>
      <c r="O169" s="313"/>
      <c r="P169" s="310"/>
      <c r="Q169" s="311"/>
      <c r="R169" s="312"/>
      <c r="S169" s="312"/>
      <c r="T169" s="312"/>
      <c r="U169" s="312"/>
      <c r="V169" s="312"/>
      <c r="W169" s="312"/>
      <c r="X169" s="312"/>
      <c r="Y169" s="312"/>
      <c r="Z169" s="312"/>
      <c r="AA169" s="312"/>
      <c r="AB169" s="312"/>
      <c r="AC169" s="312"/>
      <c r="AD169" s="312"/>
      <c r="AE169" s="312"/>
      <c r="AF169" s="312"/>
      <c r="AG169" s="312"/>
      <c r="AH169" s="312"/>
      <c r="AI169" s="312"/>
      <c r="AJ169" s="312"/>
      <c r="AK169" s="312"/>
      <c r="AL169" s="312"/>
      <c r="AM169" s="312"/>
      <c r="AN169" s="290"/>
      <c r="AO169" s="290"/>
      <c r="AP169" s="290"/>
      <c r="AQ169" s="290"/>
    </row>
    <row r="170" spans="1:43" x14ac:dyDescent="0.2">
      <c r="A170" s="312"/>
      <c r="B170" s="312"/>
      <c r="C170" s="312"/>
      <c r="D170" s="312"/>
      <c r="E170" s="312"/>
      <c r="F170" s="312"/>
      <c r="G170" s="312"/>
      <c r="H170" s="312"/>
      <c r="I170" s="312"/>
      <c r="J170" s="312"/>
      <c r="K170" s="312"/>
      <c r="L170" s="313"/>
      <c r="M170" s="311"/>
      <c r="N170" s="311"/>
      <c r="O170" s="313"/>
      <c r="P170" s="310"/>
      <c r="Q170" s="311"/>
      <c r="R170" s="312"/>
      <c r="S170" s="312"/>
      <c r="T170" s="312"/>
      <c r="U170" s="312"/>
      <c r="V170" s="312"/>
      <c r="W170" s="312"/>
      <c r="X170" s="312"/>
      <c r="Y170" s="312"/>
      <c r="Z170" s="312"/>
      <c r="AA170" s="312"/>
      <c r="AB170" s="312"/>
      <c r="AC170" s="312"/>
      <c r="AD170" s="312"/>
      <c r="AE170" s="312"/>
      <c r="AF170" s="312"/>
      <c r="AG170" s="312"/>
      <c r="AH170" s="312"/>
      <c r="AI170" s="312"/>
      <c r="AJ170" s="312"/>
      <c r="AK170" s="312"/>
      <c r="AL170" s="312"/>
      <c r="AM170" s="312"/>
      <c r="AN170" s="290"/>
      <c r="AO170" s="290"/>
      <c r="AP170" s="290"/>
      <c r="AQ170" s="290"/>
    </row>
    <row r="171" spans="1:43" x14ac:dyDescent="0.2">
      <c r="A171" s="312"/>
      <c r="B171" s="312"/>
      <c r="C171" s="312"/>
      <c r="D171" s="312"/>
      <c r="E171" s="312"/>
      <c r="F171" s="312"/>
      <c r="G171" s="312"/>
      <c r="H171" s="312"/>
      <c r="I171" s="312"/>
      <c r="J171" s="312"/>
      <c r="K171" s="312"/>
      <c r="L171" s="313"/>
      <c r="M171" s="311"/>
      <c r="N171" s="311"/>
      <c r="O171" s="313"/>
      <c r="P171" s="310"/>
      <c r="Q171" s="311"/>
      <c r="R171" s="312"/>
      <c r="S171" s="312"/>
      <c r="T171" s="312"/>
      <c r="U171" s="312"/>
      <c r="V171" s="312"/>
      <c r="W171" s="312"/>
      <c r="X171" s="312"/>
      <c r="Y171" s="312"/>
      <c r="Z171" s="312"/>
      <c r="AA171" s="312"/>
      <c r="AB171" s="312"/>
      <c r="AC171" s="312"/>
      <c r="AD171" s="312"/>
      <c r="AE171" s="312"/>
      <c r="AF171" s="312"/>
      <c r="AG171" s="312"/>
      <c r="AH171" s="312"/>
      <c r="AI171" s="312"/>
      <c r="AJ171" s="312"/>
      <c r="AK171" s="312"/>
      <c r="AL171" s="312"/>
      <c r="AM171" s="312"/>
      <c r="AN171" s="290"/>
      <c r="AO171" s="290"/>
      <c r="AP171" s="290"/>
      <c r="AQ171" s="290"/>
    </row>
    <row r="172" spans="1:43" x14ac:dyDescent="0.2">
      <c r="A172" s="312"/>
      <c r="B172" s="312"/>
      <c r="C172" s="312"/>
      <c r="D172" s="312"/>
      <c r="E172" s="312"/>
      <c r="F172" s="312"/>
      <c r="G172" s="312"/>
      <c r="H172" s="312"/>
      <c r="I172" s="312"/>
      <c r="J172" s="312"/>
      <c r="K172" s="312"/>
      <c r="L172" s="313"/>
      <c r="M172" s="311"/>
      <c r="N172" s="311"/>
      <c r="O172" s="313"/>
      <c r="P172" s="310"/>
      <c r="Q172" s="311"/>
      <c r="R172" s="312"/>
      <c r="S172" s="312"/>
      <c r="T172" s="312"/>
      <c r="U172" s="312"/>
      <c r="V172" s="312"/>
      <c r="W172" s="312"/>
      <c r="X172" s="312"/>
      <c r="Y172" s="312"/>
      <c r="Z172" s="312"/>
      <c r="AA172" s="312"/>
      <c r="AB172" s="312"/>
      <c r="AC172" s="312"/>
      <c r="AD172" s="312"/>
      <c r="AE172" s="312"/>
      <c r="AF172" s="312"/>
      <c r="AG172" s="312"/>
      <c r="AH172" s="312"/>
      <c r="AI172" s="312"/>
      <c r="AJ172" s="312"/>
      <c r="AK172" s="312"/>
      <c r="AL172" s="312"/>
      <c r="AM172" s="312"/>
      <c r="AN172" s="290"/>
      <c r="AO172" s="290"/>
      <c r="AP172" s="290"/>
      <c r="AQ172" s="290"/>
    </row>
    <row r="173" spans="1:43" x14ac:dyDescent="0.2">
      <c r="A173" s="312"/>
      <c r="B173" s="312"/>
      <c r="C173" s="312"/>
      <c r="D173" s="312"/>
      <c r="E173" s="312"/>
      <c r="F173" s="312"/>
      <c r="G173" s="312"/>
      <c r="H173" s="312"/>
      <c r="I173" s="312"/>
      <c r="J173" s="312"/>
      <c r="K173" s="312"/>
      <c r="L173" s="313"/>
      <c r="M173" s="311"/>
      <c r="N173" s="311"/>
      <c r="O173" s="313"/>
      <c r="P173" s="310"/>
      <c r="Q173" s="311"/>
      <c r="R173" s="312"/>
      <c r="S173" s="312"/>
      <c r="T173" s="312"/>
      <c r="U173" s="312"/>
      <c r="V173" s="312"/>
      <c r="W173" s="312"/>
      <c r="X173" s="312"/>
      <c r="Y173" s="312"/>
      <c r="Z173" s="312"/>
      <c r="AA173" s="312"/>
      <c r="AB173" s="312"/>
      <c r="AC173" s="312"/>
      <c r="AD173" s="312"/>
      <c r="AE173" s="312"/>
      <c r="AF173" s="312"/>
      <c r="AG173" s="312"/>
      <c r="AH173" s="312"/>
      <c r="AI173" s="312"/>
      <c r="AJ173" s="312"/>
      <c r="AK173" s="312"/>
      <c r="AL173" s="312"/>
      <c r="AM173" s="312"/>
      <c r="AN173" s="290"/>
      <c r="AO173" s="290"/>
      <c r="AP173" s="290"/>
      <c r="AQ173" s="290"/>
    </row>
    <row r="174" spans="1:43" x14ac:dyDescent="0.2">
      <c r="A174" s="312"/>
      <c r="B174" s="312"/>
      <c r="C174" s="312"/>
      <c r="D174" s="312"/>
      <c r="E174" s="312"/>
      <c r="F174" s="312"/>
      <c r="G174" s="312"/>
      <c r="H174" s="312"/>
      <c r="I174" s="312"/>
      <c r="J174" s="312"/>
      <c r="K174" s="312"/>
      <c r="L174" s="313"/>
      <c r="M174" s="311"/>
      <c r="N174" s="311"/>
      <c r="O174" s="313"/>
      <c r="P174" s="310"/>
      <c r="Q174" s="311"/>
      <c r="R174" s="312"/>
      <c r="S174" s="312"/>
      <c r="T174" s="312"/>
      <c r="U174" s="312"/>
      <c r="V174" s="312"/>
      <c r="W174" s="312"/>
      <c r="X174" s="312"/>
      <c r="Y174" s="312"/>
      <c r="Z174" s="312"/>
      <c r="AA174" s="312"/>
      <c r="AB174" s="312"/>
      <c r="AC174" s="312"/>
      <c r="AD174" s="312"/>
      <c r="AE174" s="312"/>
      <c r="AF174" s="312"/>
      <c r="AG174" s="312"/>
      <c r="AH174" s="312"/>
      <c r="AI174" s="312"/>
      <c r="AJ174" s="312"/>
      <c r="AK174" s="312"/>
      <c r="AL174" s="312"/>
      <c r="AM174" s="312"/>
      <c r="AN174" s="290"/>
      <c r="AO174" s="290"/>
      <c r="AP174" s="290"/>
      <c r="AQ174" s="290"/>
    </row>
    <row r="175" spans="1:43" x14ac:dyDescent="0.2">
      <c r="A175" s="312"/>
      <c r="B175" s="312"/>
      <c r="C175" s="312"/>
      <c r="D175" s="312"/>
      <c r="E175" s="312"/>
      <c r="F175" s="312"/>
      <c r="G175" s="312"/>
      <c r="H175" s="312"/>
      <c r="I175" s="312"/>
      <c r="J175" s="312"/>
      <c r="K175" s="312"/>
      <c r="L175" s="313"/>
      <c r="M175" s="311"/>
      <c r="N175" s="311"/>
      <c r="O175" s="313"/>
      <c r="P175" s="310"/>
      <c r="Q175" s="311"/>
      <c r="R175" s="312"/>
      <c r="S175" s="312"/>
      <c r="T175" s="312"/>
      <c r="U175" s="312"/>
      <c r="V175" s="312"/>
      <c r="W175" s="312"/>
      <c r="X175" s="312"/>
      <c r="Y175" s="312"/>
      <c r="Z175" s="312"/>
      <c r="AA175" s="312"/>
      <c r="AB175" s="312"/>
      <c r="AC175" s="312"/>
      <c r="AD175" s="312"/>
      <c r="AE175" s="312"/>
      <c r="AF175" s="312"/>
      <c r="AG175" s="312"/>
      <c r="AH175" s="312"/>
      <c r="AI175" s="312"/>
      <c r="AJ175" s="312"/>
      <c r="AK175" s="312"/>
      <c r="AL175" s="312"/>
      <c r="AM175" s="312"/>
      <c r="AN175" s="290"/>
      <c r="AO175" s="290"/>
      <c r="AP175" s="290"/>
      <c r="AQ175" s="290"/>
    </row>
    <row r="176" spans="1:43" x14ac:dyDescent="0.2">
      <c r="A176" s="312"/>
      <c r="B176" s="312"/>
      <c r="C176" s="312"/>
      <c r="D176" s="312"/>
      <c r="E176" s="312"/>
      <c r="F176" s="312"/>
      <c r="G176" s="312"/>
      <c r="H176" s="312"/>
      <c r="I176" s="312"/>
      <c r="J176" s="312"/>
      <c r="K176" s="312"/>
      <c r="L176" s="313"/>
      <c r="M176" s="311"/>
      <c r="N176" s="311"/>
      <c r="O176" s="313"/>
      <c r="P176" s="310"/>
      <c r="Q176" s="311"/>
      <c r="R176" s="312"/>
      <c r="S176" s="312"/>
      <c r="T176" s="312"/>
      <c r="U176" s="312"/>
      <c r="V176" s="312"/>
      <c r="W176" s="312"/>
      <c r="X176" s="312"/>
      <c r="Y176" s="312"/>
      <c r="Z176" s="312"/>
      <c r="AA176" s="312"/>
      <c r="AB176" s="312"/>
      <c r="AC176" s="312"/>
      <c r="AD176" s="312"/>
      <c r="AE176" s="312"/>
      <c r="AF176" s="312"/>
      <c r="AG176" s="312"/>
      <c r="AH176" s="312"/>
      <c r="AI176" s="312"/>
      <c r="AJ176" s="312"/>
      <c r="AK176" s="312"/>
      <c r="AL176" s="312"/>
      <c r="AM176" s="312"/>
      <c r="AN176" s="290"/>
      <c r="AO176" s="290"/>
      <c r="AP176" s="290"/>
      <c r="AQ176" s="290"/>
    </row>
    <row r="177" spans="1:43" x14ac:dyDescent="0.2">
      <c r="A177" s="312"/>
      <c r="B177" s="312"/>
      <c r="C177" s="312"/>
      <c r="D177" s="312"/>
      <c r="E177" s="312"/>
      <c r="F177" s="312"/>
      <c r="G177" s="312"/>
      <c r="H177" s="312"/>
      <c r="I177" s="312"/>
      <c r="J177" s="312"/>
      <c r="K177" s="312"/>
      <c r="L177" s="313"/>
      <c r="M177" s="311"/>
      <c r="N177" s="311"/>
      <c r="O177" s="313"/>
      <c r="P177" s="310"/>
      <c r="Q177" s="311"/>
      <c r="R177" s="312"/>
      <c r="S177" s="312"/>
      <c r="T177" s="312"/>
      <c r="U177" s="312"/>
      <c r="V177" s="312"/>
      <c r="W177" s="312"/>
      <c r="X177" s="312"/>
      <c r="Y177" s="312"/>
      <c r="Z177" s="312"/>
      <c r="AA177" s="312"/>
      <c r="AB177" s="312"/>
      <c r="AC177" s="312"/>
      <c r="AD177" s="312"/>
      <c r="AE177" s="312"/>
      <c r="AF177" s="312"/>
      <c r="AG177" s="312"/>
      <c r="AH177" s="312"/>
      <c r="AI177" s="312"/>
      <c r="AJ177" s="312"/>
      <c r="AK177" s="312"/>
      <c r="AL177" s="312"/>
      <c r="AM177" s="312"/>
      <c r="AN177" s="290"/>
      <c r="AO177" s="290"/>
      <c r="AP177" s="290"/>
      <c r="AQ177" s="290"/>
    </row>
    <row r="178" spans="1:43" x14ac:dyDescent="0.2">
      <c r="A178" s="312"/>
      <c r="B178" s="312"/>
      <c r="C178" s="312"/>
      <c r="D178" s="312"/>
      <c r="E178" s="312"/>
      <c r="F178" s="312"/>
      <c r="G178" s="312"/>
      <c r="H178" s="312"/>
      <c r="I178" s="312"/>
      <c r="J178" s="312"/>
      <c r="K178" s="312"/>
      <c r="L178" s="313"/>
      <c r="M178" s="311"/>
      <c r="N178" s="311"/>
      <c r="O178" s="313"/>
      <c r="P178" s="310"/>
      <c r="Q178" s="311"/>
      <c r="R178" s="312"/>
      <c r="S178" s="312"/>
      <c r="T178" s="312"/>
      <c r="U178" s="312"/>
      <c r="V178" s="312"/>
      <c r="W178" s="312"/>
      <c r="X178" s="312"/>
      <c r="Y178" s="312"/>
      <c r="Z178" s="312"/>
      <c r="AA178" s="312"/>
      <c r="AB178" s="312"/>
      <c r="AC178" s="312"/>
      <c r="AD178" s="312"/>
      <c r="AE178" s="312"/>
      <c r="AF178" s="312"/>
      <c r="AG178" s="312"/>
      <c r="AH178" s="312"/>
      <c r="AI178" s="312"/>
      <c r="AJ178" s="312"/>
      <c r="AK178" s="312"/>
      <c r="AL178" s="312"/>
      <c r="AM178" s="312"/>
      <c r="AN178" s="290"/>
      <c r="AO178" s="290"/>
      <c r="AP178" s="290"/>
      <c r="AQ178" s="290"/>
    </row>
    <row r="179" spans="1:43" x14ac:dyDescent="0.2">
      <c r="A179" s="312"/>
      <c r="B179" s="312"/>
      <c r="C179" s="312"/>
      <c r="D179" s="312"/>
      <c r="E179" s="312"/>
      <c r="F179" s="312"/>
      <c r="G179" s="312"/>
      <c r="H179" s="312"/>
      <c r="I179" s="312"/>
      <c r="J179" s="312"/>
      <c r="K179" s="312"/>
      <c r="L179" s="313"/>
      <c r="M179" s="311"/>
      <c r="N179" s="311"/>
      <c r="O179" s="313"/>
      <c r="P179" s="310"/>
      <c r="Q179" s="311"/>
      <c r="R179" s="312"/>
      <c r="S179" s="312"/>
      <c r="T179" s="312"/>
      <c r="U179" s="312"/>
      <c r="V179" s="312"/>
      <c r="W179" s="312"/>
      <c r="X179" s="312"/>
      <c r="Y179" s="312"/>
      <c r="Z179" s="312"/>
      <c r="AA179" s="312"/>
      <c r="AB179" s="312"/>
      <c r="AC179" s="312"/>
      <c r="AD179" s="312"/>
      <c r="AE179" s="312"/>
      <c r="AF179" s="312"/>
      <c r="AG179" s="312"/>
      <c r="AH179" s="312"/>
      <c r="AI179" s="312"/>
      <c r="AJ179" s="312"/>
      <c r="AK179" s="312"/>
      <c r="AL179" s="312"/>
      <c r="AM179" s="312"/>
      <c r="AN179" s="290"/>
      <c r="AO179" s="290"/>
      <c r="AP179" s="290"/>
      <c r="AQ179" s="290"/>
    </row>
    <row r="180" spans="1:43" x14ac:dyDescent="0.2">
      <c r="A180" s="312"/>
      <c r="B180" s="312"/>
      <c r="C180" s="312"/>
      <c r="D180" s="312"/>
      <c r="E180" s="312"/>
      <c r="F180" s="312"/>
      <c r="G180" s="312"/>
      <c r="H180" s="312"/>
      <c r="I180" s="312"/>
      <c r="J180" s="312"/>
      <c r="K180" s="312"/>
      <c r="L180" s="313"/>
      <c r="M180" s="311"/>
      <c r="N180" s="311"/>
      <c r="O180" s="313"/>
      <c r="P180" s="310"/>
      <c r="Q180" s="311"/>
      <c r="R180" s="312"/>
      <c r="S180" s="312"/>
      <c r="T180" s="312"/>
      <c r="U180" s="312"/>
      <c r="V180" s="312"/>
      <c r="W180" s="312"/>
      <c r="X180" s="312"/>
      <c r="Y180" s="312"/>
      <c r="Z180" s="312"/>
      <c r="AA180" s="312"/>
      <c r="AB180" s="312"/>
      <c r="AC180" s="312"/>
      <c r="AD180" s="312"/>
      <c r="AE180" s="312"/>
      <c r="AF180" s="312"/>
      <c r="AG180" s="312"/>
      <c r="AH180" s="312"/>
      <c r="AI180" s="312"/>
      <c r="AJ180" s="312"/>
      <c r="AK180" s="312"/>
      <c r="AL180" s="312"/>
      <c r="AM180" s="312"/>
      <c r="AN180" s="290"/>
      <c r="AO180" s="290"/>
      <c r="AP180" s="290"/>
      <c r="AQ180" s="290"/>
    </row>
    <row r="181" spans="1:43" x14ac:dyDescent="0.2">
      <c r="A181" s="312"/>
      <c r="B181" s="312"/>
      <c r="C181" s="312"/>
      <c r="D181" s="312"/>
      <c r="E181" s="312"/>
      <c r="F181" s="312"/>
      <c r="G181" s="312"/>
      <c r="H181" s="312"/>
      <c r="I181" s="312"/>
      <c r="J181" s="312"/>
      <c r="K181" s="312"/>
      <c r="L181" s="313"/>
      <c r="M181" s="311"/>
      <c r="N181" s="311"/>
      <c r="O181" s="313"/>
      <c r="P181" s="310"/>
      <c r="Q181" s="311"/>
      <c r="R181" s="312"/>
      <c r="S181" s="312"/>
      <c r="T181" s="312"/>
      <c r="U181" s="312"/>
      <c r="V181" s="312"/>
      <c r="W181" s="312"/>
      <c r="X181" s="312"/>
      <c r="Y181" s="312"/>
      <c r="Z181" s="312"/>
      <c r="AA181" s="312"/>
      <c r="AB181" s="312"/>
      <c r="AC181" s="312"/>
      <c r="AD181" s="312"/>
      <c r="AE181" s="312"/>
      <c r="AF181" s="312"/>
      <c r="AG181" s="312"/>
      <c r="AH181" s="312"/>
      <c r="AI181" s="312"/>
      <c r="AJ181" s="312"/>
      <c r="AK181" s="312"/>
      <c r="AL181" s="312"/>
      <c r="AM181" s="312"/>
      <c r="AN181" s="290"/>
      <c r="AO181" s="290"/>
      <c r="AP181" s="290"/>
      <c r="AQ181" s="290"/>
    </row>
    <row r="182" spans="1:43" x14ac:dyDescent="0.2">
      <c r="A182" s="312"/>
      <c r="B182" s="312"/>
      <c r="C182" s="312"/>
      <c r="D182" s="312"/>
      <c r="E182" s="312"/>
      <c r="F182" s="312"/>
      <c r="G182" s="312"/>
      <c r="H182" s="312"/>
      <c r="I182" s="312"/>
      <c r="J182" s="312"/>
      <c r="K182" s="312"/>
      <c r="L182" s="313"/>
      <c r="M182" s="311"/>
      <c r="N182" s="311"/>
      <c r="O182" s="313"/>
      <c r="P182" s="310"/>
      <c r="Q182" s="311"/>
      <c r="R182" s="312"/>
      <c r="S182" s="312"/>
      <c r="T182" s="312"/>
      <c r="U182" s="312"/>
      <c r="V182" s="312"/>
      <c r="W182" s="312"/>
      <c r="X182" s="312"/>
      <c r="Y182" s="312"/>
      <c r="Z182" s="312"/>
      <c r="AA182" s="312"/>
      <c r="AB182" s="312"/>
      <c r="AC182" s="312"/>
      <c r="AD182" s="312"/>
      <c r="AE182" s="312"/>
      <c r="AF182" s="312"/>
      <c r="AG182" s="312"/>
      <c r="AH182" s="312"/>
      <c r="AI182" s="312"/>
      <c r="AJ182" s="312"/>
      <c r="AK182" s="312"/>
      <c r="AL182" s="312"/>
      <c r="AM182" s="312"/>
      <c r="AN182" s="290"/>
      <c r="AO182" s="290"/>
      <c r="AP182" s="290"/>
      <c r="AQ182" s="290"/>
    </row>
    <row r="183" spans="1:43" x14ac:dyDescent="0.2">
      <c r="A183" s="312"/>
      <c r="B183" s="312"/>
      <c r="C183" s="312"/>
      <c r="D183" s="312"/>
      <c r="E183" s="312"/>
      <c r="F183" s="312"/>
      <c r="G183" s="312"/>
      <c r="H183" s="312"/>
      <c r="I183" s="312"/>
      <c r="J183" s="312"/>
      <c r="K183" s="312"/>
      <c r="L183" s="313"/>
      <c r="M183" s="311"/>
      <c r="N183" s="311"/>
      <c r="O183" s="313"/>
      <c r="P183" s="310"/>
      <c r="Q183" s="311"/>
      <c r="R183" s="312"/>
      <c r="S183" s="312"/>
      <c r="T183" s="312"/>
      <c r="U183" s="312"/>
      <c r="V183" s="312"/>
      <c r="W183" s="312"/>
      <c r="X183" s="312"/>
      <c r="Y183" s="312"/>
      <c r="Z183" s="312"/>
      <c r="AA183" s="312"/>
      <c r="AB183" s="312"/>
      <c r="AC183" s="312"/>
      <c r="AD183" s="312"/>
      <c r="AE183" s="312"/>
      <c r="AF183" s="312"/>
      <c r="AG183" s="312"/>
      <c r="AH183" s="312"/>
      <c r="AI183" s="312"/>
      <c r="AJ183" s="312"/>
      <c r="AK183" s="312"/>
      <c r="AL183" s="312"/>
      <c r="AM183" s="312"/>
      <c r="AN183" s="290"/>
      <c r="AO183" s="290"/>
      <c r="AP183" s="290"/>
      <c r="AQ183" s="290"/>
    </row>
    <row r="184" spans="1:43" x14ac:dyDescent="0.2">
      <c r="A184" s="312"/>
      <c r="B184" s="312"/>
      <c r="C184" s="312"/>
      <c r="D184" s="312"/>
      <c r="E184" s="312"/>
      <c r="F184" s="312"/>
      <c r="G184" s="312"/>
      <c r="H184" s="312"/>
      <c r="I184" s="312"/>
      <c r="J184" s="312"/>
      <c r="K184" s="312"/>
      <c r="L184" s="313"/>
      <c r="M184" s="311"/>
      <c r="N184" s="311"/>
      <c r="O184" s="313"/>
      <c r="P184" s="310"/>
      <c r="Q184" s="311"/>
      <c r="R184" s="312"/>
      <c r="S184" s="312"/>
      <c r="T184" s="312"/>
      <c r="U184" s="312"/>
      <c r="V184" s="312"/>
      <c r="W184" s="312"/>
      <c r="X184" s="312"/>
      <c r="Y184" s="312"/>
      <c r="Z184" s="312"/>
      <c r="AA184" s="312"/>
      <c r="AB184" s="312"/>
      <c r="AC184" s="312"/>
      <c r="AD184" s="312"/>
      <c r="AE184" s="312"/>
      <c r="AF184" s="312"/>
      <c r="AG184" s="312"/>
      <c r="AH184" s="312"/>
      <c r="AI184" s="312"/>
      <c r="AJ184" s="312"/>
      <c r="AK184" s="312"/>
      <c r="AL184" s="312"/>
      <c r="AM184" s="312"/>
      <c r="AN184" s="290"/>
      <c r="AO184" s="290"/>
      <c r="AP184" s="290"/>
      <c r="AQ184" s="290"/>
    </row>
    <row r="185" spans="1:43" x14ac:dyDescent="0.2">
      <c r="A185" s="312"/>
      <c r="B185" s="312"/>
      <c r="C185" s="312"/>
      <c r="D185" s="312"/>
      <c r="E185" s="312"/>
      <c r="F185" s="312"/>
      <c r="G185" s="312"/>
      <c r="H185" s="312"/>
      <c r="I185" s="312"/>
      <c r="J185" s="312"/>
      <c r="K185" s="312"/>
      <c r="L185" s="313"/>
      <c r="M185" s="311"/>
      <c r="N185" s="311"/>
      <c r="O185" s="313"/>
      <c r="P185" s="310"/>
      <c r="Q185" s="311"/>
      <c r="R185" s="312"/>
      <c r="S185" s="312"/>
      <c r="T185" s="312"/>
      <c r="U185" s="312"/>
      <c r="V185" s="312"/>
      <c r="W185" s="312"/>
      <c r="X185" s="312"/>
      <c r="Y185" s="312"/>
      <c r="Z185" s="312"/>
      <c r="AA185" s="312"/>
      <c r="AB185" s="312"/>
      <c r="AC185" s="312"/>
      <c r="AD185" s="312"/>
      <c r="AE185" s="312"/>
      <c r="AF185" s="312"/>
      <c r="AG185" s="312"/>
      <c r="AH185" s="312"/>
      <c r="AI185" s="312"/>
      <c r="AJ185" s="312"/>
      <c r="AK185" s="312"/>
      <c r="AL185" s="312"/>
      <c r="AM185" s="312"/>
      <c r="AN185" s="290"/>
      <c r="AO185" s="290"/>
      <c r="AP185" s="290"/>
      <c r="AQ185" s="290"/>
    </row>
    <row r="186" spans="1:43" x14ac:dyDescent="0.2">
      <c r="A186" s="312"/>
      <c r="B186" s="312"/>
      <c r="C186" s="312"/>
      <c r="D186" s="312"/>
      <c r="E186" s="312"/>
      <c r="F186" s="312"/>
      <c r="G186" s="312"/>
      <c r="H186" s="312"/>
      <c r="I186" s="312"/>
      <c r="J186" s="312"/>
      <c r="K186" s="312"/>
      <c r="L186" s="313"/>
      <c r="M186" s="311"/>
      <c r="N186" s="311"/>
      <c r="O186" s="313"/>
      <c r="P186" s="310"/>
      <c r="Q186" s="311"/>
      <c r="R186" s="312"/>
      <c r="S186" s="312"/>
      <c r="T186" s="312"/>
      <c r="U186" s="312"/>
      <c r="V186" s="312"/>
      <c r="W186" s="312"/>
      <c r="X186" s="312"/>
      <c r="Y186" s="312"/>
      <c r="Z186" s="312"/>
      <c r="AA186" s="312"/>
      <c r="AB186" s="312"/>
      <c r="AC186" s="312"/>
      <c r="AD186" s="312"/>
      <c r="AE186" s="312"/>
      <c r="AF186" s="312"/>
      <c r="AG186" s="312"/>
      <c r="AH186" s="312"/>
      <c r="AI186" s="312"/>
      <c r="AJ186" s="312"/>
      <c r="AK186" s="312"/>
      <c r="AL186" s="312"/>
      <c r="AM186" s="312"/>
      <c r="AN186" s="290"/>
      <c r="AO186" s="290"/>
      <c r="AP186" s="290"/>
      <c r="AQ186" s="290"/>
    </row>
    <row r="187" spans="1:43" x14ac:dyDescent="0.2">
      <c r="A187" s="312"/>
      <c r="B187" s="312"/>
      <c r="C187" s="312"/>
      <c r="D187" s="312"/>
      <c r="E187" s="312"/>
      <c r="F187" s="312"/>
      <c r="G187" s="312"/>
      <c r="H187" s="312"/>
      <c r="I187" s="312"/>
      <c r="J187" s="312"/>
      <c r="K187" s="312"/>
      <c r="L187" s="313"/>
      <c r="M187" s="311"/>
      <c r="N187" s="311"/>
      <c r="O187" s="313"/>
      <c r="P187" s="310"/>
      <c r="Q187" s="311"/>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2"/>
      <c r="AN187" s="290"/>
      <c r="AO187" s="290"/>
      <c r="AP187" s="290"/>
      <c r="AQ187" s="290"/>
    </row>
    <row r="188" spans="1:43" x14ac:dyDescent="0.2">
      <c r="A188" s="312"/>
      <c r="B188" s="312"/>
      <c r="C188" s="312"/>
      <c r="D188" s="312"/>
      <c r="E188" s="312"/>
      <c r="F188" s="312"/>
      <c r="G188" s="312"/>
      <c r="H188" s="312"/>
      <c r="I188" s="312"/>
      <c r="J188" s="312"/>
      <c r="K188" s="312"/>
      <c r="L188" s="313"/>
      <c r="M188" s="311"/>
      <c r="N188" s="311"/>
      <c r="O188" s="313"/>
      <c r="P188" s="310"/>
      <c r="Q188" s="311"/>
      <c r="R188" s="312"/>
      <c r="S188" s="312"/>
      <c r="T188" s="312"/>
      <c r="U188" s="312"/>
      <c r="V188" s="312"/>
      <c r="W188" s="312"/>
      <c r="X188" s="312"/>
      <c r="Y188" s="312"/>
      <c r="Z188" s="312"/>
      <c r="AA188" s="312"/>
      <c r="AB188" s="312"/>
      <c r="AC188" s="312"/>
      <c r="AD188" s="312"/>
      <c r="AE188" s="312"/>
      <c r="AF188" s="312"/>
      <c r="AG188" s="312"/>
      <c r="AH188" s="312"/>
      <c r="AI188" s="312"/>
      <c r="AJ188" s="312"/>
      <c r="AK188" s="312"/>
      <c r="AL188" s="312"/>
      <c r="AM188" s="312"/>
      <c r="AN188" s="290"/>
      <c r="AO188" s="290"/>
      <c r="AP188" s="290"/>
      <c r="AQ188" s="290"/>
    </row>
    <row r="189" spans="1:43" x14ac:dyDescent="0.2">
      <c r="A189" s="312"/>
      <c r="B189" s="312"/>
      <c r="C189" s="312"/>
      <c r="D189" s="312"/>
      <c r="E189" s="312"/>
      <c r="F189" s="312"/>
      <c r="G189" s="312"/>
      <c r="H189" s="312"/>
      <c r="I189" s="312"/>
      <c r="J189" s="312"/>
      <c r="K189" s="312"/>
      <c r="L189" s="313"/>
      <c r="M189" s="311"/>
      <c r="N189" s="311"/>
      <c r="O189" s="313"/>
      <c r="P189" s="310"/>
      <c r="Q189" s="311"/>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2"/>
      <c r="AN189" s="290"/>
      <c r="AO189" s="290"/>
      <c r="AP189" s="290"/>
      <c r="AQ189" s="290"/>
    </row>
    <row r="190" spans="1:43" x14ac:dyDescent="0.2">
      <c r="A190" s="312"/>
      <c r="B190" s="312"/>
      <c r="C190" s="312"/>
      <c r="D190" s="312"/>
      <c r="E190" s="312"/>
      <c r="F190" s="312"/>
      <c r="G190" s="312"/>
      <c r="H190" s="312"/>
      <c r="I190" s="312"/>
      <c r="J190" s="312"/>
      <c r="K190" s="312"/>
      <c r="L190" s="313"/>
      <c r="M190" s="311"/>
      <c r="N190" s="311"/>
      <c r="O190" s="313"/>
      <c r="P190" s="310"/>
      <c r="Q190" s="311"/>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290"/>
      <c r="AO190" s="290"/>
      <c r="AP190" s="290"/>
      <c r="AQ190" s="290"/>
    </row>
    <row r="191" spans="1:43" x14ac:dyDescent="0.2">
      <c r="A191" s="312"/>
      <c r="B191" s="312"/>
      <c r="C191" s="312"/>
      <c r="D191" s="312"/>
      <c r="E191" s="312"/>
      <c r="F191" s="312"/>
      <c r="G191" s="312"/>
      <c r="H191" s="312"/>
      <c r="I191" s="312"/>
      <c r="J191" s="312"/>
      <c r="K191" s="312"/>
      <c r="L191" s="313"/>
      <c r="M191" s="311"/>
      <c r="N191" s="311"/>
      <c r="O191" s="313"/>
      <c r="P191" s="310"/>
      <c r="Q191" s="311"/>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2"/>
      <c r="AN191" s="290"/>
      <c r="AO191" s="290"/>
      <c r="AP191" s="290"/>
      <c r="AQ191" s="290"/>
    </row>
    <row r="192" spans="1:43" x14ac:dyDescent="0.2">
      <c r="A192" s="312"/>
      <c r="B192" s="312"/>
      <c r="C192" s="312"/>
      <c r="D192" s="312"/>
      <c r="E192" s="312"/>
      <c r="F192" s="312"/>
      <c r="G192" s="312"/>
      <c r="H192" s="312"/>
      <c r="I192" s="312"/>
      <c r="J192" s="312"/>
      <c r="K192" s="312"/>
      <c r="L192" s="313"/>
      <c r="M192" s="311"/>
      <c r="N192" s="311"/>
      <c r="O192" s="313"/>
      <c r="P192" s="310"/>
      <c r="Q192" s="311"/>
      <c r="R192" s="312"/>
      <c r="S192" s="312"/>
      <c r="T192" s="312"/>
      <c r="U192" s="312"/>
      <c r="V192" s="312"/>
      <c r="W192" s="312"/>
      <c r="X192" s="312"/>
      <c r="Y192" s="312"/>
      <c r="Z192" s="312"/>
      <c r="AA192" s="312"/>
      <c r="AB192" s="312"/>
      <c r="AC192" s="312"/>
      <c r="AD192" s="312"/>
      <c r="AE192" s="312"/>
      <c r="AF192" s="312"/>
      <c r="AG192" s="312"/>
      <c r="AH192" s="312"/>
      <c r="AI192" s="312"/>
      <c r="AJ192" s="312"/>
      <c r="AK192" s="312"/>
      <c r="AL192" s="312"/>
      <c r="AM192" s="312"/>
      <c r="AN192" s="290"/>
      <c r="AO192" s="290"/>
      <c r="AP192" s="290"/>
      <c r="AQ192" s="290"/>
    </row>
    <row r="193" spans="1:43" x14ac:dyDescent="0.2">
      <c r="A193" s="312"/>
      <c r="B193" s="312"/>
      <c r="C193" s="312"/>
      <c r="D193" s="312"/>
      <c r="E193" s="312"/>
      <c r="F193" s="312"/>
      <c r="G193" s="312"/>
      <c r="H193" s="312"/>
      <c r="I193" s="312"/>
      <c r="J193" s="312"/>
      <c r="K193" s="312"/>
      <c r="L193" s="313"/>
      <c r="M193" s="311"/>
      <c r="N193" s="311"/>
      <c r="O193" s="313"/>
      <c r="P193" s="310"/>
      <c r="Q193" s="311"/>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2"/>
      <c r="AN193" s="290"/>
      <c r="AO193" s="290"/>
      <c r="AP193" s="290"/>
      <c r="AQ193" s="290"/>
    </row>
    <row r="194" spans="1:43" x14ac:dyDescent="0.2">
      <c r="A194" s="312"/>
      <c r="B194" s="312"/>
      <c r="C194" s="312"/>
      <c r="D194" s="312"/>
      <c r="E194" s="312"/>
      <c r="F194" s="312"/>
      <c r="G194" s="312"/>
      <c r="H194" s="312"/>
      <c r="I194" s="312"/>
      <c r="J194" s="312"/>
      <c r="K194" s="312"/>
      <c r="L194" s="313"/>
      <c r="M194" s="311"/>
      <c r="N194" s="311"/>
      <c r="O194" s="313"/>
      <c r="P194" s="310"/>
      <c r="Q194" s="311"/>
      <c r="R194" s="312"/>
      <c r="S194" s="312"/>
      <c r="T194" s="312"/>
      <c r="U194" s="312"/>
      <c r="V194" s="312"/>
      <c r="W194" s="312"/>
      <c r="X194" s="312"/>
      <c r="Y194" s="312"/>
      <c r="Z194" s="312"/>
      <c r="AA194" s="312"/>
      <c r="AB194" s="312"/>
      <c r="AC194" s="312"/>
      <c r="AD194" s="312"/>
      <c r="AE194" s="312"/>
      <c r="AF194" s="312"/>
      <c r="AG194" s="312"/>
      <c r="AH194" s="312"/>
      <c r="AI194" s="312"/>
      <c r="AJ194" s="312"/>
      <c r="AK194" s="312"/>
      <c r="AL194" s="312"/>
      <c r="AM194" s="312"/>
      <c r="AN194" s="290"/>
      <c r="AO194" s="290"/>
      <c r="AP194" s="290"/>
      <c r="AQ194" s="290"/>
    </row>
    <row r="195" spans="1:43" x14ac:dyDescent="0.2">
      <c r="A195" s="312"/>
      <c r="B195" s="312"/>
      <c r="C195" s="312"/>
      <c r="D195" s="312"/>
      <c r="E195" s="312"/>
      <c r="F195" s="312"/>
      <c r="G195" s="312"/>
      <c r="H195" s="312"/>
      <c r="I195" s="312"/>
      <c r="J195" s="312"/>
      <c r="K195" s="312"/>
      <c r="L195" s="313"/>
      <c r="M195" s="311"/>
      <c r="N195" s="311"/>
      <c r="O195" s="313"/>
      <c r="P195" s="310"/>
      <c r="Q195" s="311"/>
      <c r="R195" s="312"/>
      <c r="S195" s="312"/>
      <c r="T195" s="312"/>
      <c r="U195" s="312"/>
      <c r="V195" s="312"/>
      <c r="W195" s="312"/>
      <c r="X195" s="312"/>
      <c r="Y195" s="312"/>
      <c r="Z195" s="312"/>
      <c r="AA195" s="312"/>
      <c r="AB195" s="312"/>
      <c r="AC195" s="312"/>
      <c r="AD195" s="312"/>
      <c r="AE195" s="312"/>
      <c r="AF195" s="312"/>
      <c r="AG195" s="312"/>
      <c r="AH195" s="312"/>
      <c r="AI195" s="312"/>
      <c r="AJ195" s="312"/>
      <c r="AK195" s="312"/>
      <c r="AL195" s="312"/>
      <c r="AM195" s="312"/>
      <c r="AN195" s="290"/>
      <c r="AO195" s="290"/>
      <c r="AP195" s="290"/>
      <c r="AQ195" s="290"/>
    </row>
    <row r="196" spans="1:43" x14ac:dyDescent="0.2">
      <c r="A196" s="312"/>
      <c r="B196" s="312"/>
      <c r="C196" s="312"/>
      <c r="D196" s="312"/>
      <c r="E196" s="312"/>
      <c r="F196" s="312"/>
      <c r="G196" s="312"/>
      <c r="H196" s="312"/>
      <c r="I196" s="312"/>
      <c r="J196" s="312"/>
      <c r="K196" s="312"/>
      <c r="L196" s="313"/>
      <c r="M196" s="311"/>
      <c r="N196" s="311"/>
      <c r="O196" s="313"/>
      <c r="P196" s="310"/>
      <c r="Q196" s="311"/>
      <c r="R196" s="312"/>
      <c r="S196" s="312"/>
      <c r="T196" s="312"/>
      <c r="U196" s="312"/>
      <c r="V196" s="312"/>
      <c r="W196" s="312"/>
      <c r="X196" s="312"/>
      <c r="Y196" s="312"/>
      <c r="Z196" s="312"/>
      <c r="AA196" s="312"/>
      <c r="AB196" s="312"/>
      <c r="AC196" s="312"/>
      <c r="AD196" s="312"/>
      <c r="AE196" s="312"/>
      <c r="AF196" s="312"/>
      <c r="AG196" s="312"/>
      <c r="AH196" s="312"/>
      <c r="AI196" s="312"/>
      <c r="AJ196" s="312"/>
      <c r="AK196" s="312"/>
      <c r="AL196" s="312"/>
      <c r="AM196" s="312"/>
      <c r="AN196" s="290"/>
      <c r="AO196" s="290"/>
      <c r="AP196" s="290"/>
      <c r="AQ196" s="290"/>
    </row>
    <row r="197" spans="1:43" x14ac:dyDescent="0.2">
      <c r="A197" s="312"/>
      <c r="B197" s="312"/>
      <c r="C197" s="312"/>
      <c r="D197" s="312"/>
      <c r="E197" s="312"/>
      <c r="F197" s="312"/>
      <c r="G197" s="312"/>
      <c r="H197" s="312"/>
      <c r="I197" s="312"/>
      <c r="J197" s="312"/>
      <c r="K197" s="312"/>
      <c r="L197" s="313"/>
      <c r="M197" s="311"/>
      <c r="N197" s="311"/>
      <c r="O197" s="313"/>
      <c r="P197" s="310"/>
      <c r="Q197" s="311"/>
      <c r="R197" s="312"/>
      <c r="S197" s="312"/>
      <c r="T197" s="312"/>
      <c r="U197" s="312"/>
      <c r="V197" s="312"/>
      <c r="W197" s="312"/>
      <c r="X197" s="312"/>
      <c r="Y197" s="312"/>
      <c r="Z197" s="312"/>
      <c r="AA197" s="312"/>
      <c r="AB197" s="312"/>
      <c r="AC197" s="312"/>
      <c r="AD197" s="312"/>
      <c r="AE197" s="312"/>
      <c r="AF197" s="312"/>
      <c r="AG197" s="312"/>
      <c r="AH197" s="312"/>
      <c r="AI197" s="312"/>
      <c r="AJ197" s="312"/>
      <c r="AK197" s="312"/>
      <c r="AL197" s="312"/>
      <c r="AM197" s="312"/>
      <c r="AN197" s="290"/>
      <c r="AO197" s="290"/>
      <c r="AP197" s="290"/>
      <c r="AQ197" s="290"/>
    </row>
    <row r="198" spans="1:43" x14ac:dyDescent="0.2">
      <c r="A198" s="312"/>
      <c r="B198" s="312"/>
      <c r="C198" s="312"/>
      <c r="D198" s="312"/>
      <c r="E198" s="312"/>
      <c r="F198" s="312"/>
      <c r="G198" s="312"/>
      <c r="H198" s="312"/>
      <c r="I198" s="312"/>
      <c r="J198" s="312"/>
      <c r="K198" s="312"/>
      <c r="L198" s="313"/>
      <c r="M198" s="311"/>
      <c r="N198" s="311"/>
      <c r="O198" s="313"/>
      <c r="P198" s="310"/>
      <c r="Q198" s="311"/>
      <c r="R198" s="312"/>
      <c r="S198" s="312"/>
      <c r="T198" s="312"/>
      <c r="U198" s="312"/>
      <c r="V198" s="312"/>
      <c r="W198" s="312"/>
      <c r="X198" s="312"/>
      <c r="Y198" s="312"/>
      <c r="Z198" s="312"/>
      <c r="AA198" s="312"/>
      <c r="AB198" s="312"/>
      <c r="AC198" s="312"/>
      <c r="AD198" s="312"/>
      <c r="AE198" s="312"/>
      <c r="AF198" s="312"/>
      <c r="AG198" s="312"/>
      <c r="AH198" s="312"/>
      <c r="AI198" s="312"/>
      <c r="AJ198" s="312"/>
      <c r="AK198" s="312"/>
      <c r="AL198" s="312"/>
      <c r="AM198" s="312"/>
      <c r="AN198" s="290"/>
      <c r="AO198" s="290"/>
      <c r="AP198" s="290"/>
      <c r="AQ198" s="290"/>
    </row>
    <row r="199" spans="1:43" x14ac:dyDescent="0.2">
      <c r="A199" s="312"/>
      <c r="B199" s="312"/>
      <c r="C199" s="312"/>
      <c r="D199" s="312"/>
      <c r="E199" s="312"/>
      <c r="F199" s="312"/>
      <c r="G199" s="312"/>
      <c r="H199" s="312"/>
      <c r="I199" s="312"/>
      <c r="J199" s="312"/>
      <c r="K199" s="312"/>
      <c r="L199" s="313"/>
      <c r="M199" s="311"/>
      <c r="N199" s="311"/>
      <c r="O199" s="313"/>
      <c r="P199" s="310"/>
      <c r="Q199" s="311"/>
      <c r="R199" s="312"/>
      <c r="S199" s="312"/>
      <c r="T199" s="312"/>
      <c r="U199" s="312"/>
      <c r="V199" s="312"/>
      <c r="W199" s="312"/>
      <c r="X199" s="312"/>
      <c r="Y199" s="312"/>
      <c r="Z199" s="312"/>
      <c r="AA199" s="312"/>
      <c r="AB199" s="312"/>
      <c r="AC199" s="312"/>
      <c r="AD199" s="312"/>
      <c r="AE199" s="312"/>
      <c r="AF199" s="312"/>
      <c r="AG199" s="312"/>
      <c r="AH199" s="312"/>
      <c r="AI199" s="312"/>
      <c r="AJ199" s="312"/>
      <c r="AK199" s="312"/>
      <c r="AL199" s="312"/>
      <c r="AM199" s="312"/>
      <c r="AN199" s="290"/>
      <c r="AO199" s="290"/>
      <c r="AP199" s="290"/>
      <c r="AQ199" s="290"/>
    </row>
    <row r="200" spans="1:43" x14ac:dyDescent="0.2">
      <c r="A200" s="312"/>
      <c r="B200" s="312"/>
      <c r="C200" s="312"/>
      <c r="D200" s="312"/>
      <c r="E200" s="312"/>
      <c r="F200" s="312"/>
      <c r="G200" s="312"/>
      <c r="H200" s="312"/>
      <c r="I200" s="312"/>
      <c r="J200" s="312"/>
      <c r="K200" s="312"/>
      <c r="L200" s="313"/>
      <c r="M200" s="311"/>
      <c r="N200" s="311"/>
      <c r="O200" s="313"/>
      <c r="P200" s="310"/>
      <c r="Q200" s="311"/>
      <c r="R200" s="312"/>
      <c r="S200" s="312"/>
      <c r="T200" s="312"/>
      <c r="U200" s="312"/>
      <c r="V200" s="312"/>
      <c r="W200" s="312"/>
      <c r="X200" s="312"/>
      <c r="Y200" s="312"/>
      <c r="Z200" s="312"/>
      <c r="AA200" s="312"/>
      <c r="AB200" s="312"/>
      <c r="AC200" s="312"/>
      <c r="AD200" s="312"/>
      <c r="AE200" s="312"/>
      <c r="AF200" s="312"/>
      <c r="AG200" s="312"/>
      <c r="AH200" s="312"/>
      <c r="AI200" s="312"/>
      <c r="AJ200" s="312"/>
      <c r="AK200" s="312"/>
      <c r="AL200" s="312"/>
      <c r="AM200" s="312"/>
      <c r="AN200" s="290"/>
      <c r="AO200" s="290"/>
      <c r="AP200" s="290"/>
      <c r="AQ200" s="290"/>
    </row>
    <row r="201" spans="1:43" x14ac:dyDescent="0.2">
      <c r="L201" s="313"/>
      <c r="M201" s="311"/>
      <c r="N201" s="311"/>
      <c r="O201" s="313"/>
      <c r="P201" s="310"/>
      <c r="Q201" s="311"/>
      <c r="R201" s="312"/>
      <c r="S201" s="312"/>
      <c r="T201" s="312"/>
      <c r="U201" s="312"/>
      <c r="V201" s="312"/>
      <c r="W201" s="312"/>
      <c r="X201" s="312"/>
      <c r="Y201" s="312"/>
      <c r="Z201" s="312"/>
      <c r="AA201" s="312"/>
      <c r="AB201" s="312"/>
      <c r="AC201" s="312"/>
      <c r="AD201" s="312"/>
      <c r="AE201" s="312"/>
      <c r="AF201" s="312"/>
      <c r="AG201" s="312"/>
      <c r="AH201" s="312"/>
      <c r="AI201" s="312"/>
      <c r="AJ201" s="312"/>
      <c r="AK201" s="312"/>
      <c r="AL201" s="312"/>
      <c r="AM201" s="312"/>
      <c r="AN201" s="290"/>
      <c r="AO201" s="290"/>
      <c r="AP201" s="290"/>
      <c r="AQ201" s="290"/>
    </row>
    <row r="202" spans="1:43" x14ac:dyDescent="0.2">
      <c r="L202" s="313"/>
      <c r="M202" s="311"/>
      <c r="N202" s="311"/>
      <c r="O202" s="313"/>
      <c r="P202" s="310"/>
      <c r="Q202" s="311"/>
      <c r="R202" s="312"/>
      <c r="S202" s="312"/>
      <c r="T202" s="312"/>
      <c r="U202" s="312"/>
      <c r="V202" s="312"/>
      <c r="W202" s="312"/>
      <c r="X202" s="312"/>
      <c r="Y202" s="312"/>
      <c r="Z202" s="312"/>
      <c r="AA202" s="312"/>
      <c r="AB202" s="312"/>
      <c r="AC202" s="312"/>
      <c r="AD202" s="312"/>
      <c r="AE202" s="312"/>
      <c r="AF202" s="312"/>
      <c r="AG202" s="312"/>
      <c r="AH202" s="312"/>
      <c r="AI202" s="312"/>
      <c r="AJ202" s="312"/>
      <c r="AK202" s="312"/>
      <c r="AL202" s="312"/>
      <c r="AM202" s="312"/>
      <c r="AN202" s="290"/>
      <c r="AO202" s="290"/>
      <c r="AP202" s="290"/>
      <c r="AQ202" s="290"/>
    </row>
    <row r="203" spans="1:43" x14ac:dyDescent="0.2">
      <c r="L203" s="313"/>
      <c r="M203" s="311"/>
      <c r="N203" s="311"/>
      <c r="O203" s="313"/>
      <c r="P203" s="310"/>
      <c r="Q203" s="311"/>
      <c r="R203" s="312"/>
      <c r="S203" s="312"/>
      <c r="T203" s="312"/>
      <c r="U203" s="312"/>
      <c r="V203" s="312"/>
      <c r="W203" s="312"/>
      <c r="X203" s="312"/>
      <c r="Y203" s="312"/>
      <c r="Z203" s="312"/>
      <c r="AA203" s="312"/>
      <c r="AB203" s="312"/>
      <c r="AC203" s="312"/>
      <c r="AD203" s="312"/>
      <c r="AE203" s="312"/>
      <c r="AF203" s="312"/>
      <c r="AG203" s="312"/>
      <c r="AH203" s="312"/>
      <c r="AI203" s="312"/>
      <c r="AJ203" s="312"/>
      <c r="AK203" s="312"/>
      <c r="AL203" s="312"/>
      <c r="AM203" s="312"/>
      <c r="AN203" s="290"/>
      <c r="AO203" s="290"/>
      <c r="AP203" s="290"/>
      <c r="AQ203" s="290"/>
    </row>
    <row r="204" spans="1:43" x14ac:dyDescent="0.2">
      <c r="L204" s="313"/>
      <c r="M204" s="311"/>
      <c r="N204" s="311"/>
      <c r="O204" s="313"/>
      <c r="P204" s="310"/>
      <c r="Q204" s="311"/>
      <c r="R204" s="312"/>
      <c r="S204" s="312"/>
      <c r="T204" s="312"/>
      <c r="U204" s="312"/>
      <c r="V204" s="312"/>
      <c r="W204" s="312"/>
      <c r="X204" s="312"/>
      <c r="Y204" s="312"/>
      <c r="Z204" s="312"/>
      <c r="AA204" s="312"/>
      <c r="AB204" s="312"/>
      <c r="AC204" s="312"/>
      <c r="AD204" s="312"/>
      <c r="AE204" s="312"/>
      <c r="AF204" s="312"/>
      <c r="AG204" s="312"/>
      <c r="AH204" s="312"/>
      <c r="AI204" s="312"/>
      <c r="AJ204" s="312"/>
      <c r="AK204" s="312"/>
      <c r="AL204" s="312"/>
      <c r="AM204" s="312"/>
      <c r="AN204" s="290"/>
      <c r="AO204" s="290"/>
      <c r="AP204" s="290"/>
      <c r="AQ204" s="290"/>
    </row>
    <row r="205" spans="1:43" x14ac:dyDescent="0.2">
      <c r="L205" s="313"/>
      <c r="M205" s="311"/>
      <c r="N205" s="311"/>
      <c r="O205" s="313"/>
      <c r="P205" s="310"/>
      <c r="Q205" s="311"/>
      <c r="R205" s="312"/>
      <c r="S205" s="312"/>
      <c r="T205" s="312"/>
      <c r="U205" s="312"/>
      <c r="V205" s="312"/>
      <c r="W205" s="312"/>
      <c r="X205" s="312"/>
      <c r="Y205" s="312"/>
      <c r="Z205" s="312"/>
      <c r="AA205" s="312"/>
      <c r="AB205" s="312"/>
      <c r="AC205" s="312"/>
      <c r="AD205" s="312"/>
      <c r="AE205" s="312"/>
      <c r="AF205" s="312"/>
      <c r="AG205" s="312"/>
      <c r="AH205" s="312"/>
      <c r="AI205" s="312"/>
      <c r="AJ205" s="312"/>
      <c r="AK205" s="312"/>
      <c r="AL205" s="312"/>
      <c r="AM205" s="312"/>
      <c r="AN205" s="290"/>
      <c r="AO205" s="290"/>
      <c r="AP205" s="290"/>
      <c r="AQ205" s="290"/>
    </row>
    <row r="206" spans="1:43" x14ac:dyDescent="0.2">
      <c r="L206" s="313"/>
      <c r="M206" s="311"/>
      <c r="N206" s="311"/>
      <c r="O206" s="313"/>
      <c r="P206" s="310"/>
      <c r="Q206" s="311"/>
      <c r="R206" s="312"/>
      <c r="S206" s="312"/>
      <c r="T206" s="312"/>
      <c r="U206" s="312"/>
      <c r="V206" s="312"/>
      <c r="W206" s="312"/>
      <c r="X206" s="312"/>
      <c r="Y206" s="312"/>
      <c r="Z206" s="312"/>
      <c r="AA206" s="312"/>
      <c r="AB206" s="312"/>
      <c r="AC206" s="312"/>
      <c r="AD206" s="312"/>
      <c r="AE206" s="312"/>
      <c r="AF206" s="312"/>
      <c r="AG206" s="312"/>
      <c r="AH206" s="312"/>
      <c r="AI206" s="312"/>
      <c r="AJ206" s="312"/>
      <c r="AK206" s="312"/>
      <c r="AL206" s="312"/>
      <c r="AM206" s="312"/>
      <c r="AN206" s="290"/>
      <c r="AO206" s="290"/>
      <c r="AP206" s="290"/>
      <c r="AQ206" s="290"/>
    </row>
    <row r="207" spans="1:43" x14ac:dyDescent="0.2">
      <c r="L207" s="313"/>
      <c r="M207" s="311"/>
      <c r="N207" s="311"/>
      <c r="O207" s="313"/>
      <c r="P207" s="310"/>
      <c r="Q207" s="311"/>
      <c r="R207" s="312"/>
      <c r="S207" s="312"/>
      <c r="T207" s="312"/>
      <c r="U207" s="312"/>
      <c r="V207" s="312"/>
      <c r="W207" s="312"/>
      <c r="X207" s="312"/>
      <c r="Y207" s="312"/>
      <c r="Z207" s="312"/>
      <c r="AA207" s="312"/>
      <c r="AB207" s="312"/>
      <c r="AC207" s="312"/>
      <c r="AD207" s="312"/>
      <c r="AE207" s="312"/>
      <c r="AF207" s="312"/>
      <c r="AG207" s="312"/>
      <c r="AH207" s="312"/>
      <c r="AI207" s="312"/>
      <c r="AJ207" s="312"/>
      <c r="AK207" s="312"/>
      <c r="AL207" s="312"/>
      <c r="AM207" s="312"/>
      <c r="AN207" s="290"/>
      <c r="AO207" s="290"/>
      <c r="AP207" s="290"/>
      <c r="AQ207" s="290"/>
    </row>
    <row r="208" spans="1:43" x14ac:dyDescent="0.2">
      <c r="L208" s="313"/>
      <c r="M208" s="311"/>
      <c r="N208" s="311"/>
      <c r="O208" s="313"/>
      <c r="P208" s="310"/>
      <c r="Q208" s="311"/>
      <c r="R208" s="312"/>
      <c r="S208" s="312"/>
      <c r="T208" s="312"/>
      <c r="U208" s="312"/>
      <c r="V208" s="312"/>
      <c r="W208" s="312"/>
      <c r="X208" s="312"/>
      <c r="Y208" s="312"/>
      <c r="Z208" s="312"/>
      <c r="AA208" s="312"/>
      <c r="AB208" s="312"/>
      <c r="AC208" s="312"/>
      <c r="AD208" s="312"/>
      <c r="AE208" s="312"/>
      <c r="AF208" s="312"/>
      <c r="AG208" s="312"/>
      <c r="AH208" s="312"/>
      <c r="AI208" s="312"/>
      <c r="AJ208" s="312"/>
      <c r="AK208" s="312"/>
      <c r="AL208" s="312"/>
      <c r="AM208" s="312"/>
      <c r="AN208" s="290"/>
      <c r="AO208" s="290"/>
      <c r="AP208" s="290"/>
      <c r="AQ208" s="290"/>
    </row>
    <row r="209" spans="12:43" x14ac:dyDescent="0.2">
      <c r="L209" s="313"/>
      <c r="M209" s="311"/>
      <c r="N209" s="311"/>
      <c r="O209" s="313"/>
      <c r="P209" s="310"/>
      <c r="Q209" s="311"/>
      <c r="R209" s="312"/>
      <c r="S209" s="312"/>
      <c r="T209" s="312"/>
      <c r="U209" s="312"/>
      <c r="V209" s="312"/>
      <c r="W209" s="312"/>
      <c r="X209" s="312"/>
      <c r="Y209" s="312"/>
      <c r="Z209" s="312"/>
      <c r="AA209" s="312"/>
      <c r="AB209" s="312"/>
      <c r="AC209" s="312"/>
      <c r="AD209" s="312"/>
      <c r="AE209" s="312"/>
      <c r="AF209" s="312"/>
      <c r="AG209" s="312"/>
      <c r="AH209" s="312"/>
      <c r="AI209" s="312"/>
      <c r="AJ209" s="312"/>
      <c r="AK209" s="312"/>
      <c r="AL209" s="312"/>
      <c r="AM209" s="312"/>
      <c r="AN209" s="290"/>
      <c r="AO209" s="290"/>
      <c r="AP209" s="290"/>
      <c r="AQ209" s="290"/>
    </row>
    <row r="210" spans="12:43" x14ac:dyDescent="0.2">
      <c r="L210" s="313"/>
      <c r="M210" s="311"/>
      <c r="N210" s="311"/>
      <c r="O210" s="313"/>
      <c r="P210" s="310"/>
      <c r="Q210" s="311"/>
      <c r="R210" s="312"/>
      <c r="S210" s="312"/>
      <c r="T210" s="312"/>
      <c r="U210" s="312"/>
      <c r="V210" s="312"/>
      <c r="W210" s="312"/>
      <c r="X210" s="312"/>
      <c r="Y210" s="312"/>
      <c r="Z210" s="312"/>
      <c r="AA210" s="312"/>
      <c r="AB210" s="312"/>
      <c r="AC210" s="312"/>
      <c r="AD210" s="312"/>
      <c r="AE210" s="312"/>
      <c r="AF210" s="312"/>
      <c r="AG210" s="312"/>
      <c r="AH210" s="312"/>
      <c r="AI210" s="312"/>
      <c r="AJ210" s="312"/>
      <c r="AK210" s="312"/>
      <c r="AL210" s="312"/>
      <c r="AM210" s="312"/>
      <c r="AN210" s="290"/>
      <c r="AO210" s="290"/>
      <c r="AP210" s="290"/>
      <c r="AQ210" s="290"/>
    </row>
    <row r="211" spans="12:43" x14ac:dyDescent="0.2">
      <c r="L211" s="313"/>
      <c r="M211" s="311"/>
      <c r="N211" s="311"/>
      <c r="O211" s="313"/>
      <c r="P211" s="310"/>
      <c r="Q211" s="311"/>
      <c r="R211" s="312"/>
      <c r="S211" s="312"/>
      <c r="T211" s="312"/>
      <c r="U211" s="312"/>
      <c r="V211" s="312"/>
      <c r="W211" s="312"/>
      <c r="X211" s="312"/>
      <c r="Y211" s="312"/>
      <c r="Z211" s="312"/>
      <c r="AA211" s="312"/>
      <c r="AB211" s="312"/>
      <c r="AC211" s="312"/>
      <c r="AD211" s="312"/>
      <c r="AE211" s="312"/>
      <c r="AF211" s="312"/>
      <c r="AG211" s="312"/>
      <c r="AH211" s="312"/>
      <c r="AI211" s="312"/>
      <c r="AJ211" s="312"/>
      <c r="AK211" s="312"/>
      <c r="AL211" s="312"/>
      <c r="AM211" s="312"/>
      <c r="AN211" s="290"/>
      <c r="AO211" s="290"/>
      <c r="AP211" s="290"/>
      <c r="AQ211" s="290"/>
    </row>
    <row r="212" spans="12:43" x14ac:dyDescent="0.2">
      <c r="L212" s="313"/>
      <c r="M212" s="311"/>
      <c r="N212" s="311"/>
      <c r="O212" s="313"/>
      <c r="P212" s="310"/>
      <c r="Q212" s="311"/>
      <c r="R212" s="312"/>
      <c r="S212" s="312"/>
      <c r="T212" s="312"/>
      <c r="U212" s="312"/>
      <c r="V212" s="312"/>
      <c r="W212" s="312"/>
      <c r="X212" s="312"/>
      <c r="Y212" s="312"/>
      <c r="Z212" s="312"/>
      <c r="AA212" s="312"/>
      <c r="AB212" s="312"/>
      <c r="AC212" s="312"/>
      <c r="AD212" s="312"/>
      <c r="AE212" s="312"/>
      <c r="AF212" s="312"/>
      <c r="AG212" s="312"/>
      <c r="AH212" s="312"/>
      <c r="AI212" s="312"/>
      <c r="AJ212" s="312"/>
      <c r="AK212" s="312"/>
      <c r="AL212" s="312"/>
      <c r="AM212" s="312"/>
      <c r="AN212" s="290"/>
      <c r="AO212" s="290"/>
      <c r="AP212" s="290"/>
      <c r="AQ212" s="290"/>
    </row>
    <row r="213" spans="12:43" x14ac:dyDescent="0.2">
      <c r="L213" s="313"/>
      <c r="M213" s="311"/>
      <c r="N213" s="311"/>
      <c r="O213" s="313"/>
      <c r="P213" s="310"/>
      <c r="Q213" s="311"/>
      <c r="R213" s="312"/>
      <c r="S213" s="312"/>
      <c r="T213" s="312"/>
      <c r="U213" s="312"/>
      <c r="V213" s="312"/>
      <c r="W213" s="312"/>
      <c r="X213" s="312"/>
      <c r="Y213" s="312"/>
      <c r="Z213" s="312"/>
      <c r="AA213" s="312"/>
      <c r="AB213" s="312"/>
      <c r="AC213" s="312"/>
      <c r="AD213" s="312"/>
      <c r="AE213" s="312"/>
      <c r="AF213" s="312"/>
      <c r="AG213" s="312"/>
      <c r="AH213" s="312"/>
      <c r="AI213" s="312"/>
      <c r="AJ213" s="312"/>
      <c r="AK213" s="312"/>
      <c r="AL213" s="312"/>
      <c r="AM213" s="312"/>
      <c r="AN213" s="290"/>
      <c r="AO213" s="290"/>
      <c r="AP213" s="290"/>
      <c r="AQ213" s="290"/>
    </row>
    <row r="214" spans="12:43" x14ac:dyDescent="0.2">
      <c r="L214" s="313"/>
      <c r="M214" s="311"/>
      <c r="N214" s="311"/>
      <c r="O214" s="313"/>
      <c r="P214" s="310"/>
      <c r="Q214" s="311"/>
      <c r="R214" s="312"/>
      <c r="S214" s="312"/>
      <c r="T214" s="312"/>
      <c r="U214" s="312"/>
      <c r="V214" s="312"/>
      <c r="W214" s="312"/>
      <c r="X214" s="312"/>
      <c r="Y214" s="312"/>
      <c r="Z214" s="312"/>
      <c r="AA214" s="312"/>
      <c r="AB214" s="312"/>
      <c r="AC214" s="312"/>
      <c r="AD214" s="312"/>
      <c r="AE214" s="312"/>
      <c r="AF214" s="312"/>
      <c r="AG214" s="312"/>
      <c r="AH214" s="312"/>
      <c r="AI214" s="312"/>
      <c r="AJ214" s="312"/>
      <c r="AK214" s="312"/>
      <c r="AL214" s="312"/>
      <c r="AM214" s="312"/>
      <c r="AN214" s="290"/>
      <c r="AO214" s="290"/>
      <c r="AP214" s="290"/>
      <c r="AQ214" s="290"/>
    </row>
    <row r="215" spans="12:43" x14ac:dyDescent="0.2">
      <c r="L215" s="313"/>
      <c r="M215" s="311"/>
      <c r="N215" s="311"/>
      <c r="O215" s="313"/>
      <c r="P215" s="310"/>
      <c r="Q215" s="311"/>
      <c r="R215" s="312"/>
      <c r="S215" s="312"/>
      <c r="T215" s="312"/>
      <c r="U215" s="312"/>
      <c r="V215" s="312"/>
      <c r="W215" s="312"/>
      <c r="X215" s="312"/>
      <c r="Y215" s="312"/>
      <c r="Z215" s="312"/>
      <c r="AA215" s="312"/>
      <c r="AB215" s="312"/>
      <c r="AC215" s="312"/>
      <c r="AD215" s="312"/>
      <c r="AE215" s="312"/>
      <c r="AF215" s="312"/>
      <c r="AG215" s="312"/>
      <c r="AH215" s="312"/>
      <c r="AI215" s="312"/>
      <c r="AJ215" s="312"/>
      <c r="AK215" s="312"/>
      <c r="AL215" s="312"/>
      <c r="AM215" s="312"/>
      <c r="AN215" s="290"/>
      <c r="AO215" s="290"/>
      <c r="AP215" s="290"/>
      <c r="AQ215" s="290"/>
    </row>
    <row r="216" spans="12:43" x14ac:dyDescent="0.2">
      <c r="L216" s="313"/>
      <c r="M216" s="311"/>
      <c r="N216" s="311"/>
      <c r="O216" s="313"/>
      <c r="P216" s="310"/>
      <c r="Q216" s="311"/>
      <c r="R216" s="312"/>
      <c r="S216" s="312"/>
      <c r="T216" s="312"/>
      <c r="U216" s="312"/>
      <c r="V216" s="312"/>
      <c r="W216" s="312"/>
      <c r="X216" s="312"/>
      <c r="Y216" s="312"/>
      <c r="Z216" s="312"/>
      <c r="AA216" s="312"/>
      <c r="AB216" s="312"/>
      <c r="AC216" s="312"/>
      <c r="AD216" s="312"/>
      <c r="AE216" s="312"/>
      <c r="AF216" s="312"/>
      <c r="AG216" s="312"/>
      <c r="AH216" s="312"/>
      <c r="AI216" s="312"/>
      <c r="AJ216" s="312"/>
      <c r="AK216" s="312"/>
      <c r="AL216" s="312"/>
      <c r="AM216" s="312"/>
      <c r="AN216" s="290"/>
      <c r="AO216" s="290"/>
      <c r="AP216" s="290"/>
      <c r="AQ216" s="290"/>
    </row>
    <row r="217" spans="12:43" x14ac:dyDescent="0.2">
      <c r="L217" s="313"/>
      <c r="M217" s="311"/>
      <c r="N217" s="311"/>
      <c r="O217" s="313"/>
      <c r="P217" s="310"/>
      <c r="Q217" s="311"/>
      <c r="R217" s="312"/>
      <c r="S217" s="312"/>
      <c r="T217" s="312"/>
      <c r="U217" s="312"/>
      <c r="V217" s="312"/>
      <c r="W217" s="312"/>
      <c r="X217" s="312"/>
      <c r="Y217" s="312"/>
      <c r="Z217" s="312"/>
      <c r="AA217" s="312"/>
      <c r="AB217" s="312"/>
      <c r="AC217" s="312"/>
      <c r="AD217" s="312"/>
      <c r="AE217" s="312"/>
      <c r="AF217" s="312"/>
      <c r="AG217" s="312"/>
      <c r="AH217" s="312"/>
      <c r="AI217" s="312"/>
      <c r="AJ217" s="312"/>
      <c r="AK217" s="312"/>
      <c r="AL217" s="312"/>
      <c r="AM217" s="312"/>
      <c r="AN217" s="290"/>
      <c r="AO217" s="290"/>
      <c r="AP217" s="290"/>
      <c r="AQ217" s="290"/>
    </row>
    <row r="218" spans="12:43" x14ac:dyDescent="0.2">
      <c r="L218" s="313"/>
      <c r="M218" s="311"/>
      <c r="N218" s="311"/>
      <c r="O218" s="313"/>
      <c r="P218" s="310"/>
      <c r="Q218" s="311"/>
      <c r="R218" s="312"/>
      <c r="S218" s="312"/>
      <c r="T218" s="312"/>
      <c r="U218" s="312"/>
      <c r="V218" s="312"/>
      <c r="W218" s="312"/>
      <c r="X218" s="312"/>
      <c r="Y218" s="312"/>
      <c r="Z218" s="312"/>
      <c r="AA218" s="312"/>
      <c r="AB218" s="312"/>
      <c r="AC218" s="312"/>
      <c r="AD218" s="312"/>
      <c r="AE218" s="312"/>
      <c r="AF218" s="312"/>
      <c r="AG218" s="312"/>
      <c r="AH218" s="312"/>
      <c r="AI218" s="312"/>
      <c r="AJ218" s="312"/>
      <c r="AK218" s="312"/>
      <c r="AL218" s="312"/>
      <c r="AM218" s="312"/>
      <c r="AN218" s="290"/>
      <c r="AO218" s="290"/>
      <c r="AP218" s="290"/>
      <c r="AQ218" s="290"/>
    </row>
    <row r="219" spans="12:43" x14ac:dyDescent="0.2">
      <c r="L219" s="313"/>
      <c r="M219" s="311"/>
      <c r="N219" s="311"/>
      <c r="O219" s="313"/>
      <c r="P219" s="310"/>
      <c r="Q219" s="311"/>
      <c r="R219" s="312"/>
      <c r="S219" s="312"/>
      <c r="T219" s="312"/>
      <c r="U219" s="312"/>
      <c r="V219" s="312"/>
      <c r="W219" s="312"/>
      <c r="X219" s="312"/>
      <c r="Y219" s="312"/>
      <c r="Z219" s="312"/>
      <c r="AA219" s="312"/>
      <c r="AB219" s="312"/>
      <c r="AC219" s="312"/>
      <c r="AD219" s="312"/>
      <c r="AE219" s="312"/>
      <c r="AF219" s="312"/>
      <c r="AG219" s="312"/>
      <c r="AH219" s="312"/>
      <c r="AI219" s="312"/>
      <c r="AJ219" s="312"/>
      <c r="AK219" s="312"/>
      <c r="AL219" s="312"/>
      <c r="AM219" s="312"/>
      <c r="AN219" s="290"/>
      <c r="AO219" s="290"/>
      <c r="AP219" s="290"/>
      <c r="AQ219" s="290"/>
    </row>
    <row r="220" spans="12:43" x14ac:dyDescent="0.2">
      <c r="L220" s="313"/>
      <c r="M220" s="311"/>
      <c r="N220" s="311"/>
      <c r="O220" s="313"/>
      <c r="P220" s="310"/>
      <c r="Q220" s="311"/>
      <c r="R220" s="312"/>
      <c r="S220" s="312"/>
      <c r="T220" s="312"/>
      <c r="U220" s="312"/>
      <c r="V220" s="312"/>
      <c r="W220" s="312"/>
      <c r="X220" s="312"/>
      <c r="Y220" s="312"/>
      <c r="Z220" s="312"/>
      <c r="AA220" s="312"/>
      <c r="AB220" s="312"/>
      <c r="AC220" s="312"/>
      <c r="AD220" s="312"/>
      <c r="AE220" s="312"/>
      <c r="AF220" s="312"/>
      <c r="AG220" s="312"/>
      <c r="AH220" s="312"/>
      <c r="AI220" s="312"/>
      <c r="AJ220" s="312"/>
      <c r="AK220" s="312"/>
      <c r="AL220" s="312"/>
      <c r="AM220" s="312"/>
    </row>
    <row r="221" spans="12:43" x14ac:dyDescent="0.2">
      <c r="L221" s="313"/>
      <c r="M221" s="311"/>
      <c r="N221" s="311"/>
      <c r="O221" s="313"/>
      <c r="P221" s="310"/>
      <c r="Q221" s="311"/>
      <c r="R221" s="312"/>
      <c r="S221" s="312"/>
      <c r="T221" s="312"/>
      <c r="U221" s="312"/>
      <c r="V221" s="312"/>
      <c r="W221" s="312"/>
      <c r="X221" s="312"/>
      <c r="Y221" s="312"/>
      <c r="Z221" s="312"/>
      <c r="AA221" s="312"/>
      <c r="AB221" s="312"/>
      <c r="AC221" s="312"/>
      <c r="AD221" s="312"/>
      <c r="AE221" s="312"/>
      <c r="AF221" s="312"/>
      <c r="AG221" s="312"/>
      <c r="AH221" s="312"/>
      <c r="AI221" s="312"/>
      <c r="AJ221" s="312"/>
      <c r="AK221" s="312"/>
      <c r="AL221" s="312"/>
      <c r="AM221" s="312"/>
    </row>
    <row r="222" spans="12:43" x14ac:dyDescent="0.2">
      <c r="L222" s="313"/>
      <c r="M222" s="311"/>
      <c r="N222" s="311"/>
      <c r="O222" s="313"/>
      <c r="P222" s="310"/>
      <c r="Q222" s="311"/>
      <c r="R222" s="312"/>
      <c r="S222" s="312"/>
      <c r="T222" s="312"/>
      <c r="U222" s="312"/>
      <c r="V222" s="312"/>
      <c r="W222" s="312"/>
      <c r="X222" s="312"/>
      <c r="Y222" s="312"/>
      <c r="Z222" s="312"/>
      <c r="AA222" s="312"/>
      <c r="AB222" s="312"/>
      <c r="AC222" s="312"/>
      <c r="AD222" s="312"/>
      <c r="AE222" s="312"/>
      <c r="AF222" s="312"/>
      <c r="AG222" s="312"/>
      <c r="AH222" s="312"/>
      <c r="AI222" s="312"/>
      <c r="AJ222" s="312"/>
      <c r="AK222" s="312"/>
      <c r="AL222" s="312"/>
      <c r="AM222" s="312"/>
    </row>
    <row r="223" spans="12:43" x14ac:dyDescent="0.2">
      <c r="L223" s="313"/>
      <c r="M223" s="311"/>
      <c r="N223" s="311"/>
      <c r="O223" s="313"/>
      <c r="P223" s="310"/>
      <c r="Q223" s="311"/>
      <c r="R223" s="312"/>
      <c r="S223" s="312"/>
      <c r="T223" s="312"/>
      <c r="U223" s="312"/>
      <c r="V223" s="312"/>
      <c r="W223" s="312"/>
      <c r="X223" s="312"/>
      <c r="Y223" s="312"/>
      <c r="Z223" s="312"/>
      <c r="AA223" s="312"/>
      <c r="AB223" s="312"/>
      <c r="AC223" s="312"/>
      <c r="AD223" s="312"/>
      <c r="AE223" s="312"/>
      <c r="AF223" s="312"/>
      <c r="AG223" s="312"/>
      <c r="AH223" s="312"/>
      <c r="AI223" s="312"/>
      <c r="AJ223" s="312"/>
      <c r="AK223" s="312"/>
      <c r="AL223" s="312"/>
      <c r="AM223" s="312"/>
    </row>
    <row r="224" spans="12:43" x14ac:dyDescent="0.2">
      <c r="L224" s="313"/>
      <c r="M224" s="311"/>
      <c r="N224" s="311"/>
      <c r="O224" s="313"/>
      <c r="P224" s="310"/>
      <c r="Q224" s="311"/>
      <c r="R224" s="312"/>
      <c r="S224" s="312"/>
      <c r="T224" s="312"/>
      <c r="U224" s="312"/>
      <c r="V224" s="312"/>
      <c r="W224" s="312"/>
      <c r="X224" s="312"/>
      <c r="Y224" s="312"/>
      <c r="Z224" s="312"/>
      <c r="AA224" s="312"/>
      <c r="AB224" s="312"/>
      <c r="AC224" s="312"/>
      <c r="AD224" s="312"/>
      <c r="AE224" s="312"/>
      <c r="AF224" s="312"/>
      <c r="AG224" s="312"/>
      <c r="AH224" s="312"/>
      <c r="AI224" s="312"/>
      <c r="AJ224" s="312"/>
      <c r="AK224" s="312"/>
      <c r="AL224" s="312"/>
      <c r="AM224" s="312"/>
    </row>
    <row r="225" spans="12:71" x14ac:dyDescent="0.2">
      <c r="L225" s="313"/>
      <c r="M225" s="311"/>
      <c r="N225" s="311"/>
      <c r="O225" s="313"/>
      <c r="P225" s="310"/>
      <c r="Q225" s="311"/>
      <c r="R225" s="312"/>
      <c r="S225" s="312"/>
      <c r="T225" s="312"/>
      <c r="U225" s="312"/>
      <c r="V225" s="312"/>
      <c r="W225" s="312"/>
      <c r="X225" s="312"/>
      <c r="Y225" s="312"/>
      <c r="Z225" s="312"/>
      <c r="AA225" s="312"/>
      <c r="AB225" s="312"/>
      <c r="AC225" s="312"/>
      <c r="AD225" s="312"/>
      <c r="AE225" s="312"/>
      <c r="AF225" s="312"/>
      <c r="AG225" s="312"/>
      <c r="AH225" s="312"/>
      <c r="AI225" s="312"/>
      <c r="AJ225" s="312"/>
      <c r="AK225" s="312"/>
      <c r="AL225" s="312"/>
      <c r="AM225" s="312"/>
    </row>
    <row r="226" spans="12:71" x14ac:dyDescent="0.2">
      <c r="L226" s="313"/>
      <c r="M226" s="311"/>
      <c r="N226" s="311"/>
      <c r="O226" s="313"/>
      <c r="P226" s="310"/>
      <c r="Q226" s="311"/>
      <c r="R226" s="312"/>
      <c r="S226" s="312"/>
      <c r="T226" s="312"/>
      <c r="U226" s="312"/>
      <c r="V226" s="312"/>
      <c r="W226" s="312"/>
      <c r="X226" s="312"/>
      <c r="Y226" s="312"/>
      <c r="Z226" s="312"/>
      <c r="AA226" s="312"/>
      <c r="AB226" s="312"/>
      <c r="AC226" s="312"/>
      <c r="AD226" s="312"/>
      <c r="AE226" s="312"/>
      <c r="AF226" s="312"/>
      <c r="AG226" s="312"/>
      <c r="AH226" s="312"/>
      <c r="AI226" s="312"/>
      <c r="AJ226" s="312"/>
      <c r="AK226" s="312"/>
      <c r="AL226" s="312"/>
      <c r="AM226" s="312"/>
    </row>
    <row r="227" spans="12:71" x14ac:dyDescent="0.2">
      <c r="L227" s="313"/>
      <c r="M227" s="311"/>
      <c r="N227" s="311"/>
      <c r="O227" s="313"/>
      <c r="P227" s="310"/>
      <c r="Q227" s="311"/>
      <c r="R227" s="312"/>
      <c r="S227" s="312"/>
      <c r="T227" s="312"/>
      <c r="U227" s="312"/>
      <c r="V227" s="312"/>
      <c r="W227" s="312"/>
      <c r="X227" s="312"/>
      <c r="Y227" s="312"/>
      <c r="Z227" s="312"/>
      <c r="AA227" s="312"/>
      <c r="AB227" s="312"/>
      <c r="AC227" s="312"/>
      <c r="AD227" s="312"/>
      <c r="AE227" s="312"/>
      <c r="AF227" s="312"/>
      <c r="AG227" s="312"/>
      <c r="AH227" s="312"/>
      <c r="AI227" s="312"/>
      <c r="AJ227" s="312"/>
      <c r="AK227" s="312"/>
      <c r="AL227" s="312"/>
      <c r="AM227" s="312"/>
    </row>
    <row r="228" spans="12:71" x14ac:dyDescent="0.2">
      <c r="N228" s="311"/>
      <c r="O228" s="313"/>
      <c r="P228" s="310"/>
      <c r="Q228" s="311"/>
      <c r="R228" s="312"/>
      <c r="S228" s="312"/>
    </row>
    <row r="229" spans="12:71" x14ac:dyDescent="0.2">
      <c r="N229" s="311"/>
      <c r="O229" s="313"/>
      <c r="P229" s="310"/>
      <c r="Q229" s="311"/>
      <c r="R229" s="312"/>
      <c r="S229" s="312"/>
    </row>
    <row r="230" spans="12:71" x14ac:dyDescent="0.2">
      <c r="N230" s="311"/>
      <c r="O230" s="311"/>
      <c r="P230" s="310"/>
      <c r="Q230" s="311"/>
      <c r="R230" s="312"/>
      <c r="S230" s="312"/>
      <c r="AR230" s="291"/>
      <c r="AS230" s="291"/>
      <c r="AT230" s="291"/>
      <c r="AU230" s="291"/>
      <c r="AV230" s="291"/>
      <c r="AW230" s="291"/>
      <c r="AX230" s="291"/>
      <c r="AY230" s="291"/>
    </row>
    <row r="231" spans="12:71" x14ac:dyDescent="0.2">
      <c r="N231" s="324"/>
      <c r="O231" s="311"/>
      <c r="P231" s="310"/>
      <c r="Q231" s="311"/>
      <c r="R231" s="312"/>
      <c r="S231" s="312"/>
      <c r="AR231" s="291"/>
      <c r="AS231" s="291"/>
      <c r="AT231" s="988"/>
      <c r="AU231" s="988"/>
      <c r="AV231" s="988"/>
      <c r="AW231" s="988"/>
      <c r="AX231" s="988"/>
      <c r="AY231" s="988"/>
      <c r="AZ231" s="323"/>
      <c r="BA231" s="988"/>
      <c r="BB231" s="988"/>
      <c r="BC231" s="988"/>
      <c r="BD231" s="988"/>
      <c r="BE231" s="988"/>
      <c r="BF231" s="988"/>
      <c r="BG231" s="988"/>
      <c r="BH231" s="988"/>
      <c r="BI231" s="988"/>
      <c r="BJ231" s="323"/>
      <c r="BK231" s="323"/>
      <c r="BL231" s="988"/>
      <c r="BM231" s="988"/>
      <c r="BN231" s="988"/>
      <c r="BO231" s="988"/>
      <c r="BP231" s="988"/>
      <c r="BQ231" s="988"/>
    </row>
    <row r="232" spans="12:71" ht="12.75" customHeight="1" x14ac:dyDescent="0.2">
      <c r="N232" s="311"/>
      <c r="O232" s="311"/>
      <c r="P232" s="310"/>
      <c r="Q232" s="311"/>
      <c r="R232" s="322"/>
      <c r="S232" s="322"/>
      <c r="T232" s="320"/>
      <c r="U232" s="320"/>
      <c r="V232" s="320"/>
      <c r="W232" s="320"/>
      <c r="X232" s="320"/>
      <c r="Y232" s="320"/>
      <c r="Z232" s="320"/>
      <c r="AA232" s="320"/>
      <c r="AB232" s="320"/>
      <c r="AC232" s="320"/>
      <c r="AD232" s="320"/>
      <c r="AE232" s="320"/>
      <c r="AF232" s="320"/>
      <c r="AG232" s="320"/>
      <c r="AH232" s="320"/>
      <c r="AI232" s="320"/>
      <c r="AJ232" s="320"/>
      <c r="AK232" s="320"/>
      <c r="AL232" s="320"/>
      <c r="AM232" s="320"/>
      <c r="AN232" s="320"/>
      <c r="AO232" s="320"/>
      <c r="AP232" s="320"/>
      <c r="AQ232" s="320"/>
      <c r="AR232" s="320"/>
      <c r="AS232" s="320"/>
      <c r="AT232" s="989"/>
      <c r="AU232" s="989"/>
      <c r="AV232" s="989"/>
      <c r="AW232" s="989"/>
      <c r="AX232" s="989"/>
      <c r="AY232" s="989"/>
      <c r="AZ232" s="321"/>
      <c r="BA232" s="989"/>
      <c r="BB232" s="989"/>
      <c r="BC232" s="989"/>
      <c r="BD232" s="989"/>
      <c r="BE232" s="989"/>
      <c r="BF232" s="989"/>
      <c r="BG232" s="989"/>
      <c r="BH232" s="989"/>
      <c r="BI232" s="989"/>
      <c r="BJ232" s="321"/>
      <c r="BK232" s="321"/>
      <c r="BL232" s="989"/>
      <c r="BM232" s="989"/>
      <c r="BN232" s="989"/>
      <c r="BO232" s="989"/>
      <c r="BP232" s="989"/>
      <c r="BQ232" s="989"/>
      <c r="BR232" s="320"/>
      <c r="BS232" s="320"/>
    </row>
    <row r="233" spans="12:71" x14ac:dyDescent="0.2">
      <c r="N233" s="311"/>
      <c r="O233" s="311"/>
      <c r="P233" s="310"/>
      <c r="Q233" s="311"/>
      <c r="R233" s="319"/>
      <c r="S233" s="319"/>
      <c r="T233" s="314"/>
      <c r="U233" s="314"/>
      <c r="V233" s="314"/>
      <c r="W233" s="314"/>
      <c r="X233" s="314"/>
      <c r="Y233" s="314"/>
      <c r="Z233" s="314"/>
      <c r="AA233" s="314"/>
      <c r="AB233" s="314"/>
      <c r="AC233" s="314"/>
      <c r="AD233" s="307"/>
      <c r="AE233" s="307"/>
      <c r="AF233" s="307"/>
      <c r="AG233" s="307"/>
      <c r="AH233" s="318"/>
      <c r="AI233" s="318"/>
      <c r="AJ233" s="314"/>
      <c r="AK233" s="314"/>
      <c r="AL233" s="307"/>
      <c r="AM233" s="307"/>
      <c r="AN233" s="316"/>
      <c r="AO233" s="316"/>
      <c r="AP233" s="316"/>
      <c r="AQ233" s="316"/>
      <c r="AR233" s="314"/>
      <c r="AS233" s="314"/>
      <c r="AT233" s="314"/>
      <c r="AU233" s="317"/>
      <c r="AV233" s="315"/>
      <c r="AW233" s="317"/>
      <c r="AX233" s="315"/>
      <c r="AY233" s="317"/>
      <c r="AZ233" s="316"/>
      <c r="BA233" s="315"/>
      <c r="BB233" s="315"/>
      <c r="BC233" s="315"/>
      <c r="BD233" s="315"/>
      <c r="BE233" s="315"/>
      <c r="BF233" s="315"/>
      <c r="BG233" s="315"/>
      <c r="BH233" s="315"/>
      <c r="BI233" s="315"/>
      <c r="BJ233" s="315"/>
      <c r="BK233" s="315"/>
      <c r="BL233" s="315"/>
      <c r="BM233" s="315"/>
      <c r="BN233" s="315"/>
      <c r="BO233" s="315"/>
      <c r="BP233" s="315"/>
      <c r="BQ233" s="315"/>
      <c r="BR233" s="314"/>
      <c r="BS233" s="314"/>
    </row>
    <row r="234" spans="12:71" x14ac:dyDescent="0.2">
      <c r="N234" s="311"/>
      <c r="O234" s="313"/>
      <c r="P234" s="310"/>
      <c r="Q234" s="311"/>
      <c r="R234" s="312"/>
      <c r="S234" s="312"/>
      <c r="X234" s="307"/>
      <c r="AR234" s="291"/>
      <c r="AS234" s="291"/>
      <c r="AT234" s="291"/>
      <c r="AU234" s="291"/>
      <c r="AV234" s="291"/>
      <c r="AW234" s="291"/>
      <c r="AX234" s="291"/>
      <c r="AY234" s="291"/>
    </row>
    <row r="235" spans="12:71" x14ac:dyDescent="0.2">
      <c r="N235" s="311"/>
      <c r="O235" s="311"/>
      <c r="P235" s="310"/>
      <c r="Q235" s="309"/>
      <c r="R235" s="308"/>
      <c r="S235" s="308"/>
      <c r="T235" s="307"/>
      <c r="U235" s="307"/>
      <c r="V235" s="307"/>
      <c r="AR235" s="291"/>
      <c r="AS235" s="291"/>
      <c r="AT235" s="291"/>
      <c r="AU235" s="291"/>
      <c r="AV235" s="291"/>
      <c r="AW235" s="291"/>
      <c r="AX235" s="291"/>
      <c r="AY235" s="291"/>
    </row>
    <row r="236" spans="12:71" ht="18" x14ac:dyDescent="0.25">
      <c r="N236" s="304"/>
      <c r="O236" s="304"/>
      <c r="P236" s="305"/>
      <c r="Q236" s="304"/>
      <c r="R236" s="306"/>
      <c r="S236" s="306"/>
      <c r="T236" s="306"/>
      <c r="U236" s="306"/>
      <c r="V236" s="306"/>
      <c r="W236" s="306"/>
      <c r="AR236" s="291"/>
      <c r="AS236" s="291"/>
      <c r="AT236" s="291"/>
      <c r="AU236" s="291"/>
    </row>
    <row r="237" spans="12:71" ht="18" x14ac:dyDescent="0.25">
      <c r="N237" s="295"/>
      <c r="O237" s="304"/>
      <c r="P237" s="305"/>
      <c r="Q237" s="304"/>
      <c r="R237" s="303"/>
      <c r="S237" s="303"/>
      <c r="T237" s="303"/>
      <c r="U237" s="303"/>
      <c r="V237" s="303"/>
      <c r="W237" s="303"/>
      <c r="X237" s="300"/>
      <c r="Y237" s="300"/>
      <c r="Z237" s="300"/>
      <c r="AA237" s="300"/>
      <c r="AB237" s="300"/>
      <c r="AC237" s="300"/>
      <c r="AD237" s="300"/>
      <c r="AE237" s="300"/>
      <c r="AF237" s="300"/>
      <c r="AG237" s="300"/>
      <c r="AR237" s="291"/>
      <c r="AS237" s="291"/>
      <c r="AT237" s="291"/>
      <c r="AU237" s="291"/>
    </row>
    <row r="238" spans="12:71" ht="18" x14ac:dyDescent="0.25">
      <c r="N238" s="295"/>
      <c r="O238" s="304"/>
      <c r="P238" s="305"/>
      <c r="Q238" s="304"/>
      <c r="R238" s="303"/>
      <c r="S238" s="303"/>
      <c r="T238" s="303"/>
      <c r="U238" s="303"/>
      <c r="V238" s="303"/>
      <c r="W238" s="303"/>
      <c r="X238" s="300"/>
      <c r="Y238" s="300"/>
      <c r="Z238" s="300"/>
      <c r="AA238" s="300"/>
      <c r="AB238" s="300"/>
      <c r="AC238" s="300"/>
      <c r="AD238" s="300"/>
      <c r="AE238" s="300"/>
      <c r="AF238" s="300"/>
      <c r="AG238" s="300"/>
      <c r="AR238" s="291"/>
      <c r="AS238" s="291"/>
      <c r="AT238" s="291"/>
      <c r="AU238" s="291"/>
    </row>
    <row r="239" spans="12:71" ht="18" x14ac:dyDescent="0.25">
      <c r="N239" s="295"/>
      <c r="O239" s="304"/>
      <c r="P239" s="305"/>
      <c r="Q239" s="304"/>
      <c r="R239" s="303"/>
      <c r="S239" s="303"/>
      <c r="T239" s="303"/>
      <c r="U239" s="303"/>
      <c r="V239" s="303"/>
      <c r="W239" s="303"/>
      <c r="X239" s="300"/>
      <c r="Y239" s="300"/>
      <c r="Z239" s="300"/>
      <c r="AA239" s="300"/>
      <c r="AB239" s="300"/>
      <c r="AC239" s="300"/>
      <c r="AD239" s="300"/>
      <c r="AE239" s="300"/>
      <c r="AF239" s="300"/>
      <c r="AG239" s="300"/>
      <c r="AR239" s="291"/>
      <c r="AS239" s="291"/>
      <c r="AT239" s="291"/>
      <c r="AU239" s="291"/>
    </row>
    <row r="240" spans="12:71" ht="18" x14ac:dyDescent="0.25">
      <c r="N240" s="295"/>
      <c r="O240" s="304"/>
      <c r="P240" s="305"/>
      <c r="Q240" s="304"/>
      <c r="R240" s="303"/>
      <c r="S240" s="303"/>
      <c r="T240" s="303"/>
      <c r="U240" s="303"/>
      <c r="V240" s="303"/>
      <c r="W240" s="303"/>
      <c r="X240" s="300"/>
      <c r="Y240" s="300"/>
      <c r="Z240" s="300"/>
      <c r="AA240" s="300"/>
      <c r="AB240" s="300"/>
      <c r="AC240" s="300"/>
      <c r="AD240" s="300"/>
      <c r="AE240" s="300"/>
      <c r="AF240" s="300"/>
      <c r="AG240" s="300"/>
      <c r="AR240" s="291"/>
      <c r="AS240" s="291"/>
      <c r="AT240" s="291"/>
      <c r="AU240" s="291"/>
    </row>
    <row r="241" spans="11:47" ht="18" x14ac:dyDescent="0.25">
      <c r="N241" s="295"/>
      <c r="O241" s="304"/>
      <c r="P241" s="305"/>
      <c r="Q241" s="304"/>
      <c r="R241" s="303"/>
      <c r="S241" s="303"/>
      <c r="T241" s="303"/>
      <c r="U241" s="303"/>
      <c r="V241" s="303"/>
      <c r="W241" s="303"/>
      <c r="X241" s="300"/>
      <c r="Y241" s="300"/>
      <c r="Z241" s="300"/>
      <c r="AA241" s="300"/>
      <c r="AB241" s="300"/>
      <c r="AC241" s="300"/>
      <c r="AD241" s="300"/>
      <c r="AE241" s="300"/>
      <c r="AF241" s="300"/>
      <c r="AG241" s="300"/>
      <c r="AR241" s="291"/>
      <c r="AS241" s="291"/>
      <c r="AT241" s="291"/>
      <c r="AU241" s="291"/>
    </row>
    <row r="242" spans="11:47" ht="18" x14ac:dyDescent="0.25">
      <c r="N242" s="295"/>
      <c r="O242" s="304"/>
      <c r="P242" s="305"/>
      <c r="Q242" s="304"/>
      <c r="R242" s="303"/>
      <c r="S242" s="300"/>
      <c r="T242" s="300"/>
      <c r="U242" s="300"/>
      <c r="V242" s="300"/>
      <c r="W242" s="300"/>
      <c r="X242" s="300"/>
      <c r="Y242" s="300"/>
      <c r="Z242" s="300"/>
      <c r="AA242" s="300"/>
      <c r="AB242" s="300"/>
      <c r="AC242" s="300"/>
      <c r="AD242" s="300"/>
      <c r="AE242" s="300"/>
      <c r="AF242" s="300"/>
      <c r="AG242" s="300"/>
      <c r="AR242" s="291"/>
      <c r="AS242" s="291"/>
      <c r="AT242" s="291"/>
      <c r="AU242" s="291"/>
    </row>
    <row r="243" spans="11:47" ht="18" x14ac:dyDescent="0.25">
      <c r="K243" s="298"/>
      <c r="L243" s="299"/>
      <c r="M243" s="297"/>
      <c r="N243" s="297"/>
      <c r="O243" s="302"/>
      <c r="P243" s="297"/>
      <c r="Q243" s="297"/>
      <c r="R243" s="297"/>
      <c r="S243" s="297"/>
      <c r="T243" s="297"/>
      <c r="U243" s="300"/>
      <c r="V243" s="300"/>
      <c r="W243" s="300"/>
      <c r="X243" s="300"/>
      <c r="Y243" s="300"/>
      <c r="Z243" s="300"/>
      <c r="AA243" s="300"/>
      <c r="AB243" s="300"/>
      <c r="AC243" s="300"/>
      <c r="AD243" s="300"/>
      <c r="AE243" s="300"/>
      <c r="AF243" s="300"/>
      <c r="AG243" s="300"/>
      <c r="AR243" s="291"/>
    </row>
    <row r="244" spans="11:47" x14ac:dyDescent="0.2">
      <c r="K244" s="298"/>
      <c r="L244" s="299"/>
      <c r="M244" s="297"/>
      <c r="N244" s="297"/>
      <c r="O244" s="297"/>
      <c r="P244" s="298"/>
      <c r="Q244" s="297"/>
      <c r="R244" s="297"/>
      <c r="S244" s="297"/>
      <c r="T244" s="297"/>
      <c r="U244" s="300"/>
      <c r="V244" s="300"/>
      <c r="W244" s="300"/>
      <c r="X244" s="300"/>
      <c r="Y244" s="300"/>
      <c r="Z244" s="300"/>
      <c r="AA244" s="300"/>
      <c r="AB244" s="300"/>
      <c r="AC244" s="300"/>
      <c r="AD244" s="300"/>
      <c r="AE244" s="300"/>
      <c r="AF244" s="300"/>
      <c r="AG244" s="300"/>
      <c r="AR244" s="291"/>
    </row>
    <row r="245" spans="11:47" x14ac:dyDescent="0.2">
      <c r="K245" s="298"/>
      <c r="L245" s="299"/>
      <c r="M245" s="297"/>
      <c r="N245" s="297"/>
      <c r="O245" s="301"/>
      <c r="P245" s="297"/>
      <c r="Q245" s="297"/>
      <c r="R245" s="297"/>
      <c r="S245" s="297"/>
      <c r="T245" s="297"/>
      <c r="U245" s="300"/>
      <c r="V245" s="300"/>
      <c r="W245" s="300"/>
      <c r="X245" s="300"/>
      <c r="Y245" s="300"/>
      <c r="Z245" s="300"/>
      <c r="AA245" s="300"/>
      <c r="AB245" s="300"/>
      <c r="AC245" s="300"/>
      <c r="AD245" s="300"/>
      <c r="AE245" s="300"/>
      <c r="AF245" s="300"/>
      <c r="AG245" s="300"/>
      <c r="AR245" s="291"/>
    </row>
    <row r="246" spans="11:47" x14ac:dyDescent="0.2">
      <c r="K246" s="298"/>
      <c r="L246" s="299"/>
      <c r="M246" s="297"/>
      <c r="N246" s="297"/>
      <c r="O246" s="298"/>
      <c r="P246" s="298"/>
      <c r="Q246" s="297"/>
      <c r="R246" s="297"/>
      <c r="S246" s="297"/>
      <c r="T246" s="297"/>
      <c r="U246" s="300"/>
      <c r="V246" s="300"/>
      <c r="W246" s="300"/>
      <c r="X246" s="300"/>
      <c r="Y246" s="300"/>
      <c r="Z246" s="300"/>
      <c r="AA246" s="300"/>
      <c r="AB246" s="300"/>
      <c r="AC246" s="300"/>
      <c r="AD246" s="300"/>
      <c r="AE246" s="300"/>
      <c r="AF246" s="300"/>
      <c r="AG246" s="300"/>
      <c r="AR246" s="291"/>
      <c r="AS246" s="291"/>
      <c r="AT246" s="291"/>
      <c r="AU246" s="291"/>
    </row>
    <row r="247" spans="11:47" x14ac:dyDescent="0.2">
      <c r="K247" s="298"/>
      <c r="L247" s="299"/>
      <c r="M247" s="297"/>
      <c r="N247" s="298"/>
      <c r="O247" s="298"/>
      <c r="P247" s="298"/>
      <c r="Q247" s="298"/>
      <c r="R247" s="298"/>
      <c r="S247" s="297"/>
      <c r="T247" s="297"/>
      <c r="U247" s="300"/>
      <c r="V247" s="300"/>
      <c r="W247" s="300"/>
      <c r="X247" s="300"/>
      <c r="Y247" s="300"/>
      <c r="Z247" s="300"/>
      <c r="AA247" s="300"/>
      <c r="AB247" s="300"/>
      <c r="AC247" s="300"/>
      <c r="AD247" s="300"/>
      <c r="AE247" s="300"/>
      <c r="AF247" s="300"/>
      <c r="AG247" s="300"/>
      <c r="AR247" s="291"/>
      <c r="AS247" s="291"/>
      <c r="AT247" s="291"/>
      <c r="AU247" s="291"/>
    </row>
    <row r="248" spans="11:47" x14ac:dyDescent="0.2">
      <c r="K248" s="298"/>
      <c r="L248" s="299"/>
      <c r="M248" s="297"/>
      <c r="N248" s="298"/>
      <c r="O248" s="298"/>
      <c r="P248" s="298"/>
      <c r="Q248" s="298"/>
      <c r="R248" s="298"/>
      <c r="S248" s="297"/>
      <c r="T248" s="297"/>
      <c r="AR248" s="291"/>
      <c r="AS248" s="291"/>
      <c r="AT248" s="291"/>
      <c r="AU248" s="291"/>
    </row>
    <row r="249" spans="11:47" x14ac:dyDescent="0.2">
      <c r="K249" s="298"/>
      <c r="L249" s="299"/>
      <c r="M249" s="297"/>
      <c r="N249" s="298"/>
      <c r="O249" s="298"/>
      <c r="P249" s="298"/>
      <c r="Q249" s="298"/>
      <c r="R249" s="298"/>
      <c r="S249" s="297"/>
      <c r="T249" s="297"/>
      <c r="AR249" s="291"/>
      <c r="AS249" s="291"/>
      <c r="AT249" s="291"/>
      <c r="AU249" s="291"/>
    </row>
    <row r="250" spans="11:47" x14ac:dyDescent="0.2">
      <c r="K250" s="298"/>
      <c r="L250" s="299"/>
      <c r="M250" s="297"/>
      <c r="N250" s="298"/>
      <c r="O250" s="298"/>
      <c r="P250" s="298"/>
      <c r="Q250" s="298"/>
      <c r="R250" s="298"/>
      <c r="S250" s="297"/>
      <c r="T250" s="297"/>
      <c r="AR250" s="291"/>
      <c r="AS250" s="291"/>
      <c r="AT250" s="291"/>
      <c r="AU250" s="291"/>
    </row>
    <row r="251" spans="11:47" x14ac:dyDescent="0.2">
      <c r="O251" s="292"/>
      <c r="AR251" s="291"/>
      <c r="AS251" s="291"/>
      <c r="AT251" s="291"/>
      <c r="AU251" s="291"/>
    </row>
    <row r="252" spans="11:47" x14ac:dyDescent="0.2">
      <c r="L252" s="290"/>
      <c r="M252" s="290"/>
      <c r="N252" s="290"/>
      <c r="O252" s="292"/>
      <c r="AR252" s="291"/>
      <c r="AS252" s="291"/>
      <c r="AT252" s="291"/>
      <c r="AU252" s="291"/>
    </row>
    <row r="253" spans="11:47" x14ac:dyDescent="0.2">
      <c r="L253" s="290"/>
      <c r="M253" s="290"/>
      <c r="N253" s="290"/>
      <c r="O253" s="292"/>
      <c r="AR253" s="291"/>
      <c r="AS253" s="291"/>
      <c r="AT253" s="291"/>
      <c r="AU253" s="291"/>
    </row>
    <row r="254" spans="11:47" x14ac:dyDescent="0.2">
      <c r="L254" s="290"/>
      <c r="M254" s="290"/>
      <c r="N254" s="290"/>
      <c r="S254" s="290"/>
      <c r="T254" s="290"/>
      <c r="U254" s="290"/>
      <c r="V254" s="290"/>
      <c r="W254" s="290"/>
      <c r="X254" s="290"/>
      <c r="Y254" s="290"/>
      <c r="Z254" s="290"/>
      <c r="AA254" s="290"/>
      <c r="AB254" s="290"/>
      <c r="AC254" s="290"/>
      <c r="AD254" s="290"/>
      <c r="AE254" s="290"/>
      <c r="AF254" s="290"/>
      <c r="AG254" s="290"/>
      <c r="AH254" s="290"/>
      <c r="AI254" s="290"/>
      <c r="AJ254" s="290"/>
      <c r="AK254" s="290"/>
      <c r="AL254" s="290"/>
      <c r="AM254" s="290"/>
      <c r="AN254" s="290"/>
      <c r="AO254" s="290"/>
      <c r="AP254" s="290"/>
      <c r="AQ254" s="290"/>
    </row>
    <row r="255" spans="11:47" x14ac:dyDescent="0.2">
      <c r="L255" s="290"/>
      <c r="M255" s="290"/>
      <c r="N255" s="290"/>
      <c r="S255" s="290"/>
      <c r="T255" s="290"/>
      <c r="U255" s="290"/>
      <c r="V255" s="290"/>
      <c r="W255" s="290"/>
      <c r="X255" s="290"/>
      <c r="Y255" s="290"/>
      <c r="Z255" s="290"/>
      <c r="AA255" s="290"/>
      <c r="AB255" s="290"/>
      <c r="AC255" s="290"/>
      <c r="AD255" s="290"/>
      <c r="AE255" s="290"/>
      <c r="AF255" s="290"/>
      <c r="AG255" s="290"/>
      <c r="AH255" s="290"/>
      <c r="AI255" s="290"/>
      <c r="AJ255" s="290"/>
      <c r="AK255" s="290"/>
      <c r="AL255" s="290"/>
      <c r="AM255" s="290"/>
      <c r="AN255" s="290"/>
      <c r="AO255" s="290"/>
      <c r="AP255" s="290"/>
      <c r="AQ255" s="290"/>
    </row>
    <row r="256" spans="11:47" x14ac:dyDescent="0.2">
      <c r="L256" s="290"/>
      <c r="M256" s="290"/>
      <c r="N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row>
    <row r="257" spans="15:17" s="290" customFormat="1" x14ac:dyDescent="0.2">
      <c r="O257" s="294"/>
      <c r="P257" s="293"/>
      <c r="Q257" s="292"/>
    </row>
    <row r="258" spans="15:17" s="290" customFormat="1" x14ac:dyDescent="0.2">
      <c r="O258" s="294"/>
      <c r="P258" s="293"/>
      <c r="Q258" s="292"/>
    </row>
    <row r="259" spans="15:17" s="290" customFormat="1" x14ac:dyDescent="0.2">
      <c r="O259" s="294"/>
      <c r="P259" s="293"/>
      <c r="Q259" s="292"/>
    </row>
    <row r="260" spans="15:17" s="290" customFormat="1" x14ac:dyDescent="0.2">
      <c r="O260" s="294"/>
      <c r="P260" s="293"/>
      <c r="Q260" s="292"/>
    </row>
    <row r="261" spans="15:17" s="290" customFormat="1" x14ac:dyDescent="0.2">
      <c r="O261" s="294"/>
      <c r="P261" s="293"/>
      <c r="Q261" s="292"/>
    </row>
    <row r="262" spans="15:17" s="290" customFormat="1" x14ac:dyDescent="0.2">
      <c r="O262" s="294"/>
      <c r="P262" s="293"/>
      <c r="Q262" s="292"/>
    </row>
    <row r="263" spans="15:17" s="290" customFormat="1" x14ac:dyDescent="0.2">
      <c r="O263" s="294"/>
      <c r="P263" s="293"/>
      <c r="Q263" s="292"/>
    </row>
    <row r="264" spans="15:17" s="290" customFormat="1" x14ac:dyDescent="0.2">
      <c r="O264" s="294"/>
      <c r="P264" s="293"/>
      <c r="Q264" s="292"/>
    </row>
    <row r="265" spans="15:17" s="290" customFormat="1" x14ac:dyDescent="0.2">
      <c r="O265" s="294"/>
      <c r="P265" s="293"/>
      <c r="Q265" s="292"/>
    </row>
    <row r="266" spans="15:17" s="290" customFormat="1" x14ac:dyDescent="0.2">
      <c r="O266" s="294"/>
      <c r="P266" s="293"/>
      <c r="Q266" s="292"/>
    </row>
    <row r="267" spans="15:17" s="290" customFormat="1" x14ac:dyDescent="0.2">
      <c r="O267" s="294"/>
      <c r="P267" s="293"/>
      <c r="Q267" s="292"/>
    </row>
    <row r="268" spans="15:17" s="290" customFormat="1" x14ac:dyDescent="0.2">
      <c r="P268" s="293"/>
      <c r="Q268" s="292"/>
    </row>
    <row r="269" spans="15:17" s="290" customFormat="1" x14ac:dyDescent="0.2">
      <c r="P269" s="293"/>
      <c r="Q269" s="292"/>
    </row>
    <row r="270" spans="15:17" s="290" customFormat="1" x14ac:dyDescent="0.2">
      <c r="P270" s="293"/>
      <c r="Q270" s="292"/>
    </row>
    <row r="271" spans="15:17" s="290" customFormat="1" x14ac:dyDescent="0.2">
      <c r="P271" s="293"/>
      <c r="Q271" s="292"/>
    </row>
    <row r="272" spans="15:17" s="290" customFormat="1" x14ac:dyDescent="0.2">
      <c r="P272" s="293"/>
      <c r="Q272" s="292"/>
    </row>
    <row r="273" spans="16:17" s="290" customFormat="1" x14ac:dyDescent="0.2">
      <c r="P273" s="293"/>
      <c r="Q273" s="292"/>
    </row>
    <row r="274" spans="16:17" s="290" customFormat="1" x14ac:dyDescent="0.2">
      <c r="P274" s="293"/>
      <c r="Q274" s="292"/>
    </row>
    <row r="275" spans="16:17" s="290" customFormat="1" x14ac:dyDescent="0.2">
      <c r="P275" s="293"/>
      <c r="Q275" s="292"/>
    </row>
    <row r="276" spans="16:17" s="290" customFormat="1" x14ac:dyDescent="0.2">
      <c r="P276" s="293"/>
      <c r="Q276" s="292"/>
    </row>
    <row r="277" spans="16:17" s="290" customFormat="1" x14ac:dyDescent="0.2">
      <c r="P277" s="293"/>
      <c r="Q277" s="292"/>
    </row>
    <row r="278" spans="16:17" s="290" customFormat="1" x14ac:dyDescent="0.2">
      <c r="P278" s="293"/>
      <c r="Q278" s="292"/>
    </row>
    <row r="279" spans="16:17" s="290" customFormat="1" x14ac:dyDescent="0.2">
      <c r="P279" s="293"/>
      <c r="Q279" s="292"/>
    </row>
    <row r="280" spans="16:17" s="290" customFormat="1" x14ac:dyDescent="0.2">
      <c r="P280" s="293"/>
      <c r="Q280" s="292"/>
    </row>
    <row r="281" spans="16:17" s="290" customFormat="1" x14ac:dyDescent="0.2">
      <c r="P281" s="293"/>
      <c r="Q281" s="292"/>
    </row>
    <row r="282" spans="16:17" s="290" customFormat="1" x14ac:dyDescent="0.2">
      <c r="P282" s="293"/>
      <c r="Q282" s="292"/>
    </row>
    <row r="283" spans="16:17" s="290" customFormat="1" x14ac:dyDescent="0.2">
      <c r="P283" s="293"/>
      <c r="Q283" s="292"/>
    </row>
    <row r="284" spans="16:17" s="290" customFormat="1" x14ac:dyDescent="0.2">
      <c r="P284" s="293"/>
      <c r="Q284" s="292"/>
    </row>
    <row r="285" spans="16:17" s="290" customFormat="1" x14ac:dyDescent="0.2">
      <c r="P285" s="293"/>
      <c r="Q285" s="292"/>
    </row>
    <row r="286" spans="16:17" s="290" customFormat="1" x14ac:dyDescent="0.2">
      <c r="P286" s="293"/>
      <c r="Q286" s="292"/>
    </row>
    <row r="287" spans="16:17" s="290" customFormat="1" x14ac:dyDescent="0.2">
      <c r="P287" s="293"/>
      <c r="Q287" s="292"/>
    </row>
    <row r="288" spans="16:17" s="290" customFormat="1" x14ac:dyDescent="0.2">
      <c r="P288" s="293"/>
      <c r="Q288" s="292"/>
    </row>
    <row r="289" spans="16:17" s="290" customFormat="1" x14ac:dyDescent="0.2">
      <c r="P289" s="293"/>
      <c r="Q289" s="292"/>
    </row>
    <row r="290" spans="16:17" s="290" customFormat="1" x14ac:dyDescent="0.2">
      <c r="P290" s="293"/>
      <c r="Q290" s="292"/>
    </row>
    <row r="291" spans="16:17" s="290" customFormat="1" x14ac:dyDescent="0.2">
      <c r="P291" s="293"/>
      <c r="Q291" s="292"/>
    </row>
    <row r="292" spans="16:17" s="290" customFormat="1" x14ac:dyDescent="0.2">
      <c r="P292" s="293"/>
      <c r="Q292" s="292"/>
    </row>
    <row r="293" spans="16:17" s="290" customFormat="1" x14ac:dyDescent="0.2">
      <c r="P293" s="293"/>
      <c r="Q293" s="292"/>
    </row>
    <row r="294" spans="16:17" s="290" customFormat="1" x14ac:dyDescent="0.2">
      <c r="P294" s="293"/>
      <c r="Q294" s="292"/>
    </row>
    <row r="295" spans="16:17" s="290" customFormat="1" x14ac:dyDescent="0.2">
      <c r="P295" s="293"/>
      <c r="Q295" s="292"/>
    </row>
    <row r="296" spans="16:17" s="290" customFormat="1" x14ac:dyDescent="0.2">
      <c r="P296" s="293"/>
      <c r="Q296" s="292"/>
    </row>
    <row r="297" spans="16:17" s="290" customFormat="1" x14ac:dyDescent="0.2">
      <c r="P297" s="293"/>
      <c r="Q297" s="292"/>
    </row>
    <row r="298" spans="16:17" s="290" customFormat="1" x14ac:dyDescent="0.2">
      <c r="P298" s="293"/>
      <c r="Q298" s="292"/>
    </row>
    <row r="299" spans="16:17" s="290" customFormat="1" x14ac:dyDescent="0.2">
      <c r="P299" s="293"/>
      <c r="Q299" s="292"/>
    </row>
    <row r="300" spans="16:17" s="290" customFormat="1" x14ac:dyDescent="0.2">
      <c r="P300" s="293"/>
      <c r="Q300" s="292"/>
    </row>
    <row r="301" spans="16:17" s="290" customFormat="1" x14ac:dyDescent="0.2">
      <c r="P301" s="293"/>
      <c r="Q301" s="292"/>
    </row>
    <row r="302" spans="16:17" s="290" customFormat="1" x14ac:dyDescent="0.2">
      <c r="P302" s="293"/>
      <c r="Q302" s="292"/>
    </row>
    <row r="303" spans="16:17" s="290" customFormat="1" x14ac:dyDescent="0.2">
      <c r="P303" s="293"/>
      <c r="Q303" s="292"/>
    </row>
    <row r="304" spans="16:17" s="290" customFormat="1" x14ac:dyDescent="0.2">
      <c r="P304" s="293"/>
      <c r="Q304" s="292"/>
    </row>
    <row r="305" spans="16:17" s="290" customFormat="1" x14ac:dyDescent="0.2">
      <c r="P305" s="293"/>
      <c r="Q305" s="292"/>
    </row>
    <row r="306" spans="16:17" s="290" customFormat="1" x14ac:dyDescent="0.2">
      <c r="P306" s="293"/>
      <c r="Q306" s="292"/>
    </row>
    <row r="307" spans="16:17" s="290" customFormat="1" x14ac:dyDescent="0.2">
      <c r="P307" s="293"/>
      <c r="Q307" s="292"/>
    </row>
    <row r="308" spans="16:17" s="290" customFormat="1" x14ac:dyDescent="0.2">
      <c r="P308" s="293"/>
      <c r="Q308" s="292"/>
    </row>
    <row r="309" spans="16:17" s="290" customFormat="1" x14ac:dyDescent="0.2">
      <c r="P309" s="293"/>
      <c r="Q309" s="292"/>
    </row>
    <row r="310" spans="16:17" s="290" customFormat="1" x14ac:dyDescent="0.2">
      <c r="P310" s="293"/>
      <c r="Q310" s="292"/>
    </row>
    <row r="311" spans="16:17" s="290" customFormat="1" x14ac:dyDescent="0.2">
      <c r="P311" s="293"/>
      <c r="Q311" s="292"/>
    </row>
    <row r="312" spans="16:17" s="290" customFormat="1" x14ac:dyDescent="0.2">
      <c r="P312" s="293"/>
      <c r="Q312" s="292"/>
    </row>
    <row r="313" spans="16:17" s="290" customFormat="1" x14ac:dyDescent="0.2">
      <c r="P313" s="293"/>
      <c r="Q313" s="292"/>
    </row>
    <row r="314" spans="16:17" s="290" customFormat="1" x14ac:dyDescent="0.2">
      <c r="P314" s="293"/>
      <c r="Q314" s="292"/>
    </row>
    <row r="315" spans="16:17" s="290" customFormat="1" x14ac:dyDescent="0.2">
      <c r="P315" s="293"/>
      <c r="Q315" s="292"/>
    </row>
    <row r="316" spans="16:17" s="290" customFormat="1" x14ac:dyDescent="0.2">
      <c r="P316" s="293"/>
      <c r="Q316" s="292"/>
    </row>
    <row r="317" spans="16:17" s="290" customFormat="1" x14ac:dyDescent="0.2">
      <c r="P317" s="293"/>
      <c r="Q317" s="292"/>
    </row>
    <row r="318" spans="16:17" s="290" customFormat="1" x14ac:dyDescent="0.2">
      <c r="P318" s="293"/>
      <c r="Q318" s="292"/>
    </row>
    <row r="319" spans="16:17" s="290" customFormat="1" x14ac:dyDescent="0.2">
      <c r="P319" s="293"/>
      <c r="Q319" s="292"/>
    </row>
    <row r="320" spans="16:17" s="290" customFormat="1" x14ac:dyDescent="0.2">
      <c r="P320" s="293"/>
      <c r="Q320" s="292"/>
    </row>
    <row r="321" spans="16:17" s="290" customFormat="1" x14ac:dyDescent="0.2">
      <c r="P321" s="293"/>
      <c r="Q321" s="292"/>
    </row>
    <row r="322" spans="16:17" s="290" customFormat="1" x14ac:dyDescent="0.2">
      <c r="P322" s="293"/>
      <c r="Q322" s="292"/>
    </row>
    <row r="323" spans="16:17" s="290" customFormat="1" x14ac:dyDescent="0.2">
      <c r="P323" s="293"/>
      <c r="Q323" s="292"/>
    </row>
    <row r="324" spans="16:17" s="290" customFormat="1" x14ac:dyDescent="0.2">
      <c r="P324" s="293"/>
      <c r="Q324" s="292"/>
    </row>
    <row r="325" spans="16:17" s="290" customFormat="1" x14ac:dyDescent="0.2">
      <c r="P325" s="293"/>
      <c r="Q325" s="292"/>
    </row>
    <row r="326" spans="16:17" s="290" customFormat="1" x14ac:dyDescent="0.2">
      <c r="P326" s="293"/>
      <c r="Q326" s="292"/>
    </row>
    <row r="327" spans="16:17" s="290" customFormat="1" x14ac:dyDescent="0.2">
      <c r="P327" s="293"/>
      <c r="Q327" s="292"/>
    </row>
    <row r="328" spans="16:17" s="290" customFormat="1" x14ac:dyDescent="0.2">
      <c r="P328" s="293"/>
      <c r="Q328" s="292"/>
    </row>
    <row r="329" spans="16:17" s="290" customFormat="1" x14ac:dyDescent="0.2">
      <c r="P329" s="293"/>
      <c r="Q329" s="292"/>
    </row>
    <row r="330" spans="16:17" s="290" customFormat="1" x14ac:dyDescent="0.2">
      <c r="P330" s="293"/>
      <c r="Q330" s="292"/>
    </row>
    <row r="331" spans="16:17" s="290" customFormat="1" x14ac:dyDescent="0.2">
      <c r="P331" s="293"/>
      <c r="Q331" s="292"/>
    </row>
    <row r="332" spans="16:17" s="290" customFormat="1" x14ac:dyDescent="0.2">
      <c r="P332" s="293"/>
      <c r="Q332" s="292"/>
    </row>
    <row r="333" spans="16:17" s="290" customFormat="1" x14ac:dyDescent="0.2">
      <c r="P333" s="293"/>
      <c r="Q333" s="292"/>
    </row>
    <row r="334" spans="16:17" s="290" customFormat="1" x14ac:dyDescent="0.2">
      <c r="P334" s="293"/>
      <c r="Q334" s="292"/>
    </row>
    <row r="335" spans="16:17" s="290" customFormat="1" x14ac:dyDescent="0.2">
      <c r="P335" s="293"/>
      <c r="Q335" s="292"/>
    </row>
    <row r="336" spans="16:17" s="290" customFormat="1" x14ac:dyDescent="0.2">
      <c r="P336" s="293"/>
      <c r="Q336" s="292"/>
    </row>
    <row r="337" spans="16:17" s="290" customFormat="1" x14ac:dyDescent="0.2">
      <c r="P337" s="293"/>
      <c r="Q337" s="292"/>
    </row>
    <row r="338" spans="16:17" s="290" customFormat="1" x14ac:dyDescent="0.2">
      <c r="P338" s="293"/>
      <c r="Q338" s="292"/>
    </row>
    <row r="339" spans="16:17" s="290" customFormat="1" x14ac:dyDescent="0.2">
      <c r="P339" s="293"/>
      <c r="Q339" s="292"/>
    </row>
    <row r="340" spans="16:17" s="290" customFormat="1" x14ac:dyDescent="0.2">
      <c r="P340" s="293"/>
      <c r="Q340" s="292"/>
    </row>
    <row r="341" spans="16:17" s="290" customFormat="1" x14ac:dyDescent="0.2">
      <c r="P341" s="293"/>
      <c r="Q341" s="292"/>
    </row>
    <row r="342" spans="16:17" s="290" customFormat="1" x14ac:dyDescent="0.2">
      <c r="P342" s="293"/>
      <c r="Q342" s="292"/>
    </row>
    <row r="343" spans="16:17" s="290" customFormat="1" x14ac:dyDescent="0.2">
      <c r="P343" s="293"/>
      <c r="Q343" s="292"/>
    </row>
    <row r="344" spans="16:17" s="290" customFormat="1" x14ac:dyDescent="0.2">
      <c r="P344" s="293"/>
      <c r="Q344" s="292"/>
    </row>
    <row r="345" spans="16:17" s="290" customFormat="1" x14ac:dyDescent="0.2">
      <c r="P345" s="293"/>
      <c r="Q345" s="292"/>
    </row>
    <row r="346" spans="16:17" s="290" customFormat="1" x14ac:dyDescent="0.2">
      <c r="P346" s="293"/>
      <c r="Q346" s="292"/>
    </row>
    <row r="347" spans="16:17" s="290" customFormat="1" x14ac:dyDescent="0.2">
      <c r="P347" s="293"/>
      <c r="Q347" s="292"/>
    </row>
    <row r="348" spans="16:17" s="290" customFormat="1" x14ac:dyDescent="0.2">
      <c r="P348" s="293"/>
      <c r="Q348" s="292"/>
    </row>
    <row r="349" spans="16:17" s="290" customFormat="1" x14ac:dyDescent="0.2">
      <c r="P349" s="293"/>
      <c r="Q349" s="292"/>
    </row>
    <row r="350" spans="16:17" s="290" customFormat="1" x14ac:dyDescent="0.2">
      <c r="P350" s="293"/>
      <c r="Q350" s="292"/>
    </row>
    <row r="351" spans="16:17" s="290" customFormat="1" x14ac:dyDescent="0.2">
      <c r="P351" s="293"/>
      <c r="Q351" s="292"/>
    </row>
    <row r="352" spans="16:17" s="290" customFormat="1" x14ac:dyDescent="0.2">
      <c r="P352" s="293"/>
      <c r="Q352" s="292"/>
    </row>
    <row r="353" spans="16:17" s="290" customFormat="1" x14ac:dyDescent="0.2">
      <c r="P353" s="293"/>
      <c r="Q353" s="292"/>
    </row>
    <row r="354" spans="16:17" s="290" customFormat="1" x14ac:dyDescent="0.2">
      <c r="P354" s="293"/>
      <c r="Q354" s="292"/>
    </row>
    <row r="355" spans="16:17" s="290" customFormat="1" x14ac:dyDescent="0.2">
      <c r="P355" s="293"/>
      <c r="Q355" s="292"/>
    </row>
    <row r="356" spans="16:17" s="290" customFormat="1" x14ac:dyDescent="0.2">
      <c r="P356" s="293"/>
      <c r="Q356" s="292"/>
    </row>
    <row r="357" spans="16:17" s="290" customFormat="1" x14ac:dyDescent="0.2">
      <c r="P357" s="293"/>
      <c r="Q357" s="292"/>
    </row>
    <row r="358" spans="16:17" s="290" customFormat="1" x14ac:dyDescent="0.2">
      <c r="P358" s="293"/>
      <c r="Q358" s="292"/>
    </row>
    <row r="359" spans="16:17" s="290" customFormat="1" x14ac:dyDescent="0.2">
      <c r="P359" s="293"/>
      <c r="Q359" s="292"/>
    </row>
    <row r="360" spans="16:17" s="290" customFormat="1" x14ac:dyDescent="0.2">
      <c r="P360" s="293"/>
      <c r="Q360" s="292"/>
    </row>
    <row r="361" spans="16:17" s="290" customFormat="1" x14ac:dyDescent="0.2">
      <c r="P361" s="293"/>
      <c r="Q361" s="292"/>
    </row>
    <row r="362" spans="16:17" s="290" customFormat="1" x14ac:dyDescent="0.2">
      <c r="P362" s="293"/>
      <c r="Q362" s="292"/>
    </row>
    <row r="363" spans="16:17" s="290" customFormat="1" x14ac:dyDescent="0.2">
      <c r="P363" s="293"/>
      <c r="Q363" s="292"/>
    </row>
    <row r="364" spans="16:17" s="290" customFormat="1" x14ac:dyDescent="0.2">
      <c r="P364" s="293"/>
      <c r="Q364" s="292"/>
    </row>
    <row r="365" spans="16:17" s="290" customFormat="1" x14ac:dyDescent="0.2">
      <c r="P365" s="293"/>
      <c r="Q365" s="292"/>
    </row>
    <row r="366" spans="16:17" s="290" customFormat="1" x14ac:dyDescent="0.2">
      <c r="P366" s="293"/>
      <c r="Q366" s="292"/>
    </row>
    <row r="367" spans="16:17" s="290" customFormat="1" x14ac:dyDescent="0.2">
      <c r="P367" s="293"/>
      <c r="Q367" s="292"/>
    </row>
    <row r="368" spans="16:17" s="290" customFormat="1" x14ac:dyDescent="0.2">
      <c r="P368" s="293"/>
      <c r="Q368" s="292"/>
    </row>
    <row r="369" spans="16:17" s="290" customFormat="1" x14ac:dyDescent="0.2">
      <c r="P369" s="293"/>
      <c r="Q369" s="292"/>
    </row>
    <row r="370" spans="16:17" s="290" customFormat="1" x14ac:dyDescent="0.2">
      <c r="P370" s="293"/>
      <c r="Q370" s="292"/>
    </row>
    <row r="371" spans="16:17" s="290" customFormat="1" x14ac:dyDescent="0.2">
      <c r="P371" s="293"/>
      <c r="Q371" s="292"/>
    </row>
    <row r="372" spans="16:17" s="290" customFormat="1" x14ac:dyDescent="0.2">
      <c r="P372" s="293"/>
      <c r="Q372" s="292"/>
    </row>
    <row r="373" spans="16:17" s="290" customFormat="1" x14ac:dyDescent="0.2">
      <c r="P373" s="293"/>
      <c r="Q373" s="292"/>
    </row>
    <row r="374" spans="16:17" s="290" customFormat="1" x14ac:dyDescent="0.2">
      <c r="P374" s="293"/>
      <c r="Q374" s="292"/>
    </row>
    <row r="375" spans="16:17" s="290" customFormat="1" x14ac:dyDescent="0.2">
      <c r="P375" s="293"/>
      <c r="Q375" s="292"/>
    </row>
    <row r="376" spans="16:17" s="290" customFormat="1" x14ac:dyDescent="0.2">
      <c r="P376" s="293"/>
      <c r="Q376" s="292"/>
    </row>
    <row r="377" spans="16:17" s="290" customFormat="1" x14ac:dyDescent="0.2">
      <c r="P377" s="293"/>
      <c r="Q377" s="292"/>
    </row>
    <row r="378" spans="16:17" s="290" customFormat="1" x14ac:dyDescent="0.2">
      <c r="P378" s="293"/>
      <c r="Q378" s="292"/>
    </row>
    <row r="379" spans="16:17" s="290" customFormat="1" x14ac:dyDescent="0.2">
      <c r="P379" s="293"/>
      <c r="Q379" s="292"/>
    </row>
    <row r="380" spans="16:17" s="290" customFormat="1" x14ac:dyDescent="0.2">
      <c r="P380" s="293"/>
      <c r="Q380" s="292"/>
    </row>
    <row r="381" spans="16:17" s="290" customFormat="1" x14ac:dyDescent="0.2">
      <c r="P381" s="293"/>
      <c r="Q381" s="292"/>
    </row>
    <row r="382" spans="16:17" s="290" customFormat="1" x14ac:dyDescent="0.2">
      <c r="P382" s="293"/>
      <c r="Q382" s="292"/>
    </row>
    <row r="383" spans="16:17" s="290" customFormat="1" x14ac:dyDescent="0.2">
      <c r="P383" s="293"/>
      <c r="Q383" s="292"/>
    </row>
    <row r="384" spans="16:17" s="290" customFormat="1" x14ac:dyDescent="0.2">
      <c r="P384" s="293"/>
      <c r="Q384" s="292"/>
    </row>
    <row r="385" spans="16:17" s="290" customFormat="1" x14ac:dyDescent="0.2">
      <c r="P385" s="293"/>
      <c r="Q385" s="292"/>
    </row>
    <row r="386" spans="16:17" s="290" customFormat="1" x14ac:dyDescent="0.2">
      <c r="P386" s="293"/>
      <c r="Q386" s="292"/>
    </row>
    <row r="387" spans="16:17" s="290" customFormat="1" x14ac:dyDescent="0.2">
      <c r="P387" s="293"/>
      <c r="Q387" s="292"/>
    </row>
    <row r="388" spans="16:17" s="290" customFormat="1" x14ac:dyDescent="0.2">
      <c r="P388" s="293"/>
      <c r="Q388" s="292"/>
    </row>
    <row r="389" spans="16:17" s="290" customFormat="1" x14ac:dyDescent="0.2">
      <c r="P389" s="293"/>
      <c r="Q389" s="292"/>
    </row>
    <row r="390" spans="16:17" s="290" customFormat="1" x14ac:dyDescent="0.2">
      <c r="P390" s="293"/>
      <c r="Q390" s="292"/>
    </row>
    <row r="391" spans="16:17" s="290" customFormat="1" x14ac:dyDescent="0.2">
      <c r="P391" s="293"/>
      <c r="Q391" s="292"/>
    </row>
    <row r="392" spans="16:17" s="290" customFormat="1" x14ac:dyDescent="0.2">
      <c r="P392" s="293"/>
      <c r="Q392" s="292"/>
    </row>
    <row r="393" spans="16:17" s="290" customFormat="1" x14ac:dyDescent="0.2">
      <c r="P393" s="293"/>
      <c r="Q393" s="292"/>
    </row>
    <row r="394" spans="16:17" s="290" customFormat="1" x14ac:dyDescent="0.2">
      <c r="P394" s="293"/>
      <c r="Q394" s="292"/>
    </row>
    <row r="395" spans="16:17" s="290" customFormat="1" x14ac:dyDescent="0.2">
      <c r="P395" s="293"/>
      <c r="Q395" s="292"/>
    </row>
    <row r="396" spans="16:17" s="290" customFormat="1" x14ac:dyDescent="0.2">
      <c r="P396" s="293"/>
      <c r="Q396" s="292"/>
    </row>
    <row r="397" spans="16:17" s="290" customFormat="1" x14ac:dyDescent="0.2">
      <c r="P397" s="293"/>
      <c r="Q397" s="292"/>
    </row>
    <row r="398" spans="16:17" s="290" customFormat="1" x14ac:dyDescent="0.2">
      <c r="P398" s="293"/>
      <c r="Q398" s="292"/>
    </row>
    <row r="399" spans="16:17" s="290" customFormat="1" x14ac:dyDescent="0.2">
      <c r="P399" s="293"/>
      <c r="Q399" s="292"/>
    </row>
    <row r="400" spans="16:17" s="290" customFormat="1" x14ac:dyDescent="0.2">
      <c r="P400" s="293"/>
      <c r="Q400" s="292"/>
    </row>
    <row r="401" spans="16:17" s="290" customFormat="1" x14ac:dyDescent="0.2">
      <c r="P401" s="293"/>
      <c r="Q401" s="292"/>
    </row>
    <row r="402" spans="16:17" s="290" customFormat="1" x14ac:dyDescent="0.2">
      <c r="P402" s="293"/>
      <c r="Q402" s="292"/>
    </row>
    <row r="403" spans="16:17" s="290" customFormat="1" x14ac:dyDescent="0.2">
      <c r="P403" s="293"/>
      <c r="Q403" s="292"/>
    </row>
    <row r="404" spans="16:17" s="290" customFormat="1" x14ac:dyDescent="0.2">
      <c r="P404" s="293"/>
      <c r="Q404" s="292"/>
    </row>
    <row r="405" spans="16:17" s="290" customFormat="1" x14ac:dyDescent="0.2">
      <c r="P405" s="293"/>
      <c r="Q405" s="292"/>
    </row>
    <row r="406" spans="16:17" s="290" customFormat="1" x14ac:dyDescent="0.2">
      <c r="P406" s="293"/>
      <c r="Q406" s="292"/>
    </row>
    <row r="407" spans="16:17" s="290" customFormat="1" x14ac:dyDescent="0.2">
      <c r="P407" s="293"/>
      <c r="Q407" s="292"/>
    </row>
    <row r="408" spans="16:17" s="290" customFormat="1" x14ac:dyDescent="0.2">
      <c r="P408" s="293"/>
      <c r="Q408" s="292"/>
    </row>
    <row r="409" spans="16:17" s="290" customFormat="1" x14ac:dyDescent="0.2">
      <c r="P409" s="293"/>
      <c r="Q409" s="292"/>
    </row>
    <row r="410" spans="16:17" s="290" customFormat="1" x14ac:dyDescent="0.2">
      <c r="P410" s="293"/>
      <c r="Q410" s="292"/>
    </row>
    <row r="411" spans="16:17" s="290" customFormat="1" x14ac:dyDescent="0.2">
      <c r="P411" s="293"/>
      <c r="Q411" s="292"/>
    </row>
    <row r="412" spans="16:17" s="290" customFormat="1" x14ac:dyDescent="0.2">
      <c r="P412" s="293"/>
      <c r="Q412" s="292"/>
    </row>
    <row r="413" spans="16:17" s="290" customFormat="1" x14ac:dyDescent="0.2">
      <c r="P413" s="293"/>
      <c r="Q413" s="292"/>
    </row>
    <row r="414" spans="16:17" s="290" customFormat="1" x14ac:dyDescent="0.2">
      <c r="P414" s="293"/>
      <c r="Q414" s="292"/>
    </row>
    <row r="415" spans="16:17" s="290" customFormat="1" x14ac:dyDescent="0.2">
      <c r="P415" s="293"/>
      <c r="Q415" s="292"/>
    </row>
    <row r="416" spans="16:17" s="290" customFormat="1" x14ac:dyDescent="0.2">
      <c r="P416" s="293"/>
      <c r="Q416" s="292"/>
    </row>
    <row r="417" spans="16:17" s="290" customFormat="1" x14ac:dyDescent="0.2">
      <c r="P417" s="293"/>
      <c r="Q417" s="292"/>
    </row>
    <row r="418" spans="16:17" s="290" customFormat="1" x14ac:dyDescent="0.2">
      <c r="P418" s="293"/>
      <c r="Q418" s="292"/>
    </row>
    <row r="419" spans="16:17" s="290" customFormat="1" x14ac:dyDescent="0.2">
      <c r="P419" s="293"/>
      <c r="Q419" s="292"/>
    </row>
    <row r="420" spans="16:17" s="290" customFormat="1" x14ac:dyDescent="0.2">
      <c r="P420" s="293"/>
      <c r="Q420" s="292"/>
    </row>
    <row r="421" spans="16:17" s="290" customFormat="1" x14ac:dyDescent="0.2">
      <c r="P421" s="293"/>
      <c r="Q421" s="292"/>
    </row>
    <row r="422" spans="16:17" s="290" customFormat="1" x14ac:dyDescent="0.2">
      <c r="P422" s="293"/>
      <c r="Q422" s="292"/>
    </row>
    <row r="423" spans="16:17" s="290" customFormat="1" x14ac:dyDescent="0.2">
      <c r="P423" s="293"/>
      <c r="Q423" s="292"/>
    </row>
    <row r="424" spans="16:17" s="290" customFormat="1" x14ac:dyDescent="0.2">
      <c r="P424" s="293"/>
      <c r="Q424" s="292"/>
    </row>
    <row r="425" spans="16:17" s="290" customFormat="1" x14ac:dyDescent="0.2">
      <c r="P425" s="293"/>
      <c r="Q425" s="292"/>
    </row>
    <row r="426" spans="16:17" s="290" customFormat="1" x14ac:dyDescent="0.2">
      <c r="P426" s="293"/>
      <c r="Q426" s="292"/>
    </row>
    <row r="427" spans="16:17" s="290" customFormat="1" x14ac:dyDescent="0.2">
      <c r="P427" s="293"/>
      <c r="Q427" s="292"/>
    </row>
    <row r="428" spans="16:17" s="290" customFormat="1" x14ac:dyDescent="0.2">
      <c r="P428" s="293"/>
      <c r="Q428" s="292"/>
    </row>
    <row r="429" spans="16:17" s="290" customFormat="1" x14ac:dyDescent="0.2">
      <c r="P429" s="293"/>
      <c r="Q429" s="292"/>
    </row>
    <row r="430" spans="16:17" s="290" customFormat="1" x14ac:dyDescent="0.2">
      <c r="P430" s="293"/>
      <c r="Q430" s="292"/>
    </row>
    <row r="431" spans="16:17" s="290" customFormat="1" x14ac:dyDescent="0.2">
      <c r="P431" s="293"/>
      <c r="Q431" s="292"/>
    </row>
    <row r="432" spans="16:17" s="290" customFormat="1" x14ac:dyDescent="0.2">
      <c r="P432" s="293"/>
      <c r="Q432" s="292"/>
    </row>
    <row r="433" spans="16:17" s="290" customFormat="1" x14ac:dyDescent="0.2">
      <c r="P433" s="293"/>
      <c r="Q433" s="292"/>
    </row>
    <row r="434" spans="16:17" s="290" customFormat="1" x14ac:dyDescent="0.2">
      <c r="P434" s="293"/>
      <c r="Q434" s="292"/>
    </row>
    <row r="435" spans="16:17" s="290" customFormat="1" x14ac:dyDescent="0.2">
      <c r="P435" s="293"/>
      <c r="Q435" s="292"/>
    </row>
    <row r="436" spans="16:17" s="290" customFormat="1" x14ac:dyDescent="0.2">
      <c r="P436" s="293"/>
      <c r="Q436" s="292"/>
    </row>
    <row r="437" spans="16:17" s="290" customFormat="1" x14ac:dyDescent="0.2">
      <c r="P437" s="293"/>
      <c r="Q437" s="292"/>
    </row>
    <row r="438" spans="16:17" s="290" customFormat="1" x14ac:dyDescent="0.2">
      <c r="P438" s="293"/>
      <c r="Q438" s="292"/>
    </row>
    <row r="439" spans="16:17" s="290" customFormat="1" x14ac:dyDescent="0.2">
      <c r="P439" s="293"/>
      <c r="Q439" s="292"/>
    </row>
    <row r="440" spans="16:17" s="290" customFormat="1" x14ac:dyDescent="0.2">
      <c r="P440" s="293"/>
      <c r="Q440" s="292"/>
    </row>
    <row r="441" spans="16:17" s="290" customFormat="1" x14ac:dyDescent="0.2">
      <c r="P441" s="293"/>
      <c r="Q441" s="292"/>
    </row>
    <row r="442" spans="16:17" s="290" customFormat="1" x14ac:dyDescent="0.2">
      <c r="P442" s="293"/>
      <c r="Q442" s="292"/>
    </row>
    <row r="443" spans="16:17" s="290" customFormat="1" x14ac:dyDescent="0.2">
      <c r="P443" s="293"/>
      <c r="Q443" s="292"/>
    </row>
  </sheetData>
  <sheetProtection sheet="1" objects="1" scenarios="1"/>
  <mergeCells count="114">
    <mergeCell ref="A5:J5"/>
    <mergeCell ref="C1:H4"/>
    <mergeCell ref="B40:D40"/>
    <mergeCell ref="B27:D28"/>
    <mergeCell ref="B34:D35"/>
    <mergeCell ref="B32:D32"/>
    <mergeCell ref="A11:J11"/>
    <mergeCell ref="A9:J9"/>
    <mergeCell ref="A6:J6"/>
    <mergeCell ref="B10:J10"/>
    <mergeCell ref="A7:J7"/>
    <mergeCell ref="C36:E37"/>
    <mergeCell ref="I30:J30"/>
    <mergeCell ref="I32:J32"/>
    <mergeCell ref="H33:J33"/>
    <mergeCell ref="B29:D31"/>
    <mergeCell ref="C38:J38"/>
    <mergeCell ref="N24:O24"/>
    <mergeCell ref="N26:O26"/>
    <mergeCell ref="N25:O25"/>
    <mergeCell ref="N49:O49"/>
    <mergeCell ref="N54:O54"/>
    <mergeCell ref="AT231:AT232"/>
    <mergeCell ref="BL231:BL232"/>
    <mergeCell ref="BE231:BE232"/>
    <mergeCell ref="BC231:BC232"/>
    <mergeCell ref="BD231:BD232"/>
    <mergeCell ref="BA231:BA232"/>
    <mergeCell ref="BB231:BB232"/>
    <mergeCell ref="AU231:AU232"/>
    <mergeCell ref="AV231:AV232"/>
    <mergeCell ref="AW231:AW232"/>
    <mergeCell ref="AX231:AX232"/>
    <mergeCell ref="AY231:AY232"/>
    <mergeCell ref="BQ231:BQ232"/>
    <mergeCell ref="BM231:BM232"/>
    <mergeCell ref="BN231:BN232"/>
    <mergeCell ref="BO231:BO232"/>
    <mergeCell ref="BP231:BP232"/>
    <mergeCell ref="BF231:BF232"/>
    <mergeCell ref="BG231:BG232"/>
    <mergeCell ref="BH231:BH232"/>
    <mergeCell ref="BI231:BI232"/>
    <mergeCell ref="B127:D133"/>
    <mergeCell ref="B136:E136"/>
    <mergeCell ref="B123:D124"/>
    <mergeCell ref="B137:I139"/>
    <mergeCell ref="B42:D42"/>
    <mergeCell ref="B44:D44"/>
    <mergeCell ref="B50:D51"/>
    <mergeCell ref="B52:F53"/>
    <mergeCell ref="F43:H43"/>
    <mergeCell ref="G47:I47"/>
    <mergeCell ref="G80:H80"/>
    <mergeCell ref="B60:H60"/>
    <mergeCell ref="B66:D67"/>
    <mergeCell ref="F129:G129"/>
    <mergeCell ref="F130:G130"/>
    <mergeCell ref="F131:G131"/>
    <mergeCell ref="B85:C85"/>
    <mergeCell ref="I123:J123"/>
    <mergeCell ref="I125:J125"/>
    <mergeCell ref="G85:H85"/>
    <mergeCell ref="B82:C82"/>
    <mergeCell ref="I127:J127"/>
    <mergeCell ref="B83:C83"/>
    <mergeCell ref="F124:H124"/>
    <mergeCell ref="B125:D125"/>
    <mergeCell ref="F126:H126"/>
    <mergeCell ref="A90:E91"/>
    <mergeCell ref="G88:H89"/>
    <mergeCell ref="F97:H97"/>
    <mergeCell ref="F113:H113"/>
    <mergeCell ref="F111:H111"/>
    <mergeCell ref="F115:H115"/>
    <mergeCell ref="A92:E93"/>
    <mergeCell ref="F90:K91"/>
    <mergeCell ref="J88:J89"/>
    <mergeCell ref="F92:K94"/>
    <mergeCell ref="D88:D89"/>
    <mergeCell ref="E88:E89"/>
    <mergeCell ref="F88:F89"/>
    <mergeCell ref="G118:I118"/>
    <mergeCell ref="F109:H109"/>
    <mergeCell ref="A101:J101"/>
    <mergeCell ref="B117:F118"/>
    <mergeCell ref="B98:I98"/>
    <mergeCell ref="B100:I100"/>
    <mergeCell ref="F99:H99"/>
    <mergeCell ref="I88:I89"/>
    <mergeCell ref="G87:H87"/>
    <mergeCell ref="G79:H79"/>
    <mergeCell ref="B84:C84"/>
    <mergeCell ref="G84:H84"/>
    <mergeCell ref="F41:H41"/>
    <mergeCell ref="B46:D47"/>
    <mergeCell ref="B57:F58"/>
    <mergeCell ref="B68:H68"/>
    <mergeCell ref="F74:I74"/>
    <mergeCell ref="B76:E76"/>
    <mergeCell ref="B55:D56"/>
    <mergeCell ref="B86:C86"/>
    <mergeCell ref="B87:C87"/>
    <mergeCell ref="B59:D59"/>
    <mergeCell ref="B63:D63"/>
    <mergeCell ref="B64:D64"/>
    <mergeCell ref="B80:C80"/>
    <mergeCell ref="B81:C81"/>
    <mergeCell ref="B74:C74"/>
    <mergeCell ref="G81:H81"/>
    <mergeCell ref="B79:C79"/>
    <mergeCell ref="G82:H82"/>
    <mergeCell ref="G83:H83"/>
    <mergeCell ref="G86:H86"/>
  </mergeCells>
  <conditionalFormatting sqref="A49:H50 K49:K50 I50:J50 A51:K53 A54:H54 K54 A55:K61">
    <cfRule type="expression" dxfId="112" priority="12">
      <formula>$L$72=1</formula>
    </cfRule>
  </conditionalFormatting>
  <conditionalFormatting sqref="A62:K70">
    <cfRule type="expression" dxfId="111" priority="2" stopIfTrue="1">
      <formula>OR($L$66=0, $L$72=1)</formula>
    </cfRule>
  </conditionalFormatting>
  <conditionalFormatting sqref="A86:K87 A71:K83 A84:G85 I84:K85 A88:G88 I88:K88 A89:C89 K89 A90:K94">
    <cfRule type="expression" dxfId="110" priority="10">
      <formula>$L$72=0</formula>
    </cfRule>
  </conditionalFormatting>
  <conditionalFormatting sqref="A101:K101">
    <cfRule type="expression" priority="15">
      <formula>$L$66=0</formula>
    </cfRule>
  </conditionalFormatting>
  <conditionalFormatting sqref="B60">
    <cfRule type="expression" dxfId="109" priority="27">
      <formula>$H$55=""</formula>
    </cfRule>
    <cfRule type="expression" dxfId="108" priority="31">
      <formula>$L$60=0</formula>
    </cfRule>
    <cfRule type="expression" dxfId="107" priority="30">
      <formula>$L$60=1</formula>
    </cfRule>
  </conditionalFormatting>
  <conditionalFormatting sqref="B68">
    <cfRule type="expression" dxfId="106" priority="25">
      <formula>$L$68=0</formula>
    </cfRule>
    <cfRule type="expression" dxfId="105" priority="14">
      <formula>$L$68=1</formula>
    </cfRule>
  </conditionalFormatting>
  <conditionalFormatting sqref="B60:H60">
    <cfRule type="expression" dxfId="104" priority="11">
      <formula>$L$72=1</formula>
    </cfRule>
  </conditionalFormatting>
  <conditionalFormatting sqref="B68:H68">
    <cfRule type="expression" dxfId="103" priority="1" stopIfTrue="1">
      <formula>OR($L$66=0, $L$72=1)</formula>
    </cfRule>
    <cfRule type="expression" dxfId="102" priority="13" stopIfTrue="1">
      <formula>$H$64=""</formula>
    </cfRule>
  </conditionalFormatting>
  <conditionalFormatting sqref="C108">
    <cfRule type="expression" dxfId="101" priority="46">
      <formula>$C$108=""</formula>
    </cfRule>
  </conditionalFormatting>
  <conditionalFormatting sqref="C110">
    <cfRule type="expression" dxfId="100" priority="34">
      <formula>$C$110=""</formula>
    </cfRule>
  </conditionalFormatting>
  <conditionalFormatting sqref="C112">
    <cfRule type="expression" dxfId="99" priority="45">
      <formula>$C$112=""</formula>
    </cfRule>
  </conditionalFormatting>
  <conditionalFormatting sqref="C114">
    <cfRule type="expression" dxfId="98" priority="16">
      <formula>$C$114=""</formula>
    </cfRule>
  </conditionalFormatting>
  <conditionalFormatting sqref="E87">
    <cfRule type="expression" dxfId="97" priority="9">
      <formula>ROUND(H63/H45,2)&lt;&gt;E83</formula>
    </cfRule>
  </conditionalFormatting>
  <conditionalFormatting sqref="F27 F32 F40 F44 F147">
    <cfRule type="expression" dxfId="96" priority="50" stopIfTrue="1">
      <formula>L27&gt;0</formula>
    </cfRule>
    <cfRule type="expression" dxfId="95" priority="49" stopIfTrue="1">
      <formula>M27&gt;0</formula>
    </cfRule>
    <cfRule type="cellIs" dxfId="94" priority="48" stopIfTrue="1" operator="notBetween">
      <formula>0</formula>
      <formula>99999999999999</formula>
    </cfRule>
  </conditionalFormatting>
  <conditionalFormatting sqref="F30">
    <cfRule type="cellIs" dxfId="93" priority="6" stopIfTrue="1" operator="notBetween">
      <formula>0</formula>
      <formula>99999999999999</formula>
    </cfRule>
    <cfRule type="expression" dxfId="92" priority="8" stopIfTrue="1">
      <formula>L30&gt;0</formula>
    </cfRule>
    <cfRule type="expression" dxfId="91" priority="7" stopIfTrue="1">
      <formula>M30&gt;0</formula>
    </cfRule>
  </conditionalFormatting>
  <conditionalFormatting sqref="F34 H34 F42 H46">
    <cfRule type="expression" dxfId="90" priority="59" stopIfTrue="1">
      <formula>M34&gt;0</formula>
    </cfRule>
  </conditionalFormatting>
  <conditionalFormatting sqref="F36">
    <cfRule type="expression" dxfId="89" priority="36" stopIfTrue="1">
      <formula>M36&gt;0</formula>
    </cfRule>
    <cfRule type="cellIs" dxfId="88" priority="35" stopIfTrue="1" operator="notBetween">
      <formula>0</formula>
      <formula>99999999999999</formula>
    </cfRule>
    <cfRule type="expression" dxfId="87" priority="37" stopIfTrue="1">
      <formula>L36&gt;0</formula>
    </cfRule>
  </conditionalFormatting>
  <conditionalFormatting sqref="F41">
    <cfRule type="expression" dxfId="86" priority="69" stopIfTrue="1">
      <formula>M40&gt;1</formula>
    </cfRule>
    <cfRule type="expression" dxfId="85" priority="68" stopIfTrue="1">
      <formula>M40=1</formula>
    </cfRule>
  </conditionalFormatting>
  <conditionalFormatting sqref="F43">
    <cfRule type="expression" dxfId="84" priority="53" stopIfTrue="1">
      <formula>M42&gt;1</formula>
    </cfRule>
    <cfRule type="expression" dxfId="83" priority="52" stopIfTrue="1">
      <formula>M42=1</formula>
    </cfRule>
  </conditionalFormatting>
  <conditionalFormatting sqref="F46">
    <cfRule type="expression" dxfId="82" priority="22" stopIfTrue="1">
      <formula>L46&gt;0</formula>
    </cfRule>
    <cfRule type="expression" dxfId="81" priority="21" stopIfTrue="1">
      <formula>M46&gt;0</formula>
    </cfRule>
    <cfRule type="cellIs" dxfId="80" priority="20" stopIfTrue="1" operator="notBetween">
      <formula>0</formula>
      <formula>99999999999999</formula>
    </cfRule>
  </conditionalFormatting>
  <conditionalFormatting sqref="F50">
    <cfRule type="expression" dxfId="79" priority="19" stopIfTrue="1">
      <formula>L50&gt;0</formula>
    </cfRule>
    <cfRule type="expression" dxfId="78" priority="18" stopIfTrue="1">
      <formula>M50&gt;0</formula>
    </cfRule>
    <cfRule type="cellIs" dxfId="77" priority="17" stopIfTrue="1" operator="notBetween">
      <formula>0</formula>
      <formula>99999999999999</formula>
    </cfRule>
  </conditionalFormatting>
  <conditionalFormatting sqref="F108">
    <cfRule type="expression" dxfId="76" priority="44">
      <formula>$C$108=""</formula>
    </cfRule>
  </conditionalFormatting>
  <conditionalFormatting sqref="F110">
    <cfRule type="expression" dxfId="75" priority="33">
      <formula>$C$110=""</formula>
    </cfRule>
  </conditionalFormatting>
  <conditionalFormatting sqref="F112">
    <cfRule type="expression" dxfId="74" priority="42">
      <formula>$C$112=""</formula>
    </cfRule>
  </conditionalFormatting>
  <conditionalFormatting sqref="F114">
    <cfRule type="expression" dxfId="73" priority="24">
      <formula>$C$114=""</formula>
    </cfRule>
  </conditionalFormatting>
  <conditionalFormatting sqref="H27">
    <cfRule type="cellIs" dxfId="72" priority="28" stopIfTrue="1" operator="notBetween">
      <formula>0</formula>
      <formula>99999999999999</formula>
    </cfRule>
  </conditionalFormatting>
  <conditionalFormatting sqref="H30">
    <cfRule type="cellIs" dxfId="71" priority="3" stopIfTrue="1" operator="notBetween">
      <formula>0</formula>
      <formula>99999999999999</formula>
    </cfRule>
    <cfRule type="expression" dxfId="70" priority="4" stopIfTrue="1">
      <formula>O30&gt;0</formula>
    </cfRule>
    <cfRule type="expression" dxfId="69" priority="5" stopIfTrue="1">
      <formula>N30&gt;0</formula>
    </cfRule>
  </conditionalFormatting>
  <conditionalFormatting sqref="H32">
    <cfRule type="cellIs" dxfId="68" priority="65" stopIfTrue="1" operator="notBetween">
      <formula>0</formula>
      <formula>99999999999999</formula>
    </cfRule>
  </conditionalFormatting>
  <conditionalFormatting sqref="H36">
    <cfRule type="cellIs" dxfId="67" priority="38" stopIfTrue="1" operator="notBetween">
      <formula>0</formula>
      <formula>99999999999999</formula>
    </cfRule>
  </conditionalFormatting>
  <conditionalFormatting sqref="H40">
    <cfRule type="expression" dxfId="66" priority="58" stopIfTrue="1">
      <formula>M40&gt;0</formula>
    </cfRule>
  </conditionalFormatting>
  <conditionalFormatting sqref="H42">
    <cfRule type="cellIs" dxfId="65" priority="40" operator="greaterThanOrEqual">
      <formula>1</formula>
    </cfRule>
    <cfRule type="expression" dxfId="64" priority="47" stopIfTrue="1">
      <formula>M42&gt;0</formula>
    </cfRule>
  </conditionalFormatting>
  <conditionalFormatting sqref="H108">
    <cfRule type="expression" dxfId="63" priority="43">
      <formula>$C$108=""</formula>
    </cfRule>
  </conditionalFormatting>
  <conditionalFormatting sqref="H110">
    <cfRule type="expression" dxfId="62" priority="32">
      <formula>$C$110=""</formula>
    </cfRule>
  </conditionalFormatting>
  <conditionalFormatting sqref="H112">
    <cfRule type="expression" dxfId="61" priority="41">
      <formula>$C$112=""</formula>
    </cfRule>
  </conditionalFormatting>
  <conditionalFormatting sqref="H114">
    <cfRule type="expression" dxfId="60" priority="23">
      <formula>$C$114=""</formula>
    </cfRule>
  </conditionalFormatting>
  <dataValidations count="31">
    <dataValidation type="custom" errorStyle="warning" allowBlank="1" showInputMessage="1" showErrorMessage="1" error="(line 12 x line 13) + line 14) does not equal line 15)" sqref="F34 H34" xr:uid="{4F54EB54-3BC7-41D8-BD98-EB81E68C2C89}">
      <formula1>L34=0</formula1>
    </dataValidation>
    <dataValidation type="custom" errorStyle="warning" allowBlank="1" showInputMessage="1" showErrorMessage="1" error="(line 7 x line 8) + line 9) does not equal line 10)" sqref="H46" xr:uid="{CBE8C8B9-C7CF-4C93-889A-4F3974CC45A1}">
      <formula1>N46=0</formula1>
    </dataValidation>
    <dataValidation type="custom" errorStyle="warning" operator="lessThanOrEqual" showInputMessage="1" showErrorMessage="1" error="The tax base for Charter Trustees is negative, or exceeds the tax base for parishes - is this correct?" sqref="H125" xr:uid="{13F271AF-3A40-4603-9C2D-6B3089AC3041}">
      <formula1>AND(OR(H125&lt;H123,H125=H123),H125&gt;=0)</formula1>
    </dataValidation>
    <dataValidation type="whole" errorStyle="warning" showInputMessage="1" showErrorMessage="1" error="The number of Charter Trustees exceeds the number of parishes - is this correct?" sqref="F125" xr:uid="{B10C531A-EF4F-4061-9615-D77D75BF07AF}">
      <formula1>0</formula1>
      <formula2>F123</formula2>
    </dataValidation>
    <dataValidation type="decimal" allowBlank="1" showInputMessage="1" showErrorMessage="1" error="Please enter a positive number." sqref="F147 F108 F40 F112 H40 F44 F42 H44 H36 F110 F32 F27 H32 F36 H27 F114 F46 F50 F116 F30 H30" xr:uid="{16559EAC-902C-4FBA-BAF7-0EFE698DB536}">
      <formula1>0</formula1>
      <formula2>999999999999999</formula2>
    </dataValidation>
    <dataValidation type="whole" allowBlank="1" showInputMessage="1" showErrorMessage="1" error="Please enter a positive numerical value (or this exceeds the maximum permitted)." sqref="F123" xr:uid="{77F7B01E-D6C7-4420-9048-157EA4C0CD24}">
      <formula1>0</formula1>
      <formula2>99999</formula2>
    </dataValidation>
    <dataValidation type="decimal" errorStyle="warning" operator="equal" allowBlank="1" showInputMessage="1" showErrorMessage="1" error="Does not equal (line 8+ 14(a)+ 14(b)+ 14(c) + 14(d)" sqref="H117" xr:uid="{A54AD924-AE28-46CE-B1A3-6B55E0BB079E}">
      <formula1>#REF!=0</formula1>
    </dataValidation>
    <dataValidation type="list" allowBlank="1" showInputMessage="1" showErrorMessage="1" sqref="F99:H99" xr:uid="{BA95144F-AD06-49A0-9029-6E90C49CD0B7}">
      <formula1>" ', No, Yes - to be held,  Yes - resulted in no changes, Yes - changes made to form"</formula1>
    </dataValidation>
    <dataValidation type="decimal" allowBlank="1" showInputMessage="1" showErrorMessage="1" error="This must be between 0% and 100%" sqref="H42" xr:uid="{772859AC-2D1D-4CAA-BF19-EE193ABA30C8}">
      <formula1>0</formula1>
      <formula2>1</formula2>
    </dataValidation>
    <dataValidation type="list" allowBlank="1" showInputMessage="1" showErrorMessage="1" sqref="F97:H97" xr:uid="{D363DFC3-F23A-4846-B5E2-093F1E3B5621}">
      <formula1>"', No, Yes - to be held,  Yes - resulted in no changes, Yes - changes made to form"</formula1>
    </dataValidation>
    <dataValidation type="custom" operator="lessThanOrEqual" allowBlank="1" showInputMessage="1" showErrorMessage="1" errorTitle="Parish tax base error" error="Tax base for parishes cannot exceed tax base for billing authority (line 7), and it must be a positive number. Please check." sqref="H123" xr:uid="{91787C57-A65E-414E-8ABF-2782995066C3}">
      <formula1>AND(OR(H123&lt;H46,H123=H46),H123&gt;=0)</formula1>
    </dataValidation>
    <dataValidation type="custom" allowBlank="1" showInputMessage="1" showErrorMessage="1" errorTitle="Data entry not allowed" error="This authority is not an Adult Social Care authority so should not have an Adult Social Care precept." sqref="H64" xr:uid="{21DAEF1C-777E-44C7-9DA6-CEFE9C933B5F}">
      <formula1>L66=1</formula1>
    </dataValidation>
    <dataValidation allowBlank="1" showInputMessage="1" showErrorMessage="1" error="Please do not overwrite the formulae in the cell!" sqref="H52" xr:uid="{D941C0CE-E012-4EEE-ADAC-71246EBDB069}"/>
    <dataValidation type="custom" allowBlank="1" showInputMessage="1" showErrorMessage="1" errorTitle="FORMULA CELL" error="This cell must not be overwritten" sqref="H50" xr:uid="{DF3DB175-8F1F-403A-B93D-FADB27B4C981}">
      <formula1>"if(AZ1=""N/A"")"</formula1>
    </dataValidation>
    <dataValidation type="decimal" allowBlank="1" showInputMessage="1" showErrorMessage="1" error="Please enter a positive number" sqref="D80" xr:uid="{3F03B316-46B3-4790-B182-2A5BC519C126}">
      <formula1>0</formula1>
      <formula2>99999999999999900</formula2>
    </dataValidation>
    <dataValidation type="decimal" allowBlank="1" showInputMessage="1" showErrorMessage="1" error="Please enter a positive number " sqref="D81 E86 F81 G82:H82" xr:uid="{2FD6A46A-2C0B-4058-A1B6-951D35D5ACEB}">
      <formula1>0</formula1>
      <formula2>9999999999999990</formula2>
    </dataValidation>
    <dataValidation type="decimal" allowBlank="1" showInputMessage="1" showErrorMessage="1" error="Please enter a positive number " sqref="D82 E80" xr:uid="{4551A9D8-EF8F-4E69-AFD9-BEF606E0AC8B}">
      <formula1>0</formula1>
      <formula2>999999999999999000</formula2>
    </dataValidation>
    <dataValidation type="decimal" allowBlank="1" showInputMessage="1" showErrorMessage="1" error="Please enter a positive number " sqref="D83:D86 E82 F86 G80:H80" xr:uid="{1A46BCD8-B915-4879-953E-C34FBC6AEBF2}">
      <formula1>0</formula1>
      <formula2>999999999999999</formula2>
    </dataValidation>
    <dataValidation type="decimal" allowBlank="1" showInputMessage="1" showErrorMessage="1" error="Please enter a positive number " sqref="E81" xr:uid="{5AED5763-28D8-4025-81E4-0F974AB87087}">
      <formula1>0</formula1>
      <formula2>9999999999999990000</formula2>
    </dataValidation>
    <dataValidation type="decimal" allowBlank="1" showInputMessage="1" showErrorMessage="1" error="Please enter a positive number " sqref="E83:E85 F80" xr:uid="{1178F40E-6772-4A59-BCDB-B4287237BE74}">
      <formula1>0</formula1>
      <formula2>99999999999999900</formula2>
    </dataValidation>
    <dataValidation type="decimal" allowBlank="1" showInputMessage="1" showErrorMessage="1" error="Please enter a positive number " sqref="F82" xr:uid="{A08870C2-2007-40D2-BA81-E0225710F374}">
      <formula1>0</formula1>
      <formula2>9999999999999</formula2>
    </dataValidation>
    <dataValidation type="decimal" allowBlank="1" showInputMessage="1" showErrorMessage="1" error="Please enter a positive number " sqref="G81:H81 F83:G85 H83" xr:uid="{6573EC75-C8BD-4604-BA54-3FBE4434BB05}">
      <formula1>0</formula1>
      <formula2>99999999999999</formula2>
    </dataValidation>
    <dataValidation type="decimal" allowBlank="1" showInputMessage="1" showErrorMessage="1" error="Please enter a positive number " sqref="G86:H86" xr:uid="{D121AA8B-F103-4AB0-B1F3-34B9EC66512F}">
      <formula1>0</formula1>
      <formula2>999999999999</formula2>
    </dataValidation>
    <dataValidation type="decimal" operator="lessThanOrEqual" allowBlank="1" showInputMessage="1" showErrorMessage="1" error="The figure entered for the tax base of precepting Parishes, Charter Trustees and Temples exceeds the sum of the constituent parts." sqref="H132" xr:uid="{E6EB92FC-624D-46AF-8B31-6F4D8EE3E823}">
      <formula1>H125+H127</formula1>
    </dataValidation>
    <dataValidation type="whole" operator="lessThanOrEqual" allowBlank="1" showInputMessage="1" showErrorMessage="1" error="The number setting their own council tax precept exceeds the sum of parishes and Charter Trustees" sqref="F132" xr:uid="{50FE8377-347F-4F12-B4BC-668D34071124}">
      <formula1>F125+F127</formula1>
    </dataValidation>
    <dataValidation type="decimal" operator="lessThanOrEqual" allowBlank="1" showInputMessage="1" showErrorMessage="1" error="The figure entered for the tax base of precepting Parishes, Charter Trustees and Temples exceeds the sum of the constituent parts." sqref="H131" xr:uid="{A0B6ABC6-9DB8-43E8-8376-B912B6EDDEDF}">
      <formula1>H125+H127</formula1>
    </dataValidation>
    <dataValidation type="decimal" operator="lessThanOrEqual" allowBlank="1" showInputMessage="1" showErrorMessage="1" error="The figure entered for the tax base of precepting Parishes, Charter Trustees and Temples exceeds the sum of the constituent parts." sqref="H128:H129" xr:uid="{D57CE52B-70C3-4917-BE61-F84B40ABBCC9}">
      <formula1>H124+H126</formula1>
    </dataValidation>
    <dataValidation type="decimal" operator="lessThanOrEqual" allowBlank="1" showInputMessage="1" showErrorMessage="1" error="The figure entered for the tax base of precepting Parishes, Charter Trustees and Temples exceeds the sum of the constituent parts." sqref="H130" xr:uid="{9AFAF33F-8F44-4AF5-8A1F-698BC3FA208E}">
      <formula1>H125+H127</formula1>
    </dataValidation>
    <dataValidation type="whole" operator="lessThanOrEqual" allowBlank="1" showInputMessage="1" showErrorMessage="1" error="The number setting their own council tax precept exceeds the sum of parishes and Charter Trustees" sqref="F127:F128" xr:uid="{136C2811-0DC3-4D21-A5BA-449292AA57B4}">
      <formula1>F123+F125</formula1>
    </dataValidation>
    <dataValidation type="custom" operator="lessThanOrEqual" allowBlank="1" showInputMessage="1" showErrorMessage="1" error="The figure entered for the tax base of precepting Parishes, Charter Trustees and Temples exceeds the sum of the constituent parts, or it is negative. Please check." sqref="H127" xr:uid="{364E273F-87B4-4ED6-84A5-8CA7F5D2AB8F}">
      <formula1>AND(OR(H127&lt;SUM(H123,H125),H127=SUM(H123,H125)),H127&gt;=0)</formula1>
    </dataValidation>
    <dataValidation type="list" allowBlank="1" showInputMessage="1" showErrorMessage="1" sqref="F74:I74" xr:uid="{7BA78171-B794-4DC1-BD07-6BD7FBC65941}">
      <formula1>#REF!</formula1>
    </dataValidation>
  </dataValidations>
  <printOptions horizontalCentered="1"/>
  <pageMargins left="0.23622047244094491" right="0.23622047244094491" top="0.74803149606299213" bottom="0.74803149606299213" header="0.31496062992125984" footer="0.31496062992125984"/>
  <pageSetup paperSize="9" scale="42" fitToHeight="0" orientation="portrait" r:id="rId1"/>
  <headerFooter alignWithMargins="0">
    <oddFooter>Page &amp;P of &amp;N</oddFooter>
  </headerFooter>
  <rowBreaks count="2" manualBreakCount="2">
    <brk id="69" max="16383" man="1"/>
    <brk id="94"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List Box 1">
              <controlPr locked="0" defaultSize="0" autoFill="0" autoLine="0" autoPict="0">
                <anchor moveWithCells="1">
                  <from>
                    <xdr:col>4</xdr:col>
                    <xdr:colOff>238125</xdr:colOff>
                    <xdr:row>13</xdr:row>
                    <xdr:rowOff>66675</xdr:rowOff>
                  </from>
                  <to>
                    <xdr:col>5</xdr:col>
                    <xdr:colOff>1438275</xdr:colOff>
                    <xdr:row>17</xdr:row>
                    <xdr:rowOff>28575</xdr:rowOff>
                  </to>
                </anchor>
              </controlPr>
            </control>
          </mc:Choice>
        </mc:AlternateContent>
        <mc:AlternateContent xmlns:mc="http://schemas.openxmlformats.org/markup-compatibility/2006">
          <mc:Choice Requires="x14">
            <control shapeId="25602" r:id="rId6" name="List Box 2">
              <controlPr locked="0" defaultSize="0" autoFill="0" autoLine="0" autoPict="0">
                <anchor moveWithCells="1">
                  <from>
                    <xdr:col>4</xdr:col>
                    <xdr:colOff>0</xdr:colOff>
                    <xdr:row>13</xdr:row>
                    <xdr:rowOff>66675</xdr:rowOff>
                  </from>
                  <to>
                    <xdr:col>8</xdr:col>
                    <xdr:colOff>9525</xdr:colOff>
                    <xdr:row>18</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J728"/>
  <sheetViews>
    <sheetView showGridLines="0" zoomScale="60" zoomScaleNormal="60" zoomScaleSheetLayoutView="50" workbookViewId="0"/>
  </sheetViews>
  <sheetFormatPr defaultColWidth="9.140625" defaultRowHeight="15" x14ac:dyDescent="0.2"/>
  <cols>
    <col min="1" max="1" width="15.7109375" customWidth="1"/>
    <col min="2" max="2" width="11.140625" style="26" customWidth="1"/>
    <col min="3" max="3" width="5.5703125" style="26" customWidth="1"/>
    <col min="4" max="4" width="19" style="26" customWidth="1"/>
    <col min="5" max="5" width="110.140625" customWidth="1"/>
    <col min="6" max="6" width="36" bestFit="1" customWidth="1"/>
    <col min="7" max="7" width="3.5703125" style="26" customWidth="1"/>
    <col min="8" max="8" width="20.5703125" customWidth="1"/>
    <col min="9" max="9" width="4.140625" bestFit="1" customWidth="1"/>
    <col min="10" max="10" width="20.5703125" customWidth="1"/>
    <col min="11" max="11" width="3.5703125" customWidth="1"/>
    <col min="12" max="12" width="20.5703125" customWidth="1"/>
    <col min="13" max="13" width="3.5703125" customWidth="1"/>
    <col min="14" max="14" width="20.5703125" customWidth="1"/>
    <col min="15" max="15" width="3.5703125" customWidth="1"/>
    <col min="16" max="16" width="20.5703125" customWidth="1"/>
    <col min="17" max="17" width="3.5703125" style="26" customWidth="1"/>
    <col min="18" max="18" width="20.5703125" customWidth="1"/>
    <col min="19" max="19" width="3.5703125" customWidth="1"/>
    <col min="20" max="20" width="20.5703125" customWidth="1"/>
    <col min="21" max="21" width="3.5703125" customWidth="1"/>
    <col min="22" max="22" width="20.5703125" customWidth="1"/>
    <col min="23" max="23" width="55.5703125" customWidth="1"/>
    <col min="24" max="24" width="10.140625" customWidth="1"/>
    <col min="25" max="25" width="15.5703125" style="29" hidden="1" customWidth="1"/>
    <col min="26" max="26" width="12.42578125" style="196" hidden="1" customWidth="1"/>
    <col min="27" max="27" width="21.140625" style="34" hidden="1" customWidth="1"/>
    <col min="28" max="28" width="15" style="34" hidden="1" customWidth="1"/>
    <col min="29" max="30" width="9.140625" style="30" hidden="1" customWidth="1"/>
    <col min="31" max="31" width="12.5703125" style="30" hidden="1" customWidth="1"/>
    <col min="32" max="32" width="9.140625" style="30" hidden="1" customWidth="1"/>
    <col min="33" max="33" width="16.85546875" style="197" hidden="1" customWidth="1"/>
    <col min="34" max="34" width="18.85546875" style="197" hidden="1" customWidth="1"/>
    <col min="35" max="35" width="17.5703125" style="197" hidden="1" customWidth="1"/>
    <col min="36" max="36" width="25" style="197" hidden="1" customWidth="1"/>
    <col min="37" max="37" width="26.85546875" style="197" hidden="1" customWidth="1"/>
    <col min="38" max="38" width="25.5703125" style="197" hidden="1" customWidth="1"/>
    <col min="39" max="39" width="19.85546875" style="30" hidden="1" customWidth="1"/>
    <col min="40" max="42" width="9.140625" style="30" hidden="1" customWidth="1"/>
    <col min="43" max="43" width="10.42578125" style="30" hidden="1" customWidth="1"/>
    <col min="44" max="45" width="9.140625" style="30" hidden="1" customWidth="1"/>
    <col min="46" max="46" width="4.140625" style="30" hidden="1" customWidth="1"/>
    <col min="47" max="58" width="9.140625" style="30" hidden="1" customWidth="1"/>
    <col min="59" max="62" width="9.140625" hidden="1" customWidth="1"/>
  </cols>
  <sheetData>
    <row r="1" spans="1:62" s="22" customFormat="1" ht="44.25" x14ac:dyDescent="0.2">
      <c r="A1" s="694"/>
      <c r="B1" s="694"/>
      <c r="C1" s="694"/>
      <c r="D1" s="694"/>
      <c r="E1" s="694"/>
      <c r="F1" s="694"/>
      <c r="G1" s="694"/>
      <c r="H1" s="694"/>
      <c r="I1" s="694"/>
      <c r="J1" s="694"/>
      <c r="K1" s="694"/>
      <c r="L1" s="694"/>
      <c r="M1" s="694"/>
      <c r="N1" s="694"/>
      <c r="O1" s="694"/>
      <c r="P1" s="694"/>
      <c r="Q1" s="694"/>
      <c r="R1" s="694"/>
      <c r="S1" s="694"/>
      <c r="T1" s="694"/>
      <c r="U1" s="694"/>
      <c r="V1" s="694"/>
      <c r="W1" s="694"/>
      <c r="X1" s="695"/>
      <c r="Y1" s="29"/>
      <c r="Z1" s="192"/>
      <c r="AA1" s="193"/>
      <c r="AB1" s="193"/>
      <c r="AC1" s="194"/>
      <c r="AD1" s="194"/>
      <c r="AE1" s="194"/>
      <c r="AF1" s="194"/>
      <c r="AG1" s="195"/>
      <c r="AH1" s="195"/>
      <c r="AI1" s="195"/>
      <c r="AJ1" s="195"/>
      <c r="AK1" s="195"/>
      <c r="AL1" s="195"/>
      <c r="AM1" s="194"/>
      <c r="AN1" s="194"/>
      <c r="AO1" s="194"/>
      <c r="AP1" s="194"/>
      <c r="AQ1" s="194"/>
      <c r="AR1" s="194"/>
      <c r="AS1" s="194"/>
      <c r="AT1" s="194"/>
      <c r="AU1" s="194"/>
      <c r="AV1" s="194"/>
      <c r="AW1" s="194"/>
      <c r="AX1" s="194"/>
      <c r="AY1" s="194"/>
      <c r="AZ1" s="194"/>
      <c r="BA1" s="194"/>
      <c r="BB1" s="194"/>
      <c r="BC1" s="194"/>
      <c r="BD1" s="194"/>
      <c r="BE1" s="194"/>
      <c r="BF1" s="194"/>
    </row>
    <row r="2" spans="1:62" ht="44.25" x14ac:dyDescent="0.2">
      <c r="A2" s="696"/>
      <c r="B2" s="696"/>
      <c r="C2" s="696"/>
      <c r="D2" s="696"/>
      <c r="E2" s="696"/>
      <c r="F2" s="696"/>
      <c r="G2" s="696"/>
      <c r="H2" s="696"/>
      <c r="I2" s="696"/>
      <c r="J2" s="696"/>
      <c r="K2" s="696"/>
      <c r="L2" s="696"/>
      <c r="M2" s="696"/>
      <c r="N2" s="696"/>
      <c r="O2" s="696"/>
      <c r="P2" s="696"/>
      <c r="Q2" s="696"/>
      <c r="R2" s="696"/>
      <c r="S2" s="696"/>
      <c r="T2" s="696"/>
      <c r="U2" s="696"/>
      <c r="V2" s="696"/>
      <c r="W2" s="696"/>
      <c r="X2" s="704" t="s">
        <v>173</v>
      </c>
    </row>
    <row r="3" spans="1:62" ht="44.25" x14ac:dyDescent="0.2">
      <c r="A3" s="696"/>
      <c r="B3" s="696"/>
      <c r="C3" s="696"/>
      <c r="D3" s="696"/>
      <c r="E3" s="696"/>
      <c r="F3" s="696"/>
      <c r="G3" s="696"/>
      <c r="H3" s="696"/>
      <c r="I3" s="696"/>
      <c r="J3" s="696"/>
      <c r="K3" s="696"/>
      <c r="L3" s="696"/>
      <c r="M3" s="696"/>
      <c r="N3" s="696"/>
      <c r="O3" s="696"/>
      <c r="P3" s="696"/>
      <c r="Q3" s="696"/>
      <c r="R3" s="696"/>
      <c r="S3" s="696"/>
      <c r="T3" s="696"/>
      <c r="U3" s="696"/>
      <c r="V3" s="696"/>
      <c r="W3" s="696"/>
      <c r="X3" s="697"/>
    </row>
    <row r="4" spans="1:62" ht="44.25" x14ac:dyDescent="0.2">
      <c r="A4" s="696"/>
      <c r="B4" s="696"/>
      <c r="C4" s="696"/>
      <c r="D4" s="696"/>
      <c r="E4" s="696"/>
      <c r="F4" s="696"/>
      <c r="G4" s="696"/>
      <c r="H4" s="696"/>
      <c r="I4" s="696"/>
      <c r="J4" s="696"/>
      <c r="K4" s="696"/>
      <c r="L4" s="696"/>
      <c r="M4" s="696"/>
      <c r="N4" s="696"/>
      <c r="O4" s="696"/>
      <c r="P4" s="696"/>
      <c r="Q4" s="696"/>
      <c r="R4" s="696"/>
      <c r="S4" s="696"/>
      <c r="T4" s="696"/>
      <c r="U4" s="696"/>
      <c r="V4" s="696"/>
      <c r="W4" s="696"/>
      <c r="X4" s="844">
        <f>CTR1_Billing!J1</f>
        <v>297</v>
      </c>
    </row>
    <row r="5" spans="1:62" ht="26.25" x14ac:dyDescent="0.4">
      <c r="A5" s="1011"/>
      <c r="B5" s="1012"/>
      <c r="C5" s="1012"/>
      <c r="D5" s="1012"/>
      <c r="E5" s="1012"/>
      <c r="F5" s="1012"/>
      <c r="G5" s="1012"/>
      <c r="H5" s="1012"/>
      <c r="I5" s="1012"/>
      <c r="J5" s="1012"/>
      <c r="K5" s="1012"/>
      <c r="L5" s="1012"/>
      <c r="M5" s="1012"/>
      <c r="N5" s="1012"/>
      <c r="O5" s="1012"/>
      <c r="P5" s="1012"/>
      <c r="Q5" s="1012"/>
      <c r="R5" s="1012"/>
      <c r="S5" s="1012"/>
      <c r="T5" s="1012"/>
      <c r="U5" s="1012"/>
      <c r="V5" s="1012"/>
      <c r="W5" s="1012"/>
      <c r="X5" s="1013"/>
    </row>
    <row r="6" spans="1:62" s="2" customFormat="1" ht="26.25" x14ac:dyDescent="0.4">
      <c r="A6" s="1014"/>
      <c r="B6" s="1012"/>
      <c r="C6" s="1012"/>
      <c r="D6" s="1012"/>
      <c r="E6" s="1012"/>
      <c r="F6" s="1012"/>
      <c r="G6" s="1012"/>
      <c r="H6" s="1012"/>
      <c r="I6" s="1012"/>
      <c r="J6" s="1012"/>
      <c r="K6" s="1012"/>
      <c r="L6" s="1012"/>
      <c r="M6" s="1012"/>
      <c r="N6" s="1012"/>
      <c r="O6" s="1012"/>
      <c r="P6" s="1012"/>
      <c r="Q6" s="1012"/>
      <c r="R6" s="1012"/>
      <c r="S6" s="1012"/>
      <c r="T6" s="1012"/>
      <c r="U6" s="1012"/>
      <c r="V6" s="1012"/>
      <c r="W6" s="1012"/>
      <c r="X6" s="1013"/>
      <c r="Y6" s="31"/>
      <c r="Z6" s="196"/>
      <c r="AA6" s="34"/>
      <c r="AB6" s="34"/>
      <c r="AC6" s="32"/>
      <c r="AD6" s="32"/>
      <c r="AE6" s="32"/>
      <c r="AF6" s="32"/>
      <c r="AG6" s="197"/>
      <c r="AH6" s="197"/>
      <c r="AI6" s="197"/>
      <c r="AJ6" s="197"/>
      <c r="AK6" s="197"/>
      <c r="AL6" s="197"/>
      <c r="AM6" s="32"/>
      <c r="AN6" s="32"/>
      <c r="AO6" s="32"/>
      <c r="AP6" s="32"/>
      <c r="AQ6" s="32"/>
      <c r="AR6" s="32"/>
      <c r="AS6" s="32"/>
      <c r="AT6" s="32"/>
      <c r="AU6" s="32"/>
      <c r="AV6" s="32"/>
      <c r="AW6" s="32"/>
      <c r="AX6" s="32"/>
      <c r="AY6" s="32"/>
      <c r="AZ6" s="32"/>
      <c r="BA6" s="32"/>
      <c r="BB6" s="32"/>
      <c r="BC6" s="32"/>
      <c r="BD6" s="32"/>
      <c r="BE6" s="32"/>
      <c r="BF6" s="32"/>
    </row>
    <row r="7" spans="1:62" ht="23.25" x14ac:dyDescent="0.35">
      <c r="A7" s="1015"/>
      <c r="B7" s="1016"/>
      <c r="C7" s="1016"/>
      <c r="D7" s="1016"/>
      <c r="E7" s="1016"/>
      <c r="F7" s="1016"/>
      <c r="G7" s="1016"/>
      <c r="H7" s="1016"/>
      <c r="I7" s="1016"/>
      <c r="J7" s="1016"/>
      <c r="K7" s="1016"/>
      <c r="L7" s="1016"/>
      <c r="M7" s="1016"/>
      <c r="N7" s="1016"/>
      <c r="O7" s="1016"/>
      <c r="P7" s="1016"/>
      <c r="Q7" s="1016"/>
      <c r="R7" s="1016"/>
      <c r="S7" s="1016"/>
      <c r="T7" s="1016"/>
      <c r="U7" s="1016"/>
      <c r="V7" s="1016"/>
      <c r="W7" s="1016"/>
      <c r="X7" s="1017"/>
    </row>
    <row r="8" spans="1:62" ht="23.25" x14ac:dyDescent="0.35">
      <c r="A8" s="1018"/>
      <c r="B8" s="1019"/>
      <c r="C8" s="1019"/>
      <c r="D8" s="1019"/>
      <c r="E8" s="1019"/>
      <c r="F8" s="1019"/>
      <c r="G8" s="1019"/>
      <c r="H8" s="1019"/>
      <c r="I8" s="1019"/>
      <c r="J8" s="1019"/>
      <c r="K8" s="1019"/>
      <c r="L8" s="1019"/>
      <c r="M8" s="1019"/>
      <c r="N8" s="1019"/>
      <c r="O8" s="1019"/>
      <c r="P8" s="1019"/>
      <c r="Q8" s="1019"/>
      <c r="R8" s="1019"/>
      <c r="S8" s="1019"/>
      <c r="T8" s="1019"/>
      <c r="U8" s="1019"/>
      <c r="V8" s="1019"/>
      <c r="W8" s="1019"/>
      <c r="X8" s="1020"/>
    </row>
    <row r="9" spans="1:62" ht="23.25" x14ac:dyDescent="0.35">
      <c r="A9" s="1021"/>
      <c r="B9" s="1016"/>
      <c r="C9" s="1016"/>
      <c r="D9" s="1016"/>
      <c r="E9" s="1016"/>
      <c r="F9" s="1016"/>
      <c r="G9" s="1016"/>
      <c r="H9" s="1016"/>
      <c r="I9" s="1016"/>
      <c r="J9" s="1016"/>
      <c r="K9" s="1016"/>
      <c r="L9" s="1016"/>
      <c r="M9" s="1016"/>
      <c r="N9" s="1016"/>
      <c r="O9" s="1016"/>
      <c r="P9" s="1016"/>
      <c r="Q9" s="1016"/>
      <c r="R9" s="1016"/>
      <c r="S9" s="1016"/>
      <c r="T9" s="1016"/>
      <c r="U9" s="1016"/>
      <c r="V9" s="1016"/>
      <c r="W9" s="1016"/>
      <c r="X9" s="1017"/>
    </row>
    <row r="10" spans="1:62" ht="15.75" x14ac:dyDescent="0.25">
      <c r="B10" s="908"/>
      <c r="C10" s="908"/>
      <c r="D10" s="908"/>
      <c r="E10" s="908"/>
      <c r="F10" s="908"/>
      <c r="G10" s="908"/>
      <c r="H10" s="908"/>
      <c r="I10" s="908"/>
      <c r="J10" s="908"/>
      <c r="K10" s="908"/>
      <c r="L10" s="908"/>
      <c r="M10" s="641"/>
      <c r="N10" s="641"/>
      <c r="O10" s="641"/>
      <c r="P10" s="641"/>
      <c r="Q10" s="641"/>
      <c r="R10" s="641"/>
      <c r="S10" s="641"/>
      <c r="T10" s="641"/>
      <c r="U10" s="641"/>
      <c r="V10" s="641"/>
      <c r="W10" s="641"/>
      <c r="X10" s="699"/>
    </row>
    <row r="11" spans="1:62" ht="16.5" customHeight="1" x14ac:dyDescent="0.25">
      <c r="A11" s="1022"/>
      <c r="B11" s="1023"/>
      <c r="C11" s="1023"/>
      <c r="D11" s="1023"/>
      <c r="E11" s="1023"/>
      <c r="F11" s="1023"/>
      <c r="G11" s="1023"/>
      <c r="H11" s="1023"/>
      <c r="I11" s="1023"/>
      <c r="J11" s="1023"/>
      <c r="K11" s="1023"/>
      <c r="L11" s="1023"/>
      <c r="M11" s="1023"/>
      <c r="N11" s="1023"/>
      <c r="O11" s="1023"/>
      <c r="P11" s="1023"/>
      <c r="Q11" s="1023"/>
      <c r="R11" s="1023"/>
      <c r="S11" s="1023"/>
      <c r="T11" s="1023"/>
      <c r="U11" s="1023"/>
      <c r="V11" s="1023"/>
      <c r="W11" s="1023"/>
      <c r="X11" s="1024"/>
      <c r="Y11" s="30"/>
      <c r="AL11" s="171"/>
      <c r="AM11" s="163"/>
      <c r="AN11" s="163"/>
    </row>
    <row r="12" spans="1:62" ht="18.75" thickBot="1" x14ac:dyDescent="0.3">
      <c r="A12" s="700"/>
      <c r="B12" s="701"/>
      <c r="C12" s="701"/>
      <c r="D12" s="701"/>
      <c r="E12" s="1010" t="s">
        <v>174</v>
      </c>
      <c r="F12" s="1010"/>
      <c r="G12" s="1010"/>
      <c r="H12" s="1010"/>
      <c r="I12" s="1010"/>
      <c r="J12" s="1010"/>
      <c r="K12" s="1010"/>
      <c r="L12" s="1010"/>
      <c r="M12" s="1010"/>
      <c r="N12" s="1010"/>
      <c r="O12" s="1010"/>
      <c r="P12" s="1010"/>
      <c r="Q12" s="1010"/>
      <c r="R12" s="1010"/>
      <c r="S12" s="702"/>
      <c r="T12" s="702"/>
      <c r="U12" s="702"/>
      <c r="V12" s="702"/>
      <c r="W12" s="705" t="s">
        <v>71</v>
      </c>
      <c r="X12" s="703" t="str">
        <f>CTR1_Billing!K12</f>
        <v>1.1</v>
      </c>
      <c r="Y12" s="30"/>
      <c r="AL12" s="171"/>
      <c r="AM12" s="163"/>
      <c r="AN12" s="163"/>
    </row>
    <row r="13" spans="1:62" ht="21" customHeight="1" thickBot="1" x14ac:dyDescent="0.25">
      <c r="B13" s="706"/>
      <c r="C13" s="706"/>
      <c r="D13" s="706"/>
      <c r="E13" s="706"/>
      <c r="F13" s="706"/>
      <c r="G13" s="706"/>
      <c r="H13" s="859">
        <f>268-E708</f>
        <v>-407</v>
      </c>
      <c r="I13" s="707"/>
      <c r="J13" s="859">
        <f>+P708</f>
        <v>0</v>
      </c>
      <c r="K13" s="708"/>
      <c r="L13" s="709"/>
      <c r="X13" s="698"/>
      <c r="Y13" s="172"/>
      <c r="Z13" s="173"/>
      <c r="AA13" s="174"/>
      <c r="AB13" s="174"/>
      <c r="AC13" s="175"/>
      <c r="AD13" s="175"/>
      <c r="AE13" s="175"/>
      <c r="AF13" s="175"/>
      <c r="AG13" s="176"/>
      <c r="AH13" s="176"/>
      <c r="AI13" s="176"/>
      <c r="AJ13" s="176"/>
      <c r="AK13" s="176"/>
      <c r="AL13" s="176"/>
      <c r="AM13" s="163"/>
      <c r="AN13" s="163"/>
    </row>
    <row r="14" spans="1:62" ht="24" customHeight="1" thickBot="1" x14ac:dyDescent="0.25">
      <c r="B14" s="710" t="str">
        <f>+CONCATENATE("Local Billing Authority : ",+CTR1_Billing!E20)</f>
        <v>Local Billing Authority : ZZZZ</v>
      </c>
      <c r="C14" s="710"/>
      <c r="D14" s="710"/>
      <c r="E14" s="710"/>
      <c r="F14" s="710"/>
      <c r="G14" s="710"/>
      <c r="H14" s="1025" t="s">
        <v>175</v>
      </c>
      <c r="I14" s="1026"/>
      <c r="J14" s="1027"/>
      <c r="K14" s="708"/>
      <c r="N14" s="1025" t="s">
        <v>176</v>
      </c>
      <c r="O14" s="1026"/>
      <c r="P14" s="1027"/>
      <c r="X14" s="698"/>
      <c r="Y14" s="175"/>
      <c r="Z14" s="173"/>
      <c r="AA14" s="174"/>
      <c r="AB14" s="174"/>
      <c r="AC14" s="175"/>
      <c r="AD14" s="175"/>
      <c r="AE14" s="175"/>
      <c r="AF14" s="175"/>
      <c r="AG14" s="176"/>
      <c r="AH14" s="176"/>
      <c r="AI14" s="176"/>
      <c r="AJ14" s="176"/>
      <c r="AK14" s="176"/>
      <c r="AL14" s="176"/>
      <c r="AM14" s="163"/>
      <c r="AN14" s="163"/>
      <c r="BG14" s="27"/>
      <c r="BH14" s="27"/>
      <c r="BI14" s="27"/>
      <c r="BJ14" s="27"/>
    </row>
    <row r="15" spans="1:62" ht="18" x14ac:dyDescent="0.2">
      <c r="B15" s="710"/>
      <c r="C15" s="710"/>
      <c r="D15" s="710"/>
      <c r="E15" s="710"/>
      <c r="F15" s="710"/>
      <c r="G15" s="710"/>
      <c r="H15" s="859">
        <f>+J708</f>
        <v>0</v>
      </c>
      <c r="I15" s="711"/>
      <c r="J15" s="859">
        <f>+Y708</f>
        <v>0</v>
      </c>
      <c r="K15" s="708"/>
      <c r="N15" s="860">
        <f>+N708</f>
        <v>0</v>
      </c>
      <c r="O15" s="711"/>
      <c r="P15" s="860">
        <f>+Z708</f>
        <v>0</v>
      </c>
      <c r="X15" s="698"/>
      <c r="Y15" s="175"/>
      <c r="Z15" s="1040" t="s">
        <v>177</v>
      </c>
      <c r="AA15" s="1040"/>
      <c r="AB15" s="174"/>
      <c r="AC15" s="175"/>
      <c r="AD15" s="175"/>
      <c r="AE15" s="175"/>
      <c r="AF15" s="175"/>
      <c r="AG15" s="176"/>
      <c r="AH15" s="176"/>
      <c r="AI15" s="176"/>
      <c r="AJ15" s="176"/>
      <c r="AK15" s="176"/>
      <c r="AL15" s="176"/>
      <c r="AM15" s="163"/>
      <c r="AN15" s="163"/>
      <c r="BG15" s="27"/>
      <c r="BH15" s="27"/>
      <c r="BI15" s="27"/>
      <c r="BJ15" s="27"/>
    </row>
    <row r="16" spans="1:62" ht="18.75" thickBot="1" x14ac:dyDescent="0.25">
      <c r="B16" s="710"/>
      <c r="C16" s="710"/>
      <c r="D16" s="710"/>
      <c r="E16" s="710"/>
      <c r="F16" s="710"/>
      <c r="G16" s="710"/>
      <c r="H16" s="712" t="s">
        <v>166</v>
      </c>
      <c r="I16" s="712"/>
      <c r="J16" s="712" t="s">
        <v>167</v>
      </c>
      <c r="K16" s="708"/>
      <c r="N16" s="712" t="s">
        <v>166</v>
      </c>
      <c r="O16" s="712"/>
      <c r="P16" s="712" t="s">
        <v>167</v>
      </c>
      <c r="R16" s="713"/>
      <c r="S16" s="713"/>
      <c r="T16" s="713"/>
      <c r="U16" s="713"/>
      <c r="V16" s="713"/>
      <c r="W16" s="713"/>
      <c r="X16" s="698"/>
      <c r="Y16" s="175"/>
      <c r="Z16" s="348" t="s">
        <v>166</v>
      </c>
      <c r="AA16" s="348" t="s">
        <v>167</v>
      </c>
      <c r="AB16" s="174"/>
      <c r="AC16" s="1040" t="s">
        <v>178</v>
      </c>
      <c r="AD16" s="1040"/>
      <c r="AE16" s="1040"/>
      <c r="AF16" s="175"/>
      <c r="AG16" s="1043" t="s">
        <v>179</v>
      </c>
      <c r="AH16" s="1043"/>
      <c r="AI16" s="1043"/>
      <c r="AK16" s="238" t="s">
        <v>180</v>
      </c>
      <c r="AL16" s="176"/>
      <c r="AM16" s="163"/>
      <c r="AN16" s="163"/>
      <c r="BG16" s="27"/>
      <c r="BH16" s="27"/>
      <c r="BI16" s="27"/>
      <c r="BJ16" s="27"/>
    </row>
    <row r="17" spans="1:62" ht="24" customHeight="1" thickBot="1" x14ac:dyDescent="0.25">
      <c r="B17" s="1028" t="s">
        <v>181</v>
      </c>
      <c r="C17" s="1028"/>
      <c r="D17" s="1028"/>
      <c r="E17" s="1028"/>
      <c r="F17" s="1029"/>
      <c r="G17" s="715"/>
      <c r="H17" s="716" t="str">
        <f>_xlfn.XLOOKUP(CTR1_Billing!$E$21,'CTR1 Precept Data Previous Year'!$B:$B,'CTR1 Precept Data Previous Year'!$F:$F,"")</f>
        <v/>
      </c>
      <c r="I17" s="717"/>
      <c r="J17" s="718" t="str">
        <f>_xlfn.XLOOKUP(CTR1_Billing!$E$21,'CTR1 Precept Data Previous Year'!$B:$B,'CTR1 Precept Data Previous Year'!$G:$G,"")</f>
        <v/>
      </c>
      <c r="K17" s="708"/>
      <c r="L17" s="719"/>
      <c r="M17" s="875">
        <f>IF(OR(N17&lt;&gt;CTR1_Billing!F123,CTR1_Local!P17&lt;&gt;CTR1_Billing!H123),1,0)</f>
        <v>0</v>
      </c>
      <c r="N17" s="721">
        <f>COUNT(N33:N707)-N19</f>
        <v>0</v>
      </c>
      <c r="O17" s="722"/>
      <c r="P17" s="723">
        <f>ROUND(SUM(P33:P707)-P19,2)</f>
        <v>0</v>
      </c>
      <c r="R17" s="780" t="s">
        <v>182</v>
      </c>
      <c r="S17" s="724"/>
      <c r="T17" s="724"/>
      <c r="U17" s="724"/>
      <c r="V17" s="724"/>
      <c r="W17" s="724"/>
      <c r="X17" s="725"/>
      <c r="Y17" s="199"/>
      <c r="Z17" s="199">
        <f>CTR1_Billing!$F$123</f>
        <v>0</v>
      </c>
      <c r="AA17" s="175">
        <f>CTR1_Billing!H123</f>
        <v>0</v>
      </c>
      <c r="AB17" s="175"/>
      <c r="AC17" s="351" t="str">
        <f>_xlfn.XLOOKUP(CTR1_Billing!$E$21,'CTR1 Precept Data Previous Year'!$B:$B,'CTR1 Precept Data Previous Year'!$F:$F,"")</f>
        <v/>
      </c>
      <c r="AD17" s="351"/>
      <c r="AE17" s="351" t="str">
        <f>_xlfn.XLOOKUP(CTR1_Billing!$E$21,'CTR1 Precept Data Previous Year'!$B:$B,'CTR1 Precept Data Previous Year'!$G:$G,"")</f>
        <v/>
      </c>
      <c r="AF17" s="175"/>
      <c r="AG17" s="199">
        <f>COUNT(N33:N707)-N19</f>
        <v>0</v>
      </c>
      <c r="AH17" s="175"/>
      <c r="AI17" s="198">
        <f>ROUND(SUM(P33:P707)-P19,1)</f>
        <v>0</v>
      </c>
      <c r="AK17" s="238">
        <f>IF(AND(H17=AC17,J17=AE17,N17=AG17,P17=AI17),0,1)</f>
        <v>0</v>
      </c>
      <c r="AL17" s="176"/>
      <c r="AM17" s="163"/>
      <c r="AN17" s="163"/>
      <c r="BG17" s="27"/>
      <c r="BH17" s="27"/>
      <c r="BI17" s="27"/>
      <c r="BJ17" s="27"/>
    </row>
    <row r="18" spans="1:62" ht="8.4499999999999993" customHeight="1" thickBot="1" x14ac:dyDescent="0.25">
      <c r="B18" s="1028"/>
      <c r="C18" s="1028"/>
      <c r="D18" s="1028"/>
      <c r="E18" s="1028"/>
      <c r="F18" s="714"/>
      <c r="G18" s="715"/>
      <c r="H18" s="726"/>
      <c r="I18" s="726"/>
      <c r="J18" s="726"/>
      <c r="K18" s="708"/>
      <c r="L18" s="727"/>
      <c r="M18" s="720"/>
      <c r="N18" s="728" t="s">
        <v>129</v>
      </c>
      <c r="O18" s="729" t="s">
        <v>129</v>
      </c>
      <c r="P18" s="1031"/>
      <c r="Q18" s="1031"/>
      <c r="R18" s="730"/>
      <c r="S18" s="730"/>
      <c r="T18" s="730"/>
      <c r="U18" s="730"/>
      <c r="V18" s="730"/>
      <c r="W18" s="730"/>
      <c r="X18" s="731"/>
      <c r="Y18" s="175"/>
      <c r="Z18" s="198"/>
      <c r="AA18" s="175"/>
      <c r="AB18" s="175"/>
      <c r="AC18" s="351"/>
      <c r="AD18" s="351"/>
      <c r="AE18" s="351"/>
      <c r="AF18" s="175"/>
      <c r="AG18" s="175"/>
      <c r="AH18" s="175"/>
      <c r="AI18" s="175"/>
      <c r="AK18" s="238"/>
      <c r="AL18" s="176"/>
      <c r="AM18" s="163"/>
      <c r="AN18" s="163"/>
      <c r="BG18" s="27"/>
      <c r="BH18" s="27"/>
      <c r="BI18" s="27"/>
      <c r="BJ18" s="27"/>
    </row>
    <row r="19" spans="1:62" ht="24" customHeight="1" thickBot="1" x14ac:dyDescent="0.25">
      <c r="B19" s="1028" t="s">
        <v>183</v>
      </c>
      <c r="C19" s="1028"/>
      <c r="D19" s="1028"/>
      <c r="E19" s="1028"/>
      <c r="F19" s="1030"/>
      <c r="G19" s="715"/>
      <c r="H19" s="716" t="str">
        <f>_xlfn.XLOOKUP(CTR1_Billing!$E$21,'CTR1 Precept Data Previous Year'!$B:$B,'CTR1 Precept Data Previous Year'!$H:$H,"")</f>
        <v/>
      </c>
      <c r="I19" s="717"/>
      <c r="J19" s="718" t="str">
        <f>_xlfn.XLOOKUP(CTR1_Billing!$E$21,'CTR1 Precept Data Previous Year'!$B:$B,'CTR1 Precept Data Previous Year'!$I:$I,"")</f>
        <v/>
      </c>
      <c r="K19" s="708"/>
      <c r="L19" s="719"/>
      <c r="M19" s="875">
        <f>IF(OR(N19&lt;&gt;CTR1_Billing!F125,CTR1_Local!P19&lt;&gt;CTR1_Billing!H125),1,0)</f>
        <v>0</v>
      </c>
      <c r="N19" s="721">
        <f>SUMIF(F33:F707,"Charter Trustee",G33:G707)</f>
        <v>0</v>
      </c>
      <c r="O19" s="722"/>
      <c r="P19" s="723">
        <f>ROUND(SUMIF(F33:F713,"Charter Trustee",P33:P713),2)</f>
        <v>0</v>
      </c>
      <c r="R19" s="780" t="s">
        <v>184</v>
      </c>
      <c r="S19" s="724"/>
      <c r="T19" s="724"/>
      <c r="U19" s="724"/>
      <c r="V19" s="724"/>
      <c r="W19" s="724"/>
      <c r="X19" s="732"/>
      <c r="Y19" s="199"/>
      <c r="Z19" s="199">
        <f>CTR1_Billing!$F$125</f>
        <v>0</v>
      </c>
      <c r="AA19" s="175">
        <f>CTR1_Billing!H125</f>
        <v>0</v>
      </c>
      <c r="AB19" s="174"/>
      <c r="AC19" s="351" t="str">
        <f>_xlfn.XLOOKUP(CTR1_Billing!$E$21,'CTR1 Precept Data Previous Year'!$B:$B,'CTR1 Precept Data Previous Year'!$H:$H,"")</f>
        <v/>
      </c>
      <c r="AD19" s="351"/>
      <c r="AE19" s="351" t="str">
        <f>_xlfn.XLOOKUP(CTR1_Billing!$E$21,'CTR1 Precept Data Previous Year'!$B:$B,'CTR1 Precept Data Previous Year'!$I:$I,"")</f>
        <v/>
      </c>
      <c r="AF19" s="175"/>
      <c r="AG19" s="175">
        <f>SUMIF(F33:F713,"Charter Trustee",G33:G713)</f>
        <v>0</v>
      </c>
      <c r="AH19" s="175"/>
      <c r="AI19" s="237">
        <f>ROUND(SUMIF(F33:F713,"Charter Trustee",P33:P713),1)</f>
        <v>0</v>
      </c>
      <c r="AK19" s="238">
        <f>IF(AND(H19=AC19,J19=AE19,N19=AG19,P19=AI19),0,1)</f>
        <v>0</v>
      </c>
      <c r="AL19" s="176"/>
      <c r="AM19" s="163"/>
      <c r="AN19" s="163"/>
      <c r="BG19" s="27"/>
      <c r="BH19" s="27"/>
      <c r="BI19" s="27"/>
      <c r="BJ19" s="27"/>
    </row>
    <row r="20" spans="1:62" ht="8.4499999999999993" customHeight="1" thickBot="1" x14ac:dyDescent="0.25">
      <c r="B20" s="733"/>
      <c r="C20" s="733"/>
      <c r="D20" s="733"/>
      <c r="E20" s="733"/>
      <c r="F20" s="733"/>
      <c r="G20" s="734"/>
      <c r="H20" s="735"/>
      <c r="I20" s="734"/>
      <c r="J20" s="734"/>
      <c r="K20" s="708"/>
      <c r="L20" s="719"/>
      <c r="M20" s="720"/>
      <c r="N20" s="728" t="s">
        <v>129</v>
      </c>
      <c r="O20" s="736"/>
      <c r="P20" s="1031"/>
      <c r="Q20" s="1031"/>
      <c r="R20" s="713"/>
      <c r="S20" s="713"/>
      <c r="T20" s="713"/>
      <c r="U20" s="713"/>
      <c r="V20" s="713"/>
      <c r="W20" s="713"/>
      <c r="X20" s="731"/>
      <c r="Y20" s="198"/>
      <c r="Z20" s="173"/>
      <c r="AA20" s="199"/>
      <c r="AB20" s="200"/>
      <c r="AC20" s="351"/>
      <c r="AD20" s="351"/>
      <c r="AE20" s="351"/>
      <c r="AF20" s="175"/>
      <c r="AG20" s="175"/>
      <c r="AH20" s="175"/>
      <c r="AI20" s="237"/>
      <c r="AK20" s="238"/>
      <c r="AL20" s="176"/>
      <c r="AM20" s="163"/>
      <c r="AN20" s="163"/>
      <c r="BG20" s="27"/>
      <c r="BH20" s="27"/>
      <c r="BI20" s="27"/>
      <c r="BJ20" s="27"/>
    </row>
    <row r="21" spans="1:62" ht="24" customHeight="1" thickBot="1" x14ac:dyDescent="0.25">
      <c r="B21" s="843" t="s">
        <v>185</v>
      </c>
      <c r="C21" s="842"/>
      <c r="D21" s="842"/>
      <c r="E21" s="842"/>
      <c r="F21" s="714"/>
      <c r="G21" s="715"/>
      <c r="H21" s="716" t="str">
        <f>_xlfn.XLOOKUP(CTR1_Billing!$E$21,'CTR1 Precept Data Previous Year'!$B:$B,'CTR1 Precept Data Previous Year'!$J:$J,"")</f>
        <v/>
      </c>
      <c r="I21" s="717"/>
      <c r="J21" s="718" t="str">
        <f>_xlfn.XLOOKUP(CTR1_Billing!$E$21,'CTR1 Precept Data Previous Year'!$B:$B,'CTR1 Precept Data Previous Year'!$K:$K,"")</f>
        <v/>
      </c>
      <c r="K21" s="708"/>
      <c r="L21" s="719"/>
      <c r="M21" s="720">
        <f>IF(OR(N21&lt;&gt;CTR1_Billing!F127,CTR1_Local!P21&lt;&gt;CTR1_Billing!H127),1,0)</f>
        <v>0</v>
      </c>
      <c r="N21" s="721">
        <f>COUNTIF(N33:N707,"&gt;0")</f>
        <v>0</v>
      </c>
      <c r="O21" s="722"/>
      <c r="P21" s="723">
        <f>ROUND(SUMIF(N33:N707,"&lt;&gt;0",P33:P707),2)</f>
        <v>0</v>
      </c>
      <c r="R21" s="780" t="s">
        <v>186</v>
      </c>
      <c r="S21" s="724"/>
      <c r="T21" s="724"/>
      <c r="U21" s="724"/>
      <c r="V21" s="724"/>
      <c r="W21" s="724"/>
      <c r="X21" s="737"/>
      <c r="Y21" s="199"/>
      <c r="Z21" s="199">
        <f>CTR1_Billing!$F$127</f>
        <v>0</v>
      </c>
      <c r="AA21" s="175">
        <f>CTR1_Billing!H127</f>
        <v>0</v>
      </c>
      <c r="AB21" s="175"/>
      <c r="AC21" s="351" t="str">
        <f>_xlfn.XLOOKUP(CTR1_Billing!$E$21,'CTR1 Precept Data Previous Year'!$B:$B,'CTR1 Precept Data Previous Year'!$J:$J,"")</f>
        <v/>
      </c>
      <c r="AD21" s="351"/>
      <c r="AE21" s="351" t="str">
        <f>_xlfn.XLOOKUP(CTR1_Billing!$E$21,'CTR1 Precept Data Previous Year'!$B:$B,'CTR1 Precept Data Previous Year'!$K:$K,"")</f>
        <v/>
      </c>
      <c r="AF21" s="175"/>
      <c r="AG21" s="175">
        <f>COUNTIF(N33:N707,"&gt;0")</f>
        <v>0</v>
      </c>
      <c r="AH21" s="175"/>
      <c r="AI21" s="237">
        <f>ROUND(SUMIF(N33:N707,"&gt;0",P33:P707),1)</f>
        <v>0</v>
      </c>
      <c r="AK21" s="238">
        <f>IF(AND(H21=AC21,J21=AE21,N21=AG21,P21=AI21),0,1)</f>
        <v>0</v>
      </c>
      <c r="AL21" s="176"/>
      <c r="AM21" s="163"/>
      <c r="AN21" s="163"/>
      <c r="BG21" s="27"/>
      <c r="BH21" s="27"/>
      <c r="BI21" s="27"/>
      <c r="BJ21" s="27"/>
    </row>
    <row r="22" spans="1:62" ht="14.45" customHeight="1" x14ac:dyDescent="0.25">
      <c r="B22" s="527"/>
      <c r="C22" s="527"/>
      <c r="D22" s="527"/>
      <c r="E22" s="527"/>
      <c r="F22" s="733"/>
      <c r="G22" s="734"/>
      <c r="H22" s="735"/>
      <c r="I22" s="734"/>
      <c r="J22" s="734"/>
      <c r="K22" s="708"/>
      <c r="L22" s="738"/>
      <c r="N22" s="728" t="s">
        <v>129</v>
      </c>
      <c r="O22" s="736"/>
      <c r="P22" s="1031"/>
      <c r="Q22" s="1031"/>
      <c r="R22" s="739"/>
      <c r="S22" s="739"/>
      <c r="T22" s="739"/>
      <c r="U22" s="739"/>
      <c r="V22" s="739"/>
      <c r="W22" s="739"/>
      <c r="X22" s="731"/>
      <c r="Y22" s="175"/>
      <c r="Z22" s="173"/>
      <c r="AA22" s="174"/>
      <c r="AB22" s="174"/>
      <c r="AC22" s="351"/>
      <c r="AD22" s="351"/>
      <c r="AE22" s="351"/>
      <c r="AF22" s="175"/>
      <c r="AG22" s="175"/>
      <c r="AH22" s="175"/>
      <c r="AI22" s="175"/>
      <c r="AK22" s="238"/>
      <c r="AL22" s="176"/>
      <c r="AM22" s="163"/>
      <c r="AN22" s="163"/>
      <c r="BG22" s="27"/>
      <c r="BH22" s="27"/>
      <c r="BI22" s="27"/>
      <c r="BJ22" s="27"/>
    </row>
    <row r="23" spans="1:62" ht="18" customHeight="1" thickBot="1" x14ac:dyDescent="0.3">
      <c r="B23" s="714"/>
      <c r="C23" s="714"/>
      <c r="D23" s="714"/>
      <c r="E23" s="714"/>
      <c r="F23" s="714"/>
      <c r="G23" s="715"/>
      <c r="H23" s="726"/>
      <c r="I23" s="26"/>
      <c r="J23" s="712" t="s">
        <v>187</v>
      </c>
      <c r="K23" s="708"/>
      <c r="L23" s="1034"/>
      <c r="M23" s="1034"/>
      <c r="N23" s="1034"/>
      <c r="O23" s="740"/>
      <c r="P23" s="712" t="s">
        <v>187</v>
      </c>
      <c r="R23" s="741"/>
      <c r="S23" s="741"/>
      <c r="T23" s="741"/>
      <c r="U23" s="741"/>
      <c r="V23" s="741"/>
      <c r="W23" s="741"/>
      <c r="X23" s="698"/>
      <c r="Y23" s="175"/>
      <c r="Z23" s="173"/>
      <c r="AA23" s="174"/>
      <c r="AB23" s="175"/>
      <c r="AC23" s="351"/>
      <c r="AD23" s="351"/>
      <c r="AE23" s="351"/>
      <c r="AF23" s="175"/>
      <c r="AG23" s="175"/>
      <c r="AH23" s="175"/>
      <c r="AI23" s="175"/>
      <c r="AK23" s="238"/>
      <c r="AL23" s="176"/>
      <c r="AM23" s="163"/>
      <c r="AN23" s="163"/>
      <c r="BG23" s="27"/>
      <c r="BH23" s="27"/>
      <c r="BI23" s="27"/>
      <c r="BJ23" s="27"/>
    </row>
    <row r="24" spans="1:62" ht="24" customHeight="1" thickBot="1" x14ac:dyDescent="0.25">
      <c r="B24" s="1028" t="s">
        <v>188</v>
      </c>
      <c r="C24" s="1028"/>
      <c r="D24" s="1028"/>
      <c r="E24" s="1028"/>
      <c r="F24" s="736"/>
      <c r="G24" s="706"/>
      <c r="H24" s="734"/>
      <c r="I24" s="734"/>
      <c r="J24" s="716" t="str">
        <f>_xlfn.XLOOKUP(CTR1_Billing!$E$21,'CTR1 Precept Data Previous Year'!$B:$B,'CTR1 Precept Data Previous Year'!$E:$E,"")</f>
        <v/>
      </c>
      <c r="K24" s="708"/>
      <c r="L24" s="1034"/>
      <c r="M24" s="1034"/>
      <c r="N24" s="1034"/>
      <c r="O24" s="736"/>
      <c r="P24" s="721">
        <f>ROUND(SUM(N33:N707),0)</f>
        <v>0</v>
      </c>
      <c r="R24" s="780" t="s">
        <v>189</v>
      </c>
      <c r="S24" s="742"/>
      <c r="T24" s="742"/>
      <c r="U24" s="742"/>
      <c r="V24" s="742"/>
      <c r="W24" s="742"/>
      <c r="X24" s="743"/>
      <c r="Y24" s="199"/>
      <c r="Z24" s="199">
        <f>CTR1_Billing!$H$32</f>
        <v>0</v>
      </c>
      <c r="AA24" s="174"/>
      <c r="AB24" s="175"/>
      <c r="AC24" s="351"/>
      <c r="AD24" s="351"/>
      <c r="AE24" s="351" t="str">
        <f>_xlfn.XLOOKUP(CTR1_Billing!$E$21,'CTR1 Precept Data Previous Year'!$B:$B,'CTR1 Precept Data Previous Year'!$E:$E,"")</f>
        <v/>
      </c>
      <c r="AF24" s="175"/>
      <c r="AG24" s="175"/>
      <c r="AH24" s="175"/>
      <c r="AI24" s="199">
        <f>ROUND(SUM(N33:N707),0)</f>
        <v>0</v>
      </c>
      <c r="AK24" s="238">
        <f>IF((P24=AI24),0,1)</f>
        <v>0</v>
      </c>
      <c r="AL24" s="176"/>
      <c r="AM24" s="163"/>
      <c r="AN24" s="163"/>
      <c r="BG24" s="27"/>
      <c r="BH24" s="27"/>
      <c r="BI24" s="27"/>
      <c r="BJ24" s="27"/>
    </row>
    <row r="25" spans="1:62" ht="29.25" customHeight="1" x14ac:dyDescent="0.2">
      <c r="B25" s="706"/>
      <c r="C25" s="706"/>
      <c r="D25" s="706"/>
      <c r="E25" s="706"/>
      <c r="F25" s="706"/>
      <c r="G25" s="706"/>
      <c r="H25" s="706"/>
      <c r="I25" s="706"/>
      <c r="J25" s="706"/>
      <c r="K25" s="708"/>
      <c r="N25" s="728" t="s">
        <v>129</v>
      </c>
      <c r="O25" s="744"/>
      <c r="P25" s="745"/>
      <c r="Q25" s="746"/>
      <c r="R25" s="745"/>
      <c r="S25" s="745"/>
      <c r="T25" s="745"/>
      <c r="U25" s="745"/>
      <c r="V25" s="745"/>
      <c r="W25" s="745"/>
      <c r="X25" s="698"/>
      <c r="Y25" s="175"/>
      <c r="Z25" s="173"/>
      <c r="AA25" s="174"/>
      <c r="AB25" s="172"/>
      <c r="AC25" s="172"/>
      <c r="AD25" s="172"/>
      <c r="AE25" s="172"/>
      <c r="AF25" s="172"/>
      <c r="AG25" s="176"/>
      <c r="AH25" s="176"/>
      <c r="AI25" s="176"/>
      <c r="AJ25" s="176"/>
      <c r="AK25" s="176"/>
      <c r="AL25" s="176"/>
      <c r="AM25" s="163"/>
      <c r="AN25" s="163"/>
      <c r="BG25" s="27"/>
      <c r="BH25" s="27"/>
      <c r="BI25" s="27"/>
      <c r="BJ25" s="27"/>
    </row>
    <row r="26" spans="1:62" ht="21" customHeight="1" x14ac:dyDescent="0.2">
      <c r="B26" s="1032" t="s">
        <v>190</v>
      </c>
      <c r="C26" s="1032"/>
      <c r="D26" s="1032"/>
      <c r="E26" s="1032"/>
      <c r="F26" s="1032"/>
      <c r="G26" s="1032"/>
      <c r="H26" s="1032"/>
      <c r="I26" s="1032"/>
      <c r="J26" s="1032"/>
      <c r="K26" s="1032"/>
      <c r="L26" s="1032"/>
      <c r="M26" s="1032"/>
      <c r="N26" s="1032"/>
      <c r="O26" s="1032"/>
      <c r="P26" s="1032"/>
      <c r="Q26" s="1032"/>
      <c r="R26" s="1032"/>
      <c r="S26" s="747"/>
      <c r="T26" s="747"/>
      <c r="U26" s="747"/>
      <c r="V26" s="747"/>
      <c r="W26" s="747"/>
      <c r="X26" s="698"/>
      <c r="Y26" s="172"/>
      <c r="Z26" s="173"/>
      <c r="AA26" s="201"/>
      <c r="AB26" s="201"/>
      <c r="AC26" s="172"/>
      <c r="AD26" s="172"/>
      <c r="AE26" s="172"/>
      <c r="AF26" s="172"/>
      <c r="AG26" s="176"/>
      <c r="AH26" s="176"/>
      <c r="AI26" s="176"/>
      <c r="AJ26" s="176"/>
      <c r="AK26" s="176"/>
      <c r="AL26" s="176"/>
      <c r="BG26" s="27"/>
      <c r="BH26" s="27"/>
      <c r="BI26" s="27"/>
      <c r="BJ26" s="27"/>
    </row>
    <row r="27" spans="1:62" ht="21.75" customHeight="1" x14ac:dyDescent="0.2">
      <c r="B27" s="1032" t="s">
        <v>191</v>
      </c>
      <c r="C27" s="1032"/>
      <c r="D27" s="1032"/>
      <c r="E27" s="1032"/>
      <c r="F27" s="1032"/>
      <c r="G27" s="1032"/>
      <c r="H27" s="1032"/>
      <c r="I27" s="1032"/>
      <c r="J27" s="1032"/>
      <c r="K27" s="1032"/>
      <c r="L27" s="1032"/>
      <c r="M27" s="1032"/>
      <c r="N27" s="1032"/>
      <c r="O27" s="1032"/>
      <c r="P27" s="1032"/>
      <c r="Q27" s="1032"/>
      <c r="R27" s="1032"/>
      <c r="S27" s="747"/>
      <c r="T27" s="747"/>
      <c r="U27" s="747"/>
      <c r="V27" s="747"/>
      <c r="W27" s="747"/>
      <c r="X27" s="698"/>
      <c r="Y27" s="172"/>
      <c r="Z27" s="173"/>
      <c r="AA27" s="174"/>
      <c r="AB27" s="172"/>
      <c r="AC27" s="172"/>
      <c r="AD27" s="172"/>
      <c r="AE27" s="172"/>
      <c r="AF27" s="172"/>
      <c r="AG27" s="176"/>
      <c r="AH27" s="176"/>
      <c r="AI27" s="176"/>
      <c r="AJ27" s="176"/>
      <c r="AK27" s="176"/>
      <c r="AL27" s="176"/>
      <c r="BG27" s="27"/>
      <c r="BH27" s="27"/>
      <c r="BI27" s="27"/>
      <c r="BJ27" s="27"/>
    </row>
    <row r="28" spans="1:62" ht="21.75" customHeight="1" x14ac:dyDescent="0.2">
      <c r="B28" s="747"/>
      <c r="C28" s="747"/>
      <c r="D28" s="747"/>
      <c r="E28" s="747"/>
      <c r="F28" s="747"/>
      <c r="G28" s="747"/>
      <c r="H28" s="747"/>
      <c r="I28" s="747"/>
      <c r="J28" s="747"/>
      <c r="K28" s="747"/>
      <c r="L28" s="747"/>
      <c r="M28" s="747"/>
      <c r="N28" s="747"/>
      <c r="O28" s="747"/>
      <c r="P28" s="747"/>
      <c r="Q28" s="747"/>
      <c r="R28" s="747"/>
      <c r="S28" s="747"/>
      <c r="T28" s="747"/>
      <c r="U28" s="747"/>
      <c r="V28" s="1032"/>
      <c r="W28" s="1032"/>
      <c r="X28" s="698"/>
      <c r="Y28" s="202"/>
      <c r="AB28" s="30"/>
      <c r="BG28" s="27"/>
      <c r="BH28" s="27"/>
      <c r="BI28" s="27"/>
      <c r="BJ28" s="27"/>
    </row>
    <row r="29" spans="1:62" ht="21" customHeight="1" x14ac:dyDescent="0.3">
      <c r="B29" s="706"/>
      <c r="C29" s="706"/>
      <c r="D29" s="706"/>
      <c r="E29" s="706"/>
      <c r="F29" s="706"/>
      <c r="G29" s="706"/>
      <c r="H29" s="1039" t="s">
        <v>192</v>
      </c>
      <c r="I29" s="1019"/>
      <c r="J29" s="1019"/>
      <c r="K29" s="1019"/>
      <c r="L29" s="1019"/>
      <c r="N29" s="1039" t="s">
        <v>193</v>
      </c>
      <c r="O29" s="1019"/>
      <c r="P29" s="1019"/>
      <c r="Q29" s="1019"/>
      <c r="R29" s="1019"/>
      <c r="S29" s="747"/>
      <c r="T29" s="747"/>
      <c r="U29" s="747"/>
      <c r="V29" s="1041" t="s">
        <v>194</v>
      </c>
      <c r="W29" s="1042"/>
      <c r="X29" s="698"/>
      <c r="AB29" s="30"/>
      <c r="AQ29" s="197"/>
      <c r="AR29" s="197"/>
      <c r="AS29" s="197"/>
      <c r="AT29" s="197"/>
      <c r="BG29" s="27"/>
      <c r="BH29" s="27"/>
      <c r="BI29" s="27"/>
      <c r="BJ29" s="27"/>
    </row>
    <row r="30" spans="1:62" ht="6.75" customHeight="1" x14ac:dyDescent="0.2">
      <c r="B30" s="706"/>
      <c r="C30" s="706"/>
      <c r="D30" s="706"/>
      <c r="E30" s="706"/>
      <c r="F30" s="706"/>
      <c r="G30" s="706"/>
      <c r="H30" s="706"/>
      <c r="I30" s="706"/>
      <c r="J30" s="748"/>
      <c r="K30" s="748"/>
      <c r="L30" s="748"/>
      <c r="N30" s="1033"/>
      <c r="O30" s="1033"/>
      <c r="P30" s="1033"/>
      <c r="Q30" s="1033"/>
      <c r="R30" s="1033"/>
      <c r="S30" s="749"/>
      <c r="T30" s="747"/>
      <c r="U30" s="747"/>
      <c r="V30" s="749"/>
      <c r="W30" s="749"/>
      <c r="X30" s="698"/>
      <c r="Z30" s="203"/>
      <c r="AB30" s="29"/>
      <c r="AC30" s="29"/>
      <c r="AQ30" s="1035"/>
      <c r="AR30" s="1035"/>
      <c r="BG30" s="27"/>
      <c r="BH30" s="27"/>
      <c r="BI30" s="27"/>
      <c r="BJ30" s="27"/>
    </row>
    <row r="31" spans="1:62" ht="78.75" customHeight="1" x14ac:dyDescent="0.2">
      <c r="B31" s="1037" t="s">
        <v>195</v>
      </c>
      <c r="C31" s="1037"/>
      <c r="D31" s="1037"/>
      <c r="E31" s="1038"/>
      <c r="F31" s="750" t="s">
        <v>196</v>
      </c>
      <c r="G31" s="706"/>
      <c r="H31" s="750" t="s">
        <v>197</v>
      </c>
      <c r="I31" s="751"/>
      <c r="J31" s="750" t="s">
        <v>198</v>
      </c>
      <c r="K31" s="708"/>
      <c r="L31" s="750" t="s">
        <v>199</v>
      </c>
      <c r="N31" s="750" t="s">
        <v>197</v>
      </c>
      <c r="O31" s="751"/>
      <c r="P31" s="750" t="s">
        <v>198</v>
      </c>
      <c r="Q31" s="708"/>
      <c r="R31" s="750" t="s">
        <v>199</v>
      </c>
      <c r="S31" s="750"/>
      <c r="T31" s="750" t="s">
        <v>200</v>
      </c>
      <c r="U31" s="750"/>
      <c r="V31" s="750" t="s">
        <v>201</v>
      </c>
      <c r="W31" s="750" t="s">
        <v>202</v>
      </c>
      <c r="X31" s="698"/>
      <c r="Y31" s="30"/>
      <c r="Z31" s="29" t="s">
        <v>203</v>
      </c>
      <c r="AA31" s="30"/>
      <c r="AB31" s="33" t="s">
        <v>204</v>
      </c>
      <c r="AG31" s="34" t="s">
        <v>205</v>
      </c>
      <c r="AH31" s="34" t="s">
        <v>206</v>
      </c>
      <c r="AI31" s="34" t="s">
        <v>207</v>
      </c>
      <c r="AJ31" s="34" t="s">
        <v>208</v>
      </c>
      <c r="AK31" s="34" t="s">
        <v>209</v>
      </c>
      <c r="AL31" s="34" t="s">
        <v>210</v>
      </c>
      <c r="AM31" s="34"/>
      <c r="AN31" s="34"/>
      <c r="AO31" s="204" t="s">
        <v>211</v>
      </c>
      <c r="AQ31" s="30" t="s">
        <v>212</v>
      </c>
      <c r="AR31" s="30" t="s">
        <v>213</v>
      </c>
      <c r="AS31" s="30" t="s">
        <v>214</v>
      </c>
      <c r="AT31" s="30" t="s">
        <v>215</v>
      </c>
      <c r="BG31" s="27"/>
      <c r="BH31" s="27"/>
      <c r="BI31" s="27"/>
      <c r="BJ31" s="27"/>
    </row>
    <row r="32" spans="1:62" ht="42" customHeight="1" thickBot="1" x14ac:dyDescent="0.25">
      <c r="A32" s="752"/>
      <c r="B32" s="778" t="s">
        <v>216</v>
      </c>
      <c r="C32" s="753"/>
      <c r="D32" s="753"/>
      <c r="E32" s="715"/>
      <c r="F32" s="750"/>
      <c r="G32" s="706"/>
      <c r="H32" s="750"/>
      <c r="I32" s="751"/>
      <c r="J32" s="750"/>
      <c r="K32" s="708"/>
      <c r="L32" s="750"/>
      <c r="N32" s="750"/>
      <c r="O32" s="1036" t="str">
        <f>IF($Z$708&gt;0,"'Tax base is 10% bigger/smaller than last year. Please check again.","")</f>
        <v/>
      </c>
      <c r="P32" s="1036"/>
      <c r="Q32" s="1036"/>
      <c r="R32" s="779" t="s">
        <v>217</v>
      </c>
      <c r="S32" s="754"/>
      <c r="T32" s="754"/>
      <c r="U32" s="754"/>
      <c r="V32" s="779" t="s">
        <v>218</v>
      </c>
      <c r="W32" s="779" t="s">
        <v>219</v>
      </c>
      <c r="X32" s="698"/>
      <c r="Z32" s="288"/>
      <c r="AA32" s="5"/>
      <c r="AB32" s="33"/>
      <c r="AC32" s="29"/>
      <c r="BG32" s="27"/>
      <c r="BH32" s="27"/>
      <c r="BI32" s="27"/>
      <c r="BJ32" s="27"/>
    </row>
    <row r="33" spans="1:62" s="23" customFormat="1" ht="21" customHeight="1" thickBot="1" x14ac:dyDescent="0.25">
      <c r="A33" s="846" t="str">
        <f>IF($AN33="","",IFERROR(VLOOKUP(CONCATENATE(CTR1_Billing!$E$20,$AN33),'Local Data Previous Year'!$C$3:$D$20000,2,0),CTR1_Billing!$E$21&amp;"NEW"))</f>
        <v/>
      </c>
      <c r="B33" s="846" t="str">
        <f>IF($E33="","",IFERROR(VLOOKUP(CONCATENATE(CTR1_Billing!$E$20,CTR1_Local!$E33),'Local Data Previous Year'!$C$3:$D$20000,2,0),CTR1_Billing!$E$21&amp;"NEW"))</f>
        <v/>
      </c>
      <c r="C33" s="846">
        <v>1</v>
      </c>
      <c r="D33" s="755" t="str" cm="1">
        <f t="array" ref="D33">IF(ISERROR(INDEX('Local Data Previous Year'!$D$3:$D$20000,SMALL(IF(CTR1_Billing!$E$21='Local Data Previous Year'!$A$3:$A$20000,ROW('Local Data Previous Year'!$A$3:$A$20000)-ROW('Local Data Previous Year'!$A$3)+1),ROW(1:1)))),"",INDEX('Local Data Previous Year'!$D$3:$D$20000,SMALL(IF(CTR1_Billing!$E$21='Local Data Previous Year'!$A$3:$A$20000,ROW('Local Data Previous Year'!$A$3:$A$20000)-ROW('Local Data Previous Year'!$A$3)+1),ROW(1:1))))</f>
        <v/>
      </c>
      <c r="E33" s="755" t="str" cm="1">
        <f t="array" ref="E33">IF(ISERROR(INDEX('Local Data Previous Year'!$E$3:$E$20000,SMALL(IF(CTR1_Billing!$E$21='Local Data Previous Year'!$A$3:$A$20000,ROW('Local Data Previous Year'!$A$3:$A$20000)-ROW('Local Data Previous Year'!$A$3)+1),ROW(1:1)))),"",INDEX('Local Data Previous Year'!$E$3:$E$20000,SMALL(IF(CTR1_Billing!$E$21='Local Data Previous Year'!$A$3:$A$20000,ROW('Local Data Previous Year'!$A$3:$A$20000)-ROW('Local Data Previous Year'!$A$3)+1),ROW(1:1))))</f>
        <v/>
      </c>
      <c r="F33" s="756" t="str">
        <f>IF($D33="","",IF(ISNA(MATCH($D33,'Local Data Previous Year'!$D$3:$D$20000,0)),"New",IFERROR(VLOOKUP($B33,'Local Data Previous Year'!$D$3:$I$20000,6,0),"")))</f>
        <v/>
      </c>
      <c r="G33" s="757">
        <f>IF(F33="Charter Trustee",1,0)</f>
        <v>0</v>
      </c>
      <c r="H33" s="758" t="str">
        <f>IFERROR(INDEX('Local Data Previous Year'!$F:$F, MATCH($D33, 'Local Data Previous Year'!$D:$D, 0)), "")</f>
        <v/>
      </c>
      <c r="I33" s="759">
        <f>IF(B33=CTR1_Billing!$E$21&amp;"NEW",1,0)</f>
        <v>0</v>
      </c>
      <c r="J33" s="760" t="str">
        <f>IFERROR(INDEX('Local Data Previous Year'!$G:$G, MATCH($D33, 'Local Data Previous Year'!$D:$D, 0)), "")</f>
        <v/>
      </c>
      <c r="K33" s="761"/>
      <c r="L33" s="760" t="str">
        <f>IFERROR(INDEX('Local Data Previous Year'!$H:$H, MATCH($D33, 'Local Data Previous Year'!$D:$D, 0)), "")</f>
        <v/>
      </c>
      <c r="M33" s="762"/>
      <c r="N33" s="763"/>
      <c r="O33" s="764"/>
      <c r="P33" s="765"/>
      <c r="Q33" s="764"/>
      <c r="R33" s="766" t="str">
        <f>+IF(N33="","",IF(N33+P33=0,0,+N33/P33))</f>
        <v/>
      </c>
      <c r="S33" s="754"/>
      <c r="T33" s="763"/>
      <c r="U33" s="754"/>
      <c r="V33" s="763"/>
      <c r="W33" s="763"/>
      <c r="X33" s="865" t="str">
        <f>VLOOKUP(CTR1_Billing!$E$21,Data!$C$6:$D$302,1,FALSE)</f>
        <v>EZZZZ</v>
      </c>
      <c r="Y33" s="205"/>
      <c r="Z33" s="205">
        <f t="shared" ref="Z33:Z96" si="0">IF(OR(P33&gt;AQ33,P33&lt;AR33),1,0)</f>
        <v>0</v>
      </c>
      <c r="AA33" s="289" t="str">
        <f t="shared" ref="AA33:AA96" si="1">IF(R33="","",IF(R33=0,"ok",IF(R33&lt;&gt;(N33/P33),"error","ok")))</f>
        <v/>
      </c>
      <c r="AB33" s="205">
        <f t="shared" ref="AB33:AB96" si="2">IF(OR(R33&gt;AS33,R33&lt;AT33),1,0)</f>
        <v>0</v>
      </c>
      <c r="AC33" s="207"/>
      <c r="AD33" s="208"/>
      <c r="AE33" s="208"/>
      <c r="AF33" s="208"/>
      <c r="AG33" s="209" t="str">
        <f>IFERROR(INDEX('Local Data Previous Year'!$F:$F, MATCH($D33, 'Local Data Previous Year'!$D:$D, 0)), "")</f>
        <v/>
      </c>
      <c r="AH33" s="209" t="str">
        <f>IFERROR(INDEX('Local Data Previous Year'!$G:$G, MATCH($D33, 'Local Data Previous Year'!$D:$D, 0)), "")</f>
        <v/>
      </c>
      <c r="AI33" s="209" t="str">
        <f>IFERROR(INDEX('Local Data Previous Year'!$H:$H, MATCH($D33, 'Local Data Previous Year'!$D:$D, 0)), "")</f>
        <v/>
      </c>
      <c r="AJ33" s="209" t="str">
        <f t="shared" ref="AJ33:AJ96" si="3">IF(AG33=H33,"","change")</f>
        <v/>
      </c>
      <c r="AK33" s="209" t="str">
        <f t="shared" ref="AK33:AK96" si="4">IF(AH33=J33,"","change")</f>
        <v/>
      </c>
      <c r="AL33" s="209" t="str">
        <f t="shared" ref="AL33:AL96" si="5">IF(AI33=L33,"","change")</f>
        <v/>
      </c>
      <c r="AM33" s="208" t="str">
        <f>IF($AN33="","",IFERROR(VLOOKUP(CONCATENATE(CTR1_Billing!$E$20,$AN33),'Local Data Previous Year'!$C$3:$D$50000,2,0),CTR1_Billing!$E$21&amp;"NEW"))</f>
        <v/>
      </c>
      <c r="AN33" s="209" t="str" cm="1">
        <f t="array" ref="AN33">IF(ISERROR(INDEX('Local Data Previous Year'!$E$3:$E$50000, SMALL(IF(CTR1_Billing!$E$21='Local Data Previous Year'!$A$3:$A$50000, ROW('Local Data Previous Year'!$A$3:$A$50000)-ROW('Local Data Previous Year'!$A$3)+1), ROW(1:1)))), "", INDEX('Local Data Previous Year'!$E$3:$E$50000, SMALL(IF(CTR1_Billing!$E$21='Local Data Previous Year'!$A$3:$A$50000, ROW('Local Data Previous Year'!$A$3:$A$50000)-ROW('Local Data Previous Year'!$A$3)+1), ROW(1:1))))</f>
        <v/>
      </c>
      <c r="AO33" s="209" t="str">
        <f t="shared" ref="AO33:AO96" si="6">IF(AN33=E33,"","change")</f>
        <v/>
      </c>
      <c r="AP33" s="208"/>
      <c r="AQ33" s="209" t="str">
        <f t="shared" ref="AQ33:AQ96" si="7">IFERROR(J33*1.1,"")</f>
        <v/>
      </c>
      <c r="AR33" s="209" t="str">
        <f t="shared" ref="AR33:AR96" si="8">IFERROR(J33*0.9,"")</f>
        <v/>
      </c>
      <c r="AS33" s="202" t="str">
        <f t="shared" ref="AS33:AS96" si="9">IFERROR(L33+20,"")</f>
        <v/>
      </c>
      <c r="AT33" s="202" t="str">
        <f t="shared" ref="AT33:AT96" si="10">IFERROR(L33-20,"")</f>
        <v/>
      </c>
      <c r="AU33" s="208"/>
      <c r="AV33" s="208"/>
      <c r="AW33" s="208"/>
      <c r="AX33" s="208"/>
      <c r="AY33" s="208"/>
      <c r="AZ33" s="208"/>
      <c r="BA33" s="208"/>
      <c r="BB33" s="208"/>
      <c r="BC33" s="208"/>
      <c r="BD33" s="208"/>
      <c r="BE33" s="208"/>
      <c r="BF33" s="208"/>
      <c r="BG33" s="28"/>
      <c r="BH33" s="28"/>
      <c r="BI33" s="28"/>
      <c r="BJ33" s="28"/>
    </row>
    <row r="34" spans="1:62" s="23" customFormat="1" ht="21" customHeight="1" thickBot="1" x14ac:dyDescent="0.25">
      <c r="A34" s="846" t="str">
        <f>IF($AN34="","",IFERROR(VLOOKUP(CONCATENATE(CTR1_Billing!$E$20,$AN34),'Local Data Previous Year'!$C$3:$D$20000,2,0),CTR1_Billing!$E$21&amp;"NEW"))</f>
        <v/>
      </c>
      <c r="B34" s="846" t="str">
        <f>IF($E34="","",IFERROR(VLOOKUP(CONCATENATE(CTR1_Billing!$E$20,CTR1_Local!$E34),'Local Data Previous Year'!$C$3:$D$20000,2,0),CTR1_Billing!$E$21&amp;"NEW"))</f>
        <v/>
      </c>
      <c r="C34" s="846">
        <v>2</v>
      </c>
      <c r="D34" s="755" t="str" cm="1">
        <f t="array" ref="D34">IF(ISERROR(INDEX('Local Data Previous Year'!$D$3:$D$20000,SMALL(IF(CTR1_Billing!$E$21='Local Data Previous Year'!$A$3:$A$20000,ROW('Local Data Previous Year'!$A$3:$A$20000)-ROW('Local Data Previous Year'!$A$3)+1),ROW(2:2)))),"",INDEX('Local Data Previous Year'!$D$3:$D$20000,SMALL(IF(CTR1_Billing!$E$21='Local Data Previous Year'!$A$3:$A$20000,ROW('Local Data Previous Year'!$A$3:$A$20000)-ROW('Local Data Previous Year'!$A$3)+1),ROW(2:2))))</f>
        <v/>
      </c>
      <c r="E34" s="755" t="str" cm="1">
        <f t="array" ref="E34">IF(ISERROR(INDEX('Local Data Previous Year'!$E$3:$E$20000,SMALL(IF(CTR1_Billing!$E$21='Local Data Previous Year'!$A$3:$A$20000,ROW('Local Data Previous Year'!$A$3:$A$20000)-ROW('Local Data Previous Year'!$A$3)+1),ROW(2:2)))),"",INDEX('Local Data Previous Year'!$E$3:$E$20000,SMALL(IF(CTR1_Billing!$E$21='Local Data Previous Year'!$A$3:$A$20000,ROW('Local Data Previous Year'!$A$3:$A$20000)-ROW('Local Data Previous Year'!$A$3)+1),ROW(2:2))))</f>
        <v/>
      </c>
      <c r="F34" s="756" t="str">
        <f>IF($D34="","",IF(ISNA(MATCH($D34,'Local Data Previous Year'!$D$3:$D$20000,0)),"New",IFERROR(VLOOKUP($B34,'Local Data Previous Year'!$D$3:$I$20000,6,0),"")))</f>
        <v/>
      </c>
      <c r="G34" s="757">
        <f t="shared" ref="G34:G97" si="11">IF(F34="Charter Trustee",1,0)</f>
        <v>0</v>
      </c>
      <c r="H34" s="758" t="str">
        <f>IFERROR(INDEX('Local Data Previous Year'!$F:$F, MATCH($D34, 'Local Data Previous Year'!$D:$D, 0)), "")</f>
        <v/>
      </c>
      <c r="I34" s="759">
        <f>IF(B34=CTR1_Billing!$E$21&amp;"NEW",1,0)</f>
        <v>0</v>
      </c>
      <c r="J34" s="760" t="str">
        <f>IFERROR(INDEX('Local Data Previous Year'!$G:$G, MATCH($D34, 'Local Data Previous Year'!$D:$D, 0)), "")</f>
        <v/>
      </c>
      <c r="K34" s="761"/>
      <c r="L34" s="760" t="str">
        <f>IFERROR(INDEX('Local Data Previous Year'!$H:$H, MATCH($D34, 'Local Data Previous Year'!$D:$D, 0)), "")</f>
        <v/>
      </c>
      <c r="M34" s="762"/>
      <c r="N34" s="763"/>
      <c r="O34" s="764"/>
      <c r="P34" s="765"/>
      <c r="Q34" s="764"/>
      <c r="R34" s="766" t="str">
        <f>+IF(N34="","",IF(N34+P34=0,0,+N34/P34))</f>
        <v/>
      </c>
      <c r="S34" s="754"/>
      <c r="T34" s="763"/>
      <c r="U34" s="754"/>
      <c r="V34" s="763"/>
      <c r="W34" s="763"/>
      <c r="X34" s="865" t="str">
        <f>VLOOKUP(CTR1_Billing!$E$21,Data!$C$6:$D$302,1,FALSE)</f>
        <v>EZZZZ</v>
      </c>
      <c r="Y34" s="205"/>
      <c r="Z34" s="205">
        <f t="shared" si="0"/>
        <v>0</v>
      </c>
      <c r="AA34" s="289" t="str">
        <f t="shared" si="1"/>
        <v/>
      </c>
      <c r="AB34" s="205">
        <f t="shared" si="2"/>
        <v>0</v>
      </c>
      <c r="AC34" s="207"/>
      <c r="AD34" s="208"/>
      <c r="AE34" s="208"/>
      <c r="AF34" s="208"/>
      <c r="AG34" s="209" t="str">
        <f>IFERROR(INDEX('Local Data Previous Year'!$F:$F, MATCH($D34, 'Local Data Previous Year'!$D:$D, 0)), "")</f>
        <v/>
      </c>
      <c r="AH34" s="209" t="str">
        <f>IFERROR(INDEX('Local Data Previous Year'!$G:$G, MATCH($D34, 'Local Data Previous Year'!$D:$D, 0)), "")</f>
        <v/>
      </c>
      <c r="AI34" s="209" t="str">
        <f>IFERROR(INDEX('Local Data Previous Year'!$H:$H, MATCH($D34, 'Local Data Previous Year'!$D:$D, 0)), "")</f>
        <v/>
      </c>
      <c r="AJ34" s="209" t="str">
        <f t="shared" si="3"/>
        <v/>
      </c>
      <c r="AK34" s="209" t="str">
        <f t="shared" si="4"/>
        <v/>
      </c>
      <c r="AL34" s="209" t="str">
        <f t="shared" si="5"/>
        <v/>
      </c>
      <c r="AM34" s="208" t="str">
        <f>IF($AN34="","",IFERROR(VLOOKUP(CONCATENATE(CTR1_Billing!$E$20,$AN34),'Local Data Previous Year'!$C$3:$D$50000,2,0),CTR1_Billing!$E$21&amp;"NEW"))</f>
        <v/>
      </c>
      <c r="AN34" s="209" t="str" cm="1">
        <f t="array" ref="AN34">IF(ISERROR(INDEX('Local Data Previous Year'!$E$3:$E$50000, SMALL(IF(CTR1_Billing!$E$21='Local Data Previous Year'!$A$3:$A$50000, ROW('Local Data Previous Year'!$A$3:$A$50000)-ROW('Local Data Previous Year'!$A$3)+1), ROW(2:2)))), "", INDEX('Local Data Previous Year'!$E$3:$E$50000, SMALL(IF(CTR1_Billing!$E$21='Local Data Previous Year'!$A$3:$A$50000, ROW('Local Data Previous Year'!$A$3:$A$50000)-ROW('Local Data Previous Year'!$A$3)+1), ROW(2:2))))</f>
        <v/>
      </c>
      <c r="AO34" s="209" t="str">
        <f t="shared" si="6"/>
        <v/>
      </c>
      <c r="AP34" s="208"/>
      <c r="AQ34" s="209" t="str">
        <f t="shared" si="7"/>
        <v/>
      </c>
      <c r="AR34" s="209" t="str">
        <f t="shared" si="8"/>
        <v/>
      </c>
      <c r="AS34" s="202" t="str">
        <f t="shared" si="9"/>
        <v/>
      </c>
      <c r="AT34" s="202" t="str">
        <f t="shared" si="10"/>
        <v/>
      </c>
      <c r="AU34" s="208"/>
      <c r="AV34" s="208"/>
      <c r="AW34" s="208"/>
      <c r="AX34" s="208"/>
      <c r="AY34" s="208"/>
      <c r="AZ34" s="208"/>
      <c r="BA34" s="208"/>
      <c r="BB34" s="208"/>
      <c r="BC34" s="208"/>
      <c r="BD34" s="208"/>
      <c r="BE34" s="208"/>
      <c r="BF34" s="208"/>
      <c r="BG34" s="28"/>
      <c r="BH34" s="28"/>
      <c r="BI34" s="28"/>
      <c r="BJ34" s="28"/>
    </row>
    <row r="35" spans="1:62" s="23" customFormat="1" ht="21" customHeight="1" thickBot="1" x14ac:dyDescent="0.25">
      <c r="A35" s="846" t="str">
        <f>IF($AN35="","",IFERROR(VLOOKUP(CONCATENATE(CTR1_Billing!$E$20,$AN35),'Local Data Previous Year'!$C$3:$D$20000,2,0),CTR1_Billing!$E$21&amp;"NEW"))</f>
        <v/>
      </c>
      <c r="B35" s="846" t="str">
        <f>IF($E35="","",IFERROR(VLOOKUP(CONCATENATE(CTR1_Billing!$E$20,CTR1_Local!$E35),'Local Data Previous Year'!$C$3:$D$20000,2,0),CTR1_Billing!$E$21&amp;"NEW"))</f>
        <v/>
      </c>
      <c r="C35" s="846">
        <v>3</v>
      </c>
      <c r="D35" s="755" t="str" cm="1">
        <f t="array" ref="D35">IF(ISERROR(INDEX('Local Data Previous Year'!$D$3:$D$20000,SMALL(IF(CTR1_Billing!$E$21='Local Data Previous Year'!$A$3:$A$20000,ROW('Local Data Previous Year'!$A$3:$A$20000)-ROW('Local Data Previous Year'!$A$3)+1),ROW(3:3)))),"",INDEX('Local Data Previous Year'!$D$3:$D$20000,SMALL(IF(CTR1_Billing!$E$21='Local Data Previous Year'!$A$3:$A$20000,ROW('Local Data Previous Year'!$A$3:$A$20000)-ROW('Local Data Previous Year'!$A$3)+1),ROW(3:3))))</f>
        <v/>
      </c>
      <c r="E35" s="755" t="str" cm="1">
        <f t="array" ref="E35">IF(ISERROR(INDEX('Local Data Previous Year'!$E$3:$E$20000,SMALL(IF(CTR1_Billing!$E$21='Local Data Previous Year'!$A$3:$A$20000,ROW('Local Data Previous Year'!$A$3:$A$20000)-ROW('Local Data Previous Year'!$A$3)+1),ROW(3:3)))),"",INDEX('Local Data Previous Year'!$E$3:$E$20000,SMALL(IF(CTR1_Billing!$E$21='Local Data Previous Year'!$A$3:$A$20000,ROW('Local Data Previous Year'!$A$3:$A$20000)-ROW('Local Data Previous Year'!$A$3)+1),ROW(3:3))))</f>
        <v/>
      </c>
      <c r="F35" s="756" t="str">
        <f>IF($D35="","",IF(ISNA(MATCH($D35,'Local Data Previous Year'!$D$3:$D$20000,0)),"New",IFERROR(VLOOKUP($B35,'Local Data Previous Year'!$D$3:$I$20000,6,0),"")))</f>
        <v/>
      </c>
      <c r="G35" s="757">
        <f t="shared" si="11"/>
        <v>0</v>
      </c>
      <c r="H35" s="758" t="str">
        <f>IFERROR(INDEX('Local Data Previous Year'!$F:$F, MATCH($D35, 'Local Data Previous Year'!$D:$D, 0)), "")</f>
        <v/>
      </c>
      <c r="I35" s="759">
        <f>IF(B35=CTR1_Billing!$E$21&amp;"NEW",1,0)</f>
        <v>0</v>
      </c>
      <c r="J35" s="760" t="str">
        <f>IFERROR(INDEX('Local Data Previous Year'!$G:$G, MATCH($D35, 'Local Data Previous Year'!$D:$D, 0)), "")</f>
        <v/>
      </c>
      <c r="K35" s="761"/>
      <c r="L35" s="760" t="str">
        <f>IFERROR(INDEX('Local Data Previous Year'!$H:$H, MATCH($D35, 'Local Data Previous Year'!$D:$D, 0)), "")</f>
        <v/>
      </c>
      <c r="M35" s="762"/>
      <c r="N35" s="763"/>
      <c r="O35" s="764"/>
      <c r="P35" s="765"/>
      <c r="Q35" s="764"/>
      <c r="R35" s="766" t="str">
        <f t="shared" ref="R35:R98" si="12">+IF(N35="","",IF(N35+P35=0,0,+N35/P35))</f>
        <v/>
      </c>
      <c r="S35" s="754"/>
      <c r="T35" s="763"/>
      <c r="U35" s="754"/>
      <c r="V35" s="763"/>
      <c r="W35" s="763"/>
      <c r="X35" s="865" t="str">
        <f>VLOOKUP(CTR1_Billing!$E$21,Data!$C$6:$D$302,1,FALSE)</f>
        <v>EZZZZ</v>
      </c>
      <c r="Y35" s="205"/>
      <c r="Z35" s="205">
        <f t="shared" si="0"/>
        <v>0</v>
      </c>
      <c r="AA35" s="289" t="str">
        <f t="shared" si="1"/>
        <v/>
      </c>
      <c r="AB35" s="205">
        <f t="shared" si="2"/>
        <v>0</v>
      </c>
      <c r="AC35" s="207"/>
      <c r="AD35" s="208"/>
      <c r="AE35" s="208"/>
      <c r="AF35" s="208"/>
      <c r="AG35" s="209" t="str">
        <f>IFERROR(INDEX('Local Data Previous Year'!$F:$F, MATCH($D35, 'Local Data Previous Year'!$D:$D, 0)), "")</f>
        <v/>
      </c>
      <c r="AH35" s="209" t="str">
        <f>IFERROR(INDEX('Local Data Previous Year'!$G:$G, MATCH($D35, 'Local Data Previous Year'!$D:$D, 0)), "")</f>
        <v/>
      </c>
      <c r="AI35" s="209" t="str">
        <f>IFERROR(INDEX('Local Data Previous Year'!$H:$H, MATCH($D35, 'Local Data Previous Year'!$D:$D, 0)), "")</f>
        <v/>
      </c>
      <c r="AJ35" s="209" t="str">
        <f t="shared" si="3"/>
        <v/>
      </c>
      <c r="AK35" s="209" t="str">
        <f t="shared" si="4"/>
        <v/>
      </c>
      <c r="AL35" s="209" t="str">
        <f t="shared" si="5"/>
        <v/>
      </c>
      <c r="AM35" s="208" t="str">
        <f>IF($AN35="","",IFERROR(VLOOKUP(CONCATENATE(CTR1_Billing!$E$20,$AN35),'Local Data Previous Year'!$C$3:$D$50000,2,0),CTR1_Billing!$E$21&amp;"NEW"))</f>
        <v/>
      </c>
      <c r="AN35" s="209" t="str" cm="1">
        <f t="array" ref="AN35">IF(ISERROR(INDEX('Local Data Previous Year'!$E$3:$E$50000, SMALL(IF(CTR1_Billing!$E$21='Local Data Previous Year'!$A$3:$A$50000, ROW('Local Data Previous Year'!$A$3:$A$50000)-ROW('Local Data Previous Year'!$A$3)+1), ROW(3:3)))), "", INDEX('Local Data Previous Year'!$E$3:$E$50000, SMALL(IF(CTR1_Billing!$E$21='Local Data Previous Year'!$A$3:$A$50000, ROW('Local Data Previous Year'!$A$3:$A$50000)-ROW('Local Data Previous Year'!$A$3)+1), ROW(3:3))))</f>
        <v/>
      </c>
      <c r="AO35" s="209" t="str">
        <f t="shared" si="6"/>
        <v/>
      </c>
      <c r="AP35" s="208"/>
      <c r="AQ35" s="209" t="str">
        <f t="shared" si="7"/>
        <v/>
      </c>
      <c r="AR35" s="209" t="str">
        <f t="shared" si="8"/>
        <v/>
      </c>
      <c r="AS35" s="202" t="str">
        <f t="shared" si="9"/>
        <v/>
      </c>
      <c r="AT35" s="202" t="str">
        <f t="shared" si="10"/>
        <v/>
      </c>
      <c r="AU35" s="208"/>
      <c r="AV35" s="208"/>
      <c r="AW35" s="208"/>
      <c r="AX35" s="208"/>
      <c r="AY35" s="208"/>
      <c r="AZ35" s="208"/>
      <c r="BA35" s="208"/>
      <c r="BB35" s="208"/>
      <c r="BC35" s="208"/>
      <c r="BD35" s="208"/>
      <c r="BE35" s="208"/>
      <c r="BF35" s="208"/>
      <c r="BG35" s="28"/>
      <c r="BH35" s="28"/>
      <c r="BI35" s="28"/>
      <c r="BJ35" s="28"/>
    </row>
    <row r="36" spans="1:62" s="23" customFormat="1" ht="21" customHeight="1" thickBot="1" x14ac:dyDescent="0.25">
      <c r="A36" s="846" t="str">
        <f>IF($AN36="","",IFERROR(VLOOKUP(CONCATENATE(CTR1_Billing!$E$20,$AN36),'Local Data Previous Year'!$C$3:$D$20000,2,0),CTR1_Billing!$E$21&amp;"NEW"))</f>
        <v/>
      </c>
      <c r="B36" s="846" t="str">
        <f>IF($E36="","",IFERROR(VLOOKUP(CONCATENATE(CTR1_Billing!$E$20,CTR1_Local!$E36),'Local Data Previous Year'!$C$3:$D$20000,2,0),CTR1_Billing!$E$21&amp;"NEW"))</f>
        <v/>
      </c>
      <c r="C36" s="846">
        <v>4</v>
      </c>
      <c r="D36" s="755" t="str" cm="1">
        <f t="array" ref="D36">IF(ISERROR(INDEX('Local Data Previous Year'!$D$3:$D$20000,SMALL(IF(CTR1_Billing!$E$21='Local Data Previous Year'!$A$3:$A$20000,ROW('Local Data Previous Year'!$A$3:$A$20000)-ROW('Local Data Previous Year'!$A$3)+1),ROW(4:4)))),"",INDEX('Local Data Previous Year'!$D$3:$D$20000,SMALL(IF(CTR1_Billing!$E$21='Local Data Previous Year'!$A$3:$A$20000,ROW('Local Data Previous Year'!$A$3:$A$20000)-ROW('Local Data Previous Year'!$A$3)+1),ROW(4:4))))</f>
        <v/>
      </c>
      <c r="E36" s="755" t="str" cm="1">
        <f t="array" ref="E36">IF(ISERROR(INDEX('Local Data Previous Year'!$E$3:$E$20000,SMALL(IF(CTR1_Billing!$E$21='Local Data Previous Year'!$A$3:$A$20000,ROW('Local Data Previous Year'!$A$3:$A$20000)-ROW('Local Data Previous Year'!$A$3)+1),ROW(4:4)))),"",INDEX('Local Data Previous Year'!$E$3:$E$20000,SMALL(IF(CTR1_Billing!$E$21='Local Data Previous Year'!$A$3:$A$20000,ROW('Local Data Previous Year'!$A$3:$A$20000)-ROW('Local Data Previous Year'!$A$3)+1),ROW(4:4))))</f>
        <v/>
      </c>
      <c r="F36" s="756" t="str">
        <f>IF($D36="","",IF(ISNA(MATCH($D36,'Local Data Previous Year'!$D$3:$D$20000,0)),"New",IFERROR(VLOOKUP($B36,'Local Data Previous Year'!$D$3:$I$20000,6,0),"")))</f>
        <v/>
      </c>
      <c r="G36" s="757">
        <f t="shared" si="11"/>
        <v>0</v>
      </c>
      <c r="H36" s="758" t="str">
        <f>IFERROR(INDEX('Local Data Previous Year'!$F:$F, MATCH($D36, 'Local Data Previous Year'!$D:$D, 0)), "")</f>
        <v/>
      </c>
      <c r="I36" s="759">
        <f>IF(B36=CTR1_Billing!$E$21&amp;"NEW",1,0)</f>
        <v>0</v>
      </c>
      <c r="J36" s="760" t="str">
        <f>IFERROR(INDEX('Local Data Previous Year'!$G:$G, MATCH($D36, 'Local Data Previous Year'!$D:$D, 0)), "")</f>
        <v/>
      </c>
      <c r="K36" s="761"/>
      <c r="L36" s="760" t="str">
        <f>IFERROR(INDEX('Local Data Previous Year'!$H:$H, MATCH($D36, 'Local Data Previous Year'!$D:$D, 0)), "")</f>
        <v/>
      </c>
      <c r="M36" s="762"/>
      <c r="N36" s="763"/>
      <c r="O36" s="764"/>
      <c r="P36" s="765"/>
      <c r="Q36" s="764"/>
      <c r="R36" s="766" t="str">
        <f t="shared" si="12"/>
        <v/>
      </c>
      <c r="S36" s="754"/>
      <c r="T36" s="763"/>
      <c r="U36" s="754"/>
      <c r="V36" s="763"/>
      <c r="W36" s="763"/>
      <c r="X36" s="865" t="str">
        <f>VLOOKUP(CTR1_Billing!$E$21,Data!$C$6:$D$302,1,FALSE)</f>
        <v>EZZZZ</v>
      </c>
      <c r="Y36" s="205"/>
      <c r="Z36" s="205">
        <f t="shared" si="0"/>
        <v>0</v>
      </c>
      <c r="AA36" s="289" t="str">
        <f t="shared" si="1"/>
        <v/>
      </c>
      <c r="AB36" s="205">
        <f t="shared" si="2"/>
        <v>0</v>
      </c>
      <c r="AC36" s="207"/>
      <c r="AD36" s="208"/>
      <c r="AE36" s="208"/>
      <c r="AF36" s="208"/>
      <c r="AG36" s="209" t="str">
        <f>IFERROR(INDEX('Local Data Previous Year'!$F:$F, MATCH($D36, 'Local Data Previous Year'!$D:$D, 0)), "")</f>
        <v/>
      </c>
      <c r="AH36" s="209" t="str">
        <f>IFERROR(INDEX('Local Data Previous Year'!$G:$G, MATCH($D36, 'Local Data Previous Year'!$D:$D, 0)), "")</f>
        <v/>
      </c>
      <c r="AI36" s="209" t="str">
        <f>IFERROR(INDEX('Local Data Previous Year'!$H:$H, MATCH($D36, 'Local Data Previous Year'!$D:$D, 0)), "")</f>
        <v/>
      </c>
      <c r="AJ36" s="209" t="str">
        <f t="shared" si="3"/>
        <v/>
      </c>
      <c r="AK36" s="209" t="str">
        <f t="shared" si="4"/>
        <v/>
      </c>
      <c r="AL36" s="209" t="str">
        <f t="shared" si="5"/>
        <v/>
      </c>
      <c r="AM36" s="208" t="str">
        <f>IF($AN36="","",IFERROR(VLOOKUP(CONCATENATE(CTR1_Billing!$E$20,$AN36),'Local Data Previous Year'!$C$3:$D$50000,2,0),CTR1_Billing!$E$21&amp;"NEW"))</f>
        <v/>
      </c>
      <c r="AN36" s="209" t="str" cm="1">
        <f t="array" ref="AN36">IF(ISERROR(INDEX('Local Data Previous Year'!$E$3:$E$50000, SMALL(IF(CTR1_Billing!$E$21='Local Data Previous Year'!$A$3:$A$50000, ROW('Local Data Previous Year'!$A$3:$A$50000)-ROW('Local Data Previous Year'!$A$3)+1), ROW(4:4)))), "", INDEX('Local Data Previous Year'!$E$3:$E$50000, SMALL(IF(CTR1_Billing!$E$21='Local Data Previous Year'!$A$3:$A$50000, ROW('Local Data Previous Year'!$A$3:$A$50000)-ROW('Local Data Previous Year'!$A$3)+1), ROW(4:4))))</f>
        <v/>
      </c>
      <c r="AO36" s="209" t="str">
        <f t="shared" si="6"/>
        <v/>
      </c>
      <c r="AP36" s="208"/>
      <c r="AQ36" s="209" t="str">
        <f t="shared" si="7"/>
        <v/>
      </c>
      <c r="AR36" s="209" t="str">
        <f t="shared" si="8"/>
        <v/>
      </c>
      <c r="AS36" s="202" t="str">
        <f t="shared" si="9"/>
        <v/>
      </c>
      <c r="AT36" s="202" t="str">
        <f t="shared" si="10"/>
        <v/>
      </c>
      <c r="AU36" s="208"/>
      <c r="AV36" s="208"/>
      <c r="AW36" s="208"/>
      <c r="AX36" s="208"/>
      <c r="AY36" s="208"/>
      <c r="AZ36" s="208"/>
      <c r="BA36" s="208"/>
      <c r="BB36" s="208"/>
      <c r="BC36" s="208"/>
      <c r="BD36" s="208"/>
      <c r="BE36" s="208"/>
      <c r="BF36" s="208"/>
      <c r="BG36" s="28"/>
      <c r="BH36" s="28"/>
      <c r="BI36" s="28"/>
      <c r="BJ36" s="28"/>
    </row>
    <row r="37" spans="1:62" s="23" customFormat="1" ht="21" customHeight="1" thickBot="1" x14ac:dyDescent="0.25">
      <c r="A37" s="846" t="str">
        <f>IF($AN37="","",IFERROR(VLOOKUP(CONCATENATE(CTR1_Billing!$E$20,$AN37),'Local Data Previous Year'!$C$3:$D$20000,2,0),CTR1_Billing!$E$21&amp;"NEW"))</f>
        <v/>
      </c>
      <c r="B37" s="846" t="str">
        <f>IF($E37="","",IFERROR(VLOOKUP(CONCATENATE(CTR1_Billing!$E$20,CTR1_Local!$E37),'Local Data Previous Year'!$C$3:$D$20000,2,0),CTR1_Billing!$E$21&amp;"NEW"))</f>
        <v/>
      </c>
      <c r="C37" s="846">
        <v>5</v>
      </c>
      <c r="D37" s="755" t="str" cm="1">
        <f t="array" ref="D37">IF(ISERROR(INDEX('Local Data Previous Year'!$D$3:$D$20000,SMALL(IF(CTR1_Billing!$E$21='Local Data Previous Year'!$A$3:$A$20000,ROW('Local Data Previous Year'!$A$3:$A$20000)-ROW('Local Data Previous Year'!$A$3)+1),ROW(5:5)))),"",INDEX('Local Data Previous Year'!$D$3:$D$20000,SMALL(IF(CTR1_Billing!$E$21='Local Data Previous Year'!$A$3:$A$20000,ROW('Local Data Previous Year'!$A$3:$A$20000)-ROW('Local Data Previous Year'!$A$3)+1),ROW(5:5))))</f>
        <v/>
      </c>
      <c r="E37" s="755" t="str" cm="1">
        <f t="array" ref="E37">IF(ISERROR(INDEX('Local Data Previous Year'!$E$3:$E$20000,SMALL(IF(CTR1_Billing!$E$21='Local Data Previous Year'!$A$3:$A$20000,ROW('Local Data Previous Year'!$A$3:$A$20000)-ROW('Local Data Previous Year'!$A$3)+1),ROW(5:5)))),"",INDEX('Local Data Previous Year'!$E$3:$E$20000,SMALL(IF(CTR1_Billing!$E$21='Local Data Previous Year'!$A$3:$A$20000,ROW('Local Data Previous Year'!$A$3:$A$20000)-ROW('Local Data Previous Year'!$A$3)+1),ROW(5:5))))</f>
        <v/>
      </c>
      <c r="F37" s="756" t="str">
        <f>IF($D37="","",IF(ISNA(MATCH($D37,'Local Data Previous Year'!$D$3:$D$20000,0)),"New",IFERROR(VLOOKUP($B37,'Local Data Previous Year'!$D$3:$I$20000,6,0),"")))</f>
        <v/>
      </c>
      <c r="G37" s="757">
        <f t="shared" si="11"/>
        <v>0</v>
      </c>
      <c r="H37" s="758" t="str">
        <f>IFERROR(INDEX('Local Data Previous Year'!$F:$F, MATCH($D37, 'Local Data Previous Year'!$D:$D, 0)), "")</f>
        <v/>
      </c>
      <c r="I37" s="759">
        <f>IF(B37=CTR1_Billing!$E$21&amp;"NEW",1,0)</f>
        <v>0</v>
      </c>
      <c r="J37" s="760" t="str">
        <f>IFERROR(INDEX('Local Data Previous Year'!$G:$G, MATCH($D37, 'Local Data Previous Year'!$D:$D, 0)), "")</f>
        <v/>
      </c>
      <c r="K37" s="761"/>
      <c r="L37" s="760" t="str">
        <f>IFERROR(INDEX('Local Data Previous Year'!$H:$H, MATCH($D37, 'Local Data Previous Year'!$D:$D, 0)), "")</f>
        <v/>
      </c>
      <c r="M37" s="762"/>
      <c r="N37" s="763"/>
      <c r="O37" s="764"/>
      <c r="P37" s="765"/>
      <c r="Q37" s="764"/>
      <c r="R37" s="766" t="str">
        <f t="shared" si="12"/>
        <v/>
      </c>
      <c r="S37" s="754"/>
      <c r="T37" s="763"/>
      <c r="U37" s="754"/>
      <c r="V37" s="763"/>
      <c r="W37" s="763"/>
      <c r="X37" s="865" t="str">
        <f>VLOOKUP(CTR1_Billing!$E$21,Data!$C$6:$D$302,1,FALSE)</f>
        <v>EZZZZ</v>
      </c>
      <c r="Y37" s="205"/>
      <c r="Z37" s="205">
        <f t="shared" si="0"/>
        <v>0</v>
      </c>
      <c r="AA37" s="289" t="str">
        <f t="shared" si="1"/>
        <v/>
      </c>
      <c r="AB37" s="205">
        <f t="shared" si="2"/>
        <v>0</v>
      </c>
      <c r="AC37" s="207"/>
      <c r="AD37" s="208"/>
      <c r="AE37" s="208"/>
      <c r="AF37" s="208"/>
      <c r="AG37" s="209" t="str">
        <f>IFERROR(INDEX('Local Data Previous Year'!$F:$F, MATCH($D37, 'Local Data Previous Year'!$D:$D, 0)), "")</f>
        <v/>
      </c>
      <c r="AH37" s="209" t="str">
        <f>IFERROR(INDEX('Local Data Previous Year'!$G:$G, MATCH($D37, 'Local Data Previous Year'!$D:$D, 0)), "")</f>
        <v/>
      </c>
      <c r="AI37" s="209" t="str">
        <f>IFERROR(INDEX('Local Data Previous Year'!$H:$H, MATCH($D37, 'Local Data Previous Year'!$D:$D, 0)), "")</f>
        <v/>
      </c>
      <c r="AJ37" s="209" t="str">
        <f t="shared" si="3"/>
        <v/>
      </c>
      <c r="AK37" s="209" t="str">
        <f t="shared" si="4"/>
        <v/>
      </c>
      <c r="AL37" s="209" t="str">
        <f t="shared" si="5"/>
        <v/>
      </c>
      <c r="AM37" s="208" t="str">
        <f>IF($AN37="","",IFERROR(VLOOKUP(CONCATENATE(CTR1_Billing!$E$20,$AN37),'Local Data Previous Year'!$C$3:$D$50000,2,0),CTR1_Billing!$E$21&amp;"NEW"))</f>
        <v/>
      </c>
      <c r="AN37" s="209" t="str" cm="1">
        <f t="array" ref="AN37">IF(ISERROR(INDEX('Local Data Previous Year'!$E$3:$E$50000, SMALL(IF(CTR1_Billing!$E$21='Local Data Previous Year'!$A$3:$A$50000, ROW('Local Data Previous Year'!$A$3:$A$50000)-ROW('Local Data Previous Year'!$A$3)+1), ROW(5:5)))), "", INDEX('Local Data Previous Year'!$E$3:$E$50000, SMALL(IF(CTR1_Billing!$E$21='Local Data Previous Year'!$A$3:$A$50000, ROW('Local Data Previous Year'!$A$3:$A$50000)-ROW('Local Data Previous Year'!$A$3)+1), ROW(5:5))))</f>
        <v/>
      </c>
      <c r="AO37" s="209" t="str">
        <f t="shared" si="6"/>
        <v/>
      </c>
      <c r="AP37" s="208"/>
      <c r="AQ37" s="209" t="str">
        <f t="shared" si="7"/>
        <v/>
      </c>
      <c r="AR37" s="209" t="str">
        <f t="shared" si="8"/>
        <v/>
      </c>
      <c r="AS37" s="202" t="str">
        <f t="shared" si="9"/>
        <v/>
      </c>
      <c r="AT37" s="202" t="str">
        <f t="shared" si="10"/>
        <v/>
      </c>
      <c r="AU37" s="208"/>
      <c r="AV37" s="208"/>
      <c r="AW37" s="208"/>
      <c r="AX37" s="208"/>
      <c r="AY37" s="208"/>
      <c r="AZ37" s="208"/>
      <c r="BA37" s="208"/>
      <c r="BB37" s="208"/>
      <c r="BC37" s="208"/>
      <c r="BD37" s="208"/>
      <c r="BE37" s="208"/>
      <c r="BF37" s="208"/>
      <c r="BG37" s="28"/>
      <c r="BH37" s="28"/>
      <c r="BI37" s="28"/>
      <c r="BJ37" s="28"/>
    </row>
    <row r="38" spans="1:62" s="23" customFormat="1" ht="21" customHeight="1" thickBot="1" x14ac:dyDescent="0.25">
      <c r="A38" s="846" t="str">
        <f>IF($AN38="","",IFERROR(VLOOKUP(CONCATENATE(CTR1_Billing!$E$20,$AN38),'Local Data Previous Year'!$C$3:$D$20000,2,0),CTR1_Billing!$E$21&amp;"NEW"))</f>
        <v/>
      </c>
      <c r="B38" s="846" t="str">
        <f>IF($E38="","",IFERROR(VLOOKUP(CONCATENATE(CTR1_Billing!$E$20,CTR1_Local!$E38),'Local Data Previous Year'!$C$3:$D$20000,2,0),CTR1_Billing!$E$21&amp;"NEW"))</f>
        <v/>
      </c>
      <c r="C38" s="846">
        <v>6</v>
      </c>
      <c r="D38" s="755" t="str" cm="1">
        <f t="array" ref="D38">IF(ISERROR(INDEX('Local Data Previous Year'!$D$3:$D$20000,SMALL(IF(CTR1_Billing!$E$21='Local Data Previous Year'!$A$3:$A$20000,ROW('Local Data Previous Year'!$A$3:$A$20000)-ROW('Local Data Previous Year'!$A$3)+1),ROW(6:6)))),"",INDEX('Local Data Previous Year'!$D$3:$D$20000,SMALL(IF(CTR1_Billing!$E$21='Local Data Previous Year'!$A$3:$A$20000,ROW('Local Data Previous Year'!$A$3:$A$20000)-ROW('Local Data Previous Year'!$A$3)+1),ROW(6:6))))</f>
        <v/>
      </c>
      <c r="E38" s="755" t="str" cm="1">
        <f t="array" ref="E38">IF(ISERROR(INDEX('Local Data Previous Year'!$E$3:$E$20000,SMALL(IF(CTR1_Billing!$E$21='Local Data Previous Year'!$A$3:$A$20000,ROW('Local Data Previous Year'!$A$3:$A$20000)-ROW('Local Data Previous Year'!$A$3)+1),ROW(6:6)))),"",INDEX('Local Data Previous Year'!$E$3:$E$20000,SMALL(IF(CTR1_Billing!$E$21='Local Data Previous Year'!$A$3:$A$20000,ROW('Local Data Previous Year'!$A$3:$A$20000)-ROW('Local Data Previous Year'!$A$3)+1),ROW(6:6))))</f>
        <v/>
      </c>
      <c r="F38" s="756" t="str">
        <f>IF($D38="","",IF(ISNA(MATCH($D38,'Local Data Previous Year'!$D$3:$D$20000,0)),"New",IFERROR(VLOOKUP($B38,'Local Data Previous Year'!$D$3:$I$20000,6,0),"")))</f>
        <v/>
      </c>
      <c r="G38" s="757">
        <f t="shared" si="11"/>
        <v>0</v>
      </c>
      <c r="H38" s="758" t="str">
        <f>IFERROR(INDEX('Local Data Previous Year'!$F:$F, MATCH($D38, 'Local Data Previous Year'!$D:$D, 0)), "")</f>
        <v/>
      </c>
      <c r="I38" s="759">
        <f>IF(B38=CTR1_Billing!$E$21&amp;"NEW",1,0)</f>
        <v>0</v>
      </c>
      <c r="J38" s="760" t="str">
        <f>IFERROR(INDEX('Local Data Previous Year'!$G:$G, MATCH($D38, 'Local Data Previous Year'!$D:$D, 0)), "")</f>
        <v/>
      </c>
      <c r="K38" s="762"/>
      <c r="L38" s="760" t="str">
        <f>IFERROR(INDEX('Local Data Previous Year'!$H:$H, MATCH($D38, 'Local Data Previous Year'!$D:$D, 0)), "")</f>
        <v/>
      </c>
      <c r="M38" s="762"/>
      <c r="N38" s="763"/>
      <c r="O38" s="764"/>
      <c r="P38" s="765"/>
      <c r="Q38" s="764"/>
      <c r="R38" s="766" t="str">
        <f t="shared" si="12"/>
        <v/>
      </c>
      <c r="S38" s="754"/>
      <c r="T38" s="763"/>
      <c r="U38" s="754"/>
      <c r="V38" s="763"/>
      <c r="W38" s="763"/>
      <c r="X38" s="865" t="str">
        <f>VLOOKUP(CTR1_Billing!$E$21,Data!$C$6:$D$302,1,FALSE)</f>
        <v>EZZZZ</v>
      </c>
      <c r="Y38" s="205"/>
      <c r="Z38" s="205">
        <f t="shared" si="0"/>
        <v>0</v>
      </c>
      <c r="AA38" s="289" t="str">
        <f t="shared" si="1"/>
        <v/>
      </c>
      <c r="AB38" s="205">
        <f t="shared" si="2"/>
        <v>0</v>
      </c>
      <c r="AC38" s="207"/>
      <c r="AD38" s="208"/>
      <c r="AE38" s="208"/>
      <c r="AF38" s="208"/>
      <c r="AG38" s="209" t="str">
        <f>IFERROR(INDEX('Local Data Previous Year'!$F:$F, MATCH($D38, 'Local Data Previous Year'!$D:$D, 0)), "")</f>
        <v/>
      </c>
      <c r="AH38" s="209" t="str">
        <f>IFERROR(INDEX('Local Data Previous Year'!$G:$G, MATCH($D38, 'Local Data Previous Year'!$D:$D, 0)), "")</f>
        <v/>
      </c>
      <c r="AI38" s="209" t="str">
        <f>IFERROR(INDEX('Local Data Previous Year'!$H:$H, MATCH($D38, 'Local Data Previous Year'!$D:$D, 0)), "")</f>
        <v/>
      </c>
      <c r="AJ38" s="209" t="str">
        <f t="shared" si="3"/>
        <v/>
      </c>
      <c r="AK38" s="209" t="str">
        <f t="shared" si="4"/>
        <v/>
      </c>
      <c r="AL38" s="209" t="str">
        <f t="shared" si="5"/>
        <v/>
      </c>
      <c r="AM38" s="208" t="str">
        <f>IF($AN38="","",IFERROR(VLOOKUP(CONCATENATE(CTR1_Billing!$E$20,$AN38),'Local Data Previous Year'!$C$3:$D$50000,2,0),CTR1_Billing!$E$21&amp;"NEW"))</f>
        <v/>
      </c>
      <c r="AN38" s="209" t="str" cm="1">
        <f t="array" ref="AN38">IF(ISERROR(INDEX('Local Data Previous Year'!$E$3:$E$50000, SMALL(IF(CTR1_Billing!$E$21='Local Data Previous Year'!$A$3:$A$50000, ROW('Local Data Previous Year'!$A$3:$A$50000)-ROW('Local Data Previous Year'!$A$3)+1), ROW(6:6)))), "", INDEX('Local Data Previous Year'!$E$3:$E$50000, SMALL(IF(CTR1_Billing!$E$21='Local Data Previous Year'!$A$3:$A$50000, ROW('Local Data Previous Year'!$A$3:$A$50000)-ROW('Local Data Previous Year'!$A$3)+1), ROW(6:6))))</f>
        <v/>
      </c>
      <c r="AO38" s="209" t="str">
        <f t="shared" si="6"/>
        <v/>
      </c>
      <c r="AP38" s="208"/>
      <c r="AQ38" s="209" t="str">
        <f t="shared" si="7"/>
        <v/>
      </c>
      <c r="AR38" s="209" t="str">
        <f t="shared" si="8"/>
        <v/>
      </c>
      <c r="AS38" s="202" t="str">
        <f t="shared" si="9"/>
        <v/>
      </c>
      <c r="AT38" s="202" t="str">
        <f t="shared" si="10"/>
        <v/>
      </c>
      <c r="AU38" s="208"/>
      <c r="AV38" s="208"/>
      <c r="AW38" s="208"/>
      <c r="AX38" s="208"/>
      <c r="AY38" s="208"/>
      <c r="AZ38" s="208"/>
      <c r="BA38" s="208"/>
      <c r="BB38" s="208"/>
      <c r="BC38" s="208"/>
      <c r="BD38" s="208"/>
      <c r="BE38" s="208"/>
      <c r="BF38" s="208"/>
      <c r="BG38" s="28"/>
      <c r="BH38" s="28"/>
      <c r="BI38" s="28"/>
      <c r="BJ38" s="28"/>
    </row>
    <row r="39" spans="1:62" s="23" customFormat="1" ht="21" customHeight="1" thickBot="1" x14ac:dyDescent="0.25">
      <c r="A39" s="846" t="str">
        <f>IF($AN39="","",IFERROR(VLOOKUP(CONCATENATE(CTR1_Billing!$E$20,$AN39),'Local Data Previous Year'!$C$3:$D$20000,2,0),CTR1_Billing!$E$21&amp;"NEW"))</f>
        <v/>
      </c>
      <c r="B39" s="846" t="str">
        <f>IF($E39="","",IFERROR(VLOOKUP(CONCATENATE(CTR1_Billing!$E$20,CTR1_Local!$E39),'Local Data Previous Year'!$C$3:$D$20000,2,0),CTR1_Billing!$E$21&amp;"NEW"))</f>
        <v/>
      </c>
      <c r="C39" s="846">
        <v>7</v>
      </c>
      <c r="D39" s="755" t="str" cm="1">
        <f t="array" ref="D39">IF(ISERROR(INDEX('Local Data Previous Year'!$D$3:$D$20000,SMALL(IF(CTR1_Billing!$E$21='Local Data Previous Year'!$A$3:$A$20000,ROW('Local Data Previous Year'!$A$3:$A$20000)-ROW('Local Data Previous Year'!$A$3)+1),ROW(7:7)))),"",INDEX('Local Data Previous Year'!$D$3:$D$20000,SMALL(IF(CTR1_Billing!$E$21='Local Data Previous Year'!$A$3:$A$20000,ROW('Local Data Previous Year'!$A$3:$A$20000)-ROW('Local Data Previous Year'!$A$3)+1),ROW(7:7))))</f>
        <v/>
      </c>
      <c r="E39" s="755" t="str" cm="1">
        <f t="array" ref="E39">IF(ISERROR(INDEX('Local Data Previous Year'!$E$3:$E$20000,SMALL(IF(CTR1_Billing!$E$21='Local Data Previous Year'!$A$3:$A$20000,ROW('Local Data Previous Year'!$A$3:$A$20000)-ROW('Local Data Previous Year'!$A$3)+1),ROW(7:7)))),"",INDEX('Local Data Previous Year'!$E$3:$E$20000,SMALL(IF(CTR1_Billing!$E$21='Local Data Previous Year'!$A$3:$A$20000,ROW('Local Data Previous Year'!$A$3:$A$20000)-ROW('Local Data Previous Year'!$A$3)+1),ROW(7:7))))</f>
        <v/>
      </c>
      <c r="F39" s="756" t="str">
        <f>IF($D39="","",IF(ISNA(MATCH($D39,'Local Data Previous Year'!$D$3:$D$20000,0)),"New",IFERROR(VLOOKUP($B39,'Local Data Previous Year'!$D$3:$I$20000,6,0),"")))</f>
        <v/>
      </c>
      <c r="G39" s="757">
        <f t="shared" si="11"/>
        <v>0</v>
      </c>
      <c r="H39" s="758" t="str">
        <f>IFERROR(INDEX('Local Data Previous Year'!$F:$F, MATCH($D39, 'Local Data Previous Year'!$D:$D, 0)), "")</f>
        <v/>
      </c>
      <c r="I39" s="759">
        <f>IF(B39=CTR1_Billing!$E$21&amp;"NEW",1,0)</f>
        <v>0</v>
      </c>
      <c r="J39" s="760" t="str">
        <f>IFERROR(INDEX('Local Data Previous Year'!$G:$G, MATCH($D39, 'Local Data Previous Year'!$D:$D, 0)), "")</f>
        <v/>
      </c>
      <c r="K39" s="762"/>
      <c r="L39" s="760" t="str">
        <f>IFERROR(INDEX('Local Data Previous Year'!$H:$H, MATCH($D39, 'Local Data Previous Year'!$D:$D, 0)), "")</f>
        <v/>
      </c>
      <c r="M39" s="762"/>
      <c r="N39" s="763"/>
      <c r="O39" s="764"/>
      <c r="P39" s="765"/>
      <c r="Q39" s="764"/>
      <c r="R39" s="766" t="str">
        <f t="shared" si="12"/>
        <v/>
      </c>
      <c r="S39" s="754"/>
      <c r="T39" s="763"/>
      <c r="U39" s="754"/>
      <c r="V39" s="763"/>
      <c r="W39" s="763"/>
      <c r="X39" s="865" t="str">
        <f>VLOOKUP(CTR1_Billing!$E$21,Data!$C$6:$D$302,1,FALSE)</f>
        <v>EZZZZ</v>
      </c>
      <c r="Y39" s="205"/>
      <c r="Z39" s="205">
        <f t="shared" si="0"/>
        <v>0</v>
      </c>
      <c r="AA39" s="289" t="str">
        <f t="shared" si="1"/>
        <v/>
      </c>
      <c r="AB39" s="205">
        <f t="shared" si="2"/>
        <v>0</v>
      </c>
      <c r="AC39" s="207"/>
      <c r="AD39" s="208"/>
      <c r="AE39" s="208"/>
      <c r="AF39" s="208"/>
      <c r="AG39" s="209" t="str">
        <f>IFERROR(INDEX('Local Data Previous Year'!$F:$F, MATCH($D39, 'Local Data Previous Year'!$D:$D, 0)), "")</f>
        <v/>
      </c>
      <c r="AH39" s="209" t="str">
        <f>IFERROR(INDEX('Local Data Previous Year'!$G:$G, MATCH($D39, 'Local Data Previous Year'!$D:$D, 0)), "")</f>
        <v/>
      </c>
      <c r="AI39" s="209" t="str">
        <f>IFERROR(INDEX('Local Data Previous Year'!$H:$H, MATCH($D39, 'Local Data Previous Year'!$D:$D, 0)), "")</f>
        <v/>
      </c>
      <c r="AJ39" s="209" t="str">
        <f t="shared" si="3"/>
        <v/>
      </c>
      <c r="AK39" s="209" t="str">
        <f t="shared" si="4"/>
        <v/>
      </c>
      <c r="AL39" s="209" t="str">
        <f t="shared" si="5"/>
        <v/>
      </c>
      <c r="AM39" s="208" t="str">
        <f>IF($AN39="","",IFERROR(VLOOKUP(CONCATENATE(CTR1_Billing!$E$20,$AN39),'Local Data Previous Year'!$C$3:$D$50000,2,0),CTR1_Billing!$E$21&amp;"NEW"))</f>
        <v/>
      </c>
      <c r="AN39" s="209" t="str" cm="1">
        <f t="array" ref="AN39">IF(ISERROR(INDEX('Local Data Previous Year'!$E$3:$E$50000, SMALL(IF(CTR1_Billing!$E$21='Local Data Previous Year'!$A$3:$A$50000, ROW('Local Data Previous Year'!$A$3:$A$50000)-ROW('Local Data Previous Year'!$A$3)+1), ROW(7:7)))), "", INDEX('Local Data Previous Year'!$E$3:$E$50000, SMALL(IF(CTR1_Billing!$E$21='Local Data Previous Year'!$A$3:$A$50000, ROW('Local Data Previous Year'!$A$3:$A$50000)-ROW('Local Data Previous Year'!$A$3)+1), ROW(7:7))))</f>
        <v/>
      </c>
      <c r="AO39" s="209" t="str">
        <f t="shared" si="6"/>
        <v/>
      </c>
      <c r="AP39" s="208"/>
      <c r="AQ39" s="209" t="str">
        <f t="shared" si="7"/>
        <v/>
      </c>
      <c r="AR39" s="209" t="str">
        <f t="shared" si="8"/>
        <v/>
      </c>
      <c r="AS39" s="202" t="str">
        <f t="shared" si="9"/>
        <v/>
      </c>
      <c r="AT39" s="202" t="str">
        <f t="shared" si="10"/>
        <v/>
      </c>
      <c r="AU39" s="208"/>
      <c r="AV39" s="208"/>
      <c r="AW39" s="208"/>
      <c r="AX39" s="208"/>
      <c r="AY39" s="208"/>
      <c r="AZ39" s="208"/>
      <c r="BA39" s="208"/>
      <c r="BB39" s="208"/>
      <c r="BC39" s="208"/>
      <c r="BD39" s="208"/>
      <c r="BE39" s="208"/>
      <c r="BF39" s="208"/>
      <c r="BG39" s="28"/>
      <c r="BH39" s="28"/>
      <c r="BI39" s="28"/>
      <c r="BJ39" s="28"/>
    </row>
    <row r="40" spans="1:62" s="23" customFormat="1" ht="21" customHeight="1" thickBot="1" x14ac:dyDescent="0.25">
      <c r="A40" s="846" t="str">
        <f>IF($AN40="","",IFERROR(VLOOKUP(CONCATENATE(CTR1_Billing!$E$20,$AN40),'Local Data Previous Year'!$C$3:$D$20000,2,0),CTR1_Billing!$E$21&amp;"NEW"))</f>
        <v/>
      </c>
      <c r="B40" s="846" t="str">
        <f>IF($E40="","",IFERROR(VLOOKUP(CONCATENATE(CTR1_Billing!$E$20,CTR1_Local!$E40),'Local Data Previous Year'!$C$3:$D$20000,2,0),CTR1_Billing!$E$21&amp;"NEW"))</f>
        <v/>
      </c>
      <c r="C40" s="846">
        <v>8</v>
      </c>
      <c r="D40" s="755" t="str" cm="1">
        <f t="array" ref="D40">IF(ISERROR(INDEX('Local Data Previous Year'!$D$3:$D$20000,SMALL(IF(CTR1_Billing!$E$21='Local Data Previous Year'!$A$3:$A$20000,ROW('Local Data Previous Year'!$A$3:$A$20000)-ROW('Local Data Previous Year'!$A$3)+1),ROW(8:8)))),"",INDEX('Local Data Previous Year'!$D$3:$D$20000,SMALL(IF(CTR1_Billing!$E$21='Local Data Previous Year'!$A$3:$A$20000,ROW('Local Data Previous Year'!$A$3:$A$20000)-ROW('Local Data Previous Year'!$A$3)+1),ROW(8:8))))</f>
        <v/>
      </c>
      <c r="E40" s="755" t="str" cm="1">
        <f t="array" ref="E40">IF(ISERROR(INDEX('Local Data Previous Year'!$E$3:$E$20000,SMALL(IF(CTR1_Billing!$E$21='Local Data Previous Year'!$A$3:$A$20000,ROW('Local Data Previous Year'!$A$3:$A$20000)-ROW('Local Data Previous Year'!$A$3)+1),ROW(8:8)))),"",INDEX('Local Data Previous Year'!$E$3:$E$20000,SMALL(IF(CTR1_Billing!$E$21='Local Data Previous Year'!$A$3:$A$20000,ROW('Local Data Previous Year'!$A$3:$A$20000)-ROW('Local Data Previous Year'!$A$3)+1),ROW(8:8))))</f>
        <v/>
      </c>
      <c r="F40" s="756" t="str">
        <f>IF($D40="","",IF(ISNA(MATCH($D40,'Local Data Previous Year'!$D$3:$D$20000,0)),"New",IFERROR(VLOOKUP($B40,'Local Data Previous Year'!$D$3:$I$20000,6,0),"")))</f>
        <v/>
      </c>
      <c r="G40" s="757">
        <f t="shared" si="11"/>
        <v>0</v>
      </c>
      <c r="H40" s="758" t="str">
        <f>IFERROR(INDEX('Local Data Previous Year'!$F:$F, MATCH($D40, 'Local Data Previous Year'!$D:$D, 0)), "")</f>
        <v/>
      </c>
      <c r="I40" s="759">
        <f>IF(B40=CTR1_Billing!$E$21&amp;"NEW",1,0)</f>
        <v>0</v>
      </c>
      <c r="J40" s="760" t="str">
        <f>IFERROR(INDEX('Local Data Previous Year'!$G:$G, MATCH($D40, 'Local Data Previous Year'!$D:$D, 0)), "")</f>
        <v/>
      </c>
      <c r="K40" s="762"/>
      <c r="L40" s="760" t="str">
        <f>IFERROR(INDEX('Local Data Previous Year'!$H:$H, MATCH($D40, 'Local Data Previous Year'!$D:$D, 0)), "")</f>
        <v/>
      </c>
      <c r="M40" s="762"/>
      <c r="N40" s="763"/>
      <c r="O40" s="764"/>
      <c r="P40" s="765"/>
      <c r="Q40" s="764"/>
      <c r="R40" s="766" t="str">
        <f t="shared" si="12"/>
        <v/>
      </c>
      <c r="S40" s="754"/>
      <c r="T40" s="763"/>
      <c r="U40" s="754"/>
      <c r="V40" s="763"/>
      <c r="W40" s="763"/>
      <c r="X40" s="865" t="str">
        <f>VLOOKUP(CTR1_Billing!$E$21,Data!$C$6:$D$302,1,FALSE)</f>
        <v>EZZZZ</v>
      </c>
      <c r="Y40" s="205"/>
      <c r="Z40" s="205">
        <f t="shared" si="0"/>
        <v>0</v>
      </c>
      <c r="AA40" s="289" t="str">
        <f t="shared" si="1"/>
        <v/>
      </c>
      <c r="AB40" s="205">
        <f t="shared" si="2"/>
        <v>0</v>
      </c>
      <c r="AC40" s="207"/>
      <c r="AD40" s="208"/>
      <c r="AE40" s="208"/>
      <c r="AF40" s="208"/>
      <c r="AG40" s="209" t="str">
        <f>IFERROR(INDEX('Local Data Previous Year'!$F:$F, MATCH($D40, 'Local Data Previous Year'!$D:$D, 0)), "")</f>
        <v/>
      </c>
      <c r="AH40" s="209" t="str">
        <f>IFERROR(INDEX('Local Data Previous Year'!$G:$G, MATCH($D40, 'Local Data Previous Year'!$D:$D, 0)), "")</f>
        <v/>
      </c>
      <c r="AI40" s="209" t="str">
        <f>IFERROR(INDEX('Local Data Previous Year'!$H:$H, MATCH($D40, 'Local Data Previous Year'!$D:$D, 0)), "")</f>
        <v/>
      </c>
      <c r="AJ40" s="209" t="str">
        <f t="shared" si="3"/>
        <v/>
      </c>
      <c r="AK40" s="209" t="str">
        <f t="shared" si="4"/>
        <v/>
      </c>
      <c r="AL40" s="209" t="str">
        <f t="shared" si="5"/>
        <v/>
      </c>
      <c r="AM40" s="208" t="str">
        <f>IF($AN40="","",IFERROR(VLOOKUP(CONCATENATE(CTR1_Billing!$E$20,$AN40),'Local Data Previous Year'!$C$3:$D$50000,2,0),CTR1_Billing!$E$21&amp;"NEW"))</f>
        <v/>
      </c>
      <c r="AN40" s="209" t="str" cm="1">
        <f t="array" ref="AN40">IF(ISERROR(INDEX('Local Data Previous Year'!$E$3:$E$50000, SMALL(IF(CTR1_Billing!$E$21='Local Data Previous Year'!$A$3:$A$50000, ROW('Local Data Previous Year'!$A$3:$A$50000)-ROW('Local Data Previous Year'!$A$3)+1), ROW(8:8)))), "", INDEX('Local Data Previous Year'!$E$3:$E$50000, SMALL(IF(CTR1_Billing!$E$21='Local Data Previous Year'!$A$3:$A$50000, ROW('Local Data Previous Year'!$A$3:$A$50000)-ROW('Local Data Previous Year'!$A$3)+1), ROW(8:8))))</f>
        <v/>
      </c>
      <c r="AO40" s="209" t="str">
        <f t="shared" si="6"/>
        <v/>
      </c>
      <c r="AP40" s="208"/>
      <c r="AQ40" s="209" t="str">
        <f t="shared" si="7"/>
        <v/>
      </c>
      <c r="AR40" s="209" t="str">
        <f t="shared" si="8"/>
        <v/>
      </c>
      <c r="AS40" s="202" t="str">
        <f t="shared" si="9"/>
        <v/>
      </c>
      <c r="AT40" s="202" t="str">
        <f t="shared" si="10"/>
        <v/>
      </c>
      <c r="AU40" s="208"/>
      <c r="AV40" s="208"/>
      <c r="AW40" s="208"/>
      <c r="AX40" s="208"/>
      <c r="AY40" s="208"/>
      <c r="AZ40" s="208"/>
      <c r="BA40" s="208"/>
      <c r="BB40" s="208"/>
      <c r="BC40" s="208"/>
      <c r="BD40" s="208"/>
      <c r="BE40" s="208"/>
      <c r="BF40" s="208"/>
      <c r="BG40" s="28"/>
      <c r="BH40" s="28"/>
      <c r="BI40" s="28"/>
      <c r="BJ40" s="28"/>
    </row>
    <row r="41" spans="1:62" s="23" customFormat="1" ht="21" customHeight="1" thickBot="1" x14ac:dyDescent="0.25">
      <c r="A41" s="846" t="str">
        <f>IF($AN41="","",IFERROR(VLOOKUP(CONCATENATE(CTR1_Billing!$E$20,$AN41),'Local Data Previous Year'!$C$3:$D$20000,2,0),CTR1_Billing!$E$21&amp;"NEW"))</f>
        <v/>
      </c>
      <c r="B41" s="846" t="str">
        <f>IF($E41="","",IFERROR(VLOOKUP(CONCATENATE(CTR1_Billing!$E$20,CTR1_Local!$E41),'Local Data Previous Year'!$C$3:$D$20000,2,0),CTR1_Billing!$E$21&amp;"NEW"))</f>
        <v/>
      </c>
      <c r="C41" s="846">
        <v>9</v>
      </c>
      <c r="D41" s="755" t="str" cm="1">
        <f t="array" ref="D41">IF(ISERROR(INDEX('Local Data Previous Year'!$D$3:$D$20000,SMALL(IF(CTR1_Billing!$E$21='Local Data Previous Year'!$A$3:$A$20000,ROW('Local Data Previous Year'!$A$3:$A$20000)-ROW('Local Data Previous Year'!$A$3)+1),ROW(9:9)))),"",INDEX('Local Data Previous Year'!$D$3:$D$20000,SMALL(IF(CTR1_Billing!$E$21='Local Data Previous Year'!$A$3:$A$20000,ROW('Local Data Previous Year'!$A$3:$A$20000)-ROW('Local Data Previous Year'!$A$3)+1),ROW(9:9))))</f>
        <v/>
      </c>
      <c r="E41" s="755" t="str" cm="1">
        <f t="array" ref="E41">IF(ISERROR(INDEX('Local Data Previous Year'!$E$3:$E$20000,SMALL(IF(CTR1_Billing!$E$21='Local Data Previous Year'!$A$3:$A$20000,ROW('Local Data Previous Year'!$A$3:$A$20000)-ROW('Local Data Previous Year'!$A$3)+1),ROW(9:9)))),"",INDEX('Local Data Previous Year'!$E$3:$E$20000,SMALL(IF(CTR1_Billing!$E$21='Local Data Previous Year'!$A$3:$A$20000,ROW('Local Data Previous Year'!$A$3:$A$20000)-ROW('Local Data Previous Year'!$A$3)+1),ROW(9:9))))</f>
        <v/>
      </c>
      <c r="F41" s="756" t="str">
        <f>IF($D41="","",IF(ISNA(MATCH($D41,'Local Data Previous Year'!$D$3:$D$20000,0)),"New",IFERROR(VLOOKUP($B41,'Local Data Previous Year'!$D$3:$I$20000,6,0),"")))</f>
        <v/>
      </c>
      <c r="G41" s="757">
        <f t="shared" si="11"/>
        <v>0</v>
      </c>
      <c r="H41" s="758" t="str">
        <f>IFERROR(INDEX('Local Data Previous Year'!$F:$F, MATCH($D41, 'Local Data Previous Year'!$D:$D, 0)), "")</f>
        <v/>
      </c>
      <c r="I41" s="759">
        <f>IF(B41=CTR1_Billing!$E$21&amp;"NEW",1,0)</f>
        <v>0</v>
      </c>
      <c r="J41" s="760" t="str">
        <f>IFERROR(INDEX('Local Data Previous Year'!$G:$G, MATCH($D41, 'Local Data Previous Year'!$D:$D, 0)), "")</f>
        <v/>
      </c>
      <c r="K41" s="762"/>
      <c r="L41" s="760" t="str">
        <f>IFERROR(INDEX('Local Data Previous Year'!$H:$H, MATCH($D41, 'Local Data Previous Year'!$D:$D, 0)), "")</f>
        <v/>
      </c>
      <c r="M41" s="762"/>
      <c r="N41" s="763"/>
      <c r="O41" s="764"/>
      <c r="P41" s="765"/>
      <c r="Q41" s="764"/>
      <c r="R41" s="766" t="str">
        <f t="shared" si="12"/>
        <v/>
      </c>
      <c r="S41" s="754"/>
      <c r="T41" s="763"/>
      <c r="U41" s="754"/>
      <c r="V41" s="763"/>
      <c r="W41" s="763"/>
      <c r="X41" s="865" t="str">
        <f>VLOOKUP(CTR1_Billing!$E$21,Data!$C$6:$D$302,1,FALSE)</f>
        <v>EZZZZ</v>
      </c>
      <c r="Y41" s="205"/>
      <c r="Z41" s="205">
        <f t="shared" si="0"/>
        <v>0</v>
      </c>
      <c r="AA41" s="289" t="str">
        <f t="shared" si="1"/>
        <v/>
      </c>
      <c r="AB41" s="205">
        <f t="shared" si="2"/>
        <v>0</v>
      </c>
      <c r="AC41" s="207"/>
      <c r="AD41" s="208"/>
      <c r="AE41" s="208"/>
      <c r="AF41" s="208"/>
      <c r="AG41" s="209" t="str">
        <f>IFERROR(INDEX('Local Data Previous Year'!$F:$F, MATCH($D41, 'Local Data Previous Year'!$D:$D, 0)), "")</f>
        <v/>
      </c>
      <c r="AH41" s="209" t="str">
        <f>IFERROR(INDEX('Local Data Previous Year'!$G:$G, MATCH($D41, 'Local Data Previous Year'!$D:$D, 0)), "")</f>
        <v/>
      </c>
      <c r="AI41" s="209" t="str">
        <f>IFERROR(INDEX('Local Data Previous Year'!$H:$H, MATCH($D41, 'Local Data Previous Year'!$D:$D, 0)), "")</f>
        <v/>
      </c>
      <c r="AJ41" s="209" t="str">
        <f t="shared" si="3"/>
        <v/>
      </c>
      <c r="AK41" s="209" t="str">
        <f t="shared" si="4"/>
        <v/>
      </c>
      <c r="AL41" s="209" t="str">
        <f t="shared" si="5"/>
        <v/>
      </c>
      <c r="AM41" s="208" t="str">
        <f>IF($AN41="","",IFERROR(VLOOKUP(CONCATENATE(CTR1_Billing!$E$20,$AN41),'Local Data Previous Year'!$C$3:$D$50000,2,0),CTR1_Billing!$E$21&amp;"NEW"))</f>
        <v/>
      </c>
      <c r="AN41" s="209" t="str" cm="1">
        <f t="array" ref="AN41">IF(ISERROR(INDEX('Local Data Previous Year'!$E$3:$E$50000, SMALL(IF(CTR1_Billing!$E$21='Local Data Previous Year'!$A$3:$A$50000, ROW('Local Data Previous Year'!$A$3:$A$50000)-ROW('Local Data Previous Year'!$A$3)+1), ROW(9:9)))), "", INDEX('Local Data Previous Year'!$E$3:$E$50000, SMALL(IF(CTR1_Billing!$E$21='Local Data Previous Year'!$A$3:$A$50000, ROW('Local Data Previous Year'!$A$3:$A$50000)-ROW('Local Data Previous Year'!$A$3)+1), ROW(9:9))))</f>
        <v/>
      </c>
      <c r="AO41" s="209" t="str">
        <f t="shared" si="6"/>
        <v/>
      </c>
      <c r="AP41" s="208"/>
      <c r="AQ41" s="209" t="str">
        <f t="shared" si="7"/>
        <v/>
      </c>
      <c r="AR41" s="209" t="str">
        <f t="shared" si="8"/>
        <v/>
      </c>
      <c r="AS41" s="202" t="str">
        <f t="shared" si="9"/>
        <v/>
      </c>
      <c r="AT41" s="202" t="str">
        <f t="shared" si="10"/>
        <v/>
      </c>
      <c r="AU41" s="208"/>
      <c r="AV41" s="208"/>
      <c r="AW41" s="208"/>
      <c r="AX41" s="208"/>
      <c r="AY41" s="208"/>
      <c r="AZ41" s="208"/>
      <c r="BA41" s="208"/>
      <c r="BB41" s="208"/>
      <c r="BC41" s="208"/>
      <c r="BD41" s="208"/>
      <c r="BE41" s="208"/>
      <c r="BF41" s="208"/>
      <c r="BG41" s="28"/>
      <c r="BH41" s="28"/>
      <c r="BI41" s="28"/>
      <c r="BJ41" s="28"/>
    </row>
    <row r="42" spans="1:62" s="23" customFormat="1" ht="21" customHeight="1" thickBot="1" x14ac:dyDescent="0.25">
      <c r="A42" s="846" t="str">
        <f>IF($AN42="","",IFERROR(VLOOKUP(CONCATENATE(CTR1_Billing!$E$20,$AN42),'Local Data Previous Year'!$C$3:$D$20000,2,0),CTR1_Billing!$E$21&amp;"NEW"))</f>
        <v/>
      </c>
      <c r="B42" s="846" t="str">
        <f>IF($E42="","",IFERROR(VLOOKUP(CONCATENATE(CTR1_Billing!$E$20,CTR1_Local!$E42),'Local Data Previous Year'!$C$3:$D$20000,2,0),CTR1_Billing!$E$21&amp;"NEW"))</f>
        <v/>
      </c>
      <c r="C42" s="846">
        <v>10</v>
      </c>
      <c r="D42" s="755" t="str" cm="1">
        <f t="array" ref="D42">IF(ISERROR(INDEX('Local Data Previous Year'!$D$3:$D$20000,SMALL(IF(CTR1_Billing!$E$21='Local Data Previous Year'!$A$3:$A$20000,ROW('Local Data Previous Year'!$A$3:$A$20000)-ROW('Local Data Previous Year'!$A$3)+1),ROW(10:10)))),"",INDEX('Local Data Previous Year'!$D$3:$D$20000,SMALL(IF(CTR1_Billing!$E$21='Local Data Previous Year'!$A$3:$A$20000,ROW('Local Data Previous Year'!$A$3:$A$20000)-ROW('Local Data Previous Year'!$A$3)+1),ROW(10:10))))</f>
        <v/>
      </c>
      <c r="E42" s="755" t="str" cm="1">
        <f t="array" ref="E42">IF(ISERROR(INDEX('Local Data Previous Year'!$E$3:$E$20000,SMALL(IF(CTR1_Billing!$E$21='Local Data Previous Year'!$A$3:$A$20000,ROW('Local Data Previous Year'!$A$3:$A$20000)-ROW('Local Data Previous Year'!$A$3)+1),ROW(10:10)))),"",INDEX('Local Data Previous Year'!$E$3:$E$20000,SMALL(IF(CTR1_Billing!$E$21='Local Data Previous Year'!$A$3:$A$20000,ROW('Local Data Previous Year'!$A$3:$A$20000)-ROW('Local Data Previous Year'!$A$3)+1),ROW(10:10))))</f>
        <v/>
      </c>
      <c r="F42" s="756" t="str">
        <f>IF($D42="","",IF(ISNA(MATCH($D42,'Local Data Previous Year'!$D$3:$D$20000,0)),"New",IFERROR(VLOOKUP($B42,'Local Data Previous Year'!$D$3:$I$20000,6,0),"")))</f>
        <v/>
      </c>
      <c r="G42" s="757">
        <f t="shared" si="11"/>
        <v>0</v>
      </c>
      <c r="H42" s="758" t="str">
        <f>IFERROR(INDEX('Local Data Previous Year'!$F:$F, MATCH($D42, 'Local Data Previous Year'!$D:$D, 0)), "")</f>
        <v/>
      </c>
      <c r="I42" s="759">
        <f>IF(B42=CTR1_Billing!$E$21&amp;"NEW",1,0)</f>
        <v>0</v>
      </c>
      <c r="J42" s="760" t="str">
        <f>IFERROR(INDEX('Local Data Previous Year'!$G:$G, MATCH($D42, 'Local Data Previous Year'!$D:$D, 0)), "")</f>
        <v/>
      </c>
      <c r="K42" s="762"/>
      <c r="L42" s="760" t="str">
        <f>IFERROR(INDEX('Local Data Previous Year'!$H:$H, MATCH($D42, 'Local Data Previous Year'!$D:$D, 0)), "")</f>
        <v/>
      </c>
      <c r="M42" s="762"/>
      <c r="N42" s="763"/>
      <c r="O42" s="764"/>
      <c r="P42" s="765"/>
      <c r="Q42" s="764"/>
      <c r="R42" s="766" t="str">
        <f t="shared" si="12"/>
        <v/>
      </c>
      <c r="S42" s="754"/>
      <c r="T42" s="763"/>
      <c r="U42" s="754"/>
      <c r="V42" s="763"/>
      <c r="W42" s="763"/>
      <c r="X42" s="865" t="str">
        <f>VLOOKUP(CTR1_Billing!$E$21,Data!$C$6:$D$302,1,FALSE)</f>
        <v>EZZZZ</v>
      </c>
      <c r="Y42" s="205"/>
      <c r="Z42" s="205">
        <f t="shared" si="0"/>
        <v>0</v>
      </c>
      <c r="AA42" s="289" t="str">
        <f t="shared" si="1"/>
        <v/>
      </c>
      <c r="AB42" s="205">
        <f t="shared" si="2"/>
        <v>0</v>
      </c>
      <c r="AC42" s="207"/>
      <c r="AD42" s="208"/>
      <c r="AE42" s="208"/>
      <c r="AF42" s="208"/>
      <c r="AG42" s="209" t="str">
        <f>IFERROR(INDEX('Local Data Previous Year'!$F:$F, MATCH($D42, 'Local Data Previous Year'!$D:$D, 0)), "")</f>
        <v/>
      </c>
      <c r="AH42" s="209" t="str">
        <f>IFERROR(INDEX('Local Data Previous Year'!$G:$G, MATCH($D42, 'Local Data Previous Year'!$D:$D, 0)), "")</f>
        <v/>
      </c>
      <c r="AI42" s="209" t="str">
        <f>IFERROR(INDEX('Local Data Previous Year'!$H:$H, MATCH($D42, 'Local Data Previous Year'!$D:$D, 0)), "")</f>
        <v/>
      </c>
      <c r="AJ42" s="209" t="str">
        <f t="shared" si="3"/>
        <v/>
      </c>
      <c r="AK42" s="209" t="str">
        <f t="shared" si="4"/>
        <v/>
      </c>
      <c r="AL42" s="209" t="str">
        <f t="shared" si="5"/>
        <v/>
      </c>
      <c r="AM42" s="208" t="str">
        <f>IF($AN42="","",IFERROR(VLOOKUP(CONCATENATE(CTR1_Billing!$E$20,$AN42),'Local Data Previous Year'!$C$3:$D$50000,2,0),CTR1_Billing!$E$21&amp;"NEW"))</f>
        <v/>
      </c>
      <c r="AN42" s="209" t="str" cm="1">
        <f t="array" ref="AN42">IF(ISERROR(INDEX('Local Data Previous Year'!$E$3:$E$50000, SMALL(IF(CTR1_Billing!$E$21='Local Data Previous Year'!$A$3:$A$50000, ROW('Local Data Previous Year'!$A$3:$A$50000)-ROW('Local Data Previous Year'!$A$3)+1), ROW(10:10)))), "", INDEX('Local Data Previous Year'!$E$3:$E$50000, SMALL(IF(CTR1_Billing!$E$21='Local Data Previous Year'!$A$3:$A$50000, ROW('Local Data Previous Year'!$A$3:$A$50000)-ROW('Local Data Previous Year'!$A$3)+1), ROW(10:10))))</f>
        <v/>
      </c>
      <c r="AO42" s="209" t="str">
        <f t="shared" si="6"/>
        <v/>
      </c>
      <c r="AP42" s="208"/>
      <c r="AQ42" s="209" t="str">
        <f t="shared" si="7"/>
        <v/>
      </c>
      <c r="AR42" s="209" t="str">
        <f t="shared" si="8"/>
        <v/>
      </c>
      <c r="AS42" s="202" t="str">
        <f t="shared" si="9"/>
        <v/>
      </c>
      <c r="AT42" s="202" t="str">
        <f t="shared" si="10"/>
        <v/>
      </c>
      <c r="AU42" s="208"/>
      <c r="AV42" s="208"/>
      <c r="AW42" s="208"/>
      <c r="AX42" s="208"/>
      <c r="AY42" s="208"/>
      <c r="AZ42" s="208"/>
      <c r="BA42" s="208"/>
      <c r="BB42" s="208"/>
      <c r="BC42" s="208"/>
      <c r="BD42" s="208"/>
      <c r="BE42" s="208"/>
      <c r="BF42" s="208"/>
      <c r="BG42" s="28"/>
      <c r="BH42" s="28"/>
      <c r="BI42" s="28"/>
      <c r="BJ42" s="28"/>
    </row>
    <row r="43" spans="1:62" s="23" customFormat="1" ht="21" customHeight="1" thickBot="1" x14ac:dyDescent="0.25">
      <c r="A43" s="846" t="str">
        <f>IF($AN43="","",IFERROR(VLOOKUP(CONCATENATE(CTR1_Billing!$E$20,$AN43),'Local Data Previous Year'!$C$3:$D$20000,2,0),CTR1_Billing!$E$21&amp;"NEW"))</f>
        <v/>
      </c>
      <c r="B43" s="846" t="str">
        <f>IF($E43="","",IFERROR(VLOOKUP(CONCATENATE(CTR1_Billing!$E$20,CTR1_Local!$E43),'Local Data Previous Year'!$C$3:$D$20000,2,0),CTR1_Billing!$E$21&amp;"NEW"))</f>
        <v/>
      </c>
      <c r="C43" s="846">
        <v>11</v>
      </c>
      <c r="D43" s="755" t="str" cm="1">
        <f t="array" ref="D43">IF(ISERROR(INDEX('Local Data Previous Year'!$D$3:$D$20000,SMALL(IF(CTR1_Billing!$E$21='Local Data Previous Year'!$A$3:$A$20000,ROW('Local Data Previous Year'!$A$3:$A$20000)-ROW('Local Data Previous Year'!$A$3)+1),ROW(11:11)))),"",INDEX('Local Data Previous Year'!$D$3:$D$20000,SMALL(IF(CTR1_Billing!$E$21='Local Data Previous Year'!$A$3:$A$20000,ROW('Local Data Previous Year'!$A$3:$A$20000)-ROW('Local Data Previous Year'!$A$3)+1),ROW(11:11))))</f>
        <v/>
      </c>
      <c r="E43" s="755" t="str" cm="1">
        <f t="array" ref="E43">IF(ISERROR(INDEX('Local Data Previous Year'!$E$3:$E$20000,SMALL(IF(CTR1_Billing!$E$21='Local Data Previous Year'!$A$3:$A$20000,ROW('Local Data Previous Year'!$A$3:$A$20000)-ROW('Local Data Previous Year'!$A$3)+1),ROW(11:11)))),"",INDEX('Local Data Previous Year'!$E$3:$E$20000,SMALL(IF(CTR1_Billing!$E$21='Local Data Previous Year'!$A$3:$A$20000,ROW('Local Data Previous Year'!$A$3:$A$20000)-ROW('Local Data Previous Year'!$A$3)+1),ROW(11:11))))</f>
        <v/>
      </c>
      <c r="F43" s="756" t="str">
        <f>IF($D43="","",IF(ISNA(MATCH($D43,'Local Data Previous Year'!$D$3:$D$20000,0)),"New",IFERROR(VLOOKUP($B43,'Local Data Previous Year'!$D$3:$I$20000,6,0),"")))</f>
        <v/>
      </c>
      <c r="G43" s="757">
        <f t="shared" si="11"/>
        <v>0</v>
      </c>
      <c r="H43" s="758" t="str">
        <f>IFERROR(INDEX('Local Data Previous Year'!$F:$F, MATCH($D43, 'Local Data Previous Year'!$D:$D, 0)), "")</f>
        <v/>
      </c>
      <c r="I43" s="759">
        <f>IF(B43=CTR1_Billing!$E$21&amp;"NEW",1,0)</f>
        <v>0</v>
      </c>
      <c r="J43" s="760" t="str">
        <f>IFERROR(INDEX('Local Data Previous Year'!$G:$G, MATCH($D43, 'Local Data Previous Year'!$D:$D, 0)), "")</f>
        <v/>
      </c>
      <c r="K43" s="762"/>
      <c r="L43" s="760" t="str">
        <f>IFERROR(INDEX('Local Data Previous Year'!$H:$H, MATCH($D43, 'Local Data Previous Year'!$D:$D, 0)), "")</f>
        <v/>
      </c>
      <c r="M43" s="762"/>
      <c r="N43" s="763"/>
      <c r="O43" s="764"/>
      <c r="P43" s="765"/>
      <c r="Q43" s="764"/>
      <c r="R43" s="766" t="str">
        <f t="shared" si="12"/>
        <v/>
      </c>
      <c r="S43" s="754"/>
      <c r="T43" s="763"/>
      <c r="U43" s="754"/>
      <c r="V43" s="763"/>
      <c r="W43" s="763"/>
      <c r="X43" s="865" t="str">
        <f>VLOOKUP(CTR1_Billing!$E$21,Data!$C$6:$D$302,1,FALSE)</f>
        <v>EZZZZ</v>
      </c>
      <c r="Y43" s="205"/>
      <c r="Z43" s="205">
        <f t="shared" si="0"/>
        <v>0</v>
      </c>
      <c r="AA43" s="289" t="str">
        <f t="shared" si="1"/>
        <v/>
      </c>
      <c r="AB43" s="205">
        <f t="shared" si="2"/>
        <v>0</v>
      </c>
      <c r="AC43" s="207"/>
      <c r="AD43" s="208"/>
      <c r="AE43" s="208"/>
      <c r="AF43" s="208"/>
      <c r="AG43" s="209" t="str">
        <f>IFERROR(INDEX('Local Data Previous Year'!$F:$F, MATCH($D43, 'Local Data Previous Year'!$D:$D, 0)), "")</f>
        <v/>
      </c>
      <c r="AH43" s="209" t="str">
        <f>IFERROR(INDEX('Local Data Previous Year'!$G:$G, MATCH($D43, 'Local Data Previous Year'!$D:$D, 0)), "")</f>
        <v/>
      </c>
      <c r="AI43" s="209" t="str">
        <f>IFERROR(INDEX('Local Data Previous Year'!$H:$H, MATCH($D43, 'Local Data Previous Year'!$D:$D, 0)), "")</f>
        <v/>
      </c>
      <c r="AJ43" s="209" t="str">
        <f t="shared" si="3"/>
        <v/>
      </c>
      <c r="AK43" s="209" t="str">
        <f t="shared" si="4"/>
        <v/>
      </c>
      <c r="AL43" s="209" t="str">
        <f t="shared" si="5"/>
        <v/>
      </c>
      <c r="AM43" s="208" t="str">
        <f>IF($AN43="","",IFERROR(VLOOKUP(CONCATENATE(CTR1_Billing!$E$20,$AN43),'Local Data Previous Year'!$C$3:$D$50000,2,0),CTR1_Billing!$E$21&amp;"NEW"))</f>
        <v/>
      </c>
      <c r="AN43" s="209" t="str" cm="1">
        <f t="array" ref="AN43">IF(ISERROR(INDEX('Local Data Previous Year'!$E$3:$E$50000, SMALL(IF(CTR1_Billing!$E$21='Local Data Previous Year'!$A$3:$A$50000, ROW('Local Data Previous Year'!$A$3:$A$50000)-ROW('Local Data Previous Year'!$A$3)+1), ROW(11:11)))), "", INDEX('Local Data Previous Year'!$E$3:$E$50000, SMALL(IF(CTR1_Billing!$E$21='Local Data Previous Year'!$A$3:$A$50000, ROW('Local Data Previous Year'!$A$3:$A$50000)-ROW('Local Data Previous Year'!$A$3)+1), ROW(11:11))))</f>
        <v/>
      </c>
      <c r="AO43" s="209" t="str">
        <f t="shared" si="6"/>
        <v/>
      </c>
      <c r="AP43" s="208"/>
      <c r="AQ43" s="209" t="str">
        <f t="shared" si="7"/>
        <v/>
      </c>
      <c r="AR43" s="209" t="str">
        <f t="shared" si="8"/>
        <v/>
      </c>
      <c r="AS43" s="202" t="str">
        <f t="shared" si="9"/>
        <v/>
      </c>
      <c r="AT43" s="202" t="str">
        <f t="shared" si="10"/>
        <v/>
      </c>
      <c r="AU43" s="208"/>
      <c r="AV43" s="208"/>
      <c r="AW43" s="208"/>
      <c r="AX43" s="208"/>
      <c r="AY43" s="208"/>
      <c r="AZ43" s="208"/>
      <c r="BA43" s="208"/>
      <c r="BB43" s="208"/>
      <c r="BC43" s="208"/>
      <c r="BD43" s="208"/>
      <c r="BE43" s="208"/>
      <c r="BF43" s="208"/>
      <c r="BG43" s="28"/>
      <c r="BH43" s="28"/>
      <c r="BI43" s="28"/>
      <c r="BJ43" s="28"/>
    </row>
    <row r="44" spans="1:62" s="23" customFormat="1" ht="21" customHeight="1" thickBot="1" x14ac:dyDescent="0.25">
      <c r="A44" s="846" t="str">
        <f>IF($AN44="","",IFERROR(VLOOKUP(CONCATENATE(CTR1_Billing!$E$20,$AN44),'Local Data Previous Year'!$C$3:$D$20000,2,0),CTR1_Billing!$E$21&amp;"NEW"))</f>
        <v/>
      </c>
      <c r="B44" s="846" t="str">
        <f>IF($E44="","",IFERROR(VLOOKUP(CONCATENATE(CTR1_Billing!$E$20,CTR1_Local!$E44),'Local Data Previous Year'!$C$3:$D$20000,2,0),CTR1_Billing!$E$21&amp;"NEW"))</f>
        <v/>
      </c>
      <c r="C44" s="846">
        <v>12</v>
      </c>
      <c r="D44" s="755" t="str" cm="1">
        <f t="array" ref="D44">IF(ISERROR(INDEX('Local Data Previous Year'!$D$3:$D$20000,SMALL(IF(CTR1_Billing!$E$21='Local Data Previous Year'!$A$3:$A$20000,ROW('Local Data Previous Year'!$A$3:$A$20000)-ROW('Local Data Previous Year'!$A$3)+1),ROW(12:12)))),"",INDEX('Local Data Previous Year'!$D$3:$D$20000,SMALL(IF(CTR1_Billing!$E$21='Local Data Previous Year'!$A$3:$A$20000,ROW('Local Data Previous Year'!$A$3:$A$20000)-ROW('Local Data Previous Year'!$A$3)+1),ROW(12:12))))</f>
        <v/>
      </c>
      <c r="E44" s="755" t="str" cm="1">
        <f t="array" ref="E44">IF(ISERROR(INDEX('Local Data Previous Year'!$E$3:$E$20000,SMALL(IF(CTR1_Billing!$E$21='Local Data Previous Year'!$A$3:$A$20000,ROW('Local Data Previous Year'!$A$3:$A$20000)-ROW('Local Data Previous Year'!$A$3)+1),ROW(12:12)))),"",INDEX('Local Data Previous Year'!$E$3:$E$20000,SMALL(IF(CTR1_Billing!$E$21='Local Data Previous Year'!$A$3:$A$20000,ROW('Local Data Previous Year'!$A$3:$A$20000)-ROW('Local Data Previous Year'!$A$3)+1),ROW(12:12))))</f>
        <v/>
      </c>
      <c r="F44" s="756" t="str">
        <f>IF($D44="","",IF(ISNA(MATCH($D44,'Local Data Previous Year'!$D$3:$D$20000,0)),"New",IFERROR(VLOOKUP($B44,'Local Data Previous Year'!$D$3:$I$20000,6,0),"")))</f>
        <v/>
      </c>
      <c r="G44" s="757">
        <f t="shared" si="11"/>
        <v>0</v>
      </c>
      <c r="H44" s="758" t="str">
        <f>IFERROR(INDEX('Local Data Previous Year'!$F:$F, MATCH($D44, 'Local Data Previous Year'!$D:$D, 0)), "")</f>
        <v/>
      </c>
      <c r="I44" s="759">
        <f>IF(B44=CTR1_Billing!$E$21&amp;"NEW",1,0)</f>
        <v>0</v>
      </c>
      <c r="J44" s="760" t="str">
        <f>IFERROR(INDEX('Local Data Previous Year'!$G:$G, MATCH($D44, 'Local Data Previous Year'!$D:$D, 0)), "")</f>
        <v/>
      </c>
      <c r="K44" s="762"/>
      <c r="L44" s="760" t="str">
        <f>IFERROR(INDEX('Local Data Previous Year'!$H:$H, MATCH($D44, 'Local Data Previous Year'!$D:$D, 0)), "")</f>
        <v/>
      </c>
      <c r="M44" s="762"/>
      <c r="N44" s="763"/>
      <c r="O44" s="764"/>
      <c r="P44" s="765"/>
      <c r="Q44" s="764"/>
      <c r="R44" s="766" t="str">
        <f t="shared" si="12"/>
        <v/>
      </c>
      <c r="S44" s="754"/>
      <c r="T44" s="763"/>
      <c r="U44" s="754"/>
      <c r="V44" s="763"/>
      <c r="W44" s="763"/>
      <c r="X44" s="865" t="str">
        <f>VLOOKUP(CTR1_Billing!$E$21,Data!$C$6:$D$302,1,FALSE)</f>
        <v>EZZZZ</v>
      </c>
      <c r="Y44" s="205"/>
      <c r="Z44" s="205">
        <f t="shared" si="0"/>
        <v>0</v>
      </c>
      <c r="AA44" s="289" t="str">
        <f t="shared" si="1"/>
        <v/>
      </c>
      <c r="AB44" s="205">
        <f t="shared" si="2"/>
        <v>0</v>
      </c>
      <c r="AC44" s="207"/>
      <c r="AD44" s="208"/>
      <c r="AE44" s="208"/>
      <c r="AF44" s="208"/>
      <c r="AG44" s="209" t="str">
        <f>IFERROR(INDEX('Local Data Previous Year'!$F:$F, MATCH($D44, 'Local Data Previous Year'!$D:$D, 0)), "")</f>
        <v/>
      </c>
      <c r="AH44" s="209" t="str">
        <f>IFERROR(INDEX('Local Data Previous Year'!$G:$G, MATCH($D44, 'Local Data Previous Year'!$D:$D, 0)), "")</f>
        <v/>
      </c>
      <c r="AI44" s="209" t="str">
        <f>IFERROR(INDEX('Local Data Previous Year'!$H:$H, MATCH($D44, 'Local Data Previous Year'!$D:$D, 0)), "")</f>
        <v/>
      </c>
      <c r="AJ44" s="209" t="str">
        <f t="shared" si="3"/>
        <v/>
      </c>
      <c r="AK44" s="209" t="str">
        <f t="shared" si="4"/>
        <v/>
      </c>
      <c r="AL44" s="209" t="str">
        <f t="shared" si="5"/>
        <v/>
      </c>
      <c r="AM44" s="208" t="str">
        <f>IF($AN44="","",IFERROR(VLOOKUP(CONCATENATE(CTR1_Billing!$E$20,$AN44),'Local Data Previous Year'!$C$3:$D$50000,2,0),CTR1_Billing!$E$21&amp;"NEW"))</f>
        <v/>
      </c>
      <c r="AN44" s="209" t="str" cm="1">
        <f t="array" ref="AN44">IF(ISERROR(INDEX('Local Data Previous Year'!$E$3:$E$50000, SMALL(IF(CTR1_Billing!$E$21='Local Data Previous Year'!$A$3:$A$50000, ROW('Local Data Previous Year'!$A$3:$A$50000)-ROW('Local Data Previous Year'!$A$3)+1), ROW(12:12)))), "", INDEX('Local Data Previous Year'!$E$3:$E$50000, SMALL(IF(CTR1_Billing!$E$21='Local Data Previous Year'!$A$3:$A$50000, ROW('Local Data Previous Year'!$A$3:$A$50000)-ROW('Local Data Previous Year'!$A$3)+1), ROW(12:12))))</f>
        <v/>
      </c>
      <c r="AO44" s="209" t="str">
        <f t="shared" si="6"/>
        <v/>
      </c>
      <c r="AP44" s="208"/>
      <c r="AQ44" s="209" t="str">
        <f t="shared" si="7"/>
        <v/>
      </c>
      <c r="AR44" s="209" t="str">
        <f t="shared" si="8"/>
        <v/>
      </c>
      <c r="AS44" s="202" t="str">
        <f t="shared" si="9"/>
        <v/>
      </c>
      <c r="AT44" s="202" t="str">
        <f t="shared" si="10"/>
        <v/>
      </c>
      <c r="AU44" s="208"/>
      <c r="AV44" s="208"/>
      <c r="AW44" s="208"/>
      <c r="AX44" s="208"/>
      <c r="AY44" s="208"/>
      <c r="AZ44" s="208"/>
      <c r="BA44" s="208"/>
      <c r="BB44" s="208"/>
      <c r="BC44" s="208"/>
      <c r="BD44" s="208"/>
      <c r="BE44" s="208"/>
      <c r="BF44" s="208"/>
      <c r="BG44" s="28"/>
      <c r="BH44" s="28"/>
      <c r="BI44" s="28"/>
      <c r="BJ44" s="28"/>
    </row>
    <row r="45" spans="1:62" s="23" customFormat="1" ht="21" customHeight="1" thickBot="1" x14ac:dyDescent="0.25">
      <c r="A45" s="846" t="str">
        <f>IF($AN45="","",IFERROR(VLOOKUP(CONCATENATE(CTR1_Billing!$E$20,$AN45),'Local Data Previous Year'!$C$3:$D$20000,2,0),CTR1_Billing!$E$21&amp;"NEW"))</f>
        <v/>
      </c>
      <c r="B45" s="846" t="str">
        <f>IF($E45="","",IFERROR(VLOOKUP(CONCATENATE(CTR1_Billing!$E$20,CTR1_Local!$E45),'Local Data Previous Year'!$C$3:$D$20000,2,0),CTR1_Billing!$E$21&amp;"NEW"))</f>
        <v/>
      </c>
      <c r="C45" s="846">
        <v>13</v>
      </c>
      <c r="D45" s="755" t="str" cm="1">
        <f t="array" ref="D45">IF(ISERROR(INDEX('Local Data Previous Year'!$D$3:$D$20000,SMALL(IF(CTR1_Billing!$E$21='Local Data Previous Year'!$A$3:$A$20000,ROW('Local Data Previous Year'!$A$3:$A$20000)-ROW('Local Data Previous Year'!$A$3)+1),ROW(13:13)))),"",INDEX('Local Data Previous Year'!$D$3:$D$20000,SMALL(IF(CTR1_Billing!$E$21='Local Data Previous Year'!$A$3:$A$20000,ROW('Local Data Previous Year'!$A$3:$A$20000)-ROW('Local Data Previous Year'!$A$3)+1),ROW(13:13))))</f>
        <v/>
      </c>
      <c r="E45" s="755" t="str" cm="1">
        <f t="array" ref="E45">IF(ISERROR(INDEX('Local Data Previous Year'!$E$3:$E$20000,SMALL(IF(CTR1_Billing!$E$21='Local Data Previous Year'!$A$3:$A$20000,ROW('Local Data Previous Year'!$A$3:$A$20000)-ROW('Local Data Previous Year'!$A$3)+1),ROW(13:13)))),"",INDEX('Local Data Previous Year'!$E$3:$E$20000,SMALL(IF(CTR1_Billing!$E$21='Local Data Previous Year'!$A$3:$A$20000,ROW('Local Data Previous Year'!$A$3:$A$20000)-ROW('Local Data Previous Year'!$A$3)+1),ROW(13:13))))</f>
        <v/>
      </c>
      <c r="F45" s="756" t="str">
        <f>IF($D45="","",IF(ISNA(MATCH($D45,'Local Data Previous Year'!$D$3:$D$20000,0)),"New",IFERROR(VLOOKUP($B45,'Local Data Previous Year'!$D$3:$I$20000,6,0),"")))</f>
        <v/>
      </c>
      <c r="G45" s="757">
        <f t="shared" si="11"/>
        <v>0</v>
      </c>
      <c r="H45" s="758" t="str">
        <f>IFERROR(INDEX('Local Data Previous Year'!$F:$F, MATCH($D45, 'Local Data Previous Year'!$D:$D, 0)), "")</f>
        <v/>
      </c>
      <c r="I45" s="759">
        <f>IF(B45=CTR1_Billing!$E$21&amp;"NEW",1,0)</f>
        <v>0</v>
      </c>
      <c r="J45" s="760" t="str">
        <f>IFERROR(INDEX('Local Data Previous Year'!$G:$G, MATCH($D45, 'Local Data Previous Year'!$D:$D, 0)), "")</f>
        <v/>
      </c>
      <c r="K45" s="762"/>
      <c r="L45" s="760" t="str">
        <f>IFERROR(INDEX('Local Data Previous Year'!$H:$H, MATCH($D45, 'Local Data Previous Year'!$D:$D, 0)), "")</f>
        <v/>
      </c>
      <c r="M45" s="762"/>
      <c r="N45" s="763"/>
      <c r="O45" s="764"/>
      <c r="P45" s="765"/>
      <c r="Q45" s="764"/>
      <c r="R45" s="766" t="str">
        <f t="shared" si="12"/>
        <v/>
      </c>
      <c r="S45" s="754"/>
      <c r="T45" s="763"/>
      <c r="U45" s="754"/>
      <c r="V45" s="763"/>
      <c r="W45" s="763"/>
      <c r="X45" s="865" t="str">
        <f>VLOOKUP(CTR1_Billing!$E$21,Data!$C$6:$D$302,1,FALSE)</f>
        <v>EZZZZ</v>
      </c>
      <c r="Y45" s="205"/>
      <c r="Z45" s="205">
        <f t="shared" si="0"/>
        <v>0</v>
      </c>
      <c r="AA45" s="289" t="str">
        <f t="shared" si="1"/>
        <v/>
      </c>
      <c r="AB45" s="205">
        <f t="shared" si="2"/>
        <v>0</v>
      </c>
      <c r="AC45" s="207"/>
      <c r="AD45" s="208"/>
      <c r="AE45" s="208"/>
      <c r="AF45" s="208"/>
      <c r="AG45" s="209" t="str">
        <f>IFERROR(INDEX('Local Data Previous Year'!$F:$F, MATCH($D45, 'Local Data Previous Year'!$D:$D, 0)), "")</f>
        <v/>
      </c>
      <c r="AH45" s="209" t="str">
        <f>IFERROR(INDEX('Local Data Previous Year'!$G:$G, MATCH($D45, 'Local Data Previous Year'!$D:$D, 0)), "")</f>
        <v/>
      </c>
      <c r="AI45" s="209" t="str">
        <f>IFERROR(INDEX('Local Data Previous Year'!$H:$H, MATCH($D45, 'Local Data Previous Year'!$D:$D, 0)), "")</f>
        <v/>
      </c>
      <c r="AJ45" s="209" t="str">
        <f t="shared" si="3"/>
        <v/>
      </c>
      <c r="AK45" s="209" t="str">
        <f t="shared" si="4"/>
        <v/>
      </c>
      <c r="AL45" s="209" t="str">
        <f t="shared" si="5"/>
        <v/>
      </c>
      <c r="AM45" s="208" t="str">
        <f>IF($AN45="","",IFERROR(VLOOKUP(CONCATENATE(CTR1_Billing!$E$20,$AN45),'Local Data Previous Year'!$C$3:$D$50000,2,0),CTR1_Billing!$E$21&amp;"NEW"))</f>
        <v/>
      </c>
      <c r="AN45" s="209" t="str" cm="1">
        <f t="array" ref="AN45">IF(ISERROR(INDEX('Local Data Previous Year'!$E$3:$E$50000, SMALL(IF(CTR1_Billing!$E$21='Local Data Previous Year'!$A$3:$A$50000, ROW('Local Data Previous Year'!$A$3:$A$50000)-ROW('Local Data Previous Year'!$A$3)+1), ROW(13:13)))), "", INDEX('Local Data Previous Year'!$E$3:$E$50000, SMALL(IF(CTR1_Billing!$E$21='Local Data Previous Year'!$A$3:$A$50000, ROW('Local Data Previous Year'!$A$3:$A$50000)-ROW('Local Data Previous Year'!$A$3)+1), ROW(13:13))))</f>
        <v/>
      </c>
      <c r="AO45" s="209" t="str">
        <f t="shared" si="6"/>
        <v/>
      </c>
      <c r="AP45" s="208"/>
      <c r="AQ45" s="209" t="str">
        <f t="shared" si="7"/>
        <v/>
      </c>
      <c r="AR45" s="209" t="str">
        <f t="shared" si="8"/>
        <v/>
      </c>
      <c r="AS45" s="202" t="str">
        <f t="shared" si="9"/>
        <v/>
      </c>
      <c r="AT45" s="202" t="str">
        <f t="shared" si="10"/>
        <v/>
      </c>
      <c r="AU45" s="208"/>
      <c r="AV45" s="208"/>
      <c r="AW45" s="208"/>
      <c r="AX45" s="208"/>
      <c r="AY45" s="208"/>
      <c r="AZ45" s="208"/>
      <c r="BA45" s="208"/>
      <c r="BB45" s="208"/>
      <c r="BC45" s="208"/>
      <c r="BD45" s="208"/>
      <c r="BE45" s="208"/>
      <c r="BF45" s="208"/>
      <c r="BG45" s="28"/>
      <c r="BH45" s="28"/>
      <c r="BI45" s="28"/>
      <c r="BJ45" s="28"/>
    </row>
    <row r="46" spans="1:62" s="23" customFormat="1" ht="21" customHeight="1" thickBot="1" x14ac:dyDescent="0.25">
      <c r="A46" s="846" t="str">
        <f>IF($AN46="","",IFERROR(VLOOKUP(CONCATENATE(CTR1_Billing!$E$20,$AN46),'Local Data Previous Year'!$C$3:$D$20000,2,0),CTR1_Billing!$E$21&amp;"NEW"))</f>
        <v/>
      </c>
      <c r="B46" s="846" t="str">
        <f>IF($E46="","",IFERROR(VLOOKUP(CONCATENATE(CTR1_Billing!$E$20,CTR1_Local!$E46),'Local Data Previous Year'!$C$3:$D$20000,2,0),CTR1_Billing!$E$21&amp;"NEW"))</f>
        <v/>
      </c>
      <c r="C46" s="846">
        <v>14</v>
      </c>
      <c r="D46" s="755" t="str" cm="1">
        <f t="array" ref="D46">IF(ISERROR(INDEX('Local Data Previous Year'!$D$3:$D$20000,SMALL(IF(CTR1_Billing!$E$21='Local Data Previous Year'!$A$3:$A$20000,ROW('Local Data Previous Year'!$A$3:$A$20000)-ROW('Local Data Previous Year'!$A$3)+1),ROW(14:14)))),"",INDEX('Local Data Previous Year'!$D$3:$D$20000,SMALL(IF(CTR1_Billing!$E$21='Local Data Previous Year'!$A$3:$A$20000,ROW('Local Data Previous Year'!$A$3:$A$20000)-ROW('Local Data Previous Year'!$A$3)+1),ROW(14:14))))</f>
        <v/>
      </c>
      <c r="E46" s="755" t="str" cm="1">
        <f t="array" ref="E46">IF(ISERROR(INDEX('Local Data Previous Year'!$E$3:$E$20000,SMALL(IF(CTR1_Billing!$E$21='Local Data Previous Year'!$A$3:$A$20000,ROW('Local Data Previous Year'!$A$3:$A$20000)-ROW('Local Data Previous Year'!$A$3)+1),ROW(14:14)))),"",INDEX('Local Data Previous Year'!$E$3:$E$20000,SMALL(IF(CTR1_Billing!$E$21='Local Data Previous Year'!$A$3:$A$20000,ROW('Local Data Previous Year'!$A$3:$A$20000)-ROW('Local Data Previous Year'!$A$3)+1),ROW(14:14))))</f>
        <v/>
      </c>
      <c r="F46" s="756" t="str">
        <f>IF($D46="","",IF(ISNA(MATCH($D46,'Local Data Previous Year'!$D$3:$D$20000,0)),"New",IFERROR(VLOOKUP($B46,'Local Data Previous Year'!$D$3:$I$20000,6,0),"")))</f>
        <v/>
      </c>
      <c r="G46" s="757">
        <f t="shared" si="11"/>
        <v>0</v>
      </c>
      <c r="H46" s="758" t="str">
        <f>IFERROR(INDEX('Local Data Previous Year'!$F:$F, MATCH($D46, 'Local Data Previous Year'!$D:$D, 0)), "")</f>
        <v/>
      </c>
      <c r="I46" s="759">
        <f>IF(B46=CTR1_Billing!$E$21&amp;"NEW",1,0)</f>
        <v>0</v>
      </c>
      <c r="J46" s="760" t="str">
        <f>IFERROR(INDEX('Local Data Previous Year'!$G:$G, MATCH($D46, 'Local Data Previous Year'!$D:$D, 0)), "")</f>
        <v/>
      </c>
      <c r="K46" s="762"/>
      <c r="L46" s="760" t="str">
        <f>IFERROR(INDEX('Local Data Previous Year'!$H:$H, MATCH($D46, 'Local Data Previous Year'!$D:$D, 0)), "")</f>
        <v/>
      </c>
      <c r="M46" s="762"/>
      <c r="N46" s="763"/>
      <c r="O46" s="764"/>
      <c r="P46" s="765"/>
      <c r="Q46" s="764"/>
      <c r="R46" s="766" t="str">
        <f t="shared" si="12"/>
        <v/>
      </c>
      <c r="S46" s="754"/>
      <c r="T46" s="763"/>
      <c r="U46" s="754"/>
      <c r="V46" s="763"/>
      <c r="W46" s="763"/>
      <c r="X46" s="865" t="str">
        <f>VLOOKUP(CTR1_Billing!$E$21,Data!$C$6:$D$302,1,FALSE)</f>
        <v>EZZZZ</v>
      </c>
      <c r="Y46" s="205"/>
      <c r="Z46" s="205">
        <f t="shared" si="0"/>
        <v>0</v>
      </c>
      <c r="AA46" s="289" t="str">
        <f t="shared" si="1"/>
        <v/>
      </c>
      <c r="AB46" s="205">
        <f t="shared" si="2"/>
        <v>0</v>
      </c>
      <c r="AC46" s="207"/>
      <c r="AD46" s="208"/>
      <c r="AE46" s="208"/>
      <c r="AF46" s="208"/>
      <c r="AG46" s="209" t="str">
        <f>IFERROR(INDEX('Local Data Previous Year'!$F:$F, MATCH($D46, 'Local Data Previous Year'!$D:$D, 0)), "")</f>
        <v/>
      </c>
      <c r="AH46" s="209" t="str">
        <f>IFERROR(INDEX('Local Data Previous Year'!$G:$G, MATCH($D46, 'Local Data Previous Year'!$D:$D, 0)), "")</f>
        <v/>
      </c>
      <c r="AI46" s="209" t="str">
        <f>IFERROR(INDEX('Local Data Previous Year'!$H:$H, MATCH($D46, 'Local Data Previous Year'!$D:$D, 0)), "")</f>
        <v/>
      </c>
      <c r="AJ46" s="209" t="str">
        <f t="shared" si="3"/>
        <v/>
      </c>
      <c r="AK46" s="209" t="str">
        <f t="shared" si="4"/>
        <v/>
      </c>
      <c r="AL46" s="209" t="str">
        <f t="shared" si="5"/>
        <v/>
      </c>
      <c r="AM46" s="208" t="str">
        <f>IF($AN46="","",IFERROR(VLOOKUP(CONCATENATE(CTR1_Billing!$E$20,$AN46),'Local Data Previous Year'!$C$3:$D$50000,2,0),CTR1_Billing!$E$21&amp;"NEW"))</f>
        <v/>
      </c>
      <c r="AN46" s="209" t="str" cm="1">
        <f t="array" ref="AN46">IF(ISERROR(INDEX('Local Data Previous Year'!$E$3:$E$50000, SMALL(IF(CTR1_Billing!$E$21='Local Data Previous Year'!$A$3:$A$50000, ROW('Local Data Previous Year'!$A$3:$A$50000)-ROW('Local Data Previous Year'!$A$3)+1), ROW(14:14)))), "", INDEX('Local Data Previous Year'!$E$3:$E$50000, SMALL(IF(CTR1_Billing!$E$21='Local Data Previous Year'!$A$3:$A$50000, ROW('Local Data Previous Year'!$A$3:$A$50000)-ROW('Local Data Previous Year'!$A$3)+1), ROW(14:14))))</f>
        <v/>
      </c>
      <c r="AO46" s="209" t="str">
        <f t="shared" si="6"/>
        <v/>
      </c>
      <c r="AP46" s="208"/>
      <c r="AQ46" s="209" t="str">
        <f t="shared" si="7"/>
        <v/>
      </c>
      <c r="AR46" s="209" t="str">
        <f t="shared" si="8"/>
        <v/>
      </c>
      <c r="AS46" s="202" t="str">
        <f t="shared" si="9"/>
        <v/>
      </c>
      <c r="AT46" s="202" t="str">
        <f t="shared" si="10"/>
        <v/>
      </c>
      <c r="AU46" s="208"/>
      <c r="AV46" s="208"/>
      <c r="AW46" s="208"/>
      <c r="AX46" s="208"/>
      <c r="AY46" s="208"/>
      <c r="AZ46" s="208"/>
      <c r="BA46" s="208"/>
      <c r="BB46" s="208"/>
      <c r="BC46" s="208"/>
      <c r="BD46" s="208"/>
      <c r="BE46" s="208"/>
      <c r="BF46" s="208"/>
      <c r="BG46" s="28"/>
      <c r="BH46" s="28"/>
      <c r="BI46" s="28"/>
      <c r="BJ46" s="28"/>
    </row>
    <row r="47" spans="1:62" s="23" customFormat="1" ht="21" customHeight="1" thickBot="1" x14ac:dyDescent="0.25">
      <c r="A47" s="846" t="str">
        <f>IF($AN47="","",IFERROR(VLOOKUP(CONCATENATE(CTR1_Billing!$E$20,$AN47),'Local Data Previous Year'!$C$3:$D$20000,2,0),CTR1_Billing!$E$21&amp;"NEW"))</f>
        <v/>
      </c>
      <c r="B47" s="846" t="str">
        <f>IF($E47="","",IFERROR(VLOOKUP(CONCATENATE(CTR1_Billing!$E$20,CTR1_Local!$E47),'Local Data Previous Year'!$C$3:$D$20000,2,0),CTR1_Billing!$E$21&amp;"NEW"))</f>
        <v/>
      </c>
      <c r="C47" s="846">
        <v>15</v>
      </c>
      <c r="D47" s="755" t="str" cm="1">
        <f t="array" ref="D47">IF(ISERROR(INDEX('Local Data Previous Year'!$D$3:$D$20000,SMALL(IF(CTR1_Billing!$E$21='Local Data Previous Year'!$A$3:$A$20000,ROW('Local Data Previous Year'!$A$3:$A$20000)-ROW('Local Data Previous Year'!$A$3)+1),ROW(15:15)))),"",INDEX('Local Data Previous Year'!$D$3:$D$20000,SMALL(IF(CTR1_Billing!$E$21='Local Data Previous Year'!$A$3:$A$20000,ROW('Local Data Previous Year'!$A$3:$A$20000)-ROW('Local Data Previous Year'!$A$3)+1),ROW(15:15))))</f>
        <v/>
      </c>
      <c r="E47" s="755" t="str" cm="1">
        <f t="array" ref="E47">IF(ISERROR(INDEX('Local Data Previous Year'!$E$3:$E$20000,SMALL(IF(CTR1_Billing!$E$21='Local Data Previous Year'!$A$3:$A$20000,ROW('Local Data Previous Year'!$A$3:$A$20000)-ROW('Local Data Previous Year'!$A$3)+1),ROW(15:15)))),"",INDEX('Local Data Previous Year'!$E$3:$E$20000,SMALL(IF(CTR1_Billing!$E$21='Local Data Previous Year'!$A$3:$A$20000,ROW('Local Data Previous Year'!$A$3:$A$20000)-ROW('Local Data Previous Year'!$A$3)+1),ROW(15:15))))</f>
        <v/>
      </c>
      <c r="F47" s="756" t="str">
        <f>IF($D47="","",IF(ISNA(MATCH($D47,'Local Data Previous Year'!$D$3:$D$20000,0)),"New",IFERROR(VLOOKUP($B47,'Local Data Previous Year'!$D$3:$I$20000,6,0),"")))</f>
        <v/>
      </c>
      <c r="G47" s="757">
        <f t="shared" si="11"/>
        <v>0</v>
      </c>
      <c r="H47" s="758" t="str">
        <f>IFERROR(INDEX('Local Data Previous Year'!$F:$F, MATCH($D47, 'Local Data Previous Year'!$D:$D, 0)), "")</f>
        <v/>
      </c>
      <c r="I47" s="759">
        <f>IF(B47=CTR1_Billing!$E$21&amp;"NEW",1,0)</f>
        <v>0</v>
      </c>
      <c r="J47" s="760" t="str">
        <f>IFERROR(INDEX('Local Data Previous Year'!$G:$G, MATCH($D47, 'Local Data Previous Year'!$D:$D, 0)), "")</f>
        <v/>
      </c>
      <c r="K47" s="762"/>
      <c r="L47" s="760" t="str">
        <f>IFERROR(INDEX('Local Data Previous Year'!$H:$H, MATCH($D47, 'Local Data Previous Year'!$D:$D, 0)), "")</f>
        <v/>
      </c>
      <c r="M47" s="762"/>
      <c r="N47" s="763"/>
      <c r="O47" s="764"/>
      <c r="P47" s="765"/>
      <c r="Q47" s="764"/>
      <c r="R47" s="766" t="str">
        <f t="shared" si="12"/>
        <v/>
      </c>
      <c r="S47" s="754"/>
      <c r="T47" s="763"/>
      <c r="U47" s="754"/>
      <c r="V47" s="763"/>
      <c r="W47" s="763"/>
      <c r="X47" s="865" t="str">
        <f>VLOOKUP(CTR1_Billing!$E$21,Data!$C$6:$D$302,1,FALSE)</f>
        <v>EZZZZ</v>
      </c>
      <c r="Y47" s="205"/>
      <c r="Z47" s="205">
        <f t="shared" si="0"/>
        <v>0</v>
      </c>
      <c r="AA47" s="289" t="str">
        <f t="shared" si="1"/>
        <v/>
      </c>
      <c r="AB47" s="205">
        <f t="shared" si="2"/>
        <v>0</v>
      </c>
      <c r="AC47" s="207"/>
      <c r="AD47" s="208"/>
      <c r="AE47" s="208"/>
      <c r="AF47" s="208"/>
      <c r="AG47" s="209" t="str">
        <f>IFERROR(INDEX('Local Data Previous Year'!$F:$F, MATCH($D47, 'Local Data Previous Year'!$D:$D, 0)), "")</f>
        <v/>
      </c>
      <c r="AH47" s="209" t="str">
        <f>IFERROR(INDEX('Local Data Previous Year'!$G:$G, MATCH($D47, 'Local Data Previous Year'!$D:$D, 0)), "")</f>
        <v/>
      </c>
      <c r="AI47" s="209" t="str">
        <f>IFERROR(INDEX('Local Data Previous Year'!$H:$H, MATCH($D47, 'Local Data Previous Year'!$D:$D, 0)), "")</f>
        <v/>
      </c>
      <c r="AJ47" s="209" t="str">
        <f t="shared" si="3"/>
        <v/>
      </c>
      <c r="AK47" s="209" t="str">
        <f t="shared" si="4"/>
        <v/>
      </c>
      <c r="AL47" s="209" t="str">
        <f t="shared" si="5"/>
        <v/>
      </c>
      <c r="AM47" s="208" t="str">
        <f>IF($AN47="","",IFERROR(VLOOKUP(CONCATENATE(CTR1_Billing!$E$20,$AN47),'Local Data Previous Year'!$C$3:$D$50000,2,0),CTR1_Billing!$E$21&amp;"NEW"))</f>
        <v/>
      </c>
      <c r="AN47" s="209" t="str" cm="1">
        <f t="array" ref="AN47">IF(ISERROR(INDEX('Local Data Previous Year'!$E$3:$E$50000, SMALL(IF(CTR1_Billing!$E$21='Local Data Previous Year'!$A$3:$A$50000, ROW('Local Data Previous Year'!$A$3:$A$50000)-ROW('Local Data Previous Year'!$A$3)+1), ROW(15:15)))), "", INDEX('Local Data Previous Year'!$E$3:$E$50000, SMALL(IF(CTR1_Billing!$E$21='Local Data Previous Year'!$A$3:$A$50000, ROW('Local Data Previous Year'!$A$3:$A$50000)-ROW('Local Data Previous Year'!$A$3)+1), ROW(15:15))))</f>
        <v/>
      </c>
      <c r="AO47" s="209" t="str">
        <f t="shared" si="6"/>
        <v/>
      </c>
      <c r="AP47" s="208"/>
      <c r="AQ47" s="209" t="str">
        <f t="shared" si="7"/>
        <v/>
      </c>
      <c r="AR47" s="209" t="str">
        <f t="shared" si="8"/>
        <v/>
      </c>
      <c r="AS47" s="202" t="str">
        <f t="shared" si="9"/>
        <v/>
      </c>
      <c r="AT47" s="202" t="str">
        <f t="shared" si="10"/>
        <v/>
      </c>
      <c r="AU47" s="208"/>
      <c r="AV47" s="208"/>
      <c r="AW47" s="208"/>
      <c r="AX47" s="208"/>
      <c r="AY47" s="208"/>
      <c r="AZ47" s="208"/>
      <c r="BA47" s="208"/>
      <c r="BB47" s="208"/>
      <c r="BC47" s="208"/>
      <c r="BD47" s="208"/>
      <c r="BE47" s="208"/>
      <c r="BF47" s="208"/>
      <c r="BG47" s="28"/>
      <c r="BH47" s="28"/>
      <c r="BI47" s="28"/>
      <c r="BJ47" s="28"/>
    </row>
    <row r="48" spans="1:62" s="23" customFormat="1" ht="21" customHeight="1" thickBot="1" x14ac:dyDescent="0.25">
      <c r="A48" s="846" t="str">
        <f>IF($AN48="","",IFERROR(VLOOKUP(CONCATENATE(CTR1_Billing!$E$20,$AN48),'Local Data Previous Year'!$C$3:$D$20000,2,0),CTR1_Billing!$E$21&amp;"NEW"))</f>
        <v/>
      </c>
      <c r="B48" s="846" t="str">
        <f>IF($E48="","",IFERROR(VLOOKUP(CONCATENATE(CTR1_Billing!$E$20,CTR1_Local!$E48),'Local Data Previous Year'!$C$3:$D$20000,2,0),CTR1_Billing!$E$21&amp;"NEW"))</f>
        <v/>
      </c>
      <c r="C48" s="846">
        <v>16</v>
      </c>
      <c r="D48" s="755" t="str" cm="1">
        <f t="array" ref="D48">IF(ISERROR(INDEX('Local Data Previous Year'!$D$3:$D$20000,SMALL(IF(CTR1_Billing!$E$21='Local Data Previous Year'!$A$3:$A$20000,ROW('Local Data Previous Year'!$A$3:$A$20000)-ROW('Local Data Previous Year'!$A$3)+1),ROW(16:16)))),"",INDEX('Local Data Previous Year'!$D$3:$D$20000,SMALL(IF(CTR1_Billing!$E$21='Local Data Previous Year'!$A$3:$A$20000,ROW('Local Data Previous Year'!$A$3:$A$20000)-ROW('Local Data Previous Year'!$A$3)+1),ROW(16:16))))</f>
        <v/>
      </c>
      <c r="E48" s="755" t="str" cm="1">
        <f t="array" ref="E48">IF(ISERROR(INDEX('Local Data Previous Year'!$E$3:$E$20000,SMALL(IF(CTR1_Billing!$E$21='Local Data Previous Year'!$A$3:$A$20000,ROW('Local Data Previous Year'!$A$3:$A$20000)-ROW('Local Data Previous Year'!$A$3)+1),ROW(16:16)))),"",INDEX('Local Data Previous Year'!$E$3:$E$20000,SMALL(IF(CTR1_Billing!$E$21='Local Data Previous Year'!$A$3:$A$20000,ROW('Local Data Previous Year'!$A$3:$A$20000)-ROW('Local Data Previous Year'!$A$3)+1),ROW(16:16))))</f>
        <v/>
      </c>
      <c r="F48" s="756" t="str">
        <f>IF($D48="","",IF(ISNA(MATCH($D48,'Local Data Previous Year'!$D$3:$D$20000,0)),"New",IFERROR(VLOOKUP($B48,'Local Data Previous Year'!$D$3:$I$20000,6,0),"")))</f>
        <v/>
      </c>
      <c r="G48" s="757">
        <f t="shared" si="11"/>
        <v>0</v>
      </c>
      <c r="H48" s="758" t="str">
        <f>IFERROR(INDEX('Local Data Previous Year'!$F:$F, MATCH($D48, 'Local Data Previous Year'!$D:$D, 0)), "")</f>
        <v/>
      </c>
      <c r="I48" s="759">
        <f>IF(B48=CTR1_Billing!$E$21&amp;"NEW",1,0)</f>
        <v>0</v>
      </c>
      <c r="J48" s="760" t="str">
        <f>IFERROR(INDEX('Local Data Previous Year'!$G:$G, MATCH($D48, 'Local Data Previous Year'!$D:$D, 0)), "")</f>
        <v/>
      </c>
      <c r="K48" s="762"/>
      <c r="L48" s="760" t="str">
        <f>IFERROR(INDEX('Local Data Previous Year'!$H:$H, MATCH($D48, 'Local Data Previous Year'!$D:$D, 0)), "")</f>
        <v/>
      </c>
      <c r="M48" s="762"/>
      <c r="N48" s="763"/>
      <c r="O48" s="764"/>
      <c r="P48" s="765"/>
      <c r="Q48" s="764"/>
      <c r="R48" s="766" t="str">
        <f t="shared" si="12"/>
        <v/>
      </c>
      <c r="S48" s="754"/>
      <c r="T48" s="763"/>
      <c r="U48" s="754"/>
      <c r="V48" s="763"/>
      <c r="W48" s="763"/>
      <c r="X48" s="865" t="str">
        <f>VLOOKUP(CTR1_Billing!$E$21,Data!$C$6:$D$302,1,FALSE)</f>
        <v>EZZZZ</v>
      </c>
      <c r="Y48" s="205"/>
      <c r="Z48" s="205">
        <f t="shared" si="0"/>
        <v>0</v>
      </c>
      <c r="AA48" s="289" t="str">
        <f t="shared" si="1"/>
        <v/>
      </c>
      <c r="AB48" s="205">
        <f t="shared" si="2"/>
        <v>0</v>
      </c>
      <c r="AC48" s="207"/>
      <c r="AD48" s="208"/>
      <c r="AE48" s="208"/>
      <c r="AF48" s="208"/>
      <c r="AG48" s="209" t="str">
        <f>IFERROR(INDEX('Local Data Previous Year'!$F:$F, MATCH($D48, 'Local Data Previous Year'!$D:$D, 0)), "")</f>
        <v/>
      </c>
      <c r="AH48" s="209" t="str">
        <f>IFERROR(INDEX('Local Data Previous Year'!$G:$G, MATCH($D48, 'Local Data Previous Year'!$D:$D, 0)), "")</f>
        <v/>
      </c>
      <c r="AI48" s="209" t="str">
        <f>IFERROR(INDEX('Local Data Previous Year'!$H:$H, MATCH($D48, 'Local Data Previous Year'!$D:$D, 0)), "")</f>
        <v/>
      </c>
      <c r="AJ48" s="209" t="str">
        <f t="shared" si="3"/>
        <v/>
      </c>
      <c r="AK48" s="209" t="str">
        <f t="shared" si="4"/>
        <v/>
      </c>
      <c r="AL48" s="209" t="str">
        <f t="shared" si="5"/>
        <v/>
      </c>
      <c r="AM48" s="208" t="str">
        <f>IF($AN48="","",IFERROR(VLOOKUP(CONCATENATE(CTR1_Billing!$E$20,$AN48),'Local Data Previous Year'!$C$3:$D$50000,2,0),CTR1_Billing!$E$21&amp;"NEW"))</f>
        <v/>
      </c>
      <c r="AN48" s="209" t="str" cm="1">
        <f t="array" ref="AN48">IF(ISERROR(INDEX('Local Data Previous Year'!$E$3:$E$50000, SMALL(IF(CTR1_Billing!$E$21='Local Data Previous Year'!$A$3:$A$50000, ROW('Local Data Previous Year'!$A$3:$A$50000)-ROW('Local Data Previous Year'!$A$3)+1), ROW(16:16)))), "", INDEX('Local Data Previous Year'!$E$3:$E$50000, SMALL(IF(CTR1_Billing!$E$21='Local Data Previous Year'!$A$3:$A$50000, ROW('Local Data Previous Year'!$A$3:$A$50000)-ROW('Local Data Previous Year'!$A$3)+1), ROW(16:16))))</f>
        <v/>
      </c>
      <c r="AO48" s="209" t="str">
        <f t="shared" si="6"/>
        <v/>
      </c>
      <c r="AP48" s="208"/>
      <c r="AQ48" s="209" t="str">
        <f t="shared" si="7"/>
        <v/>
      </c>
      <c r="AR48" s="209" t="str">
        <f t="shared" si="8"/>
        <v/>
      </c>
      <c r="AS48" s="202" t="str">
        <f t="shared" si="9"/>
        <v/>
      </c>
      <c r="AT48" s="202" t="str">
        <f t="shared" si="10"/>
        <v/>
      </c>
      <c r="AU48" s="208"/>
      <c r="AV48" s="208"/>
      <c r="AW48" s="208"/>
      <c r="AX48" s="208"/>
      <c r="AY48" s="208"/>
      <c r="AZ48" s="208"/>
      <c r="BA48" s="208"/>
      <c r="BB48" s="208"/>
      <c r="BC48" s="208"/>
      <c r="BD48" s="208"/>
      <c r="BE48" s="208"/>
      <c r="BF48" s="208"/>
      <c r="BG48" s="28"/>
      <c r="BH48" s="28"/>
      <c r="BI48" s="28"/>
      <c r="BJ48" s="28"/>
    </row>
    <row r="49" spans="1:62" s="23" customFormat="1" ht="21" customHeight="1" thickBot="1" x14ac:dyDescent="0.25">
      <c r="A49" s="846" t="str">
        <f>IF($AN49="","",IFERROR(VLOOKUP(CONCATENATE(CTR1_Billing!$E$20,$AN49),'Local Data Previous Year'!$C$3:$D$20000,2,0),CTR1_Billing!$E$21&amp;"NEW"))</f>
        <v/>
      </c>
      <c r="B49" s="846" t="str">
        <f>IF($E49="","",IFERROR(VLOOKUP(CONCATENATE(CTR1_Billing!$E$20,CTR1_Local!$E49),'Local Data Previous Year'!$C$3:$D$20000,2,0),CTR1_Billing!$E$21&amp;"NEW"))</f>
        <v/>
      </c>
      <c r="C49" s="846">
        <v>17</v>
      </c>
      <c r="D49" s="755" t="str" cm="1">
        <f t="array" ref="D49">IF(ISERROR(INDEX('Local Data Previous Year'!$D$3:$D$20000,SMALL(IF(CTR1_Billing!$E$21='Local Data Previous Year'!$A$3:$A$20000,ROW('Local Data Previous Year'!$A$3:$A$20000)-ROW('Local Data Previous Year'!$A$3)+1),ROW(17:17)))),"",INDEX('Local Data Previous Year'!$D$3:$D$20000,SMALL(IF(CTR1_Billing!$E$21='Local Data Previous Year'!$A$3:$A$20000,ROW('Local Data Previous Year'!$A$3:$A$20000)-ROW('Local Data Previous Year'!$A$3)+1),ROW(17:17))))</f>
        <v/>
      </c>
      <c r="E49" s="755" t="str" cm="1">
        <f t="array" ref="E49">IF(ISERROR(INDEX('Local Data Previous Year'!$E$3:$E$20000,SMALL(IF(CTR1_Billing!$E$21='Local Data Previous Year'!$A$3:$A$20000,ROW('Local Data Previous Year'!$A$3:$A$20000)-ROW('Local Data Previous Year'!$A$3)+1),ROW(17:17)))),"",INDEX('Local Data Previous Year'!$E$3:$E$20000,SMALL(IF(CTR1_Billing!$E$21='Local Data Previous Year'!$A$3:$A$20000,ROW('Local Data Previous Year'!$A$3:$A$20000)-ROW('Local Data Previous Year'!$A$3)+1),ROW(17:17))))</f>
        <v/>
      </c>
      <c r="F49" s="756" t="str">
        <f>IF($D49="","",IF(ISNA(MATCH($D49,'Local Data Previous Year'!$D$3:$D$20000,0)),"New",IFERROR(VLOOKUP($B49,'Local Data Previous Year'!$D$3:$I$20000,6,0),"")))</f>
        <v/>
      </c>
      <c r="G49" s="757">
        <f t="shared" si="11"/>
        <v>0</v>
      </c>
      <c r="H49" s="758" t="str">
        <f>IFERROR(INDEX('Local Data Previous Year'!$F:$F, MATCH($D49, 'Local Data Previous Year'!$D:$D, 0)), "")</f>
        <v/>
      </c>
      <c r="I49" s="759">
        <f>IF(B49=CTR1_Billing!$E$21&amp;"NEW",1,0)</f>
        <v>0</v>
      </c>
      <c r="J49" s="760" t="str">
        <f>IFERROR(INDEX('Local Data Previous Year'!$G:$G, MATCH($D49, 'Local Data Previous Year'!$D:$D, 0)), "")</f>
        <v/>
      </c>
      <c r="K49" s="762"/>
      <c r="L49" s="760" t="str">
        <f>IFERROR(INDEX('Local Data Previous Year'!$H:$H, MATCH($D49, 'Local Data Previous Year'!$D:$D, 0)), "")</f>
        <v/>
      </c>
      <c r="M49" s="762"/>
      <c r="N49" s="763"/>
      <c r="O49" s="764"/>
      <c r="P49" s="765"/>
      <c r="Q49" s="764"/>
      <c r="R49" s="766" t="str">
        <f t="shared" si="12"/>
        <v/>
      </c>
      <c r="S49" s="754"/>
      <c r="T49" s="763"/>
      <c r="U49" s="754"/>
      <c r="V49" s="763"/>
      <c r="W49" s="763"/>
      <c r="X49" s="865" t="str">
        <f>VLOOKUP(CTR1_Billing!$E$21,Data!$C$6:$D$302,1,FALSE)</f>
        <v>EZZZZ</v>
      </c>
      <c r="Y49" s="205"/>
      <c r="Z49" s="205">
        <f t="shared" si="0"/>
        <v>0</v>
      </c>
      <c r="AA49" s="289" t="str">
        <f t="shared" si="1"/>
        <v/>
      </c>
      <c r="AB49" s="205">
        <f t="shared" si="2"/>
        <v>0</v>
      </c>
      <c r="AC49" s="207"/>
      <c r="AD49" s="208"/>
      <c r="AE49" s="208"/>
      <c r="AF49" s="208"/>
      <c r="AG49" s="209" t="str">
        <f>IFERROR(INDEX('Local Data Previous Year'!$F:$F, MATCH($D49, 'Local Data Previous Year'!$D:$D, 0)), "")</f>
        <v/>
      </c>
      <c r="AH49" s="209" t="str">
        <f>IFERROR(INDEX('Local Data Previous Year'!$G:$G, MATCH($D49, 'Local Data Previous Year'!$D:$D, 0)), "")</f>
        <v/>
      </c>
      <c r="AI49" s="209" t="str">
        <f>IFERROR(INDEX('Local Data Previous Year'!$H:$H, MATCH($D49, 'Local Data Previous Year'!$D:$D, 0)), "")</f>
        <v/>
      </c>
      <c r="AJ49" s="209" t="str">
        <f t="shared" si="3"/>
        <v/>
      </c>
      <c r="AK49" s="209" t="str">
        <f t="shared" si="4"/>
        <v/>
      </c>
      <c r="AL49" s="209" t="str">
        <f t="shared" si="5"/>
        <v/>
      </c>
      <c r="AM49" s="208" t="str">
        <f>IF($AN49="","",IFERROR(VLOOKUP(CONCATENATE(CTR1_Billing!$E$20,$AN49),'Local Data Previous Year'!$C$3:$D$50000,2,0),CTR1_Billing!$E$21&amp;"NEW"))</f>
        <v/>
      </c>
      <c r="AN49" s="209" t="str" cm="1">
        <f t="array" ref="AN49">IF(ISERROR(INDEX('Local Data Previous Year'!$E$3:$E$50000, SMALL(IF(CTR1_Billing!$E$21='Local Data Previous Year'!$A$3:$A$50000, ROW('Local Data Previous Year'!$A$3:$A$50000)-ROW('Local Data Previous Year'!$A$3)+1), ROW(17:17)))), "", INDEX('Local Data Previous Year'!$E$3:$E$50000, SMALL(IF(CTR1_Billing!$E$21='Local Data Previous Year'!$A$3:$A$50000, ROW('Local Data Previous Year'!$A$3:$A$50000)-ROW('Local Data Previous Year'!$A$3)+1), ROW(17:17))))</f>
        <v/>
      </c>
      <c r="AO49" s="209" t="str">
        <f t="shared" si="6"/>
        <v/>
      </c>
      <c r="AP49" s="208"/>
      <c r="AQ49" s="209" t="str">
        <f t="shared" si="7"/>
        <v/>
      </c>
      <c r="AR49" s="209" t="str">
        <f t="shared" si="8"/>
        <v/>
      </c>
      <c r="AS49" s="202" t="str">
        <f t="shared" si="9"/>
        <v/>
      </c>
      <c r="AT49" s="202" t="str">
        <f t="shared" si="10"/>
        <v/>
      </c>
      <c r="AU49" s="208"/>
      <c r="AV49" s="208"/>
      <c r="AW49" s="208"/>
      <c r="AX49" s="208"/>
      <c r="AY49" s="208"/>
      <c r="AZ49" s="208"/>
      <c r="BA49" s="208"/>
      <c r="BB49" s="208"/>
      <c r="BC49" s="208"/>
      <c r="BD49" s="208"/>
      <c r="BE49" s="208"/>
      <c r="BF49" s="208"/>
      <c r="BG49" s="28"/>
      <c r="BH49" s="28"/>
      <c r="BI49" s="28"/>
      <c r="BJ49" s="28"/>
    </row>
    <row r="50" spans="1:62" s="23" customFormat="1" ht="21" customHeight="1" thickBot="1" x14ac:dyDescent="0.25">
      <c r="A50" s="846" t="str">
        <f>IF($AN50="","",IFERROR(VLOOKUP(CONCATENATE(CTR1_Billing!$E$20,$AN50),'Local Data Previous Year'!$C$3:$D$20000,2,0),CTR1_Billing!$E$21&amp;"NEW"))</f>
        <v/>
      </c>
      <c r="B50" s="846" t="str">
        <f>IF($E50="","",IFERROR(VLOOKUP(CONCATENATE(CTR1_Billing!$E$20,CTR1_Local!$E50),'Local Data Previous Year'!$C$3:$D$20000,2,0),CTR1_Billing!$E$21&amp;"NEW"))</f>
        <v/>
      </c>
      <c r="C50" s="846">
        <v>18</v>
      </c>
      <c r="D50" s="755" t="str" cm="1">
        <f t="array" ref="D50">IF(ISERROR(INDEX('Local Data Previous Year'!$D$3:$D$20000,SMALL(IF(CTR1_Billing!$E$21='Local Data Previous Year'!$A$3:$A$20000,ROW('Local Data Previous Year'!$A$3:$A$20000)-ROW('Local Data Previous Year'!$A$3)+1),ROW(18:18)))),"",INDEX('Local Data Previous Year'!$D$3:$D$20000,SMALL(IF(CTR1_Billing!$E$21='Local Data Previous Year'!$A$3:$A$20000,ROW('Local Data Previous Year'!$A$3:$A$20000)-ROW('Local Data Previous Year'!$A$3)+1),ROW(18:18))))</f>
        <v/>
      </c>
      <c r="E50" s="755" t="str" cm="1">
        <f t="array" ref="E50">IF(ISERROR(INDEX('Local Data Previous Year'!$E$3:$E$20000,SMALL(IF(CTR1_Billing!$E$21='Local Data Previous Year'!$A$3:$A$20000,ROW('Local Data Previous Year'!$A$3:$A$20000)-ROW('Local Data Previous Year'!$A$3)+1),ROW(18:18)))),"",INDEX('Local Data Previous Year'!$E$3:$E$20000,SMALL(IF(CTR1_Billing!$E$21='Local Data Previous Year'!$A$3:$A$20000,ROW('Local Data Previous Year'!$A$3:$A$20000)-ROW('Local Data Previous Year'!$A$3)+1),ROW(18:18))))</f>
        <v/>
      </c>
      <c r="F50" s="756" t="str">
        <f>IF($D50="","",IF(ISNA(MATCH($D50,'Local Data Previous Year'!$D$3:$D$20000,0)),"New",IFERROR(VLOOKUP($B50,'Local Data Previous Year'!$D$3:$I$20000,6,0),"")))</f>
        <v/>
      </c>
      <c r="G50" s="757">
        <f t="shared" si="11"/>
        <v>0</v>
      </c>
      <c r="H50" s="758" t="str">
        <f>IFERROR(INDEX('Local Data Previous Year'!$F:$F, MATCH($D50, 'Local Data Previous Year'!$D:$D, 0)), "")</f>
        <v/>
      </c>
      <c r="I50" s="759">
        <f>IF(B50=CTR1_Billing!$E$21&amp;"NEW",1,0)</f>
        <v>0</v>
      </c>
      <c r="J50" s="760" t="str">
        <f>IFERROR(INDEX('Local Data Previous Year'!$G:$G, MATCH($D50, 'Local Data Previous Year'!$D:$D, 0)), "")</f>
        <v/>
      </c>
      <c r="K50" s="762"/>
      <c r="L50" s="760" t="str">
        <f>IFERROR(INDEX('Local Data Previous Year'!$H:$H, MATCH($D50, 'Local Data Previous Year'!$D:$D, 0)), "")</f>
        <v/>
      </c>
      <c r="M50" s="762"/>
      <c r="N50" s="763"/>
      <c r="O50" s="764"/>
      <c r="P50" s="765"/>
      <c r="Q50" s="764"/>
      <c r="R50" s="766" t="str">
        <f t="shared" si="12"/>
        <v/>
      </c>
      <c r="S50" s="754"/>
      <c r="T50" s="763"/>
      <c r="U50" s="754"/>
      <c r="V50" s="763"/>
      <c r="W50" s="763"/>
      <c r="X50" s="865" t="str">
        <f>VLOOKUP(CTR1_Billing!$E$21,Data!$C$6:$D$302,1,FALSE)</f>
        <v>EZZZZ</v>
      </c>
      <c r="Y50" s="205"/>
      <c r="Z50" s="205">
        <f t="shared" si="0"/>
        <v>0</v>
      </c>
      <c r="AA50" s="289" t="str">
        <f t="shared" si="1"/>
        <v/>
      </c>
      <c r="AB50" s="205">
        <f t="shared" si="2"/>
        <v>0</v>
      </c>
      <c r="AC50" s="207"/>
      <c r="AD50" s="208"/>
      <c r="AE50" s="208"/>
      <c r="AF50" s="208"/>
      <c r="AG50" s="209" t="str">
        <f>IFERROR(INDEX('Local Data Previous Year'!$F:$F, MATCH($D50, 'Local Data Previous Year'!$D:$D, 0)), "")</f>
        <v/>
      </c>
      <c r="AH50" s="209" t="str">
        <f>IFERROR(INDEX('Local Data Previous Year'!$G:$G, MATCH($D50, 'Local Data Previous Year'!$D:$D, 0)), "")</f>
        <v/>
      </c>
      <c r="AI50" s="209" t="str">
        <f>IFERROR(INDEX('Local Data Previous Year'!$H:$H, MATCH($D50, 'Local Data Previous Year'!$D:$D, 0)), "")</f>
        <v/>
      </c>
      <c r="AJ50" s="209" t="str">
        <f t="shared" si="3"/>
        <v/>
      </c>
      <c r="AK50" s="209" t="str">
        <f t="shared" si="4"/>
        <v/>
      </c>
      <c r="AL50" s="209" t="str">
        <f t="shared" si="5"/>
        <v/>
      </c>
      <c r="AM50" s="208" t="str">
        <f>IF($AN50="","",IFERROR(VLOOKUP(CONCATENATE(CTR1_Billing!$E$20,$AN50),'Local Data Previous Year'!$C$3:$D$50000,2,0),CTR1_Billing!$E$21&amp;"NEW"))</f>
        <v/>
      </c>
      <c r="AN50" s="209" t="str" cm="1">
        <f t="array" ref="AN50">IF(ISERROR(INDEX('Local Data Previous Year'!$E$3:$E$50000, SMALL(IF(CTR1_Billing!$E$21='Local Data Previous Year'!$A$3:$A$50000, ROW('Local Data Previous Year'!$A$3:$A$50000)-ROW('Local Data Previous Year'!$A$3)+1), ROW(18:18)))), "", INDEX('Local Data Previous Year'!$E$3:$E$50000, SMALL(IF(CTR1_Billing!$E$21='Local Data Previous Year'!$A$3:$A$50000, ROW('Local Data Previous Year'!$A$3:$A$50000)-ROW('Local Data Previous Year'!$A$3)+1), ROW(18:18))))</f>
        <v/>
      </c>
      <c r="AO50" s="209" t="str">
        <f t="shared" si="6"/>
        <v/>
      </c>
      <c r="AP50" s="208"/>
      <c r="AQ50" s="209" t="str">
        <f t="shared" si="7"/>
        <v/>
      </c>
      <c r="AR50" s="209" t="str">
        <f t="shared" si="8"/>
        <v/>
      </c>
      <c r="AS50" s="202" t="str">
        <f t="shared" si="9"/>
        <v/>
      </c>
      <c r="AT50" s="202" t="str">
        <f t="shared" si="10"/>
        <v/>
      </c>
      <c r="AU50" s="208"/>
      <c r="AV50" s="208"/>
      <c r="AW50" s="208"/>
      <c r="AX50" s="208"/>
      <c r="AY50" s="208"/>
      <c r="AZ50" s="208"/>
      <c r="BA50" s="208"/>
      <c r="BB50" s="208"/>
      <c r="BC50" s="208"/>
      <c r="BD50" s="208"/>
      <c r="BE50" s="208"/>
      <c r="BF50" s="208"/>
      <c r="BG50" s="28"/>
      <c r="BH50" s="28"/>
      <c r="BI50" s="28"/>
      <c r="BJ50" s="28"/>
    </row>
    <row r="51" spans="1:62" s="23" customFormat="1" ht="21" customHeight="1" thickBot="1" x14ac:dyDescent="0.25">
      <c r="A51" s="846" t="str">
        <f>IF($AN51="","",IFERROR(VLOOKUP(CONCATENATE(CTR1_Billing!$E$20,$AN51),'Local Data Previous Year'!$C$3:$D$20000,2,0),CTR1_Billing!$E$21&amp;"NEW"))</f>
        <v/>
      </c>
      <c r="B51" s="846" t="str">
        <f>IF($E51="","",IFERROR(VLOOKUP(CONCATENATE(CTR1_Billing!$E$20,CTR1_Local!$E51),'Local Data Previous Year'!$C$3:$D$20000,2,0),CTR1_Billing!$E$21&amp;"NEW"))</f>
        <v/>
      </c>
      <c r="C51" s="846">
        <v>19</v>
      </c>
      <c r="D51" s="755" t="str" cm="1">
        <f t="array" ref="D51">IF(ISERROR(INDEX('Local Data Previous Year'!$D$3:$D$20000,SMALL(IF(CTR1_Billing!$E$21='Local Data Previous Year'!$A$3:$A$20000,ROW('Local Data Previous Year'!$A$3:$A$20000)-ROW('Local Data Previous Year'!$A$3)+1),ROW(19:19)))),"",INDEX('Local Data Previous Year'!$D$3:$D$20000,SMALL(IF(CTR1_Billing!$E$21='Local Data Previous Year'!$A$3:$A$20000,ROW('Local Data Previous Year'!$A$3:$A$20000)-ROW('Local Data Previous Year'!$A$3)+1),ROW(19:19))))</f>
        <v/>
      </c>
      <c r="E51" s="755" t="str" cm="1">
        <f t="array" ref="E51">IF(ISERROR(INDEX('Local Data Previous Year'!$E$3:$E$20000,SMALL(IF(CTR1_Billing!$E$21='Local Data Previous Year'!$A$3:$A$20000,ROW('Local Data Previous Year'!$A$3:$A$20000)-ROW('Local Data Previous Year'!$A$3)+1),ROW(19:19)))),"",INDEX('Local Data Previous Year'!$E$3:$E$20000,SMALL(IF(CTR1_Billing!$E$21='Local Data Previous Year'!$A$3:$A$20000,ROW('Local Data Previous Year'!$A$3:$A$20000)-ROW('Local Data Previous Year'!$A$3)+1),ROW(19:19))))</f>
        <v/>
      </c>
      <c r="F51" s="756" t="str">
        <f>IF($D51="","",IF(ISNA(MATCH($D51,'Local Data Previous Year'!$D$3:$D$20000,0)),"New",IFERROR(VLOOKUP($B51,'Local Data Previous Year'!$D$3:$I$20000,6,0),"")))</f>
        <v/>
      </c>
      <c r="G51" s="757">
        <f t="shared" si="11"/>
        <v>0</v>
      </c>
      <c r="H51" s="758" t="str">
        <f>IFERROR(INDEX('Local Data Previous Year'!$F:$F, MATCH($D51, 'Local Data Previous Year'!$D:$D, 0)), "")</f>
        <v/>
      </c>
      <c r="I51" s="759">
        <f>IF(B51=CTR1_Billing!$E$21&amp;"NEW",1,0)</f>
        <v>0</v>
      </c>
      <c r="J51" s="760" t="str">
        <f>IFERROR(INDEX('Local Data Previous Year'!$G:$G, MATCH($D51, 'Local Data Previous Year'!$D:$D, 0)), "")</f>
        <v/>
      </c>
      <c r="K51" s="762"/>
      <c r="L51" s="760" t="str">
        <f>IFERROR(INDEX('Local Data Previous Year'!$H:$H, MATCH($D51, 'Local Data Previous Year'!$D:$D, 0)), "")</f>
        <v/>
      </c>
      <c r="M51" s="762"/>
      <c r="N51" s="763"/>
      <c r="O51" s="764"/>
      <c r="P51" s="765"/>
      <c r="Q51" s="764"/>
      <c r="R51" s="766" t="str">
        <f t="shared" si="12"/>
        <v/>
      </c>
      <c r="S51" s="754"/>
      <c r="T51" s="763"/>
      <c r="U51" s="754"/>
      <c r="V51" s="763"/>
      <c r="W51" s="763"/>
      <c r="X51" s="865" t="str">
        <f>VLOOKUP(CTR1_Billing!$E$21,Data!$C$6:$D$302,1,FALSE)</f>
        <v>EZZZZ</v>
      </c>
      <c r="Y51" s="205"/>
      <c r="Z51" s="205">
        <f t="shared" si="0"/>
        <v>0</v>
      </c>
      <c r="AA51" s="206" t="str">
        <f t="shared" si="1"/>
        <v/>
      </c>
      <c r="AB51" s="205">
        <f t="shared" si="2"/>
        <v>0</v>
      </c>
      <c r="AC51" s="207"/>
      <c r="AD51" s="208"/>
      <c r="AE51" s="208"/>
      <c r="AF51" s="208"/>
      <c r="AG51" s="209" t="str">
        <f>IFERROR(INDEX('Local Data Previous Year'!$F:$F, MATCH($D51, 'Local Data Previous Year'!$D:$D, 0)), "")</f>
        <v/>
      </c>
      <c r="AH51" s="209" t="str">
        <f>IFERROR(INDEX('Local Data Previous Year'!$G:$G, MATCH($D51, 'Local Data Previous Year'!$D:$D, 0)), "")</f>
        <v/>
      </c>
      <c r="AI51" s="209" t="str">
        <f>IFERROR(INDEX('Local Data Previous Year'!$H:$H, MATCH($D51, 'Local Data Previous Year'!$D:$D, 0)), "")</f>
        <v/>
      </c>
      <c r="AJ51" s="209" t="str">
        <f t="shared" si="3"/>
        <v/>
      </c>
      <c r="AK51" s="209" t="str">
        <f t="shared" si="4"/>
        <v/>
      </c>
      <c r="AL51" s="209" t="str">
        <f t="shared" si="5"/>
        <v/>
      </c>
      <c r="AM51" s="208" t="str">
        <f>IF($AN51="","",IFERROR(VLOOKUP(CONCATENATE(CTR1_Billing!$E$20,$AN51),'Local Data Previous Year'!$C$3:$D$50000,2,0),CTR1_Billing!$E$21&amp;"NEW"))</f>
        <v/>
      </c>
      <c r="AN51" s="209" t="str" cm="1">
        <f t="array" ref="AN51">IF(ISERROR(INDEX('Local Data Previous Year'!$E$3:$E$50000, SMALL(IF(CTR1_Billing!$E$21='Local Data Previous Year'!$A$3:$A$50000, ROW('Local Data Previous Year'!$A$3:$A$50000)-ROW('Local Data Previous Year'!$A$3)+1), ROW(19:19)))), "", INDEX('Local Data Previous Year'!$E$3:$E$50000, SMALL(IF(CTR1_Billing!$E$21='Local Data Previous Year'!$A$3:$A$50000, ROW('Local Data Previous Year'!$A$3:$A$50000)-ROW('Local Data Previous Year'!$A$3)+1), ROW(19:19))))</f>
        <v/>
      </c>
      <c r="AO51" s="209" t="str">
        <f t="shared" si="6"/>
        <v/>
      </c>
      <c r="AP51" s="208"/>
      <c r="AQ51" s="209" t="str">
        <f t="shared" si="7"/>
        <v/>
      </c>
      <c r="AR51" s="209" t="str">
        <f t="shared" si="8"/>
        <v/>
      </c>
      <c r="AS51" s="202" t="str">
        <f t="shared" si="9"/>
        <v/>
      </c>
      <c r="AT51" s="202" t="str">
        <f t="shared" si="10"/>
        <v/>
      </c>
      <c r="AU51" s="208"/>
      <c r="AV51" s="208"/>
      <c r="AW51" s="208"/>
      <c r="AX51" s="208"/>
      <c r="AY51" s="208"/>
      <c r="AZ51" s="208"/>
      <c r="BA51" s="208"/>
      <c r="BB51" s="208"/>
      <c r="BC51" s="208"/>
      <c r="BD51" s="208"/>
      <c r="BE51" s="208"/>
      <c r="BF51" s="208"/>
      <c r="BG51" s="28"/>
      <c r="BH51" s="28"/>
      <c r="BI51" s="28"/>
      <c r="BJ51" s="28"/>
    </row>
    <row r="52" spans="1:62" s="23" customFormat="1" ht="21" customHeight="1" thickBot="1" x14ac:dyDescent="0.25">
      <c r="A52" s="846" t="str">
        <f>IF($AN52="","",IFERROR(VLOOKUP(CONCATENATE(CTR1_Billing!$E$20,$AN52),'Local Data Previous Year'!$C$3:$D$20000,2,0),CTR1_Billing!$E$21&amp;"NEW"))</f>
        <v/>
      </c>
      <c r="B52" s="846" t="str">
        <f>IF($E52="","",IFERROR(VLOOKUP(CONCATENATE(CTR1_Billing!$E$20,CTR1_Local!$E52),'Local Data Previous Year'!$C$3:$D$20000,2,0),CTR1_Billing!$E$21&amp;"NEW"))</f>
        <v/>
      </c>
      <c r="C52" s="846">
        <v>20</v>
      </c>
      <c r="D52" s="755" t="str" cm="1">
        <f t="array" ref="D52">IF(ISERROR(INDEX('Local Data Previous Year'!$D$3:$D$20000,SMALL(IF(CTR1_Billing!$E$21='Local Data Previous Year'!$A$3:$A$20000,ROW('Local Data Previous Year'!$A$3:$A$20000)-ROW('Local Data Previous Year'!$A$3)+1),ROW(20:20)))),"",INDEX('Local Data Previous Year'!$D$3:$D$20000,SMALL(IF(CTR1_Billing!$E$21='Local Data Previous Year'!$A$3:$A$20000,ROW('Local Data Previous Year'!$A$3:$A$20000)-ROW('Local Data Previous Year'!$A$3)+1),ROW(20:20))))</f>
        <v/>
      </c>
      <c r="E52" s="755" t="str" cm="1">
        <f t="array" ref="E52">IF(ISERROR(INDEX('Local Data Previous Year'!$E$3:$E$20000,SMALL(IF(CTR1_Billing!$E$21='Local Data Previous Year'!$A$3:$A$20000,ROW('Local Data Previous Year'!$A$3:$A$20000)-ROW('Local Data Previous Year'!$A$3)+1),ROW(20:20)))),"",INDEX('Local Data Previous Year'!$E$3:$E$20000,SMALL(IF(CTR1_Billing!$E$21='Local Data Previous Year'!$A$3:$A$20000,ROW('Local Data Previous Year'!$A$3:$A$20000)-ROW('Local Data Previous Year'!$A$3)+1),ROW(20:20))))</f>
        <v/>
      </c>
      <c r="F52" s="756" t="str">
        <f>IF($D52="","",IF(ISNA(MATCH($D52,'Local Data Previous Year'!$D$3:$D$20000,0)),"New",IFERROR(VLOOKUP($B52,'Local Data Previous Year'!$D$3:$I$20000,6,0),"")))</f>
        <v/>
      </c>
      <c r="G52" s="757">
        <f t="shared" si="11"/>
        <v>0</v>
      </c>
      <c r="H52" s="758" t="str">
        <f>IFERROR(INDEX('Local Data Previous Year'!$F:$F, MATCH($D52, 'Local Data Previous Year'!$D:$D, 0)), "")</f>
        <v/>
      </c>
      <c r="I52" s="759">
        <f>IF(B52=CTR1_Billing!$E$21&amp;"NEW",1,0)</f>
        <v>0</v>
      </c>
      <c r="J52" s="760" t="str">
        <f>IFERROR(INDEX('Local Data Previous Year'!$G:$G, MATCH($D52, 'Local Data Previous Year'!$D:$D, 0)), "")</f>
        <v/>
      </c>
      <c r="K52" s="762"/>
      <c r="L52" s="760" t="str">
        <f>IFERROR(INDEX('Local Data Previous Year'!$H:$H, MATCH($D52, 'Local Data Previous Year'!$D:$D, 0)), "")</f>
        <v/>
      </c>
      <c r="M52" s="762"/>
      <c r="N52" s="763"/>
      <c r="O52" s="764"/>
      <c r="P52" s="765"/>
      <c r="Q52" s="764"/>
      <c r="R52" s="766" t="str">
        <f t="shared" si="12"/>
        <v/>
      </c>
      <c r="S52" s="754"/>
      <c r="T52" s="763"/>
      <c r="U52" s="754"/>
      <c r="V52" s="763"/>
      <c r="W52" s="763"/>
      <c r="X52" s="865" t="str">
        <f>VLOOKUP(CTR1_Billing!$E$21,Data!$C$6:$D$302,1,FALSE)</f>
        <v>EZZZZ</v>
      </c>
      <c r="Y52" s="205"/>
      <c r="Z52" s="205">
        <f t="shared" si="0"/>
        <v>0</v>
      </c>
      <c r="AA52" s="206" t="str">
        <f t="shared" si="1"/>
        <v/>
      </c>
      <c r="AB52" s="205">
        <f t="shared" si="2"/>
        <v>0</v>
      </c>
      <c r="AC52" s="207"/>
      <c r="AD52" s="208"/>
      <c r="AE52" s="208"/>
      <c r="AF52" s="208"/>
      <c r="AG52" s="209" t="str">
        <f>IFERROR(INDEX('Local Data Previous Year'!$F:$F, MATCH($D52, 'Local Data Previous Year'!$D:$D, 0)), "")</f>
        <v/>
      </c>
      <c r="AH52" s="209" t="str">
        <f>IFERROR(INDEX('Local Data Previous Year'!$G:$G, MATCH($D52, 'Local Data Previous Year'!$D:$D, 0)), "")</f>
        <v/>
      </c>
      <c r="AI52" s="209" t="str">
        <f>IFERROR(INDEX('Local Data Previous Year'!$H:$H, MATCH($D52, 'Local Data Previous Year'!$D:$D, 0)), "")</f>
        <v/>
      </c>
      <c r="AJ52" s="209" t="str">
        <f t="shared" si="3"/>
        <v/>
      </c>
      <c r="AK52" s="209" t="str">
        <f t="shared" si="4"/>
        <v/>
      </c>
      <c r="AL52" s="209" t="str">
        <f t="shared" si="5"/>
        <v/>
      </c>
      <c r="AM52" s="208" t="str">
        <f>IF($AN52="","",IFERROR(VLOOKUP(CONCATENATE(CTR1_Billing!$E$20,$AN52),'Local Data Previous Year'!$C$3:$D$50000,2,0),CTR1_Billing!$E$21&amp;"NEW"))</f>
        <v/>
      </c>
      <c r="AN52" s="209" t="str" cm="1">
        <f t="array" ref="AN52">IF(ISERROR(INDEX('Local Data Previous Year'!$E$3:$E$50000, SMALL(IF(CTR1_Billing!$E$21='Local Data Previous Year'!$A$3:$A$50000, ROW('Local Data Previous Year'!$A$3:$A$50000)-ROW('Local Data Previous Year'!$A$3)+1), ROW(20:20)))), "", INDEX('Local Data Previous Year'!$E$3:$E$50000, SMALL(IF(CTR1_Billing!$E$21='Local Data Previous Year'!$A$3:$A$50000, ROW('Local Data Previous Year'!$A$3:$A$50000)-ROW('Local Data Previous Year'!$A$3)+1), ROW(20:20))))</f>
        <v/>
      </c>
      <c r="AO52" s="209" t="str">
        <f t="shared" si="6"/>
        <v/>
      </c>
      <c r="AP52" s="208"/>
      <c r="AQ52" s="209" t="str">
        <f t="shared" si="7"/>
        <v/>
      </c>
      <c r="AR52" s="209" t="str">
        <f t="shared" si="8"/>
        <v/>
      </c>
      <c r="AS52" s="202" t="str">
        <f t="shared" si="9"/>
        <v/>
      </c>
      <c r="AT52" s="202" t="str">
        <f t="shared" si="10"/>
        <v/>
      </c>
      <c r="AU52" s="208"/>
      <c r="AV52" s="208"/>
      <c r="AW52" s="208"/>
      <c r="AX52" s="208"/>
      <c r="AY52" s="208"/>
      <c r="AZ52" s="208"/>
      <c r="BA52" s="208"/>
      <c r="BB52" s="208"/>
      <c r="BC52" s="208"/>
      <c r="BD52" s="208"/>
      <c r="BE52" s="208"/>
      <c r="BF52" s="208"/>
      <c r="BG52" s="28"/>
      <c r="BH52" s="28"/>
      <c r="BI52" s="28"/>
      <c r="BJ52" s="28"/>
    </row>
    <row r="53" spans="1:62" s="23" customFormat="1" ht="21" customHeight="1" thickBot="1" x14ac:dyDescent="0.25">
      <c r="A53" s="846" t="str">
        <f>IF($AN53="","",IFERROR(VLOOKUP(CONCATENATE(CTR1_Billing!$E$20,$AN53),'Local Data Previous Year'!$C$3:$D$20000,2,0),CTR1_Billing!$E$21&amp;"NEW"))</f>
        <v/>
      </c>
      <c r="B53" s="846" t="str">
        <f>IF($E53="","",IFERROR(VLOOKUP(CONCATENATE(CTR1_Billing!$E$20,CTR1_Local!$E53),'Local Data Previous Year'!$C$3:$D$20000,2,0),CTR1_Billing!$E$21&amp;"NEW"))</f>
        <v/>
      </c>
      <c r="C53" s="846">
        <v>21</v>
      </c>
      <c r="D53" s="755" t="str" cm="1">
        <f t="array" ref="D53">IF(ISERROR(INDEX('Local Data Previous Year'!$D$3:$D$20000,SMALL(IF(CTR1_Billing!$E$21='Local Data Previous Year'!$A$3:$A$20000,ROW('Local Data Previous Year'!$A$3:$A$20000)-ROW('Local Data Previous Year'!$A$3)+1),ROW(21:21)))),"",INDEX('Local Data Previous Year'!$D$3:$D$20000,SMALL(IF(CTR1_Billing!$E$21='Local Data Previous Year'!$A$3:$A$20000,ROW('Local Data Previous Year'!$A$3:$A$20000)-ROW('Local Data Previous Year'!$A$3)+1),ROW(21:21))))</f>
        <v/>
      </c>
      <c r="E53" s="755" t="str" cm="1">
        <f t="array" ref="E53">IF(ISERROR(INDEX('Local Data Previous Year'!$E$3:$E$20000,SMALL(IF(CTR1_Billing!$E$21='Local Data Previous Year'!$A$3:$A$20000,ROW('Local Data Previous Year'!$A$3:$A$20000)-ROW('Local Data Previous Year'!$A$3)+1),ROW(21:21)))),"",INDEX('Local Data Previous Year'!$E$3:$E$20000,SMALL(IF(CTR1_Billing!$E$21='Local Data Previous Year'!$A$3:$A$20000,ROW('Local Data Previous Year'!$A$3:$A$20000)-ROW('Local Data Previous Year'!$A$3)+1),ROW(21:21))))</f>
        <v/>
      </c>
      <c r="F53" s="756" t="str">
        <f>IF($D53="","",IF(ISNA(MATCH($D53,'Local Data Previous Year'!$D$3:$D$20000,0)),"New",IFERROR(VLOOKUP($B53,'Local Data Previous Year'!$D$3:$I$20000,6,0),"")))</f>
        <v/>
      </c>
      <c r="G53" s="757">
        <f t="shared" si="11"/>
        <v>0</v>
      </c>
      <c r="H53" s="758" t="str">
        <f>IFERROR(INDEX('Local Data Previous Year'!$F:$F, MATCH($D53, 'Local Data Previous Year'!$D:$D, 0)), "")</f>
        <v/>
      </c>
      <c r="I53" s="759">
        <f>IF(B53=CTR1_Billing!$E$21&amp;"NEW",1,0)</f>
        <v>0</v>
      </c>
      <c r="J53" s="760" t="str">
        <f>IFERROR(INDEX('Local Data Previous Year'!$G:$G, MATCH($D53, 'Local Data Previous Year'!$D:$D, 0)), "")</f>
        <v/>
      </c>
      <c r="K53" s="762"/>
      <c r="L53" s="760" t="str">
        <f>IFERROR(INDEX('Local Data Previous Year'!$H:$H, MATCH($D53, 'Local Data Previous Year'!$D:$D, 0)), "")</f>
        <v/>
      </c>
      <c r="M53" s="762"/>
      <c r="N53" s="763"/>
      <c r="O53" s="764"/>
      <c r="P53" s="765"/>
      <c r="Q53" s="764"/>
      <c r="R53" s="766" t="str">
        <f t="shared" si="12"/>
        <v/>
      </c>
      <c r="S53" s="754"/>
      <c r="T53" s="763"/>
      <c r="U53" s="754"/>
      <c r="V53" s="763"/>
      <c r="W53" s="763"/>
      <c r="X53" s="865" t="str">
        <f>VLOOKUP(CTR1_Billing!$E$21,Data!$C$6:$D$302,1,FALSE)</f>
        <v>EZZZZ</v>
      </c>
      <c r="Y53" s="205"/>
      <c r="Z53" s="205">
        <f t="shared" si="0"/>
        <v>0</v>
      </c>
      <c r="AA53" s="206" t="str">
        <f t="shared" si="1"/>
        <v/>
      </c>
      <c r="AB53" s="205">
        <f t="shared" si="2"/>
        <v>0</v>
      </c>
      <c r="AC53" s="207"/>
      <c r="AD53" s="208"/>
      <c r="AE53" s="208"/>
      <c r="AF53" s="208"/>
      <c r="AG53" s="209" t="str">
        <f>IFERROR(INDEX('Local Data Previous Year'!$F:$F, MATCH($D53, 'Local Data Previous Year'!$D:$D, 0)), "")</f>
        <v/>
      </c>
      <c r="AH53" s="209" t="str">
        <f>IFERROR(INDEX('Local Data Previous Year'!$G:$G, MATCH($D53, 'Local Data Previous Year'!$D:$D, 0)), "")</f>
        <v/>
      </c>
      <c r="AI53" s="209" t="str">
        <f>IFERROR(INDEX('Local Data Previous Year'!$H:$H, MATCH($D53, 'Local Data Previous Year'!$D:$D, 0)), "")</f>
        <v/>
      </c>
      <c r="AJ53" s="209" t="str">
        <f t="shared" si="3"/>
        <v/>
      </c>
      <c r="AK53" s="209" t="str">
        <f t="shared" si="4"/>
        <v/>
      </c>
      <c r="AL53" s="209" t="str">
        <f t="shared" si="5"/>
        <v/>
      </c>
      <c r="AM53" s="208" t="str">
        <f>IF($AN53="","",IFERROR(VLOOKUP(CONCATENATE(CTR1_Billing!$E$20,$AN53),'Local Data Previous Year'!$C$3:$D$50000,2,0),CTR1_Billing!$E$21&amp;"NEW"))</f>
        <v/>
      </c>
      <c r="AN53" s="209" t="str" cm="1">
        <f t="array" ref="AN53">IF(ISERROR(INDEX('Local Data Previous Year'!$E$3:$E$50000, SMALL(IF(CTR1_Billing!$E$21='Local Data Previous Year'!$A$3:$A$50000, ROW('Local Data Previous Year'!$A$3:$A$50000)-ROW('Local Data Previous Year'!$A$3)+1), ROW(21:21)))), "", INDEX('Local Data Previous Year'!$E$3:$E$50000, SMALL(IF(CTR1_Billing!$E$21='Local Data Previous Year'!$A$3:$A$50000, ROW('Local Data Previous Year'!$A$3:$A$50000)-ROW('Local Data Previous Year'!$A$3)+1), ROW(21:21))))</f>
        <v/>
      </c>
      <c r="AO53" s="209" t="str">
        <f t="shared" si="6"/>
        <v/>
      </c>
      <c r="AP53" s="208"/>
      <c r="AQ53" s="209" t="str">
        <f t="shared" si="7"/>
        <v/>
      </c>
      <c r="AR53" s="209" t="str">
        <f t="shared" si="8"/>
        <v/>
      </c>
      <c r="AS53" s="202" t="str">
        <f t="shared" si="9"/>
        <v/>
      </c>
      <c r="AT53" s="202" t="str">
        <f t="shared" si="10"/>
        <v/>
      </c>
      <c r="AU53" s="208"/>
      <c r="AV53" s="208"/>
      <c r="AW53" s="208"/>
      <c r="AX53" s="208"/>
      <c r="AY53" s="208"/>
      <c r="AZ53" s="208"/>
      <c r="BA53" s="208"/>
      <c r="BB53" s="208"/>
      <c r="BC53" s="208"/>
      <c r="BD53" s="208"/>
      <c r="BE53" s="208"/>
      <c r="BF53" s="208"/>
      <c r="BG53" s="28"/>
      <c r="BH53" s="28"/>
      <c r="BI53" s="28"/>
      <c r="BJ53" s="28"/>
    </row>
    <row r="54" spans="1:62" s="23" customFormat="1" ht="21" customHeight="1" thickBot="1" x14ac:dyDescent="0.25">
      <c r="A54" s="846" t="str">
        <f>IF($AN54="","",IFERROR(VLOOKUP(CONCATENATE(CTR1_Billing!$E$20,$AN54),'Local Data Previous Year'!$C$3:$D$20000,2,0),CTR1_Billing!$E$21&amp;"NEW"))</f>
        <v/>
      </c>
      <c r="B54" s="846" t="str">
        <f>IF($E54="","",IFERROR(VLOOKUP(CONCATENATE(CTR1_Billing!$E$20,CTR1_Local!$E54),'Local Data Previous Year'!$C$3:$D$20000,2,0),CTR1_Billing!$E$21&amp;"NEW"))</f>
        <v/>
      </c>
      <c r="C54" s="846">
        <v>22</v>
      </c>
      <c r="D54" s="755" t="str" cm="1">
        <f t="array" ref="D54">IF(ISERROR(INDEX('Local Data Previous Year'!$D$3:$D$20000,SMALL(IF(CTR1_Billing!$E$21='Local Data Previous Year'!$A$3:$A$20000,ROW('Local Data Previous Year'!$A$3:$A$20000)-ROW('Local Data Previous Year'!$A$3)+1),ROW(22:22)))),"",INDEX('Local Data Previous Year'!$D$3:$D$20000,SMALL(IF(CTR1_Billing!$E$21='Local Data Previous Year'!$A$3:$A$20000,ROW('Local Data Previous Year'!$A$3:$A$20000)-ROW('Local Data Previous Year'!$A$3)+1),ROW(22:22))))</f>
        <v/>
      </c>
      <c r="E54" s="755" t="str" cm="1">
        <f t="array" ref="E54">IF(ISERROR(INDEX('Local Data Previous Year'!$E$3:$E$20000,SMALL(IF(CTR1_Billing!$E$21='Local Data Previous Year'!$A$3:$A$20000,ROW('Local Data Previous Year'!$A$3:$A$20000)-ROW('Local Data Previous Year'!$A$3)+1),ROW(22:22)))),"",INDEX('Local Data Previous Year'!$E$3:$E$20000,SMALL(IF(CTR1_Billing!$E$21='Local Data Previous Year'!$A$3:$A$20000,ROW('Local Data Previous Year'!$A$3:$A$20000)-ROW('Local Data Previous Year'!$A$3)+1),ROW(22:22))))</f>
        <v/>
      </c>
      <c r="F54" s="756" t="str">
        <f>IF($D54="","",IF(ISNA(MATCH($D54,'Local Data Previous Year'!$D$3:$D$20000,0)),"New",IFERROR(VLOOKUP($B54,'Local Data Previous Year'!$D$3:$I$20000,6,0),"")))</f>
        <v/>
      </c>
      <c r="G54" s="757">
        <f t="shared" si="11"/>
        <v>0</v>
      </c>
      <c r="H54" s="758" t="str">
        <f>IFERROR(INDEX('Local Data Previous Year'!$F:$F, MATCH($D54, 'Local Data Previous Year'!$D:$D, 0)), "")</f>
        <v/>
      </c>
      <c r="I54" s="759">
        <f>IF(B54=CTR1_Billing!$E$21&amp;"NEW",1,0)</f>
        <v>0</v>
      </c>
      <c r="J54" s="760" t="str">
        <f>IFERROR(INDEX('Local Data Previous Year'!$G:$G, MATCH($D54, 'Local Data Previous Year'!$D:$D, 0)), "")</f>
        <v/>
      </c>
      <c r="K54" s="762"/>
      <c r="L54" s="760" t="str">
        <f>IFERROR(INDEX('Local Data Previous Year'!$H:$H, MATCH($D54, 'Local Data Previous Year'!$D:$D, 0)), "")</f>
        <v/>
      </c>
      <c r="M54" s="762"/>
      <c r="N54" s="763"/>
      <c r="O54" s="764"/>
      <c r="P54" s="765"/>
      <c r="Q54" s="764"/>
      <c r="R54" s="766" t="str">
        <f t="shared" si="12"/>
        <v/>
      </c>
      <c r="S54" s="754"/>
      <c r="T54" s="763"/>
      <c r="U54" s="754"/>
      <c r="V54" s="763"/>
      <c r="W54" s="763"/>
      <c r="X54" s="865" t="str">
        <f>VLOOKUP(CTR1_Billing!$E$21,Data!$C$6:$D$302,1,FALSE)</f>
        <v>EZZZZ</v>
      </c>
      <c r="Y54" s="205"/>
      <c r="Z54" s="205">
        <f t="shared" si="0"/>
        <v>0</v>
      </c>
      <c r="AA54" s="206" t="str">
        <f t="shared" si="1"/>
        <v/>
      </c>
      <c r="AB54" s="205">
        <f t="shared" si="2"/>
        <v>0</v>
      </c>
      <c r="AC54" s="207"/>
      <c r="AD54" s="208"/>
      <c r="AE54" s="208"/>
      <c r="AF54" s="208"/>
      <c r="AG54" s="209" t="str">
        <f>IFERROR(INDEX('Local Data Previous Year'!$F:$F, MATCH($D54, 'Local Data Previous Year'!$D:$D, 0)), "")</f>
        <v/>
      </c>
      <c r="AH54" s="209" t="str">
        <f>IFERROR(INDEX('Local Data Previous Year'!$G:$G, MATCH($D54, 'Local Data Previous Year'!$D:$D, 0)), "")</f>
        <v/>
      </c>
      <c r="AI54" s="209" t="str">
        <f>IFERROR(INDEX('Local Data Previous Year'!$H:$H, MATCH($D54, 'Local Data Previous Year'!$D:$D, 0)), "")</f>
        <v/>
      </c>
      <c r="AJ54" s="209" t="str">
        <f t="shared" si="3"/>
        <v/>
      </c>
      <c r="AK54" s="209" t="str">
        <f t="shared" si="4"/>
        <v/>
      </c>
      <c r="AL54" s="209" t="str">
        <f t="shared" si="5"/>
        <v/>
      </c>
      <c r="AM54" s="208" t="str">
        <f>IF($AN54="","",IFERROR(VLOOKUP(CONCATENATE(CTR1_Billing!$E$20,$AN54),'Local Data Previous Year'!$C$3:$D$50000,2,0),CTR1_Billing!$E$21&amp;"NEW"))</f>
        <v/>
      </c>
      <c r="AN54" s="209" t="str" cm="1">
        <f t="array" ref="AN54">IF(ISERROR(INDEX('Local Data Previous Year'!$E$3:$E$50000, SMALL(IF(CTR1_Billing!$E$21='Local Data Previous Year'!$A$3:$A$50000, ROW('Local Data Previous Year'!$A$3:$A$50000)-ROW('Local Data Previous Year'!$A$3)+1), ROW(22:22)))), "", INDEX('Local Data Previous Year'!$E$3:$E$50000, SMALL(IF(CTR1_Billing!$E$21='Local Data Previous Year'!$A$3:$A$50000, ROW('Local Data Previous Year'!$A$3:$A$50000)-ROW('Local Data Previous Year'!$A$3)+1), ROW(22:22))))</f>
        <v/>
      </c>
      <c r="AO54" s="209" t="str">
        <f t="shared" si="6"/>
        <v/>
      </c>
      <c r="AP54" s="208"/>
      <c r="AQ54" s="209" t="str">
        <f t="shared" si="7"/>
        <v/>
      </c>
      <c r="AR54" s="209" t="str">
        <f t="shared" si="8"/>
        <v/>
      </c>
      <c r="AS54" s="202" t="str">
        <f t="shared" si="9"/>
        <v/>
      </c>
      <c r="AT54" s="202" t="str">
        <f t="shared" si="10"/>
        <v/>
      </c>
      <c r="AU54" s="208"/>
      <c r="AV54" s="208"/>
      <c r="AW54" s="208"/>
      <c r="AX54" s="208"/>
      <c r="AY54" s="208"/>
      <c r="AZ54" s="208"/>
      <c r="BA54" s="208"/>
      <c r="BB54" s="208"/>
      <c r="BC54" s="208"/>
      <c r="BD54" s="208"/>
      <c r="BE54" s="208"/>
      <c r="BF54" s="208"/>
      <c r="BG54" s="28"/>
      <c r="BH54" s="28"/>
      <c r="BI54" s="28"/>
      <c r="BJ54" s="28"/>
    </row>
    <row r="55" spans="1:62" s="23" customFormat="1" ht="21" customHeight="1" thickBot="1" x14ac:dyDescent="0.25">
      <c r="A55" s="846" t="str">
        <f>IF($AN55="","",IFERROR(VLOOKUP(CONCATENATE(CTR1_Billing!$E$20,$AN55),'Local Data Previous Year'!$C$3:$D$20000,2,0),CTR1_Billing!$E$21&amp;"NEW"))</f>
        <v/>
      </c>
      <c r="B55" s="846" t="str">
        <f>IF($E55="","",IFERROR(VLOOKUP(CONCATENATE(CTR1_Billing!$E$20,CTR1_Local!$E55),'Local Data Previous Year'!$C$3:$D$20000,2,0),CTR1_Billing!$E$21&amp;"NEW"))</f>
        <v/>
      </c>
      <c r="C55" s="846">
        <v>23</v>
      </c>
      <c r="D55" s="755" t="str" cm="1">
        <f t="array" ref="D55">IF(ISERROR(INDEX('Local Data Previous Year'!$D$3:$D$20000,SMALL(IF(CTR1_Billing!$E$21='Local Data Previous Year'!$A$3:$A$20000,ROW('Local Data Previous Year'!$A$3:$A$20000)-ROW('Local Data Previous Year'!$A$3)+1),ROW(23:23)))),"",INDEX('Local Data Previous Year'!$D$3:$D$20000,SMALL(IF(CTR1_Billing!$E$21='Local Data Previous Year'!$A$3:$A$20000,ROW('Local Data Previous Year'!$A$3:$A$20000)-ROW('Local Data Previous Year'!$A$3)+1),ROW(23:23))))</f>
        <v/>
      </c>
      <c r="E55" s="755" t="str" cm="1">
        <f t="array" ref="E55">IF(ISERROR(INDEX('Local Data Previous Year'!$E$3:$E$20000,SMALL(IF(CTR1_Billing!$E$21='Local Data Previous Year'!$A$3:$A$20000,ROW('Local Data Previous Year'!$A$3:$A$20000)-ROW('Local Data Previous Year'!$A$3)+1),ROW(23:23)))),"",INDEX('Local Data Previous Year'!$E$3:$E$20000,SMALL(IF(CTR1_Billing!$E$21='Local Data Previous Year'!$A$3:$A$20000,ROW('Local Data Previous Year'!$A$3:$A$20000)-ROW('Local Data Previous Year'!$A$3)+1),ROW(23:23))))</f>
        <v/>
      </c>
      <c r="F55" s="756" t="str">
        <f>IF($D55="","",IF(ISNA(MATCH($D55,'Local Data Previous Year'!$D$3:$D$20000,0)),"New",IFERROR(VLOOKUP($B55,'Local Data Previous Year'!$D$3:$I$20000,6,0),"")))</f>
        <v/>
      </c>
      <c r="G55" s="757">
        <f t="shared" si="11"/>
        <v>0</v>
      </c>
      <c r="H55" s="758" t="str">
        <f>IFERROR(INDEX('Local Data Previous Year'!$F:$F, MATCH($D55, 'Local Data Previous Year'!$D:$D, 0)), "")</f>
        <v/>
      </c>
      <c r="I55" s="759">
        <f>IF(B55=CTR1_Billing!$E$21&amp;"NEW",1,0)</f>
        <v>0</v>
      </c>
      <c r="J55" s="760" t="str">
        <f>IFERROR(INDEX('Local Data Previous Year'!$G:$G, MATCH($D55, 'Local Data Previous Year'!$D:$D, 0)), "")</f>
        <v/>
      </c>
      <c r="K55" s="762"/>
      <c r="L55" s="760" t="str">
        <f>IFERROR(INDEX('Local Data Previous Year'!$H:$H, MATCH($D55, 'Local Data Previous Year'!$D:$D, 0)), "")</f>
        <v/>
      </c>
      <c r="M55" s="762"/>
      <c r="N55" s="763"/>
      <c r="O55" s="764"/>
      <c r="P55" s="765"/>
      <c r="Q55" s="764"/>
      <c r="R55" s="766" t="str">
        <f t="shared" si="12"/>
        <v/>
      </c>
      <c r="S55" s="754"/>
      <c r="T55" s="763"/>
      <c r="U55" s="754"/>
      <c r="V55" s="763"/>
      <c r="W55" s="763"/>
      <c r="X55" s="865" t="str">
        <f>VLOOKUP(CTR1_Billing!$E$21,Data!$C$6:$D$302,1,FALSE)</f>
        <v>EZZZZ</v>
      </c>
      <c r="Y55" s="205"/>
      <c r="Z55" s="205">
        <f t="shared" si="0"/>
        <v>0</v>
      </c>
      <c r="AA55" s="206" t="str">
        <f t="shared" si="1"/>
        <v/>
      </c>
      <c r="AB55" s="205">
        <f t="shared" si="2"/>
        <v>0</v>
      </c>
      <c r="AC55" s="207"/>
      <c r="AD55" s="208"/>
      <c r="AE55" s="208"/>
      <c r="AF55" s="208"/>
      <c r="AG55" s="209" t="str">
        <f>IFERROR(INDEX('Local Data Previous Year'!$F:$F, MATCH($D55, 'Local Data Previous Year'!$D:$D, 0)), "")</f>
        <v/>
      </c>
      <c r="AH55" s="209" t="str">
        <f>IFERROR(INDEX('Local Data Previous Year'!$G:$G, MATCH($D55, 'Local Data Previous Year'!$D:$D, 0)), "")</f>
        <v/>
      </c>
      <c r="AI55" s="209" t="str">
        <f>IFERROR(INDEX('Local Data Previous Year'!$H:$H, MATCH($D55, 'Local Data Previous Year'!$D:$D, 0)), "")</f>
        <v/>
      </c>
      <c r="AJ55" s="209" t="str">
        <f t="shared" si="3"/>
        <v/>
      </c>
      <c r="AK55" s="209" t="str">
        <f t="shared" si="4"/>
        <v/>
      </c>
      <c r="AL55" s="209" t="str">
        <f t="shared" si="5"/>
        <v/>
      </c>
      <c r="AM55" s="208" t="str">
        <f>IF($AN55="","",IFERROR(VLOOKUP(CONCATENATE(CTR1_Billing!$E$20,$AN55),'Local Data Previous Year'!$C$3:$D$50000,2,0),CTR1_Billing!$E$21&amp;"NEW"))</f>
        <v/>
      </c>
      <c r="AN55" s="209" t="str" cm="1">
        <f t="array" ref="AN55">IF(ISERROR(INDEX('Local Data Previous Year'!$E$3:$E$50000, SMALL(IF(CTR1_Billing!$E$21='Local Data Previous Year'!$A$3:$A$50000, ROW('Local Data Previous Year'!$A$3:$A$50000)-ROW('Local Data Previous Year'!$A$3)+1), ROW(23:23)))), "", INDEX('Local Data Previous Year'!$E$3:$E$50000, SMALL(IF(CTR1_Billing!$E$21='Local Data Previous Year'!$A$3:$A$50000, ROW('Local Data Previous Year'!$A$3:$A$50000)-ROW('Local Data Previous Year'!$A$3)+1), ROW(23:23))))</f>
        <v/>
      </c>
      <c r="AO55" s="209" t="str">
        <f t="shared" si="6"/>
        <v/>
      </c>
      <c r="AP55" s="208"/>
      <c r="AQ55" s="209" t="str">
        <f t="shared" si="7"/>
        <v/>
      </c>
      <c r="AR55" s="209" t="str">
        <f t="shared" si="8"/>
        <v/>
      </c>
      <c r="AS55" s="202" t="str">
        <f t="shared" si="9"/>
        <v/>
      </c>
      <c r="AT55" s="202" t="str">
        <f t="shared" si="10"/>
        <v/>
      </c>
      <c r="AU55" s="208"/>
      <c r="AV55" s="208"/>
      <c r="AW55" s="208"/>
      <c r="AX55" s="208"/>
      <c r="AY55" s="208"/>
      <c r="AZ55" s="208"/>
      <c r="BA55" s="208"/>
      <c r="BB55" s="208"/>
      <c r="BC55" s="208"/>
      <c r="BD55" s="208"/>
      <c r="BE55" s="208"/>
      <c r="BF55" s="208"/>
      <c r="BG55" s="28"/>
      <c r="BH55" s="28"/>
      <c r="BI55" s="28"/>
      <c r="BJ55" s="28"/>
    </row>
    <row r="56" spans="1:62" s="23" customFormat="1" ht="21" customHeight="1" thickBot="1" x14ac:dyDescent="0.25">
      <c r="A56" s="846" t="str">
        <f>IF($AN56="","",IFERROR(VLOOKUP(CONCATENATE(CTR1_Billing!$E$20,$AN56),'Local Data Previous Year'!$C$3:$D$20000,2,0),CTR1_Billing!$E$21&amp;"NEW"))</f>
        <v/>
      </c>
      <c r="B56" s="846" t="str">
        <f>IF($E56="","",IFERROR(VLOOKUP(CONCATENATE(CTR1_Billing!$E$20,CTR1_Local!$E56),'Local Data Previous Year'!$C$3:$D$20000,2,0),CTR1_Billing!$E$21&amp;"NEW"))</f>
        <v/>
      </c>
      <c r="C56" s="846">
        <v>24</v>
      </c>
      <c r="D56" s="755" t="str" cm="1">
        <f t="array" ref="D56">IF(ISERROR(INDEX('Local Data Previous Year'!$D$3:$D$20000,SMALL(IF(CTR1_Billing!$E$21='Local Data Previous Year'!$A$3:$A$20000,ROW('Local Data Previous Year'!$A$3:$A$20000)-ROW('Local Data Previous Year'!$A$3)+1),ROW(24:24)))),"",INDEX('Local Data Previous Year'!$D$3:$D$20000,SMALL(IF(CTR1_Billing!$E$21='Local Data Previous Year'!$A$3:$A$20000,ROW('Local Data Previous Year'!$A$3:$A$20000)-ROW('Local Data Previous Year'!$A$3)+1),ROW(24:24))))</f>
        <v/>
      </c>
      <c r="E56" s="755" t="str" cm="1">
        <f t="array" ref="E56">IF(ISERROR(INDEX('Local Data Previous Year'!$E$3:$E$20000,SMALL(IF(CTR1_Billing!$E$21='Local Data Previous Year'!$A$3:$A$20000,ROW('Local Data Previous Year'!$A$3:$A$20000)-ROW('Local Data Previous Year'!$A$3)+1),ROW(24:24)))),"",INDEX('Local Data Previous Year'!$E$3:$E$20000,SMALL(IF(CTR1_Billing!$E$21='Local Data Previous Year'!$A$3:$A$20000,ROW('Local Data Previous Year'!$A$3:$A$20000)-ROW('Local Data Previous Year'!$A$3)+1),ROW(24:24))))</f>
        <v/>
      </c>
      <c r="F56" s="756" t="str">
        <f>IF($D56="","",IF(ISNA(MATCH($D56,'Local Data Previous Year'!$D$3:$D$20000,0)),"New",IFERROR(VLOOKUP($B56,'Local Data Previous Year'!$D$3:$I$20000,6,0),"")))</f>
        <v/>
      </c>
      <c r="G56" s="757">
        <f t="shared" si="11"/>
        <v>0</v>
      </c>
      <c r="H56" s="758" t="str">
        <f>IFERROR(INDEX('Local Data Previous Year'!$F:$F, MATCH($D56, 'Local Data Previous Year'!$D:$D, 0)), "")</f>
        <v/>
      </c>
      <c r="I56" s="759">
        <f>IF(B56=CTR1_Billing!$E$21&amp;"NEW",1,0)</f>
        <v>0</v>
      </c>
      <c r="J56" s="760" t="str">
        <f>IFERROR(INDEX('Local Data Previous Year'!$G:$G, MATCH($D56, 'Local Data Previous Year'!$D:$D, 0)), "")</f>
        <v/>
      </c>
      <c r="K56" s="762"/>
      <c r="L56" s="760" t="str">
        <f>IFERROR(INDEX('Local Data Previous Year'!$H:$H, MATCH($D56, 'Local Data Previous Year'!$D:$D, 0)), "")</f>
        <v/>
      </c>
      <c r="M56" s="762"/>
      <c r="N56" s="763"/>
      <c r="O56" s="764"/>
      <c r="P56" s="765"/>
      <c r="Q56" s="764"/>
      <c r="R56" s="766" t="str">
        <f t="shared" si="12"/>
        <v/>
      </c>
      <c r="S56" s="754"/>
      <c r="T56" s="763"/>
      <c r="U56" s="754"/>
      <c r="V56" s="763"/>
      <c r="W56" s="763"/>
      <c r="X56" s="865" t="str">
        <f>VLOOKUP(CTR1_Billing!$E$21,Data!$C$6:$D$302,1,FALSE)</f>
        <v>EZZZZ</v>
      </c>
      <c r="Y56" s="205"/>
      <c r="Z56" s="205">
        <f t="shared" si="0"/>
        <v>0</v>
      </c>
      <c r="AA56" s="206" t="str">
        <f t="shared" si="1"/>
        <v/>
      </c>
      <c r="AB56" s="205">
        <f t="shared" si="2"/>
        <v>0</v>
      </c>
      <c r="AC56" s="207"/>
      <c r="AD56" s="208"/>
      <c r="AE56" s="208"/>
      <c r="AF56" s="208"/>
      <c r="AG56" s="209" t="str">
        <f>IFERROR(INDEX('Local Data Previous Year'!$F:$F, MATCH($D56, 'Local Data Previous Year'!$D:$D, 0)), "")</f>
        <v/>
      </c>
      <c r="AH56" s="209" t="str">
        <f>IFERROR(INDEX('Local Data Previous Year'!$G:$G, MATCH($D56, 'Local Data Previous Year'!$D:$D, 0)), "")</f>
        <v/>
      </c>
      <c r="AI56" s="209" t="str">
        <f>IFERROR(INDEX('Local Data Previous Year'!$H:$H, MATCH($D56, 'Local Data Previous Year'!$D:$D, 0)), "")</f>
        <v/>
      </c>
      <c r="AJ56" s="209" t="str">
        <f t="shared" si="3"/>
        <v/>
      </c>
      <c r="AK56" s="209" t="str">
        <f t="shared" si="4"/>
        <v/>
      </c>
      <c r="AL56" s="209" t="str">
        <f t="shared" si="5"/>
        <v/>
      </c>
      <c r="AM56" s="208" t="str">
        <f>IF($AN56="","",IFERROR(VLOOKUP(CONCATENATE(CTR1_Billing!$E$20,$AN56),'Local Data Previous Year'!$C$3:$D$50000,2,0),CTR1_Billing!$E$21&amp;"NEW"))</f>
        <v/>
      </c>
      <c r="AN56" s="209" t="str" cm="1">
        <f t="array" ref="AN56">IF(ISERROR(INDEX('Local Data Previous Year'!$E$3:$E$50000, SMALL(IF(CTR1_Billing!$E$21='Local Data Previous Year'!$A$3:$A$50000, ROW('Local Data Previous Year'!$A$3:$A$50000)-ROW('Local Data Previous Year'!$A$3)+1), ROW(24:24)))), "", INDEX('Local Data Previous Year'!$E$3:$E$50000, SMALL(IF(CTR1_Billing!$E$21='Local Data Previous Year'!$A$3:$A$50000, ROW('Local Data Previous Year'!$A$3:$A$50000)-ROW('Local Data Previous Year'!$A$3)+1), ROW(24:24))))</f>
        <v/>
      </c>
      <c r="AO56" s="209" t="str">
        <f t="shared" si="6"/>
        <v/>
      </c>
      <c r="AP56" s="208"/>
      <c r="AQ56" s="209" t="str">
        <f t="shared" si="7"/>
        <v/>
      </c>
      <c r="AR56" s="209" t="str">
        <f t="shared" si="8"/>
        <v/>
      </c>
      <c r="AS56" s="202" t="str">
        <f t="shared" si="9"/>
        <v/>
      </c>
      <c r="AT56" s="202" t="str">
        <f t="shared" si="10"/>
        <v/>
      </c>
      <c r="AU56" s="208"/>
      <c r="AV56" s="208"/>
      <c r="AW56" s="208"/>
      <c r="AX56" s="208"/>
      <c r="AY56" s="208"/>
      <c r="AZ56" s="208"/>
      <c r="BA56" s="208"/>
      <c r="BB56" s="208"/>
      <c r="BC56" s="208"/>
      <c r="BD56" s="208"/>
      <c r="BE56" s="208"/>
      <c r="BF56" s="208"/>
      <c r="BG56" s="28"/>
      <c r="BH56" s="28"/>
      <c r="BI56" s="28"/>
      <c r="BJ56" s="28"/>
    </row>
    <row r="57" spans="1:62" s="23" customFormat="1" ht="21" customHeight="1" thickBot="1" x14ac:dyDescent="0.25">
      <c r="A57" s="846" t="str">
        <f>IF($AN57="","",IFERROR(VLOOKUP(CONCATENATE(CTR1_Billing!$E$20,$AN57),'Local Data Previous Year'!$C$3:$D$20000,2,0),CTR1_Billing!$E$21&amp;"NEW"))</f>
        <v/>
      </c>
      <c r="B57" s="846" t="str">
        <f>IF($E57="","",IFERROR(VLOOKUP(CONCATENATE(CTR1_Billing!$E$20,CTR1_Local!$E57),'Local Data Previous Year'!$C$3:$D$20000,2,0),CTR1_Billing!$E$21&amp;"NEW"))</f>
        <v/>
      </c>
      <c r="C57" s="846">
        <v>25</v>
      </c>
      <c r="D57" s="755" t="str" cm="1">
        <f t="array" ref="D57">IF(ISERROR(INDEX('Local Data Previous Year'!$D$3:$D$20000,SMALL(IF(CTR1_Billing!$E$21='Local Data Previous Year'!$A$3:$A$20000,ROW('Local Data Previous Year'!$A$3:$A$20000)-ROW('Local Data Previous Year'!$A$3)+1),ROW(25:25)))),"",INDEX('Local Data Previous Year'!$D$3:$D$20000,SMALL(IF(CTR1_Billing!$E$21='Local Data Previous Year'!$A$3:$A$20000,ROW('Local Data Previous Year'!$A$3:$A$20000)-ROW('Local Data Previous Year'!$A$3)+1),ROW(25:25))))</f>
        <v/>
      </c>
      <c r="E57" s="755" t="str" cm="1">
        <f t="array" ref="E57">IF(ISERROR(INDEX('Local Data Previous Year'!$E$3:$E$20000,SMALL(IF(CTR1_Billing!$E$21='Local Data Previous Year'!$A$3:$A$20000,ROW('Local Data Previous Year'!$A$3:$A$20000)-ROW('Local Data Previous Year'!$A$3)+1),ROW(25:25)))),"",INDEX('Local Data Previous Year'!$E$3:$E$20000,SMALL(IF(CTR1_Billing!$E$21='Local Data Previous Year'!$A$3:$A$20000,ROW('Local Data Previous Year'!$A$3:$A$20000)-ROW('Local Data Previous Year'!$A$3)+1),ROW(25:25))))</f>
        <v/>
      </c>
      <c r="F57" s="756" t="str">
        <f>IF($D57="","",IF(ISNA(MATCH($D57,'Local Data Previous Year'!$D$3:$D$20000,0)),"New",IFERROR(VLOOKUP($B57,'Local Data Previous Year'!$D$3:$I$20000,6,0),"")))</f>
        <v/>
      </c>
      <c r="G57" s="757">
        <f t="shared" si="11"/>
        <v>0</v>
      </c>
      <c r="H57" s="758" t="str">
        <f>IFERROR(INDEX('Local Data Previous Year'!$F:$F, MATCH($D57, 'Local Data Previous Year'!$D:$D, 0)), "")</f>
        <v/>
      </c>
      <c r="I57" s="759">
        <f>IF(B57=CTR1_Billing!$E$21&amp;"NEW",1,0)</f>
        <v>0</v>
      </c>
      <c r="J57" s="760" t="str">
        <f>IFERROR(INDEX('Local Data Previous Year'!$G:$G, MATCH($D57, 'Local Data Previous Year'!$D:$D, 0)), "")</f>
        <v/>
      </c>
      <c r="K57" s="762"/>
      <c r="L57" s="760" t="str">
        <f>IFERROR(INDEX('Local Data Previous Year'!$H:$H, MATCH($D57, 'Local Data Previous Year'!$D:$D, 0)), "")</f>
        <v/>
      </c>
      <c r="M57" s="762"/>
      <c r="N57" s="763"/>
      <c r="O57" s="767"/>
      <c r="P57" s="765"/>
      <c r="Q57" s="767"/>
      <c r="R57" s="766" t="str">
        <f t="shared" si="12"/>
        <v/>
      </c>
      <c r="S57" s="754"/>
      <c r="T57" s="763"/>
      <c r="U57" s="754"/>
      <c r="V57" s="763"/>
      <c r="W57" s="763"/>
      <c r="X57" s="865" t="str">
        <f>VLOOKUP(CTR1_Billing!$E$21,Data!$C$6:$D$302,1,FALSE)</f>
        <v>EZZZZ</v>
      </c>
      <c r="Y57" s="205"/>
      <c r="Z57" s="205">
        <f t="shared" si="0"/>
        <v>0</v>
      </c>
      <c r="AA57" s="206" t="str">
        <f t="shared" si="1"/>
        <v/>
      </c>
      <c r="AB57" s="205">
        <f t="shared" si="2"/>
        <v>0</v>
      </c>
      <c r="AC57" s="208"/>
      <c r="AD57" s="208"/>
      <c r="AE57" s="208"/>
      <c r="AF57" s="208"/>
      <c r="AG57" s="209" t="str">
        <f>IFERROR(INDEX('Local Data Previous Year'!$F:$F, MATCH($D57, 'Local Data Previous Year'!$D:$D, 0)), "")</f>
        <v/>
      </c>
      <c r="AH57" s="209" t="str">
        <f>IFERROR(INDEX('Local Data Previous Year'!$G:$G, MATCH($D57, 'Local Data Previous Year'!$D:$D, 0)), "")</f>
        <v/>
      </c>
      <c r="AI57" s="209" t="str">
        <f>IFERROR(INDEX('Local Data Previous Year'!$H:$H, MATCH($D57, 'Local Data Previous Year'!$D:$D, 0)), "")</f>
        <v/>
      </c>
      <c r="AJ57" s="209" t="str">
        <f t="shared" si="3"/>
        <v/>
      </c>
      <c r="AK57" s="209" t="str">
        <f t="shared" si="4"/>
        <v/>
      </c>
      <c r="AL57" s="209" t="str">
        <f t="shared" si="5"/>
        <v/>
      </c>
      <c r="AM57" s="208" t="str">
        <f>IF($AN57="","",IFERROR(VLOOKUP(CONCATENATE(CTR1_Billing!$E$20,$AN57),'Local Data Previous Year'!$C$3:$D$50000,2,0),CTR1_Billing!$E$21&amp;"NEW"))</f>
        <v/>
      </c>
      <c r="AN57" s="209" t="str" cm="1">
        <f t="array" ref="AN57">IF(ISERROR(INDEX('Local Data Previous Year'!$E$3:$E$50000, SMALL(IF(CTR1_Billing!$E$21='Local Data Previous Year'!$A$3:$A$50000, ROW('Local Data Previous Year'!$A$3:$A$50000)-ROW('Local Data Previous Year'!$A$3)+1), ROW(25:25)))), "", INDEX('Local Data Previous Year'!$E$3:$E$50000, SMALL(IF(CTR1_Billing!$E$21='Local Data Previous Year'!$A$3:$A$50000, ROW('Local Data Previous Year'!$A$3:$A$50000)-ROW('Local Data Previous Year'!$A$3)+1), ROW(25:25))))</f>
        <v/>
      </c>
      <c r="AO57" s="209" t="str">
        <f t="shared" si="6"/>
        <v/>
      </c>
      <c r="AP57" s="208"/>
      <c r="AQ57" s="209" t="str">
        <f t="shared" si="7"/>
        <v/>
      </c>
      <c r="AR57" s="209" t="str">
        <f t="shared" si="8"/>
        <v/>
      </c>
      <c r="AS57" s="202" t="str">
        <f t="shared" si="9"/>
        <v/>
      </c>
      <c r="AT57" s="202" t="str">
        <f t="shared" si="10"/>
        <v/>
      </c>
      <c r="AU57" s="208"/>
      <c r="AV57" s="208"/>
      <c r="AW57" s="208"/>
      <c r="AX57" s="208"/>
      <c r="AY57" s="208"/>
      <c r="AZ57" s="208"/>
      <c r="BA57" s="208"/>
      <c r="BB57" s="208"/>
      <c r="BC57" s="208"/>
      <c r="BD57" s="208"/>
      <c r="BE57" s="208"/>
      <c r="BF57" s="208"/>
      <c r="BG57" s="28"/>
      <c r="BH57" s="28"/>
      <c r="BI57" s="28"/>
      <c r="BJ57" s="28"/>
    </row>
    <row r="58" spans="1:62" s="23" customFormat="1" ht="21" customHeight="1" thickBot="1" x14ac:dyDescent="0.25">
      <c r="A58" s="846" t="str">
        <f>IF($AN58="","",IFERROR(VLOOKUP(CONCATENATE(CTR1_Billing!$E$20,$AN58),'Local Data Previous Year'!$C$3:$D$20000,2,0),CTR1_Billing!$E$21&amp;"NEW"))</f>
        <v/>
      </c>
      <c r="B58" s="846" t="str">
        <f>IF($E58="","",IFERROR(VLOOKUP(CONCATENATE(CTR1_Billing!$E$20,CTR1_Local!$E58),'Local Data Previous Year'!$C$3:$D$20000,2,0),CTR1_Billing!$E$21&amp;"NEW"))</f>
        <v/>
      </c>
      <c r="C58" s="846">
        <v>26</v>
      </c>
      <c r="D58" s="755" t="str" cm="1">
        <f t="array" ref="D58">IF(ISERROR(INDEX('Local Data Previous Year'!$D$3:$D$20000,SMALL(IF(CTR1_Billing!$E$21='Local Data Previous Year'!$A$3:$A$20000,ROW('Local Data Previous Year'!$A$3:$A$20000)-ROW('Local Data Previous Year'!$A$3)+1),ROW(26:26)))),"",INDEX('Local Data Previous Year'!$D$3:$D$20000,SMALL(IF(CTR1_Billing!$E$21='Local Data Previous Year'!$A$3:$A$20000,ROW('Local Data Previous Year'!$A$3:$A$20000)-ROW('Local Data Previous Year'!$A$3)+1),ROW(26:26))))</f>
        <v/>
      </c>
      <c r="E58" s="755" t="str" cm="1">
        <f t="array" ref="E58">IF(ISERROR(INDEX('Local Data Previous Year'!$E$3:$E$20000,SMALL(IF(CTR1_Billing!$E$21='Local Data Previous Year'!$A$3:$A$20000,ROW('Local Data Previous Year'!$A$3:$A$20000)-ROW('Local Data Previous Year'!$A$3)+1),ROW(26:26)))),"",INDEX('Local Data Previous Year'!$E$3:$E$20000,SMALL(IF(CTR1_Billing!$E$21='Local Data Previous Year'!$A$3:$A$20000,ROW('Local Data Previous Year'!$A$3:$A$20000)-ROW('Local Data Previous Year'!$A$3)+1),ROW(26:26))))</f>
        <v/>
      </c>
      <c r="F58" s="756" t="str">
        <f>IF($D58="","",IF(ISNA(MATCH($D58,'Local Data Previous Year'!$D$3:$D$20000,0)),"New",IFERROR(VLOOKUP($B58,'Local Data Previous Year'!$D$3:$I$20000,6,0),"")))</f>
        <v/>
      </c>
      <c r="G58" s="757">
        <f t="shared" si="11"/>
        <v>0</v>
      </c>
      <c r="H58" s="758" t="str">
        <f>IFERROR(INDEX('Local Data Previous Year'!$F:$F, MATCH($D58, 'Local Data Previous Year'!$D:$D, 0)), "")</f>
        <v/>
      </c>
      <c r="I58" s="759">
        <f>IF(B58=CTR1_Billing!$E$21&amp;"NEW",1,0)</f>
        <v>0</v>
      </c>
      <c r="J58" s="760" t="str">
        <f>IFERROR(INDEX('Local Data Previous Year'!$G:$G, MATCH($D58, 'Local Data Previous Year'!$D:$D, 0)), "")</f>
        <v/>
      </c>
      <c r="K58" s="762"/>
      <c r="L58" s="760" t="str">
        <f>IFERROR(INDEX('Local Data Previous Year'!$H:$H, MATCH($D58, 'Local Data Previous Year'!$D:$D, 0)), "")</f>
        <v/>
      </c>
      <c r="M58" s="762"/>
      <c r="N58" s="763"/>
      <c r="O58" s="767"/>
      <c r="P58" s="765"/>
      <c r="Q58" s="767"/>
      <c r="R58" s="766" t="str">
        <f t="shared" si="12"/>
        <v/>
      </c>
      <c r="S58" s="754"/>
      <c r="T58" s="763"/>
      <c r="U58" s="754"/>
      <c r="V58" s="763"/>
      <c r="W58" s="763"/>
      <c r="X58" s="865" t="str">
        <f>VLOOKUP(CTR1_Billing!$E$21,Data!$C$6:$D$302,1,FALSE)</f>
        <v>EZZZZ</v>
      </c>
      <c r="Y58" s="205"/>
      <c r="Z58" s="205">
        <f t="shared" si="0"/>
        <v>0</v>
      </c>
      <c r="AA58" s="206" t="str">
        <f t="shared" si="1"/>
        <v/>
      </c>
      <c r="AB58" s="205">
        <f t="shared" si="2"/>
        <v>0</v>
      </c>
      <c r="AC58" s="208"/>
      <c r="AD58" s="208"/>
      <c r="AE58" s="208"/>
      <c r="AF58" s="208"/>
      <c r="AG58" s="209" t="str">
        <f>IFERROR(INDEX('Local Data Previous Year'!$F:$F, MATCH($D58, 'Local Data Previous Year'!$D:$D, 0)), "")</f>
        <v/>
      </c>
      <c r="AH58" s="209" t="str">
        <f>IFERROR(INDEX('Local Data Previous Year'!$G:$G, MATCH($D58, 'Local Data Previous Year'!$D:$D, 0)), "")</f>
        <v/>
      </c>
      <c r="AI58" s="209" t="str">
        <f>IFERROR(INDEX('Local Data Previous Year'!$H:$H, MATCH($D58, 'Local Data Previous Year'!$D:$D, 0)), "")</f>
        <v/>
      </c>
      <c r="AJ58" s="209" t="str">
        <f t="shared" si="3"/>
        <v/>
      </c>
      <c r="AK58" s="209" t="str">
        <f t="shared" si="4"/>
        <v/>
      </c>
      <c r="AL58" s="209" t="str">
        <f t="shared" si="5"/>
        <v/>
      </c>
      <c r="AM58" s="208" t="str">
        <f>IF($AN58="","",IFERROR(VLOOKUP(CONCATENATE(CTR1_Billing!$E$20,$AN58),'Local Data Previous Year'!$C$3:$D$50000,2,0),CTR1_Billing!$E$21&amp;"NEW"))</f>
        <v/>
      </c>
      <c r="AN58" s="209" t="str" cm="1">
        <f t="array" ref="AN58">IF(ISERROR(INDEX('Local Data Previous Year'!$E$3:$E$50000, SMALL(IF(CTR1_Billing!$E$21='Local Data Previous Year'!$A$3:$A$50000, ROW('Local Data Previous Year'!$A$3:$A$50000)-ROW('Local Data Previous Year'!$A$3)+1), ROW(26:26)))), "", INDEX('Local Data Previous Year'!$E$3:$E$50000, SMALL(IF(CTR1_Billing!$E$21='Local Data Previous Year'!$A$3:$A$50000, ROW('Local Data Previous Year'!$A$3:$A$50000)-ROW('Local Data Previous Year'!$A$3)+1), ROW(26:26))))</f>
        <v/>
      </c>
      <c r="AO58" s="209" t="str">
        <f t="shared" si="6"/>
        <v/>
      </c>
      <c r="AP58" s="208"/>
      <c r="AQ58" s="209" t="str">
        <f t="shared" si="7"/>
        <v/>
      </c>
      <c r="AR58" s="209" t="str">
        <f t="shared" si="8"/>
        <v/>
      </c>
      <c r="AS58" s="202" t="str">
        <f t="shared" si="9"/>
        <v/>
      </c>
      <c r="AT58" s="202" t="str">
        <f t="shared" si="10"/>
        <v/>
      </c>
      <c r="AU58" s="208"/>
      <c r="AV58" s="208"/>
      <c r="AW58" s="208"/>
      <c r="AX58" s="208"/>
      <c r="AY58" s="208"/>
      <c r="AZ58" s="208"/>
      <c r="BA58" s="208"/>
      <c r="BB58" s="208"/>
      <c r="BC58" s="208"/>
      <c r="BD58" s="208"/>
      <c r="BE58" s="208"/>
      <c r="BF58" s="208"/>
      <c r="BG58" s="28"/>
      <c r="BH58" s="28"/>
      <c r="BI58" s="28"/>
      <c r="BJ58" s="28"/>
    </row>
    <row r="59" spans="1:62" s="23" customFormat="1" ht="21" customHeight="1" thickBot="1" x14ac:dyDescent="0.25">
      <c r="A59" s="846" t="str">
        <f>IF($AN59="","",IFERROR(VLOOKUP(CONCATENATE(CTR1_Billing!$E$20,$AN59),'Local Data Previous Year'!$C$3:$D$20000,2,0),CTR1_Billing!$E$21&amp;"NEW"))</f>
        <v/>
      </c>
      <c r="B59" s="846" t="str">
        <f>IF($E59="","",IFERROR(VLOOKUP(CONCATENATE(CTR1_Billing!$E$20,CTR1_Local!$E59),'Local Data Previous Year'!$C$3:$D$20000,2,0),CTR1_Billing!$E$21&amp;"NEW"))</f>
        <v/>
      </c>
      <c r="C59" s="846">
        <v>27</v>
      </c>
      <c r="D59" s="755" t="str" cm="1">
        <f t="array" ref="D59">IF(ISERROR(INDEX('Local Data Previous Year'!$D$3:$D$20000,SMALL(IF(CTR1_Billing!$E$21='Local Data Previous Year'!$A$3:$A$20000,ROW('Local Data Previous Year'!$A$3:$A$20000)-ROW('Local Data Previous Year'!$A$3)+1),ROW(27:27)))),"",INDEX('Local Data Previous Year'!$D$3:$D$20000,SMALL(IF(CTR1_Billing!$E$21='Local Data Previous Year'!$A$3:$A$20000,ROW('Local Data Previous Year'!$A$3:$A$20000)-ROW('Local Data Previous Year'!$A$3)+1),ROW(27:27))))</f>
        <v/>
      </c>
      <c r="E59" s="755" t="str" cm="1">
        <f t="array" ref="E59">IF(ISERROR(INDEX('Local Data Previous Year'!$E$3:$E$20000,SMALL(IF(CTR1_Billing!$E$21='Local Data Previous Year'!$A$3:$A$20000,ROW('Local Data Previous Year'!$A$3:$A$20000)-ROW('Local Data Previous Year'!$A$3)+1),ROW(27:27)))),"",INDEX('Local Data Previous Year'!$E$3:$E$20000,SMALL(IF(CTR1_Billing!$E$21='Local Data Previous Year'!$A$3:$A$20000,ROW('Local Data Previous Year'!$A$3:$A$20000)-ROW('Local Data Previous Year'!$A$3)+1),ROW(27:27))))</f>
        <v/>
      </c>
      <c r="F59" s="756" t="str">
        <f>IF($D59="","",IF(ISNA(MATCH($D59,'Local Data Previous Year'!$D$3:$D$20000,0)),"New",IFERROR(VLOOKUP($B59,'Local Data Previous Year'!$D$3:$I$20000,6,0),"")))</f>
        <v/>
      </c>
      <c r="G59" s="757">
        <f t="shared" si="11"/>
        <v>0</v>
      </c>
      <c r="H59" s="758" t="str">
        <f>IFERROR(INDEX('Local Data Previous Year'!$F:$F, MATCH($D59, 'Local Data Previous Year'!$D:$D, 0)), "")</f>
        <v/>
      </c>
      <c r="I59" s="759">
        <f>IF(B59=CTR1_Billing!$E$21&amp;"NEW",1,0)</f>
        <v>0</v>
      </c>
      <c r="J59" s="760" t="str">
        <f>IFERROR(INDEX('Local Data Previous Year'!$G:$G, MATCH($D59, 'Local Data Previous Year'!$D:$D, 0)), "")</f>
        <v/>
      </c>
      <c r="K59" s="762"/>
      <c r="L59" s="760" t="str">
        <f>IFERROR(INDEX('Local Data Previous Year'!$H:$H, MATCH($D59, 'Local Data Previous Year'!$D:$D, 0)), "")</f>
        <v/>
      </c>
      <c r="M59" s="762"/>
      <c r="N59" s="763"/>
      <c r="O59" s="767"/>
      <c r="P59" s="765"/>
      <c r="Q59" s="767"/>
      <c r="R59" s="766" t="str">
        <f t="shared" si="12"/>
        <v/>
      </c>
      <c r="S59" s="754"/>
      <c r="T59" s="763"/>
      <c r="U59" s="754"/>
      <c r="V59" s="763"/>
      <c r="W59" s="763"/>
      <c r="X59" s="865" t="str">
        <f>VLOOKUP(CTR1_Billing!$E$21,Data!$C$6:$D$302,1,FALSE)</f>
        <v>EZZZZ</v>
      </c>
      <c r="Y59" s="205"/>
      <c r="Z59" s="205">
        <f t="shared" si="0"/>
        <v>0</v>
      </c>
      <c r="AA59" s="206" t="str">
        <f t="shared" si="1"/>
        <v/>
      </c>
      <c r="AB59" s="205">
        <f t="shared" si="2"/>
        <v>0</v>
      </c>
      <c r="AC59" s="208"/>
      <c r="AD59" s="208"/>
      <c r="AE59" s="208"/>
      <c r="AF59" s="208"/>
      <c r="AG59" s="209" t="str">
        <f>IFERROR(INDEX('Local Data Previous Year'!$F:$F, MATCH($D59, 'Local Data Previous Year'!$D:$D, 0)), "")</f>
        <v/>
      </c>
      <c r="AH59" s="209" t="str">
        <f>IFERROR(INDEX('Local Data Previous Year'!$G:$G, MATCH($D59, 'Local Data Previous Year'!$D:$D, 0)), "")</f>
        <v/>
      </c>
      <c r="AI59" s="209" t="str">
        <f>IFERROR(INDEX('Local Data Previous Year'!$H:$H, MATCH($D59, 'Local Data Previous Year'!$D:$D, 0)), "")</f>
        <v/>
      </c>
      <c r="AJ59" s="209" t="str">
        <f t="shared" si="3"/>
        <v/>
      </c>
      <c r="AK59" s="209" t="str">
        <f t="shared" si="4"/>
        <v/>
      </c>
      <c r="AL59" s="209" t="str">
        <f t="shared" si="5"/>
        <v/>
      </c>
      <c r="AM59" s="208" t="str">
        <f>IF($AN59="","",IFERROR(VLOOKUP(CONCATENATE(CTR1_Billing!$E$20,$AN59),'Local Data Previous Year'!$C$3:$D$50000,2,0),CTR1_Billing!$E$21&amp;"NEW"))</f>
        <v/>
      </c>
      <c r="AN59" s="209" t="str" cm="1">
        <f t="array" ref="AN59">IF(ISERROR(INDEX('Local Data Previous Year'!$E$3:$E$50000, SMALL(IF(CTR1_Billing!$E$21='Local Data Previous Year'!$A$3:$A$50000, ROW('Local Data Previous Year'!$A$3:$A$50000)-ROW('Local Data Previous Year'!$A$3)+1), ROW(27:27)))), "", INDEX('Local Data Previous Year'!$E$3:$E$50000, SMALL(IF(CTR1_Billing!$E$21='Local Data Previous Year'!$A$3:$A$50000, ROW('Local Data Previous Year'!$A$3:$A$50000)-ROW('Local Data Previous Year'!$A$3)+1), ROW(27:27))))</f>
        <v/>
      </c>
      <c r="AO59" s="209" t="str">
        <f t="shared" si="6"/>
        <v/>
      </c>
      <c r="AP59" s="208"/>
      <c r="AQ59" s="209" t="str">
        <f t="shared" si="7"/>
        <v/>
      </c>
      <c r="AR59" s="209" t="str">
        <f t="shared" si="8"/>
        <v/>
      </c>
      <c r="AS59" s="202" t="str">
        <f t="shared" si="9"/>
        <v/>
      </c>
      <c r="AT59" s="202" t="str">
        <f t="shared" si="10"/>
        <v/>
      </c>
      <c r="AU59" s="208"/>
      <c r="AV59" s="208"/>
      <c r="AW59" s="208"/>
      <c r="AX59" s="208"/>
      <c r="AY59" s="208"/>
      <c r="AZ59" s="208"/>
      <c r="BA59" s="208"/>
      <c r="BB59" s="208"/>
      <c r="BC59" s="208"/>
      <c r="BD59" s="208"/>
      <c r="BE59" s="208"/>
      <c r="BF59" s="208"/>
      <c r="BG59" s="28"/>
      <c r="BH59" s="28"/>
      <c r="BI59" s="28"/>
      <c r="BJ59" s="28"/>
    </row>
    <row r="60" spans="1:62" s="23" customFormat="1" ht="21" customHeight="1" thickBot="1" x14ac:dyDescent="0.25">
      <c r="A60" s="846" t="str">
        <f>IF($AN60="","",IFERROR(VLOOKUP(CONCATENATE(CTR1_Billing!$E$20,$AN60),'Local Data Previous Year'!$C$3:$D$20000,2,0),CTR1_Billing!$E$21&amp;"NEW"))</f>
        <v/>
      </c>
      <c r="B60" s="846" t="str">
        <f>IF($E60="","",IFERROR(VLOOKUP(CONCATENATE(CTR1_Billing!$E$20,CTR1_Local!$E60),'Local Data Previous Year'!$C$3:$D$20000,2,0),CTR1_Billing!$E$21&amp;"NEW"))</f>
        <v/>
      </c>
      <c r="C60" s="846">
        <v>28</v>
      </c>
      <c r="D60" s="755" t="str" cm="1">
        <f t="array" ref="D60">IF(ISERROR(INDEX('Local Data Previous Year'!$D$3:$D$20000,SMALL(IF(CTR1_Billing!$E$21='Local Data Previous Year'!$A$3:$A$20000,ROW('Local Data Previous Year'!$A$3:$A$20000)-ROW('Local Data Previous Year'!$A$3)+1),ROW(28:28)))),"",INDEX('Local Data Previous Year'!$D$3:$D$20000,SMALL(IF(CTR1_Billing!$E$21='Local Data Previous Year'!$A$3:$A$20000,ROW('Local Data Previous Year'!$A$3:$A$20000)-ROW('Local Data Previous Year'!$A$3)+1),ROW(28:28))))</f>
        <v/>
      </c>
      <c r="E60" s="755" t="str" cm="1">
        <f t="array" ref="E60">IF(ISERROR(INDEX('Local Data Previous Year'!$E$3:$E$20000,SMALL(IF(CTR1_Billing!$E$21='Local Data Previous Year'!$A$3:$A$20000,ROW('Local Data Previous Year'!$A$3:$A$20000)-ROW('Local Data Previous Year'!$A$3)+1),ROW(28:28)))),"",INDEX('Local Data Previous Year'!$E$3:$E$20000,SMALL(IF(CTR1_Billing!$E$21='Local Data Previous Year'!$A$3:$A$20000,ROW('Local Data Previous Year'!$A$3:$A$20000)-ROW('Local Data Previous Year'!$A$3)+1),ROW(28:28))))</f>
        <v/>
      </c>
      <c r="F60" s="756" t="str">
        <f>IF($D60="","",IF(ISNA(MATCH($D60,'Local Data Previous Year'!$D$3:$D$20000,0)),"New",IFERROR(VLOOKUP($B60,'Local Data Previous Year'!$D$3:$I$20000,6,0),"")))</f>
        <v/>
      </c>
      <c r="G60" s="757">
        <f t="shared" si="11"/>
        <v>0</v>
      </c>
      <c r="H60" s="758" t="str">
        <f>IFERROR(INDEX('Local Data Previous Year'!$F:$F, MATCH($D60, 'Local Data Previous Year'!$D:$D, 0)), "")</f>
        <v/>
      </c>
      <c r="I60" s="759">
        <f>IF(B60=CTR1_Billing!$E$21&amp;"NEW",1,0)</f>
        <v>0</v>
      </c>
      <c r="J60" s="760" t="str">
        <f>IFERROR(INDEX('Local Data Previous Year'!$G:$G, MATCH($D60, 'Local Data Previous Year'!$D:$D, 0)), "")</f>
        <v/>
      </c>
      <c r="K60" s="762"/>
      <c r="L60" s="760" t="str">
        <f>IFERROR(INDEX('Local Data Previous Year'!$H:$H, MATCH($D60, 'Local Data Previous Year'!$D:$D, 0)), "")</f>
        <v/>
      </c>
      <c r="M60" s="762"/>
      <c r="N60" s="763"/>
      <c r="O60" s="767"/>
      <c r="P60" s="765"/>
      <c r="Q60" s="767"/>
      <c r="R60" s="766" t="str">
        <f t="shared" si="12"/>
        <v/>
      </c>
      <c r="S60" s="754"/>
      <c r="T60" s="763"/>
      <c r="U60" s="754"/>
      <c r="V60" s="763"/>
      <c r="W60" s="763"/>
      <c r="X60" s="865" t="str">
        <f>VLOOKUP(CTR1_Billing!$E$21,Data!$C$6:$D$302,1,FALSE)</f>
        <v>EZZZZ</v>
      </c>
      <c r="Y60" s="205"/>
      <c r="Z60" s="205">
        <f t="shared" si="0"/>
        <v>0</v>
      </c>
      <c r="AA60" s="206" t="str">
        <f t="shared" si="1"/>
        <v/>
      </c>
      <c r="AB60" s="205">
        <f t="shared" si="2"/>
        <v>0</v>
      </c>
      <c r="AC60" s="208"/>
      <c r="AD60" s="208"/>
      <c r="AE60" s="208"/>
      <c r="AF60" s="208"/>
      <c r="AG60" s="209" t="str">
        <f>IFERROR(INDEX('Local Data Previous Year'!$F:$F, MATCH($D60, 'Local Data Previous Year'!$D:$D, 0)), "")</f>
        <v/>
      </c>
      <c r="AH60" s="209" t="str">
        <f>IFERROR(INDEX('Local Data Previous Year'!$G:$G, MATCH($D60, 'Local Data Previous Year'!$D:$D, 0)), "")</f>
        <v/>
      </c>
      <c r="AI60" s="209" t="str">
        <f>IFERROR(INDEX('Local Data Previous Year'!$H:$H, MATCH($D60, 'Local Data Previous Year'!$D:$D, 0)), "")</f>
        <v/>
      </c>
      <c r="AJ60" s="209" t="str">
        <f t="shared" si="3"/>
        <v/>
      </c>
      <c r="AK60" s="209" t="str">
        <f t="shared" si="4"/>
        <v/>
      </c>
      <c r="AL60" s="209" t="str">
        <f t="shared" si="5"/>
        <v/>
      </c>
      <c r="AM60" s="208" t="str">
        <f>IF($AN60="","",IFERROR(VLOOKUP(CONCATENATE(CTR1_Billing!$E$20,$AN60),'Local Data Previous Year'!$C$3:$D$50000,2,0),CTR1_Billing!$E$21&amp;"NEW"))</f>
        <v/>
      </c>
      <c r="AN60" s="209" t="str" cm="1">
        <f t="array" ref="AN60">IF(ISERROR(INDEX('Local Data Previous Year'!$E$3:$E$50000, SMALL(IF(CTR1_Billing!$E$21='Local Data Previous Year'!$A$3:$A$50000, ROW('Local Data Previous Year'!$A$3:$A$50000)-ROW('Local Data Previous Year'!$A$3)+1), ROW(28:28)))), "", INDEX('Local Data Previous Year'!$E$3:$E$50000, SMALL(IF(CTR1_Billing!$E$21='Local Data Previous Year'!$A$3:$A$50000, ROW('Local Data Previous Year'!$A$3:$A$50000)-ROW('Local Data Previous Year'!$A$3)+1), ROW(28:28))))</f>
        <v/>
      </c>
      <c r="AO60" s="209" t="str">
        <f t="shared" si="6"/>
        <v/>
      </c>
      <c r="AP60" s="208"/>
      <c r="AQ60" s="209" t="str">
        <f t="shared" si="7"/>
        <v/>
      </c>
      <c r="AR60" s="209" t="str">
        <f t="shared" si="8"/>
        <v/>
      </c>
      <c r="AS60" s="202" t="str">
        <f t="shared" si="9"/>
        <v/>
      </c>
      <c r="AT60" s="202" t="str">
        <f t="shared" si="10"/>
        <v/>
      </c>
      <c r="AU60" s="208"/>
      <c r="AV60" s="208"/>
      <c r="AW60" s="208"/>
      <c r="AX60" s="208"/>
      <c r="AY60" s="208"/>
      <c r="AZ60" s="208"/>
      <c r="BA60" s="208"/>
      <c r="BB60" s="208"/>
      <c r="BC60" s="208"/>
      <c r="BD60" s="208"/>
      <c r="BE60" s="208"/>
      <c r="BF60" s="208"/>
      <c r="BG60" s="28"/>
      <c r="BH60" s="28"/>
      <c r="BI60" s="28"/>
      <c r="BJ60" s="28"/>
    </row>
    <row r="61" spans="1:62" s="23" customFormat="1" ht="21" customHeight="1" thickBot="1" x14ac:dyDescent="0.25">
      <c r="A61" s="846" t="str">
        <f>IF($AN61="","",IFERROR(VLOOKUP(CONCATENATE(CTR1_Billing!$E$20,$AN61),'Local Data Previous Year'!$C$3:$D$20000,2,0),CTR1_Billing!$E$21&amp;"NEW"))</f>
        <v/>
      </c>
      <c r="B61" s="846" t="str">
        <f>IF($E61="","",IFERROR(VLOOKUP(CONCATENATE(CTR1_Billing!$E$20,CTR1_Local!$E61),'Local Data Previous Year'!$C$3:$D$20000,2,0),CTR1_Billing!$E$21&amp;"NEW"))</f>
        <v/>
      </c>
      <c r="C61" s="846">
        <v>29</v>
      </c>
      <c r="D61" s="755" t="str" cm="1">
        <f t="array" ref="D61">IF(ISERROR(INDEX('Local Data Previous Year'!$D$3:$D$20000,SMALL(IF(CTR1_Billing!$E$21='Local Data Previous Year'!$A$3:$A$20000,ROW('Local Data Previous Year'!$A$3:$A$20000)-ROW('Local Data Previous Year'!$A$3)+1),ROW(29:29)))),"",INDEX('Local Data Previous Year'!$D$3:$D$20000,SMALL(IF(CTR1_Billing!$E$21='Local Data Previous Year'!$A$3:$A$20000,ROW('Local Data Previous Year'!$A$3:$A$20000)-ROW('Local Data Previous Year'!$A$3)+1),ROW(29:29))))</f>
        <v/>
      </c>
      <c r="E61" s="755" t="str" cm="1">
        <f t="array" ref="E61">IF(ISERROR(INDEX('Local Data Previous Year'!$E$3:$E$20000,SMALL(IF(CTR1_Billing!$E$21='Local Data Previous Year'!$A$3:$A$20000,ROW('Local Data Previous Year'!$A$3:$A$20000)-ROW('Local Data Previous Year'!$A$3)+1),ROW(29:29)))),"",INDEX('Local Data Previous Year'!$E$3:$E$20000,SMALL(IF(CTR1_Billing!$E$21='Local Data Previous Year'!$A$3:$A$20000,ROW('Local Data Previous Year'!$A$3:$A$20000)-ROW('Local Data Previous Year'!$A$3)+1),ROW(29:29))))</f>
        <v/>
      </c>
      <c r="F61" s="756" t="str">
        <f>IF($D61="","",IF(ISNA(MATCH($D61,'Local Data Previous Year'!$D$3:$D$20000,0)),"New",IFERROR(VLOOKUP($B61,'Local Data Previous Year'!$D$3:$I$20000,6,0),"")))</f>
        <v/>
      </c>
      <c r="G61" s="757">
        <f t="shared" si="11"/>
        <v>0</v>
      </c>
      <c r="H61" s="758" t="str">
        <f>IFERROR(INDEX('Local Data Previous Year'!$F:$F, MATCH($D61, 'Local Data Previous Year'!$D:$D, 0)), "")</f>
        <v/>
      </c>
      <c r="I61" s="759">
        <f>IF(B61=CTR1_Billing!$E$21&amp;"NEW",1,0)</f>
        <v>0</v>
      </c>
      <c r="J61" s="760" t="str">
        <f>IFERROR(INDEX('Local Data Previous Year'!$G:$G, MATCH($D61, 'Local Data Previous Year'!$D:$D, 0)), "")</f>
        <v/>
      </c>
      <c r="K61" s="762"/>
      <c r="L61" s="760" t="str">
        <f>IFERROR(INDEX('Local Data Previous Year'!$H:$H, MATCH($D61, 'Local Data Previous Year'!$D:$D, 0)), "")</f>
        <v/>
      </c>
      <c r="M61" s="762"/>
      <c r="N61" s="763"/>
      <c r="O61" s="767"/>
      <c r="P61" s="765"/>
      <c r="Q61" s="767"/>
      <c r="R61" s="766" t="str">
        <f t="shared" si="12"/>
        <v/>
      </c>
      <c r="S61" s="754"/>
      <c r="T61" s="763"/>
      <c r="U61" s="754"/>
      <c r="V61" s="763"/>
      <c r="W61" s="763"/>
      <c r="X61" s="865" t="str">
        <f>VLOOKUP(CTR1_Billing!$E$21,Data!$C$6:$D$302,1,FALSE)</f>
        <v>EZZZZ</v>
      </c>
      <c r="Y61" s="205"/>
      <c r="Z61" s="205">
        <f t="shared" si="0"/>
        <v>0</v>
      </c>
      <c r="AA61" s="206" t="str">
        <f t="shared" si="1"/>
        <v/>
      </c>
      <c r="AB61" s="205">
        <f t="shared" si="2"/>
        <v>0</v>
      </c>
      <c r="AC61" s="208"/>
      <c r="AD61" s="208"/>
      <c r="AE61" s="208"/>
      <c r="AF61" s="208"/>
      <c r="AG61" s="209" t="str">
        <f>IFERROR(INDEX('Local Data Previous Year'!$F:$F, MATCH($D61, 'Local Data Previous Year'!$D:$D, 0)), "")</f>
        <v/>
      </c>
      <c r="AH61" s="209" t="str">
        <f>IFERROR(INDEX('Local Data Previous Year'!$G:$G, MATCH($D61, 'Local Data Previous Year'!$D:$D, 0)), "")</f>
        <v/>
      </c>
      <c r="AI61" s="209" t="str">
        <f>IFERROR(INDEX('Local Data Previous Year'!$H:$H, MATCH($D61, 'Local Data Previous Year'!$D:$D, 0)), "")</f>
        <v/>
      </c>
      <c r="AJ61" s="209" t="str">
        <f t="shared" si="3"/>
        <v/>
      </c>
      <c r="AK61" s="209" t="str">
        <f t="shared" si="4"/>
        <v/>
      </c>
      <c r="AL61" s="209" t="str">
        <f t="shared" si="5"/>
        <v/>
      </c>
      <c r="AM61" s="208" t="str">
        <f>IF($AN61="","",IFERROR(VLOOKUP(CONCATENATE(CTR1_Billing!$E$20,$AN61),'Local Data Previous Year'!$C$3:$D$50000,2,0),CTR1_Billing!$E$21&amp;"NEW"))</f>
        <v/>
      </c>
      <c r="AN61" s="209" t="str" cm="1">
        <f t="array" ref="AN61">IF(ISERROR(INDEX('Local Data Previous Year'!$E$3:$E$50000, SMALL(IF(CTR1_Billing!$E$21='Local Data Previous Year'!$A$3:$A$50000, ROW('Local Data Previous Year'!$A$3:$A$50000)-ROW('Local Data Previous Year'!$A$3)+1), ROW(29:29)))), "", INDEX('Local Data Previous Year'!$E$3:$E$50000, SMALL(IF(CTR1_Billing!$E$21='Local Data Previous Year'!$A$3:$A$50000, ROW('Local Data Previous Year'!$A$3:$A$50000)-ROW('Local Data Previous Year'!$A$3)+1), ROW(29:29))))</f>
        <v/>
      </c>
      <c r="AO61" s="209" t="str">
        <f t="shared" si="6"/>
        <v/>
      </c>
      <c r="AP61" s="208"/>
      <c r="AQ61" s="209" t="str">
        <f t="shared" si="7"/>
        <v/>
      </c>
      <c r="AR61" s="209" t="str">
        <f t="shared" si="8"/>
        <v/>
      </c>
      <c r="AS61" s="202" t="str">
        <f t="shared" si="9"/>
        <v/>
      </c>
      <c r="AT61" s="202" t="str">
        <f t="shared" si="10"/>
        <v/>
      </c>
      <c r="AU61" s="208"/>
      <c r="AV61" s="208"/>
      <c r="AW61" s="208"/>
      <c r="AX61" s="208"/>
      <c r="AY61" s="208"/>
      <c r="AZ61" s="208"/>
      <c r="BA61" s="208"/>
      <c r="BB61" s="208"/>
      <c r="BC61" s="208"/>
      <c r="BD61" s="208"/>
      <c r="BE61" s="208"/>
      <c r="BF61" s="208"/>
      <c r="BG61" s="28"/>
      <c r="BH61" s="28"/>
      <c r="BI61" s="28"/>
      <c r="BJ61" s="28"/>
    </row>
    <row r="62" spans="1:62" s="23" customFormat="1" ht="21" customHeight="1" thickBot="1" x14ac:dyDescent="0.25">
      <c r="A62" s="846" t="str">
        <f>IF($AN62="","",IFERROR(VLOOKUP(CONCATENATE(CTR1_Billing!$E$20,$AN62),'Local Data Previous Year'!$C$3:$D$20000,2,0),CTR1_Billing!$E$21&amp;"NEW"))</f>
        <v/>
      </c>
      <c r="B62" s="846" t="str">
        <f>IF($E62="","",IFERROR(VLOOKUP(CONCATENATE(CTR1_Billing!$E$20,CTR1_Local!$E62),'Local Data Previous Year'!$C$3:$D$20000,2,0),CTR1_Billing!$E$21&amp;"NEW"))</f>
        <v/>
      </c>
      <c r="C62" s="846">
        <v>30</v>
      </c>
      <c r="D62" s="755" t="str" cm="1">
        <f t="array" ref="D62">IF(ISERROR(INDEX('Local Data Previous Year'!$D$3:$D$20000,SMALL(IF(CTR1_Billing!$E$21='Local Data Previous Year'!$A$3:$A$20000,ROW('Local Data Previous Year'!$A$3:$A$20000)-ROW('Local Data Previous Year'!$A$3)+1),ROW(30:30)))),"",INDEX('Local Data Previous Year'!$D$3:$D$20000,SMALL(IF(CTR1_Billing!$E$21='Local Data Previous Year'!$A$3:$A$20000,ROW('Local Data Previous Year'!$A$3:$A$20000)-ROW('Local Data Previous Year'!$A$3)+1),ROW(30:30))))</f>
        <v/>
      </c>
      <c r="E62" s="755" t="str" cm="1">
        <f t="array" ref="E62">IF(ISERROR(INDEX('Local Data Previous Year'!$E$3:$E$20000,SMALL(IF(CTR1_Billing!$E$21='Local Data Previous Year'!$A$3:$A$20000,ROW('Local Data Previous Year'!$A$3:$A$20000)-ROW('Local Data Previous Year'!$A$3)+1),ROW(30:30)))),"",INDEX('Local Data Previous Year'!$E$3:$E$20000,SMALL(IF(CTR1_Billing!$E$21='Local Data Previous Year'!$A$3:$A$20000,ROW('Local Data Previous Year'!$A$3:$A$20000)-ROW('Local Data Previous Year'!$A$3)+1),ROW(30:30))))</f>
        <v/>
      </c>
      <c r="F62" s="756" t="str">
        <f>IF($D62="","",IF(ISNA(MATCH($D62,'Local Data Previous Year'!$D$3:$D$20000,0)),"New",IFERROR(VLOOKUP($B62,'Local Data Previous Year'!$D$3:$I$20000,6,0),"")))</f>
        <v/>
      </c>
      <c r="G62" s="757">
        <f t="shared" si="11"/>
        <v>0</v>
      </c>
      <c r="H62" s="758" t="str">
        <f>IFERROR(INDEX('Local Data Previous Year'!$F:$F, MATCH($D62, 'Local Data Previous Year'!$D:$D, 0)), "")</f>
        <v/>
      </c>
      <c r="I62" s="759">
        <f>IF(B62=CTR1_Billing!$E$21&amp;"NEW",1,0)</f>
        <v>0</v>
      </c>
      <c r="J62" s="760" t="str">
        <f>IFERROR(INDEX('Local Data Previous Year'!$G:$G, MATCH($D62, 'Local Data Previous Year'!$D:$D, 0)), "")</f>
        <v/>
      </c>
      <c r="K62" s="762"/>
      <c r="L62" s="760" t="str">
        <f>IFERROR(INDEX('Local Data Previous Year'!$H:$H, MATCH($D62, 'Local Data Previous Year'!$D:$D, 0)), "")</f>
        <v/>
      </c>
      <c r="M62" s="762"/>
      <c r="N62" s="763"/>
      <c r="O62" s="767"/>
      <c r="P62" s="765"/>
      <c r="Q62" s="767"/>
      <c r="R62" s="766" t="str">
        <f t="shared" si="12"/>
        <v/>
      </c>
      <c r="S62" s="754"/>
      <c r="T62" s="763"/>
      <c r="U62" s="754"/>
      <c r="V62" s="763"/>
      <c r="W62" s="763"/>
      <c r="X62" s="865" t="str">
        <f>VLOOKUP(CTR1_Billing!$E$21,Data!$C$6:$D$302,1,FALSE)</f>
        <v>EZZZZ</v>
      </c>
      <c r="Y62" s="205"/>
      <c r="Z62" s="205">
        <f t="shared" si="0"/>
        <v>0</v>
      </c>
      <c r="AA62" s="206" t="str">
        <f t="shared" si="1"/>
        <v/>
      </c>
      <c r="AB62" s="205">
        <f t="shared" si="2"/>
        <v>0</v>
      </c>
      <c r="AC62" s="208"/>
      <c r="AD62" s="208"/>
      <c r="AE62" s="208"/>
      <c r="AF62" s="208"/>
      <c r="AG62" s="209" t="str">
        <f>IFERROR(INDEX('Local Data Previous Year'!$F:$F, MATCH($D62, 'Local Data Previous Year'!$D:$D, 0)), "")</f>
        <v/>
      </c>
      <c r="AH62" s="209" t="str">
        <f>IFERROR(INDEX('Local Data Previous Year'!$G:$G, MATCH($D62, 'Local Data Previous Year'!$D:$D, 0)), "")</f>
        <v/>
      </c>
      <c r="AI62" s="209" t="str">
        <f>IFERROR(INDEX('Local Data Previous Year'!$H:$H, MATCH($D62, 'Local Data Previous Year'!$D:$D, 0)), "")</f>
        <v/>
      </c>
      <c r="AJ62" s="209" t="str">
        <f t="shared" si="3"/>
        <v/>
      </c>
      <c r="AK62" s="209" t="str">
        <f t="shared" si="4"/>
        <v/>
      </c>
      <c r="AL62" s="209" t="str">
        <f t="shared" si="5"/>
        <v/>
      </c>
      <c r="AM62" s="208" t="str">
        <f>IF($AN62="","",IFERROR(VLOOKUP(CONCATENATE(CTR1_Billing!$E$20,$AN62),'Local Data Previous Year'!$C$3:$D$50000,2,0),CTR1_Billing!$E$21&amp;"NEW"))</f>
        <v/>
      </c>
      <c r="AN62" s="209" t="str" cm="1">
        <f t="array" ref="AN62">IF(ISERROR(INDEX('Local Data Previous Year'!$E$3:$E$50000, SMALL(IF(CTR1_Billing!$E$21='Local Data Previous Year'!$A$3:$A$50000, ROW('Local Data Previous Year'!$A$3:$A$50000)-ROW('Local Data Previous Year'!$A$3)+1), ROW(30:30)))), "", INDEX('Local Data Previous Year'!$E$3:$E$50000, SMALL(IF(CTR1_Billing!$E$21='Local Data Previous Year'!$A$3:$A$50000, ROW('Local Data Previous Year'!$A$3:$A$50000)-ROW('Local Data Previous Year'!$A$3)+1), ROW(30:30))))</f>
        <v/>
      </c>
      <c r="AO62" s="209" t="str">
        <f t="shared" si="6"/>
        <v/>
      </c>
      <c r="AP62" s="208"/>
      <c r="AQ62" s="209" t="str">
        <f t="shared" si="7"/>
        <v/>
      </c>
      <c r="AR62" s="209" t="str">
        <f t="shared" si="8"/>
        <v/>
      </c>
      <c r="AS62" s="202" t="str">
        <f t="shared" si="9"/>
        <v/>
      </c>
      <c r="AT62" s="202" t="str">
        <f t="shared" si="10"/>
        <v/>
      </c>
      <c r="AU62" s="208"/>
      <c r="AV62" s="208"/>
      <c r="AW62" s="208"/>
      <c r="AX62" s="208"/>
      <c r="AY62" s="208"/>
      <c r="AZ62" s="208"/>
      <c r="BA62" s="208"/>
      <c r="BB62" s="208"/>
      <c r="BC62" s="208"/>
      <c r="BD62" s="208"/>
      <c r="BE62" s="208"/>
      <c r="BF62" s="208"/>
      <c r="BG62" s="28"/>
      <c r="BH62" s="28"/>
      <c r="BI62" s="28"/>
      <c r="BJ62" s="28"/>
    </row>
    <row r="63" spans="1:62" s="23" customFormat="1" ht="21" customHeight="1" thickBot="1" x14ac:dyDescent="0.25">
      <c r="A63" s="846" t="str">
        <f>IF($AN63="","",IFERROR(VLOOKUP(CONCATENATE(CTR1_Billing!$E$20,$AN63),'Local Data Previous Year'!$C$3:$D$20000,2,0),CTR1_Billing!$E$21&amp;"NEW"))</f>
        <v/>
      </c>
      <c r="B63" s="846" t="str">
        <f>IF($E63="","",IFERROR(VLOOKUP(CONCATENATE(CTR1_Billing!$E$20,CTR1_Local!$E63),'Local Data Previous Year'!$C$3:$D$20000,2,0),CTR1_Billing!$E$21&amp;"NEW"))</f>
        <v/>
      </c>
      <c r="C63" s="846">
        <v>31</v>
      </c>
      <c r="D63" s="755" t="str" cm="1">
        <f t="array" ref="D63">IF(ISERROR(INDEX('Local Data Previous Year'!$D$3:$D$20000,SMALL(IF(CTR1_Billing!$E$21='Local Data Previous Year'!$A$3:$A$20000,ROW('Local Data Previous Year'!$A$3:$A$20000)-ROW('Local Data Previous Year'!$A$3)+1),ROW(31:31)))),"",INDEX('Local Data Previous Year'!$D$3:$D$20000,SMALL(IF(CTR1_Billing!$E$21='Local Data Previous Year'!$A$3:$A$20000,ROW('Local Data Previous Year'!$A$3:$A$20000)-ROW('Local Data Previous Year'!$A$3)+1),ROW(31:31))))</f>
        <v/>
      </c>
      <c r="E63" s="755" t="str" cm="1">
        <f t="array" ref="E63">IF(ISERROR(INDEX('Local Data Previous Year'!$E$3:$E$20000,SMALL(IF(CTR1_Billing!$E$21='Local Data Previous Year'!$A$3:$A$20000,ROW('Local Data Previous Year'!$A$3:$A$20000)-ROW('Local Data Previous Year'!$A$3)+1),ROW(31:31)))),"",INDEX('Local Data Previous Year'!$E$3:$E$20000,SMALL(IF(CTR1_Billing!$E$21='Local Data Previous Year'!$A$3:$A$20000,ROW('Local Data Previous Year'!$A$3:$A$20000)-ROW('Local Data Previous Year'!$A$3)+1),ROW(31:31))))</f>
        <v/>
      </c>
      <c r="F63" s="756" t="str">
        <f>IF($D63="","",IF(ISNA(MATCH($D63,'Local Data Previous Year'!$D$3:$D$20000,0)),"New",IFERROR(VLOOKUP($B63,'Local Data Previous Year'!$D$3:$I$20000,6,0),"")))</f>
        <v/>
      </c>
      <c r="G63" s="757">
        <f t="shared" si="11"/>
        <v>0</v>
      </c>
      <c r="H63" s="758" t="str">
        <f>IFERROR(INDEX('Local Data Previous Year'!$F:$F, MATCH($D63, 'Local Data Previous Year'!$D:$D, 0)), "")</f>
        <v/>
      </c>
      <c r="I63" s="759">
        <f>IF(B63=CTR1_Billing!$E$21&amp;"NEW",1,0)</f>
        <v>0</v>
      </c>
      <c r="J63" s="760" t="str">
        <f>IFERROR(INDEX('Local Data Previous Year'!$G:$G, MATCH($D63, 'Local Data Previous Year'!$D:$D, 0)), "")</f>
        <v/>
      </c>
      <c r="K63" s="762"/>
      <c r="L63" s="760" t="str">
        <f>IFERROR(INDEX('Local Data Previous Year'!$H:$H, MATCH($D63, 'Local Data Previous Year'!$D:$D, 0)), "")</f>
        <v/>
      </c>
      <c r="M63" s="762"/>
      <c r="N63" s="763"/>
      <c r="O63" s="767"/>
      <c r="P63" s="765"/>
      <c r="Q63" s="767"/>
      <c r="R63" s="766" t="str">
        <f t="shared" si="12"/>
        <v/>
      </c>
      <c r="S63" s="754"/>
      <c r="T63" s="763"/>
      <c r="U63" s="754"/>
      <c r="V63" s="763"/>
      <c r="W63" s="763"/>
      <c r="X63" s="865" t="str">
        <f>VLOOKUP(CTR1_Billing!$E$21,Data!$C$6:$D$302,1,FALSE)</f>
        <v>EZZZZ</v>
      </c>
      <c r="Y63" s="205"/>
      <c r="Z63" s="205">
        <f t="shared" si="0"/>
        <v>0</v>
      </c>
      <c r="AA63" s="206" t="str">
        <f t="shared" si="1"/>
        <v/>
      </c>
      <c r="AB63" s="205">
        <f t="shared" si="2"/>
        <v>0</v>
      </c>
      <c r="AC63" s="208"/>
      <c r="AD63" s="208"/>
      <c r="AE63" s="208"/>
      <c r="AF63" s="208"/>
      <c r="AG63" s="209" t="str">
        <f>IFERROR(INDEX('Local Data Previous Year'!$F:$F, MATCH($D63, 'Local Data Previous Year'!$D:$D, 0)), "")</f>
        <v/>
      </c>
      <c r="AH63" s="209" t="str">
        <f>IFERROR(INDEX('Local Data Previous Year'!$G:$G, MATCH($D63, 'Local Data Previous Year'!$D:$D, 0)), "")</f>
        <v/>
      </c>
      <c r="AI63" s="209" t="str">
        <f>IFERROR(INDEX('Local Data Previous Year'!$H:$H, MATCH($D63, 'Local Data Previous Year'!$D:$D, 0)), "")</f>
        <v/>
      </c>
      <c r="AJ63" s="209" t="str">
        <f t="shared" si="3"/>
        <v/>
      </c>
      <c r="AK63" s="209" t="str">
        <f t="shared" si="4"/>
        <v/>
      </c>
      <c r="AL63" s="209" t="str">
        <f t="shared" si="5"/>
        <v/>
      </c>
      <c r="AM63" s="208" t="str">
        <f>IF($AN63="","",IFERROR(VLOOKUP(CONCATENATE(CTR1_Billing!$E$20,$AN63),'Local Data Previous Year'!$C$3:$D$50000,2,0),CTR1_Billing!$E$21&amp;"NEW"))</f>
        <v/>
      </c>
      <c r="AN63" s="209" t="str" cm="1">
        <f t="array" ref="AN63">IF(ISERROR(INDEX('Local Data Previous Year'!$E$3:$E$50000, SMALL(IF(CTR1_Billing!$E$21='Local Data Previous Year'!$A$3:$A$50000, ROW('Local Data Previous Year'!$A$3:$A$50000)-ROW('Local Data Previous Year'!$A$3)+1), ROW(31:31)))), "", INDEX('Local Data Previous Year'!$E$3:$E$50000, SMALL(IF(CTR1_Billing!$E$21='Local Data Previous Year'!$A$3:$A$50000, ROW('Local Data Previous Year'!$A$3:$A$50000)-ROW('Local Data Previous Year'!$A$3)+1), ROW(31:31))))</f>
        <v/>
      </c>
      <c r="AO63" s="209" t="str">
        <f t="shared" si="6"/>
        <v/>
      </c>
      <c r="AP63" s="208"/>
      <c r="AQ63" s="209" t="str">
        <f t="shared" si="7"/>
        <v/>
      </c>
      <c r="AR63" s="209" t="str">
        <f t="shared" si="8"/>
        <v/>
      </c>
      <c r="AS63" s="202" t="str">
        <f t="shared" si="9"/>
        <v/>
      </c>
      <c r="AT63" s="202" t="str">
        <f t="shared" si="10"/>
        <v/>
      </c>
      <c r="AU63" s="208"/>
      <c r="AV63" s="208"/>
      <c r="AW63" s="208"/>
      <c r="AX63" s="208"/>
      <c r="AY63" s="208"/>
      <c r="AZ63" s="208"/>
      <c r="BA63" s="208"/>
      <c r="BB63" s="208"/>
      <c r="BC63" s="208"/>
      <c r="BD63" s="208"/>
      <c r="BE63" s="208"/>
      <c r="BF63" s="208"/>
      <c r="BG63" s="28"/>
      <c r="BH63" s="28"/>
      <c r="BI63" s="28"/>
      <c r="BJ63" s="28"/>
    </row>
    <row r="64" spans="1:62" s="23" customFormat="1" ht="21" customHeight="1" thickBot="1" x14ac:dyDescent="0.25">
      <c r="A64" s="846" t="str">
        <f>IF($AN64="","",IFERROR(VLOOKUP(CONCATENATE(CTR1_Billing!$E$20,$AN64),'Local Data Previous Year'!$C$3:$D$20000,2,0),CTR1_Billing!$E$21&amp;"NEW"))</f>
        <v/>
      </c>
      <c r="B64" s="846" t="str">
        <f>IF($E64="","",IFERROR(VLOOKUP(CONCATENATE(CTR1_Billing!$E$20,CTR1_Local!$E64),'Local Data Previous Year'!$C$3:$D$20000,2,0),CTR1_Billing!$E$21&amp;"NEW"))</f>
        <v/>
      </c>
      <c r="C64" s="846">
        <v>32</v>
      </c>
      <c r="D64" s="755" t="str" cm="1">
        <f t="array" ref="D64">IF(ISERROR(INDEX('Local Data Previous Year'!$D$3:$D$20000,SMALL(IF(CTR1_Billing!$E$21='Local Data Previous Year'!$A$3:$A$20000,ROW('Local Data Previous Year'!$A$3:$A$20000)-ROW('Local Data Previous Year'!$A$3)+1),ROW(32:32)))),"",INDEX('Local Data Previous Year'!$D$3:$D$20000,SMALL(IF(CTR1_Billing!$E$21='Local Data Previous Year'!$A$3:$A$20000,ROW('Local Data Previous Year'!$A$3:$A$20000)-ROW('Local Data Previous Year'!$A$3)+1),ROW(32:32))))</f>
        <v/>
      </c>
      <c r="E64" s="755" t="str" cm="1">
        <f t="array" ref="E64">IF(ISERROR(INDEX('Local Data Previous Year'!$E$3:$E$20000,SMALL(IF(CTR1_Billing!$E$21='Local Data Previous Year'!$A$3:$A$20000,ROW('Local Data Previous Year'!$A$3:$A$20000)-ROW('Local Data Previous Year'!$A$3)+1),ROW(32:32)))),"",INDEX('Local Data Previous Year'!$E$3:$E$20000,SMALL(IF(CTR1_Billing!$E$21='Local Data Previous Year'!$A$3:$A$20000,ROW('Local Data Previous Year'!$A$3:$A$20000)-ROW('Local Data Previous Year'!$A$3)+1),ROW(32:32))))</f>
        <v/>
      </c>
      <c r="F64" s="756" t="str">
        <f>IF($D64="","",IF(ISNA(MATCH($D64,'Local Data Previous Year'!$D$3:$D$20000,0)),"New",IFERROR(VLOOKUP($B64,'Local Data Previous Year'!$D$3:$I$20000,6,0),"")))</f>
        <v/>
      </c>
      <c r="G64" s="757">
        <f t="shared" si="11"/>
        <v>0</v>
      </c>
      <c r="H64" s="758" t="str">
        <f>IFERROR(INDEX('Local Data Previous Year'!$F:$F, MATCH($D64, 'Local Data Previous Year'!$D:$D, 0)), "")</f>
        <v/>
      </c>
      <c r="I64" s="759">
        <f>IF(B64=CTR1_Billing!$E$21&amp;"NEW",1,0)</f>
        <v>0</v>
      </c>
      <c r="J64" s="760" t="str">
        <f>IFERROR(INDEX('Local Data Previous Year'!$G:$G, MATCH($D64, 'Local Data Previous Year'!$D:$D, 0)), "")</f>
        <v/>
      </c>
      <c r="K64" s="762"/>
      <c r="L64" s="760" t="str">
        <f>IFERROR(INDEX('Local Data Previous Year'!$H:$H, MATCH($D64, 'Local Data Previous Year'!$D:$D, 0)), "")</f>
        <v/>
      </c>
      <c r="M64" s="762"/>
      <c r="N64" s="763"/>
      <c r="O64" s="767"/>
      <c r="P64" s="765"/>
      <c r="Q64" s="767"/>
      <c r="R64" s="766" t="str">
        <f t="shared" si="12"/>
        <v/>
      </c>
      <c r="S64" s="754"/>
      <c r="T64" s="763"/>
      <c r="U64" s="754"/>
      <c r="V64" s="763"/>
      <c r="W64" s="763"/>
      <c r="X64" s="865" t="str">
        <f>VLOOKUP(CTR1_Billing!$E$21,Data!$C$6:$D$302,1,FALSE)</f>
        <v>EZZZZ</v>
      </c>
      <c r="Y64" s="205"/>
      <c r="Z64" s="205">
        <f t="shared" si="0"/>
        <v>0</v>
      </c>
      <c r="AA64" s="206" t="str">
        <f t="shared" si="1"/>
        <v/>
      </c>
      <c r="AB64" s="205">
        <f t="shared" si="2"/>
        <v>0</v>
      </c>
      <c r="AC64" s="208"/>
      <c r="AD64" s="208"/>
      <c r="AE64" s="208"/>
      <c r="AF64" s="208"/>
      <c r="AG64" s="209" t="str">
        <f>IFERROR(INDEX('Local Data Previous Year'!$F:$F, MATCH($D64, 'Local Data Previous Year'!$D:$D, 0)), "")</f>
        <v/>
      </c>
      <c r="AH64" s="209" t="str">
        <f>IFERROR(INDEX('Local Data Previous Year'!$G:$G, MATCH($D64, 'Local Data Previous Year'!$D:$D, 0)), "")</f>
        <v/>
      </c>
      <c r="AI64" s="209" t="str">
        <f>IFERROR(INDEX('Local Data Previous Year'!$H:$H, MATCH($D64, 'Local Data Previous Year'!$D:$D, 0)), "")</f>
        <v/>
      </c>
      <c r="AJ64" s="209" t="str">
        <f t="shared" si="3"/>
        <v/>
      </c>
      <c r="AK64" s="209" t="str">
        <f t="shared" si="4"/>
        <v/>
      </c>
      <c r="AL64" s="209" t="str">
        <f t="shared" si="5"/>
        <v/>
      </c>
      <c r="AM64" s="208" t="str">
        <f>IF($AN64="","",IFERROR(VLOOKUP(CONCATENATE(CTR1_Billing!$E$20,$AN64),'Local Data Previous Year'!$C$3:$D$50000,2,0),CTR1_Billing!$E$21&amp;"NEW"))</f>
        <v/>
      </c>
      <c r="AN64" s="209" t="str" cm="1">
        <f t="array" ref="AN64">IF(ISERROR(INDEX('Local Data Previous Year'!$E$3:$E$50000, SMALL(IF(CTR1_Billing!$E$21='Local Data Previous Year'!$A$3:$A$50000, ROW('Local Data Previous Year'!$A$3:$A$50000)-ROW('Local Data Previous Year'!$A$3)+1), ROW(32:32)))), "", INDEX('Local Data Previous Year'!$E$3:$E$50000, SMALL(IF(CTR1_Billing!$E$21='Local Data Previous Year'!$A$3:$A$50000, ROW('Local Data Previous Year'!$A$3:$A$50000)-ROW('Local Data Previous Year'!$A$3)+1), ROW(32:32))))</f>
        <v/>
      </c>
      <c r="AO64" s="209" t="str">
        <f t="shared" si="6"/>
        <v/>
      </c>
      <c r="AP64" s="208"/>
      <c r="AQ64" s="209" t="str">
        <f t="shared" si="7"/>
        <v/>
      </c>
      <c r="AR64" s="209" t="str">
        <f t="shared" si="8"/>
        <v/>
      </c>
      <c r="AS64" s="202" t="str">
        <f t="shared" si="9"/>
        <v/>
      </c>
      <c r="AT64" s="202" t="str">
        <f t="shared" si="10"/>
        <v/>
      </c>
      <c r="AU64" s="208"/>
      <c r="AV64" s="208"/>
      <c r="AW64" s="208"/>
      <c r="AX64" s="208"/>
      <c r="AY64" s="208"/>
      <c r="AZ64" s="208"/>
      <c r="BA64" s="208"/>
      <c r="BB64" s="208"/>
      <c r="BC64" s="208"/>
      <c r="BD64" s="208"/>
      <c r="BE64" s="208"/>
      <c r="BF64" s="208"/>
      <c r="BG64" s="28"/>
      <c r="BH64" s="28"/>
      <c r="BI64" s="28"/>
      <c r="BJ64" s="28"/>
    </row>
    <row r="65" spans="1:62" s="23" customFormat="1" ht="21" customHeight="1" thickBot="1" x14ac:dyDescent="0.25">
      <c r="A65" s="846" t="str">
        <f>IF($AN65="","",IFERROR(VLOOKUP(CONCATENATE(CTR1_Billing!$E$20,$AN65),'Local Data Previous Year'!$C$3:$D$20000,2,0),CTR1_Billing!$E$21&amp;"NEW"))</f>
        <v/>
      </c>
      <c r="B65" s="846" t="str">
        <f>IF($E65="","",IFERROR(VLOOKUP(CONCATENATE(CTR1_Billing!$E$20,CTR1_Local!$E65),'Local Data Previous Year'!$C$3:$D$20000,2,0),CTR1_Billing!$E$21&amp;"NEW"))</f>
        <v/>
      </c>
      <c r="C65" s="846">
        <v>33</v>
      </c>
      <c r="D65" s="755" t="str" cm="1">
        <f t="array" ref="D65">IF(ISERROR(INDEX('Local Data Previous Year'!$D$3:$D$20000,SMALL(IF(CTR1_Billing!$E$21='Local Data Previous Year'!$A$3:$A$20000,ROW('Local Data Previous Year'!$A$3:$A$20000)-ROW('Local Data Previous Year'!$A$3)+1),ROW(33:33)))),"",INDEX('Local Data Previous Year'!$D$3:$D$20000,SMALL(IF(CTR1_Billing!$E$21='Local Data Previous Year'!$A$3:$A$20000,ROW('Local Data Previous Year'!$A$3:$A$20000)-ROW('Local Data Previous Year'!$A$3)+1),ROW(33:33))))</f>
        <v/>
      </c>
      <c r="E65" s="755" t="str" cm="1">
        <f t="array" ref="E65">IF(ISERROR(INDEX('Local Data Previous Year'!$E$3:$E$20000,SMALL(IF(CTR1_Billing!$E$21='Local Data Previous Year'!$A$3:$A$20000,ROW('Local Data Previous Year'!$A$3:$A$20000)-ROW('Local Data Previous Year'!$A$3)+1),ROW(33:33)))),"",INDEX('Local Data Previous Year'!$E$3:$E$20000,SMALL(IF(CTR1_Billing!$E$21='Local Data Previous Year'!$A$3:$A$20000,ROW('Local Data Previous Year'!$A$3:$A$20000)-ROW('Local Data Previous Year'!$A$3)+1),ROW(33:33))))</f>
        <v/>
      </c>
      <c r="F65" s="756" t="str">
        <f>IF($D65="","",IF(ISNA(MATCH($D65,'Local Data Previous Year'!$D$3:$D$20000,0)),"New",IFERROR(VLOOKUP($B65,'Local Data Previous Year'!$D$3:$I$20000,6,0),"")))</f>
        <v/>
      </c>
      <c r="G65" s="757">
        <f t="shared" si="11"/>
        <v>0</v>
      </c>
      <c r="H65" s="758" t="str">
        <f>IFERROR(INDEX('Local Data Previous Year'!$F:$F, MATCH($D65, 'Local Data Previous Year'!$D:$D, 0)), "")</f>
        <v/>
      </c>
      <c r="I65" s="759">
        <f>IF(B65=CTR1_Billing!$E$21&amp;"NEW",1,0)</f>
        <v>0</v>
      </c>
      <c r="J65" s="760" t="str">
        <f>IFERROR(INDEX('Local Data Previous Year'!$G:$G, MATCH($D65, 'Local Data Previous Year'!$D:$D, 0)), "")</f>
        <v/>
      </c>
      <c r="K65" s="762"/>
      <c r="L65" s="760" t="str">
        <f>IFERROR(INDEX('Local Data Previous Year'!$H:$H, MATCH($D65, 'Local Data Previous Year'!$D:$D, 0)), "")</f>
        <v/>
      </c>
      <c r="M65" s="762"/>
      <c r="N65" s="763"/>
      <c r="O65" s="767"/>
      <c r="P65" s="765"/>
      <c r="Q65" s="767"/>
      <c r="R65" s="766" t="str">
        <f t="shared" si="12"/>
        <v/>
      </c>
      <c r="S65" s="754"/>
      <c r="T65" s="763"/>
      <c r="U65" s="754"/>
      <c r="V65" s="763"/>
      <c r="W65" s="763"/>
      <c r="X65" s="865" t="str">
        <f>VLOOKUP(CTR1_Billing!$E$21,Data!$C$6:$D$302,1,FALSE)</f>
        <v>EZZZZ</v>
      </c>
      <c r="Y65" s="205"/>
      <c r="Z65" s="205">
        <f t="shared" si="0"/>
        <v>0</v>
      </c>
      <c r="AA65" s="206" t="str">
        <f t="shared" si="1"/>
        <v/>
      </c>
      <c r="AB65" s="205">
        <f t="shared" si="2"/>
        <v>0</v>
      </c>
      <c r="AC65" s="208"/>
      <c r="AD65" s="208"/>
      <c r="AE65" s="208"/>
      <c r="AF65" s="208"/>
      <c r="AG65" s="209" t="str">
        <f>IFERROR(INDEX('Local Data Previous Year'!$F:$F, MATCH($D65, 'Local Data Previous Year'!$D:$D, 0)), "")</f>
        <v/>
      </c>
      <c r="AH65" s="209" t="str">
        <f>IFERROR(INDEX('Local Data Previous Year'!$G:$G, MATCH($D65, 'Local Data Previous Year'!$D:$D, 0)), "")</f>
        <v/>
      </c>
      <c r="AI65" s="209" t="str">
        <f>IFERROR(INDEX('Local Data Previous Year'!$H:$H, MATCH($D65, 'Local Data Previous Year'!$D:$D, 0)), "")</f>
        <v/>
      </c>
      <c r="AJ65" s="209" t="str">
        <f t="shared" si="3"/>
        <v/>
      </c>
      <c r="AK65" s="209" t="str">
        <f t="shared" si="4"/>
        <v/>
      </c>
      <c r="AL65" s="209" t="str">
        <f t="shared" si="5"/>
        <v/>
      </c>
      <c r="AM65" s="208" t="str">
        <f>IF($AN65="","",IFERROR(VLOOKUP(CONCATENATE(CTR1_Billing!$E$20,$AN65),'Local Data Previous Year'!$C$3:$D$50000,2,0),CTR1_Billing!$E$21&amp;"NEW"))</f>
        <v/>
      </c>
      <c r="AN65" s="209" t="str" cm="1">
        <f t="array" ref="AN65">IF(ISERROR(INDEX('Local Data Previous Year'!$E$3:$E$50000, SMALL(IF(CTR1_Billing!$E$21='Local Data Previous Year'!$A$3:$A$50000, ROW('Local Data Previous Year'!$A$3:$A$50000)-ROW('Local Data Previous Year'!$A$3)+1), ROW(33:33)))), "", INDEX('Local Data Previous Year'!$E$3:$E$50000, SMALL(IF(CTR1_Billing!$E$21='Local Data Previous Year'!$A$3:$A$50000, ROW('Local Data Previous Year'!$A$3:$A$50000)-ROW('Local Data Previous Year'!$A$3)+1), ROW(33:33))))</f>
        <v/>
      </c>
      <c r="AO65" s="209" t="str">
        <f t="shared" si="6"/>
        <v/>
      </c>
      <c r="AP65" s="208"/>
      <c r="AQ65" s="209" t="str">
        <f t="shared" si="7"/>
        <v/>
      </c>
      <c r="AR65" s="209" t="str">
        <f t="shared" si="8"/>
        <v/>
      </c>
      <c r="AS65" s="202" t="str">
        <f t="shared" si="9"/>
        <v/>
      </c>
      <c r="AT65" s="202" t="str">
        <f t="shared" si="10"/>
        <v/>
      </c>
      <c r="AU65" s="208"/>
      <c r="AV65" s="208"/>
      <c r="AW65" s="208"/>
      <c r="AX65" s="208"/>
      <c r="AY65" s="208"/>
      <c r="AZ65" s="208"/>
      <c r="BA65" s="208"/>
      <c r="BB65" s="208"/>
      <c r="BC65" s="208"/>
      <c r="BD65" s="208"/>
      <c r="BE65" s="208"/>
      <c r="BF65" s="208"/>
      <c r="BG65" s="28"/>
      <c r="BH65" s="28"/>
      <c r="BI65" s="28"/>
      <c r="BJ65" s="28"/>
    </row>
    <row r="66" spans="1:62" s="23" customFormat="1" ht="21" customHeight="1" thickBot="1" x14ac:dyDescent="0.25">
      <c r="A66" s="846" t="str">
        <f>IF($AN66="","",IFERROR(VLOOKUP(CONCATENATE(CTR1_Billing!$E$20,$AN66),'Local Data Previous Year'!$C$3:$D$20000,2,0),CTR1_Billing!$E$21&amp;"NEW"))</f>
        <v/>
      </c>
      <c r="B66" s="846" t="str">
        <f>IF($E66="","",IFERROR(VLOOKUP(CONCATENATE(CTR1_Billing!$E$20,CTR1_Local!$E66),'Local Data Previous Year'!$C$3:$D$20000,2,0),CTR1_Billing!$E$21&amp;"NEW"))</f>
        <v/>
      </c>
      <c r="C66" s="846">
        <v>34</v>
      </c>
      <c r="D66" s="755" t="str" cm="1">
        <f t="array" ref="D66">IF(ISERROR(INDEX('Local Data Previous Year'!$D$3:$D$20000,SMALL(IF(CTR1_Billing!$E$21='Local Data Previous Year'!$A$3:$A$20000,ROW('Local Data Previous Year'!$A$3:$A$20000)-ROW('Local Data Previous Year'!$A$3)+1),ROW(34:34)))),"",INDEX('Local Data Previous Year'!$D$3:$D$20000,SMALL(IF(CTR1_Billing!$E$21='Local Data Previous Year'!$A$3:$A$20000,ROW('Local Data Previous Year'!$A$3:$A$20000)-ROW('Local Data Previous Year'!$A$3)+1),ROW(34:34))))</f>
        <v/>
      </c>
      <c r="E66" s="755" t="str" cm="1">
        <f t="array" ref="E66">IF(ISERROR(INDEX('Local Data Previous Year'!$E$3:$E$20000,SMALL(IF(CTR1_Billing!$E$21='Local Data Previous Year'!$A$3:$A$20000,ROW('Local Data Previous Year'!$A$3:$A$20000)-ROW('Local Data Previous Year'!$A$3)+1),ROW(34:34)))),"",INDEX('Local Data Previous Year'!$E$3:$E$20000,SMALL(IF(CTR1_Billing!$E$21='Local Data Previous Year'!$A$3:$A$20000,ROW('Local Data Previous Year'!$A$3:$A$20000)-ROW('Local Data Previous Year'!$A$3)+1),ROW(34:34))))</f>
        <v/>
      </c>
      <c r="F66" s="756" t="str">
        <f>IF($D66="","",IF(ISNA(MATCH($D66,'Local Data Previous Year'!$D$3:$D$20000,0)),"New",IFERROR(VLOOKUP($B66,'Local Data Previous Year'!$D$3:$I$20000,6,0),"")))</f>
        <v/>
      </c>
      <c r="G66" s="757">
        <f t="shared" si="11"/>
        <v>0</v>
      </c>
      <c r="H66" s="758" t="str">
        <f>IFERROR(INDEX('Local Data Previous Year'!$F:$F, MATCH($D66, 'Local Data Previous Year'!$D:$D, 0)), "")</f>
        <v/>
      </c>
      <c r="I66" s="759">
        <f>IF(B66=CTR1_Billing!$E$21&amp;"NEW",1,0)</f>
        <v>0</v>
      </c>
      <c r="J66" s="760" t="str">
        <f>IFERROR(INDEX('Local Data Previous Year'!$G:$G, MATCH($D66, 'Local Data Previous Year'!$D:$D, 0)), "")</f>
        <v/>
      </c>
      <c r="K66" s="762"/>
      <c r="L66" s="760" t="str">
        <f>IFERROR(INDEX('Local Data Previous Year'!$H:$H, MATCH($D66, 'Local Data Previous Year'!$D:$D, 0)), "")</f>
        <v/>
      </c>
      <c r="M66" s="762"/>
      <c r="N66" s="763"/>
      <c r="O66" s="767"/>
      <c r="P66" s="765"/>
      <c r="Q66" s="767"/>
      <c r="R66" s="766" t="str">
        <f t="shared" si="12"/>
        <v/>
      </c>
      <c r="S66" s="754"/>
      <c r="T66" s="763"/>
      <c r="U66" s="754"/>
      <c r="V66" s="763"/>
      <c r="W66" s="763"/>
      <c r="X66" s="865" t="str">
        <f>VLOOKUP(CTR1_Billing!$E$21,Data!$C$6:$D$302,1,FALSE)</f>
        <v>EZZZZ</v>
      </c>
      <c r="Y66" s="205"/>
      <c r="Z66" s="205">
        <f t="shared" si="0"/>
        <v>0</v>
      </c>
      <c r="AA66" s="206" t="str">
        <f t="shared" si="1"/>
        <v/>
      </c>
      <c r="AB66" s="205">
        <f t="shared" si="2"/>
        <v>0</v>
      </c>
      <c r="AC66" s="208"/>
      <c r="AD66" s="208"/>
      <c r="AE66" s="208"/>
      <c r="AF66" s="208"/>
      <c r="AG66" s="209" t="str">
        <f>IFERROR(INDEX('Local Data Previous Year'!$F:$F, MATCH($D66, 'Local Data Previous Year'!$D:$D, 0)), "")</f>
        <v/>
      </c>
      <c r="AH66" s="209" t="str">
        <f>IFERROR(INDEX('Local Data Previous Year'!$G:$G, MATCH($D66, 'Local Data Previous Year'!$D:$D, 0)), "")</f>
        <v/>
      </c>
      <c r="AI66" s="209" t="str">
        <f>IFERROR(INDEX('Local Data Previous Year'!$H:$H, MATCH($D66, 'Local Data Previous Year'!$D:$D, 0)), "")</f>
        <v/>
      </c>
      <c r="AJ66" s="209" t="str">
        <f t="shared" si="3"/>
        <v/>
      </c>
      <c r="AK66" s="209" t="str">
        <f t="shared" si="4"/>
        <v/>
      </c>
      <c r="AL66" s="209" t="str">
        <f t="shared" si="5"/>
        <v/>
      </c>
      <c r="AM66" s="208" t="str">
        <f>IF($AN66="","",IFERROR(VLOOKUP(CONCATENATE(CTR1_Billing!$E$20,$AN66),'Local Data Previous Year'!$C$3:$D$50000,2,0),CTR1_Billing!$E$21&amp;"NEW"))</f>
        <v/>
      </c>
      <c r="AN66" s="209" t="str" cm="1">
        <f t="array" ref="AN66">IF(ISERROR(INDEX('Local Data Previous Year'!$E$3:$E$50000, SMALL(IF(CTR1_Billing!$E$21='Local Data Previous Year'!$A$3:$A$50000, ROW('Local Data Previous Year'!$A$3:$A$50000)-ROW('Local Data Previous Year'!$A$3)+1), ROW(34:34)))), "", INDEX('Local Data Previous Year'!$E$3:$E$50000, SMALL(IF(CTR1_Billing!$E$21='Local Data Previous Year'!$A$3:$A$50000, ROW('Local Data Previous Year'!$A$3:$A$50000)-ROW('Local Data Previous Year'!$A$3)+1), ROW(34:34))))</f>
        <v/>
      </c>
      <c r="AO66" s="209" t="str">
        <f t="shared" si="6"/>
        <v/>
      </c>
      <c r="AP66" s="208"/>
      <c r="AQ66" s="209" t="str">
        <f t="shared" si="7"/>
        <v/>
      </c>
      <c r="AR66" s="209" t="str">
        <f t="shared" si="8"/>
        <v/>
      </c>
      <c r="AS66" s="202" t="str">
        <f t="shared" si="9"/>
        <v/>
      </c>
      <c r="AT66" s="202" t="str">
        <f t="shared" si="10"/>
        <v/>
      </c>
      <c r="AU66" s="208"/>
      <c r="AV66" s="208"/>
      <c r="AW66" s="208"/>
      <c r="AX66" s="208"/>
      <c r="AY66" s="208"/>
      <c r="AZ66" s="208"/>
      <c r="BA66" s="208"/>
      <c r="BB66" s="208"/>
      <c r="BC66" s="208"/>
      <c r="BD66" s="208"/>
      <c r="BE66" s="208"/>
      <c r="BF66" s="208"/>
      <c r="BG66" s="28"/>
      <c r="BH66" s="28"/>
      <c r="BI66" s="28"/>
      <c r="BJ66" s="28"/>
    </row>
    <row r="67" spans="1:62" s="23" customFormat="1" ht="21" customHeight="1" thickBot="1" x14ac:dyDescent="0.25">
      <c r="A67" s="846" t="str">
        <f>IF($AN67="","",IFERROR(VLOOKUP(CONCATENATE(CTR1_Billing!$E$20,$AN67),'Local Data Previous Year'!$C$3:$D$20000,2,0),CTR1_Billing!$E$21&amp;"NEW"))</f>
        <v/>
      </c>
      <c r="B67" s="846" t="str">
        <f>IF($E67="","",IFERROR(VLOOKUP(CONCATENATE(CTR1_Billing!$E$20,CTR1_Local!$E67),'Local Data Previous Year'!$C$3:$D$20000,2,0),CTR1_Billing!$E$21&amp;"NEW"))</f>
        <v/>
      </c>
      <c r="C67" s="846">
        <v>35</v>
      </c>
      <c r="D67" s="755" t="str" cm="1">
        <f t="array" ref="D67">IF(ISERROR(INDEX('Local Data Previous Year'!$D$3:$D$20000,SMALL(IF(CTR1_Billing!$E$21='Local Data Previous Year'!$A$3:$A$20000,ROW('Local Data Previous Year'!$A$3:$A$20000)-ROW('Local Data Previous Year'!$A$3)+1),ROW(35:35)))),"",INDEX('Local Data Previous Year'!$D$3:$D$20000,SMALL(IF(CTR1_Billing!$E$21='Local Data Previous Year'!$A$3:$A$20000,ROW('Local Data Previous Year'!$A$3:$A$20000)-ROW('Local Data Previous Year'!$A$3)+1),ROW(35:35))))</f>
        <v/>
      </c>
      <c r="E67" s="755" t="str" cm="1">
        <f t="array" ref="E67">IF(ISERROR(INDEX('Local Data Previous Year'!$E$3:$E$20000,SMALL(IF(CTR1_Billing!$E$21='Local Data Previous Year'!$A$3:$A$20000,ROW('Local Data Previous Year'!$A$3:$A$20000)-ROW('Local Data Previous Year'!$A$3)+1),ROW(35:35)))),"",INDEX('Local Data Previous Year'!$E$3:$E$20000,SMALL(IF(CTR1_Billing!$E$21='Local Data Previous Year'!$A$3:$A$20000,ROW('Local Data Previous Year'!$A$3:$A$20000)-ROW('Local Data Previous Year'!$A$3)+1),ROW(35:35))))</f>
        <v/>
      </c>
      <c r="F67" s="756" t="str">
        <f>IF($D67="","",IF(ISNA(MATCH($D67,'Local Data Previous Year'!$D$3:$D$20000,0)),"New",IFERROR(VLOOKUP($B67,'Local Data Previous Year'!$D$3:$I$20000,6,0),"")))</f>
        <v/>
      </c>
      <c r="G67" s="757">
        <f t="shared" si="11"/>
        <v>0</v>
      </c>
      <c r="H67" s="758" t="str">
        <f>IFERROR(INDEX('Local Data Previous Year'!$F:$F, MATCH($D67, 'Local Data Previous Year'!$D:$D, 0)), "")</f>
        <v/>
      </c>
      <c r="I67" s="759">
        <f>IF(B67=CTR1_Billing!$E$21&amp;"NEW",1,0)</f>
        <v>0</v>
      </c>
      <c r="J67" s="760" t="str">
        <f>IFERROR(INDEX('Local Data Previous Year'!$G:$G, MATCH($D67, 'Local Data Previous Year'!$D:$D, 0)), "")</f>
        <v/>
      </c>
      <c r="K67" s="762"/>
      <c r="L67" s="760" t="str">
        <f>IFERROR(INDEX('Local Data Previous Year'!$H:$H, MATCH($D67, 'Local Data Previous Year'!$D:$D, 0)), "")</f>
        <v/>
      </c>
      <c r="M67" s="762"/>
      <c r="N67" s="763"/>
      <c r="O67" s="767"/>
      <c r="P67" s="765"/>
      <c r="Q67" s="767"/>
      <c r="R67" s="766" t="str">
        <f t="shared" si="12"/>
        <v/>
      </c>
      <c r="S67" s="754"/>
      <c r="T67" s="763"/>
      <c r="U67" s="754"/>
      <c r="V67" s="763"/>
      <c r="W67" s="763"/>
      <c r="X67" s="865" t="str">
        <f>VLOOKUP(CTR1_Billing!$E$21,Data!$C$6:$D$302,1,FALSE)</f>
        <v>EZZZZ</v>
      </c>
      <c r="Y67" s="205"/>
      <c r="Z67" s="205">
        <f t="shared" si="0"/>
        <v>0</v>
      </c>
      <c r="AA67" s="206" t="str">
        <f t="shared" si="1"/>
        <v/>
      </c>
      <c r="AB67" s="205">
        <f t="shared" si="2"/>
        <v>0</v>
      </c>
      <c r="AC67" s="208"/>
      <c r="AD67" s="208"/>
      <c r="AE67" s="208"/>
      <c r="AF67" s="208"/>
      <c r="AG67" s="209" t="str">
        <f>IFERROR(INDEX('Local Data Previous Year'!$F:$F, MATCH($D67, 'Local Data Previous Year'!$D:$D, 0)), "")</f>
        <v/>
      </c>
      <c r="AH67" s="209" t="str">
        <f>IFERROR(INDEX('Local Data Previous Year'!$G:$G, MATCH($D67, 'Local Data Previous Year'!$D:$D, 0)), "")</f>
        <v/>
      </c>
      <c r="AI67" s="209" t="str">
        <f>IFERROR(INDEX('Local Data Previous Year'!$H:$H, MATCH($D67, 'Local Data Previous Year'!$D:$D, 0)), "")</f>
        <v/>
      </c>
      <c r="AJ67" s="209" t="str">
        <f t="shared" si="3"/>
        <v/>
      </c>
      <c r="AK67" s="209" t="str">
        <f t="shared" si="4"/>
        <v/>
      </c>
      <c r="AL67" s="209" t="str">
        <f t="shared" si="5"/>
        <v/>
      </c>
      <c r="AM67" s="208" t="str">
        <f>IF($AN67="","",IFERROR(VLOOKUP(CONCATENATE(CTR1_Billing!$E$20,$AN67),'Local Data Previous Year'!$C$3:$D$50000,2,0),CTR1_Billing!$E$21&amp;"NEW"))</f>
        <v/>
      </c>
      <c r="AN67" s="209" t="str" cm="1">
        <f t="array" ref="AN67">IF(ISERROR(INDEX('Local Data Previous Year'!$E$3:$E$50000, SMALL(IF(CTR1_Billing!$E$21='Local Data Previous Year'!$A$3:$A$50000, ROW('Local Data Previous Year'!$A$3:$A$50000)-ROW('Local Data Previous Year'!$A$3)+1), ROW(35:35)))), "", INDEX('Local Data Previous Year'!$E$3:$E$50000, SMALL(IF(CTR1_Billing!$E$21='Local Data Previous Year'!$A$3:$A$50000, ROW('Local Data Previous Year'!$A$3:$A$50000)-ROW('Local Data Previous Year'!$A$3)+1), ROW(35:35))))</f>
        <v/>
      </c>
      <c r="AO67" s="209" t="str">
        <f t="shared" si="6"/>
        <v/>
      </c>
      <c r="AP67" s="208"/>
      <c r="AQ67" s="209" t="str">
        <f t="shared" si="7"/>
        <v/>
      </c>
      <c r="AR67" s="209" t="str">
        <f t="shared" si="8"/>
        <v/>
      </c>
      <c r="AS67" s="202" t="str">
        <f t="shared" si="9"/>
        <v/>
      </c>
      <c r="AT67" s="202" t="str">
        <f t="shared" si="10"/>
        <v/>
      </c>
      <c r="AU67" s="208"/>
      <c r="AV67" s="208"/>
      <c r="AW67" s="208"/>
      <c r="AX67" s="208"/>
      <c r="AY67" s="208"/>
      <c r="AZ67" s="208"/>
      <c r="BA67" s="208"/>
      <c r="BB67" s="208"/>
      <c r="BC67" s="208"/>
      <c r="BD67" s="208"/>
      <c r="BE67" s="208"/>
      <c r="BF67" s="208"/>
      <c r="BG67" s="28"/>
      <c r="BH67" s="28"/>
      <c r="BI67" s="28"/>
      <c r="BJ67" s="28"/>
    </row>
    <row r="68" spans="1:62" s="23" customFormat="1" ht="21" customHeight="1" thickBot="1" x14ac:dyDescent="0.25">
      <c r="A68" s="846" t="str">
        <f>IF($AN68="","",IFERROR(VLOOKUP(CONCATENATE(CTR1_Billing!$E$20,$AN68),'Local Data Previous Year'!$C$3:$D$20000,2,0),CTR1_Billing!$E$21&amp;"NEW"))</f>
        <v/>
      </c>
      <c r="B68" s="846" t="str">
        <f>IF($E68="","",IFERROR(VLOOKUP(CONCATENATE(CTR1_Billing!$E$20,CTR1_Local!$E68),'Local Data Previous Year'!$C$3:$D$20000,2,0),CTR1_Billing!$E$21&amp;"NEW"))</f>
        <v/>
      </c>
      <c r="C68" s="846">
        <v>36</v>
      </c>
      <c r="D68" s="755" t="str" cm="1">
        <f t="array" ref="D68">IF(ISERROR(INDEX('Local Data Previous Year'!$D$3:$D$20000,SMALL(IF(CTR1_Billing!$E$21='Local Data Previous Year'!$A$3:$A$20000,ROW('Local Data Previous Year'!$A$3:$A$20000)-ROW('Local Data Previous Year'!$A$3)+1),ROW(36:36)))),"",INDEX('Local Data Previous Year'!$D$3:$D$20000,SMALL(IF(CTR1_Billing!$E$21='Local Data Previous Year'!$A$3:$A$20000,ROW('Local Data Previous Year'!$A$3:$A$20000)-ROW('Local Data Previous Year'!$A$3)+1),ROW(36:36))))</f>
        <v/>
      </c>
      <c r="E68" s="755" t="str" cm="1">
        <f t="array" ref="E68">IF(ISERROR(INDEX('Local Data Previous Year'!$E$3:$E$20000,SMALL(IF(CTR1_Billing!$E$21='Local Data Previous Year'!$A$3:$A$20000,ROW('Local Data Previous Year'!$A$3:$A$20000)-ROW('Local Data Previous Year'!$A$3)+1),ROW(36:36)))),"",INDEX('Local Data Previous Year'!$E$3:$E$20000,SMALL(IF(CTR1_Billing!$E$21='Local Data Previous Year'!$A$3:$A$20000,ROW('Local Data Previous Year'!$A$3:$A$20000)-ROW('Local Data Previous Year'!$A$3)+1),ROW(36:36))))</f>
        <v/>
      </c>
      <c r="F68" s="756" t="str">
        <f>IF($D68="","",IF(ISNA(MATCH($D68,'Local Data Previous Year'!$D$3:$D$20000,0)),"New",IFERROR(VLOOKUP($B68,'Local Data Previous Year'!$D$3:$I$20000,6,0),"")))</f>
        <v/>
      </c>
      <c r="G68" s="757">
        <f t="shared" si="11"/>
        <v>0</v>
      </c>
      <c r="H68" s="758" t="str">
        <f>IFERROR(INDEX('Local Data Previous Year'!$F:$F, MATCH($D68, 'Local Data Previous Year'!$D:$D, 0)), "")</f>
        <v/>
      </c>
      <c r="I68" s="759">
        <f>IF(B68=CTR1_Billing!$E$21&amp;"NEW",1,0)</f>
        <v>0</v>
      </c>
      <c r="J68" s="760" t="str">
        <f>IFERROR(INDEX('Local Data Previous Year'!$G:$G, MATCH($D68, 'Local Data Previous Year'!$D:$D, 0)), "")</f>
        <v/>
      </c>
      <c r="K68" s="762"/>
      <c r="L68" s="760" t="str">
        <f>IFERROR(INDEX('Local Data Previous Year'!$H:$H, MATCH($D68, 'Local Data Previous Year'!$D:$D, 0)), "")</f>
        <v/>
      </c>
      <c r="M68" s="762"/>
      <c r="N68" s="763"/>
      <c r="O68" s="767"/>
      <c r="P68" s="765"/>
      <c r="Q68" s="767"/>
      <c r="R68" s="766" t="str">
        <f t="shared" si="12"/>
        <v/>
      </c>
      <c r="S68" s="754"/>
      <c r="T68" s="763"/>
      <c r="U68" s="754"/>
      <c r="V68" s="763"/>
      <c r="W68" s="763"/>
      <c r="X68" s="865" t="str">
        <f>VLOOKUP(CTR1_Billing!$E$21,Data!$C$6:$D$302,1,FALSE)</f>
        <v>EZZZZ</v>
      </c>
      <c r="Y68" s="205"/>
      <c r="Z68" s="205">
        <f t="shared" si="0"/>
        <v>0</v>
      </c>
      <c r="AA68" s="206" t="str">
        <f t="shared" si="1"/>
        <v/>
      </c>
      <c r="AB68" s="205">
        <f t="shared" si="2"/>
        <v>0</v>
      </c>
      <c r="AC68" s="208"/>
      <c r="AD68" s="208"/>
      <c r="AE68" s="208"/>
      <c r="AF68" s="208"/>
      <c r="AG68" s="209" t="str">
        <f>IFERROR(INDEX('Local Data Previous Year'!$F:$F, MATCH($D68, 'Local Data Previous Year'!$D:$D, 0)), "")</f>
        <v/>
      </c>
      <c r="AH68" s="209" t="str">
        <f>IFERROR(INDEX('Local Data Previous Year'!$G:$G, MATCH($D68, 'Local Data Previous Year'!$D:$D, 0)), "")</f>
        <v/>
      </c>
      <c r="AI68" s="209" t="str">
        <f>IFERROR(INDEX('Local Data Previous Year'!$H:$H, MATCH($D68, 'Local Data Previous Year'!$D:$D, 0)), "")</f>
        <v/>
      </c>
      <c r="AJ68" s="209" t="str">
        <f t="shared" si="3"/>
        <v/>
      </c>
      <c r="AK68" s="209" t="str">
        <f t="shared" si="4"/>
        <v/>
      </c>
      <c r="AL68" s="209" t="str">
        <f t="shared" si="5"/>
        <v/>
      </c>
      <c r="AM68" s="208" t="str">
        <f>IF($AN68="","",IFERROR(VLOOKUP(CONCATENATE(CTR1_Billing!$E$20,$AN68),'Local Data Previous Year'!$C$3:$D$50000,2,0),CTR1_Billing!$E$21&amp;"NEW"))</f>
        <v/>
      </c>
      <c r="AN68" s="209" t="str" cm="1">
        <f t="array" ref="AN68">IF(ISERROR(INDEX('Local Data Previous Year'!$E$3:$E$50000, SMALL(IF(CTR1_Billing!$E$21='Local Data Previous Year'!$A$3:$A$50000, ROW('Local Data Previous Year'!$A$3:$A$50000)-ROW('Local Data Previous Year'!$A$3)+1), ROW(36:36)))), "", INDEX('Local Data Previous Year'!$E$3:$E$50000, SMALL(IF(CTR1_Billing!$E$21='Local Data Previous Year'!$A$3:$A$50000, ROW('Local Data Previous Year'!$A$3:$A$50000)-ROW('Local Data Previous Year'!$A$3)+1), ROW(36:36))))</f>
        <v/>
      </c>
      <c r="AO68" s="209" t="str">
        <f t="shared" si="6"/>
        <v/>
      </c>
      <c r="AP68" s="208"/>
      <c r="AQ68" s="209" t="str">
        <f t="shared" si="7"/>
        <v/>
      </c>
      <c r="AR68" s="209" t="str">
        <f t="shared" si="8"/>
        <v/>
      </c>
      <c r="AS68" s="202" t="str">
        <f t="shared" si="9"/>
        <v/>
      </c>
      <c r="AT68" s="202" t="str">
        <f t="shared" si="10"/>
        <v/>
      </c>
      <c r="AU68" s="208"/>
      <c r="AV68" s="208"/>
      <c r="AW68" s="208"/>
      <c r="AX68" s="208"/>
      <c r="AY68" s="208"/>
      <c r="AZ68" s="208"/>
      <c r="BA68" s="208"/>
      <c r="BB68" s="208"/>
      <c r="BC68" s="208"/>
      <c r="BD68" s="208"/>
      <c r="BE68" s="208"/>
      <c r="BF68" s="208"/>
      <c r="BG68" s="28"/>
      <c r="BH68" s="28"/>
      <c r="BI68" s="28"/>
      <c r="BJ68" s="28"/>
    </row>
    <row r="69" spans="1:62" s="23" customFormat="1" ht="21" customHeight="1" thickBot="1" x14ac:dyDescent="0.25">
      <c r="A69" s="846" t="str">
        <f>IF($AN69="","",IFERROR(VLOOKUP(CONCATENATE(CTR1_Billing!$E$20,$AN69),'Local Data Previous Year'!$C$3:$D$20000,2,0),CTR1_Billing!$E$21&amp;"NEW"))</f>
        <v/>
      </c>
      <c r="B69" s="846" t="str">
        <f>IF($E69="","",IFERROR(VLOOKUP(CONCATENATE(CTR1_Billing!$E$20,CTR1_Local!$E69),'Local Data Previous Year'!$C$3:$D$20000,2,0),CTR1_Billing!$E$21&amp;"NEW"))</f>
        <v/>
      </c>
      <c r="C69" s="846">
        <v>37</v>
      </c>
      <c r="D69" s="755" t="str" cm="1">
        <f t="array" ref="D69">IF(ISERROR(INDEX('Local Data Previous Year'!$D$3:$D$20000,SMALL(IF(CTR1_Billing!$E$21='Local Data Previous Year'!$A$3:$A$20000,ROW('Local Data Previous Year'!$A$3:$A$20000)-ROW('Local Data Previous Year'!$A$3)+1),ROW(37:37)))),"",INDEX('Local Data Previous Year'!$D$3:$D$20000,SMALL(IF(CTR1_Billing!$E$21='Local Data Previous Year'!$A$3:$A$20000,ROW('Local Data Previous Year'!$A$3:$A$20000)-ROW('Local Data Previous Year'!$A$3)+1),ROW(37:37))))</f>
        <v/>
      </c>
      <c r="E69" s="755" t="str" cm="1">
        <f t="array" ref="E69">IF(ISERROR(INDEX('Local Data Previous Year'!$E$3:$E$20000,SMALL(IF(CTR1_Billing!$E$21='Local Data Previous Year'!$A$3:$A$20000,ROW('Local Data Previous Year'!$A$3:$A$20000)-ROW('Local Data Previous Year'!$A$3)+1),ROW(37:37)))),"",INDEX('Local Data Previous Year'!$E$3:$E$20000,SMALL(IF(CTR1_Billing!$E$21='Local Data Previous Year'!$A$3:$A$20000,ROW('Local Data Previous Year'!$A$3:$A$20000)-ROW('Local Data Previous Year'!$A$3)+1),ROW(37:37))))</f>
        <v/>
      </c>
      <c r="F69" s="756" t="str">
        <f>IF($D69="","",IF(ISNA(MATCH($D69,'Local Data Previous Year'!$D$3:$D$20000,0)),"New",IFERROR(VLOOKUP($B69,'Local Data Previous Year'!$D$3:$I$20000,6,0),"")))</f>
        <v/>
      </c>
      <c r="G69" s="757">
        <f t="shared" si="11"/>
        <v>0</v>
      </c>
      <c r="H69" s="758" t="str">
        <f>IFERROR(INDEX('Local Data Previous Year'!$F:$F, MATCH($D69, 'Local Data Previous Year'!$D:$D, 0)), "")</f>
        <v/>
      </c>
      <c r="I69" s="759">
        <f>IF(B69=CTR1_Billing!$E$21&amp;"NEW",1,0)</f>
        <v>0</v>
      </c>
      <c r="J69" s="760" t="str">
        <f>IFERROR(INDEX('Local Data Previous Year'!$G:$G, MATCH($D69, 'Local Data Previous Year'!$D:$D, 0)), "")</f>
        <v/>
      </c>
      <c r="K69" s="762"/>
      <c r="L69" s="760" t="str">
        <f>IFERROR(INDEX('Local Data Previous Year'!$H:$H, MATCH($D69, 'Local Data Previous Year'!$D:$D, 0)), "")</f>
        <v/>
      </c>
      <c r="M69" s="762"/>
      <c r="N69" s="763"/>
      <c r="O69" s="767"/>
      <c r="P69" s="765"/>
      <c r="Q69" s="767"/>
      <c r="R69" s="766" t="str">
        <f t="shared" si="12"/>
        <v/>
      </c>
      <c r="S69" s="754"/>
      <c r="T69" s="763"/>
      <c r="U69" s="754"/>
      <c r="V69" s="763"/>
      <c r="W69" s="763"/>
      <c r="X69" s="865" t="str">
        <f>VLOOKUP(CTR1_Billing!$E$21,Data!$C$6:$D$302,1,FALSE)</f>
        <v>EZZZZ</v>
      </c>
      <c r="Y69" s="205"/>
      <c r="Z69" s="205">
        <f t="shared" si="0"/>
        <v>0</v>
      </c>
      <c r="AA69" s="206" t="str">
        <f t="shared" si="1"/>
        <v/>
      </c>
      <c r="AB69" s="205">
        <f t="shared" si="2"/>
        <v>0</v>
      </c>
      <c r="AC69" s="208"/>
      <c r="AD69" s="208"/>
      <c r="AE69" s="208"/>
      <c r="AF69" s="208"/>
      <c r="AG69" s="209" t="str">
        <f>IFERROR(INDEX('Local Data Previous Year'!$F:$F, MATCH($D69, 'Local Data Previous Year'!$D:$D, 0)), "")</f>
        <v/>
      </c>
      <c r="AH69" s="209" t="str">
        <f>IFERROR(INDEX('Local Data Previous Year'!$G:$G, MATCH($D69, 'Local Data Previous Year'!$D:$D, 0)), "")</f>
        <v/>
      </c>
      <c r="AI69" s="209" t="str">
        <f>IFERROR(INDEX('Local Data Previous Year'!$H:$H, MATCH($D69, 'Local Data Previous Year'!$D:$D, 0)), "")</f>
        <v/>
      </c>
      <c r="AJ69" s="209" t="str">
        <f t="shared" si="3"/>
        <v/>
      </c>
      <c r="AK69" s="209" t="str">
        <f t="shared" si="4"/>
        <v/>
      </c>
      <c r="AL69" s="209" t="str">
        <f t="shared" si="5"/>
        <v/>
      </c>
      <c r="AM69" s="208" t="str">
        <f>IF($AN69="","",IFERROR(VLOOKUP(CONCATENATE(CTR1_Billing!$E$20,$AN69),'Local Data Previous Year'!$C$3:$D$50000,2,0),CTR1_Billing!$E$21&amp;"NEW"))</f>
        <v/>
      </c>
      <c r="AN69" s="209" t="str" cm="1">
        <f t="array" ref="AN69">IF(ISERROR(INDEX('Local Data Previous Year'!$E$3:$E$50000, SMALL(IF(CTR1_Billing!$E$21='Local Data Previous Year'!$A$3:$A$50000, ROW('Local Data Previous Year'!$A$3:$A$50000)-ROW('Local Data Previous Year'!$A$3)+1), ROW(37:37)))), "", INDEX('Local Data Previous Year'!$E$3:$E$50000, SMALL(IF(CTR1_Billing!$E$21='Local Data Previous Year'!$A$3:$A$50000, ROW('Local Data Previous Year'!$A$3:$A$50000)-ROW('Local Data Previous Year'!$A$3)+1), ROW(37:37))))</f>
        <v/>
      </c>
      <c r="AO69" s="209" t="str">
        <f t="shared" si="6"/>
        <v/>
      </c>
      <c r="AP69" s="208"/>
      <c r="AQ69" s="209" t="str">
        <f t="shared" si="7"/>
        <v/>
      </c>
      <c r="AR69" s="209" t="str">
        <f t="shared" si="8"/>
        <v/>
      </c>
      <c r="AS69" s="202" t="str">
        <f t="shared" si="9"/>
        <v/>
      </c>
      <c r="AT69" s="202" t="str">
        <f t="shared" si="10"/>
        <v/>
      </c>
      <c r="AU69" s="208"/>
      <c r="AV69" s="208"/>
      <c r="AW69" s="208"/>
      <c r="AX69" s="208"/>
      <c r="AY69" s="208"/>
      <c r="AZ69" s="208"/>
      <c r="BA69" s="208"/>
      <c r="BB69" s="208"/>
      <c r="BC69" s="208"/>
      <c r="BD69" s="208"/>
      <c r="BE69" s="208"/>
      <c r="BF69" s="208"/>
      <c r="BG69" s="28"/>
      <c r="BH69" s="28"/>
      <c r="BI69" s="28"/>
      <c r="BJ69" s="28"/>
    </row>
    <row r="70" spans="1:62" s="23" customFormat="1" ht="21" customHeight="1" thickBot="1" x14ac:dyDescent="0.25">
      <c r="A70" s="846" t="str">
        <f>IF($AN70="","",IFERROR(VLOOKUP(CONCATENATE(CTR1_Billing!$E$20,$AN70),'Local Data Previous Year'!$C$3:$D$20000,2,0),CTR1_Billing!$E$21&amp;"NEW"))</f>
        <v/>
      </c>
      <c r="B70" s="846" t="str">
        <f>IF($E70="","",IFERROR(VLOOKUP(CONCATENATE(CTR1_Billing!$E$20,CTR1_Local!$E70),'Local Data Previous Year'!$C$3:$D$20000,2,0),CTR1_Billing!$E$21&amp;"NEW"))</f>
        <v/>
      </c>
      <c r="C70" s="846">
        <v>38</v>
      </c>
      <c r="D70" s="755" t="str" cm="1">
        <f t="array" ref="D70">IF(ISERROR(INDEX('Local Data Previous Year'!$D$3:$D$20000,SMALL(IF(CTR1_Billing!$E$21='Local Data Previous Year'!$A$3:$A$20000,ROW('Local Data Previous Year'!$A$3:$A$20000)-ROW('Local Data Previous Year'!$A$3)+1),ROW(38:38)))),"",INDEX('Local Data Previous Year'!$D$3:$D$20000,SMALL(IF(CTR1_Billing!$E$21='Local Data Previous Year'!$A$3:$A$20000,ROW('Local Data Previous Year'!$A$3:$A$20000)-ROW('Local Data Previous Year'!$A$3)+1),ROW(38:38))))</f>
        <v/>
      </c>
      <c r="E70" s="755" t="str" cm="1">
        <f t="array" ref="E70">IF(ISERROR(INDEX('Local Data Previous Year'!$E$3:$E$20000,SMALL(IF(CTR1_Billing!$E$21='Local Data Previous Year'!$A$3:$A$20000,ROW('Local Data Previous Year'!$A$3:$A$20000)-ROW('Local Data Previous Year'!$A$3)+1),ROW(38:38)))),"",INDEX('Local Data Previous Year'!$E$3:$E$20000,SMALL(IF(CTR1_Billing!$E$21='Local Data Previous Year'!$A$3:$A$20000,ROW('Local Data Previous Year'!$A$3:$A$20000)-ROW('Local Data Previous Year'!$A$3)+1),ROW(38:38))))</f>
        <v/>
      </c>
      <c r="F70" s="756" t="str">
        <f>IF($D70="","",IF(ISNA(MATCH($D70,'Local Data Previous Year'!$D$3:$D$20000,0)),"New",IFERROR(VLOOKUP($B70,'Local Data Previous Year'!$D$3:$I$20000,6,0),"")))</f>
        <v/>
      </c>
      <c r="G70" s="757">
        <f t="shared" si="11"/>
        <v>0</v>
      </c>
      <c r="H70" s="758" t="str">
        <f>IFERROR(INDEX('Local Data Previous Year'!$F:$F, MATCH($D70, 'Local Data Previous Year'!$D:$D, 0)), "")</f>
        <v/>
      </c>
      <c r="I70" s="759">
        <f>IF(B70=CTR1_Billing!$E$21&amp;"NEW",1,0)</f>
        <v>0</v>
      </c>
      <c r="J70" s="760" t="str">
        <f>IFERROR(INDEX('Local Data Previous Year'!$G:$G, MATCH($D70, 'Local Data Previous Year'!$D:$D, 0)), "")</f>
        <v/>
      </c>
      <c r="K70" s="762"/>
      <c r="L70" s="760" t="str">
        <f>IFERROR(INDEX('Local Data Previous Year'!$H:$H, MATCH($D70, 'Local Data Previous Year'!$D:$D, 0)), "")</f>
        <v/>
      </c>
      <c r="M70" s="762"/>
      <c r="N70" s="763"/>
      <c r="O70" s="767"/>
      <c r="P70" s="765"/>
      <c r="Q70" s="767"/>
      <c r="R70" s="766" t="str">
        <f t="shared" si="12"/>
        <v/>
      </c>
      <c r="S70" s="754"/>
      <c r="T70" s="763"/>
      <c r="U70" s="754"/>
      <c r="V70" s="763"/>
      <c r="W70" s="763"/>
      <c r="X70" s="865" t="str">
        <f>VLOOKUP(CTR1_Billing!$E$21,Data!$C$6:$D$302,1,FALSE)</f>
        <v>EZZZZ</v>
      </c>
      <c r="Y70" s="205"/>
      <c r="Z70" s="205">
        <f t="shared" si="0"/>
        <v>0</v>
      </c>
      <c r="AA70" s="206" t="str">
        <f t="shared" si="1"/>
        <v/>
      </c>
      <c r="AB70" s="205">
        <f t="shared" si="2"/>
        <v>0</v>
      </c>
      <c r="AC70" s="208"/>
      <c r="AD70" s="208"/>
      <c r="AE70" s="208"/>
      <c r="AF70" s="208"/>
      <c r="AG70" s="209" t="str">
        <f>IFERROR(INDEX('Local Data Previous Year'!$F:$F, MATCH($D70, 'Local Data Previous Year'!$D:$D, 0)), "")</f>
        <v/>
      </c>
      <c r="AH70" s="209" t="str">
        <f>IFERROR(INDEX('Local Data Previous Year'!$G:$G, MATCH($D70, 'Local Data Previous Year'!$D:$D, 0)), "")</f>
        <v/>
      </c>
      <c r="AI70" s="209" t="str">
        <f>IFERROR(INDEX('Local Data Previous Year'!$H:$H, MATCH($D70, 'Local Data Previous Year'!$D:$D, 0)), "")</f>
        <v/>
      </c>
      <c r="AJ70" s="209" t="str">
        <f t="shared" si="3"/>
        <v/>
      </c>
      <c r="AK70" s="209" t="str">
        <f t="shared" si="4"/>
        <v/>
      </c>
      <c r="AL70" s="209" t="str">
        <f t="shared" si="5"/>
        <v/>
      </c>
      <c r="AM70" s="208" t="str">
        <f>IF($AN70="","",IFERROR(VLOOKUP(CONCATENATE(CTR1_Billing!$E$20,$AN70),'Local Data Previous Year'!$C$3:$D$50000,2,0),CTR1_Billing!$E$21&amp;"NEW"))</f>
        <v/>
      </c>
      <c r="AN70" s="209" t="str" cm="1">
        <f t="array" ref="AN70">IF(ISERROR(INDEX('Local Data Previous Year'!$E$3:$E$50000, SMALL(IF(CTR1_Billing!$E$21='Local Data Previous Year'!$A$3:$A$50000, ROW('Local Data Previous Year'!$A$3:$A$50000)-ROW('Local Data Previous Year'!$A$3)+1), ROW(38:38)))), "", INDEX('Local Data Previous Year'!$E$3:$E$50000, SMALL(IF(CTR1_Billing!$E$21='Local Data Previous Year'!$A$3:$A$50000, ROW('Local Data Previous Year'!$A$3:$A$50000)-ROW('Local Data Previous Year'!$A$3)+1), ROW(38:38))))</f>
        <v/>
      </c>
      <c r="AO70" s="209" t="str">
        <f t="shared" si="6"/>
        <v/>
      </c>
      <c r="AP70" s="208"/>
      <c r="AQ70" s="209" t="str">
        <f t="shared" si="7"/>
        <v/>
      </c>
      <c r="AR70" s="209" t="str">
        <f t="shared" si="8"/>
        <v/>
      </c>
      <c r="AS70" s="202" t="str">
        <f t="shared" si="9"/>
        <v/>
      </c>
      <c r="AT70" s="202" t="str">
        <f t="shared" si="10"/>
        <v/>
      </c>
      <c r="AU70" s="208"/>
      <c r="AV70" s="208"/>
      <c r="AW70" s="208"/>
      <c r="AX70" s="208"/>
      <c r="AY70" s="208"/>
      <c r="AZ70" s="208"/>
      <c r="BA70" s="208"/>
      <c r="BB70" s="208"/>
      <c r="BC70" s="208"/>
      <c r="BD70" s="208"/>
      <c r="BE70" s="208"/>
      <c r="BF70" s="208"/>
      <c r="BG70" s="28"/>
      <c r="BH70" s="28"/>
      <c r="BI70" s="28"/>
      <c r="BJ70" s="28"/>
    </row>
    <row r="71" spans="1:62" s="23" customFormat="1" ht="21" customHeight="1" thickBot="1" x14ac:dyDescent="0.25">
      <c r="A71" s="846" t="str">
        <f>IF($AN71="","",IFERROR(VLOOKUP(CONCATENATE(CTR1_Billing!$E$20,$AN71),'Local Data Previous Year'!$C$3:$D$20000,2,0),CTR1_Billing!$E$21&amp;"NEW"))</f>
        <v/>
      </c>
      <c r="B71" s="846" t="str">
        <f>IF($E71="","",IFERROR(VLOOKUP(CONCATENATE(CTR1_Billing!$E$20,CTR1_Local!$E71),'Local Data Previous Year'!$C$3:$D$20000,2,0),CTR1_Billing!$E$21&amp;"NEW"))</f>
        <v/>
      </c>
      <c r="C71" s="846">
        <v>39</v>
      </c>
      <c r="D71" s="755" t="str" cm="1">
        <f t="array" ref="D71">IF(ISERROR(INDEX('Local Data Previous Year'!$D$3:$D$20000,SMALL(IF(CTR1_Billing!$E$21='Local Data Previous Year'!$A$3:$A$20000,ROW('Local Data Previous Year'!$A$3:$A$20000)-ROW('Local Data Previous Year'!$A$3)+1),ROW(39:39)))),"",INDEX('Local Data Previous Year'!$D$3:$D$20000,SMALL(IF(CTR1_Billing!$E$21='Local Data Previous Year'!$A$3:$A$20000,ROW('Local Data Previous Year'!$A$3:$A$20000)-ROW('Local Data Previous Year'!$A$3)+1),ROW(39:39))))</f>
        <v/>
      </c>
      <c r="E71" s="755" t="str" cm="1">
        <f t="array" ref="E71">IF(ISERROR(INDEX('Local Data Previous Year'!$E$3:$E$20000,SMALL(IF(CTR1_Billing!$E$21='Local Data Previous Year'!$A$3:$A$20000,ROW('Local Data Previous Year'!$A$3:$A$20000)-ROW('Local Data Previous Year'!$A$3)+1),ROW(39:39)))),"",INDEX('Local Data Previous Year'!$E$3:$E$20000,SMALL(IF(CTR1_Billing!$E$21='Local Data Previous Year'!$A$3:$A$20000,ROW('Local Data Previous Year'!$A$3:$A$20000)-ROW('Local Data Previous Year'!$A$3)+1),ROW(39:39))))</f>
        <v/>
      </c>
      <c r="F71" s="756" t="str">
        <f>IF($D71="","",IF(ISNA(MATCH($D71,'Local Data Previous Year'!$D$3:$D$20000,0)),"New",IFERROR(VLOOKUP($B71,'Local Data Previous Year'!$D$3:$I$20000,6,0),"")))</f>
        <v/>
      </c>
      <c r="G71" s="757">
        <f t="shared" si="11"/>
        <v>0</v>
      </c>
      <c r="H71" s="758" t="str">
        <f>IFERROR(INDEX('Local Data Previous Year'!$F:$F, MATCH($D71, 'Local Data Previous Year'!$D:$D, 0)), "")</f>
        <v/>
      </c>
      <c r="I71" s="759">
        <f>IF(B71=CTR1_Billing!$E$21&amp;"NEW",1,0)</f>
        <v>0</v>
      </c>
      <c r="J71" s="760" t="str">
        <f>IFERROR(INDEX('Local Data Previous Year'!$G:$G, MATCH($D71, 'Local Data Previous Year'!$D:$D, 0)), "")</f>
        <v/>
      </c>
      <c r="K71" s="762"/>
      <c r="L71" s="760" t="str">
        <f>IFERROR(INDEX('Local Data Previous Year'!$H:$H, MATCH($D71, 'Local Data Previous Year'!$D:$D, 0)), "")</f>
        <v/>
      </c>
      <c r="M71" s="762"/>
      <c r="N71" s="763"/>
      <c r="O71" s="767"/>
      <c r="P71" s="765"/>
      <c r="Q71" s="767"/>
      <c r="R71" s="766" t="str">
        <f t="shared" si="12"/>
        <v/>
      </c>
      <c r="S71" s="754"/>
      <c r="T71" s="763"/>
      <c r="U71" s="754"/>
      <c r="V71" s="763"/>
      <c r="W71" s="763"/>
      <c r="X71" s="865" t="str">
        <f>VLOOKUP(CTR1_Billing!$E$21,Data!$C$6:$D$302,1,FALSE)</f>
        <v>EZZZZ</v>
      </c>
      <c r="Y71" s="205"/>
      <c r="Z71" s="205">
        <f t="shared" si="0"/>
        <v>0</v>
      </c>
      <c r="AA71" s="206" t="str">
        <f t="shared" si="1"/>
        <v/>
      </c>
      <c r="AB71" s="205">
        <f t="shared" si="2"/>
        <v>0</v>
      </c>
      <c r="AC71" s="208"/>
      <c r="AD71" s="208"/>
      <c r="AE71" s="208"/>
      <c r="AF71" s="208"/>
      <c r="AG71" s="209" t="str">
        <f>IFERROR(INDEX('Local Data Previous Year'!$F:$F, MATCH($D71, 'Local Data Previous Year'!$D:$D, 0)), "")</f>
        <v/>
      </c>
      <c r="AH71" s="209" t="str">
        <f>IFERROR(INDEX('Local Data Previous Year'!$G:$G, MATCH($D71, 'Local Data Previous Year'!$D:$D, 0)), "")</f>
        <v/>
      </c>
      <c r="AI71" s="209" t="str">
        <f>IFERROR(INDEX('Local Data Previous Year'!$H:$H, MATCH($D71, 'Local Data Previous Year'!$D:$D, 0)), "")</f>
        <v/>
      </c>
      <c r="AJ71" s="209" t="str">
        <f t="shared" si="3"/>
        <v/>
      </c>
      <c r="AK71" s="209" t="str">
        <f t="shared" si="4"/>
        <v/>
      </c>
      <c r="AL71" s="209" t="str">
        <f t="shared" si="5"/>
        <v/>
      </c>
      <c r="AM71" s="208" t="str">
        <f>IF($AN71="","",IFERROR(VLOOKUP(CONCATENATE(CTR1_Billing!$E$20,$AN71),'Local Data Previous Year'!$C$3:$D$50000,2,0),CTR1_Billing!$E$21&amp;"NEW"))</f>
        <v/>
      </c>
      <c r="AN71" s="209" t="str" cm="1">
        <f t="array" ref="AN71">IF(ISERROR(INDEX('Local Data Previous Year'!$E$3:$E$50000, SMALL(IF(CTR1_Billing!$E$21='Local Data Previous Year'!$A$3:$A$50000, ROW('Local Data Previous Year'!$A$3:$A$50000)-ROW('Local Data Previous Year'!$A$3)+1), ROW(39:39)))), "", INDEX('Local Data Previous Year'!$E$3:$E$50000, SMALL(IF(CTR1_Billing!$E$21='Local Data Previous Year'!$A$3:$A$50000, ROW('Local Data Previous Year'!$A$3:$A$50000)-ROW('Local Data Previous Year'!$A$3)+1), ROW(39:39))))</f>
        <v/>
      </c>
      <c r="AO71" s="209" t="str">
        <f t="shared" si="6"/>
        <v/>
      </c>
      <c r="AP71" s="208"/>
      <c r="AQ71" s="209" t="str">
        <f t="shared" si="7"/>
        <v/>
      </c>
      <c r="AR71" s="209" t="str">
        <f t="shared" si="8"/>
        <v/>
      </c>
      <c r="AS71" s="202" t="str">
        <f t="shared" si="9"/>
        <v/>
      </c>
      <c r="AT71" s="202" t="str">
        <f t="shared" si="10"/>
        <v/>
      </c>
      <c r="AU71" s="208"/>
      <c r="AV71" s="208"/>
      <c r="AW71" s="208"/>
      <c r="AX71" s="208"/>
      <c r="AY71" s="208"/>
      <c r="AZ71" s="208"/>
      <c r="BA71" s="208"/>
      <c r="BB71" s="208"/>
      <c r="BC71" s="208"/>
      <c r="BD71" s="208"/>
      <c r="BE71" s="208"/>
      <c r="BF71" s="208"/>
      <c r="BG71" s="28"/>
      <c r="BH71" s="28"/>
      <c r="BI71" s="28"/>
      <c r="BJ71" s="28"/>
    </row>
    <row r="72" spans="1:62" s="23" customFormat="1" ht="21" customHeight="1" thickBot="1" x14ac:dyDescent="0.25">
      <c r="A72" s="846" t="str">
        <f>IF($AN72="","",IFERROR(VLOOKUP(CONCATENATE(CTR1_Billing!$E$20,$AN72),'Local Data Previous Year'!$C$3:$D$20000,2,0),CTR1_Billing!$E$21&amp;"NEW"))</f>
        <v/>
      </c>
      <c r="B72" s="846" t="str">
        <f>IF($E72="","",IFERROR(VLOOKUP(CONCATENATE(CTR1_Billing!$E$20,CTR1_Local!$E72),'Local Data Previous Year'!$C$3:$D$20000,2,0),CTR1_Billing!$E$21&amp;"NEW"))</f>
        <v/>
      </c>
      <c r="C72" s="846">
        <v>40</v>
      </c>
      <c r="D72" s="755" t="str" cm="1">
        <f t="array" ref="D72">IF(ISERROR(INDEX('Local Data Previous Year'!$D$3:$D$20000,SMALL(IF(CTR1_Billing!$E$21='Local Data Previous Year'!$A$3:$A$20000,ROW('Local Data Previous Year'!$A$3:$A$20000)-ROW('Local Data Previous Year'!$A$3)+1),ROW(40:40)))),"",INDEX('Local Data Previous Year'!$D$3:$D$20000,SMALL(IF(CTR1_Billing!$E$21='Local Data Previous Year'!$A$3:$A$20000,ROW('Local Data Previous Year'!$A$3:$A$20000)-ROW('Local Data Previous Year'!$A$3)+1),ROW(40:40))))</f>
        <v/>
      </c>
      <c r="E72" s="755" t="str" cm="1">
        <f t="array" ref="E72">IF(ISERROR(INDEX('Local Data Previous Year'!$E$3:$E$20000,SMALL(IF(CTR1_Billing!$E$21='Local Data Previous Year'!$A$3:$A$20000,ROW('Local Data Previous Year'!$A$3:$A$20000)-ROW('Local Data Previous Year'!$A$3)+1),ROW(40:40)))),"",INDEX('Local Data Previous Year'!$E$3:$E$20000,SMALL(IF(CTR1_Billing!$E$21='Local Data Previous Year'!$A$3:$A$20000,ROW('Local Data Previous Year'!$A$3:$A$20000)-ROW('Local Data Previous Year'!$A$3)+1),ROW(40:40))))</f>
        <v/>
      </c>
      <c r="F72" s="756" t="str">
        <f>IF($D72="","",IF(ISNA(MATCH($D72,'Local Data Previous Year'!$D$3:$D$20000,0)),"New",IFERROR(VLOOKUP($B72,'Local Data Previous Year'!$D$3:$I$20000,6,0),"")))</f>
        <v/>
      </c>
      <c r="G72" s="757">
        <f t="shared" si="11"/>
        <v>0</v>
      </c>
      <c r="H72" s="758" t="str">
        <f>IFERROR(INDEX('Local Data Previous Year'!$F:$F, MATCH($D72, 'Local Data Previous Year'!$D:$D, 0)), "")</f>
        <v/>
      </c>
      <c r="I72" s="759">
        <f>IF(B72=CTR1_Billing!$E$21&amp;"NEW",1,0)</f>
        <v>0</v>
      </c>
      <c r="J72" s="760" t="str">
        <f>IFERROR(INDEX('Local Data Previous Year'!$G:$G, MATCH($D72, 'Local Data Previous Year'!$D:$D, 0)), "")</f>
        <v/>
      </c>
      <c r="K72" s="762"/>
      <c r="L72" s="760" t="str">
        <f>IFERROR(INDEX('Local Data Previous Year'!$H:$H, MATCH($D72, 'Local Data Previous Year'!$D:$D, 0)), "")</f>
        <v/>
      </c>
      <c r="M72" s="762"/>
      <c r="N72" s="763"/>
      <c r="O72" s="767"/>
      <c r="P72" s="765"/>
      <c r="Q72" s="767"/>
      <c r="R72" s="766" t="str">
        <f t="shared" si="12"/>
        <v/>
      </c>
      <c r="S72" s="754"/>
      <c r="T72" s="763"/>
      <c r="U72" s="754"/>
      <c r="V72" s="763"/>
      <c r="W72" s="763"/>
      <c r="X72" s="865" t="str">
        <f>VLOOKUP(CTR1_Billing!$E$21,Data!$C$6:$D$302,1,FALSE)</f>
        <v>EZZZZ</v>
      </c>
      <c r="Y72" s="205"/>
      <c r="Z72" s="205">
        <f t="shared" si="0"/>
        <v>0</v>
      </c>
      <c r="AA72" s="206" t="str">
        <f t="shared" si="1"/>
        <v/>
      </c>
      <c r="AB72" s="205">
        <f t="shared" si="2"/>
        <v>0</v>
      </c>
      <c r="AC72" s="208"/>
      <c r="AD72" s="208"/>
      <c r="AE72" s="208"/>
      <c r="AF72" s="208"/>
      <c r="AG72" s="209" t="str">
        <f>IFERROR(INDEX('Local Data Previous Year'!$F:$F, MATCH($D72, 'Local Data Previous Year'!$D:$D, 0)), "")</f>
        <v/>
      </c>
      <c r="AH72" s="209" t="str">
        <f>IFERROR(INDEX('Local Data Previous Year'!$G:$G, MATCH($D72, 'Local Data Previous Year'!$D:$D, 0)), "")</f>
        <v/>
      </c>
      <c r="AI72" s="209" t="str">
        <f>IFERROR(INDEX('Local Data Previous Year'!$H:$H, MATCH($D72, 'Local Data Previous Year'!$D:$D, 0)), "")</f>
        <v/>
      </c>
      <c r="AJ72" s="209" t="str">
        <f t="shared" si="3"/>
        <v/>
      </c>
      <c r="AK72" s="209" t="str">
        <f t="shared" si="4"/>
        <v/>
      </c>
      <c r="AL72" s="209" t="str">
        <f t="shared" si="5"/>
        <v/>
      </c>
      <c r="AM72" s="208" t="str">
        <f>IF($AN72="","",IFERROR(VLOOKUP(CONCATENATE(CTR1_Billing!$E$20,$AN72),'Local Data Previous Year'!$C$3:$D$50000,2,0),CTR1_Billing!$E$21&amp;"NEW"))</f>
        <v/>
      </c>
      <c r="AN72" s="209" t="str" cm="1">
        <f t="array" ref="AN72">IF(ISERROR(INDEX('Local Data Previous Year'!$E$3:$E$50000, SMALL(IF(CTR1_Billing!$E$21='Local Data Previous Year'!$A$3:$A$50000, ROW('Local Data Previous Year'!$A$3:$A$50000)-ROW('Local Data Previous Year'!$A$3)+1), ROW(40:40)))), "", INDEX('Local Data Previous Year'!$E$3:$E$50000, SMALL(IF(CTR1_Billing!$E$21='Local Data Previous Year'!$A$3:$A$50000, ROW('Local Data Previous Year'!$A$3:$A$50000)-ROW('Local Data Previous Year'!$A$3)+1), ROW(40:40))))</f>
        <v/>
      </c>
      <c r="AO72" s="209" t="str">
        <f t="shared" si="6"/>
        <v/>
      </c>
      <c r="AP72" s="208"/>
      <c r="AQ72" s="209" t="str">
        <f t="shared" si="7"/>
        <v/>
      </c>
      <c r="AR72" s="209" t="str">
        <f t="shared" si="8"/>
        <v/>
      </c>
      <c r="AS72" s="202" t="str">
        <f t="shared" si="9"/>
        <v/>
      </c>
      <c r="AT72" s="202" t="str">
        <f t="shared" si="10"/>
        <v/>
      </c>
      <c r="AU72" s="208"/>
      <c r="AV72" s="208"/>
      <c r="AW72" s="208"/>
      <c r="AX72" s="208"/>
      <c r="AY72" s="208"/>
      <c r="AZ72" s="208"/>
      <c r="BA72" s="208"/>
      <c r="BB72" s="208"/>
      <c r="BC72" s="208"/>
      <c r="BD72" s="208"/>
      <c r="BE72" s="208"/>
      <c r="BF72" s="208"/>
      <c r="BG72" s="28"/>
      <c r="BH72" s="28"/>
      <c r="BI72" s="28"/>
      <c r="BJ72" s="28"/>
    </row>
    <row r="73" spans="1:62" s="23" customFormat="1" ht="21" customHeight="1" thickBot="1" x14ac:dyDescent="0.25">
      <c r="A73" s="846" t="str">
        <f>IF($AN73="","",IFERROR(VLOOKUP(CONCATENATE(CTR1_Billing!$E$20,$AN73),'Local Data Previous Year'!$C$3:$D$20000,2,0),CTR1_Billing!$E$21&amp;"NEW"))</f>
        <v/>
      </c>
      <c r="B73" s="846" t="str">
        <f>IF($E73="","",IFERROR(VLOOKUP(CONCATENATE(CTR1_Billing!$E$20,CTR1_Local!$E73),'Local Data Previous Year'!$C$3:$D$20000,2,0),CTR1_Billing!$E$21&amp;"NEW"))</f>
        <v/>
      </c>
      <c r="C73" s="846">
        <v>41</v>
      </c>
      <c r="D73" s="755" t="str" cm="1">
        <f t="array" ref="D73">IF(ISERROR(INDEX('Local Data Previous Year'!$D$3:$D$20000,SMALL(IF(CTR1_Billing!$E$21='Local Data Previous Year'!$A$3:$A$20000,ROW('Local Data Previous Year'!$A$3:$A$20000)-ROW('Local Data Previous Year'!$A$3)+1),ROW(41:41)))),"",INDEX('Local Data Previous Year'!$D$3:$D$20000,SMALL(IF(CTR1_Billing!$E$21='Local Data Previous Year'!$A$3:$A$20000,ROW('Local Data Previous Year'!$A$3:$A$20000)-ROW('Local Data Previous Year'!$A$3)+1),ROW(41:41))))</f>
        <v/>
      </c>
      <c r="E73" s="755" t="str" cm="1">
        <f t="array" ref="E73">IF(ISERROR(INDEX('Local Data Previous Year'!$E$3:$E$20000,SMALL(IF(CTR1_Billing!$E$21='Local Data Previous Year'!$A$3:$A$20000,ROW('Local Data Previous Year'!$A$3:$A$20000)-ROW('Local Data Previous Year'!$A$3)+1),ROW(41:41)))),"",INDEX('Local Data Previous Year'!$E$3:$E$20000,SMALL(IF(CTR1_Billing!$E$21='Local Data Previous Year'!$A$3:$A$20000,ROW('Local Data Previous Year'!$A$3:$A$20000)-ROW('Local Data Previous Year'!$A$3)+1),ROW(41:41))))</f>
        <v/>
      </c>
      <c r="F73" s="756" t="str">
        <f>IF($D73="","",IF(ISNA(MATCH($D73,'Local Data Previous Year'!$D$3:$D$20000,0)),"New",IFERROR(VLOOKUP($B73,'Local Data Previous Year'!$D$3:$I$20000,6,0),"")))</f>
        <v/>
      </c>
      <c r="G73" s="757">
        <f t="shared" si="11"/>
        <v>0</v>
      </c>
      <c r="H73" s="758" t="str">
        <f>IFERROR(INDEX('Local Data Previous Year'!$F:$F, MATCH($D73, 'Local Data Previous Year'!$D:$D, 0)), "")</f>
        <v/>
      </c>
      <c r="I73" s="759">
        <f>IF(B73=CTR1_Billing!$E$21&amp;"NEW",1,0)</f>
        <v>0</v>
      </c>
      <c r="J73" s="760" t="str">
        <f>IFERROR(INDEX('Local Data Previous Year'!$G:$G, MATCH($D73, 'Local Data Previous Year'!$D:$D, 0)), "")</f>
        <v/>
      </c>
      <c r="K73" s="762"/>
      <c r="L73" s="760" t="str">
        <f>IFERROR(INDEX('Local Data Previous Year'!$H:$H, MATCH($D73, 'Local Data Previous Year'!$D:$D, 0)), "")</f>
        <v/>
      </c>
      <c r="M73" s="762"/>
      <c r="N73" s="763"/>
      <c r="O73" s="767"/>
      <c r="P73" s="765"/>
      <c r="Q73" s="767"/>
      <c r="R73" s="766" t="str">
        <f t="shared" si="12"/>
        <v/>
      </c>
      <c r="S73" s="754"/>
      <c r="T73" s="763"/>
      <c r="U73" s="754"/>
      <c r="V73" s="763"/>
      <c r="W73" s="763"/>
      <c r="X73" s="865" t="str">
        <f>VLOOKUP(CTR1_Billing!$E$21,Data!$C$6:$D$302,1,FALSE)</f>
        <v>EZZZZ</v>
      </c>
      <c r="Y73" s="205"/>
      <c r="Z73" s="205">
        <f t="shared" si="0"/>
        <v>0</v>
      </c>
      <c r="AA73" s="206" t="str">
        <f t="shared" si="1"/>
        <v/>
      </c>
      <c r="AB73" s="205">
        <f t="shared" si="2"/>
        <v>0</v>
      </c>
      <c r="AC73" s="208"/>
      <c r="AD73" s="208"/>
      <c r="AE73" s="208"/>
      <c r="AF73" s="208"/>
      <c r="AG73" s="209" t="str">
        <f>IFERROR(INDEX('Local Data Previous Year'!$F:$F, MATCH($D73, 'Local Data Previous Year'!$D:$D, 0)), "")</f>
        <v/>
      </c>
      <c r="AH73" s="209" t="str">
        <f>IFERROR(INDEX('Local Data Previous Year'!$G:$G, MATCH($D73, 'Local Data Previous Year'!$D:$D, 0)), "")</f>
        <v/>
      </c>
      <c r="AI73" s="209" t="str">
        <f>IFERROR(INDEX('Local Data Previous Year'!$H:$H, MATCH($D73, 'Local Data Previous Year'!$D:$D, 0)), "")</f>
        <v/>
      </c>
      <c r="AJ73" s="209" t="str">
        <f t="shared" si="3"/>
        <v/>
      </c>
      <c r="AK73" s="209" t="str">
        <f t="shared" si="4"/>
        <v/>
      </c>
      <c r="AL73" s="209" t="str">
        <f t="shared" si="5"/>
        <v/>
      </c>
      <c r="AM73" s="208" t="str">
        <f>IF($AN73="","",IFERROR(VLOOKUP(CONCATENATE(CTR1_Billing!$E$20,$AN73),'Local Data Previous Year'!$C$3:$D$50000,2,0),CTR1_Billing!$E$21&amp;"NEW"))</f>
        <v/>
      </c>
      <c r="AN73" s="209" t="str" cm="1">
        <f t="array" ref="AN73">IF(ISERROR(INDEX('Local Data Previous Year'!$E$3:$E$50000, SMALL(IF(CTR1_Billing!$E$21='Local Data Previous Year'!$A$3:$A$50000, ROW('Local Data Previous Year'!$A$3:$A$50000)-ROW('Local Data Previous Year'!$A$3)+1), ROW(41:41)))), "", INDEX('Local Data Previous Year'!$E$3:$E$50000, SMALL(IF(CTR1_Billing!$E$21='Local Data Previous Year'!$A$3:$A$50000, ROW('Local Data Previous Year'!$A$3:$A$50000)-ROW('Local Data Previous Year'!$A$3)+1), ROW(41:41))))</f>
        <v/>
      </c>
      <c r="AO73" s="209" t="str">
        <f t="shared" si="6"/>
        <v/>
      </c>
      <c r="AP73" s="208"/>
      <c r="AQ73" s="209" t="str">
        <f t="shared" si="7"/>
        <v/>
      </c>
      <c r="AR73" s="209" t="str">
        <f t="shared" si="8"/>
        <v/>
      </c>
      <c r="AS73" s="202" t="str">
        <f t="shared" si="9"/>
        <v/>
      </c>
      <c r="AT73" s="202" t="str">
        <f t="shared" si="10"/>
        <v/>
      </c>
      <c r="AU73" s="208"/>
      <c r="AV73" s="208"/>
      <c r="AW73" s="208"/>
      <c r="AX73" s="208"/>
      <c r="AY73" s="208"/>
      <c r="AZ73" s="208"/>
      <c r="BA73" s="208"/>
      <c r="BB73" s="208"/>
      <c r="BC73" s="208"/>
      <c r="BD73" s="208"/>
      <c r="BE73" s="208"/>
      <c r="BF73" s="208"/>
      <c r="BG73" s="28"/>
      <c r="BH73" s="28"/>
      <c r="BI73" s="28"/>
      <c r="BJ73" s="28"/>
    </row>
    <row r="74" spans="1:62" s="23" customFormat="1" ht="21" customHeight="1" thickBot="1" x14ac:dyDescent="0.25">
      <c r="A74" s="846" t="str">
        <f>IF($AN74="","",IFERROR(VLOOKUP(CONCATENATE(CTR1_Billing!$E$20,$AN74),'Local Data Previous Year'!$C$3:$D$20000,2,0),CTR1_Billing!$E$21&amp;"NEW"))</f>
        <v/>
      </c>
      <c r="B74" s="846" t="str">
        <f>IF($E74="","",IFERROR(VLOOKUP(CONCATENATE(CTR1_Billing!$E$20,CTR1_Local!$E74),'Local Data Previous Year'!$C$3:$D$20000,2,0),CTR1_Billing!$E$21&amp;"NEW"))</f>
        <v/>
      </c>
      <c r="C74" s="846">
        <v>42</v>
      </c>
      <c r="D74" s="755" t="str" cm="1">
        <f t="array" ref="D74">IF(ISERROR(INDEX('Local Data Previous Year'!$D$3:$D$20000,SMALL(IF(CTR1_Billing!$E$21='Local Data Previous Year'!$A$3:$A$20000,ROW('Local Data Previous Year'!$A$3:$A$20000)-ROW('Local Data Previous Year'!$A$3)+1),ROW(42:42)))),"",INDEX('Local Data Previous Year'!$D$3:$D$20000,SMALL(IF(CTR1_Billing!$E$21='Local Data Previous Year'!$A$3:$A$20000,ROW('Local Data Previous Year'!$A$3:$A$20000)-ROW('Local Data Previous Year'!$A$3)+1),ROW(42:42))))</f>
        <v/>
      </c>
      <c r="E74" s="755" t="str" cm="1">
        <f t="array" ref="E74">IF(ISERROR(INDEX('Local Data Previous Year'!$E$3:$E$20000,SMALL(IF(CTR1_Billing!$E$21='Local Data Previous Year'!$A$3:$A$20000,ROW('Local Data Previous Year'!$A$3:$A$20000)-ROW('Local Data Previous Year'!$A$3)+1),ROW(42:42)))),"",INDEX('Local Data Previous Year'!$E$3:$E$20000,SMALL(IF(CTR1_Billing!$E$21='Local Data Previous Year'!$A$3:$A$20000,ROW('Local Data Previous Year'!$A$3:$A$20000)-ROW('Local Data Previous Year'!$A$3)+1),ROW(42:42))))</f>
        <v/>
      </c>
      <c r="F74" s="756" t="str">
        <f>IF($D74="","",IF(ISNA(MATCH($D74,'Local Data Previous Year'!$D$3:$D$20000,0)),"New",IFERROR(VLOOKUP($B74,'Local Data Previous Year'!$D$3:$I$20000,6,0),"")))</f>
        <v/>
      </c>
      <c r="G74" s="757">
        <f t="shared" si="11"/>
        <v>0</v>
      </c>
      <c r="H74" s="758" t="str">
        <f>IFERROR(INDEX('Local Data Previous Year'!$F:$F, MATCH($D74, 'Local Data Previous Year'!$D:$D, 0)), "")</f>
        <v/>
      </c>
      <c r="I74" s="759">
        <f>IF(B74=CTR1_Billing!$E$21&amp;"NEW",1,0)</f>
        <v>0</v>
      </c>
      <c r="J74" s="760" t="str">
        <f>IFERROR(INDEX('Local Data Previous Year'!$G:$G, MATCH($D74, 'Local Data Previous Year'!$D:$D, 0)), "")</f>
        <v/>
      </c>
      <c r="K74" s="762"/>
      <c r="L74" s="760" t="str">
        <f>IFERROR(INDEX('Local Data Previous Year'!$H:$H, MATCH($D74, 'Local Data Previous Year'!$D:$D, 0)), "")</f>
        <v/>
      </c>
      <c r="M74" s="762"/>
      <c r="N74" s="763"/>
      <c r="O74" s="767"/>
      <c r="P74" s="765"/>
      <c r="Q74" s="767"/>
      <c r="R74" s="766" t="str">
        <f t="shared" si="12"/>
        <v/>
      </c>
      <c r="S74" s="754"/>
      <c r="T74" s="763"/>
      <c r="U74" s="754"/>
      <c r="V74" s="763"/>
      <c r="W74" s="763"/>
      <c r="X74" s="865" t="str">
        <f>VLOOKUP(CTR1_Billing!$E$21,Data!$C$6:$D$302,1,FALSE)</f>
        <v>EZZZZ</v>
      </c>
      <c r="Y74" s="205"/>
      <c r="Z74" s="205">
        <f t="shared" si="0"/>
        <v>0</v>
      </c>
      <c r="AA74" s="206" t="str">
        <f t="shared" si="1"/>
        <v/>
      </c>
      <c r="AB74" s="205">
        <f t="shared" si="2"/>
        <v>0</v>
      </c>
      <c r="AC74" s="208"/>
      <c r="AD74" s="208"/>
      <c r="AE74" s="208"/>
      <c r="AF74" s="208"/>
      <c r="AG74" s="209" t="str">
        <f>IFERROR(INDEX('Local Data Previous Year'!$F:$F, MATCH($D74, 'Local Data Previous Year'!$D:$D, 0)), "")</f>
        <v/>
      </c>
      <c r="AH74" s="209" t="str">
        <f>IFERROR(INDEX('Local Data Previous Year'!$G:$G, MATCH($D74, 'Local Data Previous Year'!$D:$D, 0)), "")</f>
        <v/>
      </c>
      <c r="AI74" s="209" t="str">
        <f>IFERROR(INDEX('Local Data Previous Year'!$H:$H, MATCH($D74, 'Local Data Previous Year'!$D:$D, 0)), "")</f>
        <v/>
      </c>
      <c r="AJ74" s="209" t="str">
        <f t="shared" si="3"/>
        <v/>
      </c>
      <c r="AK74" s="209" t="str">
        <f t="shared" si="4"/>
        <v/>
      </c>
      <c r="AL74" s="209" t="str">
        <f t="shared" si="5"/>
        <v/>
      </c>
      <c r="AM74" s="208" t="str">
        <f>IF($AN74="","",IFERROR(VLOOKUP(CONCATENATE(CTR1_Billing!$E$20,$AN74),'Local Data Previous Year'!$C$3:$D$50000,2,0),CTR1_Billing!$E$21&amp;"NEW"))</f>
        <v/>
      </c>
      <c r="AN74" s="209" t="str" cm="1">
        <f t="array" ref="AN74">IF(ISERROR(INDEX('Local Data Previous Year'!$E$3:$E$50000, SMALL(IF(CTR1_Billing!$E$21='Local Data Previous Year'!$A$3:$A$50000, ROW('Local Data Previous Year'!$A$3:$A$50000)-ROW('Local Data Previous Year'!$A$3)+1), ROW(42:42)))), "", INDEX('Local Data Previous Year'!$E$3:$E$50000, SMALL(IF(CTR1_Billing!$E$21='Local Data Previous Year'!$A$3:$A$50000, ROW('Local Data Previous Year'!$A$3:$A$50000)-ROW('Local Data Previous Year'!$A$3)+1), ROW(42:42))))</f>
        <v/>
      </c>
      <c r="AO74" s="209" t="str">
        <f t="shared" si="6"/>
        <v/>
      </c>
      <c r="AP74" s="208"/>
      <c r="AQ74" s="209" t="str">
        <f t="shared" si="7"/>
        <v/>
      </c>
      <c r="AR74" s="209" t="str">
        <f t="shared" si="8"/>
        <v/>
      </c>
      <c r="AS74" s="202" t="str">
        <f t="shared" si="9"/>
        <v/>
      </c>
      <c r="AT74" s="202" t="str">
        <f t="shared" si="10"/>
        <v/>
      </c>
      <c r="AU74" s="208"/>
      <c r="AV74" s="208"/>
      <c r="AW74" s="208"/>
      <c r="AX74" s="208"/>
      <c r="AY74" s="208"/>
      <c r="AZ74" s="208"/>
      <c r="BA74" s="208"/>
      <c r="BB74" s="208"/>
      <c r="BC74" s="208"/>
      <c r="BD74" s="208"/>
      <c r="BE74" s="208"/>
      <c r="BF74" s="208"/>
      <c r="BG74" s="28"/>
      <c r="BH74" s="28"/>
      <c r="BI74" s="28"/>
      <c r="BJ74" s="28"/>
    </row>
    <row r="75" spans="1:62" s="23" customFormat="1" ht="21" customHeight="1" thickBot="1" x14ac:dyDescent="0.25">
      <c r="A75" s="846" t="str">
        <f>IF($AN75="","",IFERROR(VLOOKUP(CONCATENATE(CTR1_Billing!$E$20,$AN75),'Local Data Previous Year'!$C$3:$D$20000,2,0),CTR1_Billing!$E$21&amp;"NEW"))</f>
        <v/>
      </c>
      <c r="B75" s="846" t="str">
        <f>IF($E75="","",IFERROR(VLOOKUP(CONCATENATE(CTR1_Billing!$E$20,CTR1_Local!$E75),'Local Data Previous Year'!$C$3:$D$20000,2,0),CTR1_Billing!$E$21&amp;"NEW"))</f>
        <v/>
      </c>
      <c r="C75" s="846">
        <v>43</v>
      </c>
      <c r="D75" s="755" t="str" cm="1">
        <f t="array" ref="D75">IF(ISERROR(INDEX('Local Data Previous Year'!$D$3:$D$20000,SMALL(IF(CTR1_Billing!$E$21='Local Data Previous Year'!$A$3:$A$20000,ROW('Local Data Previous Year'!$A$3:$A$20000)-ROW('Local Data Previous Year'!$A$3)+1),ROW(43:43)))),"",INDEX('Local Data Previous Year'!$D$3:$D$20000,SMALL(IF(CTR1_Billing!$E$21='Local Data Previous Year'!$A$3:$A$20000,ROW('Local Data Previous Year'!$A$3:$A$20000)-ROW('Local Data Previous Year'!$A$3)+1),ROW(43:43))))</f>
        <v/>
      </c>
      <c r="E75" s="755" t="str" cm="1">
        <f t="array" ref="E75">IF(ISERROR(INDEX('Local Data Previous Year'!$E$3:$E$20000,SMALL(IF(CTR1_Billing!$E$21='Local Data Previous Year'!$A$3:$A$20000,ROW('Local Data Previous Year'!$A$3:$A$20000)-ROW('Local Data Previous Year'!$A$3)+1),ROW(43:43)))),"",INDEX('Local Data Previous Year'!$E$3:$E$20000,SMALL(IF(CTR1_Billing!$E$21='Local Data Previous Year'!$A$3:$A$20000,ROW('Local Data Previous Year'!$A$3:$A$20000)-ROW('Local Data Previous Year'!$A$3)+1),ROW(43:43))))</f>
        <v/>
      </c>
      <c r="F75" s="756" t="str">
        <f>IF($D75="","",IF(ISNA(MATCH($D75,'Local Data Previous Year'!$D$3:$D$20000,0)),"New",IFERROR(VLOOKUP($B75,'Local Data Previous Year'!$D$3:$I$20000,6,0),"")))</f>
        <v/>
      </c>
      <c r="G75" s="757">
        <f t="shared" si="11"/>
        <v>0</v>
      </c>
      <c r="H75" s="758" t="str">
        <f>IFERROR(INDEX('Local Data Previous Year'!$F:$F, MATCH($D75, 'Local Data Previous Year'!$D:$D, 0)), "")</f>
        <v/>
      </c>
      <c r="I75" s="759">
        <f>IF(B75=CTR1_Billing!$E$21&amp;"NEW",1,0)</f>
        <v>0</v>
      </c>
      <c r="J75" s="760" t="str">
        <f>IFERROR(INDEX('Local Data Previous Year'!$G:$G, MATCH($D75, 'Local Data Previous Year'!$D:$D, 0)), "")</f>
        <v/>
      </c>
      <c r="K75" s="762"/>
      <c r="L75" s="760" t="str">
        <f>IFERROR(INDEX('Local Data Previous Year'!$H:$H, MATCH($D75, 'Local Data Previous Year'!$D:$D, 0)), "")</f>
        <v/>
      </c>
      <c r="M75" s="762"/>
      <c r="N75" s="763"/>
      <c r="O75" s="767"/>
      <c r="P75" s="765"/>
      <c r="Q75" s="767"/>
      <c r="R75" s="766" t="str">
        <f t="shared" si="12"/>
        <v/>
      </c>
      <c r="S75" s="754"/>
      <c r="T75" s="763"/>
      <c r="U75" s="754"/>
      <c r="V75" s="763"/>
      <c r="W75" s="763"/>
      <c r="X75" s="865" t="str">
        <f>VLOOKUP(CTR1_Billing!$E$21,Data!$C$6:$D$302,1,FALSE)</f>
        <v>EZZZZ</v>
      </c>
      <c r="Y75" s="205"/>
      <c r="Z75" s="205">
        <f t="shared" si="0"/>
        <v>0</v>
      </c>
      <c r="AA75" s="206" t="str">
        <f t="shared" si="1"/>
        <v/>
      </c>
      <c r="AB75" s="205">
        <f t="shared" si="2"/>
        <v>0</v>
      </c>
      <c r="AC75" s="208"/>
      <c r="AD75" s="208"/>
      <c r="AE75" s="208"/>
      <c r="AF75" s="208"/>
      <c r="AG75" s="209" t="str">
        <f>IFERROR(INDEX('Local Data Previous Year'!$F:$F, MATCH($D75, 'Local Data Previous Year'!$D:$D, 0)), "")</f>
        <v/>
      </c>
      <c r="AH75" s="209" t="str">
        <f>IFERROR(INDEX('Local Data Previous Year'!$G:$G, MATCH($D75, 'Local Data Previous Year'!$D:$D, 0)), "")</f>
        <v/>
      </c>
      <c r="AI75" s="209" t="str">
        <f>IFERROR(INDEX('Local Data Previous Year'!$H:$H, MATCH($D75, 'Local Data Previous Year'!$D:$D, 0)), "")</f>
        <v/>
      </c>
      <c r="AJ75" s="209" t="str">
        <f t="shared" si="3"/>
        <v/>
      </c>
      <c r="AK75" s="209" t="str">
        <f t="shared" si="4"/>
        <v/>
      </c>
      <c r="AL75" s="209" t="str">
        <f t="shared" si="5"/>
        <v/>
      </c>
      <c r="AM75" s="208" t="str">
        <f>IF($AN75="","",IFERROR(VLOOKUP(CONCATENATE(CTR1_Billing!$E$20,$AN75),'Local Data Previous Year'!$C$3:$D$50000,2,0),CTR1_Billing!$E$21&amp;"NEW"))</f>
        <v/>
      </c>
      <c r="AN75" s="209" t="str" cm="1">
        <f t="array" ref="AN75">IF(ISERROR(INDEX('Local Data Previous Year'!$E$3:$E$50000, SMALL(IF(CTR1_Billing!$E$21='Local Data Previous Year'!$A$3:$A$50000, ROW('Local Data Previous Year'!$A$3:$A$50000)-ROW('Local Data Previous Year'!$A$3)+1), ROW(43:43)))), "", INDEX('Local Data Previous Year'!$E$3:$E$50000, SMALL(IF(CTR1_Billing!$E$21='Local Data Previous Year'!$A$3:$A$50000, ROW('Local Data Previous Year'!$A$3:$A$50000)-ROW('Local Data Previous Year'!$A$3)+1), ROW(43:43))))</f>
        <v/>
      </c>
      <c r="AO75" s="209" t="str">
        <f t="shared" si="6"/>
        <v/>
      </c>
      <c r="AP75" s="208"/>
      <c r="AQ75" s="209" t="str">
        <f t="shared" si="7"/>
        <v/>
      </c>
      <c r="AR75" s="209" t="str">
        <f t="shared" si="8"/>
        <v/>
      </c>
      <c r="AS75" s="202" t="str">
        <f t="shared" si="9"/>
        <v/>
      </c>
      <c r="AT75" s="202" t="str">
        <f t="shared" si="10"/>
        <v/>
      </c>
      <c r="AU75" s="208"/>
      <c r="AV75" s="208"/>
      <c r="AW75" s="208"/>
      <c r="AX75" s="208"/>
      <c r="AY75" s="208"/>
      <c r="AZ75" s="208"/>
      <c r="BA75" s="208"/>
      <c r="BB75" s="208"/>
      <c r="BC75" s="208"/>
      <c r="BD75" s="208"/>
      <c r="BE75" s="208"/>
      <c r="BF75" s="208"/>
      <c r="BG75" s="28"/>
      <c r="BH75" s="28"/>
      <c r="BI75" s="28"/>
      <c r="BJ75" s="28"/>
    </row>
    <row r="76" spans="1:62" s="23" customFormat="1" ht="21" customHeight="1" thickBot="1" x14ac:dyDescent="0.25">
      <c r="A76" s="846" t="str">
        <f>IF($AN76="","",IFERROR(VLOOKUP(CONCATENATE(CTR1_Billing!$E$20,$AN76),'Local Data Previous Year'!$C$3:$D$20000,2,0),CTR1_Billing!$E$21&amp;"NEW"))</f>
        <v/>
      </c>
      <c r="B76" s="846" t="str">
        <f>IF($E76="","",IFERROR(VLOOKUP(CONCATENATE(CTR1_Billing!$E$20,CTR1_Local!$E76),'Local Data Previous Year'!$C$3:$D$20000,2,0),CTR1_Billing!$E$21&amp;"NEW"))</f>
        <v/>
      </c>
      <c r="C76" s="846">
        <v>44</v>
      </c>
      <c r="D76" s="755" t="str" cm="1">
        <f t="array" ref="D76">IF(ISERROR(INDEX('Local Data Previous Year'!$D$3:$D$20000,SMALL(IF(CTR1_Billing!$E$21='Local Data Previous Year'!$A$3:$A$20000,ROW('Local Data Previous Year'!$A$3:$A$20000)-ROW('Local Data Previous Year'!$A$3)+1),ROW(44:44)))),"",INDEX('Local Data Previous Year'!$D$3:$D$20000,SMALL(IF(CTR1_Billing!$E$21='Local Data Previous Year'!$A$3:$A$20000,ROW('Local Data Previous Year'!$A$3:$A$20000)-ROW('Local Data Previous Year'!$A$3)+1),ROW(44:44))))</f>
        <v/>
      </c>
      <c r="E76" s="755" t="str" cm="1">
        <f t="array" ref="E76">IF(ISERROR(INDEX('Local Data Previous Year'!$E$3:$E$20000,SMALL(IF(CTR1_Billing!$E$21='Local Data Previous Year'!$A$3:$A$20000,ROW('Local Data Previous Year'!$A$3:$A$20000)-ROW('Local Data Previous Year'!$A$3)+1),ROW(44:44)))),"",INDEX('Local Data Previous Year'!$E$3:$E$20000,SMALL(IF(CTR1_Billing!$E$21='Local Data Previous Year'!$A$3:$A$20000,ROW('Local Data Previous Year'!$A$3:$A$20000)-ROW('Local Data Previous Year'!$A$3)+1),ROW(44:44))))</f>
        <v/>
      </c>
      <c r="F76" s="756" t="str">
        <f>IF($D76="","",IF(ISNA(MATCH($D76,'Local Data Previous Year'!$D$3:$D$20000,0)),"New",IFERROR(VLOOKUP($B76,'Local Data Previous Year'!$D$3:$I$20000,6,0),"")))</f>
        <v/>
      </c>
      <c r="G76" s="757">
        <f t="shared" si="11"/>
        <v>0</v>
      </c>
      <c r="H76" s="758" t="str">
        <f>IFERROR(INDEX('Local Data Previous Year'!$F:$F, MATCH($D76, 'Local Data Previous Year'!$D:$D, 0)), "")</f>
        <v/>
      </c>
      <c r="I76" s="759">
        <f>IF(B76=CTR1_Billing!$E$21&amp;"NEW",1,0)</f>
        <v>0</v>
      </c>
      <c r="J76" s="760" t="str">
        <f>IFERROR(INDEX('Local Data Previous Year'!$G:$G, MATCH($D76, 'Local Data Previous Year'!$D:$D, 0)), "")</f>
        <v/>
      </c>
      <c r="K76" s="762"/>
      <c r="L76" s="760" t="str">
        <f>IFERROR(INDEX('Local Data Previous Year'!$H:$H, MATCH($D76, 'Local Data Previous Year'!$D:$D, 0)), "")</f>
        <v/>
      </c>
      <c r="M76" s="762"/>
      <c r="N76" s="763"/>
      <c r="O76" s="767"/>
      <c r="P76" s="765"/>
      <c r="Q76" s="767"/>
      <c r="R76" s="766" t="str">
        <f t="shared" si="12"/>
        <v/>
      </c>
      <c r="S76" s="754"/>
      <c r="T76" s="763"/>
      <c r="U76" s="754"/>
      <c r="V76" s="763"/>
      <c r="W76" s="763"/>
      <c r="X76" s="865" t="str">
        <f>VLOOKUP(CTR1_Billing!$E$21,Data!$C$6:$D$302,1,FALSE)</f>
        <v>EZZZZ</v>
      </c>
      <c r="Y76" s="205"/>
      <c r="Z76" s="205">
        <f t="shared" si="0"/>
        <v>0</v>
      </c>
      <c r="AA76" s="206" t="str">
        <f t="shared" si="1"/>
        <v/>
      </c>
      <c r="AB76" s="205">
        <f t="shared" si="2"/>
        <v>0</v>
      </c>
      <c r="AC76" s="208"/>
      <c r="AD76" s="208"/>
      <c r="AE76" s="208"/>
      <c r="AF76" s="208"/>
      <c r="AG76" s="209" t="str">
        <f>IFERROR(INDEX('Local Data Previous Year'!$F:$F, MATCH($D76, 'Local Data Previous Year'!$D:$D, 0)), "")</f>
        <v/>
      </c>
      <c r="AH76" s="209" t="str">
        <f>IFERROR(INDEX('Local Data Previous Year'!$G:$G, MATCH($D76, 'Local Data Previous Year'!$D:$D, 0)), "")</f>
        <v/>
      </c>
      <c r="AI76" s="209" t="str">
        <f>IFERROR(INDEX('Local Data Previous Year'!$H:$H, MATCH($D76, 'Local Data Previous Year'!$D:$D, 0)), "")</f>
        <v/>
      </c>
      <c r="AJ76" s="209" t="str">
        <f t="shared" si="3"/>
        <v/>
      </c>
      <c r="AK76" s="209" t="str">
        <f t="shared" si="4"/>
        <v/>
      </c>
      <c r="AL76" s="209" t="str">
        <f t="shared" si="5"/>
        <v/>
      </c>
      <c r="AM76" s="208" t="str">
        <f>IF($AN76="","",IFERROR(VLOOKUP(CONCATENATE(CTR1_Billing!$E$20,$AN76),'Local Data Previous Year'!$C$3:$D$50000,2,0),CTR1_Billing!$E$21&amp;"NEW"))</f>
        <v/>
      </c>
      <c r="AN76" s="209" t="str" cm="1">
        <f t="array" ref="AN76">IF(ISERROR(INDEX('Local Data Previous Year'!$E$3:$E$50000, SMALL(IF(CTR1_Billing!$E$21='Local Data Previous Year'!$A$3:$A$50000, ROW('Local Data Previous Year'!$A$3:$A$50000)-ROW('Local Data Previous Year'!$A$3)+1), ROW(44:44)))), "", INDEX('Local Data Previous Year'!$E$3:$E$50000, SMALL(IF(CTR1_Billing!$E$21='Local Data Previous Year'!$A$3:$A$50000, ROW('Local Data Previous Year'!$A$3:$A$50000)-ROW('Local Data Previous Year'!$A$3)+1), ROW(44:44))))</f>
        <v/>
      </c>
      <c r="AO76" s="209" t="str">
        <f t="shared" si="6"/>
        <v/>
      </c>
      <c r="AP76" s="208"/>
      <c r="AQ76" s="209" t="str">
        <f t="shared" si="7"/>
        <v/>
      </c>
      <c r="AR76" s="209" t="str">
        <f t="shared" si="8"/>
        <v/>
      </c>
      <c r="AS76" s="202" t="str">
        <f t="shared" si="9"/>
        <v/>
      </c>
      <c r="AT76" s="202" t="str">
        <f t="shared" si="10"/>
        <v/>
      </c>
      <c r="AU76" s="208"/>
      <c r="AV76" s="208"/>
      <c r="AW76" s="208"/>
      <c r="AX76" s="208"/>
      <c r="AY76" s="208"/>
      <c r="AZ76" s="208"/>
      <c r="BA76" s="208"/>
      <c r="BB76" s="208"/>
      <c r="BC76" s="208"/>
      <c r="BD76" s="208"/>
      <c r="BE76" s="208"/>
      <c r="BF76" s="208"/>
      <c r="BG76" s="28"/>
      <c r="BH76" s="28"/>
      <c r="BI76" s="28"/>
      <c r="BJ76" s="28"/>
    </row>
    <row r="77" spans="1:62" s="23" customFormat="1" ht="21" customHeight="1" thickBot="1" x14ac:dyDescent="0.25">
      <c r="A77" s="846" t="str">
        <f>IF($AN77="","",IFERROR(VLOOKUP(CONCATENATE(CTR1_Billing!$E$20,$AN77),'Local Data Previous Year'!$C$3:$D$20000,2,0),CTR1_Billing!$E$21&amp;"NEW"))</f>
        <v/>
      </c>
      <c r="B77" s="846" t="str">
        <f>IF($E77="","",IFERROR(VLOOKUP(CONCATENATE(CTR1_Billing!$E$20,CTR1_Local!$E77),'Local Data Previous Year'!$C$3:$D$20000,2,0),CTR1_Billing!$E$21&amp;"NEW"))</f>
        <v/>
      </c>
      <c r="C77" s="846">
        <v>45</v>
      </c>
      <c r="D77" s="755" t="str" cm="1">
        <f t="array" ref="D77">IF(ISERROR(INDEX('Local Data Previous Year'!$D$3:$D$20000,SMALL(IF(CTR1_Billing!$E$21='Local Data Previous Year'!$A$3:$A$20000,ROW('Local Data Previous Year'!$A$3:$A$20000)-ROW('Local Data Previous Year'!$A$3)+1),ROW(45:45)))),"",INDEX('Local Data Previous Year'!$D$3:$D$20000,SMALL(IF(CTR1_Billing!$E$21='Local Data Previous Year'!$A$3:$A$20000,ROW('Local Data Previous Year'!$A$3:$A$20000)-ROW('Local Data Previous Year'!$A$3)+1),ROW(45:45))))</f>
        <v/>
      </c>
      <c r="E77" s="755" t="str" cm="1">
        <f t="array" ref="E77">IF(ISERROR(INDEX('Local Data Previous Year'!$E$3:$E$20000,SMALL(IF(CTR1_Billing!$E$21='Local Data Previous Year'!$A$3:$A$20000,ROW('Local Data Previous Year'!$A$3:$A$20000)-ROW('Local Data Previous Year'!$A$3)+1),ROW(45:45)))),"",INDEX('Local Data Previous Year'!$E$3:$E$20000,SMALL(IF(CTR1_Billing!$E$21='Local Data Previous Year'!$A$3:$A$20000,ROW('Local Data Previous Year'!$A$3:$A$20000)-ROW('Local Data Previous Year'!$A$3)+1),ROW(45:45))))</f>
        <v/>
      </c>
      <c r="F77" s="756" t="str">
        <f>IF($D77="","",IF(ISNA(MATCH($D77,'Local Data Previous Year'!$D$3:$D$20000,0)),"New",IFERROR(VLOOKUP($B77,'Local Data Previous Year'!$D$3:$I$20000,6,0),"")))</f>
        <v/>
      </c>
      <c r="G77" s="757">
        <f t="shared" si="11"/>
        <v>0</v>
      </c>
      <c r="H77" s="758" t="str">
        <f>IFERROR(INDEX('Local Data Previous Year'!$F:$F, MATCH($D77, 'Local Data Previous Year'!$D:$D, 0)), "")</f>
        <v/>
      </c>
      <c r="I77" s="759">
        <f>IF(B77=CTR1_Billing!$E$21&amp;"NEW",1,0)</f>
        <v>0</v>
      </c>
      <c r="J77" s="760" t="str">
        <f>IFERROR(INDEX('Local Data Previous Year'!$G:$G, MATCH($D77, 'Local Data Previous Year'!$D:$D, 0)), "")</f>
        <v/>
      </c>
      <c r="K77" s="762"/>
      <c r="L77" s="760" t="str">
        <f>IFERROR(INDEX('Local Data Previous Year'!$H:$H, MATCH($D77, 'Local Data Previous Year'!$D:$D, 0)), "")</f>
        <v/>
      </c>
      <c r="M77" s="762"/>
      <c r="N77" s="763"/>
      <c r="O77" s="767"/>
      <c r="P77" s="765"/>
      <c r="Q77" s="767"/>
      <c r="R77" s="766" t="str">
        <f t="shared" si="12"/>
        <v/>
      </c>
      <c r="S77" s="754"/>
      <c r="T77" s="763"/>
      <c r="U77" s="754"/>
      <c r="V77" s="763"/>
      <c r="W77" s="763"/>
      <c r="X77" s="865" t="str">
        <f>VLOOKUP(CTR1_Billing!$E$21,Data!$C$6:$D$302,1,FALSE)</f>
        <v>EZZZZ</v>
      </c>
      <c r="Y77" s="205"/>
      <c r="Z77" s="205">
        <f t="shared" si="0"/>
        <v>0</v>
      </c>
      <c r="AA77" s="206" t="str">
        <f t="shared" si="1"/>
        <v/>
      </c>
      <c r="AB77" s="205">
        <f t="shared" si="2"/>
        <v>0</v>
      </c>
      <c r="AC77" s="208"/>
      <c r="AD77" s="208"/>
      <c r="AE77" s="208"/>
      <c r="AF77" s="208"/>
      <c r="AG77" s="209" t="str">
        <f>IFERROR(INDEX('Local Data Previous Year'!$F:$F, MATCH($D77, 'Local Data Previous Year'!$D:$D, 0)), "")</f>
        <v/>
      </c>
      <c r="AH77" s="209" t="str">
        <f>IFERROR(INDEX('Local Data Previous Year'!$G:$G, MATCH($D77, 'Local Data Previous Year'!$D:$D, 0)), "")</f>
        <v/>
      </c>
      <c r="AI77" s="209" t="str">
        <f>IFERROR(INDEX('Local Data Previous Year'!$H:$H, MATCH($D77, 'Local Data Previous Year'!$D:$D, 0)), "")</f>
        <v/>
      </c>
      <c r="AJ77" s="209" t="str">
        <f t="shared" si="3"/>
        <v/>
      </c>
      <c r="AK77" s="209" t="str">
        <f t="shared" si="4"/>
        <v/>
      </c>
      <c r="AL77" s="209" t="str">
        <f t="shared" si="5"/>
        <v/>
      </c>
      <c r="AM77" s="208" t="str">
        <f>IF($AN77="","",IFERROR(VLOOKUP(CONCATENATE(CTR1_Billing!$E$20,$AN77),'Local Data Previous Year'!$C$3:$D$50000,2,0),CTR1_Billing!$E$21&amp;"NEW"))</f>
        <v/>
      </c>
      <c r="AN77" s="209" t="str" cm="1">
        <f t="array" ref="AN77">IF(ISERROR(INDEX('Local Data Previous Year'!$E$3:$E$50000, SMALL(IF(CTR1_Billing!$E$21='Local Data Previous Year'!$A$3:$A$50000, ROW('Local Data Previous Year'!$A$3:$A$50000)-ROW('Local Data Previous Year'!$A$3)+1), ROW(45:45)))), "", INDEX('Local Data Previous Year'!$E$3:$E$50000, SMALL(IF(CTR1_Billing!$E$21='Local Data Previous Year'!$A$3:$A$50000, ROW('Local Data Previous Year'!$A$3:$A$50000)-ROW('Local Data Previous Year'!$A$3)+1), ROW(45:45))))</f>
        <v/>
      </c>
      <c r="AO77" s="209" t="str">
        <f t="shared" si="6"/>
        <v/>
      </c>
      <c r="AP77" s="208"/>
      <c r="AQ77" s="209" t="str">
        <f t="shared" si="7"/>
        <v/>
      </c>
      <c r="AR77" s="209" t="str">
        <f t="shared" si="8"/>
        <v/>
      </c>
      <c r="AS77" s="202" t="str">
        <f t="shared" si="9"/>
        <v/>
      </c>
      <c r="AT77" s="202" t="str">
        <f t="shared" si="10"/>
        <v/>
      </c>
      <c r="AU77" s="208"/>
      <c r="AV77" s="208"/>
      <c r="AW77" s="208"/>
      <c r="AX77" s="208"/>
      <c r="AY77" s="208"/>
      <c r="AZ77" s="208"/>
      <c r="BA77" s="208"/>
      <c r="BB77" s="208"/>
      <c r="BC77" s="208"/>
      <c r="BD77" s="208"/>
      <c r="BE77" s="208"/>
      <c r="BF77" s="208"/>
      <c r="BG77" s="28"/>
      <c r="BH77" s="28"/>
      <c r="BI77" s="28"/>
      <c r="BJ77" s="28"/>
    </row>
    <row r="78" spans="1:62" s="23" customFormat="1" ht="21" customHeight="1" thickBot="1" x14ac:dyDescent="0.25">
      <c r="A78" s="846" t="str">
        <f>IF($AN78="","",IFERROR(VLOOKUP(CONCATENATE(CTR1_Billing!$E$20,$AN78),'Local Data Previous Year'!$C$3:$D$20000,2,0),CTR1_Billing!$E$21&amp;"NEW"))</f>
        <v/>
      </c>
      <c r="B78" s="846" t="str">
        <f>IF($E78="","",IFERROR(VLOOKUP(CONCATENATE(CTR1_Billing!$E$20,CTR1_Local!$E78),'Local Data Previous Year'!$C$3:$D$20000,2,0),CTR1_Billing!$E$21&amp;"NEW"))</f>
        <v/>
      </c>
      <c r="C78" s="846">
        <v>46</v>
      </c>
      <c r="D78" s="755" t="str" cm="1">
        <f t="array" ref="D78">IF(ISERROR(INDEX('Local Data Previous Year'!$D$3:$D$20000,SMALL(IF(CTR1_Billing!$E$21='Local Data Previous Year'!$A$3:$A$20000,ROW('Local Data Previous Year'!$A$3:$A$20000)-ROW('Local Data Previous Year'!$A$3)+1),ROW(46:46)))),"",INDEX('Local Data Previous Year'!$D$3:$D$20000,SMALL(IF(CTR1_Billing!$E$21='Local Data Previous Year'!$A$3:$A$20000,ROW('Local Data Previous Year'!$A$3:$A$20000)-ROW('Local Data Previous Year'!$A$3)+1),ROW(46:46))))</f>
        <v/>
      </c>
      <c r="E78" s="755" t="str" cm="1">
        <f t="array" ref="E78">IF(ISERROR(INDEX('Local Data Previous Year'!$E$3:$E$20000,SMALL(IF(CTR1_Billing!$E$21='Local Data Previous Year'!$A$3:$A$20000,ROW('Local Data Previous Year'!$A$3:$A$20000)-ROW('Local Data Previous Year'!$A$3)+1),ROW(46:46)))),"",INDEX('Local Data Previous Year'!$E$3:$E$20000,SMALL(IF(CTR1_Billing!$E$21='Local Data Previous Year'!$A$3:$A$20000,ROW('Local Data Previous Year'!$A$3:$A$20000)-ROW('Local Data Previous Year'!$A$3)+1),ROW(46:46))))</f>
        <v/>
      </c>
      <c r="F78" s="756" t="str">
        <f>IF($D78="","",IF(ISNA(MATCH($D78,'Local Data Previous Year'!$D$3:$D$20000,0)),"New",IFERROR(VLOOKUP($B78,'Local Data Previous Year'!$D$3:$I$20000,6,0),"")))</f>
        <v/>
      </c>
      <c r="G78" s="757">
        <f t="shared" si="11"/>
        <v>0</v>
      </c>
      <c r="H78" s="758" t="str">
        <f>IFERROR(INDEX('Local Data Previous Year'!$F:$F, MATCH($D78, 'Local Data Previous Year'!$D:$D, 0)), "")</f>
        <v/>
      </c>
      <c r="I78" s="759">
        <f>IF(B78=CTR1_Billing!$E$21&amp;"NEW",1,0)</f>
        <v>0</v>
      </c>
      <c r="J78" s="760" t="str">
        <f>IFERROR(INDEX('Local Data Previous Year'!$G:$G, MATCH($D78, 'Local Data Previous Year'!$D:$D, 0)), "")</f>
        <v/>
      </c>
      <c r="K78" s="762"/>
      <c r="L78" s="760" t="str">
        <f>IFERROR(INDEX('Local Data Previous Year'!$H:$H, MATCH($D78, 'Local Data Previous Year'!$D:$D, 0)), "")</f>
        <v/>
      </c>
      <c r="M78" s="762"/>
      <c r="N78" s="763"/>
      <c r="O78" s="767"/>
      <c r="P78" s="765"/>
      <c r="Q78" s="767"/>
      <c r="R78" s="766" t="str">
        <f t="shared" si="12"/>
        <v/>
      </c>
      <c r="S78" s="754"/>
      <c r="T78" s="763"/>
      <c r="U78" s="754"/>
      <c r="V78" s="763"/>
      <c r="W78" s="763"/>
      <c r="X78" s="865" t="str">
        <f>VLOOKUP(CTR1_Billing!$E$21,Data!$C$6:$D$302,1,FALSE)</f>
        <v>EZZZZ</v>
      </c>
      <c r="Y78" s="205"/>
      <c r="Z78" s="205">
        <f t="shared" si="0"/>
        <v>0</v>
      </c>
      <c r="AA78" s="206" t="str">
        <f t="shared" si="1"/>
        <v/>
      </c>
      <c r="AB78" s="205">
        <f t="shared" si="2"/>
        <v>0</v>
      </c>
      <c r="AC78" s="208"/>
      <c r="AD78" s="208"/>
      <c r="AE78" s="208"/>
      <c r="AF78" s="208"/>
      <c r="AG78" s="209" t="str">
        <f>IFERROR(INDEX('Local Data Previous Year'!$F:$F, MATCH($D78, 'Local Data Previous Year'!$D:$D, 0)), "")</f>
        <v/>
      </c>
      <c r="AH78" s="209" t="str">
        <f>IFERROR(INDEX('Local Data Previous Year'!$G:$G, MATCH($D78, 'Local Data Previous Year'!$D:$D, 0)), "")</f>
        <v/>
      </c>
      <c r="AI78" s="209" t="str">
        <f>IFERROR(INDEX('Local Data Previous Year'!$H:$H, MATCH($D78, 'Local Data Previous Year'!$D:$D, 0)), "")</f>
        <v/>
      </c>
      <c r="AJ78" s="209" t="str">
        <f t="shared" si="3"/>
        <v/>
      </c>
      <c r="AK78" s="209" t="str">
        <f t="shared" si="4"/>
        <v/>
      </c>
      <c r="AL78" s="209" t="str">
        <f t="shared" si="5"/>
        <v/>
      </c>
      <c r="AM78" s="208" t="str">
        <f>IF($AN78="","",IFERROR(VLOOKUP(CONCATENATE(CTR1_Billing!$E$20,$AN78),'Local Data Previous Year'!$C$3:$D$50000,2,0),CTR1_Billing!$E$21&amp;"NEW"))</f>
        <v/>
      </c>
      <c r="AN78" s="209" t="str" cm="1">
        <f t="array" ref="AN78">IF(ISERROR(INDEX('Local Data Previous Year'!$E$3:$E$50000, SMALL(IF(CTR1_Billing!$E$21='Local Data Previous Year'!$A$3:$A$50000, ROW('Local Data Previous Year'!$A$3:$A$50000)-ROW('Local Data Previous Year'!$A$3)+1), ROW(46:46)))), "", INDEX('Local Data Previous Year'!$E$3:$E$50000, SMALL(IF(CTR1_Billing!$E$21='Local Data Previous Year'!$A$3:$A$50000, ROW('Local Data Previous Year'!$A$3:$A$50000)-ROW('Local Data Previous Year'!$A$3)+1), ROW(46:46))))</f>
        <v/>
      </c>
      <c r="AO78" s="209" t="str">
        <f t="shared" si="6"/>
        <v/>
      </c>
      <c r="AP78" s="208"/>
      <c r="AQ78" s="209" t="str">
        <f t="shared" si="7"/>
        <v/>
      </c>
      <c r="AR78" s="209" t="str">
        <f t="shared" si="8"/>
        <v/>
      </c>
      <c r="AS78" s="202" t="str">
        <f t="shared" si="9"/>
        <v/>
      </c>
      <c r="AT78" s="202" t="str">
        <f t="shared" si="10"/>
        <v/>
      </c>
      <c r="AU78" s="208"/>
      <c r="AV78" s="208"/>
      <c r="AW78" s="208"/>
      <c r="AX78" s="208"/>
      <c r="AY78" s="208"/>
      <c r="AZ78" s="208"/>
      <c r="BA78" s="208"/>
      <c r="BB78" s="208"/>
      <c r="BC78" s="208"/>
      <c r="BD78" s="208"/>
      <c r="BE78" s="208"/>
      <c r="BF78" s="208"/>
      <c r="BG78" s="28"/>
      <c r="BH78" s="28"/>
      <c r="BI78" s="28"/>
      <c r="BJ78" s="28"/>
    </row>
    <row r="79" spans="1:62" s="23" customFormat="1" ht="21" customHeight="1" thickBot="1" x14ac:dyDescent="0.25">
      <c r="A79" s="846" t="str">
        <f>IF($AN79="","",IFERROR(VLOOKUP(CONCATENATE(CTR1_Billing!$E$20,$AN79),'Local Data Previous Year'!$C$3:$D$20000,2,0),CTR1_Billing!$E$21&amp;"NEW"))</f>
        <v/>
      </c>
      <c r="B79" s="846" t="str">
        <f>IF($E79="","",IFERROR(VLOOKUP(CONCATENATE(CTR1_Billing!$E$20,CTR1_Local!$E79),'Local Data Previous Year'!$C$3:$D$20000,2,0),CTR1_Billing!$E$21&amp;"NEW"))</f>
        <v/>
      </c>
      <c r="C79" s="846">
        <v>47</v>
      </c>
      <c r="D79" s="755" t="str" cm="1">
        <f t="array" ref="D79">IF(ISERROR(INDEX('Local Data Previous Year'!$D$3:$D$20000,SMALL(IF(CTR1_Billing!$E$21='Local Data Previous Year'!$A$3:$A$20000,ROW('Local Data Previous Year'!$A$3:$A$20000)-ROW('Local Data Previous Year'!$A$3)+1),ROW(47:47)))),"",INDEX('Local Data Previous Year'!$D$3:$D$20000,SMALL(IF(CTR1_Billing!$E$21='Local Data Previous Year'!$A$3:$A$20000,ROW('Local Data Previous Year'!$A$3:$A$20000)-ROW('Local Data Previous Year'!$A$3)+1),ROW(47:47))))</f>
        <v/>
      </c>
      <c r="E79" s="755" t="str" cm="1">
        <f t="array" ref="E79">IF(ISERROR(INDEX('Local Data Previous Year'!$E$3:$E$20000,SMALL(IF(CTR1_Billing!$E$21='Local Data Previous Year'!$A$3:$A$20000,ROW('Local Data Previous Year'!$A$3:$A$20000)-ROW('Local Data Previous Year'!$A$3)+1),ROW(47:47)))),"",INDEX('Local Data Previous Year'!$E$3:$E$20000,SMALL(IF(CTR1_Billing!$E$21='Local Data Previous Year'!$A$3:$A$20000,ROW('Local Data Previous Year'!$A$3:$A$20000)-ROW('Local Data Previous Year'!$A$3)+1),ROW(47:47))))</f>
        <v/>
      </c>
      <c r="F79" s="756" t="str">
        <f>IF($D79="","",IF(ISNA(MATCH($D79,'Local Data Previous Year'!$D$3:$D$20000,0)),"New",IFERROR(VLOOKUP($B79,'Local Data Previous Year'!$D$3:$I$20000,6,0),"")))</f>
        <v/>
      </c>
      <c r="G79" s="757">
        <f t="shared" si="11"/>
        <v>0</v>
      </c>
      <c r="H79" s="758" t="str">
        <f>IFERROR(INDEX('Local Data Previous Year'!$F:$F, MATCH($D79, 'Local Data Previous Year'!$D:$D, 0)), "")</f>
        <v/>
      </c>
      <c r="I79" s="759">
        <f>IF(B79=CTR1_Billing!$E$21&amp;"NEW",1,0)</f>
        <v>0</v>
      </c>
      <c r="J79" s="760" t="str">
        <f>IFERROR(INDEX('Local Data Previous Year'!$G:$G, MATCH($D79, 'Local Data Previous Year'!$D:$D, 0)), "")</f>
        <v/>
      </c>
      <c r="K79" s="762"/>
      <c r="L79" s="760" t="str">
        <f>IFERROR(INDEX('Local Data Previous Year'!$H:$H, MATCH($D79, 'Local Data Previous Year'!$D:$D, 0)), "")</f>
        <v/>
      </c>
      <c r="M79" s="762"/>
      <c r="N79" s="763"/>
      <c r="O79" s="767"/>
      <c r="P79" s="765"/>
      <c r="Q79" s="767"/>
      <c r="R79" s="766" t="str">
        <f t="shared" si="12"/>
        <v/>
      </c>
      <c r="S79" s="754"/>
      <c r="T79" s="763"/>
      <c r="U79" s="754"/>
      <c r="V79" s="763"/>
      <c r="W79" s="763"/>
      <c r="X79" s="865" t="str">
        <f>VLOOKUP(CTR1_Billing!$E$21,Data!$C$6:$D$302,1,FALSE)</f>
        <v>EZZZZ</v>
      </c>
      <c r="Y79" s="205"/>
      <c r="Z79" s="205">
        <f t="shared" si="0"/>
        <v>0</v>
      </c>
      <c r="AA79" s="206" t="str">
        <f t="shared" si="1"/>
        <v/>
      </c>
      <c r="AB79" s="205">
        <f t="shared" si="2"/>
        <v>0</v>
      </c>
      <c r="AC79" s="208"/>
      <c r="AD79" s="208"/>
      <c r="AE79" s="208"/>
      <c r="AF79" s="208"/>
      <c r="AG79" s="209" t="str">
        <f>IFERROR(INDEX('Local Data Previous Year'!$F:$F, MATCH($D79, 'Local Data Previous Year'!$D:$D, 0)), "")</f>
        <v/>
      </c>
      <c r="AH79" s="209" t="str">
        <f>IFERROR(INDEX('Local Data Previous Year'!$G:$G, MATCH($D79, 'Local Data Previous Year'!$D:$D, 0)), "")</f>
        <v/>
      </c>
      <c r="AI79" s="209" t="str">
        <f>IFERROR(INDEX('Local Data Previous Year'!$H:$H, MATCH($D79, 'Local Data Previous Year'!$D:$D, 0)), "")</f>
        <v/>
      </c>
      <c r="AJ79" s="209" t="str">
        <f t="shared" si="3"/>
        <v/>
      </c>
      <c r="AK79" s="209" t="str">
        <f t="shared" si="4"/>
        <v/>
      </c>
      <c r="AL79" s="209" t="str">
        <f t="shared" si="5"/>
        <v/>
      </c>
      <c r="AM79" s="208" t="str">
        <f>IF($AN79="","",IFERROR(VLOOKUP(CONCATENATE(CTR1_Billing!$E$20,$AN79),'Local Data Previous Year'!$C$3:$D$50000,2,0),CTR1_Billing!$E$21&amp;"NEW"))</f>
        <v/>
      </c>
      <c r="AN79" s="209" t="str" cm="1">
        <f t="array" ref="AN79">IF(ISERROR(INDEX('Local Data Previous Year'!$E$3:$E$50000, SMALL(IF(CTR1_Billing!$E$21='Local Data Previous Year'!$A$3:$A$50000, ROW('Local Data Previous Year'!$A$3:$A$50000)-ROW('Local Data Previous Year'!$A$3)+1), ROW(47:47)))), "", INDEX('Local Data Previous Year'!$E$3:$E$50000, SMALL(IF(CTR1_Billing!$E$21='Local Data Previous Year'!$A$3:$A$50000, ROW('Local Data Previous Year'!$A$3:$A$50000)-ROW('Local Data Previous Year'!$A$3)+1), ROW(47:47))))</f>
        <v/>
      </c>
      <c r="AO79" s="209" t="str">
        <f t="shared" si="6"/>
        <v/>
      </c>
      <c r="AP79" s="208"/>
      <c r="AQ79" s="209" t="str">
        <f t="shared" si="7"/>
        <v/>
      </c>
      <c r="AR79" s="209" t="str">
        <f t="shared" si="8"/>
        <v/>
      </c>
      <c r="AS79" s="202" t="str">
        <f t="shared" si="9"/>
        <v/>
      </c>
      <c r="AT79" s="202" t="str">
        <f t="shared" si="10"/>
        <v/>
      </c>
      <c r="AU79" s="208"/>
      <c r="AV79" s="208"/>
      <c r="AW79" s="208"/>
      <c r="AX79" s="208"/>
      <c r="AY79" s="208"/>
      <c r="AZ79" s="208"/>
      <c r="BA79" s="208"/>
      <c r="BB79" s="208"/>
      <c r="BC79" s="208"/>
      <c r="BD79" s="208"/>
      <c r="BE79" s="208"/>
      <c r="BF79" s="208"/>
      <c r="BG79" s="28"/>
      <c r="BH79" s="28"/>
      <c r="BI79" s="28"/>
      <c r="BJ79" s="28"/>
    </row>
    <row r="80" spans="1:62" s="23" customFormat="1" ht="21" customHeight="1" thickBot="1" x14ac:dyDescent="0.25">
      <c r="A80" s="846" t="str">
        <f>IF($AN80="","",IFERROR(VLOOKUP(CONCATENATE(CTR1_Billing!$E$20,$AN80),'Local Data Previous Year'!$C$3:$D$20000,2,0),CTR1_Billing!$E$21&amp;"NEW"))</f>
        <v/>
      </c>
      <c r="B80" s="846" t="str">
        <f>IF($E80="","",IFERROR(VLOOKUP(CONCATENATE(CTR1_Billing!$E$20,CTR1_Local!$E80),'Local Data Previous Year'!$C$3:$D$20000,2,0),CTR1_Billing!$E$21&amp;"NEW"))</f>
        <v/>
      </c>
      <c r="C80" s="846">
        <v>48</v>
      </c>
      <c r="D80" s="755" t="str" cm="1">
        <f t="array" ref="D80">IF(ISERROR(INDEX('Local Data Previous Year'!$D$3:$D$20000,SMALL(IF(CTR1_Billing!$E$21='Local Data Previous Year'!$A$3:$A$20000,ROW('Local Data Previous Year'!$A$3:$A$20000)-ROW('Local Data Previous Year'!$A$3)+1),ROW(48:48)))),"",INDEX('Local Data Previous Year'!$D$3:$D$20000,SMALL(IF(CTR1_Billing!$E$21='Local Data Previous Year'!$A$3:$A$20000,ROW('Local Data Previous Year'!$A$3:$A$20000)-ROW('Local Data Previous Year'!$A$3)+1),ROW(48:48))))</f>
        <v/>
      </c>
      <c r="E80" s="755" t="str" cm="1">
        <f t="array" ref="E80">IF(ISERROR(INDEX('Local Data Previous Year'!$E$3:$E$20000,SMALL(IF(CTR1_Billing!$E$21='Local Data Previous Year'!$A$3:$A$20000,ROW('Local Data Previous Year'!$A$3:$A$20000)-ROW('Local Data Previous Year'!$A$3)+1),ROW(48:48)))),"",INDEX('Local Data Previous Year'!$E$3:$E$20000,SMALL(IF(CTR1_Billing!$E$21='Local Data Previous Year'!$A$3:$A$20000,ROW('Local Data Previous Year'!$A$3:$A$20000)-ROW('Local Data Previous Year'!$A$3)+1),ROW(48:48))))</f>
        <v/>
      </c>
      <c r="F80" s="756" t="str">
        <f>IF($D80="","",IF(ISNA(MATCH($D80,'Local Data Previous Year'!$D$3:$D$20000,0)),"New",IFERROR(VLOOKUP($B80,'Local Data Previous Year'!$D$3:$I$20000,6,0),"")))</f>
        <v/>
      </c>
      <c r="G80" s="757">
        <f t="shared" si="11"/>
        <v>0</v>
      </c>
      <c r="H80" s="758" t="str">
        <f>IFERROR(INDEX('Local Data Previous Year'!$F:$F, MATCH($D80, 'Local Data Previous Year'!$D:$D, 0)), "")</f>
        <v/>
      </c>
      <c r="I80" s="759">
        <f>IF(B80=CTR1_Billing!$E$21&amp;"NEW",1,0)</f>
        <v>0</v>
      </c>
      <c r="J80" s="760" t="str">
        <f>IFERROR(INDEX('Local Data Previous Year'!$G:$G, MATCH($D80, 'Local Data Previous Year'!$D:$D, 0)), "")</f>
        <v/>
      </c>
      <c r="K80" s="762"/>
      <c r="L80" s="760" t="str">
        <f>IFERROR(INDEX('Local Data Previous Year'!$H:$H, MATCH($D80, 'Local Data Previous Year'!$D:$D, 0)), "")</f>
        <v/>
      </c>
      <c r="M80" s="762"/>
      <c r="N80" s="763"/>
      <c r="O80" s="767"/>
      <c r="P80" s="765"/>
      <c r="Q80" s="767"/>
      <c r="R80" s="766" t="str">
        <f t="shared" si="12"/>
        <v/>
      </c>
      <c r="S80" s="754"/>
      <c r="T80" s="763"/>
      <c r="U80" s="754"/>
      <c r="V80" s="763"/>
      <c r="W80" s="763"/>
      <c r="X80" s="865" t="str">
        <f>VLOOKUP(CTR1_Billing!$E$21,Data!$C$6:$D$302,1,FALSE)</f>
        <v>EZZZZ</v>
      </c>
      <c r="Y80" s="205"/>
      <c r="Z80" s="205">
        <f t="shared" si="0"/>
        <v>0</v>
      </c>
      <c r="AA80" s="206" t="str">
        <f t="shared" si="1"/>
        <v/>
      </c>
      <c r="AB80" s="205">
        <f t="shared" si="2"/>
        <v>0</v>
      </c>
      <c r="AC80" s="208"/>
      <c r="AD80" s="208"/>
      <c r="AE80" s="208"/>
      <c r="AF80" s="208"/>
      <c r="AG80" s="209" t="str">
        <f>IFERROR(INDEX('Local Data Previous Year'!$F:$F, MATCH($D80, 'Local Data Previous Year'!$D:$D, 0)), "")</f>
        <v/>
      </c>
      <c r="AH80" s="209" t="str">
        <f>IFERROR(INDEX('Local Data Previous Year'!$G:$G, MATCH($D80, 'Local Data Previous Year'!$D:$D, 0)), "")</f>
        <v/>
      </c>
      <c r="AI80" s="209" t="str">
        <f>IFERROR(INDEX('Local Data Previous Year'!$H:$H, MATCH($D80, 'Local Data Previous Year'!$D:$D, 0)), "")</f>
        <v/>
      </c>
      <c r="AJ80" s="209" t="str">
        <f t="shared" si="3"/>
        <v/>
      </c>
      <c r="AK80" s="209" t="str">
        <f t="shared" si="4"/>
        <v/>
      </c>
      <c r="AL80" s="209" t="str">
        <f t="shared" si="5"/>
        <v/>
      </c>
      <c r="AM80" s="208" t="str">
        <f>IF($AN80="","",IFERROR(VLOOKUP(CONCATENATE(CTR1_Billing!$E$20,$AN80),'Local Data Previous Year'!$C$3:$D$50000,2,0),CTR1_Billing!$E$21&amp;"NEW"))</f>
        <v/>
      </c>
      <c r="AN80" s="209" t="str" cm="1">
        <f t="array" ref="AN80">IF(ISERROR(INDEX('Local Data Previous Year'!$E$3:$E$50000, SMALL(IF(CTR1_Billing!$E$21='Local Data Previous Year'!$A$3:$A$50000, ROW('Local Data Previous Year'!$A$3:$A$50000)-ROW('Local Data Previous Year'!$A$3)+1), ROW(48:48)))), "", INDEX('Local Data Previous Year'!$E$3:$E$50000, SMALL(IF(CTR1_Billing!$E$21='Local Data Previous Year'!$A$3:$A$50000, ROW('Local Data Previous Year'!$A$3:$A$50000)-ROW('Local Data Previous Year'!$A$3)+1), ROW(48:48))))</f>
        <v/>
      </c>
      <c r="AO80" s="209" t="str">
        <f t="shared" si="6"/>
        <v/>
      </c>
      <c r="AP80" s="208"/>
      <c r="AQ80" s="209" t="str">
        <f t="shared" si="7"/>
        <v/>
      </c>
      <c r="AR80" s="209" t="str">
        <f t="shared" si="8"/>
        <v/>
      </c>
      <c r="AS80" s="202" t="str">
        <f t="shared" si="9"/>
        <v/>
      </c>
      <c r="AT80" s="202" t="str">
        <f t="shared" si="10"/>
        <v/>
      </c>
      <c r="AU80" s="208"/>
      <c r="AV80" s="208"/>
      <c r="AW80" s="208"/>
      <c r="AX80" s="208"/>
      <c r="AY80" s="208"/>
      <c r="AZ80" s="208"/>
      <c r="BA80" s="208"/>
      <c r="BB80" s="208"/>
      <c r="BC80" s="208"/>
      <c r="BD80" s="208"/>
      <c r="BE80" s="208"/>
      <c r="BF80" s="208"/>
      <c r="BG80" s="28"/>
      <c r="BH80" s="28"/>
      <c r="BI80" s="28"/>
      <c r="BJ80" s="28"/>
    </row>
    <row r="81" spans="1:62" s="23" customFormat="1" ht="21" customHeight="1" thickBot="1" x14ac:dyDescent="0.25">
      <c r="A81" s="846" t="str">
        <f>IF($AN81="","",IFERROR(VLOOKUP(CONCATENATE(CTR1_Billing!$E$20,$AN81),'Local Data Previous Year'!$C$3:$D$20000,2,0),CTR1_Billing!$E$21&amp;"NEW"))</f>
        <v/>
      </c>
      <c r="B81" s="846" t="str">
        <f>IF($E81="","",IFERROR(VLOOKUP(CONCATENATE(CTR1_Billing!$E$20,CTR1_Local!$E81),'Local Data Previous Year'!$C$3:$D$20000,2,0),CTR1_Billing!$E$21&amp;"NEW"))</f>
        <v/>
      </c>
      <c r="C81" s="846">
        <v>49</v>
      </c>
      <c r="D81" s="755" t="str" cm="1">
        <f t="array" ref="D81">IF(ISERROR(INDEX('Local Data Previous Year'!$D$3:$D$20000,SMALL(IF(CTR1_Billing!$E$21='Local Data Previous Year'!$A$3:$A$20000,ROW('Local Data Previous Year'!$A$3:$A$20000)-ROW('Local Data Previous Year'!$A$3)+1),ROW(49:49)))),"",INDEX('Local Data Previous Year'!$D$3:$D$20000,SMALL(IF(CTR1_Billing!$E$21='Local Data Previous Year'!$A$3:$A$20000,ROW('Local Data Previous Year'!$A$3:$A$20000)-ROW('Local Data Previous Year'!$A$3)+1),ROW(49:49))))</f>
        <v/>
      </c>
      <c r="E81" s="755" t="str" cm="1">
        <f t="array" ref="E81">IF(ISERROR(INDEX('Local Data Previous Year'!$E$3:$E$20000,SMALL(IF(CTR1_Billing!$E$21='Local Data Previous Year'!$A$3:$A$20000,ROW('Local Data Previous Year'!$A$3:$A$20000)-ROW('Local Data Previous Year'!$A$3)+1),ROW(49:49)))),"",INDEX('Local Data Previous Year'!$E$3:$E$20000,SMALL(IF(CTR1_Billing!$E$21='Local Data Previous Year'!$A$3:$A$20000,ROW('Local Data Previous Year'!$A$3:$A$20000)-ROW('Local Data Previous Year'!$A$3)+1),ROW(49:49))))</f>
        <v/>
      </c>
      <c r="F81" s="756" t="str">
        <f>IF($D81="","",IF(ISNA(MATCH($D81,'Local Data Previous Year'!$D$3:$D$20000,0)),"New",IFERROR(VLOOKUP($B81,'Local Data Previous Year'!$D$3:$I$20000,6,0),"")))</f>
        <v/>
      </c>
      <c r="G81" s="757">
        <f t="shared" si="11"/>
        <v>0</v>
      </c>
      <c r="H81" s="758" t="str">
        <f>IFERROR(INDEX('Local Data Previous Year'!$F:$F, MATCH($D81, 'Local Data Previous Year'!$D:$D, 0)), "")</f>
        <v/>
      </c>
      <c r="I81" s="759">
        <f>IF(B81=CTR1_Billing!$E$21&amp;"NEW",1,0)</f>
        <v>0</v>
      </c>
      <c r="J81" s="760" t="str">
        <f>IFERROR(INDEX('Local Data Previous Year'!$G:$G, MATCH($D81, 'Local Data Previous Year'!$D:$D, 0)), "")</f>
        <v/>
      </c>
      <c r="K81" s="762"/>
      <c r="L81" s="760" t="str">
        <f>IFERROR(INDEX('Local Data Previous Year'!$H:$H, MATCH($D81, 'Local Data Previous Year'!$D:$D, 0)), "")</f>
        <v/>
      </c>
      <c r="M81" s="762"/>
      <c r="N81" s="763"/>
      <c r="O81" s="767"/>
      <c r="P81" s="765"/>
      <c r="Q81" s="767"/>
      <c r="R81" s="766" t="str">
        <f t="shared" si="12"/>
        <v/>
      </c>
      <c r="S81" s="754"/>
      <c r="T81" s="763"/>
      <c r="U81" s="754"/>
      <c r="V81" s="763"/>
      <c r="W81" s="763"/>
      <c r="X81" s="865" t="str">
        <f>VLOOKUP(CTR1_Billing!$E$21,Data!$C$6:$D$302,1,FALSE)</f>
        <v>EZZZZ</v>
      </c>
      <c r="Y81" s="205"/>
      <c r="Z81" s="205">
        <f t="shared" si="0"/>
        <v>0</v>
      </c>
      <c r="AA81" s="206" t="str">
        <f t="shared" si="1"/>
        <v/>
      </c>
      <c r="AB81" s="205">
        <f t="shared" si="2"/>
        <v>0</v>
      </c>
      <c r="AC81" s="208"/>
      <c r="AD81" s="208"/>
      <c r="AE81" s="208"/>
      <c r="AF81" s="208"/>
      <c r="AG81" s="209" t="str">
        <f>IFERROR(INDEX('Local Data Previous Year'!$F:$F, MATCH($D81, 'Local Data Previous Year'!$D:$D, 0)), "")</f>
        <v/>
      </c>
      <c r="AH81" s="209" t="str">
        <f>IFERROR(INDEX('Local Data Previous Year'!$G:$G, MATCH($D81, 'Local Data Previous Year'!$D:$D, 0)), "")</f>
        <v/>
      </c>
      <c r="AI81" s="209" t="str">
        <f>IFERROR(INDEX('Local Data Previous Year'!$H:$H, MATCH($D81, 'Local Data Previous Year'!$D:$D, 0)), "")</f>
        <v/>
      </c>
      <c r="AJ81" s="209" t="str">
        <f t="shared" si="3"/>
        <v/>
      </c>
      <c r="AK81" s="209" t="str">
        <f t="shared" si="4"/>
        <v/>
      </c>
      <c r="AL81" s="209" t="str">
        <f t="shared" si="5"/>
        <v/>
      </c>
      <c r="AM81" s="208" t="str">
        <f>IF($AN81="","",IFERROR(VLOOKUP(CONCATENATE(CTR1_Billing!$E$20,$AN81),'Local Data Previous Year'!$C$3:$D$50000,2,0),CTR1_Billing!$E$21&amp;"NEW"))</f>
        <v/>
      </c>
      <c r="AN81" s="209" t="str" cm="1">
        <f t="array" ref="AN81">IF(ISERROR(INDEX('Local Data Previous Year'!$E$3:$E$50000, SMALL(IF(CTR1_Billing!$E$21='Local Data Previous Year'!$A$3:$A$50000, ROW('Local Data Previous Year'!$A$3:$A$50000)-ROW('Local Data Previous Year'!$A$3)+1), ROW(49:49)))), "", INDEX('Local Data Previous Year'!$E$3:$E$50000, SMALL(IF(CTR1_Billing!$E$21='Local Data Previous Year'!$A$3:$A$50000, ROW('Local Data Previous Year'!$A$3:$A$50000)-ROW('Local Data Previous Year'!$A$3)+1), ROW(49:49))))</f>
        <v/>
      </c>
      <c r="AO81" s="209" t="str">
        <f t="shared" si="6"/>
        <v/>
      </c>
      <c r="AP81" s="208"/>
      <c r="AQ81" s="209" t="str">
        <f t="shared" si="7"/>
        <v/>
      </c>
      <c r="AR81" s="209" t="str">
        <f t="shared" si="8"/>
        <v/>
      </c>
      <c r="AS81" s="202" t="str">
        <f t="shared" si="9"/>
        <v/>
      </c>
      <c r="AT81" s="202" t="str">
        <f t="shared" si="10"/>
        <v/>
      </c>
      <c r="AU81" s="208"/>
      <c r="AV81" s="208"/>
      <c r="AW81" s="208"/>
      <c r="AX81" s="208"/>
      <c r="AY81" s="208"/>
      <c r="AZ81" s="208"/>
      <c r="BA81" s="208"/>
      <c r="BB81" s="208"/>
      <c r="BC81" s="208"/>
      <c r="BD81" s="208"/>
      <c r="BE81" s="208"/>
      <c r="BF81" s="208"/>
      <c r="BG81" s="28"/>
      <c r="BH81" s="28"/>
      <c r="BI81" s="28"/>
      <c r="BJ81" s="28"/>
    </row>
    <row r="82" spans="1:62" s="23" customFormat="1" ht="21" customHeight="1" thickBot="1" x14ac:dyDescent="0.25">
      <c r="A82" s="846" t="str">
        <f>IF($AN82="","",IFERROR(VLOOKUP(CONCATENATE(CTR1_Billing!$E$20,$AN82),'Local Data Previous Year'!$C$3:$D$20000,2,0),CTR1_Billing!$E$21&amp;"NEW"))</f>
        <v/>
      </c>
      <c r="B82" s="846" t="str">
        <f>IF($E82="","",IFERROR(VLOOKUP(CONCATENATE(CTR1_Billing!$E$20,CTR1_Local!$E82),'Local Data Previous Year'!$C$3:$D$20000,2,0),CTR1_Billing!$E$21&amp;"NEW"))</f>
        <v/>
      </c>
      <c r="C82" s="846">
        <v>50</v>
      </c>
      <c r="D82" s="755" t="str" cm="1">
        <f t="array" ref="D82">IF(ISERROR(INDEX('Local Data Previous Year'!$D$3:$D$20000,SMALL(IF(CTR1_Billing!$E$21='Local Data Previous Year'!$A$3:$A$20000,ROW('Local Data Previous Year'!$A$3:$A$20000)-ROW('Local Data Previous Year'!$A$3)+1),ROW(50:50)))),"",INDEX('Local Data Previous Year'!$D$3:$D$20000,SMALL(IF(CTR1_Billing!$E$21='Local Data Previous Year'!$A$3:$A$20000,ROW('Local Data Previous Year'!$A$3:$A$20000)-ROW('Local Data Previous Year'!$A$3)+1),ROW(50:50))))</f>
        <v/>
      </c>
      <c r="E82" s="755" t="str" cm="1">
        <f t="array" ref="E82">IF(ISERROR(INDEX('Local Data Previous Year'!$E$3:$E$20000,SMALL(IF(CTR1_Billing!$E$21='Local Data Previous Year'!$A$3:$A$20000,ROW('Local Data Previous Year'!$A$3:$A$20000)-ROW('Local Data Previous Year'!$A$3)+1),ROW(50:50)))),"",INDEX('Local Data Previous Year'!$E$3:$E$20000,SMALL(IF(CTR1_Billing!$E$21='Local Data Previous Year'!$A$3:$A$20000,ROW('Local Data Previous Year'!$A$3:$A$20000)-ROW('Local Data Previous Year'!$A$3)+1),ROW(50:50))))</f>
        <v/>
      </c>
      <c r="F82" s="756" t="str">
        <f>IF($D82="","",IF(ISNA(MATCH($D82,'Local Data Previous Year'!$D$3:$D$20000,0)),"New",IFERROR(VLOOKUP($B82,'Local Data Previous Year'!$D$3:$I$20000,6,0),"")))</f>
        <v/>
      </c>
      <c r="G82" s="757">
        <f t="shared" si="11"/>
        <v>0</v>
      </c>
      <c r="H82" s="758" t="str">
        <f>IFERROR(INDEX('Local Data Previous Year'!$F:$F, MATCH($D82, 'Local Data Previous Year'!$D:$D, 0)), "")</f>
        <v/>
      </c>
      <c r="I82" s="759">
        <f>IF(B82=CTR1_Billing!$E$21&amp;"NEW",1,0)</f>
        <v>0</v>
      </c>
      <c r="J82" s="760" t="str">
        <f>IFERROR(INDEX('Local Data Previous Year'!$G:$G, MATCH($D82, 'Local Data Previous Year'!$D:$D, 0)), "")</f>
        <v/>
      </c>
      <c r="K82" s="762"/>
      <c r="L82" s="760" t="str">
        <f>IFERROR(INDEX('Local Data Previous Year'!$H:$H, MATCH($D82, 'Local Data Previous Year'!$D:$D, 0)), "")</f>
        <v/>
      </c>
      <c r="M82" s="762"/>
      <c r="N82" s="763"/>
      <c r="O82" s="767"/>
      <c r="P82" s="765"/>
      <c r="Q82" s="767"/>
      <c r="R82" s="766" t="str">
        <f t="shared" si="12"/>
        <v/>
      </c>
      <c r="S82" s="754"/>
      <c r="T82" s="763"/>
      <c r="U82" s="754"/>
      <c r="V82" s="763"/>
      <c r="W82" s="763"/>
      <c r="X82" s="865" t="str">
        <f>VLOOKUP(CTR1_Billing!$E$21,Data!$C$6:$D$302,1,FALSE)</f>
        <v>EZZZZ</v>
      </c>
      <c r="Y82" s="205"/>
      <c r="Z82" s="205">
        <f t="shared" si="0"/>
        <v>0</v>
      </c>
      <c r="AA82" s="206" t="str">
        <f t="shared" si="1"/>
        <v/>
      </c>
      <c r="AB82" s="205">
        <f t="shared" si="2"/>
        <v>0</v>
      </c>
      <c r="AC82" s="208"/>
      <c r="AD82" s="208"/>
      <c r="AE82" s="208"/>
      <c r="AF82" s="208"/>
      <c r="AG82" s="209" t="str">
        <f>IFERROR(INDEX('Local Data Previous Year'!$F:$F, MATCH($D82, 'Local Data Previous Year'!$D:$D, 0)), "")</f>
        <v/>
      </c>
      <c r="AH82" s="209" t="str">
        <f>IFERROR(INDEX('Local Data Previous Year'!$G:$G, MATCH($D82, 'Local Data Previous Year'!$D:$D, 0)), "")</f>
        <v/>
      </c>
      <c r="AI82" s="209" t="str">
        <f>IFERROR(INDEX('Local Data Previous Year'!$H:$H, MATCH($D82, 'Local Data Previous Year'!$D:$D, 0)), "")</f>
        <v/>
      </c>
      <c r="AJ82" s="209" t="str">
        <f t="shared" si="3"/>
        <v/>
      </c>
      <c r="AK82" s="209" t="str">
        <f t="shared" si="4"/>
        <v/>
      </c>
      <c r="AL82" s="209" t="str">
        <f t="shared" si="5"/>
        <v/>
      </c>
      <c r="AM82" s="208" t="str">
        <f>IF($AN82="","",IFERROR(VLOOKUP(CONCATENATE(CTR1_Billing!$E$20,$AN82),'Local Data Previous Year'!$C$3:$D$50000,2,0),CTR1_Billing!$E$21&amp;"NEW"))</f>
        <v/>
      </c>
      <c r="AN82" s="209" t="str" cm="1">
        <f t="array" ref="AN82">IF(ISERROR(INDEX('Local Data Previous Year'!$E$3:$E$50000, SMALL(IF(CTR1_Billing!$E$21='Local Data Previous Year'!$A$3:$A$50000, ROW('Local Data Previous Year'!$A$3:$A$50000)-ROW('Local Data Previous Year'!$A$3)+1), ROW(50:50)))), "", INDEX('Local Data Previous Year'!$E$3:$E$50000, SMALL(IF(CTR1_Billing!$E$21='Local Data Previous Year'!$A$3:$A$50000, ROW('Local Data Previous Year'!$A$3:$A$50000)-ROW('Local Data Previous Year'!$A$3)+1), ROW(50:50))))</f>
        <v/>
      </c>
      <c r="AO82" s="209" t="str">
        <f t="shared" si="6"/>
        <v/>
      </c>
      <c r="AP82" s="208"/>
      <c r="AQ82" s="209" t="str">
        <f t="shared" si="7"/>
        <v/>
      </c>
      <c r="AR82" s="209" t="str">
        <f t="shared" si="8"/>
        <v/>
      </c>
      <c r="AS82" s="202" t="str">
        <f t="shared" si="9"/>
        <v/>
      </c>
      <c r="AT82" s="202" t="str">
        <f t="shared" si="10"/>
        <v/>
      </c>
      <c r="AU82" s="208"/>
      <c r="AV82" s="208"/>
      <c r="AW82" s="208"/>
      <c r="AX82" s="208"/>
      <c r="AY82" s="208"/>
      <c r="AZ82" s="208"/>
      <c r="BA82" s="208"/>
      <c r="BB82" s="208"/>
      <c r="BC82" s="208"/>
      <c r="BD82" s="208"/>
      <c r="BE82" s="208"/>
      <c r="BF82" s="208"/>
      <c r="BG82" s="28"/>
      <c r="BH82" s="28"/>
      <c r="BI82" s="28"/>
      <c r="BJ82" s="28"/>
    </row>
    <row r="83" spans="1:62" s="23" customFormat="1" ht="21" customHeight="1" thickBot="1" x14ac:dyDescent="0.25">
      <c r="A83" s="846" t="str">
        <f>IF($AN83="","",IFERROR(VLOOKUP(CONCATENATE(CTR1_Billing!$E$20,$AN83),'Local Data Previous Year'!$C$3:$D$20000,2,0),CTR1_Billing!$E$21&amp;"NEW"))</f>
        <v/>
      </c>
      <c r="B83" s="846" t="str">
        <f>IF($E83="","",IFERROR(VLOOKUP(CONCATENATE(CTR1_Billing!$E$20,CTR1_Local!$E83),'Local Data Previous Year'!$C$3:$D$20000,2,0),CTR1_Billing!$E$21&amp;"NEW"))</f>
        <v/>
      </c>
      <c r="C83" s="846">
        <v>51</v>
      </c>
      <c r="D83" s="755" t="str" cm="1">
        <f t="array" ref="D83">IF(ISERROR(INDEX('Local Data Previous Year'!$D$3:$D$20000,SMALL(IF(CTR1_Billing!$E$21='Local Data Previous Year'!$A$3:$A$20000,ROW('Local Data Previous Year'!$A$3:$A$20000)-ROW('Local Data Previous Year'!$A$3)+1),ROW(51:51)))),"",INDEX('Local Data Previous Year'!$D$3:$D$20000,SMALL(IF(CTR1_Billing!$E$21='Local Data Previous Year'!$A$3:$A$20000,ROW('Local Data Previous Year'!$A$3:$A$20000)-ROW('Local Data Previous Year'!$A$3)+1),ROW(51:51))))</f>
        <v/>
      </c>
      <c r="E83" s="755" t="str" cm="1">
        <f t="array" ref="E83">IF(ISERROR(INDEX('Local Data Previous Year'!$E$3:$E$20000,SMALL(IF(CTR1_Billing!$E$21='Local Data Previous Year'!$A$3:$A$20000,ROW('Local Data Previous Year'!$A$3:$A$20000)-ROW('Local Data Previous Year'!$A$3)+1),ROW(51:51)))),"",INDEX('Local Data Previous Year'!$E$3:$E$20000,SMALL(IF(CTR1_Billing!$E$21='Local Data Previous Year'!$A$3:$A$20000,ROW('Local Data Previous Year'!$A$3:$A$20000)-ROW('Local Data Previous Year'!$A$3)+1),ROW(51:51))))</f>
        <v/>
      </c>
      <c r="F83" s="756" t="str">
        <f>IF($D83="","",IF(ISNA(MATCH($D83,'Local Data Previous Year'!$D$3:$D$20000,0)),"New",IFERROR(VLOOKUP($B83,'Local Data Previous Year'!$D$3:$I$20000,6,0),"")))</f>
        <v/>
      </c>
      <c r="G83" s="757">
        <f t="shared" si="11"/>
        <v>0</v>
      </c>
      <c r="H83" s="758" t="str">
        <f>IFERROR(INDEX('Local Data Previous Year'!$F:$F, MATCH($D83, 'Local Data Previous Year'!$D:$D, 0)), "")</f>
        <v/>
      </c>
      <c r="I83" s="759">
        <f>IF(B83=CTR1_Billing!$E$21&amp;"NEW",1,0)</f>
        <v>0</v>
      </c>
      <c r="J83" s="760" t="str">
        <f>IFERROR(INDEX('Local Data Previous Year'!$G:$G, MATCH($D83, 'Local Data Previous Year'!$D:$D, 0)), "")</f>
        <v/>
      </c>
      <c r="K83" s="762"/>
      <c r="L83" s="760" t="str">
        <f>IFERROR(INDEX('Local Data Previous Year'!$H:$H, MATCH($D83, 'Local Data Previous Year'!$D:$D, 0)), "")</f>
        <v/>
      </c>
      <c r="M83" s="762"/>
      <c r="N83" s="763"/>
      <c r="O83" s="767"/>
      <c r="P83" s="765"/>
      <c r="Q83" s="767"/>
      <c r="R83" s="766" t="str">
        <f t="shared" si="12"/>
        <v/>
      </c>
      <c r="S83" s="754"/>
      <c r="T83" s="763"/>
      <c r="U83" s="754"/>
      <c r="V83" s="763"/>
      <c r="W83" s="763"/>
      <c r="X83" s="865" t="str">
        <f>VLOOKUP(CTR1_Billing!$E$21,Data!$C$6:$D$302,1,FALSE)</f>
        <v>EZZZZ</v>
      </c>
      <c r="Y83" s="205"/>
      <c r="Z83" s="205">
        <f t="shared" si="0"/>
        <v>0</v>
      </c>
      <c r="AA83" s="206" t="str">
        <f t="shared" si="1"/>
        <v/>
      </c>
      <c r="AB83" s="205">
        <f t="shared" si="2"/>
        <v>0</v>
      </c>
      <c r="AC83" s="208"/>
      <c r="AD83" s="208"/>
      <c r="AE83" s="208"/>
      <c r="AF83" s="208"/>
      <c r="AG83" s="209" t="str">
        <f>IFERROR(INDEX('Local Data Previous Year'!$F:$F, MATCH($D83, 'Local Data Previous Year'!$D:$D, 0)), "")</f>
        <v/>
      </c>
      <c r="AH83" s="209" t="str">
        <f>IFERROR(INDEX('Local Data Previous Year'!$G:$G, MATCH($D83, 'Local Data Previous Year'!$D:$D, 0)), "")</f>
        <v/>
      </c>
      <c r="AI83" s="209" t="str">
        <f>IFERROR(INDEX('Local Data Previous Year'!$H:$H, MATCH($D83, 'Local Data Previous Year'!$D:$D, 0)), "")</f>
        <v/>
      </c>
      <c r="AJ83" s="209" t="str">
        <f t="shared" si="3"/>
        <v/>
      </c>
      <c r="AK83" s="209" t="str">
        <f t="shared" si="4"/>
        <v/>
      </c>
      <c r="AL83" s="209" t="str">
        <f t="shared" si="5"/>
        <v/>
      </c>
      <c r="AM83" s="208" t="str">
        <f>IF($AN83="","",IFERROR(VLOOKUP(CONCATENATE(CTR1_Billing!$E$20,$AN83),'Local Data Previous Year'!$C$3:$D$50000,2,0),CTR1_Billing!$E$21&amp;"NEW"))</f>
        <v/>
      </c>
      <c r="AN83" s="209" t="str" cm="1">
        <f t="array" ref="AN83">IF(ISERROR(INDEX('Local Data Previous Year'!$E$3:$E$50000, SMALL(IF(CTR1_Billing!$E$21='Local Data Previous Year'!$A$3:$A$50000, ROW('Local Data Previous Year'!$A$3:$A$50000)-ROW('Local Data Previous Year'!$A$3)+1), ROW(51:51)))), "", INDEX('Local Data Previous Year'!$E$3:$E$50000, SMALL(IF(CTR1_Billing!$E$21='Local Data Previous Year'!$A$3:$A$50000, ROW('Local Data Previous Year'!$A$3:$A$50000)-ROW('Local Data Previous Year'!$A$3)+1), ROW(51:51))))</f>
        <v/>
      </c>
      <c r="AO83" s="209" t="str">
        <f t="shared" si="6"/>
        <v/>
      </c>
      <c r="AP83" s="208"/>
      <c r="AQ83" s="209" t="str">
        <f t="shared" si="7"/>
        <v/>
      </c>
      <c r="AR83" s="209" t="str">
        <f t="shared" si="8"/>
        <v/>
      </c>
      <c r="AS83" s="202" t="str">
        <f t="shared" si="9"/>
        <v/>
      </c>
      <c r="AT83" s="202" t="str">
        <f t="shared" si="10"/>
        <v/>
      </c>
      <c r="AU83" s="208"/>
      <c r="AV83" s="208"/>
      <c r="AW83" s="208"/>
      <c r="AX83" s="208"/>
      <c r="AY83" s="208"/>
      <c r="AZ83" s="208"/>
      <c r="BA83" s="208"/>
      <c r="BB83" s="208"/>
      <c r="BC83" s="208"/>
      <c r="BD83" s="208"/>
      <c r="BE83" s="208"/>
      <c r="BF83" s="208"/>
      <c r="BG83" s="28"/>
      <c r="BH83" s="28"/>
      <c r="BI83" s="28"/>
      <c r="BJ83" s="28"/>
    </row>
    <row r="84" spans="1:62" s="23" customFormat="1" ht="21" customHeight="1" thickBot="1" x14ac:dyDescent="0.25">
      <c r="A84" s="846" t="str">
        <f>IF($AN84="","",IFERROR(VLOOKUP(CONCATENATE(CTR1_Billing!$E$20,$AN84),'Local Data Previous Year'!$C$3:$D$20000,2,0),CTR1_Billing!$E$21&amp;"NEW"))</f>
        <v/>
      </c>
      <c r="B84" s="846" t="str">
        <f>IF($E84="","",IFERROR(VLOOKUP(CONCATENATE(CTR1_Billing!$E$20,CTR1_Local!$E84),'Local Data Previous Year'!$C$3:$D$20000,2,0),CTR1_Billing!$E$21&amp;"NEW"))</f>
        <v/>
      </c>
      <c r="C84" s="846">
        <v>52</v>
      </c>
      <c r="D84" s="755" t="str" cm="1">
        <f t="array" ref="D84">IF(ISERROR(INDEX('Local Data Previous Year'!$D$3:$D$20000,SMALL(IF(CTR1_Billing!$E$21='Local Data Previous Year'!$A$3:$A$20000,ROW('Local Data Previous Year'!$A$3:$A$20000)-ROW('Local Data Previous Year'!$A$3)+1),ROW(52:52)))),"",INDEX('Local Data Previous Year'!$D$3:$D$20000,SMALL(IF(CTR1_Billing!$E$21='Local Data Previous Year'!$A$3:$A$20000,ROW('Local Data Previous Year'!$A$3:$A$20000)-ROW('Local Data Previous Year'!$A$3)+1),ROW(52:52))))</f>
        <v/>
      </c>
      <c r="E84" s="755" t="str" cm="1">
        <f t="array" ref="E84">IF(ISERROR(INDEX('Local Data Previous Year'!$E$3:$E$20000,SMALL(IF(CTR1_Billing!$E$21='Local Data Previous Year'!$A$3:$A$20000,ROW('Local Data Previous Year'!$A$3:$A$20000)-ROW('Local Data Previous Year'!$A$3)+1),ROW(52:52)))),"",INDEX('Local Data Previous Year'!$E$3:$E$20000,SMALL(IF(CTR1_Billing!$E$21='Local Data Previous Year'!$A$3:$A$20000,ROW('Local Data Previous Year'!$A$3:$A$20000)-ROW('Local Data Previous Year'!$A$3)+1),ROW(52:52))))</f>
        <v/>
      </c>
      <c r="F84" s="756" t="str">
        <f>IF($D84="","",IF(ISNA(MATCH($D84,'Local Data Previous Year'!$D$3:$D$20000,0)),"New",IFERROR(VLOOKUP($B84,'Local Data Previous Year'!$D$3:$I$20000,6,0),"")))</f>
        <v/>
      </c>
      <c r="G84" s="757">
        <f t="shared" si="11"/>
        <v>0</v>
      </c>
      <c r="H84" s="758" t="str">
        <f>IFERROR(INDEX('Local Data Previous Year'!$F:$F, MATCH($D84, 'Local Data Previous Year'!$D:$D, 0)), "")</f>
        <v/>
      </c>
      <c r="I84" s="759">
        <f>IF(B84=CTR1_Billing!$E$21&amp;"NEW",1,0)</f>
        <v>0</v>
      </c>
      <c r="J84" s="760" t="str">
        <f>IFERROR(INDEX('Local Data Previous Year'!$G:$G, MATCH($D84, 'Local Data Previous Year'!$D:$D, 0)), "")</f>
        <v/>
      </c>
      <c r="K84" s="762"/>
      <c r="L84" s="760" t="str">
        <f>IFERROR(INDEX('Local Data Previous Year'!$H:$H, MATCH($D84, 'Local Data Previous Year'!$D:$D, 0)), "")</f>
        <v/>
      </c>
      <c r="M84" s="762"/>
      <c r="N84" s="763"/>
      <c r="O84" s="767"/>
      <c r="P84" s="765"/>
      <c r="Q84" s="767"/>
      <c r="R84" s="766" t="str">
        <f t="shared" si="12"/>
        <v/>
      </c>
      <c r="S84" s="754"/>
      <c r="T84" s="763"/>
      <c r="U84" s="754"/>
      <c r="V84" s="763"/>
      <c r="W84" s="763"/>
      <c r="X84" s="865" t="str">
        <f>VLOOKUP(CTR1_Billing!$E$21,Data!$C$6:$D$302,1,FALSE)</f>
        <v>EZZZZ</v>
      </c>
      <c r="Y84" s="205"/>
      <c r="Z84" s="205">
        <f t="shared" si="0"/>
        <v>0</v>
      </c>
      <c r="AA84" s="206" t="str">
        <f t="shared" si="1"/>
        <v/>
      </c>
      <c r="AB84" s="205">
        <f t="shared" si="2"/>
        <v>0</v>
      </c>
      <c r="AC84" s="208"/>
      <c r="AD84" s="208"/>
      <c r="AE84" s="208"/>
      <c r="AF84" s="208"/>
      <c r="AG84" s="209" t="str">
        <f>IFERROR(INDEX('Local Data Previous Year'!$F:$F, MATCH($D84, 'Local Data Previous Year'!$D:$D, 0)), "")</f>
        <v/>
      </c>
      <c r="AH84" s="209" t="str">
        <f>IFERROR(INDEX('Local Data Previous Year'!$G:$G, MATCH($D84, 'Local Data Previous Year'!$D:$D, 0)), "")</f>
        <v/>
      </c>
      <c r="AI84" s="209" t="str">
        <f>IFERROR(INDEX('Local Data Previous Year'!$H:$H, MATCH($D84, 'Local Data Previous Year'!$D:$D, 0)), "")</f>
        <v/>
      </c>
      <c r="AJ84" s="209" t="str">
        <f t="shared" si="3"/>
        <v/>
      </c>
      <c r="AK84" s="209" t="str">
        <f t="shared" si="4"/>
        <v/>
      </c>
      <c r="AL84" s="209" t="str">
        <f t="shared" si="5"/>
        <v/>
      </c>
      <c r="AM84" s="208" t="str">
        <f>IF($AN84="","",IFERROR(VLOOKUP(CONCATENATE(CTR1_Billing!$E$20,$AN84),'Local Data Previous Year'!$C$3:$D$50000,2,0),CTR1_Billing!$E$21&amp;"NEW"))</f>
        <v/>
      </c>
      <c r="AN84" s="209" t="str" cm="1">
        <f t="array" ref="AN84">IF(ISERROR(INDEX('Local Data Previous Year'!$E$3:$E$50000, SMALL(IF(CTR1_Billing!$E$21='Local Data Previous Year'!$A$3:$A$50000, ROW('Local Data Previous Year'!$A$3:$A$50000)-ROW('Local Data Previous Year'!$A$3)+1), ROW(52:52)))), "", INDEX('Local Data Previous Year'!$E$3:$E$50000, SMALL(IF(CTR1_Billing!$E$21='Local Data Previous Year'!$A$3:$A$50000, ROW('Local Data Previous Year'!$A$3:$A$50000)-ROW('Local Data Previous Year'!$A$3)+1), ROW(52:52))))</f>
        <v/>
      </c>
      <c r="AO84" s="209" t="str">
        <f t="shared" si="6"/>
        <v/>
      </c>
      <c r="AP84" s="208"/>
      <c r="AQ84" s="209" t="str">
        <f t="shared" si="7"/>
        <v/>
      </c>
      <c r="AR84" s="209" t="str">
        <f t="shared" si="8"/>
        <v/>
      </c>
      <c r="AS84" s="202" t="str">
        <f t="shared" si="9"/>
        <v/>
      </c>
      <c r="AT84" s="202" t="str">
        <f t="shared" si="10"/>
        <v/>
      </c>
      <c r="AU84" s="208"/>
      <c r="AV84" s="208"/>
      <c r="AW84" s="208"/>
      <c r="AX84" s="208"/>
      <c r="AY84" s="208"/>
      <c r="AZ84" s="208"/>
      <c r="BA84" s="208"/>
      <c r="BB84" s="208"/>
      <c r="BC84" s="208"/>
      <c r="BD84" s="208"/>
      <c r="BE84" s="208"/>
      <c r="BF84" s="208"/>
      <c r="BG84" s="28"/>
      <c r="BH84" s="28"/>
      <c r="BI84" s="28"/>
      <c r="BJ84" s="28"/>
    </row>
    <row r="85" spans="1:62" s="23" customFormat="1" ht="21" customHeight="1" thickBot="1" x14ac:dyDescent="0.25">
      <c r="A85" s="846" t="str">
        <f>IF($AN85="","",IFERROR(VLOOKUP(CONCATENATE(CTR1_Billing!$E$20,$AN85),'Local Data Previous Year'!$C$3:$D$20000,2,0),CTR1_Billing!$E$21&amp;"NEW"))</f>
        <v/>
      </c>
      <c r="B85" s="846" t="str">
        <f>IF($E85="","",IFERROR(VLOOKUP(CONCATENATE(CTR1_Billing!$E$20,CTR1_Local!$E85),'Local Data Previous Year'!$C$3:$D$20000,2,0),CTR1_Billing!$E$21&amp;"NEW"))</f>
        <v/>
      </c>
      <c r="C85" s="846">
        <v>53</v>
      </c>
      <c r="D85" s="755" t="str" cm="1">
        <f t="array" ref="D85">IF(ISERROR(INDEX('Local Data Previous Year'!$D$3:$D$20000,SMALL(IF(CTR1_Billing!$E$21='Local Data Previous Year'!$A$3:$A$20000,ROW('Local Data Previous Year'!$A$3:$A$20000)-ROW('Local Data Previous Year'!$A$3)+1),ROW(53:53)))),"",INDEX('Local Data Previous Year'!$D$3:$D$20000,SMALL(IF(CTR1_Billing!$E$21='Local Data Previous Year'!$A$3:$A$20000,ROW('Local Data Previous Year'!$A$3:$A$20000)-ROW('Local Data Previous Year'!$A$3)+1),ROW(53:53))))</f>
        <v/>
      </c>
      <c r="E85" s="755" t="str" cm="1">
        <f t="array" ref="E85">IF(ISERROR(INDEX('Local Data Previous Year'!$E$3:$E$20000,SMALL(IF(CTR1_Billing!$E$21='Local Data Previous Year'!$A$3:$A$20000,ROW('Local Data Previous Year'!$A$3:$A$20000)-ROW('Local Data Previous Year'!$A$3)+1),ROW(53:53)))),"",INDEX('Local Data Previous Year'!$E$3:$E$20000,SMALL(IF(CTR1_Billing!$E$21='Local Data Previous Year'!$A$3:$A$20000,ROW('Local Data Previous Year'!$A$3:$A$20000)-ROW('Local Data Previous Year'!$A$3)+1),ROW(53:53))))</f>
        <v/>
      </c>
      <c r="F85" s="756" t="str">
        <f>IF($D85="","",IF(ISNA(MATCH($D85,'Local Data Previous Year'!$D$3:$D$20000,0)),"New",IFERROR(VLOOKUP($B85,'Local Data Previous Year'!$D$3:$I$20000,6,0),"")))</f>
        <v/>
      </c>
      <c r="G85" s="757">
        <f t="shared" si="11"/>
        <v>0</v>
      </c>
      <c r="H85" s="758" t="str">
        <f>IFERROR(INDEX('Local Data Previous Year'!$F:$F, MATCH($D85, 'Local Data Previous Year'!$D:$D, 0)), "")</f>
        <v/>
      </c>
      <c r="I85" s="759">
        <f>IF(B85=CTR1_Billing!$E$21&amp;"NEW",1,0)</f>
        <v>0</v>
      </c>
      <c r="J85" s="760" t="str">
        <f>IFERROR(INDEX('Local Data Previous Year'!$G:$G, MATCH($D85, 'Local Data Previous Year'!$D:$D, 0)), "")</f>
        <v/>
      </c>
      <c r="K85" s="762"/>
      <c r="L85" s="760" t="str">
        <f>IFERROR(INDEX('Local Data Previous Year'!$H:$H, MATCH($D85, 'Local Data Previous Year'!$D:$D, 0)), "")</f>
        <v/>
      </c>
      <c r="M85" s="762"/>
      <c r="N85" s="763"/>
      <c r="O85" s="767"/>
      <c r="P85" s="765"/>
      <c r="Q85" s="767"/>
      <c r="R85" s="766" t="str">
        <f t="shared" si="12"/>
        <v/>
      </c>
      <c r="S85" s="754"/>
      <c r="T85" s="763"/>
      <c r="U85" s="754"/>
      <c r="V85" s="763"/>
      <c r="W85" s="763"/>
      <c r="X85" s="865" t="str">
        <f>VLOOKUP(CTR1_Billing!$E$21,Data!$C$6:$D$302,1,FALSE)</f>
        <v>EZZZZ</v>
      </c>
      <c r="Y85" s="205"/>
      <c r="Z85" s="205">
        <f t="shared" si="0"/>
        <v>0</v>
      </c>
      <c r="AA85" s="206" t="str">
        <f t="shared" si="1"/>
        <v/>
      </c>
      <c r="AB85" s="205">
        <f t="shared" si="2"/>
        <v>0</v>
      </c>
      <c r="AC85" s="208"/>
      <c r="AD85" s="208"/>
      <c r="AE85" s="208"/>
      <c r="AF85" s="208"/>
      <c r="AG85" s="209" t="str">
        <f>IFERROR(INDEX('Local Data Previous Year'!$F:$F, MATCH($D85, 'Local Data Previous Year'!$D:$D, 0)), "")</f>
        <v/>
      </c>
      <c r="AH85" s="209" t="str">
        <f>IFERROR(INDEX('Local Data Previous Year'!$G:$G, MATCH($D85, 'Local Data Previous Year'!$D:$D, 0)), "")</f>
        <v/>
      </c>
      <c r="AI85" s="209" t="str">
        <f>IFERROR(INDEX('Local Data Previous Year'!$H:$H, MATCH($D85, 'Local Data Previous Year'!$D:$D, 0)), "")</f>
        <v/>
      </c>
      <c r="AJ85" s="209" t="str">
        <f t="shared" si="3"/>
        <v/>
      </c>
      <c r="AK85" s="209" t="str">
        <f t="shared" si="4"/>
        <v/>
      </c>
      <c r="AL85" s="209" t="str">
        <f t="shared" si="5"/>
        <v/>
      </c>
      <c r="AM85" s="208" t="str">
        <f>IF($AN85="","",IFERROR(VLOOKUP(CONCATENATE(CTR1_Billing!$E$20,$AN85),'Local Data Previous Year'!$C$3:$D$50000,2,0),CTR1_Billing!$E$21&amp;"NEW"))</f>
        <v/>
      </c>
      <c r="AN85" s="209" t="str" cm="1">
        <f t="array" ref="AN85">IF(ISERROR(INDEX('Local Data Previous Year'!$E$3:$E$50000, SMALL(IF(CTR1_Billing!$E$21='Local Data Previous Year'!$A$3:$A$50000, ROW('Local Data Previous Year'!$A$3:$A$50000)-ROW('Local Data Previous Year'!$A$3)+1), ROW(53:53)))), "", INDEX('Local Data Previous Year'!$E$3:$E$50000, SMALL(IF(CTR1_Billing!$E$21='Local Data Previous Year'!$A$3:$A$50000, ROW('Local Data Previous Year'!$A$3:$A$50000)-ROW('Local Data Previous Year'!$A$3)+1), ROW(53:53))))</f>
        <v/>
      </c>
      <c r="AO85" s="209" t="str">
        <f t="shared" si="6"/>
        <v/>
      </c>
      <c r="AP85" s="208"/>
      <c r="AQ85" s="209" t="str">
        <f t="shared" si="7"/>
        <v/>
      </c>
      <c r="AR85" s="209" t="str">
        <f t="shared" si="8"/>
        <v/>
      </c>
      <c r="AS85" s="202" t="str">
        <f t="shared" si="9"/>
        <v/>
      </c>
      <c r="AT85" s="202" t="str">
        <f t="shared" si="10"/>
        <v/>
      </c>
      <c r="AU85" s="208"/>
      <c r="AV85" s="208"/>
      <c r="AW85" s="208"/>
      <c r="AX85" s="208"/>
      <c r="AY85" s="208"/>
      <c r="AZ85" s="208"/>
      <c r="BA85" s="208"/>
      <c r="BB85" s="208"/>
      <c r="BC85" s="208"/>
      <c r="BD85" s="208"/>
      <c r="BE85" s="208"/>
      <c r="BF85" s="208"/>
      <c r="BG85" s="28"/>
      <c r="BH85" s="28"/>
      <c r="BI85" s="28"/>
      <c r="BJ85" s="28"/>
    </row>
    <row r="86" spans="1:62" s="23" customFormat="1" ht="21" customHeight="1" thickBot="1" x14ac:dyDescent="0.25">
      <c r="A86" s="846" t="str">
        <f>IF($AN86="","",IFERROR(VLOOKUP(CONCATENATE(CTR1_Billing!$E$20,$AN86),'Local Data Previous Year'!$C$3:$D$20000,2,0),CTR1_Billing!$E$21&amp;"NEW"))</f>
        <v/>
      </c>
      <c r="B86" s="846" t="str">
        <f>IF($E86="","",IFERROR(VLOOKUP(CONCATENATE(CTR1_Billing!$E$20,CTR1_Local!$E86),'Local Data Previous Year'!$C$3:$D$20000,2,0),CTR1_Billing!$E$21&amp;"NEW"))</f>
        <v/>
      </c>
      <c r="C86" s="846">
        <v>54</v>
      </c>
      <c r="D86" s="755" t="str" cm="1">
        <f t="array" ref="D86">IF(ISERROR(INDEX('Local Data Previous Year'!$D$3:$D$20000,SMALL(IF(CTR1_Billing!$E$21='Local Data Previous Year'!$A$3:$A$20000,ROW('Local Data Previous Year'!$A$3:$A$20000)-ROW('Local Data Previous Year'!$A$3)+1),ROW(54:54)))),"",INDEX('Local Data Previous Year'!$D$3:$D$20000,SMALL(IF(CTR1_Billing!$E$21='Local Data Previous Year'!$A$3:$A$20000,ROW('Local Data Previous Year'!$A$3:$A$20000)-ROW('Local Data Previous Year'!$A$3)+1),ROW(54:54))))</f>
        <v/>
      </c>
      <c r="E86" s="755" t="str" cm="1">
        <f t="array" ref="E86">IF(ISERROR(INDEX('Local Data Previous Year'!$E$3:$E$20000,SMALL(IF(CTR1_Billing!$E$21='Local Data Previous Year'!$A$3:$A$20000,ROW('Local Data Previous Year'!$A$3:$A$20000)-ROW('Local Data Previous Year'!$A$3)+1),ROW(54:54)))),"",INDEX('Local Data Previous Year'!$E$3:$E$20000,SMALL(IF(CTR1_Billing!$E$21='Local Data Previous Year'!$A$3:$A$20000,ROW('Local Data Previous Year'!$A$3:$A$20000)-ROW('Local Data Previous Year'!$A$3)+1),ROW(54:54))))</f>
        <v/>
      </c>
      <c r="F86" s="756" t="str">
        <f>IF($D86="","",IF(ISNA(MATCH($D86,'Local Data Previous Year'!$D$3:$D$20000,0)),"New",IFERROR(VLOOKUP($B86,'Local Data Previous Year'!$D$3:$I$20000,6,0),"")))</f>
        <v/>
      </c>
      <c r="G86" s="757">
        <f t="shared" si="11"/>
        <v>0</v>
      </c>
      <c r="H86" s="758" t="str">
        <f>IFERROR(INDEX('Local Data Previous Year'!$F:$F, MATCH($D86, 'Local Data Previous Year'!$D:$D, 0)), "")</f>
        <v/>
      </c>
      <c r="I86" s="759">
        <f>IF(B86=CTR1_Billing!$E$21&amp;"NEW",1,0)</f>
        <v>0</v>
      </c>
      <c r="J86" s="760" t="str">
        <f>IFERROR(INDEX('Local Data Previous Year'!$G:$G, MATCH($D86, 'Local Data Previous Year'!$D:$D, 0)), "")</f>
        <v/>
      </c>
      <c r="K86" s="762"/>
      <c r="L86" s="760" t="str">
        <f>IFERROR(INDEX('Local Data Previous Year'!$H:$H, MATCH($D86, 'Local Data Previous Year'!$D:$D, 0)), "")</f>
        <v/>
      </c>
      <c r="M86" s="762"/>
      <c r="N86" s="763"/>
      <c r="O86" s="767"/>
      <c r="P86" s="765"/>
      <c r="Q86" s="767"/>
      <c r="R86" s="766" t="str">
        <f t="shared" si="12"/>
        <v/>
      </c>
      <c r="S86" s="754"/>
      <c r="T86" s="763"/>
      <c r="U86" s="754"/>
      <c r="V86" s="763"/>
      <c r="W86" s="763"/>
      <c r="X86" s="865" t="str">
        <f>VLOOKUP(CTR1_Billing!$E$21,Data!$C$6:$D$302,1,FALSE)</f>
        <v>EZZZZ</v>
      </c>
      <c r="Y86" s="205"/>
      <c r="Z86" s="205">
        <f t="shared" si="0"/>
        <v>0</v>
      </c>
      <c r="AA86" s="206" t="str">
        <f t="shared" si="1"/>
        <v/>
      </c>
      <c r="AB86" s="205">
        <f t="shared" si="2"/>
        <v>0</v>
      </c>
      <c r="AC86" s="208"/>
      <c r="AD86" s="208"/>
      <c r="AE86" s="208"/>
      <c r="AF86" s="208"/>
      <c r="AG86" s="209" t="str">
        <f>IFERROR(INDEX('Local Data Previous Year'!$F:$F, MATCH($D86, 'Local Data Previous Year'!$D:$D, 0)), "")</f>
        <v/>
      </c>
      <c r="AH86" s="209" t="str">
        <f>IFERROR(INDEX('Local Data Previous Year'!$G:$G, MATCH($D86, 'Local Data Previous Year'!$D:$D, 0)), "")</f>
        <v/>
      </c>
      <c r="AI86" s="209" t="str">
        <f>IFERROR(INDEX('Local Data Previous Year'!$H:$H, MATCH($D86, 'Local Data Previous Year'!$D:$D, 0)), "")</f>
        <v/>
      </c>
      <c r="AJ86" s="209" t="str">
        <f t="shared" si="3"/>
        <v/>
      </c>
      <c r="AK86" s="209" t="str">
        <f t="shared" si="4"/>
        <v/>
      </c>
      <c r="AL86" s="209" t="str">
        <f t="shared" si="5"/>
        <v/>
      </c>
      <c r="AM86" s="208" t="str">
        <f>IF($AN86="","",IFERROR(VLOOKUP(CONCATENATE(CTR1_Billing!$E$20,$AN86),'Local Data Previous Year'!$C$3:$D$50000,2,0),CTR1_Billing!$E$21&amp;"NEW"))</f>
        <v/>
      </c>
      <c r="AN86" s="209" t="str" cm="1">
        <f t="array" ref="AN86">IF(ISERROR(INDEX('Local Data Previous Year'!$E$3:$E$50000, SMALL(IF(CTR1_Billing!$E$21='Local Data Previous Year'!$A$3:$A$50000, ROW('Local Data Previous Year'!$A$3:$A$50000)-ROW('Local Data Previous Year'!$A$3)+1), ROW(54:54)))), "", INDEX('Local Data Previous Year'!$E$3:$E$50000, SMALL(IF(CTR1_Billing!$E$21='Local Data Previous Year'!$A$3:$A$50000, ROW('Local Data Previous Year'!$A$3:$A$50000)-ROW('Local Data Previous Year'!$A$3)+1), ROW(54:54))))</f>
        <v/>
      </c>
      <c r="AO86" s="209" t="str">
        <f t="shared" si="6"/>
        <v/>
      </c>
      <c r="AP86" s="208"/>
      <c r="AQ86" s="209" t="str">
        <f t="shared" si="7"/>
        <v/>
      </c>
      <c r="AR86" s="209" t="str">
        <f t="shared" si="8"/>
        <v/>
      </c>
      <c r="AS86" s="202" t="str">
        <f t="shared" si="9"/>
        <v/>
      </c>
      <c r="AT86" s="202" t="str">
        <f t="shared" si="10"/>
        <v/>
      </c>
      <c r="AU86" s="208"/>
      <c r="AV86" s="208"/>
      <c r="AW86" s="208"/>
      <c r="AX86" s="208"/>
      <c r="AY86" s="208"/>
      <c r="AZ86" s="208"/>
      <c r="BA86" s="208"/>
      <c r="BB86" s="208"/>
      <c r="BC86" s="208"/>
      <c r="BD86" s="208"/>
      <c r="BE86" s="208"/>
      <c r="BF86" s="208"/>
      <c r="BG86" s="28"/>
      <c r="BH86" s="28"/>
      <c r="BI86" s="28"/>
      <c r="BJ86" s="28"/>
    </row>
    <row r="87" spans="1:62" s="23" customFormat="1" ht="21" customHeight="1" thickBot="1" x14ac:dyDescent="0.25">
      <c r="A87" s="846" t="str">
        <f>IF($AN87="","",IFERROR(VLOOKUP(CONCATENATE(CTR1_Billing!$E$20,$AN87),'Local Data Previous Year'!$C$3:$D$20000,2,0),CTR1_Billing!$E$21&amp;"NEW"))</f>
        <v/>
      </c>
      <c r="B87" s="846" t="str">
        <f>IF($E87="","",IFERROR(VLOOKUP(CONCATENATE(CTR1_Billing!$E$20,CTR1_Local!$E87),'Local Data Previous Year'!$C$3:$D$20000,2,0),CTR1_Billing!$E$21&amp;"NEW"))</f>
        <v/>
      </c>
      <c r="C87" s="846">
        <v>55</v>
      </c>
      <c r="D87" s="755" t="str" cm="1">
        <f t="array" ref="D87">IF(ISERROR(INDEX('Local Data Previous Year'!$D$3:$D$20000,SMALL(IF(CTR1_Billing!$E$21='Local Data Previous Year'!$A$3:$A$20000,ROW('Local Data Previous Year'!$A$3:$A$20000)-ROW('Local Data Previous Year'!$A$3)+1),ROW(55:55)))),"",INDEX('Local Data Previous Year'!$D$3:$D$20000,SMALL(IF(CTR1_Billing!$E$21='Local Data Previous Year'!$A$3:$A$20000,ROW('Local Data Previous Year'!$A$3:$A$20000)-ROW('Local Data Previous Year'!$A$3)+1),ROW(55:55))))</f>
        <v/>
      </c>
      <c r="E87" s="755" t="str" cm="1">
        <f t="array" ref="E87">IF(ISERROR(INDEX('Local Data Previous Year'!$E$3:$E$20000,SMALL(IF(CTR1_Billing!$E$21='Local Data Previous Year'!$A$3:$A$20000,ROW('Local Data Previous Year'!$A$3:$A$20000)-ROW('Local Data Previous Year'!$A$3)+1),ROW(55:55)))),"",INDEX('Local Data Previous Year'!$E$3:$E$20000,SMALL(IF(CTR1_Billing!$E$21='Local Data Previous Year'!$A$3:$A$20000,ROW('Local Data Previous Year'!$A$3:$A$20000)-ROW('Local Data Previous Year'!$A$3)+1),ROW(55:55))))</f>
        <v/>
      </c>
      <c r="F87" s="756" t="str">
        <f>IF($D87="","",IF(ISNA(MATCH($D87,'Local Data Previous Year'!$D$3:$D$20000,0)),"New",IFERROR(VLOOKUP($B87,'Local Data Previous Year'!$D$3:$I$20000,6,0),"")))</f>
        <v/>
      </c>
      <c r="G87" s="757">
        <f t="shared" si="11"/>
        <v>0</v>
      </c>
      <c r="H87" s="758" t="str">
        <f>IFERROR(INDEX('Local Data Previous Year'!$F:$F, MATCH($D87, 'Local Data Previous Year'!$D:$D, 0)), "")</f>
        <v/>
      </c>
      <c r="I87" s="759">
        <f>IF(B87=CTR1_Billing!$E$21&amp;"NEW",1,0)</f>
        <v>0</v>
      </c>
      <c r="J87" s="760" t="str">
        <f>IFERROR(INDEX('Local Data Previous Year'!$G:$G, MATCH($D87, 'Local Data Previous Year'!$D:$D, 0)), "")</f>
        <v/>
      </c>
      <c r="K87" s="762"/>
      <c r="L87" s="760" t="str">
        <f>IFERROR(INDEX('Local Data Previous Year'!$H:$H, MATCH($D87, 'Local Data Previous Year'!$D:$D, 0)), "")</f>
        <v/>
      </c>
      <c r="M87" s="762"/>
      <c r="N87" s="763"/>
      <c r="O87" s="767"/>
      <c r="P87" s="765"/>
      <c r="Q87" s="767"/>
      <c r="R87" s="766" t="str">
        <f t="shared" si="12"/>
        <v/>
      </c>
      <c r="S87" s="754"/>
      <c r="T87" s="763"/>
      <c r="U87" s="754"/>
      <c r="V87" s="763"/>
      <c r="W87" s="763"/>
      <c r="X87" s="865" t="str">
        <f>VLOOKUP(CTR1_Billing!$E$21,Data!$C$6:$D$302,1,FALSE)</f>
        <v>EZZZZ</v>
      </c>
      <c r="Y87" s="205"/>
      <c r="Z87" s="205">
        <f t="shared" si="0"/>
        <v>0</v>
      </c>
      <c r="AA87" s="206" t="str">
        <f t="shared" si="1"/>
        <v/>
      </c>
      <c r="AB87" s="205">
        <f t="shared" si="2"/>
        <v>0</v>
      </c>
      <c r="AC87" s="208"/>
      <c r="AD87" s="208"/>
      <c r="AE87" s="208"/>
      <c r="AF87" s="208"/>
      <c r="AG87" s="209" t="str">
        <f>IFERROR(INDEX('Local Data Previous Year'!$F:$F, MATCH($D87, 'Local Data Previous Year'!$D:$D, 0)), "")</f>
        <v/>
      </c>
      <c r="AH87" s="209" t="str">
        <f>IFERROR(INDEX('Local Data Previous Year'!$G:$G, MATCH($D87, 'Local Data Previous Year'!$D:$D, 0)), "")</f>
        <v/>
      </c>
      <c r="AI87" s="209" t="str">
        <f>IFERROR(INDEX('Local Data Previous Year'!$H:$H, MATCH($D87, 'Local Data Previous Year'!$D:$D, 0)), "")</f>
        <v/>
      </c>
      <c r="AJ87" s="209" t="str">
        <f t="shared" si="3"/>
        <v/>
      </c>
      <c r="AK87" s="209" t="str">
        <f t="shared" si="4"/>
        <v/>
      </c>
      <c r="AL87" s="209" t="str">
        <f t="shared" si="5"/>
        <v/>
      </c>
      <c r="AM87" s="208" t="str">
        <f>IF($AN87="","",IFERROR(VLOOKUP(CONCATENATE(CTR1_Billing!$E$20,$AN87),'Local Data Previous Year'!$C$3:$D$50000,2,0),CTR1_Billing!$E$21&amp;"NEW"))</f>
        <v/>
      </c>
      <c r="AN87" s="209" t="str" cm="1">
        <f t="array" ref="AN87">IF(ISERROR(INDEX('Local Data Previous Year'!$E$3:$E$50000, SMALL(IF(CTR1_Billing!$E$21='Local Data Previous Year'!$A$3:$A$50000, ROW('Local Data Previous Year'!$A$3:$A$50000)-ROW('Local Data Previous Year'!$A$3)+1), ROW(55:55)))), "", INDEX('Local Data Previous Year'!$E$3:$E$50000, SMALL(IF(CTR1_Billing!$E$21='Local Data Previous Year'!$A$3:$A$50000, ROW('Local Data Previous Year'!$A$3:$A$50000)-ROW('Local Data Previous Year'!$A$3)+1), ROW(55:55))))</f>
        <v/>
      </c>
      <c r="AO87" s="209" t="str">
        <f t="shared" si="6"/>
        <v/>
      </c>
      <c r="AP87" s="208"/>
      <c r="AQ87" s="209" t="str">
        <f t="shared" si="7"/>
        <v/>
      </c>
      <c r="AR87" s="209" t="str">
        <f t="shared" si="8"/>
        <v/>
      </c>
      <c r="AS87" s="202" t="str">
        <f t="shared" si="9"/>
        <v/>
      </c>
      <c r="AT87" s="202" t="str">
        <f t="shared" si="10"/>
        <v/>
      </c>
      <c r="AU87" s="208"/>
      <c r="AV87" s="208"/>
      <c r="AW87" s="208"/>
      <c r="AX87" s="208"/>
      <c r="AY87" s="208"/>
      <c r="AZ87" s="208"/>
      <c r="BA87" s="208"/>
      <c r="BB87" s="208"/>
      <c r="BC87" s="208"/>
      <c r="BD87" s="208"/>
      <c r="BE87" s="208"/>
      <c r="BF87" s="208"/>
      <c r="BG87" s="28"/>
      <c r="BH87" s="28"/>
      <c r="BI87" s="28"/>
      <c r="BJ87" s="28"/>
    </row>
    <row r="88" spans="1:62" s="23" customFormat="1" ht="21" customHeight="1" thickBot="1" x14ac:dyDescent="0.25">
      <c r="A88" s="846" t="str">
        <f>IF($AN88="","",IFERROR(VLOOKUP(CONCATENATE(CTR1_Billing!$E$20,$AN88),'Local Data Previous Year'!$C$3:$D$20000,2,0),CTR1_Billing!$E$21&amp;"NEW"))</f>
        <v/>
      </c>
      <c r="B88" s="846" t="str">
        <f>IF($E88="","",IFERROR(VLOOKUP(CONCATENATE(CTR1_Billing!$E$20,CTR1_Local!$E88),'Local Data Previous Year'!$C$3:$D$20000,2,0),CTR1_Billing!$E$21&amp;"NEW"))</f>
        <v/>
      </c>
      <c r="C88" s="846">
        <v>56</v>
      </c>
      <c r="D88" s="755" t="str" cm="1">
        <f t="array" ref="D88">IF(ISERROR(INDEX('Local Data Previous Year'!$D$3:$D$20000,SMALL(IF(CTR1_Billing!$E$21='Local Data Previous Year'!$A$3:$A$20000,ROW('Local Data Previous Year'!$A$3:$A$20000)-ROW('Local Data Previous Year'!$A$3)+1),ROW(56:56)))),"",INDEX('Local Data Previous Year'!$D$3:$D$20000,SMALL(IF(CTR1_Billing!$E$21='Local Data Previous Year'!$A$3:$A$20000,ROW('Local Data Previous Year'!$A$3:$A$20000)-ROW('Local Data Previous Year'!$A$3)+1),ROW(56:56))))</f>
        <v/>
      </c>
      <c r="E88" s="755" t="str" cm="1">
        <f t="array" ref="E88">IF(ISERROR(INDEX('Local Data Previous Year'!$E$3:$E$20000,SMALL(IF(CTR1_Billing!$E$21='Local Data Previous Year'!$A$3:$A$20000,ROW('Local Data Previous Year'!$A$3:$A$20000)-ROW('Local Data Previous Year'!$A$3)+1),ROW(56:56)))),"",INDEX('Local Data Previous Year'!$E$3:$E$20000,SMALL(IF(CTR1_Billing!$E$21='Local Data Previous Year'!$A$3:$A$20000,ROW('Local Data Previous Year'!$A$3:$A$20000)-ROW('Local Data Previous Year'!$A$3)+1),ROW(56:56))))</f>
        <v/>
      </c>
      <c r="F88" s="756" t="str">
        <f>IF($D88="","",IF(ISNA(MATCH($D88,'Local Data Previous Year'!$D$3:$D$20000,0)),"New",IFERROR(VLOOKUP($B88,'Local Data Previous Year'!$D$3:$I$20000,6,0),"")))</f>
        <v/>
      </c>
      <c r="G88" s="757">
        <f t="shared" si="11"/>
        <v>0</v>
      </c>
      <c r="H88" s="758" t="str">
        <f>IFERROR(INDEX('Local Data Previous Year'!$F:$F, MATCH($D88, 'Local Data Previous Year'!$D:$D, 0)), "")</f>
        <v/>
      </c>
      <c r="I88" s="759">
        <f>IF(B88=CTR1_Billing!$E$21&amp;"NEW",1,0)</f>
        <v>0</v>
      </c>
      <c r="J88" s="760" t="str">
        <f>IFERROR(INDEX('Local Data Previous Year'!$G:$G, MATCH($D88, 'Local Data Previous Year'!$D:$D, 0)), "")</f>
        <v/>
      </c>
      <c r="K88" s="762"/>
      <c r="L88" s="760" t="str">
        <f>IFERROR(INDEX('Local Data Previous Year'!$H:$H, MATCH($D88, 'Local Data Previous Year'!$D:$D, 0)), "")</f>
        <v/>
      </c>
      <c r="M88" s="762"/>
      <c r="N88" s="763"/>
      <c r="O88" s="767"/>
      <c r="P88" s="765"/>
      <c r="Q88" s="767"/>
      <c r="R88" s="766" t="str">
        <f t="shared" si="12"/>
        <v/>
      </c>
      <c r="S88" s="754"/>
      <c r="T88" s="763"/>
      <c r="U88" s="754"/>
      <c r="V88" s="763"/>
      <c r="W88" s="763"/>
      <c r="X88" s="865" t="str">
        <f>VLOOKUP(CTR1_Billing!$E$21,Data!$C$6:$D$302,1,FALSE)</f>
        <v>EZZZZ</v>
      </c>
      <c r="Y88" s="205"/>
      <c r="Z88" s="205">
        <f t="shared" si="0"/>
        <v>0</v>
      </c>
      <c r="AA88" s="206" t="str">
        <f t="shared" si="1"/>
        <v/>
      </c>
      <c r="AB88" s="205">
        <f t="shared" si="2"/>
        <v>0</v>
      </c>
      <c r="AC88" s="208"/>
      <c r="AD88" s="208"/>
      <c r="AE88" s="208"/>
      <c r="AF88" s="208"/>
      <c r="AG88" s="209" t="str">
        <f>IFERROR(INDEX('Local Data Previous Year'!$F:$F, MATCH($D88, 'Local Data Previous Year'!$D:$D, 0)), "")</f>
        <v/>
      </c>
      <c r="AH88" s="209" t="str">
        <f>IFERROR(INDEX('Local Data Previous Year'!$G:$G, MATCH($D88, 'Local Data Previous Year'!$D:$D, 0)), "")</f>
        <v/>
      </c>
      <c r="AI88" s="209" t="str">
        <f>IFERROR(INDEX('Local Data Previous Year'!$H:$H, MATCH($D88, 'Local Data Previous Year'!$D:$D, 0)), "")</f>
        <v/>
      </c>
      <c r="AJ88" s="209" t="str">
        <f t="shared" si="3"/>
        <v/>
      </c>
      <c r="AK88" s="209" t="str">
        <f t="shared" si="4"/>
        <v/>
      </c>
      <c r="AL88" s="209" t="str">
        <f t="shared" si="5"/>
        <v/>
      </c>
      <c r="AM88" s="208" t="str">
        <f>IF($AN88="","",IFERROR(VLOOKUP(CONCATENATE(CTR1_Billing!$E$20,$AN88),'Local Data Previous Year'!$C$3:$D$50000,2,0),CTR1_Billing!$E$21&amp;"NEW"))</f>
        <v/>
      </c>
      <c r="AN88" s="209" t="str" cm="1">
        <f t="array" ref="AN88">IF(ISERROR(INDEX('Local Data Previous Year'!$E$3:$E$50000, SMALL(IF(CTR1_Billing!$E$21='Local Data Previous Year'!$A$3:$A$50000, ROW('Local Data Previous Year'!$A$3:$A$50000)-ROW('Local Data Previous Year'!$A$3)+1), ROW(56:56)))), "", INDEX('Local Data Previous Year'!$E$3:$E$50000, SMALL(IF(CTR1_Billing!$E$21='Local Data Previous Year'!$A$3:$A$50000, ROW('Local Data Previous Year'!$A$3:$A$50000)-ROW('Local Data Previous Year'!$A$3)+1), ROW(56:56))))</f>
        <v/>
      </c>
      <c r="AO88" s="209" t="str">
        <f t="shared" si="6"/>
        <v/>
      </c>
      <c r="AP88" s="208"/>
      <c r="AQ88" s="209" t="str">
        <f t="shared" si="7"/>
        <v/>
      </c>
      <c r="AR88" s="209" t="str">
        <f t="shared" si="8"/>
        <v/>
      </c>
      <c r="AS88" s="202" t="str">
        <f t="shared" si="9"/>
        <v/>
      </c>
      <c r="AT88" s="202" t="str">
        <f t="shared" si="10"/>
        <v/>
      </c>
      <c r="AU88" s="208"/>
      <c r="AV88" s="208"/>
      <c r="AW88" s="208"/>
      <c r="AX88" s="208"/>
      <c r="AY88" s="208"/>
      <c r="AZ88" s="208"/>
      <c r="BA88" s="208"/>
      <c r="BB88" s="208"/>
      <c r="BC88" s="208"/>
      <c r="BD88" s="208"/>
      <c r="BE88" s="208"/>
      <c r="BF88" s="208"/>
      <c r="BG88" s="28"/>
      <c r="BH88" s="28"/>
      <c r="BI88" s="28"/>
      <c r="BJ88" s="28"/>
    </row>
    <row r="89" spans="1:62" s="23" customFormat="1" ht="21" customHeight="1" thickBot="1" x14ac:dyDescent="0.25">
      <c r="A89" s="846" t="str">
        <f>IF($AN89="","",IFERROR(VLOOKUP(CONCATENATE(CTR1_Billing!$E$20,$AN89),'Local Data Previous Year'!$C$3:$D$20000,2,0),CTR1_Billing!$E$21&amp;"NEW"))</f>
        <v/>
      </c>
      <c r="B89" s="846" t="str">
        <f>IF($E89="","",IFERROR(VLOOKUP(CONCATENATE(CTR1_Billing!$E$20,CTR1_Local!$E89),'Local Data Previous Year'!$C$3:$D$20000,2,0),CTR1_Billing!$E$21&amp;"NEW"))</f>
        <v/>
      </c>
      <c r="C89" s="846">
        <v>57</v>
      </c>
      <c r="D89" s="755" t="str" cm="1">
        <f t="array" ref="D89">IF(ISERROR(INDEX('Local Data Previous Year'!$D$3:$D$20000,SMALL(IF(CTR1_Billing!$E$21='Local Data Previous Year'!$A$3:$A$20000,ROW('Local Data Previous Year'!$A$3:$A$20000)-ROW('Local Data Previous Year'!$A$3)+1),ROW(57:57)))),"",INDEX('Local Data Previous Year'!$D$3:$D$20000,SMALL(IF(CTR1_Billing!$E$21='Local Data Previous Year'!$A$3:$A$20000,ROW('Local Data Previous Year'!$A$3:$A$20000)-ROW('Local Data Previous Year'!$A$3)+1),ROW(57:57))))</f>
        <v/>
      </c>
      <c r="E89" s="755" t="str" cm="1">
        <f t="array" ref="E89">IF(ISERROR(INDEX('Local Data Previous Year'!$E$3:$E$20000,SMALL(IF(CTR1_Billing!$E$21='Local Data Previous Year'!$A$3:$A$20000,ROW('Local Data Previous Year'!$A$3:$A$20000)-ROW('Local Data Previous Year'!$A$3)+1),ROW(57:57)))),"",INDEX('Local Data Previous Year'!$E$3:$E$20000,SMALL(IF(CTR1_Billing!$E$21='Local Data Previous Year'!$A$3:$A$20000,ROW('Local Data Previous Year'!$A$3:$A$20000)-ROW('Local Data Previous Year'!$A$3)+1),ROW(57:57))))</f>
        <v/>
      </c>
      <c r="F89" s="756" t="str">
        <f>IF($D89="","",IF(ISNA(MATCH($D89,'Local Data Previous Year'!$D$3:$D$20000,0)),"New",IFERROR(VLOOKUP($B89,'Local Data Previous Year'!$D$3:$I$20000,6,0),"")))</f>
        <v/>
      </c>
      <c r="G89" s="757">
        <f t="shared" si="11"/>
        <v>0</v>
      </c>
      <c r="H89" s="758" t="str">
        <f>IFERROR(INDEX('Local Data Previous Year'!$F:$F, MATCH($D89, 'Local Data Previous Year'!$D:$D, 0)), "")</f>
        <v/>
      </c>
      <c r="I89" s="759">
        <f>IF(B89=CTR1_Billing!$E$21&amp;"NEW",1,0)</f>
        <v>0</v>
      </c>
      <c r="J89" s="760" t="str">
        <f>IFERROR(INDEX('Local Data Previous Year'!$G:$G, MATCH($D89, 'Local Data Previous Year'!$D:$D, 0)), "")</f>
        <v/>
      </c>
      <c r="K89" s="762"/>
      <c r="L89" s="760" t="str">
        <f>IFERROR(INDEX('Local Data Previous Year'!$H:$H, MATCH($D89, 'Local Data Previous Year'!$D:$D, 0)), "")</f>
        <v/>
      </c>
      <c r="M89" s="762"/>
      <c r="N89" s="763"/>
      <c r="O89" s="767"/>
      <c r="P89" s="765"/>
      <c r="Q89" s="767"/>
      <c r="R89" s="766" t="str">
        <f t="shared" si="12"/>
        <v/>
      </c>
      <c r="S89" s="754"/>
      <c r="T89" s="763"/>
      <c r="U89" s="754"/>
      <c r="V89" s="763"/>
      <c r="W89" s="763"/>
      <c r="X89" s="865" t="str">
        <f>VLOOKUP(CTR1_Billing!$E$21,Data!$C$6:$D$302,1,FALSE)</f>
        <v>EZZZZ</v>
      </c>
      <c r="Y89" s="205"/>
      <c r="Z89" s="205">
        <f t="shared" si="0"/>
        <v>0</v>
      </c>
      <c r="AA89" s="206" t="str">
        <f t="shared" si="1"/>
        <v/>
      </c>
      <c r="AB89" s="205">
        <f t="shared" si="2"/>
        <v>0</v>
      </c>
      <c r="AC89" s="208"/>
      <c r="AD89" s="208"/>
      <c r="AE89" s="208"/>
      <c r="AF89" s="208"/>
      <c r="AG89" s="209" t="str">
        <f>IFERROR(INDEX('Local Data Previous Year'!$F:$F, MATCH($D89, 'Local Data Previous Year'!$D:$D, 0)), "")</f>
        <v/>
      </c>
      <c r="AH89" s="209" t="str">
        <f>IFERROR(INDEX('Local Data Previous Year'!$G:$G, MATCH($D89, 'Local Data Previous Year'!$D:$D, 0)), "")</f>
        <v/>
      </c>
      <c r="AI89" s="209" t="str">
        <f>IFERROR(INDEX('Local Data Previous Year'!$H:$H, MATCH($D89, 'Local Data Previous Year'!$D:$D, 0)), "")</f>
        <v/>
      </c>
      <c r="AJ89" s="209" t="str">
        <f t="shared" si="3"/>
        <v/>
      </c>
      <c r="AK89" s="209" t="str">
        <f t="shared" si="4"/>
        <v/>
      </c>
      <c r="AL89" s="209" t="str">
        <f t="shared" si="5"/>
        <v/>
      </c>
      <c r="AM89" s="208" t="str">
        <f>IF($AN89="","",IFERROR(VLOOKUP(CONCATENATE(CTR1_Billing!$E$20,$AN89),'Local Data Previous Year'!$C$3:$D$50000,2,0),CTR1_Billing!$E$21&amp;"NEW"))</f>
        <v/>
      </c>
      <c r="AN89" s="209" t="str" cm="1">
        <f t="array" ref="AN89">IF(ISERROR(INDEX('Local Data Previous Year'!$E$3:$E$50000, SMALL(IF(CTR1_Billing!$E$21='Local Data Previous Year'!$A$3:$A$50000, ROW('Local Data Previous Year'!$A$3:$A$50000)-ROW('Local Data Previous Year'!$A$3)+1), ROW(57:57)))), "", INDEX('Local Data Previous Year'!$E$3:$E$50000, SMALL(IF(CTR1_Billing!$E$21='Local Data Previous Year'!$A$3:$A$50000, ROW('Local Data Previous Year'!$A$3:$A$50000)-ROW('Local Data Previous Year'!$A$3)+1), ROW(57:57))))</f>
        <v/>
      </c>
      <c r="AO89" s="209" t="str">
        <f t="shared" si="6"/>
        <v/>
      </c>
      <c r="AP89" s="208"/>
      <c r="AQ89" s="209" t="str">
        <f t="shared" si="7"/>
        <v/>
      </c>
      <c r="AR89" s="209" t="str">
        <f t="shared" si="8"/>
        <v/>
      </c>
      <c r="AS89" s="202" t="str">
        <f t="shared" si="9"/>
        <v/>
      </c>
      <c r="AT89" s="202" t="str">
        <f t="shared" si="10"/>
        <v/>
      </c>
      <c r="AU89" s="208"/>
      <c r="AV89" s="208"/>
      <c r="AW89" s="208"/>
      <c r="AX89" s="208"/>
      <c r="AY89" s="208"/>
      <c r="AZ89" s="208"/>
      <c r="BA89" s="208"/>
      <c r="BB89" s="208"/>
      <c r="BC89" s="208"/>
      <c r="BD89" s="208"/>
      <c r="BE89" s="208"/>
      <c r="BF89" s="208"/>
      <c r="BG89" s="28"/>
      <c r="BH89" s="28"/>
      <c r="BI89" s="28"/>
      <c r="BJ89" s="28"/>
    </row>
    <row r="90" spans="1:62" s="23" customFormat="1" ht="21" customHeight="1" thickBot="1" x14ac:dyDescent="0.25">
      <c r="A90" s="846" t="str">
        <f>IF($AN90="","",IFERROR(VLOOKUP(CONCATENATE(CTR1_Billing!$E$20,$AN90),'Local Data Previous Year'!$C$3:$D$20000,2,0),CTR1_Billing!$E$21&amp;"NEW"))</f>
        <v/>
      </c>
      <c r="B90" s="846" t="str">
        <f>IF($E90="","",IFERROR(VLOOKUP(CONCATENATE(CTR1_Billing!$E$20,CTR1_Local!$E90),'Local Data Previous Year'!$C$3:$D$20000,2,0),CTR1_Billing!$E$21&amp;"NEW"))</f>
        <v/>
      </c>
      <c r="C90" s="846">
        <v>58</v>
      </c>
      <c r="D90" s="755" t="str" cm="1">
        <f t="array" ref="D90">IF(ISERROR(INDEX('Local Data Previous Year'!$D$3:$D$20000,SMALL(IF(CTR1_Billing!$E$21='Local Data Previous Year'!$A$3:$A$20000,ROW('Local Data Previous Year'!$A$3:$A$20000)-ROW('Local Data Previous Year'!$A$3)+1),ROW(58:58)))),"",INDEX('Local Data Previous Year'!$D$3:$D$20000,SMALL(IF(CTR1_Billing!$E$21='Local Data Previous Year'!$A$3:$A$20000,ROW('Local Data Previous Year'!$A$3:$A$20000)-ROW('Local Data Previous Year'!$A$3)+1),ROW(58:58))))</f>
        <v/>
      </c>
      <c r="E90" s="755" t="str" cm="1">
        <f t="array" ref="E90">IF(ISERROR(INDEX('Local Data Previous Year'!$E$3:$E$20000,SMALL(IF(CTR1_Billing!$E$21='Local Data Previous Year'!$A$3:$A$20000,ROW('Local Data Previous Year'!$A$3:$A$20000)-ROW('Local Data Previous Year'!$A$3)+1),ROW(58:58)))),"",INDEX('Local Data Previous Year'!$E$3:$E$20000,SMALL(IF(CTR1_Billing!$E$21='Local Data Previous Year'!$A$3:$A$20000,ROW('Local Data Previous Year'!$A$3:$A$20000)-ROW('Local Data Previous Year'!$A$3)+1),ROW(58:58))))</f>
        <v/>
      </c>
      <c r="F90" s="756" t="str">
        <f>IF($D90="","",IF(ISNA(MATCH($D90,'Local Data Previous Year'!$D$3:$D$20000,0)),"New",IFERROR(VLOOKUP($B90,'Local Data Previous Year'!$D$3:$I$20000,6,0),"")))</f>
        <v/>
      </c>
      <c r="G90" s="757">
        <f t="shared" si="11"/>
        <v>0</v>
      </c>
      <c r="H90" s="758" t="str">
        <f>IFERROR(INDEX('Local Data Previous Year'!$F:$F, MATCH($D90, 'Local Data Previous Year'!$D:$D, 0)), "")</f>
        <v/>
      </c>
      <c r="I90" s="759">
        <f>IF(B90=CTR1_Billing!$E$21&amp;"NEW",1,0)</f>
        <v>0</v>
      </c>
      <c r="J90" s="760" t="str">
        <f>IFERROR(INDEX('Local Data Previous Year'!$G:$G, MATCH($D90, 'Local Data Previous Year'!$D:$D, 0)), "")</f>
        <v/>
      </c>
      <c r="K90" s="762"/>
      <c r="L90" s="760" t="str">
        <f>IFERROR(INDEX('Local Data Previous Year'!$H:$H, MATCH($D90, 'Local Data Previous Year'!$D:$D, 0)), "")</f>
        <v/>
      </c>
      <c r="M90" s="762"/>
      <c r="N90" s="763"/>
      <c r="O90" s="767"/>
      <c r="P90" s="765"/>
      <c r="Q90" s="767"/>
      <c r="R90" s="766" t="str">
        <f t="shared" si="12"/>
        <v/>
      </c>
      <c r="S90" s="754"/>
      <c r="T90" s="763"/>
      <c r="U90" s="754"/>
      <c r="V90" s="763"/>
      <c r="W90" s="763"/>
      <c r="X90" s="865" t="str">
        <f>VLOOKUP(CTR1_Billing!$E$21,Data!$C$6:$D$302,1,FALSE)</f>
        <v>EZZZZ</v>
      </c>
      <c r="Y90" s="205"/>
      <c r="Z90" s="205">
        <f t="shared" si="0"/>
        <v>0</v>
      </c>
      <c r="AA90" s="206" t="str">
        <f t="shared" si="1"/>
        <v/>
      </c>
      <c r="AB90" s="205">
        <f t="shared" si="2"/>
        <v>0</v>
      </c>
      <c r="AC90" s="208"/>
      <c r="AD90" s="208"/>
      <c r="AE90" s="208"/>
      <c r="AF90" s="208"/>
      <c r="AG90" s="209" t="str">
        <f>IFERROR(INDEX('Local Data Previous Year'!$F:$F, MATCH($D90, 'Local Data Previous Year'!$D:$D, 0)), "")</f>
        <v/>
      </c>
      <c r="AH90" s="209" t="str">
        <f>IFERROR(INDEX('Local Data Previous Year'!$G:$G, MATCH($D90, 'Local Data Previous Year'!$D:$D, 0)), "")</f>
        <v/>
      </c>
      <c r="AI90" s="209" t="str">
        <f>IFERROR(INDEX('Local Data Previous Year'!$H:$H, MATCH($D90, 'Local Data Previous Year'!$D:$D, 0)), "")</f>
        <v/>
      </c>
      <c r="AJ90" s="209" t="str">
        <f t="shared" si="3"/>
        <v/>
      </c>
      <c r="AK90" s="209" t="str">
        <f t="shared" si="4"/>
        <v/>
      </c>
      <c r="AL90" s="209" t="str">
        <f t="shared" si="5"/>
        <v/>
      </c>
      <c r="AM90" s="208" t="str">
        <f>IF($AN90="","",IFERROR(VLOOKUP(CONCATENATE(CTR1_Billing!$E$20,$AN90),'Local Data Previous Year'!$C$3:$D$50000,2,0),CTR1_Billing!$E$21&amp;"NEW"))</f>
        <v/>
      </c>
      <c r="AN90" s="209" t="str" cm="1">
        <f t="array" ref="AN90">IF(ISERROR(INDEX('Local Data Previous Year'!$E$3:$E$50000, SMALL(IF(CTR1_Billing!$E$21='Local Data Previous Year'!$A$3:$A$50000, ROW('Local Data Previous Year'!$A$3:$A$50000)-ROW('Local Data Previous Year'!$A$3)+1), ROW(58:58)))), "", INDEX('Local Data Previous Year'!$E$3:$E$50000, SMALL(IF(CTR1_Billing!$E$21='Local Data Previous Year'!$A$3:$A$50000, ROW('Local Data Previous Year'!$A$3:$A$50000)-ROW('Local Data Previous Year'!$A$3)+1), ROW(58:58))))</f>
        <v/>
      </c>
      <c r="AO90" s="209" t="str">
        <f t="shared" si="6"/>
        <v/>
      </c>
      <c r="AP90" s="208"/>
      <c r="AQ90" s="209" t="str">
        <f t="shared" si="7"/>
        <v/>
      </c>
      <c r="AR90" s="209" t="str">
        <f t="shared" si="8"/>
        <v/>
      </c>
      <c r="AS90" s="202" t="str">
        <f t="shared" si="9"/>
        <v/>
      </c>
      <c r="AT90" s="202" t="str">
        <f t="shared" si="10"/>
        <v/>
      </c>
      <c r="AU90" s="208"/>
      <c r="AV90" s="208"/>
      <c r="AW90" s="208"/>
      <c r="AX90" s="208"/>
      <c r="AY90" s="208"/>
      <c r="AZ90" s="208"/>
      <c r="BA90" s="208"/>
      <c r="BB90" s="208"/>
      <c r="BC90" s="208"/>
      <c r="BD90" s="208"/>
      <c r="BE90" s="208"/>
      <c r="BF90" s="208"/>
      <c r="BG90" s="28"/>
      <c r="BH90" s="28"/>
      <c r="BI90" s="28"/>
      <c r="BJ90" s="28"/>
    </row>
    <row r="91" spans="1:62" s="23" customFormat="1" ht="21" customHeight="1" thickBot="1" x14ac:dyDescent="0.25">
      <c r="A91" s="846" t="str">
        <f>IF($AN91="","",IFERROR(VLOOKUP(CONCATENATE(CTR1_Billing!$E$20,$AN91),'Local Data Previous Year'!$C$3:$D$20000,2,0),CTR1_Billing!$E$21&amp;"NEW"))</f>
        <v/>
      </c>
      <c r="B91" s="846" t="str">
        <f>IF($E91="","",IFERROR(VLOOKUP(CONCATENATE(CTR1_Billing!$E$20,CTR1_Local!$E91),'Local Data Previous Year'!$C$3:$D$20000,2,0),CTR1_Billing!$E$21&amp;"NEW"))</f>
        <v/>
      </c>
      <c r="C91" s="846">
        <v>59</v>
      </c>
      <c r="D91" s="755" t="str" cm="1">
        <f t="array" ref="D91">IF(ISERROR(INDEX('Local Data Previous Year'!$D$3:$D$20000,SMALL(IF(CTR1_Billing!$E$21='Local Data Previous Year'!$A$3:$A$20000,ROW('Local Data Previous Year'!$A$3:$A$20000)-ROW('Local Data Previous Year'!$A$3)+1),ROW(59:59)))),"",INDEX('Local Data Previous Year'!$D$3:$D$20000,SMALL(IF(CTR1_Billing!$E$21='Local Data Previous Year'!$A$3:$A$20000,ROW('Local Data Previous Year'!$A$3:$A$20000)-ROW('Local Data Previous Year'!$A$3)+1),ROW(59:59))))</f>
        <v/>
      </c>
      <c r="E91" s="755" t="str" cm="1">
        <f t="array" ref="E91">IF(ISERROR(INDEX('Local Data Previous Year'!$E$3:$E$20000,SMALL(IF(CTR1_Billing!$E$21='Local Data Previous Year'!$A$3:$A$20000,ROW('Local Data Previous Year'!$A$3:$A$20000)-ROW('Local Data Previous Year'!$A$3)+1),ROW(59:59)))),"",INDEX('Local Data Previous Year'!$E$3:$E$20000,SMALL(IF(CTR1_Billing!$E$21='Local Data Previous Year'!$A$3:$A$20000,ROW('Local Data Previous Year'!$A$3:$A$20000)-ROW('Local Data Previous Year'!$A$3)+1),ROW(59:59))))</f>
        <v/>
      </c>
      <c r="F91" s="756" t="str">
        <f>IF($D91="","",IF(ISNA(MATCH($D91,'Local Data Previous Year'!$D$3:$D$20000,0)),"New",IFERROR(VLOOKUP($B91,'Local Data Previous Year'!$D$3:$I$20000,6,0),"")))</f>
        <v/>
      </c>
      <c r="G91" s="757">
        <f t="shared" si="11"/>
        <v>0</v>
      </c>
      <c r="H91" s="758" t="str">
        <f>IFERROR(INDEX('Local Data Previous Year'!$F:$F, MATCH($D91, 'Local Data Previous Year'!$D:$D, 0)), "")</f>
        <v/>
      </c>
      <c r="I91" s="759">
        <f>IF(B91=CTR1_Billing!$E$21&amp;"NEW",1,0)</f>
        <v>0</v>
      </c>
      <c r="J91" s="760" t="str">
        <f>IFERROR(INDEX('Local Data Previous Year'!$G:$G, MATCH($D91, 'Local Data Previous Year'!$D:$D, 0)), "")</f>
        <v/>
      </c>
      <c r="K91" s="762"/>
      <c r="L91" s="760" t="str">
        <f>IFERROR(INDEX('Local Data Previous Year'!$H:$H, MATCH($D91, 'Local Data Previous Year'!$D:$D, 0)), "")</f>
        <v/>
      </c>
      <c r="M91" s="762"/>
      <c r="N91" s="763"/>
      <c r="O91" s="767"/>
      <c r="P91" s="765"/>
      <c r="Q91" s="767"/>
      <c r="R91" s="766" t="str">
        <f t="shared" si="12"/>
        <v/>
      </c>
      <c r="S91" s="754"/>
      <c r="T91" s="763"/>
      <c r="U91" s="754"/>
      <c r="V91" s="763"/>
      <c r="W91" s="763"/>
      <c r="X91" s="865" t="str">
        <f>VLOOKUP(CTR1_Billing!$E$21,Data!$C$6:$D$302,1,FALSE)</f>
        <v>EZZZZ</v>
      </c>
      <c r="Y91" s="205"/>
      <c r="Z91" s="205">
        <f t="shared" si="0"/>
        <v>0</v>
      </c>
      <c r="AA91" s="206" t="str">
        <f t="shared" si="1"/>
        <v/>
      </c>
      <c r="AB91" s="205">
        <f t="shared" si="2"/>
        <v>0</v>
      </c>
      <c r="AC91" s="208"/>
      <c r="AD91" s="208"/>
      <c r="AE91" s="208"/>
      <c r="AF91" s="208"/>
      <c r="AG91" s="209" t="str">
        <f>IFERROR(INDEX('Local Data Previous Year'!$F:$F, MATCH($D91, 'Local Data Previous Year'!$D:$D, 0)), "")</f>
        <v/>
      </c>
      <c r="AH91" s="209" t="str">
        <f>IFERROR(INDEX('Local Data Previous Year'!$G:$G, MATCH($D91, 'Local Data Previous Year'!$D:$D, 0)), "")</f>
        <v/>
      </c>
      <c r="AI91" s="209" t="str">
        <f>IFERROR(INDEX('Local Data Previous Year'!$H:$H, MATCH($D91, 'Local Data Previous Year'!$D:$D, 0)), "")</f>
        <v/>
      </c>
      <c r="AJ91" s="209" t="str">
        <f t="shared" si="3"/>
        <v/>
      </c>
      <c r="AK91" s="209" t="str">
        <f t="shared" si="4"/>
        <v/>
      </c>
      <c r="AL91" s="209" t="str">
        <f t="shared" si="5"/>
        <v/>
      </c>
      <c r="AM91" s="208" t="str">
        <f>IF($AN91="","",IFERROR(VLOOKUP(CONCATENATE(CTR1_Billing!$E$20,$AN91),'Local Data Previous Year'!$C$3:$D$50000,2,0),CTR1_Billing!$E$21&amp;"NEW"))</f>
        <v/>
      </c>
      <c r="AN91" s="209" t="str" cm="1">
        <f t="array" ref="AN91">IF(ISERROR(INDEX('Local Data Previous Year'!$E$3:$E$50000, SMALL(IF(CTR1_Billing!$E$21='Local Data Previous Year'!$A$3:$A$50000, ROW('Local Data Previous Year'!$A$3:$A$50000)-ROW('Local Data Previous Year'!$A$3)+1), ROW(59:59)))), "", INDEX('Local Data Previous Year'!$E$3:$E$50000, SMALL(IF(CTR1_Billing!$E$21='Local Data Previous Year'!$A$3:$A$50000, ROW('Local Data Previous Year'!$A$3:$A$50000)-ROW('Local Data Previous Year'!$A$3)+1), ROW(59:59))))</f>
        <v/>
      </c>
      <c r="AO91" s="209" t="str">
        <f t="shared" si="6"/>
        <v/>
      </c>
      <c r="AP91" s="208"/>
      <c r="AQ91" s="209" t="str">
        <f t="shared" si="7"/>
        <v/>
      </c>
      <c r="AR91" s="209" t="str">
        <f t="shared" si="8"/>
        <v/>
      </c>
      <c r="AS91" s="202" t="str">
        <f t="shared" si="9"/>
        <v/>
      </c>
      <c r="AT91" s="202" t="str">
        <f t="shared" si="10"/>
        <v/>
      </c>
      <c r="AU91" s="208"/>
      <c r="AV91" s="208"/>
      <c r="AW91" s="208"/>
      <c r="AX91" s="208"/>
      <c r="AY91" s="208"/>
      <c r="AZ91" s="208"/>
      <c r="BA91" s="208"/>
      <c r="BB91" s="208"/>
      <c r="BC91" s="208"/>
      <c r="BD91" s="208"/>
      <c r="BE91" s="208"/>
      <c r="BF91" s="208"/>
      <c r="BG91" s="28"/>
      <c r="BH91" s="28"/>
      <c r="BI91" s="28"/>
      <c r="BJ91" s="28"/>
    </row>
    <row r="92" spans="1:62" s="23" customFormat="1" ht="21" customHeight="1" thickBot="1" x14ac:dyDescent="0.25">
      <c r="A92" s="846" t="str">
        <f>IF($AN92="","",IFERROR(VLOOKUP(CONCATENATE(CTR1_Billing!$E$20,$AN92),'Local Data Previous Year'!$C$3:$D$20000,2,0),CTR1_Billing!$E$21&amp;"NEW"))</f>
        <v/>
      </c>
      <c r="B92" s="846" t="str">
        <f>IF($E92="","",IFERROR(VLOOKUP(CONCATENATE(CTR1_Billing!$E$20,CTR1_Local!$E92),'Local Data Previous Year'!$C$3:$D$20000,2,0),CTR1_Billing!$E$21&amp;"NEW"))</f>
        <v/>
      </c>
      <c r="C92" s="846">
        <v>60</v>
      </c>
      <c r="D92" s="755" t="str" cm="1">
        <f t="array" ref="D92">IF(ISERROR(INDEX('Local Data Previous Year'!$D$3:$D$20000,SMALL(IF(CTR1_Billing!$E$21='Local Data Previous Year'!$A$3:$A$20000,ROW('Local Data Previous Year'!$A$3:$A$20000)-ROW('Local Data Previous Year'!$A$3)+1),ROW(60:60)))),"",INDEX('Local Data Previous Year'!$D$3:$D$20000,SMALL(IF(CTR1_Billing!$E$21='Local Data Previous Year'!$A$3:$A$20000,ROW('Local Data Previous Year'!$A$3:$A$20000)-ROW('Local Data Previous Year'!$A$3)+1),ROW(60:60))))</f>
        <v/>
      </c>
      <c r="E92" s="755" t="str" cm="1">
        <f t="array" ref="E92">IF(ISERROR(INDEX('Local Data Previous Year'!$E$3:$E$20000,SMALL(IF(CTR1_Billing!$E$21='Local Data Previous Year'!$A$3:$A$20000,ROW('Local Data Previous Year'!$A$3:$A$20000)-ROW('Local Data Previous Year'!$A$3)+1),ROW(60:60)))),"",INDEX('Local Data Previous Year'!$E$3:$E$20000,SMALL(IF(CTR1_Billing!$E$21='Local Data Previous Year'!$A$3:$A$20000,ROW('Local Data Previous Year'!$A$3:$A$20000)-ROW('Local Data Previous Year'!$A$3)+1),ROW(60:60))))</f>
        <v/>
      </c>
      <c r="F92" s="756" t="str">
        <f>IF($D92="","",IF(ISNA(MATCH($D92,'Local Data Previous Year'!$D$3:$D$20000,0)),"New",IFERROR(VLOOKUP($B92,'Local Data Previous Year'!$D$3:$I$20000,6,0),"")))</f>
        <v/>
      </c>
      <c r="G92" s="757">
        <f t="shared" si="11"/>
        <v>0</v>
      </c>
      <c r="H92" s="758" t="str">
        <f>IFERROR(INDEX('Local Data Previous Year'!$F:$F, MATCH($D92, 'Local Data Previous Year'!$D:$D, 0)), "")</f>
        <v/>
      </c>
      <c r="I92" s="759">
        <f>IF(B92=CTR1_Billing!$E$21&amp;"NEW",1,0)</f>
        <v>0</v>
      </c>
      <c r="J92" s="760" t="str">
        <f>IFERROR(INDEX('Local Data Previous Year'!$G:$G, MATCH($D92, 'Local Data Previous Year'!$D:$D, 0)), "")</f>
        <v/>
      </c>
      <c r="K92" s="762"/>
      <c r="L92" s="760" t="str">
        <f>IFERROR(INDEX('Local Data Previous Year'!$H:$H, MATCH($D92, 'Local Data Previous Year'!$D:$D, 0)), "")</f>
        <v/>
      </c>
      <c r="M92" s="762"/>
      <c r="N92" s="763"/>
      <c r="O92" s="767"/>
      <c r="P92" s="765"/>
      <c r="Q92" s="767"/>
      <c r="R92" s="766" t="str">
        <f t="shared" si="12"/>
        <v/>
      </c>
      <c r="S92" s="754"/>
      <c r="T92" s="763"/>
      <c r="U92" s="754"/>
      <c r="V92" s="763"/>
      <c r="W92" s="763"/>
      <c r="X92" s="865" t="str">
        <f>VLOOKUP(CTR1_Billing!$E$21,Data!$C$6:$D$302,1,FALSE)</f>
        <v>EZZZZ</v>
      </c>
      <c r="Y92" s="205"/>
      <c r="Z92" s="205">
        <f t="shared" si="0"/>
        <v>0</v>
      </c>
      <c r="AA92" s="206" t="str">
        <f t="shared" si="1"/>
        <v/>
      </c>
      <c r="AB92" s="205">
        <f t="shared" si="2"/>
        <v>0</v>
      </c>
      <c r="AC92" s="208"/>
      <c r="AD92" s="208"/>
      <c r="AE92" s="208"/>
      <c r="AF92" s="208"/>
      <c r="AG92" s="209" t="str">
        <f>IFERROR(INDEX('Local Data Previous Year'!$F:$F, MATCH($D92, 'Local Data Previous Year'!$D:$D, 0)), "")</f>
        <v/>
      </c>
      <c r="AH92" s="209" t="str">
        <f>IFERROR(INDEX('Local Data Previous Year'!$G:$G, MATCH($D92, 'Local Data Previous Year'!$D:$D, 0)), "")</f>
        <v/>
      </c>
      <c r="AI92" s="209" t="str">
        <f>IFERROR(INDEX('Local Data Previous Year'!$H:$H, MATCH($D92, 'Local Data Previous Year'!$D:$D, 0)), "")</f>
        <v/>
      </c>
      <c r="AJ92" s="209" t="str">
        <f t="shared" si="3"/>
        <v/>
      </c>
      <c r="AK92" s="209" t="str">
        <f t="shared" si="4"/>
        <v/>
      </c>
      <c r="AL92" s="209" t="str">
        <f t="shared" si="5"/>
        <v/>
      </c>
      <c r="AM92" s="208" t="str">
        <f>IF($AN92="","",IFERROR(VLOOKUP(CONCATENATE(CTR1_Billing!$E$20,$AN92),'Local Data Previous Year'!$C$3:$D$50000,2,0),CTR1_Billing!$E$21&amp;"NEW"))</f>
        <v/>
      </c>
      <c r="AN92" s="209" t="str" cm="1">
        <f t="array" ref="AN92">IF(ISERROR(INDEX('Local Data Previous Year'!$E$3:$E$50000, SMALL(IF(CTR1_Billing!$E$21='Local Data Previous Year'!$A$3:$A$50000, ROW('Local Data Previous Year'!$A$3:$A$50000)-ROW('Local Data Previous Year'!$A$3)+1), ROW(60:60)))), "", INDEX('Local Data Previous Year'!$E$3:$E$50000, SMALL(IF(CTR1_Billing!$E$21='Local Data Previous Year'!$A$3:$A$50000, ROW('Local Data Previous Year'!$A$3:$A$50000)-ROW('Local Data Previous Year'!$A$3)+1), ROW(60:60))))</f>
        <v/>
      </c>
      <c r="AO92" s="209" t="str">
        <f t="shared" si="6"/>
        <v/>
      </c>
      <c r="AP92" s="208"/>
      <c r="AQ92" s="209" t="str">
        <f t="shared" si="7"/>
        <v/>
      </c>
      <c r="AR92" s="209" t="str">
        <f t="shared" si="8"/>
        <v/>
      </c>
      <c r="AS92" s="202" t="str">
        <f t="shared" si="9"/>
        <v/>
      </c>
      <c r="AT92" s="202" t="str">
        <f t="shared" si="10"/>
        <v/>
      </c>
      <c r="AU92" s="208"/>
      <c r="AV92" s="208"/>
      <c r="AW92" s="208"/>
      <c r="AX92" s="208"/>
      <c r="AY92" s="208"/>
      <c r="AZ92" s="208"/>
      <c r="BA92" s="208"/>
      <c r="BB92" s="208"/>
      <c r="BC92" s="208"/>
      <c r="BD92" s="208"/>
      <c r="BE92" s="208"/>
      <c r="BF92" s="208"/>
      <c r="BG92" s="28"/>
      <c r="BH92" s="28"/>
      <c r="BI92" s="28"/>
      <c r="BJ92" s="28"/>
    </row>
    <row r="93" spans="1:62" s="23" customFormat="1" ht="21" customHeight="1" thickBot="1" x14ac:dyDescent="0.25">
      <c r="A93" s="846" t="str">
        <f>IF($AN93="","",IFERROR(VLOOKUP(CONCATENATE(CTR1_Billing!$E$20,$AN93),'Local Data Previous Year'!$C$3:$D$20000,2,0),CTR1_Billing!$E$21&amp;"NEW"))</f>
        <v/>
      </c>
      <c r="B93" s="846" t="str">
        <f>IF($E93="","",IFERROR(VLOOKUP(CONCATENATE(CTR1_Billing!$E$20,CTR1_Local!$E93),'Local Data Previous Year'!$C$3:$D$20000,2,0),CTR1_Billing!$E$21&amp;"NEW"))</f>
        <v/>
      </c>
      <c r="C93" s="846">
        <v>61</v>
      </c>
      <c r="D93" s="755" t="str" cm="1">
        <f t="array" ref="D93">IF(ISERROR(INDEX('Local Data Previous Year'!$D$3:$D$20000,SMALL(IF(CTR1_Billing!$E$21='Local Data Previous Year'!$A$3:$A$20000,ROW('Local Data Previous Year'!$A$3:$A$20000)-ROW('Local Data Previous Year'!$A$3)+1),ROW(61:61)))),"",INDEX('Local Data Previous Year'!$D$3:$D$20000,SMALL(IF(CTR1_Billing!$E$21='Local Data Previous Year'!$A$3:$A$20000,ROW('Local Data Previous Year'!$A$3:$A$20000)-ROW('Local Data Previous Year'!$A$3)+1),ROW(61:61))))</f>
        <v/>
      </c>
      <c r="E93" s="755" t="str" cm="1">
        <f t="array" ref="E93">IF(ISERROR(INDEX('Local Data Previous Year'!$E$3:$E$20000,SMALL(IF(CTR1_Billing!$E$21='Local Data Previous Year'!$A$3:$A$20000,ROW('Local Data Previous Year'!$A$3:$A$20000)-ROW('Local Data Previous Year'!$A$3)+1),ROW(61:61)))),"",INDEX('Local Data Previous Year'!$E$3:$E$20000,SMALL(IF(CTR1_Billing!$E$21='Local Data Previous Year'!$A$3:$A$20000,ROW('Local Data Previous Year'!$A$3:$A$20000)-ROW('Local Data Previous Year'!$A$3)+1),ROW(61:61))))</f>
        <v/>
      </c>
      <c r="F93" s="756" t="str">
        <f>IF($D93="","",IF(ISNA(MATCH($D93,'Local Data Previous Year'!$D$3:$D$20000,0)),"New",IFERROR(VLOOKUP($B93,'Local Data Previous Year'!$D$3:$I$20000,6,0),"")))</f>
        <v/>
      </c>
      <c r="G93" s="757">
        <f t="shared" si="11"/>
        <v>0</v>
      </c>
      <c r="H93" s="758" t="str">
        <f>IFERROR(INDEX('Local Data Previous Year'!$F:$F, MATCH($D93, 'Local Data Previous Year'!$D:$D, 0)), "")</f>
        <v/>
      </c>
      <c r="I93" s="759">
        <f>IF(B93=CTR1_Billing!$E$21&amp;"NEW",1,0)</f>
        <v>0</v>
      </c>
      <c r="J93" s="760" t="str">
        <f>IFERROR(INDEX('Local Data Previous Year'!$G:$G, MATCH($D93, 'Local Data Previous Year'!$D:$D, 0)), "")</f>
        <v/>
      </c>
      <c r="K93" s="762"/>
      <c r="L93" s="760" t="str">
        <f>IFERROR(INDEX('Local Data Previous Year'!$H:$H, MATCH($D93, 'Local Data Previous Year'!$D:$D, 0)), "")</f>
        <v/>
      </c>
      <c r="M93" s="762"/>
      <c r="N93" s="763"/>
      <c r="O93" s="767"/>
      <c r="P93" s="765"/>
      <c r="Q93" s="767"/>
      <c r="R93" s="766" t="str">
        <f t="shared" si="12"/>
        <v/>
      </c>
      <c r="S93" s="754"/>
      <c r="T93" s="763"/>
      <c r="U93" s="754"/>
      <c r="V93" s="763"/>
      <c r="W93" s="763"/>
      <c r="X93" s="865" t="str">
        <f>VLOOKUP(CTR1_Billing!$E$21,Data!$C$6:$D$302,1,FALSE)</f>
        <v>EZZZZ</v>
      </c>
      <c r="Y93" s="205"/>
      <c r="Z93" s="205">
        <f t="shared" si="0"/>
        <v>0</v>
      </c>
      <c r="AA93" s="206" t="str">
        <f t="shared" si="1"/>
        <v/>
      </c>
      <c r="AB93" s="205">
        <f t="shared" si="2"/>
        <v>0</v>
      </c>
      <c r="AC93" s="208"/>
      <c r="AD93" s="208"/>
      <c r="AE93" s="208"/>
      <c r="AF93" s="208"/>
      <c r="AG93" s="209" t="str">
        <f>IFERROR(INDEX('Local Data Previous Year'!$F:$F, MATCH($D93, 'Local Data Previous Year'!$D:$D, 0)), "")</f>
        <v/>
      </c>
      <c r="AH93" s="209" t="str">
        <f>IFERROR(INDEX('Local Data Previous Year'!$G:$G, MATCH($D93, 'Local Data Previous Year'!$D:$D, 0)), "")</f>
        <v/>
      </c>
      <c r="AI93" s="209" t="str">
        <f>IFERROR(INDEX('Local Data Previous Year'!$H:$H, MATCH($D93, 'Local Data Previous Year'!$D:$D, 0)), "")</f>
        <v/>
      </c>
      <c r="AJ93" s="209" t="str">
        <f t="shared" si="3"/>
        <v/>
      </c>
      <c r="AK93" s="209" t="str">
        <f t="shared" si="4"/>
        <v/>
      </c>
      <c r="AL93" s="209" t="str">
        <f t="shared" si="5"/>
        <v/>
      </c>
      <c r="AM93" s="208" t="str">
        <f>IF($AN93="","",IFERROR(VLOOKUP(CONCATENATE(CTR1_Billing!$E$20,$AN93),'Local Data Previous Year'!$C$3:$D$50000,2,0),CTR1_Billing!$E$21&amp;"NEW"))</f>
        <v/>
      </c>
      <c r="AN93" s="209" t="str" cm="1">
        <f t="array" ref="AN93">IF(ISERROR(INDEX('Local Data Previous Year'!$E$3:$E$50000, SMALL(IF(CTR1_Billing!$E$21='Local Data Previous Year'!$A$3:$A$50000, ROW('Local Data Previous Year'!$A$3:$A$50000)-ROW('Local Data Previous Year'!$A$3)+1), ROW(61:61)))), "", INDEX('Local Data Previous Year'!$E$3:$E$50000, SMALL(IF(CTR1_Billing!$E$21='Local Data Previous Year'!$A$3:$A$50000, ROW('Local Data Previous Year'!$A$3:$A$50000)-ROW('Local Data Previous Year'!$A$3)+1), ROW(61:61))))</f>
        <v/>
      </c>
      <c r="AO93" s="209" t="str">
        <f t="shared" si="6"/>
        <v/>
      </c>
      <c r="AP93" s="208"/>
      <c r="AQ93" s="209" t="str">
        <f t="shared" si="7"/>
        <v/>
      </c>
      <c r="AR93" s="209" t="str">
        <f t="shared" si="8"/>
        <v/>
      </c>
      <c r="AS93" s="202" t="str">
        <f t="shared" si="9"/>
        <v/>
      </c>
      <c r="AT93" s="202" t="str">
        <f t="shared" si="10"/>
        <v/>
      </c>
      <c r="AU93" s="208"/>
      <c r="AV93" s="208"/>
      <c r="AW93" s="208"/>
      <c r="AX93" s="208"/>
      <c r="AY93" s="208"/>
      <c r="AZ93" s="208"/>
      <c r="BA93" s="208"/>
      <c r="BB93" s="208"/>
      <c r="BC93" s="208"/>
      <c r="BD93" s="208"/>
      <c r="BE93" s="208"/>
      <c r="BF93" s="208"/>
      <c r="BG93" s="28"/>
      <c r="BH93" s="28"/>
      <c r="BI93" s="28"/>
      <c r="BJ93" s="28"/>
    </row>
    <row r="94" spans="1:62" s="23" customFormat="1" ht="21" customHeight="1" thickBot="1" x14ac:dyDescent="0.25">
      <c r="A94" s="846" t="str">
        <f>IF($AN94="","",IFERROR(VLOOKUP(CONCATENATE(CTR1_Billing!$E$20,$AN94),'Local Data Previous Year'!$C$3:$D$20000,2,0),CTR1_Billing!$E$21&amp;"NEW"))</f>
        <v/>
      </c>
      <c r="B94" s="846" t="str">
        <f>IF($E94="","",IFERROR(VLOOKUP(CONCATENATE(CTR1_Billing!$E$20,CTR1_Local!$E94),'Local Data Previous Year'!$C$3:$D$20000,2,0),CTR1_Billing!$E$21&amp;"NEW"))</f>
        <v/>
      </c>
      <c r="C94" s="846">
        <v>62</v>
      </c>
      <c r="D94" s="755" t="str" cm="1">
        <f t="array" ref="D94">IF(ISERROR(INDEX('Local Data Previous Year'!$D$3:$D$20000,SMALL(IF(CTR1_Billing!$E$21='Local Data Previous Year'!$A$3:$A$20000,ROW('Local Data Previous Year'!$A$3:$A$20000)-ROW('Local Data Previous Year'!$A$3)+1),ROW(62:62)))),"",INDEX('Local Data Previous Year'!$D$3:$D$20000,SMALL(IF(CTR1_Billing!$E$21='Local Data Previous Year'!$A$3:$A$20000,ROW('Local Data Previous Year'!$A$3:$A$20000)-ROW('Local Data Previous Year'!$A$3)+1),ROW(62:62))))</f>
        <v/>
      </c>
      <c r="E94" s="755" t="str" cm="1">
        <f t="array" ref="E94">IF(ISERROR(INDEX('Local Data Previous Year'!$E$3:$E$20000,SMALL(IF(CTR1_Billing!$E$21='Local Data Previous Year'!$A$3:$A$20000,ROW('Local Data Previous Year'!$A$3:$A$20000)-ROW('Local Data Previous Year'!$A$3)+1),ROW(62:62)))),"",INDEX('Local Data Previous Year'!$E$3:$E$20000,SMALL(IF(CTR1_Billing!$E$21='Local Data Previous Year'!$A$3:$A$20000,ROW('Local Data Previous Year'!$A$3:$A$20000)-ROW('Local Data Previous Year'!$A$3)+1),ROW(62:62))))</f>
        <v/>
      </c>
      <c r="F94" s="756" t="str">
        <f>IF($D94="","",IF(ISNA(MATCH($D94,'Local Data Previous Year'!$D$3:$D$20000,0)),"New",IFERROR(VLOOKUP($B94,'Local Data Previous Year'!$D$3:$I$20000,6,0),"")))</f>
        <v/>
      </c>
      <c r="G94" s="757">
        <f t="shared" si="11"/>
        <v>0</v>
      </c>
      <c r="H94" s="758" t="str">
        <f>IFERROR(INDEX('Local Data Previous Year'!$F:$F, MATCH($D94, 'Local Data Previous Year'!$D:$D, 0)), "")</f>
        <v/>
      </c>
      <c r="I94" s="759">
        <f>IF(B94=CTR1_Billing!$E$21&amp;"NEW",1,0)</f>
        <v>0</v>
      </c>
      <c r="J94" s="760" t="str">
        <f>IFERROR(INDEX('Local Data Previous Year'!$G:$G, MATCH($D94, 'Local Data Previous Year'!$D:$D, 0)), "")</f>
        <v/>
      </c>
      <c r="K94" s="762"/>
      <c r="L94" s="760" t="str">
        <f>IFERROR(INDEX('Local Data Previous Year'!$H:$H, MATCH($D94, 'Local Data Previous Year'!$D:$D, 0)), "")</f>
        <v/>
      </c>
      <c r="M94" s="762"/>
      <c r="N94" s="763"/>
      <c r="O94" s="767"/>
      <c r="P94" s="765"/>
      <c r="Q94" s="767"/>
      <c r="R94" s="766" t="str">
        <f t="shared" si="12"/>
        <v/>
      </c>
      <c r="S94" s="754"/>
      <c r="T94" s="763"/>
      <c r="U94" s="754"/>
      <c r="V94" s="763"/>
      <c r="W94" s="763"/>
      <c r="X94" s="865" t="str">
        <f>VLOOKUP(CTR1_Billing!$E$21,Data!$C$6:$D$302,1,FALSE)</f>
        <v>EZZZZ</v>
      </c>
      <c r="Y94" s="205"/>
      <c r="Z94" s="205">
        <f t="shared" si="0"/>
        <v>0</v>
      </c>
      <c r="AA94" s="206" t="str">
        <f t="shared" si="1"/>
        <v/>
      </c>
      <c r="AB94" s="205">
        <f t="shared" si="2"/>
        <v>0</v>
      </c>
      <c r="AC94" s="208"/>
      <c r="AD94" s="208"/>
      <c r="AE94" s="208"/>
      <c r="AF94" s="208"/>
      <c r="AG94" s="209" t="str">
        <f>IFERROR(INDEX('Local Data Previous Year'!$F:$F, MATCH($D94, 'Local Data Previous Year'!$D:$D, 0)), "")</f>
        <v/>
      </c>
      <c r="AH94" s="209" t="str">
        <f>IFERROR(INDEX('Local Data Previous Year'!$G:$G, MATCH($D94, 'Local Data Previous Year'!$D:$D, 0)), "")</f>
        <v/>
      </c>
      <c r="AI94" s="209" t="str">
        <f>IFERROR(INDEX('Local Data Previous Year'!$H:$H, MATCH($D94, 'Local Data Previous Year'!$D:$D, 0)), "")</f>
        <v/>
      </c>
      <c r="AJ94" s="209" t="str">
        <f t="shared" si="3"/>
        <v/>
      </c>
      <c r="AK94" s="209" t="str">
        <f t="shared" si="4"/>
        <v/>
      </c>
      <c r="AL94" s="209" t="str">
        <f t="shared" si="5"/>
        <v/>
      </c>
      <c r="AM94" s="208" t="str">
        <f>IF($AN94="","",IFERROR(VLOOKUP(CONCATENATE(CTR1_Billing!$E$20,$AN94),'Local Data Previous Year'!$C$3:$D$50000,2,0),CTR1_Billing!$E$21&amp;"NEW"))</f>
        <v/>
      </c>
      <c r="AN94" s="209" t="str" cm="1">
        <f t="array" ref="AN94">IF(ISERROR(INDEX('Local Data Previous Year'!$E$3:$E$50000, SMALL(IF(CTR1_Billing!$E$21='Local Data Previous Year'!$A$3:$A$50000, ROW('Local Data Previous Year'!$A$3:$A$50000)-ROW('Local Data Previous Year'!$A$3)+1), ROW(62:62)))), "", INDEX('Local Data Previous Year'!$E$3:$E$50000, SMALL(IF(CTR1_Billing!$E$21='Local Data Previous Year'!$A$3:$A$50000, ROW('Local Data Previous Year'!$A$3:$A$50000)-ROW('Local Data Previous Year'!$A$3)+1), ROW(62:62))))</f>
        <v/>
      </c>
      <c r="AO94" s="209" t="str">
        <f t="shared" si="6"/>
        <v/>
      </c>
      <c r="AP94" s="208"/>
      <c r="AQ94" s="209" t="str">
        <f t="shared" si="7"/>
        <v/>
      </c>
      <c r="AR94" s="209" t="str">
        <f t="shared" si="8"/>
        <v/>
      </c>
      <c r="AS94" s="202" t="str">
        <f t="shared" si="9"/>
        <v/>
      </c>
      <c r="AT94" s="202" t="str">
        <f t="shared" si="10"/>
        <v/>
      </c>
      <c r="AU94" s="208"/>
      <c r="AV94" s="208"/>
      <c r="AW94" s="208"/>
      <c r="AX94" s="208"/>
      <c r="AY94" s="208"/>
      <c r="AZ94" s="208"/>
      <c r="BA94" s="208"/>
      <c r="BB94" s="208"/>
      <c r="BC94" s="208"/>
      <c r="BD94" s="208"/>
      <c r="BE94" s="208"/>
      <c r="BF94" s="208"/>
      <c r="BG94" s="28"/>
      <c r="BH94" s="28"/>
      <c r="BI94" s="28"/>
      <c r="BJ94" s="28"/>
    </row>
    <row r="95" spans="1:62" s="23" customFormat="1" ht="21" customHeight="1" thickBot="1" x14ac:dyDescent="0.25">
      <c r="A95" s="846" t="str">
        <f>IF($AN95="","",IFERROR(VLOOKUP(CONCATENATE(CTR1_Billing!$E$20,$AN95),'Local Data Previous Year'!$C$3:$D$20000,2,0),CTR1_Billing!$E$21&amp;"NEW"))</f>
        <v/>
      </c>
      <c r="B95" s="846" t="str">
        <f>IF($E95="","",IFERROR(VLOOKUP(CONCATENATE(CTR1_Billing!$E$20,CTR1_Local!$E95),'Local Data Previous Year'!$C$3:$D$20000,2,0),CTR1_Billing!$E$21&amp;"NEW"))</f>
        <v/>
      </c>
      <c r="C95" s="846">
        <v>63</v>
      </c>
      <c r="D95" s="755" t="str" cm="1">
        <f t="array" ref="D95">IF(ISERROR(INDEX('Local Data Previous Year'!$D$3:$D$20000,SMALL(IF(CTR1_Billing!$E$21='Local Data Previous Year'!$A$3:$A$20000,ROW('Local Data Previous Year'!$A$3:$A$20000)-ROW('Local Data Previous Year'!$A$3)+1),ROW(63:63)))),"",INDEX('Local Data Previous Year'!$D$3:$D$20000,SMALL(IF(CTR1_Billing!$E$21='Local Data Previous Year'!$A$3:$A$20000,ROW('Local Data Previous Year'!$A$3:$A$20000)-ROW('Local Data Previous Year'!$A$3)+1),ROW(63:63))))</f>
        <v/>
      </c>
      <c r="E95" s="755" t="str" cm="1">
        <f t="array" ref="E95">IF(ISERROR(INDEX('Local Data Previous Year'!$E$3:$E$20000,SMALL(IF(CTR1_Billing!$E$21='Local Data Previous Year'!$A$3:$A$20000,ROW('Local Data Previous Year'!$A$3:$A$20000)-ROW('Local Data Previous Year'!$A$3)+1),ROW(63:63)))),"",INDEX('Local Data Previous Year'!$E$3:$E$20000,SMALL(IF(CTR1_Billing!$E$21='Local Data Previous Year'!$A$3:$A$20000,ROW('Local Data Previous Year'!$A$3:$A$20000)-ROW('Local Data Previous Year'!$A$3)+1),ROW(63:63))))</f>
        <v/>
      </c>
      <c r="F95" s="756" t="str">
        <f>IF($D95="","",IF(ISNA(MATCH($D95,'Local Data Previous Year'!$D$3:$D$20000,0)),"New",IFERROR(VLOOKUP($B95,'Local Data Previous Year'!$D$3:$I$20000,6,0),"")))</f>
        <v/>
      </c>
      <c r="G95" s="757">
        <f t="shared" si="11"/>
        <v>0</v>
      </c>
      <c r="H95" s="758" t="str">
        <f>IFERROR(INDEX('Local Data Previous Year'!$F:$F, MATCH($D95, 'Local Data Previous Year'!$D:$D, 0)), "")</f>
        <v/>
      </c>
      <c r="I95" s="759">
        <f>IF(B95=CTR1_Billing!$E$21&amp;"NEW",1,0)</f>
        <v>0</v>
      </c>
      <c r="J95" s="760" t="str">
        <f>IFERROR(INDEX('Local Data Previous Year'!$G:$G, MATCH($D95, 'Local Data Previous Year'!$D:$D, 0)), "")</f>
        <v/>
      </c>
      <c r="K95" s="762"/>
      <c r="L95" s="760" t="str">
        <f>IFERROR(INDEX('Local Data Previous Year'!$H:$H, MATCH($D95, 'Local Data Previous Year'!$D:$D, 0)), "")</f>
        <v/>
      </c>
      <c r="M95" s="762"/>
      <c r="N95" s="763"/>
      <c r="O95" s="767"/>
      <c r="P95" s="765"/>
      <c r="Q95" s="767"/>
      <c r="R95" s="766" t="str">
        <f t="shared" si="12"/>
        <v/>
      </c>
      <c r="S95" s="754"/>
      <c r="T95" s="763"/>
      <c r="U95" s="754"/>
      <c r="V95" s="763"/>
      <c r="W95" s="763"/>
      <c r="X95" s="865" t="str">
        <f>VLOOKUP(CTR1_Billing!$E$21,Data!$C$6:$D$302,1,FALSE)</f>
        <v>EZZZZ</v>
      </c>
      <c r="Y95" s="205"/>
      <c r="Z95" s="205">
        <f t="shared" si="0"/>
        <v>0</v>
      </c>
      <c r="AA95" s="206" t="str">
        <f t="shared" si="1"/>
        <v/>
      </c>
      <c r="AB95" s="205">
        <f t="shared" si="2"/>
        <v>0</v>
      </c>
      <c r="AC95" s="208"/>
      <c r="AD95" s="208"/>
      <c r="AE95" s="208"/>
      <c r="AF95" s="208"/>
      <c r="AG95" s="209" t="str">
        <f>IFERROR(INDEX('Local Data Previous Year'!$F:$F, MATCH($D95, 'Local Data Previous Year'!$D:$D, 0)), "")</f>
        <v/>
      </c>
      <c r="AH95" s="209" t="str">
        <f>IFERROR(INDEX('Local Data Previous Year'!$G:$G, MATCH($D95, 'Local Data Previous Year'!$D:$D, 0)), "")</f>
        <v/>
      </c>
      <c r="AI95" s="209" t="str">
        <f>IFERROR(INDEX('Local Data Previous Year'!$H:$H, MATCH($D95, 'Local Data Previous Year'!$D:$D, 0)), "")</f>
        <v/>
      </c>
      <c r="AJ95" s="209" t="str">
        <f t="shared" si="3"/>
        <v/>
      </c>
      <c r="AK95" s="209" t="str">
        <f t="shared" si="4"/>
        <v/>
      </c>
      <c r="AL95" s="209" t="str">
        <f t="shared" si="5"/>
        <v/>
      </c>
      <c r="AM95" s="208" t="str">
        <f>IF($AN95="","",IFERROR(VLOOKUP(CONCATENATE(CTR1_Billing!$E$20,$AN95),'Local Data Previous Year'!$C$3:$D$50000,2,0),CTR1_Billing!$E$21&amp;"NEW"))</f>
        <v/>
      </c>
      <c r="AN95" s="209" t="str" cm="1">
        <f t="array" ref="AN95">IF(ISERROR(INDEX('Local Data Previous Year'!$E$3:$E$50000, SMALL(IF(CTR1_Billing!$E$21='Local Data Previous Year'!$A$3:$A$50000, ROW('Local Data Previous Year'!$A$3:$A$50000)-ROW('Local Data Previous Year'!$A$3)+1), ROW(63:63)))), "", INDEX('Local Data Previous Year'!$E$3:$E$50000, SMALL(IF(CTR1_Billing!$E$21='Local Data Previous Year'!$A$3:$A$50000, ROW('Local Data Previous Year'!$A$3:$A$50000)-ROW('Local Data Previous Year'!$A$3)+1), ROW(63:63))))</f>
        <v/>
      </c>
      <c r="AO95" s="209" t="str">
        <f t="shared" si="6"/>
        <v/>
      </c>
      <c r="AP95" s="208"/>
      <c r="AQ95" s="209" t="str">
        <f t="shared" si="7"/>
        <v/>
      </c>
      <c r="AR95" s="209" t="str">
        <f t="shared" si="8"/>
        <v/>
      </c>
      <c r="AS95" s="202" t="str">
        <f t="shared" si="9"/>
        <v/>
      </c>
      <c r="AT95" s="202" t="str">
        <f t="shared" si="10"/>
        <v/>
      </c>
      <c r="AU95" s="208"/>
      <c r="AV95" s="208"/>
      <c r="AW95" s="208"/>
      <c r="AX95" s="208"/>
      <c r="AY95" s="208"/>
      <c r="AZ95" s="208"/>
      <c r="BA95" s="208"/>
      <c r="BB95" s="208"/>
      <c r="BC95" s="208"/>
      <c r="BD95" s="208"/>
      <c r="BE95" s="208"/>
      <c r="BF95" s="208"/>
      <c r="BG95" s="28"/>
      <c r="BH95" s="28"/>
      <c r="BI95" s="28"/>
      <c r="BJ95" s="28"/>
    </row>
    <row r="96" spans="1:62" s="23" customFormat="1" ht="21" customHeight="1" thickBot="1" x14ac:dyDescent="0.25">
      <c r="A96" s="846" t="str">
        <f>IF($AN96="","",IFERROR(VLOOKUP(CONCATENATE(CTR1_Billing!$E$20,$AN96),'Local Data Previous Year'!$C$3:$D$20000,2,0),CTR1_Billing!$E$21&amp;"NEW"))</f>
        <v/>
      </c>
      <c r="B96" s="846" t="str">
        <f>IF($E96="","",IFERROR(VLOOKUP(CONCATENATE(CTR1_Billing!$E$20,CTR1_Local!$E96),'Local Data Previous Year'!$C$3:$D$20000,2,0),CTR1_Billing!$E$21&amp;"NEW"))</f>
        <v/>
      </c>
      <c r="C96" s="846">
        <v>64</v>
      </c>
      <c r="D96" s="755" t="str" cm="1">
        <f t="array" ref="D96">IF(ISERROR(INDEX('Local Data Previous Year'!$D$3:$D$20000,SMALL(IF(CTR1_Billing!$E$21='Local Data Previous Year'!$A$3:$A$20000,ROW('Local Data Previous Year'!$A$3:$A$20000)-ROW('Local Data Previous Year'!$A$3)+1),ROW(64:64)))),"",INDEX('Local Data Previous Year'!$D$3:$D$20000,SMALL(IF(CTR1_Billing!$E$21='Local Data Previous Year'!$A$3:$A$20000,ROW('Local Data Previous Year'!$A$3:$A$20000)-ROW('Local Data Previous Year'!$A$3)+1),ROW(64:64))))</f>
        <v/>
      </c>
      <c r="E96" s="755" t="str" cm="1">
        <f t="array" ref="E96">IF(ISERROR(INDEX('Local Data Previous Year'!$E$3:$E$20000,SMALL(IF(CTR1_Billing!$E$21='Local Data Previous Year'!$A$3:$A$20000,ROW('Local Data Previous Year'!$A$3:$A$20000)-ROW('Local Data Previous Year'!$A$3)+1),ROW(64:64)))),"",INDEX('Local Data Previous Year'!$E$3:$E$20000,SMALL(IF(CTR1_Billing!$E$21='Local Data Previous Year'!$A$3:$A$20000,ROW('Local Data Previous Year'!$A$3:$A$20000)-ROW('Local Data Previous Year'!$A$3)+1),ROW(64:64))))</f>
        <v/>
      </c>
      <c r="F96" s="756" t="str">
        <f>IF($D96="","",IF(ISNA(MATCH($D96,'Local Data Previous Year'!$D$3:$D$20000,0)),"New",IFERROR(VLOOKUP($B96,'Local Data Previous Year'!$D$3:$I$20000,6,0),"")))</f>
        <v/>
      </c>
      <c r="G96" s="757">
        <f t="shared" si="11"/>
        <v>0</v>
      </c>
      <c r="H96" s="758" t="str">
        <f>IFERROR(INDEX('Local Data Previous Year'!$F:$F, MATCH($D96, 'Local Data Previous Year'!$D:$D, 0)), "")</f>
        <v/>
      </c>
      <c r="I96" s="759">
        <f>IF(B96=CTR1_Billing!$E$21&amp;"NEW",1,0)</f>
        <v>0</v>
      </c>
      <c r="J96" s="760" t="str">
        <f>IFERROR(INDEX('Local Data Previous Year'!$G:$G, MATCH($D96, 'Local Data Previous Year'!$D:$D, 0)), "")</f>
        <v/>
      </c>
      <c r="K96" s="762"/>
      <c r="L96" s="760" t="str">
        <f>IFERROR(INDEX('Local Data Previous Year'!$H:$H, MATCH($D96, 'Local Data Previous Year'!$D:$D, 0)), "")</f>
        <v/>
      </c>
      <c r="M96" s="762"/>
      <c r="N96" s="763"/>
      <c r="O96" s="767"/>
      <c r="P96" s="765"/>
      <c r="Q96" s="767"/>
      <c r="R96" s="766" t="str">
        <f t="shared" si="12"/>
        <v/>
      </c>
      <c r="S96" s="754"/>
      <c r="T96" s="763"/>
      <c r="U96" s="754"/>
      <c r="V96" s="763"/>
      <c r="W96" s="763"/>
      <c r="X96" s="865" t="str">
        <f>VLOOKUP(CTR1_Billing!$E$21,Data!$C$6:$D$302,1,FALSE)</f>
        <v>EZZZZ</v>
      </c>
      <c r="Y96" s="205"/>
      <c r="Z96" s="205">
        <f t="shared" si="0"/>
        <v>0</v>
      </c>
      <c r="AA96" s="206" t="str">
        <f t="shared" si="1"/>
        <v/>
      </c>
      <c r="AB96" s="205">
        <f t="shared" si="2"/>
        <v>0</v>
      </c>
      <c r="AC96" s="208"/>
      <c r="AD96" s="208"/>
      <c r="AE96" s="208"/>
      <c r="AF96" s="208"/>
      <c r="AG96" s="209" t="str">
        <f>IFERROR(INDEX('Local Data Previous Year'!$F:$F, MATCH($D96, 'Local Data Previous Year'!$D:$D, 0)), "")</f>
        <v/>
      </c>
      <c r="AH96" s="209" t="str">
        <f>IFERROR(INDEX('Local Data Previous Year'!$G:$G, MATCH($D96, 'Local Data Previous Year'!$D:$D, 0)), "")</f>
        <v/>
      </c>
      <c r="AI96" s="209" t="str">
        <f>IFERROR(INDEX('Local Data Previous Year'!$H:$H, MATCH($D96, 'Local Data Previous Year'!$D:$D, 0)), "")</f>
        <v/>
      </c>
      <c r="AJ96" s="209" t="str">
        <f t="shared" si="3"/>
        <v/>
      </c>
      <c r="AK96" s="209" t="str">
        <f t="shared" si="4"/>
        <v/>
      </c>
      <c r="AL96" s="209" t="str">
        <f t="shared" si="5"/>
        <v/>
      </c>
      <c r="AM96" s="208" t="str">
        <f>IF($AN96="","",IFERROR(VLOOKUP(CONCATENATE(CTR1_Billing!$E$20,$AN96),'Local Data Previous Year'!$C$3:$D$50000,2,0),CTR1_Billing!$E$21&amp;"NEW"))</f>
        <v/>
      </c>
      <c r="AN96" s="209" t="str" cm="1">
        <f t="array" ref="AN96">IF(ISERROR(INDEX('Local Data Previous Year'!$E$3:$E$50000, SMALL(IF(CTR1_Billing!$E$21='Local Data Previous Year'!$A$3:$A$50000, ROW('Local Data Previous Year'!$A$3:$A$50000)-ROW('Local Data Previous Year'!$A$3)+1), ROW(64:64)))), "", INDEX('Local Data Previous Year'!$E$3:$E$50000, SMALL(IF(CTR1_Billing!$E$21='Local Data Previous Year'!$A$3:$A$50000, ROW('Local Data Previous Year'!$A$3:$A$50000)-ROW('Local Data Previous Year'!$A$3)+1), ROW(64:64))))</f>
        <v/>
      </c>
      <c r="AO96" s="209" t="str">
        <f t="shared" si="6"/>
        <v/>
      </c>
      <c r="AP96" s="208"/>
      <c r="AQ96" s="209" t="str">
        <f t="shared" si="7"/>
        <v/>
      </c>
      <c r="AR96" s="209" t="str">
        <f t="shared" si="8"/>
        <v/>
      </c>
      <c r="AS96" s="202" t="str">
        <f t="shared" si="9"/>
        <v/>
      </c>
      <c r="AT96" s="202" t="str">
        <f t="shared" si="10"/>
        <v/>
      </c>
      <c r="AU96" s="208"/>
      <c r="AV96" s="208"/>
      <c r="AW96" s="208"/>
      <c r="AX96" s="208"/>
      <c r="AY96" s="208"/>
      <c r="AZ96" s="208"/>
      <c r="BA96" s="208"/>
      <c r="BB96" s="208"/>
      <c r="BC96" s="208"/>
      <c r="BD96" s="208"/>
      <c r="BE96" s="208"/>
      <c r="BF96" s="208"/>
      <c r="BG96" s="28"/>
      <c r="BH96" s="28"/>
      <c r="BI96" s="28"/>
      <c r="BJ96" s="28"/>
    </row>
    <row r="97" spans="1:62" s="23" customFormat="1" ht="21" customHeight="1" thickBot="1" x14ac:dyDescent="0.25">
      <c r="A97" s="846" t="str">
        <f>IF($AN97="","",IFERROR(VLOOKUP(CONCATENATE(CTR1_Billing!$E$20,$AN97),'Local Data Previous Year'!$C$3:$D$20000,2,0),CTR1_Billing!$E$21&amp;"NEW"))</f>
        <v/>
      </c>
      <c r="B97" s="846" t="str">
        <f>IF($E97="","",IFERROR(VLOOKUP(CONCATENATE(CTR1_Billing!$E$20,CTR1_Local!$E97),'Local Data Previous Year'!$C$3:$D$20000,2,0),CTR1_Billing!$E$21&amp;"NEW"))</f>
        <v/>
      </c>
      <c r="C97" s="846">
        <v>65</v>
      </c>
      <c r="D97" s="755" t="str" cm="1">
        <f t="array" ref="D97">IF(ISERROR(INDEX('Local Data Previous Year'!$D$3:$D$20000,SMALL(IF(CTR1_Billing!$E$21='Local Data Previous Year'!$A$3:$A$20000,ROW('Local Data Previous Year'!$A$3:$A$20000)-ROW('Local Data Previous Year'!$A$3)+1),ROW(65:65)))),"",INDEX('Local Data Previous Year'!$D$3:$D$20000,SMALL(IF(CTR1_Billing!$E$21='Local Data Previous Year'!$A$3:$A$20000,ROW('Local Data Previous Year'!$A$3:$A$20000)-ROW('Local Data Previous Year'!$A$3)+1),ROW(65:65))))</f>
        <v/>
      </c>
      <c r="E97" s="755" t="str" cm="1">
        <f t="array" ref="E97">IF(ISERROR(INDEX('Local Data Previous Year'!$E$3:$E$20000,SMALL(IF(CTR1_Billing!$E$21='Local Data Previous Year'!$A$3:$A$20000,ROW('Local Data Previous Year'!$A$3:$A$20000)-ROW('Local Data Previous Year'!$A$3)+1),ROW(65:65)))),"",INDEX('Local Data Previous Year'!$E$3:$E$20000,SMALL(IF(CTR1_Billing!$E$21='Local Data Previous Year'!$A$3:$A$20000,ROW('Local Data Previous Year'!$A$3:$A$20000)-ROW('Local Data Previous Year'!$A$3)+1),ROW(65:65))))</f>
        <v/>
      </c>
      <c r="F97" s="756" t="str">
        <f>IF($D97="","",IF(ISNA(MATCH($D97,'Local Data Previous Year'!$D$3:$D$20000,0)),"New",IFERROR(VLOOKUP($B97,'Local Data Previous Year'!$D$3:$I$20000,6,0),"")))</f>
        <v/>
      </c>
      <c r="G97" s="757">
        <f t="shared" si="11"/>
        <v>0</v>
      </c>
      <c r="H97" s="758" t="str">
        <f>IFERROR(INDEX('Local Data Previous Year'!$F:$F, MATCH($D97, 'Local Data Previous Year'!$D:$D, 0)), "")</f>
        <v/>
      </c>
      <c r="I97" s="759">
        <f>IF(B97=CTR1_Billing!$E$21&amp;"NEW",1,0)</f>
        <v>0</v>
      </c>
      <c r="J97" s="760" t="str">
        <f>IFERROR(INDEX('Local Data Previous Year'!$G:$G, MATCH($D97, 'Local Data Previous Year'!$D:$D, 0)), "")</f>
        <v/>
      </c>
      <c r="K97" s="762"/>
      <c r="L97" s="760" t="str">
        <f>IFERROR(INDEX('Local Data Previous Year'!$H:$H, MATCH($D97, 'Local Data Previous Year'!$D:$D, 0)), "")</f>
        <v/>
      </c>
      <c r="M97" s="762"/>
      <c r="N97" s="763"/>
      <c r="O97" s="767"/>
      <c r="P97" s="765"/>
      <c r="Q97" s="767"/>
      <c r="R97" s="766" t="str">
        <f t="shared" si="12"/>
        <v/>
      </c>
      <c r="S97" s="754"/>
      <c r="T97" s="763"/>
      <c r="U97" s="754"/>
      <c r="V97" s="763"/>
      <c r="W97" s="763"/>
      <c r="X97" s="865" t="str">
        <f>VLOOKUP(CTR1_Billing!$E$21,Data!$C$6:$D$302,1,FALSE)</f>
        <v>EZZZZ</v>
      </c>
      <c r="Y97" s="205"/>
      <c r="Z97" s="205">
        <f t="shared" ref="Z97:Z160" si="13">IF(OR(P97&gt;AQ97,P97&lt;AR97),1,0)</f>
        <v>0</v>
      </c>
      <c r="AA97" s="206" t="str">
        <f t="shared" ref="AA97:AA160" si="14">IF(R97="","",IF(R97=0,"ok",IF(R97&lt;&gt;(N97/P97),"error","ok")))</f>
        <v/>
      </c>
      <c r="AB97" s="205">
        <f t="shared" ref="AB97:AB160" si="15">IF(OR(R97&gt;AS97,R97&lt;AT97),1,0)</f>
        <v>0</v>
      </c>
      <c r="AC97" s="208"/>
      <c r="AD97" s="208"/>
      <c r="AE97" s="208"/>
      <c r="AF97" s="208"/>
      <c r="AG97" s="209" t="str">
        <f>IFERROR(INDEX('Local Data Previous Year'!$F:$F, MATCH($D97, 'Local Data Previous Year'!$D:$D, 0)), "")</f>
        <v/>
      </c>
      <c r="AH97" s="209" t="str">
        <f>IFERROR(INDEX('Local Data Previous Year'!$G:$G, MATCH($D97, 'Local Data Previous Year'!$D:$D, 0)), "")</f>
        <v/>
      </c>
      <c r="AI97" s="209" t="str">
        <f>IFERROR(INDEX('Local Data Previous Year'!$H:$H, MATCH($D97, 'Local Data Previous Year'!$D:$D, 0)), "")</f>
        <v/>
      </c>
      <c r="AJ97" s="209" t="str">
        <f t="shared" ref="AJ97:AJ160" si="16">IF(AG97=H97,"","change")</f>
        <v/>
      </c>
      <c r="AK97" s="209" t="str">
        <f t="shared" ref="AK97:AK160" si="17">IF(AH97=J97,"","change")</f>
        <v/>
      </c>
      <c r="AL97" s="209" t="str">
        <f t="shared" ref="AL97:AL160" si="18">IF(AI97=L97,"","change")</f>
        <v/>
      </c>
      <c r="AM97" s="208" t="str">
        <f>IF($AN97="","",IFERROR(VLOOKUP(CONCATENATE(CTR1_Billing!$E$20,$AN97),'Local Data Previous Year'!$C$3:$D$50000,2,0),CTR1_Billing!$E$21&amp;"NEW"))</f>
        <v/>
      </c>
      <c r="AN97" s="209" t="str" cm="1">
        <f t="array" ref="AN97">IF(ISERROR(INDEX('Local Data Previous Year'!$E$3:$E$50000, SMALL(IF(CTR1_Billing!$E$21='Local Data Previous Year'!$A$3:$A$50000, ROW('Local Data Previous Year'!$A$3:$A$50000)-ROW('Local Data Previous Year'!$A$3)+1), ROW(65:65)))), "", INDEX('Local Data Previous Year'!$E$3:$E$50000, SMALL(IF(CTR1_Billing!$E$21='Local Data Previous Year'!$A$3:$A$50000, ROW('Local Data Previous Year'!$A$3:$A$50000)-ROW('Local Data Previous Year'!$A$3)+1), ROW(65:65))))</f>
        <v/>
      </c>
      <c r="AO97" s="209" t="str">
        <f t="shared" ref="AO97:AO160" si="19">IF(AN97=E97,"","change")</f>
        <v/>
      </c>
      <c r="AP97" s="208"/>
      <c r="AQ97" s="209" t="str">
        <f t="shared" ref="AQ97:AQ160" si="20">IFERROR(J97*1.1,"")</f>
        <v/>
      </c>
      <c r="AR97" s="209" t="str">
        <f t="shared" ref="AR97:AR160" si="21">IFERROR(J97*0.9,"")</f>
        <v/>
      </c>
      <c r="AS97" s="202" t="str">
        <f t="shared" ref="AS97:AS160" si="22">IFERROR(L97+20,"")</f>
        <v/>
      </c>
      <c r="AT97" s="202" t="str">
        <f t="shared" ref="AT97:AT160" si="23">IFERROR(L97-20,"")</f>
        <v/>
      </c>
      <c r="AU97" s="208"/>
      <c r="AV97" s="208"/>
      <c r="AW97" s="208"/>
      <c r="AX97" s="208"/>
      <c r="AY97" s="208"/>
      <c r="AZ97" s="208"/>
      <c r="BA97" s="208"/>
      <c r="BB97" s="208"/>
      <c r="BC97" s="208"/>
      <c r="BD97" s="208"/>
      <c r="BE97" s="208"/>
      <c r="BF97" s="208"/>
      <c r="BG97" s="28"/>
      <c r="BH97" s="28"/>
      <c r="BI97" s="28"/>
      <c r="BJ97" s="28"/>
    </row>
    <row r="98" spans="1:62" s="23" customFormat="1" ht="21" customHeight="1" thickBot="1" x14ac:dyDescent="0.25">
      <c r="A98" s="846" t="str">
        <f>IF($AN98="","",IFERROR(VLOOKUP(CONCATENATE(CTR1_Billing!$E$20,$AN98),'Local Data Previous Year'!$C$3:$D$20000,2,0),CTR1_Billing!$E$21&amp;"NEW"))</f>
        <v/>
      </c>
      <c r="B98" s="846" t="str">
        <f>IF($E98="","",IFERROR(VLOOKUP(CONCATENATE(CTR1_Billing!$E$20,CTR1_Local!$E98),'Local Data Previous Year'!$C$3:$D$20000,2,0),CTR1_Billing!$E$21&amp;"NEW"))</f>
        <v/>
      </c>
      <c r="C98" s="846">
        <v>66</v>
      </c>
      <c r="D98" s="755" t="str" cm="1">
        <f t="array" ref="D98">IF(ISERROR(INDEX('Local Data Previous Year'!$D$3:$D$20000,SMALL(IF(CTR1_Billing!$E$21='Local Data Previous Year'!$A$3:$A$20000,ROW('Local Data Previous Year'!$A$3:$A$20000)-ROW('Local Data Previous Year'!$A$3)+1),ROW(66:66)))),"",INDEX('Local Data Previous Year'!$D$3:$D$20000,SMALL(IF(CTR1_Billing!$E$21='Local Data Previous Year'!$A$3:$A$20000,ROW('Local Data Previous Year'!$A$3:$A$20000)-ROW('Local Data Previous Year'!$A$3)+1),ROW(66:66))))</f>
        <v/>
      </c>
      <c r="E98" s="755" t="str" cm="1">
        <f t="array" ref="E98">IF(ISERROR(INDEX('Local Data Previous Year'!$E$3:$E$20000,SMALL(IF(CTR1_Billing!$E$21='Local Data Previous Year'!$A$3:$A$20000,ROW('Local Data Previous Year'!$A$3:$A$20000)-ROW('Local Data Previous Year'!$A$3)+1),ROW(66:66)))),"",INDEX('Local Data Previous Year'!$E$3:$E$20000,SMALL(IF(CTR1_Billing!$E$21='Local Data Previous Year'!$A$3:$A$20000,ROW('Local Data Previous Year'!$A$3:$A$20000)-ROW('Local Data Previous Year'!$A$3)+1),ROW(66:66))))</f>
        <v/>
      </c>
      <c r="F98" s="756" t="str">
        <f>IF($D98="","",IF(ISNA(MATCH($D98,'Local Data Previous Year'!$D$3:$D$20000,0)),"New",IFERROR(VLOOKUP($B98,'Local Data Previous Year'!$D$3:$I$20000,6,0),"")))</f>
        <v/>
      </c>
      <c r="G98" s="757">
        <f t="shared" ref="G98:G161" si="24">IF(F98="Charter Trustee",1,0)</f>
        <v>0</v>
      </c>
      <c r="H98" s="758" t="str">
        <f>IFERROR(INDEX('Local Data Previous Year'!$F:$F, MATCH($D98, 'Local Data Previous Year'!$D:$D, 0)), "")</f>
        <v/>
      </c>
      <c r="I98" s="759">
        <f>IF(B98=CTR1_Billing!$E$21&amp;"NEW",1,0)</f>
        <v>0</v>
      </c>
      <c r="J98" s="760" t="str">
        <f>IFERROR(INDEX('Local Data Previous Year'!$G:$G, MATCH($D98, 'Local Data Previous Year'!$D:$D, 0)), "")</f>
        <v/>
      </c>
      <c r="K98" s="762"/>
      <c r="L98" s="760" t="str">
        <f>IFERROR(INDEX('Local Data Previous Year'!$H:$H, MATCH($D98, 'Local Data Previous Year'!$D:$D, 0)), "")</f>
        <v/>
      </c>
      <c r="M98" s="762"/>
      <c r="N98" s="763"/>
      <c r="O98" s="767"/>
      <c r="P98" s="765"/>
      <c r="Q98" s="767"/>
      <c r="R98" s="766" t="str">
        <f t="shared" si="12"/>
        <v/>
      </c>
      <c r="S98" s="754"/>
      <c r="T98" s="763"/>
      <c r="U98" s="754"/>
      <c r="V98" s="763"/>
      <c r="W98" s="763"/>
      <c r="X98" s="865" t="str">
        <f>VLOOKUP(CTR1_Billing!$E$21,Data!$C$6:$D$302,1,FALSE)</f>
        <v>EZZZZ</v>
      </c>
      <c r="Y98" s="205"/>
      <c r="Z98" s="205">
        <f t="shared" si="13"/>
        <v>0</v>
      </c>
      <c r="AA98" s="206" t="str">
        <f t="shared" si="14"/>
        <v/>
      </c>
      <c r="AB98" s="205">
        <f t="shared" si="15"/>
        <v>0</v>
      </c>
      <c r="AC98" s="208"/>
      <c r="AD98" s="208"/>
      <c r="AE98" s="208"/>
      <c r="AF98" s="208"/>
      <c r="AG98" s="209" t="str">
        <f>IFERROR(INDEX('Local Data Previous Year'!$F:$F, MATCH($D98, 'Local Data Previous Year'!$D:$D, 0)), "")</f>
        <v/>
      </c>
      <c r="AH98" s="209" t="str">
        <f>IFERROR(INDEX('Local Data Previous Year'!$G:$G, MATCH($D98, 'Local Data Previous Year'!$D:$D, 0)), "")</f>
        <v/>
      </c>
      <c r="AI98" s="209" t="str">
        <f>IFERROR(INDEX('Local Data Previous Year'!$H:$H, MATCH($D98, 'Local Data Previous Year'!$D:$D, 0)), "")</f>
        <v/>
      </c>
      <c r="AJ98" s="209" t="str">
        <f t="shared" si="16"/>
        <v/>
      </c>
      <c r="AK98" s="209" t="str">
        <f t="shared" si="17"/>
        <v/>
      </c>
      <c r="AL98" s="209" t="str">
        <f t="shared" si="18"/>
        <v/>
      </c>
      <c r="AM98" s="208" t="str">
        <f>IF($AN98="","",IFERROR(VLOOKUP(CONCATENATE(CTR1_Billing!$E$20,$AN98),'Local Data Previous Year'!$C$3:$D$50000,2,0),CTR1_Billing!$E$21&amp;"NEW"))</f>
        <v/>
      </c>
      <c r="AN98" s="209" t="str" cm="1">
        <f t="array" ref="AN98">IF(ISERROR(INDEX('Local Data Previous Year'!$E$3:$E$50000, SMALL(IF(CTR1_Billing!$E$21='Local Data Previous Year'!$A$3:$A$50000, ROW('Local Data Previous Year'!$A$3:$A$50000)-ROW('Local Data Previous Year'!$A$3)+1), ROW(66:66)))), "", INDEX('Local Data Previous Year'!$E$3:$E$50000, SMALL(IF(CTR1_Billing!$E$21='Local Data Previous Year'!$A$3:$A$50000, ROW('Local Data Previous Year'!$A$3:$A$50000)-ROW('Local Data Previous Year'!$A$3)+1), ROW(66:66))))</f>
        <v/>
      </c>
      <c r="AO98" s="209" t="str">
        <f t="shared" si="19"/>
        <v/>
      </c>
      <c r="AP98" s="208"/>
      <c r="AQ98" s="209" t="str">
        <f t="shared" si="20"/>
        <v/>
      </c>
      <c r="AR98" s="209" t="str">
        <f t="shared" si="21"/>
        <v/>
      </c>
      <c r="AS98" s="202" t="str">
        <f t="shared" si="22"/>
        <v/>
      </c>
      <c r="AT98" s="202" t="str">
        <f t="shared" si="23"/>
        <v/>
      </c>
      <c r="AU98" s="208"/>
      <c r="AV98" s="208"/>
      <c r="AW98" s="208"/>
      <c r="AX98" s="208"/>
      <c r="AY98" s="208"/>
      <c r="AZ98" s="208"/>
      <c r="BA98" s="208"/>
      <c r="BB98" s="208"/>
      <c r="BC98" s="208"/>
      <c r="BD98" s="208"/>
      <c r="BE98" s="208"/>
      <c r="BF98" s="208"/>
      <c r="BG98" s="28"/>
      <c r="BH98" s="28"/>
      <c r="BI98" s="28"/>
      <c r="BJ98" s="28"/>
    </row>
    <row r="99" spans="1:62" s="23" customFormat="1" ht="21" customHeight="1" thickBot="1" x14ac:dyDescent="0.25">
      <c r="A99" s="846" t="str">
        <f>IF($AN99="","",IFERROR(VLOOKUP(CONCATENATE(CTR1_Billing!$E$20,$AN99),'Local Data Previous Year'!$C$3:$D$20000,2,0),CTR1_Billing!$E$21&amp;"NEW"))</f>
        <v/>
      </c>
      <c r="B99" s="846" t="str">
        <f>IF($E99="","",IFERROR(VLOOKUP(CONCATENATE(CTR1_Billing!$E$20,CTR1_Local!$E99),'Local Data Previous Year'!$C$3:$D$20000,2,0),CTR1_Billing!$E$21&amp;"NEW"))</f>
        <v/>
      </c>
      <c r="C99" s="846">
        <v>67</v>
      </c>
      <c r="D99" s="755" t="str" cm="1">
        <f t="array" ref="D99">IF(ISERROR(INDEX('Local Data Previous Year'!$D$3:$D$20000,SMALL(IF(CTR1_Billing!$E$21='Local Data Previous Year'!$A$3:$A$20000,ROW('Local Data Previous Year'!$A$3:$A$20000)-ROW('Local Data Previous Year'!$A$3)+1),ROW(67:67)))),"",INDEX('Local Data Previous Year'!$D$3:$D$20000,SMALL(IF(CTR1_Billing!$E$21='Local Data Previous Year'!$A$3:$A$20000,ROW('Local Data Previous Year'!$A$3:$A$20000)-ROW('Local Data Previous Year'!$A$3)+1),ROW(67:67))))</f>
        <v/>
      </c>
      <c r="E99" s="755" t="str" cm="1">
        <f t="array" ref="E99">IF(ISERROR(INDEX('Local Data Previous Year'!$E$3:$E$20000,SMALL(IF(CTR1_Billing!$E$21='Local Data Previous Year'!$A$3:$A$20000,ROW('Local Data Previous Year'!$A$3:$A$20000)-ROW('Local Data Previous Year'!$A$3)+1),ROW(67:67)))),"",INDEX('Local Data Previous Year'!$E$3:$E$20000,SMALL(IF(CTR1_Billing!$E$21='Local Data Previous Year'!$A$3:$A$20000,ROW('Local Data Previous Year'!$A$3:$A$20000)-ROW('Local Data Previous Year'!$A$3)+1),ROW(67:67))))</f>
        <v/>
      </c>
      <c r="F99" s="756" t="str">
        <f>IF($D99="","",IF(ISNA(MATCH($D99,'Local Data Previous Year'!$D$3:$D$20000,0)),"New",IFERROR(VLOOKUP($B99,'Local Data Previous Year'!$D$3:$I$20000,6,0),"")))</f>
        <v/>
      </c>
      <c r="G99" s="757">
        <f t="shared" si="24"/>
        <v>0</v>
      </c>
      <c r="H99" s="758" t="str">
        <f>IFERROR(INDEX('Local Data Previous Year'!$F:$F, MATCH($D99, 'Local Data Previous Year'!$D:$D, 0)), "")</f>
        <v/>
      </c>
      <c r="I99" s="759">
        <f>IF(B99=CTR1_Billing!$E$21&amp;"NEW",1,0)</f>
        <v>0</v>
      </c>
      <c r="J99" s="760" t="str">
        <f>IFERROR(INDEX('Local Data Previous Year'!$G:$G, MATCH($D99, 'Local Data Previous Year'!$D:$D, 0)), "")</f>
        <v/>
      </c>
      <c r="K99" s="762"/>
      <c r="L99" s="760" t="str">
        <f>IFERROR(INDEX('Local Data Previous Year'!$H:$H, MATCH($D99, 'Local Data Previous Year'!$D:$D, 0)), "")</f>
        <v/>
      </c>
      <c r="M99" s="762"/>
      <c r="N99" s="763"/>
      <c r="O99" s="767"/>
      <c r="P99" s="765"/>
      <c r="Q99" s="767"/>
      <c r="R99" s="766" t="str">
        <f t="shared" ref="R99:R162" si="25">+IF(N99="","",IF(N99+P99=0,0,+N99/P99))</f>
        <v/>
      </c>
      <c r="S99" s="754"/>
      <c r="T99" s="763"/>
      <c r="U99" s="754"/>
      <c r="V99" s="763"/>
      <c r="W99" s="763"/>
      <c r="X99" s="865" t="str">
        <f>VLOOKUP(CTR1_Billing!$E$21,Data!$C$6:$D$302,1,FALSE)</f>
        <v>EZZZZ</v>
      </c>
      <c r="Y99" s="205"/>
      <c r="Z99" s="205">
        <f t="shared" si="13"/>
        <v>0</v>
      </c>
      <c r="AA99" s="206" t="str">
        <f t="shared" si="14"/>
        <v/>
      </c>
      <c r="AB99" s="205">
        <f t="shared" si="15"/>
        <v>0</v>
      </c>
      <c r="AC99" s="208"/>
      <c r="AD99" s="208"/>
      <c r="AE99" s="208"/>
      <c r="AF99" s="208"/>
      <c r="AG99" s="209" t="str">
        <f>IFERROR(INDEX('Local Data Previous Year'!$F:$F, MATCH($D99, 'Local Data Previous Year'!$D:$D, 0)), "")</f>
        <v/>
      </c>
      <c r="AH99" s="209" t="str">
        <f>IFERROR(INDEX('Local Data Previous Year'!$G:$G, MATCH($D99, 'Local Data Previous Year'!$D:$D, 0)), "")</f>
        <v/>
      </c>
      <c r="AI99" s="209" t="str">
        <f>IFERROR(INDEX('Local Data Previous Year'!$H:$H, MATCH($D99, 'Local Data Previous Year'!$D:$D, 0)), "")</f>
        <v/>
      </c>
      <c r="AJ99" s="209" t="str">
        <f t="shared" si="16"/>
        <v/>
      </c>
      <c r="AK99" s="209" t="str">
        <f t="shared" si="17"/>
        <v/>
      </c>
      <c r="AL99" s="209" t="str">
        <f t="shared" si="18"/>
        <v/>
      </c>
      <c r="AM99" s="208" t="str">
        <f>IF($AN99="","",IFERROR(VLOOKUP(CONCATENATE(CTR1_Billing!$E$20,$AN99),'Local Data Previous Year'!$C$3:$D$50000,2,0),CTR1_Billing!$E$21&amp;"NEW"))</f>
        <v/>
      </c>
      <c r="AN99" s="209" t="str" cm="1">
        <f t="array" ref="AN99">IF(ISERROR(INDEX('Local Data Previous Year'!$E$3:$E$50000, SMALL(IF(CTR1_Billing!$E$21='Local Data Previous Year'!$A$3:$A$50000, ROW('Local Data Previous Year'!$A$3:$A$50000)-ROW('Local Data Previous Year'!$A$3)+1), ROW(67:67)))), "", INDEX('Local Data Previous Year'!$E$3:$E$50000, SMALL(IF(CTR1_Billing!$E$21='Local Data Previous Year'!$A$3:$A$50000, ROW('Local Data Previous Year'!$A$3:$A$50000)-ROW('Local Data Previous Year'!$A$3)+1), ROW(67:67))))</f>
        <v/>
      </c>
      <c r="AO99" s="209" t="str">
        <f t="shared" si="19"/>
        <v/>
      </c>
      <c r="AP99" s="208"/>
      <c r="AQ99" s="209" t="str">
        <f t="shared" si="20"/>
        <v/>
      </c>
      <c r="AR99" s="209" t="str">
        <f t="shared" si="21"/>
        <v/>
      </c>
      <c r="AS99" s="202" t="str">
        <f t="shared" si="22"/>
        <v/>
      </c>
      <c r="AT99" s="202" t="str">
        <f t="shared" si="23"/>
        <v/>
      </c>
      <c r="AU99" s="208"/>
      <c r="AV99" s="208"/>
      <c r="AW99" s="208"/>
      <c r="AX99" s="208"/>
      <c r="AY99" s="208"/>
      <c r="AZ99" s="208"/>
      <c r="BA99" s="208"/>
      <c r="BB99" s="208"/>
      <c r="BC99" s="208"/>
      <c r="BD99" s="208"/>
      <c r="BE99" s="208"/>
      <c r="BF99" s="208"/>
      <c r="BG99" s="28"/>
      <c r="BH99" s="28"/>
      <c r="BI99" s="28"/>
      <c r="BJ99" s="28"/>
    </row>
    <row r="100" spans="1:62" s="23" customFormat="1" ht="21" customHeight="1" thickBot="1" x14ac:dyDescent="0.25">
      <c r="A100" s="846" t="str">
        <f>IF($AN100="","",IFERROR(VLOOKUP(CONCATENATE(CTR1_Billing!$E$20,$AN100),'Local Data Previous Year'!$C$3:$D$20000,2,0),CTR1_Billing!$E$21&amp;"NEW"))</f>
        <v/>
      </c>
      <c r="B100" s="846" t="str">
        <f>IF($E100="","",IFERROR(VLOOKUP(CONCATENATE(CTR1_Billing!$E$20,CTR1_Local!$E100),'Local Data Previous Year'!$C$3:$D$20000,2,0),CTR1_Billing!$E$21&amp;"NEW"))</f>
        <v/>
      </c>
      <c r="C100" s="846">
        <v>68</v>
      </c>
      <c r="D100" s="755" t="str" cm="1">
        <f t="array" ref="D100">IF(ISERROR(INDEX('Local Data Previous Year'!$D$3:$D$20000,SMALL(IF(CTR1_Billing!$E$21='Local Data Previous Year'!$A$3:$A$20000,ROW('Local Data Previous Year'!$A$3:$A$20000)-ROW('Local Data Previous Year'!$A$3)+1),ROW(68:68)))),"",INDEX('Local Data Previous Year'!$D$3:$D$20000,SMALL(IF(CTR1_Billing!$E$21='Local Data Previous Year'!$A$3:$A$20000,ROW('Local Data Previous Year'!$A$3:$A$20000)-ROW('Local Data Previous Year'!$A$3)+1),ROW(68:68))))</f>
        <v/>
      </c>
      <c r="E100" s="755" t="str" cm="1">
        <f t="array" ref="E100">IF(ISERROR(INDEX('Local Data Previous Year'!$E$3:$E$20000,SMALL(IF(CTR1_Billing!$E$21='Local Data Previous Year'!$A$3:$A$20000,ROW('Local Data Previous Year'!$A$3:$A$20000)-ROW('Local Data Previous Year'!$A$3)+1),ROW(68:68)))),"",INDEX('Local Data Previous Year'!$E$3:$E$20000,SMALL(IF(CTR1_Billing!$E$21='Local Data Previous Year'!$A$3:$A$20000,ROW('Local Data Previous Year'!$A$3:$A$20000)-ROW('Local Data Previous Year'!$A$3)+1),ROW(68:68))))</f>
        <v/>
      </c>
      <c r="F100" s="756" t="str">
        <f>IF($D100="","",IF(ISNA(MATCH($D100,'Local Data Previous Year'!$D$3:$D$20000,0)),"New",IFERROR(VLOOKUP($B100,'Local Data Previous Year'!$D$3:$I$20000,6,0),"")))</f>
        <v/>
      </c>
      <c r="G100" s="757">
        <f t="shared" si="24"/>
        <v>0</v>
      </c>
      <c r="H100" s="758" t="str">
        <f>IFERROR(INDEX('Local Data Previous Year'!$F:$F, MATCH($D100, 'Local Data Previous Year'!$D:$D, 0)), "")</f>
        <v/>
      </c>
      <c r="I100" s="759">
        <f>IF(B100=CTR1_Billing!$E$21&amp;"NEW",1,0)</f>
        <v>0</v>
      </c>
      <c r="J100" s="760" t="str">
        <f>IFERROR(INDEX('Local Data Previous Year'!$G:$G, MATCH($D100, 'Local Data Previous Year'!$D:$D, 0)), "")</f>
        <v/>
      </c>
      <c r="K100" s="762"/>
      <c r="L100" s="760" t="str">
        <f>IFERROR(INDEX('Local Data Previous Year'!$H:$H, MATCH($D100, 'Local Data Previous Year'!$D:$D, 0)), "")</f>
        <v/>
      </c>
      <c r="M100" s="762"/>
      <c r="N100" s="763"/>
      <c r="O100" s="767"/>
      <c r="P100" s="765"/>
      <c r="Q100" s="767"/>
      <c r="R100" s="766" t="str">
        <f t="shared" si="25"/>
        <v/>
      </c>
      <c r="S100" s="754"/>
      <c r="T100" s="763"/>
      <c r="U100" s="754"/>
      <c r="V100" s="763"/>
      <c r="W100" s="763"/>
      <c r="X100" s="865" t="str">
        <f>VLOOKUP(CTR1_Billing!$E$21,Data!$C$6:$D$302,1,FALSE)</f>
        <v>EZZZZ</v>
      </c>
      <c r="Y100" s="205"/>
      <c r="Z100" s="205">
        <f t="shared" si="13"/>
        <v>0</v>
      </c>
      <c r="AA100" s="206" t="str">
        <f t="shared" si="14"/>
        <v/>
      </c>
      <c r="AB100" s="205">
        <f t="shared" si="15"/>
        <v>0</v>
      </c>
      <c r="AC100" s="208"/>
      <c r="AD100" s="208"/>
      <c r="AE100" s="208"/>
      <c r="AF100" s="208"/>
      <c r="AG100" s="209" t="str">
        <f>IFERROR(INDEX('Local Data Previous Year'!$F:$F, MATCH($D100, 'Local Data Previous Year'!$D:$D, 0)), "")</f>
        <v/>
      </c>
      <c r="AH100" s="209" t="str">
        <f>IFERROR(INDEX('Local Data Previous Year'!$G:$G, MATCH($D100, 'Local Data Previous Year'!$D:$D, 0)), "")</f>
        <v/>
      </c>
      <c r="AI100" s="209" t="str">
        <f>IFERROR(INDEX('Local Data Previous Year'!$H:$H, MATCH($D100, 'Local Data Previous Year'!$D:$D, 0)), "")</f>
        <v/>
      </c>
      <c r="AJ100" s="209" t="str">
        <f t="shared" si="16"/>
        <v/>
      </c>
      <c r="AK100" s="209" t="str">
        <f t="shared" si="17"/>
        <v/>
      </c>
      <c r="AL100" s="209" t="str">
        <f t="shared" si="18"/>
        <v/>
      </c>
      <c r="AM100" s="208" t="str">
        <f>IF($AN100="","",IFERROR(VLOOKUP(CONCATENATE(CTR1_Billing!$E$20,$AN100),'Local Data Previous Year'!$C$3:$D$50000,2,0),CTR1_Billing!$E$21&amp;"NEW"))</f>
        <v/>
      </c>
      <c r="AN100" s="209" t="str" cm="1">
        <f t="array" ref="AN100">IF(ISERROR(INDEX('Local Data Previous Year'!$E$3:$E$50000, SMALL(IF(CTR1_Billing!$E$21='Local Data Previous Year'!$A$3:$A$50000, ROW('Local Data Previous Year'!$A$3:$A$50000)-ROW('Local Data Previous Year'!$A$3)+1), ROW(68:68)))), "", INDEX('Local Data Previous Year'!$E$3:$E$50000, SMALL(IF(CTR1_Billing!$E$21='Local Data Previous Year'!$A$3:$A$50000, ROW('Local Data Previous Year'!$A$3:$A$50000)-ROW('Local Data Previous Year'!$A$3)+1), ROW(68:68))))</f>
        <v/>
      </c>
      <c r="AO100" s="209" t="str">
        <f t="shared" si="19"/>
        <v/>
      </c>
      <c r="AP100" s="208"/>
      <c r="AQ100" s="209" t="str">
        <f t="shared" si="20"/>
        <v/>
      </c>
      <c r="AR100" s="209" t="str">
        <f t="shared" si="21"/>
        <v/>
      </c>
      <c r="AS100" s="202" t="str">
        <f t="shared" si="22"/>
        <v/>
      </c>
      <c r="AT100" s="202" t="str">
        <f t="shared" si="23"/>
        <v/>
      </c>
      <c r="AU100" s="208"/>
      <c r="AV100" s="208"/>
      <c r="AW100" s="208"/>
      <c r="AX100" s="208"/>
      <c r="AY100" s="208"/>
      <c r="AZ100" s="208"/>
      <c r="BA100" s="208"/>
      <c r="BB100" s="208"/>
      <c r="BC100" s="208"/>
      <c r="BD100" s="208"/>
      <c r="BE100" s="208"/>
      <c r="BF100" s="208"/>
      <c r="BG100" s="28"/>
      <c r="BH100" s="28"/>
      <c r="BI100" s="28"/>
      <c r="BJ100" s="28"/>
    </row>
    <row r="101" spans="1:62" s="23" customFormat="1" ht="21" customHeight="1" thickBot="1" x14ac:dyDescent="0.25">
      <c r="A101" s="846" t="str">
        <f>IF($AN101="","",IFERROR(VLOOKUP(CONCATENATE(CTR1_Billing!$E$20,$AN101),'Local Data Previous Year'!$C$3:$D$20000,2,0),CTR1_Billing!$E$21&amp;"NEW"))</f>
        <v/>
      </c>
      <c r="B101" s="846" t="str">
        <f>IF($E101="","",IFERROR(VLOOKUP(CONCATENATE(CTR1_Billing!$E$20,CTR1_Local!$E101),'Local Data Previous Year'!$C$3:$D$20000,2,0),CTR1_Billing!$E$21&amp;"NEW"))</f>
        <v/>
      </c>
      <c r="C101" s="846">
        <v>69</v>
      </c>
      <c r="D101" s="755" t="str" cm="1">
        <f t="array" ref="D101">IF(ISERROR(INDEX('Local Data Previous Year'!$D$3:$D$20000,SMALL(IF(CTR1_Billing!$E$21='Local Data Previous Year'!$A$3:$A$20000,ROW('Local Data Previous Year'!$A$3:$A$20000)-ROW('Local Data Previous Year'!$A$3)+1),ROW(69:69)))),"",INDEX('Local Data Previous Year'!$D$3:$D$20000,SMALL(IF(CTR1_Billing!$E$21='Local Data Previous Year'!$A$3:$A$20000,ROW('Local Data Previous Year'!$A$3:$A$20000)-ROW('Local Data Previous Year'!$A$3)+1),ROW(69:69))))</f>
        <v/>
      </c>
      <c r="E101" s="755" t="str" cm="1">
        <f t="array" ref="E101">IF(ISERROR(INDEX('Local Data Previous Year'!$E$3:$E$20000,SMALL(IF(CTR1_Billing!$E$21='Local Data Previous Year'!$A$3:$A$20000,ROW('Local Data Previous Year'!$A$3:$A$20000)-ROW('Local Data Previous Year'!$A$3)+1),ROW(69:69)))),"",INDEX('Local Data Previous Year'!$E$3:$E$20000,SMALL(IF(CTR1_Billing!$E$21='Local Data Previous Year'!$A$3:$A$20000,ROW('Local Data Previous Year'!$A$3:$A$20000)-ROW('Local Data Previous Year'!$A$3)+1),ROW(69:69))))</f>
        <v/>
      </c>
      <c r="F101" s="756" t="str">
        <f>IF($D101="","",IF(ISNA(MATCH($D101,'Local Data Previous Year'!$D$3:$D$20000,0)),"New",IFERROR(VLOOKUP($B101,'Local Data Previous Year'!$D$3:$I$20000,6,0),"")))</f>
        <v/>
      </c>
      <c r="G101" s="757">
        <f t="shared" si="24"/>
        <v>0</v>
      </c>
      <c r="H101" s="758" t="str">
        <f>IFERROR(INDEX('Local Data Previous Year'!$F:$F, MATCH($D101, 'Local Data Previous Year'!$D:$D, 0)), "")</f>
        <v/>
      </c>
      <c r="I101" s="759">
        <f>IF(B101=CTR1_Billing!$E$21&amp;"NEW",1,0)</f>
        <v>0</v>
      </c>
      <c r="J101" s="760" t="str">
        <f>IFERROR(INDEX('Local Data Previous Year'!$G:$G, MATCH($D101, 'Local Data Previous Year'!$D:$D, 0)), "")</f>
        <v/>
      </c>
      <c r="K101" s="762"/>
      <c r="L101" s="760" t="str">
        <f>IFERROR(INDEX('Local Data Previous Year'!$H:$H, MATCH($D101, 'Local Data Previous Year'!$D:$D, 0)), "")</f>
        <v/>
      </c>
      <c r="M101" s="762"/>
      <c r="N101" s="763"/>
      <c r="O101" s="767"/>
      <c r="P101" s="765"/>
      <c r="Q101" s="767"/>
      <c r="R101" s="766" t="str">
        <f t="shared" si="25"/>
        <v/>
      </c>
      <c r="S101" s="754"/>
      <c r="T101" s="763"/>
      <c r="U101" s="754"/>
      <c r="V101" s="763"/>
      <c r="W101" s="763"/>
      <c r="X101" s="865" t="str">
        <f>VLOOKUP(CTR1_Billing!$E$21,Data!$C$6:$D$302,1,FALSE)</f>
        <v>EZZZZ</v>
      </c>
      <c r="Y101" s="205"/>
      <c r="Z101" s="205">
        <f t="shared" si="13"/>
        <v>0</v>
      </c>
      <c r="AA101" s="206" t="str">
        <f t="shared" si="14"/>
        <v/>
      </c>
      <c r="AB101" s="205">
        <f t="shared" si="15"/>
        <v>0</v>
      </c>
      <c r="AC101" s="208"/>
      <c r="AD101" s="208"/>
      <c r="AE101" s="208"/>
      <c r="AF101" s="208"/>
      <c r="AG101" s="209" t="str">
        <f>IFERROR(INDEX('Local Data Previous Year'!$F:$F, MATCH($D101, 'Local Data Previous Year'!$D:$D, 0)), "")</f>
        <v/>
      </c>
      <c r="AH101" s="209" t="str">
        <f>IFERROR(INDEX('Local Data Previous Year'!$G:$G, MATCH($D101, 'Local Data Previous Year'!$D:$D, 0)), "")</f>
        <v/>
      </c>
      <c r="AI101" s="209" t="str">
        <f>IFERROR(INDEX('Local Data Previous Year'!$H:$H, MATCH($D101, 'Local Data Previous Year'!$D:$D, 0)), "")</f>
        <v/>
      </c>
      <c r="AJ101" s="209" t="str">
        <f t="shared" si="16"/>
        <v/>
      </c>
      <c r="AK101" s="209" t="str">
        <f t="shared" si="17"/>
        <v/>
      </c>
      <c r="AL101" s="209" t="str">
        <f t="shared" si="18"/>
        <v/>
      </c>
      <c r="AM101" s="208" t="str">
        <f>IF($AN101="","",IFERROR(VLOOKUP(CONCATENATE(CTR1_Billing!$E$20,$AN101),'Local Data Previous Year'!$C$3:$D$50000,2,0),CTR1_Billing!$E$21&amp;"NEW"))</f>
        <v/>
      </c>
      <c r="AN101" s="209" t="str" cm="1">
        <f t="array" ref="AN101">IF(ISERROR(INDEX('Local Data Previous Year'!$E$3:$E$50000, SMALL(IF(CTR1_Billing!$E$21='Local Data Previous Year'!$A$3:$A$50000, ROW('Local Data Previous Year'!$A$3:$A$50000)-ROW('Local Data Previous Year'!$A$3)+1), ROW(69:69)))), "", INDEX('Local Data Previous Year'!$E$3:$E$50000, SMALL(IF(CTR1_Billing!$E$21='Local Data Previous Year'!$A$3:$A$50000, ROW('Local Data Previous Year'!$A$3:$A$50000)-ROW('Local Data Previous Year'!$A$3)+1), ROW(69:69))))</f>
        <v/>
      </c>
      <c r="AO101" s="209" t="str">
        <f t="shared" si="19"/>
        <v/>
      </c>
      <c r="AP101" s="208"/>
      <c r="AQ101" s="209" t="str">
        <f t="shared" si="20"/>
        <v/>
      </c>
      <c r="AR101" s="209" t="str">
        <f t="shared" si="21"/>
        <v/>
      </c>
      <c r="AS101" s="202" t="str">
        <f t="shared" si="22"/>
        <v/>
      </c>
      <c r="AT101" s="202" t="str">
        <f t="shared" si="23"/>
        <v/>
      </c>
      <c r="AU101" s="208"/>
      <c r="AV101" s="208"/>
      <c r="AW101" s="208"/>
      <c r="AX101" s="208"/>
      <c r="AY101" s="208"/>
      <c r="AZ101" s="208"/>
      <c r="BA101" s="208"/>
      <c r="BB101" s="208"/>
      <c r="BC101" s="208"/>
      <c r="BD101" s="208"/>
      <c r="BE101" s="208"/>
      <c r="BF101" s="208"/>
      <c r="BG101" s="28"/>
      <c r="BH101" s="28"/>
      <c r="BI101" s="28"/>
      <c r="BJ101" s="28"/>
    </row>
    <row r="102" spans="1:62" s="23" customFormat="1" ht="21" customHeight="1" thickBot="1" x14ac:dyDescent="0.25">
      <c r="A102" s="846" t="str">
        <f>IF($AN102="","",IFERROR(VLOOKUP(CONCATENATE(CTR1_Billing!$E$20,$AN102),'Local Data Previous Year'!$C$3:$D$20000,2,0),CTR1_Billing!$E$21&amp;"NEW"))</f>
        <v/>
      </c>
      <c r="B102" s="846" t="str">
        <f>IF($E102="","",IFERROR(VLOOKUP(CONCATENATE(CTR1_Billing!$E$20,CTR1_Local!$E102),'Local Data Previous Year'!$C$3:$D$20000,2,0),CTR1_Billing!$E$21&amp;"NEW"))</f>
        <v/>
      </c>
      <c r="C102" s="846">
        <v>70</v>
      </c>
      <c r="D102" s="755" t="str" cm="1">
        <f t="array" ref="D102">IF(ISERROR(INDEX('Local Data Previous Year'!$D$3:$D$20000,SMALL(IF(CTR1_Billing!$E$21='Local Data Previous Year'!$A$3:$A$20000,ROW('Local Data Previous Year'!$A$3:$A$20000)-ROW('Local Data Previous Year'!$A$3)+1),ROW(70:70)))),"",INDEX('Local Data Previous Year'!$D$3:$D$20000,SMALL(IF(CTR1_Billing!$E$21='Local Data Previous Year'!$A$3:$A$20000,ROW('Local Data Previous Year'!$A$3:$A$20000)-ROW('Local Data Previous Year'!$A$3)+1),ROW(70:70))))</f>
        <v/>
      </c>
      <c r="E102" s="755" t="str" cm="1">
        <f t="array" ref="E102">IF(ISERROR(INDEX('Local Data Previous Year'!$E$3:$E$20000,SMALL(IF(CTR1_Billing!$E$21='Local Data Previous Year'!$A$3:$A$20000,ROW('Local Data Previous Year'!$A$3:$A$20000)-ROW('Local Data Previous Year'!$A$3)+1),ROW(70:70)))),"",INDEX('Local Data Previous Year'!$E$3:$E$20000,SMALL(IF(CTR1_Billing!$E$21='Local Data Previous Year'!$A$3:$A$20000,ROW('Local Data Previous Year'!$A$3:$A$20000)-ROW('Local Data Previous Year'!$A$3)+1),ROW(70:70))))</f>
        <v/>
      </c>
      <c r="F102" s="756" t="str">
        <f>IF($D102="","",IF(ISNA(MATCH($D102,'Local Data Previous Year'!$D$3:$D$20000,0)),"New",IFERROR(VLOOKUP($B102,'Local Data Previous Year'!$D$3:$I$20000,6,0),"")))</f>
        <v/>
      </c>
      <c r="G102" s="757">
        <f t="shared" si="24"/>
        <v>0</v>
      </c>
      <c r="H102" s="758" t="str">
        <f>IFERROR(INDEX('Local Data Previous Year'!$F:$F, MATCH($D102, 'Local Data Previous Year'!$D:$D, 0)), "")</f>
        <v/>
      </c>
      <c r="I102" s="759">
        <f>IF(B102=CTR1_Billing!$E$21&amp;"NEW",1,0)</f>
        <v>0</v>
      </c>
      <c r="J102" s="760" t="str">
        <f>IFERROR(INDEX('Local Data Previous Year'!$G:$G, MATCH($D102, 'Local Data Previous Year'!$D:$D, 0)), "")</f>
        <v/>
      </c>
      <c r="K102" s="762"/>
      <c r="L102" s="760" t="str">
        <f>IFERROR(INDEX('Local Data Previous Year'!$H:$H, MATCH($D102, 'Local Data Previous Year'!$D:$D, 0)), "")</f>
        <v/>
      </c>
      <c r="M102" s="762"/>
      <c r="N102" s="763"/>
      <c r="O102" s="767"/>
      <c r="P102" s="765"/>
      <c r="Q102" s="767"/>
      <c r="R102" s="766" t="str">
        <f t="shared" si="25"/>
        <v/>
      </c>
      <c r="S102" s="754"/>
      <c r="T102" s="763"/>
      <c r="U102" s="754"/>
      <c r="V102" s="763"/>
      <c r="W102" s="763"/>
      <c r="X102" s="865" t="str">
        <f>VLOOKUP(CTR1_Billing!$E$21,Data!$C$6:$D$302,1,FALSE)</f>
        <v>EZZZZ</v>
      </c>
      <c r="Y102" s="205"/>
      <c r="Z102" s="205">
        <f t="shared" si="13"/>
        <v>0</v>
      </c>
      <c r="AA102" s="206" t="str">
        <f t="shared" si="14"/>
        <v/>
      </c>
      <c r="AB102" s="205">
        <f t="shared" si="15"/>
        <v>0</v>
      </c>
      <c r="AC102" s="208"/>
      <c r="AD102" s="208"/>
      <c r="AE102" s="208"/>
      <c r="AF102" s="208"/>
      <c r="AG102" s="209" t="str">
        <f>IFERROR(INDEX('Local Data Previous Year'!$F:$F, MATCH($D102, 'Local Data Previous Year'!$D:$D, 0)), "")</f>
        <v/>
      </c>
      <c r="AH102" s="209" t="str">
        <f>IFERROR(INDEX('Local Data Previous Year'!$G:$G, MATCH($D102, 'Local Data Previous Year'!$D:$D, 0)), "")</f>
        <v/>
      </c>
      <c r="AI102" s="209" t="str">
        <f>IFERROR(INDEX('Local Data Previous Year'!$H:$H, MATCH($D102, 'Local Data Previous Year'!$D:$D, 0)), "")</f>
        <v/>
      </c>
      <c r="AJ102" s="209" t="str">
        <f t="shared" si="16"/>
        <v/>
      </c>
      <c r="AK102" s="209" t="str">
        <f t="shared" si="17"/>
        <v/>
      </c>
      <c r="AL102" s="209" t="str">
        <f t="shared" si="18"/>
        <v/>
      </c>
      <c r="AM102" s="208" t="str">
        <f>IF($AN102="","",IFERROR(VLOOKUP(CONCATENATE(CTR1_Billing!$E$20,$AN102),'Local Data Previous Year'!$C$3:$D$50000,2,0),CTR1_Billing!$E$21&amp;"NEW"))</f>
        <v/>
      </c>
      <c r="AN102" s="209" t="str" cm="1">
        <f t="array" ref="AN102">IF(ISERROR(INDEX('Local Data Previous Year'!$E$3:$E$50000, SMALL(IF(CTR1_Billing!$E$21='Local Data Previous Year'!$A$3:$A$50000, ROW('Local Data Previous Year'!$A$3:$A$50000)-ROW('Local Data Previous Year'!$A$3)+1), ROW(70:70)))), "", INDEX('Local Data Previous Year'!$E$3:$E$50000, SMALL(IF(CTR1_Billing!$E$21='Local Data Previous Year'!$A$3:$A$50000, ROW('Local Data Previous Year'!$A$3:$A$50000)-ROW('Local Data Previous Year'!$A$3)+1), ROW(70:70))))</f>
        <v/>
      </c>
      <c r="AO102" s="209" t="str">
        <f t="shared" si="19"/>
        <v/>
      </c>
      <c r="AP102" s="208"/>
      <c r="AQ102" s="209" t="str">
        <f t="shared" si="20"/>
        <v/>
      </c>
      <c r="AR102" s="209" t="str">
        <f t="shared" si="21"/>
        <v/>
      </c>
      <c r="AS102" s="202" t="str">
        <f t="shared" si="22"/>
        <v/>
      </c>
      <c r="AT102" s="202" t="str">
        <f t="shared" si="23"/>
        <v/>
      </c>
      <c r="AU102" s="208"/>
      <c r="AV102" s="208"/>
      <c r="AW102" s="208"/>
      <c r="AX102" s="208"/>
      <c r="AY102" s="208"/>
      <c r="AZ102" s="208"/>
      <c r="BA102" s="208"/>
      <c r="BB102" s="208"/>
      <c r="BC102" s="208"/>
      <c r="BD102" s="208"/>
      <c r="BE102" s="208"/>
      <c r="BF102" s="208"/>
      <c r="BG102" s="28"/>
      <c r="BH102" s="28"/>
      <c r="BI102" s="28"/>
      <c r="BJ102" s="28"/>
    </row>
    <row r="103" spans="1:62" s="23" customFormat="1" ht="21" customHeight="1" thickBot="1" x14ac:dyDescent="0.25">
      <c r="A103" s="846" t="str">
        <f>IF($AN103="","",IFERROR(VLOOKUP(CONCATENATE(CTR1_Billing!$E$20,$AN103),'Local Data Previous Year'!$C$3:$D$20000,2,0),CTR1_Billing!$E$21&amp;"NEW"))</f>
        <v/>
      </c>
      <c r="B103" s="846" t="str">
        <f>IF($E103="","",IFERROR(VLOOKUP(CONCATENATE(CTR1_Billing!$E$20,CTR1_Local!$E103),'Local Data Previous Year'!$C$3:$D$20000,2,0),CTR1_Billing!$E$21&amp;"NEW"))</f>
        <v/>
      </c>
      <c r="C103" s="846">
        <v>71</v>
      </c>
      <c r="D103" s="755" t="str" cm="1">
        <f t="array" ref="D103">IF(ISERROR(INDEX('Local Data Previous Year'!$D$3:$D$20000,SMALL(IF(CTR1_Billing!$E$21='Local Data Previous Year'!$A$3:$A$20000,ROW('Local Data Previous Year'!$A$3:$A$20000)-ROW('Local Data Previous Year'!$A$3)+1),ROW(71:71)))),"",INDEX('Local Data Previous Year'!$D$3:$D$20000,SMALL(IF(CTR1_Billing!$E$21='Local Data Previous Year'!$A$3:$A$20000,ROW('Local Data Previous Year'!$A$3:$A$20000)-ROW('Local Data Previous Year'!$A$3)+1),ROW(71:71))))</f>
        <v/>
      </c>
      <c r="E103" s="755" t="str" cm="1">
        <f t="array" ref="E103">IF(ISERROR(INDEX('Local Data Previous Year'!$E$3:$E$20000,SMALL(IF(CTR1_Billing!$E$21='Local Data Previous Year'!$A$3:$A$20000,ROW('Local Data Previous Year'!$A$3:$A$20000)-ROW('Local Data Previous Year'!$A$3)+1),ROW(71:71)))),"",INDEX('Local Data Previous Year'!$E$3:$E$20000,SMALL(IF(CTR1_Billing!$E$21='Local Data Previous Year'!$A$3:$A$20000,ROW('Local Data Previous Year'!$A$3:$A$20000)-ROW('Local Data Previous Year'!$A$3)+1),ROW(71:71))))</f>
        <v/>
      </c>
      <c r="F103" s="756" t="str">
        <f>IF($D103="","",IF(ISNA(MATCH($D103,'Local Data Previous Year'!$D$3:$D$20000,0)),"New",IFERROR(VLOOKUP($B103,'Local Data Previous Year'!$D$3:$I$20000,6,0),"")))</f>
        <v/>
      </c>
      <c r="G103" s="757">
        <f t="shared" si="24"/>
        <v>0</v>
      </c>
      <c r="H103" s="758" t="str">
        <f>IFERROR(INDEX('Local Data Previous Year'!$F:$F, MATCH($D103, 'Local Data Previous Year'!$D:$D, 0)), "")</f>
        <v/>
      </c>
      <c r="I103" s="759">
        <f>IF(B103=CTR1_Billing!$E$21&amp;"NEW",1,0)</f>
        <v>0</v>
      </c>
      <c r="J103" s="760" t="str">
        <f>IFERROR(INDEX('Local Data Previous Year'!$G:$G, MATCH($D103, 'Local Data Previous Year'!$D:$D, 0)), "")</f>
        <v/>
      </c>
      <c r="K103" s="762"/>
      <c r="L103" s="760" t="str">
        <f>IFERROR(INDEX('Local Data Previous Year'!$H:$H, MATCH($D103, 'Local Data Previous Year'!$D:$D, 0)), "")</f>
        <v/>
      </c>
      <c r="M103" s="762"/>
      <c r="N103" s="763"/>
      <c r="O103" s="767"/>
      <c r="P103" s="765"/>
      <c r="Q103" s="767"/>
      <c r="R103" s="766" t="str">
        <f t="shared" si="25"/>
        <v/>
      </c>
      <c r="S103" s="754"/>
      <c r="T103" s="763"/>
      <c r="U103" s="754"/>
      <c r="V103" s="763"/>
      <c r="W103" s="763"/>
      <c r="X103" s="865" t="str">
        <f>VLOOKUP(CTR1_Billing!$E$21,Data!$C$6:$D$302,1,FALSE)</f>
        <v>EZZZZ</v>
      </c>
      <c r="Y103" s="205"/>
      <c r="Z103" s="205">
        <f t="shared" si="13"/>
        <v>0</v>
      </c>
      <c r="AA103" s="206" t="str">
        <f t="shared" si="14"/>
        <v/>
      </c>
      <c r="AB103" s="205">
        <f t="shared" si="15"/>
        <v>0</v>
      </c>
      <c r="AC103" s="208"/>
      <c r="AD103" s="208"/>
      <c r="AE103" s="208"/>
      <c r="AF103" s="208"/>
      <c r="AG103" s="209" t="str">
        <f>IFERROR(INDEX('Local Data Previous Year'!$F:$F, MATCH($D103, 'Local Data Previous Year'!$D:$D, 0)), "")</f>
        <v/>
      </c>
      <c r="AH103" s="209" t="str">
        <f>IFERROR(INDEX('Local Data Previous Year'!$G:$G, MATCH($D103, 'Local Data Previous Year'!$D:$D, 0)), "")</f>
        <v/>
      </c>
      <c r="AI103" s="209" t="str">
        <f>IFERROR(INDEX('Local Data Previous Year'!$H:$H, MATCH($D103, 'Local Data Previous Year'!$D:$D, 0)), "")</f>
        <v/>
      </c>
      <c r="AJ103" s="209" t="str">
        <f t="shared" si="16"/>
        <v/>
      </c>
      <c r="AK103" s="209" t="str">
        <f t="shared" si="17"/>
        <v/>
      </c>
      <c r="AL103" s="209" t="str">
        <f t="shared" si="18"/>
        <v/>
      </c>
      <c r="AM103" s="208" t="str">
        <f>IF($AN103="","",IFERROR(VLOOKUP(CONCATENATE(CTR1_Billing!$E$20,$AN103),'Local Data Previous Year'!$C$3:$D$50000,2,0),CTR1_Billing!$E$21&amp;"NEW"))</f>
        <v/>
      </c>
      <c r="AN103" s="209" t="str" cm="1">
        <f t="array" ref="AN103">IF(ISERROR(INDEX('Local Data Previous Year'!$E$3:$E$50000, SMALL(IF(CTR1_Billing!$E$21='Local Data Previous Year'!$A$3:$A$50000, ROW('Local Data Previous Year'!$A$3:$A$50000)-ROW('Local Data Previous Year'!$A$3)+1), ROW(71:71)))), "", INDEX('Local Data Previous Year'!$E$3:$E$50000, SMALL(IF(CTR1_Billing!$E$21='Local Data Previous Year'!$A$3:$A$50000, ROW('Local Data Previous Year'!$A$3:$A$50000)-ROW('Local Data Previous Year'!$A$3)+1), ROW(71:71))))</f>
        <v/>
      </c>
      <c r="AO103" s="209" t="str">
        <f t="shared" si="19"/>
        <v/>
      </c>
      <c r="AP103" s="208"/>
      <c r="AQ103" s="209" t="str">
        <f t="shared" si="20"/>
        <v/>
      </c>
      <c r="AR103" s="209" t="str">
        <f t="shared" si="21"/>
        <v/>
      </c>
      <c r="AS103" s="202" t="str">
        <f t="shared" si="22"/>
        <v/>
      </c>
      <c r="AT103" s="202" t="str">
        <f t="shared" si="23"/>
        <v/>
      </c>
      <c r="AU103" s="208"/>
      <c r="AV103" s="208"/>
      <c r="AW103" s="208"/>
      <c r="AX103" s="208"/>
      <c r="AY103" s="208"/>
      <c r="AZ103" s="208"/>
      <c r="BA103" s="208"/>
      <c r="BB103" s="208"/>
      <c r="BC103" s="208"/>
      <c r="BD103" s="208"/>
      <c r="BE103" s="208"/>
      <c r="BF103" s="208"/>
      <c r="BG103" s="28"/>
      <c r="BH103" s="28"/>
      <c r="BI103" s="28"/>
      <c r="BJ103" s="28"/>
    </row>
    <row r="104" spans="1:62" s="23" customFormat="1" ht="21" customHeight="1" thickBot="1" x14ac:dyDescent="0.25">
      <c r="A104" s="846" t="str">
        <f>IF($AN104="","",IFERROR(VLOOKUP(CONCATENATE(CTR1_Billing!$E$20,$AN104),'Local Data Previous Year'!$C$3:$D$20000,2,0),CTR1_Billing!$E$21&amp;"NEW"))</f>
        <v/>
      </c>
      <c r="B104" s="846" t="str">
        <f>IF($E104="","",IFERROR(VLOOKUP(CONCATENATE(CTR1_Billing!$E$20,CTR1_Local!$E104),'Local Data Previous Year'!$C$3:$D$20000,2,0),CTR1_Billing!$E$21&amp;"NEW"))</f>
        <v/>
      </c>
      <c r="C104" s="846">
        <v>72</v>
      </c>
      <c r="D104" s="755" t="str" cm="1">
        <f t="array" ref="D104">IF(ISERROR(INDEX('Local Data Previous Year'!$D$3:$D$20000,SMALL(IF(CTR1_Billing!$E$21='Local Data Previous Year'!$A$3:$A$20000,ROW('Local Data Previous Year'!$A$3:$A$20000)-ROW('Local Data Previous Year'!$A$3)+1),ROW(72:72)))),"",INDEX('Local Data Previous Year'!$D$3:$D$20000,SMALL(IF(CTR1_Billing!$E$21='Local Data Previous Year'!$A$3:$A$20000,ROW('Local Data Previous Year'!$A$3:$A$20000)-ROW('Local Data Previous Year'!$A$3)+1),ROW(72:72))))</f>
        <v/>
      </c>
      <c r="E104" s="755" t="str" cm="1">
        <f t="array" ref="E104">IF(ISERROR(INDEX('Local Data Previous Year'!$E$3:$E$20000,SMALL(IF(CTR1_Billing!$E$21='Local Data Previous Year'!$A$3:$A$20000,ROW('Local Data Previous Year'!$A$3:$A$20000)-ROW('Local Data Previous Year'!$A$3)+1),ROW(72:72)))),"",INDEX('Local Data Previous Year'!$E$3:$E$20000,SMALL(IF(CTR1_Billing!$E$21='Local Data Previous Year'!$A$3:$A$20000,ROW('Local Data Previous Year'!$A$3:$A$20000)-ROW('Local Data Previous Year'!$A$3)+1),ROW(72:72))))</f>
        <v/>
      </c>
      <c r="F104" s="756" t="str">
        <f>IF($D104="","",IF(ISNA(MATCH($D104,'Local Data Previous Year'!$D$3:$D$20000,0)),"New",IFERROR(VLOOKUP($B104,'Local Data Previous Year'!$D$3:$I$20000,6,0),"")))</f>
        <v/>
      </c>
      <c r="G104" s="757">
        <f t="shared" si="24"/>
        <v>0</v>
      </c>
      <c r="H104" s="758" t="str">
        <f>IFERROR(INDEX('Local Data Previous Year'!$F:$F, MATCH($D104, 'Local Data Previous Year'!$D:$D, 0)), "")</f>
        <v/>
      </c>
      <c r="I104" s="759">
        <f>IF(B104=CTR1_Billing!$E$21&amp;"NEW",1,0)</f>
        <v>0</v>
      </c>
      <c r="J104" s="760" t="str">
        <f>IFERROR(INDEX('Local Data Previous Year'!$G:$G, MATCH($D104, 'Local Data Previous Year'!$D:$D, 0)), "")</f>
        <v/>
      </c>
      <c r="K104" s="762"/>
      <c r="L104" s="760" t="str">
        <f>IFERROR(INDEX('Local Data Previous Year'!$H:$H, MATCH($D104, 'Local Data Previous Year'!$D:$D, 0)), "")</f>
        <v/>
      </c>
      <c r="M104" s="762"/>
      <c r="N104" s="763"/>
      <c r="O104" s="767"/>
      <c r="P104" s="765"/>
      <c r="Q104" s="767"/>
      <c r="R104" s="766" t="str">
        <f t="shared" si="25"/>
        <v/>
      </c>
      <c r="S104" s="754"/>
      <c r="T104" s="763"/>
      <c r="U104" s="754"/>
      <c r="V104" s="763"/>
      <c r="W104" s="763"/>
      <c r="X104" s="865" t="str">
        <f>VLOOKUP(CTR1_Billing!$E$21,Data!$C$6:$D$302,1,FALSE)</f>
        <v>EZZZZ</v>
      </c>
      <c r="Y104" s="205"/>
      <c r="Z104" s="205">
        <f t="shared" si="13"/>
        <v>0</v>
      </c>
      <c r="AA104" s="206" t="str">
        <f t="shared" si="14"/>
        <v/>
      </c>
      <c r="AB104" s="205">
        <f t="shared" si="15"/>
        <v>0</v>
      </c>
      <c r="AC104" s="208"/>
      <c r="AD104" s="208"/>
      <c r="AE104" s="208"/>
      <c r="AF104" s="208"/>
      <c r="AG104" s="209" t="str">
        <f>IFERROR(INDEX('Local Data Previous Year'!$F:$F, MATCH($D104, 'Local Data Previous Year'!$D:$D, 0)), "")</f>
        <v/>
      </c>
      <c r="AH104" s="209" t="str">
        <f>IFERROR(INDEX('Local Data Previous Year'!$G:$G, MATCH($D104, 'Local Data Previous Year'!$D:$D, 0)), "")</f>
        <v/>
      </c>
      <c r="AI104" s="209" t="str">
        <f>IFERROR(INDEX('Local Data Previous Year'!$H:$H, MATCH($D104, 'Local Data Previous Year'!$D:$D, 0)), "")</f>
        <v/>
      </c>
      <c r="AJ104" s="209" t="str">
        <f t="shared" si="16"/>
        <v/>
      </c>
      <c r="AK104" s="209" t="str">
        <f t="shared" si="17"/>
        <v/>
      </c>
      <c r="AL104" s="209" t="str">
        <f t="shared" si="18"/>
        <v/>
      </c>
      <c r="AM104" s="208" t="str">
        <f>IF($AN104="","",IFERROR(VLOOKUP(CONCATENATE(CTR1_Billing!$E$20,$AN104),'Local Data Previous Year'!$C$3:$D$50000,2,0),CTR1_Billing!$E$21&amp;"NEW"))</f>
        <v/>
      </c>
      <c r="AN104" s="209" t="str" cm="1">
        <f t="array" ref="AN104">IF(ISERROR(INDEX('Local Data Previous Year'!$E$3:$E$50000, SMALL(IF(CTR1_Billing!$E$21='Local Data Previous Year'!$A$3:$A$50000, ROW('Local Data Previous Year'!$A$3:$A$50000)-ROW('Local Data Previous Year'!$A$3)+1), ROW(72:72)))), "", INDEX('Local Data Previous Year'!$E$3:$E$50000, SMALL(IF(CTR1_Billing!$E$21='Local Data Previous Year'!$A$3:$A$50000, ROW('Local Data Previous Year'!$A$3:$A$50000)-ROW('Local Data Previous Year'!$A$3)+1), ROW(72:72))))</f>
        <v/>
      </c>
      <c r="AO104" s="209" t="str">
        <f t="shared" si="19"/>
        <v/>
      </c>
      <c r="AP104" s="208"/>
      <c r="AQ104" s="209" t="str">
        <f t="shared" si="20"/>
        <v/>
      </c>
      <c r="AR104" s="209" t="str">
        <f t="shared" si="21"/>
        <v/>
      </c>
      <c r="AS104" s="202" t="str">
        <f t="shared" si="22"/>
        <v/>
      </c>
      <c r="AT104" s="202" t="str">
        <f t="shared" si="23"/>
        <v/>
      </c>
      <c r="AU104" s="208"/>
      <c r="AV104" s="208"/>
      <c r="AW104" s="208"/>
      <c r="AX104" s="208"/>
      <c r="AY104" s="208"/>
      <c r="AZ104" s="208"/>
      <c r="BA104" s="208"/>
      <c r="BB104" s="208"/>
      <c r="BC104" s="208"/>
      <c r="BD104" s="208"/>
      <c r="BE104" s="208"/>
      <c r="BF104" s="208"/>
      <c r="BG104" s="28"/>
      <c r="BH104" s="28"/>
      <c r="BI104" s="28"/>
      <c r="BJ104" s="28"/>
    </row>
    <row r="105" spans="1:62" s="23" customFormat="1" ht="21" customHeight="1" thickBot="1" x14ac:dyDescent="0.25">
      <c r="A105" s="846" t="str">
        <f>IF($AN105="","",IFERROR(VLOOKUP(CONCATENATE(CTR1_Billing!$E$20,$AN105),'Local Data Previous Year'!$C$3:$D$20000,2,0),CTR1_Billing!$E$21&amp;"NEW"))</f>
        <v/>
      </c>
      <c r="B105" s="846" t="str">
        <f>IF($E105="","",IFERROR(VLOOKUP(CONCATENATE(CTR1_Billing!$E$20,CTR1_Local!$E105),'Local Data Previous Year'!$C$3:$D$20000,2,0),CTR1_Billing!$E$21&amp;"NEW"))</f>
        <v/>
      </c>
      <c r="C105" s="846">
        <v>73</v>
      </c>
      <c r="D105" s="755" t="str" cm="1">
        <f t="array" ref="D105">IF(ISERROR(INDEX('Local Data Previous Year'!$D$3:$D$20000,SMALL(IF(CTR1_Billing!$E$21='Local Data Previous Year'!$A$3:$A$20000,ROW('Local Data Previous Year'!$A$3:$A$20000)-ROW('Local Data Previous Year'!$A$3)+1),ROW(73:73)))),"",INDEX('Local Data Previous Year'!$D$3:$D$20000,SMALL(IF(CTR1_Billing!$E$21='Local Data Previous Year'!$A$3:$A$20000,ROW('Local Data Previous Year'!$A$3:$A$20000)-ROW('Local Data Previous Year'!$A$3)+1),ROW(73:73))))</f>
        <v/>
      </c>
      <c r="E105" s="755" t="str" cm="1">
        <f t="array" ref="E105">IF(ISERROR(INDEX('Local Data Previous Year'!$E$3:$E$20000,SMALL(IF(CTR1_Billing!$E$21='Local Data Previous Year'!$A$3:$A$20000,ROW('Local Data Previous Year'!$A$3:$A$20000)-ROW('Local Data Previous Year'!$A$3)+1),ROW(73:73)))),"",INDEX('Local Data Previous Year'!$E$3:$E$20000,SMALL(IF(CTR1_Billing!$E$21='Local Data Previous Year'!$A$3:$A$20000,ROW('Local Data Previous Year'!$A$3:$A$20000)-ROW('Local Data Previous Year'!$A$3)+1),ROW(73:73))))</f>
        <v/>
      </c>
      <c r="F105" s="756" t="str">
        <f>IF($D105="","",IF(ISNA(MATCH($D105,'Local Data Previous Year'!$D$3:$D$20000,0)),"New",IFERROR(VLOOKUP($B105,'Local Data Previous Year'!$D$3:$I$20000,6,0),"")))</f>
        <v/>
      </c>
      <c r="G105" s="757">
        <f t="shared" si="24"/>
        <v>0</v>
      </c>
      <c r="H105" s="758" t="str">
        <f>IFERROR(INDEX('Local Data Previous Year'!$F:$F, MATCH($D105, 'Local Data Previous Year'!$D:$D, 0)), "")</f>
        <v/>
      </c>
      <c r="I105" s="759">
        <f>IF(B105=CTR1_Billing!$E$21&amp;"NEW",1,0)</f>
        <v>0</v>
      </c>
      <c r="J105" s="760" t="str">
        <f>IFERROR(INDEX('Local Data Previous Year'!$G:$G, MATCH($D105, 'Local Data Previous Year'!$D:$D, 0)), "")</f>
        <v/>
      </c>
      <c r="K105" s="762"/>
      <c r="L105" s="760" t="str">
        <f>IFERROR(INDEX('Local Data Previous Year'!$H:$H, MATCH($D105, 'Local Data Previous Year'!$D:$D, 0)), "")</f>
        <v/>
      </c>
      <c r="M105" s="762"/>
      <c r="N105" s="763"/>
      <c r="O105" s="767"/>
      <c r="P105" s="765"/>
      <c r="Q105" s="767"/>
      <c r="R105" s="766" t="str">
        <f t="shared" si="25"/>
        <v/>
      </c>
      <c r="S105" s="754"/>
      <c r="T105" s="763"/>
      <c r="U105" s="754"/>
      <c r="V105" s="763"/>
      <c r="W105" s="763"/>
      <c r="X105" s="865" t="str">
        <f>VLOOKUP(CTR1_Billing!$E$21,Data!$C$6:$D$302,1,FALSE)</f>
        <v>EZZZZ</v>
      </c>
      <c r="Y105" s="205"/>
      <c r="Z105" s="205">
        <f t="shared" si="13"/>
        <v>0</v>
      </c>
      <c r="AA105" s="206" t="str">
        <f t="shared" si="14"/>
        <v/>
      </c>
      <c r="AB105" s="205">
        <f t="shared" si="15"/>
        <v>0</v>
      </c>
      <c r="AC105" s="208"/>
      <c r="AD105" s="208"/>
      <c r="AE105" s="208"/>
      <c r="AF105" s="208"/>
      <c r="AG105" s="209" t="str">
        <f>IFERROR(INDEX('Local Data Previous Year'!$F:$F, MATCH($D105, 'Local Data Previous Year'!$D:$D, 0)), "")</f>
        <v/>
      </c>
      <c r="AH105" s="209" t="str">
        <f>IFERROR(INDEX('Local Data Previous Year'!$G:$G, MATCH($D105, 'Local Data Previous Year'!$D:$D, 0)), "")</f>
        <v/>
      </c>
      <c r="AI105" s="209" t="str">
        <f>IFERROR(INDEX('Local Data Previous Year'!$H:$H, MATCH($D105, 'Local Data Previous Year'!$D:$D, 0)), "")</f>
        <v/>
      </c>
      <c r="AJ105" s="209" t="str">
        <f t="shared" si="16"/>
        <v/>
      </c>
      <c r="AK105" s="209" t="str">
        <f t="shared" si="17"/>
        <v/>
      </c>
      <c r="AL105" s="209" t="str">
        <f t="shared" si="18"/>
        <v/>
      </c>
      <c r="AM105" s="208" t="str">
        <f>IF($AN105="","",IFERROR(VLOOKUP(CONCATENATE(CTR1_Billing!$E$20,$AN105),'Local Data Previous Year'!$C$3:$D$50000,2,0),CTR1_Billing!$E$21&amp;"NEW"))</f>
        <v/>
      </c>
      <c r="AN105" s="209" t="str" cm="1">
        <f t="array" ref="AN105">IF(ISERROR(INDEX('Local Data Previous Year'!$E$3:$E$50000, SMALL(IF(CTR1_Billing!$E$21='Local Data Previous Year'!$A$3:$A$50000, ROW('Local Data Previous Year'!$A$3:$A$50000)-ROW('Local Data Previous Year'!$A$3)+1), ROW(73:73)))), "", INDEX('Local Data Previous Year'!$E$3:$E$50000, SMALL(IF(CTR1_Billing!$E$21='Local Data Previous Year'!$A$3:$A$50000, ROW('Local Data Previous Year'!$A$3:$A$50000)-ROW('Local Data Previous Year'!$A$3)+1), ROW(73:73))))</f>
        <v/>
      </c>
      <c r="AO105" s="209" t="str">
        <f t="shared" si="19"/>
        <v/>
      </c>
      <c r="AP105" s="208"/>
      <c r="AQ105" s="209" t="str">
        <f t="shared" si="20"/>
        <v/>
      </c>
      <c r="AR105" s="209" t="str">
        <f t="shared" si="21"/>
        <v/>
      </c>
      <c r="AS105" s="202" t="str">
        <f t="shared" si="22"/>
        <v/>
      </c>
      <c r="AT105" s="202" t="str">
        <f t="shared" si="23"/>
        <v/>
      </c>
      <c r="AU105" s="208"/>
      <c r="AV105" s="208"/>
      <c r="AW105" s="208"/>
      <c r="AX105" s="208"/>
      <c r="AY105" s="208"/>
      <c r="AZ105" s="208"/>
      <c r="BA105" s="208"/>
      <c r="BB105" s="208"/>
      <c r="BC105" s="208"/>
      <c r="BD105" s="208"/>
      <c r="BE105" s="208"/>
      <c r="BF105" s="208"/>
      <c r="BG105" s="28"/>
      <c r="BH105" s="28"/>
      <c r="BI105" s="28"/>
      <c r="BJ105" s="28"/>
    </row>
    <row r="106" spans="1:62" s="23" customFormat="1" ht="21" customHeight="1" thickBot="1" x14ac:dyDescent="0.25">
      <c r="A106" s="846" t="str">
        <f>IF($AN106="","",IFERROR(VLOOKUP(CONCATENATE(CTR1_Billing!$E$20,$AN106),'Local Data Previous Year'!$C$3:$D$20000,2,0),CTR1_Billing!$E$21&amp;"NEW"))</f>
        <v/>
      </c>
      <c r="B106" s="846" t="str">
        <f>IF($E106="","",IFERROR(VLOOKUP(CONCATENATE(CTR1_Billing!$E$20,CTR1_Local!$E106),'Local Data Previous Year'!$C$3:$D$20000,2,0),CTR1_Billing!$E$21&amp;"NEW"))</f>
        <v/>
      </c>
      <c r="C106" s="846">
        <v>74</v>
      </c>
      <c r="D106" s="755" t="str" cm="1">
        <f t="array" ref="D106">IF(ISERROR(INDEX('Local Data Previous Year'!$D$3:$D$20000,SMALL(IF(CTR1_Billing!$E$21='Local Data Previous Year'!$A$3:$A$20000,ROW('Local Data Previous Year'!$A$3:$A$20000)-ROW('Local Data Previous Year'!$A$3)+1),ROW(74:74)))),"",INDEX('Local Data Previous Year'!$D$3:$D$20000,SMALL(IF(CTR1_Billing!$E$21='Local Data Previous Year'!$A$3:$A$20000,ROW('Local Data Previous Year'!$A$3:$A$20000)-ROW('Local Data Previous Year'!$A$3)+1),ROW(74:74))))</f>
        <v/>
      </c>
      <c r="E106" s="755" t="str" cm="1">
        <f t="array" ref="E106">IF(ISERROR(INDEX('Local Data Previous Year'!$E$3:$E$20000,SMALL(IF(CTR1_Billing!$E$21='Local Data Previous Year'!$A$3:$A$20000,ROW('Local Data Previous Year'!$A$3:$A$20000)-ROW('Local Data Previous Year'!$A$3)+1),ROW(74:74)))),"",INDEX('Local Data Previous Year'!$E$3:$E$20000,SMALL(IF(CTR1_Billing!$E$21='Local Data Previous Year'!$A$3:$A$20000,ROW('Local Data Previous Year'!$A$3:$A$20000)-ROW('Local Data Previous Year'!$A$3)+1),ROW(74:74))))</f>
        <v/>
      </c>
      <c r="F106" s="756" t="str">
        <f>IF($D106="","",IF(ISNA(MATCH($D106,'Local Data Previous Year'!$D$3:$D$20000,0)),"New",IFERROR(VLOOKUP($B106,'Local Data Previous Year'!$D$3:$I$20000,6,0),"")))</f>
        <v/>
      </c>
      <c r="G106" s="757">
        <f t="shared" si="24"/>
        <v>0</v>
      </c>
      <c r="H106" s="758" t="str">
        <f>IFERROR(INDEX('Local Data Previous Year'!$F:$F, MATCH($D106, 'Local Data Previous Year'!$D:$D, 0)), "")</f>
        <v/>
      </c>
      <c r="I106" s="759">
        <f>IF(B106=CTR1_Billing!$E$21&amp;"NEW",1,0)</f>
        <v>0</v>
      </c>
      <c r="J106" s="760" t="str">
        <f>IFERROR(INDEX('Local Data Previous Year'!$G:$G, MATCH($D106, 'Local Data Previous Year'!$D:$D, 0)), "")</f>
        <v/>
      </c>
      <c r="K106" s="762"/>
      <c r="L106" s="760" t="str">
        <f>IFERROR(INDEX('Local Data Previous Year'!$H:$H, MATCH($D106, 'Local Data Previous Year'!$D:$D, 0)), "")</f>
        <v/>
      </c>
      <c r="M106" s="762"/>
      <c r="N106" s="763"/>
      <c r="O106" s="767"/>
      <c r="P106" s="765"/>
      <c r="Q106" s="767"/>
      <c r="R106" s="766" t="str">
        <f t="shared" si="25"/>
        <v/>
      </c>
      <c r="S106" s="754"/>
      <c r="T106" s="763"/>
      <c r="U106" s="754"/>
      <c r="V106" s="763"/>
      <c r="W106" s="763"/>
      <c r="X106" s="865" t="str">
        <f>VLOOKUP(CTR1_Billing!$E$21,Data!$C$6:$D$302,1,FALSE)</f>
        <v>EZZZZ</v>
      </c>
      <c r="Y106" s="205"/>
      <c r="Z106" s="205">
        <f t="shared" si="13"/>
        <v>0</v>
      </c>
      <c r="AA106" s="206" t="str">
        <f t="shared" si="14"/>
        <v/>
      </c>
      <c r="AB106" s="205">
        <f t="shared" si="15"/>
        <v>0</v>
      </c>
      <c r="AC106" s="208"/>
      <c r="AD106" s="208"/>
      <c r="AE106" s="208"/>
      <c r="AF106" s="208"/>
      <c r="AG106" s="209" t="str">
        <f>IFERROR(INDEX('Local Data Previous Year'!$F:$F, MATCH($D106, 'Local Data Previous Year'!$D:$D, 0)), "")</f>
        <v/>
      </c>
      <c r="AH106" s="209" t="str">
        <f>IFERROR(INDEX('Local Data Previous Year'!$G:$G, MATCH($D106, 'Local Data Previous Year'!$D:$D, 0)), "")</f>
        <v/>
      </c>
      <c r="AI106" s="209" t="str">
        <f>IFERROR(INDEX('Local Data Previous Year'!$H:$H, MATCH($D106, 'Local Data Previous Year'!$D:$D, 0)), "")</f>
        <v/>
      </c>
      <c r="AJ106" s="209" t="str">
        <f t="shared" si="16"/>
        <v/>
      </c>
      <c r="AK106" s="209" t="str">
        <f t="shared" si="17"/>
        <v/>
      </c>
      <c r="AL106" s="209" t="str">
        <f t="shared" si="18"/>
        <v/>
      </c>
      <c r="AM106" s="208" t="str">
        <f>IF($AN106="","",IFERROR(VLOOKUP(CONCATENATE(CTR1_Billing!$E$20,$AN106),'Local Data Previous Year'!$C$3:$D$50000,2,0),CTR1_Billing!$E$21&amp;"NEW"))</f>
        <v/>
      </c>
      <c r="AN106" s="209" t="str" cm="1">
        <f t="array" ref="AN106">IF(ISERROR(INDEX('Local Data Previous Year'!$E$3:$E$50000, SMALL(IF(CTR1_Billing!$E$21='Local Data Previous Year'!$A$3:$A$50000, ROW('Local Data Previous Year'!$A$3:$A$50000)-ROW('Local Data Previous Year'!$A$3)+1), ROW(74:74)))), "", INDEX('Local Data Previous Year'!$E$3:$E$50000, SMALL(IF(CTR1_Billing!$E$21='Local Data Previous Year'!$A$3:$A$50000, ROW('Local Data Previous Year'!$A$3:$A$50000)-ROW('Local Data Previous Year'!$A$3)+1), ROW(74:74))))</f>
        <v/>
      </c>
      <c r="AO106" s="209" t="str">
        <f t="shared" si="19"/>
        <v/>
      </c>
      <c r="AP106" s="208"/>
      <c r="AQ106" s="209" t="str">
        <f t="shared" si="20"/>
        <v/>
      </c>
      <c r="AR106" s="209" t="str">
        <f t="shared" si="21"/>
        <v/>
      </c>
      <c r="AS106" s="202" t="str">
        <f t="shared" si="22"/>
        <v/>
      </c>
      <c r="AT106" s="202" t="str">
        <f t="shared" si="23"/>
        <v/>
      </c>
      <c r="AU106" s="208"/>
      <c r="AV106" s="208"/>
      <c r="AW106" s="208"/>
      <c r="AX106" s="208"/>
      <c r="AY106" s="208"/>
      <c r="AZ106" s="208"/>
      <c r="BA106" s="208"/>
      <c r="BB106" s="208"/>
      <c r="BC106" s="208"/>
      <c r="BD106" s="208"/>
      <c r="BE106" s="208"/>
      <c r="BF106" s="208"/>
      <c r="BG106" s="28"/>
      <c r="BH106" s="28"/>
      <c r="BI106" s="28"/>
      <c r="BJ106" s="28"/>
    </row>
    <row r="107" spans="1:62" s="23" customFormat="1" ht="21" customHeight="1" thickBot="1" x14ac:dyDescent="0.25">
      <c r="A107" s="846" t="str">
        <f>IF($AN107="","",IFERROR(VLOOKUP(CONCATENATE(CTR1_Billing!$E$20,$AN107),'Local Data Previous Year'!$C$3:$D$20000,2,0),CTR1_Billing!$E$21&amp;"NEW"))</f>
        <v/>
      </c>
      <c r="B107" s="846" t="str">
        <f>IF($E107="","",IFERROR(VLOOKUP(CONCATENATE(CTR1_Billing!$E$20,CTR1_Local!$E107),'Local Data Previous Year'!$C$3:$D$20000,2,0),CTR1_Billing!$E$21&amp;"NEW"))</f>
        <v/>
      </c>
      <c r="C107" s="846">
        <v>75</v>
      </c>
      <c r="D107" s="755" t="str" cm="1">
        <f t="array" ref="D107">IF(ISERROR(INDEX('Local Data Previous Year'!$D$3:$D$20000,SMALL(IF(CTR1_Billing!$E$21='Local Data Previous Year'!$A$3:$A$20000,ROW('Local Data Previous Year'!$A$3:$A$20000)-ROW('Local Data Previous Year'!$A$3)+1),ROW(75:75)))),"",INDEX('Local Data Previous Year'!$D$3:$D$20000,SMALL(IF(CTR1_Billing!$E$21='Local Data Previous Year'!$A$3:$A$20000,ROW('Local Data Previous Year'!$A$3:$A$20000)-ROW('Local Data Previous Year'!$A$3)+1),ROW(75:75))))</f>
        <v/>
      </c>
      <c r="E107" s="755" t="str" cm="1">
        <f t="array" ref="E107">IF(ISERROR(INDEX('Local Data Previous Year'!$E$3:$E$20000,SMALL(IF(CTR1_Billing!$E$21='Local Data Previous Year'!$A$3:$A$20000,ROW('Local Data Previous Year'!$A$3:$A$20000)-ROW('Local Data Previous Year'!$A$3)+1),ROW(75:75)))),"",INDEX('Local Data Previous Year'!$E$3:$E$20000,SMALL(IF(CTR1_Billing!$E$21='Local Data Previous Year'!$A$3:$A$20000,ROW('Local Data Previous Year'!$A$3:$A$20000)-ROW('Local Data Previous Year'!$A$3)+1),ROW(75:75))))</f>
        <v/>
      </c>
      <c r="F107" s="756" t="str">
        <f>IF($D107="","",IF(ISNA(MATCH($D107,'Local Data Previous Year'!$D$3:$D$20000,0)),"New",IFERROR(VLOOKUP($B107,'Local Data Previous Year'!$D$3:$I$20000,6,0),"")))</f>
        <v/>
      </c>
      <c r="G107" s="757">
        <f t="shared" si="24"/>
        <v>0</v>
      </c>
      <c r="H107" s="758" t="str">
        <f>IFERROR(INDEX('Local Data Previous Year'!$F:$F, MATCH($D107, 'Local Data Previous Year'!$D:$D, 0)), "")</f>
        <v/>
      </c>
      <c r="I107" s="759">
        <f>IF(B107=CTR1_Billing!$E$21&amp;"NEW",1,0)</f>
        <v>0</v>
      </c>
      <c r="J107" s="760" t="str">
        <f>IFERROR(INDEX('Local Data Previous Year'!$G:$G, MATCH($D107, 'Local Data Previous Year'!$D:$D, 0)), "")</f>
        <v/>
      </c>
      <c r="K107" s="762"/>
      <c r="L107" s="760" t="str">
        <f>IFERROR(INDEX('Local Data Previous Year'!$H:$H, MATCH($D107, 'Local Data Previous Year'!$D:$D, 0)), "")</f>
        <v/>
      </c>
      <c r="M107" s="762"/>
      <c r="N107" s="763"/>
      <c r="O107" s="767"/>
      <c r="P107" s="765"/>
      <c r="Q107" s="767"/>
      <c r="R107" s="766" t="str">
        <f t="shared" si="25"/>
        <v/>
      </c>
      <c r="S107" s="754"/>
      <c r="T107" s="763"/>
      <c r="U107" s="754"/>
      <c r="V107" s="763"/>
      <c r="W107" s="763"/>
      <c r="X107" s="865" t="str">
        <f>VLOOKUP(CTR1_Billing!$E$21,Data!$C$6:$D$302,1,FALSE)</f>
        <v>EZZZZ</v>
      </c>
      <c r="Y107" s="205"/>
      <c r="Z107" s="205">
        <f t="shared" si="13"/>
        <v>0</v>
      </c>
      <c r="AA107" s="206" t="str">
        <f t="shared" si="14"/>
        <v/>
      </c>
      <c r="AB107" s="205">
        <f t="shared" si="15"/>
        <v>0</v>
      </c>
      <c r="AC107" s="208"/>
      <c r="AD107" s="208"/>
      <c r="AE107" s="208"/>
      <c r="AF107" s="208"/>
      <c r="AG107" s="209" t="str">
        <f>IFERROR(INDEX('Local Data Previous Year'!$F:$F, MATCH($D107, 'Local Data Previous Year'!$D:$D, 0)), "")</f>
        <v/>
      </c>
      <c r="AH107" s="209" t="str">
        <f>IFERROR(INDEX('Local Data Previous Year'!$G:$G, MATCH($D107, 'Local Data Previous Year'!$D:$D, 0)), "")</f>
        <v/>
      </c>
      <c r="AI107" s="209" t="str">
        <f>IFERROR(INDEX('Local Data Previous Year'!$H:$H, MATCH($D107, 'Local Data Previous Year'!$D:$D, 0)), "")</f>
        <v/>
      </c>
      <c r="AJ107" s="209" t="str">
        <f t="shared" si="16"/>
        <v/>
      </c>
      <c r="AK107" s="209" t="str">
        <f t="shared" si="17"/>
        <v/>
      </c>
      <c r="AL107" s="209" t="str">
        <f t="shared" si="18"/>
        <v/>
      </c>
      <c r="AM107" s="208" t="str">
        <f>IF($AN107="","",IFERROR(VLOOKUP(CONCATENATE(CTR1_Billing!$E$20,$AN107),'Local Data Previous Year'!$C$3:$D$50000,2,0),CTR1_Billing!$E$21&amp;"NEW"))</f>
        <v/>
      </c>
      <c r="AN107" s="209" t="str" cm="1">
        <f t="array" ref="AN107">IF(ISERROR(INDEX('Local Data Previous Year'!$E$3:$E$50000, SMALL(IF(CTR1_Billing!$E$21='Local Data Previous Year'!$A$3:$A$50000, ROW('Local Data Previous Year'!$A$3:$A$50000)-ROW('Local Data Previous Year'!$A$3)+1), ROW(75:75)))), "", INDEX('Local Data Previous Year'!$E$3:$E$50000, SMALL(IF(CTR1_Billing!$E$21='Local Data Previous Year'!$A$3:$A$50000, ROW('Local Data Previous Year'!$A$3:$A$50000)-ROW('Local Data Previous Year'!$A$3)+1), ROW(75:75))))</f>
        <v/>
      </c>
      <c r="AO107" s="209" t="str">
        <f t="shared" si="19"/>
        <v/>
      </c>
      <c r="AP107" s="208"/>
      <c r="AQ107" s="209" t="str">
        <f t="shared" si="20"/>
        <v/>
      </c>
      <c r="AR107" s="209" t="str">
        <f t="shared" si="21"/>
        <v/>
      </c>
      <c r="AS107" s="202" t="str">
        <f t="shared" si="22"/>
        <v/>
      </c>
      <c r="AT107" s="202" t="str">
        <f t="shared" si="23"/>
        <v/>
      </c>
      <c r="AU107" s="208"/>
      <c r="AV107" s="208"/>
      <c r="AW107" s="208"/>
      <c r="AX107" s="208"/>
      <c r="AY107" s="208"/>
      <c r="AZ107" s="208"/>
      <c r="BA107" s="208"/>
      <c r="BB107" s="208"/>
      <c r="BC107" s="208"/>
      <c r="BD107" s="208"/>
      <c r="BE107" s="208"/>
      <c r="BF107" s="208"/>
      <c r="BG107" s="28"/>
      <c r="BH107" s="28"/>
      <c r="BI107" s="28"/>
      <c r="BJ107" s="28"/>
    </row>
    <row r="108" spans="1:62" s="23" customFormat="1" ht="21" customHeight="1" thickBot="1" x14ac:dyDescent="0.25">
      <c r="A108" s="846" t="str">
        <f>IF($AN108="","",IFERROR(VLOOKUP(CONCATENATE(CTR1_Billing!$E$20,$AN108),'Local Data Previous Year'!$C$3:$D$20000,2,0),CTR1_Billing!$E$21&amp;"NEW"))</f>
        <v/>
      </c>
      <c r="B108" s="846" t="str">
        <f>IF($E108="","",IFERROR(VLOOKUP(CONCATENATE(CTR1_Billing!$E$20,CTR1_Local!$E108),'Local Data Previous Year'!$C$3:$D$20000,2,0),CTR1_Billing!$E$21&amp;"NEW"))</f>
        <v/>
      </c>
      <c r="C108" s="846">
        <v>76</v>
      </c>
      <c r="D108" s="755" t="str" cm="1">
        <f t="array" ref="D108">IF(ISERROR(INDEX('Local Data Previous Year'!$D$3:$D$20000,SMALL(IF(CTR1_Billing!$E$21='Local Data Previous Year'!$A$3:$A$20000,ROW('Local Data Previous Year'!$A$3:$A$20000)-ROW('Local Data Previous Year'!$A$3)+1),ROW(76:76)))),"",INDEX('Local Data Previous Year'!$D$3:$D$20000,SMALL(IF(CTR1_Billing!$E$21='Local Data Previous Year'!$A$3:$A$20000,ROW('Local Data Previous Year'!$A$3:$A$20000)-ROW('Local Data Previous Year'!$A$3)+1),ROW(76:76))))</f>
        <v/>
      </c>
      <c r="E108" s="755" t="str" cm="1">
        <f t="array" ref="E108">IF(ISERROR(INDEX('Local Data Previous Year'!$E$3:$E$20000,SMALL(IF(CTR1_Billing!$E$21='Local Data Previous Year'!$A$3:$A$20000,ROW('Local Data Previous Year'!$A$3:$A$20000)-ROW('Local Data Previous Year'!$A$3)+1),ROW(76:76)))),"",INDEX('Local Data Previous Year'!$E$3:$E$20000,SMALL(IF(CTR1_Billing!$E$21='Local Data Previous Year'!$A$3:$A$20000,ROW('Local Data Previous Year'!$A$3:$A$20000)-ROW('Local Data Previous Year'!$A$3)+1),ROW(76:76))))</f>
        <v/>
      </c>
      <c r="F108" s="756" t="str">
        <f>IF($D108="","",IF(ISNA(MATCH($D108,'Local Data Previous Year'!$D$3:$D$20000,0)),"New",IFERROR(VLOOKUP($B108,'Local Data Previous Year'!$D$3:$I$20000,6,0),"")))</f>
        <v/>
      </c>
      <c r="G108" s="757">
        <f t="shared" si="24"/>
        <v>0</v>
      </c>
      <c r="H108" s="758" t="str">
        <f>IFERROR(INDEX('Local Data Previous Year'!$F:$F, MATCH($D108, 'Local Data Previous Year'!$D:$D, 0)), "")</f>
        <v/>
      </c>
      <c r="I108" s="759">
        <f>IF(B108=CTR1_Billing!$E$21&amp;"NEW",1,0)</f>
        <v>0</v>
      </c>
      <c r="J108" s="760" t="str">
        <f>IFERROR(INDEX('Local Data Previous Year'!$G:$G, MATCH($D108, 'Local Data Previous Year'!$D:$D, 0)), "")</f>
        <v/>
      </c>
      <c r="K108" s="762"/>
      <c r="L108" s="760" t="str">
        <f>IFERROR(INDEX('Local Data Previous Year'!$H:$H, MATCH($D108, 'Local Data Previous Year'!$D:$D, 0)), "")</f>
        <v/>
      </c>
      <c r="M108" s="762"/>
      <c r="N108" s="763"/>
      <c r="O108" s="767"/>
      <c r="P108" s="765"/>
      <c r="Q108" s="767"/>
      <c r="R108" s="766" t="str">
        <f t="shared" si="25"/>
        <v/>
      </c>
      <c r="S108" s="754"/>
      <c r="T108" s="763"/>
      <c r="U108" s="754"/>
      <c r="V108" s="763"/>
      <c r="W108" s="763"/>
      <c r="X108" s="865" t="str">
        <f>VLOOKUP(CTR1_Billing!$E$21,Data!$C$6:$D$302,1,FALSE)</f>
        <v>EZZZZ</v>
      </c>
      <c r="Y108" s="205"/>
      <c r="Z108" s="205">
        <f t="shared" si="13"/>
        <v>0</v>
      </c>
      <c r="AA108" s="206" t="str">
        <f t="shared" si="14"/>
        <v/>
      </c>
      <c r="AB108" s="205">
        <f t="shared" si="15"/>
        <v>0</v>
      </c>
      <c r="AC108" s="208"/>
      <c r="AD108" s="208"/>
      <c r="AE108" s="208"/>
      <c r="AF108" s="208"/>
      <c r="AG108" s="209" t="str">
        <f>IFERROR(INDEX('Local Data Previous Year'!$F:$F, MATCH($D108, 'Local Data Previous Year'!$D:$D, 0)), "")</f>
        <v/>
      </c>
      <c r="AH108" s="209" t="str">
        <f>IFERROR(INDEX('Local Data Previous Year'!$G:$G, MATCH($D108, 'Local Data Previous Year'!$D:$D, 0)), "")</f>
        <v/>
      </c>
      <c r="AI108" s="209" t="str">
        <f>IFERROR(INDEX('Local Data Previous Year'!$H:$H, MATCH($D108, 'Local Data Previous Year'!$D:$D, 0)), "")</f>
        <v/>
      </c>
      <c r="AJ108" s="209" t="str">
        <f t="shared" si="16"/>
        <v/>
      </c>
      <c r="AK108" s="209" t="str">
        <f t="shared" si="17"/>
        <v/>
      </c>
      <c r="AL108" s="209" t="str">
        <f t="shared" si="18"/>
        <v/>
      </c>
      <c r="AM108" s="208" t="str">
        <f>IF($AN108="","",IFERROR(VLOOKUP(CONCATENATE(CTR1_Billing!$E$20,$AN108),'Local Data Previous Year'!$C$3:$D$50000,2,0),CTR1_Billing!$E$21&amp;"NEW"))</f>
        <v/>
      </c>
      <c r="AN108" s="209" t="str" cm="1">
        <f t="array" ref="AN108">IF(ISERROR(INDEX('Local Data Previous Year'!$E$3:$E$50000, SMALL(IF(CTR1_Billing!$E$21='Local Data Previous Year'!$A$3:$A$50000, ROW('Local Data Previous Year'!$A$3:$A$50000)-ROW('Local Data Previous Year'!$A$3)+1), ROW(76:76)))), "", INDEX('Local Data Previous Year'!$E$3:$E$50000, SMALL(IF(CTR1_Billing!$E$21='Local Data Previous Year'!$A$3:$A$50000, ROW('Local Data Previous Year'!$A$3:$A$50000)-ROW('Local Data Previous Year'!$A$3)+1), ROW(76:76))))</f>
        <v/>
      </c>
      <c r="AO108" s="209" t="str">
        <f t="shared" si="19"/>
        <v/>
      </c>
      <c r="AP108" s="208"/>
      <c r="AQ108" s="209" t="str">
        <f t="shared" si="20"/>
        <v/>
      </c>
      <c r="AR108" s="209" t="str">
        <f t="shared" si="21"/>
        <v/>
      </c>
      <c r="AS108" s="202" t="str">
        <f t="shared" si="22"/>
        <v/>
      </c>
      <c r="AT108" s="202" t="str">
        <f t="shared" si="23"/>
        <v/>
      </c>
      <c r="AU108" s="208"/>
      <c r="AV108" s="208"/>
      <c r="AW108" s="208"/>
      <c r="AX108" s="208"/>
      <c r="AY108" s="208"/>
      <c r="AZ108" s="208"/>
      <c r="BA108" s="208"/>
      <c r="BB108" s="208"/>
      <c r="BC108" s="208"/>
      <c r="BD108" s="208"/>
      <c r="BE108" s="208"/>
      <c r="BF108" s="208"/>
      <c r="BG108" s="28"/>
      <c r="BH108" s="28"/>
      <c r="BI108" s="28"/>
      <c r="BJ108" s="28"/>
    </row>
    <row r="109" spans="1:62" s="23" customFormat="1" ht="21" customHeight="1" thickBot="1" x14ac:dyDescent="0.25">
      <c r="A109" s="846" t="str">
        <f>IF($AN109="","",IFERROR(VLOOKUP(CONCATENATE(CTR1_Billing!$E$20,$AN109),'Local Data Previous Year'!$C$3:$D$20000,2,0),CTR1_Billing!$E$21&amp;"NEW"))</f>
        <v/>
      </c>
      <c r="B109" s="846" t="str">
        <f>IF($E109="","",IFERROR(VLOOKUP(CONCATENATE(CTR1_Billing!$E$20,CTR1_Local!$E109),'Local Data Previous Year'!$C$3:$D$20000,2,0),CTR1_Billing!$E$21&amp;"NEW"))</f>
        <v/>
      </c>
      <c r="C109" s="846">
        <v>77</v>
      </c>
      <c r="D109" s="755" t="str" cm="1">
        <f t="array" ref="D109">IF(ISERROR(INDEX('Local Data Previous Year'!$D$3:$D$20000,SMALL(IF(CTR1_Billing!$E$21='Local Data Previous Year'!$A$3:$A$20000,ROW('Local Data Previous Year'!$A$3:$A$20000)-ROW('Local Data Previous Year'!$A$3)+1),ROW(77:77)))),"",INDEX('Local Data Previous Year'!$D$3:$D$20000,SMALL(IF(CTR1_Billing!$E$21='Local Data Previous Year'!$A$3:$A$20000,ROW('Local Data Previous Year'!$A$3:$A$20000)-ROW('Local Data Previous Year'!$A$3)+1),ROW(77:77))))</f>
        <v/>
      </c>
      <c r="E109" s="755" t="str" cm="1">
        <f t="array" ref="E109">IF(ISERROR(INDEX('Local Data Previous Year'!$E$3:$E$20000,SMALL(IF(CTR1_Billing!$E$21='Local Data Previous Year'!$A$3:$A$20000,ROW('Local Data Previous Year'!$A$3:$A$20000)-ROW('Local Data Previous Year'!$A$3)+1),ROW(77:77)))),"",INDEX('Local Data Previous Year'!$E$3:$E$20000,SMALL(IF(CTR1_Billing!$E$21='Local Data Previous Year'!$A$3:$A$20000,ROW('Local Data Previous Year'!$A$3:$A$20000)-ROW('Local Data Previous Year'!$A$3)+1),ROW(77:77))))</f>
        <v/>
      </c>
      <c r="F109" s="756" t="str">
        <f>IF($D109="","",IF(ISNA(MATCH($D109,'Local Data Previous Year'!$D$3:$D$20000,0)),"New",IFERROR(VLOOKUP($B109,'Local Data Previous Year'!$D$3:$I$20000,6,0),"")))</f>
        <v/>
      </c>
      <c r="G109" s="757">
        <f t="shared" si="24"/>
        <v>0</v>
      </c>
      <c r="H109" s="758" t="str">
        <f>IFERROR(INDEX('Local Data Previous Year'!$F:$F, MATCH($D109, 'Local Data Previous Year'!$D:$D, 0)), "")</f>
        <v/>
      </c>
      <c r="I109" s="759">
        <f>IF(B109=CTR1_Billing!$E$21&amp;"NEW",1,0)</f>
        <v>0</v>
      </c>
      <c r="J109" s="760" t="str">
        <f>IFERROR(INDEX('Local Data Previous Year'!$G:$G, MATCH($D109, 'Local Data Previous Year'!$D:$D, 0)), "")</f>
        <v/>
      </c>
      <c r="K109" s="762"/>
      <c r="L109" s="760" t="str">
        <f>IFERROR(INDEX('Local Data Previous Year'!$H:$H, MATCH($D109, 'Local Data Previous Year'!$D:$D, 0)), "")</f>
        <v/>
      </c>
      <c r="M109" s="762"/>
      <c r="N109" s="763"/>
      <c r="O109" s="767"/>
      <c r="P109" s="765"/>
      <c r="Q109" s="767"/>
      <c r="R109" s="766" t="str">
        <f t="shared" si="25"/>
        <v/>
      </c>
      <c r="S109" s="754"/>
      <c r="T109" s="763"/>
      <c r="U109" s="754"/>
      <c r="V109" s="763"/>
      <c r="W109" s="763"/>
      <c r="X109" s="865" t="str">
        <f>VLOOKUP(CTR1_Billing!$E$21,Data!$C$6:$D$302,1,FALSE)</f>
        <v>EZZZZ</v>
      </c>
      <c r="Y109" s="205"/>
      <c r="Z109" s="205">
        <f t="shared" si="13"/>
        <v>0</v>
      </c>
      <c r="AA109" s="206" t="str">
        <f t="shared" si="14"/>
        <v/>
      </c>
      <c r="AB109" s="205">
        <f t="shared" si="15"/>
        <v>0</v>
      </c>
      <c r="AC109" s="208"/>
      <c r="AD109" s="208"/>
      <c r="AE109" s="208"/>
      <c r="AF109" s="208"/>
      <c r="AG109" s="209" t="str">
        <f>IFERROR(INDEX('Local Data Previous Year'!$F:$F, MATCH($D109, 'Local Data Previous Year'!$D:$D, 0)), "")</f>
        <v/>
      </c>
      <c r="AH109" s="209" t="str">
        <f>IFERROR(INDEX('Local Data Previous Year'!$G:$G, MATCH($D109, 'Local Data Previous Year'!$D:$D, 0)), "")</f>
        <v/>
      </c>
      <c r="AI109" s="209" t="str">
        <f>IFERROR(INDEX('Local Data Previous Year'!$H:$H, MATCH($D109, 'Local Data Previous Year'!$D:$D, 0)), "")</f>
        <v/>
      </c>
      <c r="AJ109" s="209" t="str">
        <f t="shared" si="16"/>
        <v/>
      </c>
      <c r="AK109" s="209" t="str">
        <f t="shared" si="17"/>
        <v/>
      </c>
      <c r="AL109" s="209" t="str">
        <f t="shared" si="18"/>
        <v/>
      </c>
      <c r="AM109" s="208" t="str">
        <f>IF($AN109="","",IFERROR(VLOOKUP(CONCATENATE(CTR1_Billing!$E$20,$AN109),'Local Data Previous Year'!$C$3:$D$50000,2,0),CTR1_Billing!$E$21&amp;"NEW"))</f>
        <v/>
      </c>
      <c r="AN109" s="209" t="str" cm="1">
        <f t="array" ref="AN109">IF(ISERROR(INDEX('Local Data Previous Year'!$E$3:$E$50000, SMALL(IF(CTR1_Billing!$E$21='Local Data Previous Year'!$A$3:$A$50000, ROW('Local Data Previous Year'!$A$3:$A$50000)-ROW('Local Data Previous Year'!$A$3)+1), ROW(77:77)))), "", INDEX('Local Data Previous Year'!$E$3:$E$50000, SMALL(IF(CTR1_Billing!$E$21='Local Data Previous Year'!$A$3:$A$50000, ROW('Local Data Previous Year'!$A$3:$A$50000)-ROW('Local Data Previous Year'!$A$3)+1), ROW(77:77))))</f>
        <v/>
      </c>
      <c r="AO109" s="209" t="str">
        <f t="shared" si="19"/>
        <v/>
      </c>
      <c r="AP109" s="208"/>
      <c r="AQ109" s="209" t="str">
        <f t="shared" si="20"/>
        <v/>
      </c>
      <c r="AR109" s="209" t="str">
        <f t="shared" si="21"/>
        <v/>
      </c>
      <c r="AS109" s="202" t="str">
        <f t="shared" si="22"/>
        <v/>
      </c>
      <c r="AT109" s="202" t="str">
        <f t="shared" si="23"/>
        <v/>
      </c>
      <c r="AU109" s="208"/>
      <c r="AV109" s="208"/>
      <c r="AW109" s="208"/>
      <c r="AX109" s="208"/>
      <c r="AY109" s="208"/>
      <c r="AZ109" s="208"/>
      <c r="BA109" s="208"/>
      <c r="BB109" s="208"/>
      <c r="BC109" s="208"/>
      <c r="BD109" s="208"/>
      <c r="BE109" s="208"/>
      <c r="BF109" s="208"/>
      <c r="BG109" s="28"/>
      <c r="BH109" s="28"/>
      <c r="BI109" s="28"/>
      <c r="BJ109" s="28"/>
    </row>
    <row r="110" spans="1:62" s="23" customFormat="1" ht="21" customHeight="1" thickBot="1" x14ac:dyDescent="0.25">
      <c r="A110" s="846" t="str">
        <f>IF($AN110="","",IFERROR(VLOOKUP(CONCATENATE(CTR1_Billing!$E$20,$AN110),'Local Data Previous Year'!$C$3:$D$20000,2,0),CTR1_Billing!$E$21&amp;"NEW"))</f>
        <v/>
      </c>
      <c r="B110" s="846" t="str">
        <f>IF($E110="","",IFERROR(VLOOKUP(CONCATENATE(CTR1_Billing!$E$20,CTR1_Local!$E110),'Local Data Previous Year'!$C$3:$D$20000,2,0),CTR1_Billing!$E$21&amp;"NEW"))</f>
        <v/>
      </c>
      <c r="C110" s="846">
        <v>78</v>
      </c>
      <c r="D110" s="755" t="str" cm="1">
        <f t="array" ref="D110">IF(ISERROR(INDEX('Local Data Previous Year'!$D$3:$D$20000,SMALL(IF(CTR1_Billing!$E$21='Local Data Previous Year'!$A$3:$A$20000,ROW('Local Data Previous Year'!$A$3:$A$20000)-ROW('Local Data Previous Year'!$A$3)+1),ROW(78:78)))),"",INDEX('Local Data Previous Year'!$D$3:$D$20000,SMALL(IF(CTR1_Billing!$E$21='Local Data Previous Year'!$A$3:$A$20000,ROW('Local Data Previous Year'!$A$3:$A$20000)-ROW('Local Data Previous Year'!$A$3)+1),ROW(78:78))))</f>
        <v/>
      </c>
      <c r="E110" s="755" t="str" cm="1">
        <f t="array" ref="E110">IF(ISERROR(INDEX('Local Data Previous Year'!$E$3:$E$20000,SMALL(IF(CTR1_Billing!$E$21='Local Data Previous Year'!$A$3:$A$20000,ROW('Local Data Previous Year'!$A$3:$A$20000)-ROW('Local Data Previous Year'!$A$3)+1),ROW(78:78)))),"",INDEX('Local Data Previous Year'!$E$3:$E$20000,SMALL(IF(CTR1_Billing!$E$21='Local Data Previous Year'!$A$3:$A$20000,ROW('Local Data Previous Year'!$A$3:$A$20000)-ROW('Local Data Previous Year'!$A$3)+1),ROW(78:78))))</f>
        <v/>
      </c>
      <c r="F110" s="756" t="str">
        <f>IF($D110="","",IF(ISNA(MATCH($D110,'Local Data Previous Year'!$D$3:$D$20000,0)),"New",IFERROR(VLOOKUP($B110,'Local Data Previous Year'!$D$3:$I$20000,6,0),"")))</f>
        <v/>
      </c>
      <c r="G110" s="757">
        <f t="shared" si="24"/>
        <v>0</v>
      </c>
      <c r="H110" s="758" t="str">
        <f>IFERROR(INDEX('Local Data Previous Year'!$F:$F, MATCH($D110, 'Local Data Previous Year'!$D:$D, 0)), "")</f>
        <v/>
      </c>
      <c r="I110" s="759">
        <f>IF(B110=CTR1_Billing!$E$21&amp;"NEW",1,0)</f>
        <v>0</v>
      </c>
      <c r="J110" s="760" t="str">
        <f>IFERROR(INDEX('Local Data Previous Year'!$G:$G, MATCH($D110, 'Local Data Previous Year'!$D:$D, 0)), "")</f>
        <v/>
      </c>
      <c r="K110" s="762"/>
      <c r="L110" s="760" t="str">
        <f>IFERROR(INDEX('Local Data Previous Year'!$H:$H, MATCH($D110, 'Local Data Previous Year'!$D:$D, 0)), "")</f>
        <v/>
      </c>
      <c r="M110" s="762"/>
      <c r="N110" s="763"/>
      <c r="O110" s="767"/>
      <c r="P110" s="765"/>
      <c r="Q110" s="767"/>
      <c r="R110" s="766" t="str">
        <f t="shared" si="25"/>
        <v/>
      </c>
      <c r="S110" s="754"/>
      <c r="T110" s="763"/>
      <c r="U110" s="754"/>
      <c r="V110" s="763"/>
      <c r="W110" s="763"/>
      <c r="X110" s="865" t="str">
        <f>VLOOKUP(CTR1_Billing!$E$21,Data!$C$6:$D$302,1,FALSE)</f>
        <v>EZZZZ</v>
      </c>
      <c r="Y110" s="205"/>
      <c r="Z110" s="205">
        <f t="shared" si="13"/>
        <v>0</v>
      </c>
      <c r="AA110" s="206" t="str">
        <f t="shared" si="14"/>
        <v/>
      </c>
      <c r="AB110" s="205">
        <f t="shared" si="15"/>
        <v>0</v>
      </c>
      <c r="AC110" s="208"/>
      <c r="AD110" s="208"/>
      <c r="AE110" s="208"/>
      <c r="AF110" s="208"/>
      <c r="AG110" s="209" t="str">
        <f>IFERROR(INDEX('Local Data Previous Year'!$F:$F, MATCH($D110, 'Local Data Previous Year'!$D:$D, 0)), "")</f>
        <v/>
      </c>
      <c r="AH110" s="209" t="str">
        <f>IFERROR(INDEX('Local Data Previous Year'!$G:$G, MATCH($D110, 'Local Data Previous Year'!$D:$D, 0)), "")</f>
        <v/>
      </c>
      <c r="AI110" s="209" t="str">
        <f>IFERROR(INDEX('Local Data Previous Year'!$H:$H, MATCH($D110, 'Local Data Previous Year'!$D:$D, 0)), "")</f>
        <v/>
      </c>
      <c r="AJ110" s="209" t="str">
        <f t="shared" si="16"/>
        <v/>
      </c>
      <c r="AK110" s="209" t="str">
        <f t="shared" si="17"/>
        <v/>
      </c>
      <c r="AL110" s="209" t="str">
        <f t="shared" si="18"/>
        <v/>
      </c>
      <c r="AM110" s="208" t="str">
        <f>IF($AN110="","",IFERROR(VLOOKUP(CONCATENATE(CTR1_Billing!$E$20,$AN110),'Local Data Previous Year'!$C$3:$D$50000,2,0),CTR1_Billing!$E$21&amp;"NEW"))</f>
        <v/>
      </c>
      <c r="AN110" s="209" t="str" cm="1">
        <f t="array" ref="AN110">IF(ISERROR(INDEX('Local Data Previous Year'!$E$3:$E$50000, SMALL(IF(CTR1_Billing!$E$21='Local Data Previous Year'!$A$3:$A$50000, ROW('Local Data Previous Year'!$A$3:$A$50000)-ROW('Local Data Previous Year'!$A$3)+1), ROW(78:78)))), "", INDEX('Local Data Previous Year'!$E$3:$E$50000, SMALL(IF(CTR1_Billing!$E$21='Local Data Previous Year'!$A$3:$A$50000, ROW('Local Data Previous Year'!$A$3:$A$50000)-ROW('Local Data Previous Year'!$A$3)+1), ROW(78:78))))</f>
        <v/>
      </c>
      <c r="AO110" s="209" t="str">
        <f t="shared" si="19"/>
        <v/>
      </c>
      <c r="AP110" s="208"/>
      <c r="AQ110" s="209" t="str">
        <f t="shared" si="20"/>
        <v/>
      </c>
      <c r="AR110" s="209" t="str">
        <f t="shared" si="21"/>
        <v/>
      </c>
      <c r="AS110" s="202" t="str">
        <f t="shared" si="22"/>
        <v/>
      </c>
      <c r="AT110" s="202" t="str">
        <f t="shared" si="23"/>
        <v/>
      </c>
      <c r="AU110" s="208"/>
      <c r="AV110" s="208"/>
      <c r="AW110" s="208"/>
      <c r="AX110" s="208"/>
      <c r="AY110" s="208"/>
      <c r="AZ110" s="208"/>
      <c r="BA110" s="208"/>
      <c r="BB110" s="208"/>
      <c r="BC110" s="208"/>
      <c r="BD110" s="208"/>
      <c r="BE110" s="208"/>
      <c r="BF110" s="208"/>
      <c r="BG110" s="28"/>
      <c r="BH110" s="28"/>
      <c r="BI110" s="28"/>
      <c r="BJ110" s="28"/>
    </row>
    <row r="111" spans="1:62" s="23" customFormat="1" ht="21" customHeight="1" thickBot="1" x14ac:dyDescent="0.25">
      <c r="A111" s="846" t="str">
        <f>IF($AN111="","",IFERROR(VLOOKUP(CONCATENATE(CTR1_Billing!$E$20,$AN111),'Local Data Previous Year'!$C$3:$D$20000,2,0),CTR1_Billing!$E$21&amp;"NEW"))</f>
        <v/>
      </c>
      <c r="B111" s="846" t="str">
        <f>IF($E111="","",IFERROR(VLOOKUP(CONCATENATE(CTR1_Billing!$E$20,CTR1_Local!$E111),'Local Data Previous Year'!$C$3:$D$20000,2,0),CTR1_Billing!$E$21&amp;"NEW"))</f>
        <v/>
      </c>
      <c r="C111" s="846">
        <v>79</v>
      </c>
      <c r="D111" s="755" t="str" cm="1">
        <f t="array" ref="D111">IF(ISERROR(INDEX('Local Data Previous Year'!$D$3:$D$20000,SMALL(IF(CTR1_Billing!$E$21='Local Data Previous Year'!$A$3:$A$20000,ROW('Local Data Previous Year'!$A$3:$A$20000)-ROW('Local Data Previous Year'!$A$3)+1),ROW(79:79)))),"",INDEX('Local Data Previous Year'!$D$3:$D$20000,SMALL(IF(CTR1_Billing!$E$21='Local Data Previous Year'!$A$3:$A$20000,ROW('Local Data Previous Year'!$A$3:$A$20000)-ROW('Local Data Previous Year'!$A$3)+1),ROW(79:79))))</f>
        <v/>
      </c>
      <c r="E111" s="755" t="str" cm="1">
        <f t="array" ref="E111">IF(ISERROR(INDEX('Local Data Previous Year'!$E$3:$E$20000,SMALL(IF(CTR1_Billing!$E$21='Local Data Previous Year'!$A$3:$A$20000,ROW('Local Data Previous Year'!$A$3:$A$20000)-ROW('Local Data Previous Year'!$A$3)+1),ROW(79:79)))),"",INDEX('Local Data Previous Year'!$E$3:$E$20000,SMALL(IF(CTR1_Billing!$E$21='Local Data Previous Year'!$A$3:$A$20000,ROW('Local Data Previous Year'!$A$3:$A$20000)-ROW('Local Data Previous Year'!$A$3)+1),ROW(79:79))))</f>
        <v/>
      </c>
      <c r="F111" s="756" t="str">
        <f>IF($D111="","",IF(ISNA(MATCH($D111,'Local Data Previous Year'!$D$3:$D$20000,0)),"New",IFERROR(VLOOKUP($B111,'Local Data Previous Year'!$D$3:$I$20000,6,0),"")))</f>
        <v/>
      </c>
      <c r="G111" s="757">
        <f t="shared" si="24"/>
        <v>0</v>
      </c>
      <c r="H111" s="758" t="str">
        <f>IFERROR(INDEX('Local Data Previous Year'!$F:$F, MATCH($D111, 'Local Data Previous Year'!$D:$D, 0)), "")</f>
        <v/>
      </c>
      <c r="I111" s="759">
        <f>IF(B111=CTR1_Billing!$E$21&amp;"NEW",1,0)</f>
        <v>0</v>
      </c>
      <c r="J111" s="760" t="str">
        <f>IFERROR(INDEX('Local Data Previous Year'!$G:$G, MATCH($D111, 'Local Data Previous Year'!$D:$D, 0)), "")</f>
        <v/>
      </c>
      <c r="K111" s="762"/>
      <c r="L111" s="760" t="str">
        <f>IFERROR(INDEX('Local Data Previous Year'!$H:$H, MATCH($D111, 'Local Data Previous Year'!$D:$D, 0)), "")</f>
        <v/>
      </c>
      <c r="M111" s="762"/>
      <c r="N111" s="763"/>
      <c r="O111" s="767"/>
      <c r="P111" s="765"/>
      <c r="Q111" s="767"/>
      <c r="R111" s="766" t="str">
        <f t="shared" si="25"/>
        <v/>
      </c>
      <c r="S111" s="754"/>
      <c r="T111" s="763"/>
      <c r="U111" s="754"/>
      <c r="V111" s="763"/>
      <c r="W111" s="763"/>
      <c r="X111" s="865" t="str">
        <f>VLOOKUP(CTR1_Billing!$E$21,Data!$C$6:$D$302,1,FALSE)</f>
        <v>EZZZZ</v>
      </c>
      <c r="Y111" s="205"/>
      <c r="Z111" s="205">
        <f t="shared" si="13"/>
        <v>0</v>
      </c>
      <c r="AA111" s="206" t="str">
        <f t="shared" si="14"/>
        <v/>
      </c>
      <c r="AB111" s="205">
        <f t="shared" si="15"/>
        <v>0</v>
      </c>
      <c r="AC111" s="208"/>
      <c r="AD111" s="208"/>
      <c r="AE111" s="208"/>
      <c r="AF111" s="208"/>
      <c r="AG111" s="209" t="str">
        <f>IFERROR(INDEX('Local Data Previous Year'!$F:$F, MATCH($D111, 'Local Data Previous Year'!$D:$D, 0)), "")</f>
        <v/>
      </c>
      <c r="AH111" s="209" t="str">
        <f>IFERROR(INDEX('Local Data Previous Year'!$G:$G, MATCH($D111, 'Local Data Previous Year'!$D:$D, 0)), "")</f>
        <v/>
      </c>
      <c r="AI111" s="209" t="str">
        <f>IFERROR(INDEX('Local Data Previous Year'!$H:$H, MATCH($D111, 'Local Data Previous Year'!$D:$D, 0)), "")</f>
        <v/>
      </c>
      <c r="AJ111" s="209" t="str">
        <f t="shared" si="16"/>
        <v/>
      </c>
      <c r="AK111" s="209" t="str">
        <f t="shared" si="17"/>
        <v/>
      </c>
      <c r="AL111" s="209" t="str">
        <f t="shared" si="18"/>
        <v/>
      </c>
      <c r="AM111" s="208" t="str">
        <f>IF($AN111="","",IFERROR(VLOOKUP(CONCATENATE(CTR1_Billing!$E$20,$AN111),'Local Data Previous Year'!$C$3:$D$50000,2,0),CTR1_Billing!$E$21&amp;"NEW"))</f>
        <v/>
      </c>
      <c r="AN111" s="209" t="str" cm="1">
        <f t="array" ref="AN111">IF(ISERROR(INDEX('Local Data Previous Year'!$E$3:$E$50000, SMALL(IF(CTR1_Billing!$E$21='Local Data Previous Year'!$A$3:$A$50000, ROW('Local Data Previous Year'!$A$3:$A$50000)-ROW('Local Data Previous Year'!$A$3)+1), ROW(79:79)))), "", INDEX('Local Data Previous Year'!$E$3:$E$50000, SMALL(IF(CTR1_Billing!$E$21='Local Data Previous Year'!$A$3:$A$50000, ROW('Local Data Previous Year'!$A$3:$A$50000)-ROW('Local Data Previous Year'!$A$3)+1), ROW(79:79))))</f>
        <v/>
      </c>
      <c r="AO111" s="209" t="str">
        <f t="shared" si="19"/>
        <v/>
      </c>
      <c r="AP111" s="208"/>
      <c r="AQ111" s="209" t="str">
        <f t="shared" si="20"/>
        <v/>
      </c>
      <c r="AR111" s="209" t="str">
        <f t="shared" si="21"/>
        <v/>
      </c>
      <c r="AS111" s="202" t="str">
        <f t="shared" si="22"/>
        <v/>
      </c>
      <c r="AT111" s="202" t="str">
        <f t="shared" si="23"/>
        <v/>
      </c>
      <c r="AU111" s="208"/>
      <c r="AV111" s="208"/>
      <c r="AW111" s="208"/>
      <c r="AX111" s="208"/>
      <c r="AY111" s="208"/>
      <c r="AZ111" s="208"/>
      <c r="BA111" s="208"/>
      <c r="BB111" s="208"/>
      <c r="BC111" s="208"/>
      <c r="BD111" s="208"/>
      <c r="BE111" s="208"/>
      <c r="BF111" s="208"/>
      <c r="BG111" s="28"/>
      <c r="BH111" s="28"/>
      <c r="BI111" s="28"/>
      <c r="BJ111" s="28"/>
    </row>
    <row r="112" spans="1:62" s="23" customFormat="1" ht="21" customHeight="1" thickBot="1" x14ac:dyDescent="0.25">
      <c r="A112" s="846" t="str">
        <f>IF($AN112="","",IFERROR(VLOOKUP(CONCATENATE(CTR1_Billing!$E$20,$AN112),'Local Data Previous Year'!$C$3:$D$20000,2,0),CTR1_Billing!$E$21&amp;"NEW"))</f>
        <v/>
      </c>
      <c r="B112" s="846" t="str">
        <f>IF($E112="","",IFERROR(VLOOKUP(CONCATENATE(CTR1_Billing!$E$20,CTR1_Local!$E112),'Local Data Previous Year'!$C$3:$D$20000,2,0),CTR1_Billing!$E$21&amp;"NEW"))</f>
        <v/>
      </c>
      <c r="C112" s="846">
        <v>80</v>
      </c>
      <c r="D112" s="755" t="str" cm="1">
        <f t="array" ref="D112">IF(ISERROR(INDEX('Local Data Previous Year'!$D$3:$D$20000,SMALL(IF(CTR1_Billing!$E$21='Local Data Previous Year'!$A$3:$A$20000,ROW('Local Data Previous Year'!$A$3:$A$20000)-ROW('Local Data Previous Year'!$A$3)+1),ROW(80:80)))),"",INDEX('Local Data Previous Year'!$D$3:$D$20000,SMALL(IF(CTR1_Billing!$E$21='Local Data Previous Year'!$A$3:$A$20000,ROW('Local Data Previous Year'!$A$3:$A$20000)-ROW('Local Data Previous Year'!$A$3)+1),ROW(80:80))))</f>
        <v/>
      </c>
      <c r="E112" s="755" t="str" cm="1">
        <f t="array" ref="E112">IF(ISERROR(INDEX('Local Data Previous Year'!$E$3:$E$20000,SMALL(IF(CTR1_Billing!$E$21='Local Data Previous Year'!$A$3:$A$20000,ROW('Local Data Previous Year'!$A$3:$A$20000)-ROW('Local Data Previous Year'!$A$3)+1),ROW(80:80)))),"",INDEX('Local Data Previous Year'!$E$3:$E$20000,SMALL(IF(CTR1_Billing!$E$21='Local Data Previous Year'!$A$3:$A$20000,ROW('Local Data Previous Year'!$A$3:$A$20000)-ROW('Local Data Previous Year'!$A$3)+1),ROW(80:80))))</f>
        <v/>
      </c>
      <c r="F112" s="756" t="str">
        <f>IF($D112="","",IF(ISNA(MATCH($D112,'Local Data Previous Year'!$D$3:$D$20000,0)),"New",IFERROR(VLOOKUP($B112,'Local Data Previous Year'!$D$3:$I$20000,6,0),"")))</f>
        <v/>
      </c>
      <c r="G112" s="757">
        <f t="shared" si="24"/>
        <v>0</v>
      </c>
      <c r="H112" s="758" t="str">
        <f>IFERROR(INDEX('Local Data Previous Year'!$F:$F, MATCH($D112, 'Local Data Previous Year'!$D:$D, 0)), "")</f>
        <v/>
      </c>
      <c r="I112" s="759">
        <f>IF(B112=CTR1_Billing!$E$21&amp;"NEW",1,0)</f>
        <v>0</v>
      </c>
      <c r="J112" s="760" t="str">
        <f>IFERROR(INDEX('Local Data Previous Year'!$G:$G, MATCH($D112, 'Local Data Previous Year'!$D:$D, 0)), "")</f>
        <v/>
      </c>
      <c r="K112" s="762"/>
      <c r="L112" s="760" t="str">
        <f>IFERROR(INDEX('Local Data Previous Year'!$H:$H, MATCH($D112, 'Local Data Previous Year'!$D:$D, 0)), "")</f>
        <v/>
      </c>
      <c r="M112" s="762"/>
      <c r="N112" s="763"/>
      <c r="O112" s="767"/>
      <c r="P112" s="765"/>
      <c r="Q112" s="767"/>
      <c r="R112" s="766" t="str">
        <f t="shared" si="25"/>
        <v/>
      </c>
      <c r="S112" s="754"/>
      <c r="T112" s="763"/>
      <c r="U112" s="754"/>
      <c r="V112" s="763"/>
      <c r="W112" s="763"/>
      <c r="X112" s="865" t="str">
        <f>VLOOKUP(CTR1_Billing!$E$21,Data!$C$6:$D$302,1,FALSE)</f>
        <v>EZZZZ</v>
      </c>
      <c r="Y112" s="205"/>
      <c r="Z112" s="205">
        <f t="shared" si="13"/>
        <v>0</v>
      </c>
      <c r="AA112" s="206" t="str">
        <f t="shared" si="14"/>
        <v/>
      </c>
      <c r="AB112" s="205">
        <f t="shared" si="15"/>
        <v>0</v>
      </c>
      <c r="AC112" s="208"/>
      <c r="AD112" s="208"/>
      <c r="AE112" s="208"/>
      <c r="AF112" s="208"/>
      <c r="AG112" s="209" t="str">
        <f>IFERROR(INDEX('Local Data Previous Year'!$F:$F, MATCH($D112, 'Local Data Previous Year'!$D:$D, 0)), "")</f>
        <v/>
      </c>
      <c r="AH112" s="209" t="str">
        <f>IFERROR(INDEX('Local Data Previous Year'!$G:$G, MATCH($D112, 'Local Data Previous Year'!$D:$D, 0)), "")</f>
        <v/>
      </c>
      <c r="AI112" s="209" t="str">
        <f>IFERROR(INDEX('Local Data Previous Year'!$H:$H, MATCH($D112, 'Local Data Previous Year'!$D:$D, 0)), "")</f>
        <v/>
      </c>
      <c r="AJ112" s="209" t="str">
        <f t="shared" si="16"/>
        <v/>
      </c>
      <c r="AK112" s="209" t="str">
        <f t="shared" si="17"/>
        <v/>
      </c>
      <c r="AL112" s="209" t="str">
        <f t="shared" si="18"/>
        <v/>
      </c>
      <c r="AM112" s="208" t="str">
        <f>IF($AN112="","",IFERROR(VLOOKUP(CONCATENATE(CTR1_Billing!$E$20,$AN112),'Local Data Previous Year'!$C$3:$D$50000,2,0),CTR1_Billing!$E$21&amp;"NEW"))</f>
        <v/>
      </c>
      <c r="AN112" s="209" t="str" cm="1">
        <f t="array" ref="AN112">IF(ISERROR(INDEX('Local Data Previous Year'!$E$3:$E$50000, SMALL(IF(CTR1_Billing!$E$21='Local Data Previous Year'!$A$3:$A$50000, ROW('Local Data Previous Year'!$A$3:$A$50000)-ROW('Local Data Previous Year'!$A$3)+1), ROW(80:80)))), "", INDEX('Local Data Previous Year'!$E$3:$E$50000, SMALL(IF(CTR1_Billing!$E$21='Local Data Previous Year'!$A$3:$A$50000, ROW('Local Data Previous Year'!$A$3:$A$50000)-ROW('Local Data Previous Year'!$A$3)+1), ROW(80:80))))</f>
        <v/>
      </c>
      <c r="AO112" s="209" t="str">
        <f t="shared" si="19"/>
        <v/>
      </c>
      <c r="AP112" s="208"/>
      <c r="AQ112" s="209" t="str">
        <f t="shared" si="20"/>
        <v/>
      </c>
      <c r="AR112" s="209" t="str">
        <f t="shared" si="21"/>
        <v/>
      </c>
      <c r="AS112" s="202" t="str">
        <f t="shared" si="22"/>
        <v/>
      </c>
      <c r="AT112" s="202" t="str">
        <f t="shared" si="23"/>
        <v/>
      </c>
      <c r="AU112" s="208"/>
      <c r="AV112" s="208"/>
      <c r="AW112" s="208"/>
      <c r="AX112" s="208"/>
      <c r="AY112" s="208"/>
      <c r="AZ112" s="208"/>
      <c r="BA112" s="208"/>
      <c r="BB112" s="208"/>
      <c r="BC112" s="208"/>
      <c r="BD112" s="208"/>
      <c r="BE112" s="208"/>
      <c r="BF112" s="208"/>
      <c r="BG112" s="28"/>
      <c r="BH112" s="28"/>
      <c r="BI112" s="28"/>
      <c r="BJ112" s="28"/>
    </row>
    <row r="113" spans="1:62" s="23" customFormat="1" ht="21" customHeight="1" thickBot="1" x14ac:dyDescent="0.25">
      <c r="A113" s="846" t="str">
        <f>IF($AN113="","",IFERROR(VLOOKUP(CONCATENATE(CTR1_Billing!$E$20,$AN113),'Local Data Previous Year'!$C$3:$D$20000,2,0),CTR1_Billing!$E$21&amp;"NEW"))</f>
        <v/>
      </c>
      <c r="B113" s="846" t="str">
        <f>IF($E113="","",IFERROR(VLOOKUP(CONCATENATE(CTR1_Billing!$E$20,CTR1_Local!$E113),'Local Data Previous Year'!$C$3:$D$20000,2,0),CTR1_Billing!$E$21&amp;"NEW"))</f>
        <v/>
      </c>
      <c r="C113" s="846">
        <v>81</v>
      </c>
      <c r="D113" s="755" t="str" cm="1">
        <f t="array" ref="D113">IF(ISERROR(INDEX('Local Data Previous Year'!$D$3:$D$20000,SMALL(IF(CTR1_Billing!$E$21='Local Data Previous Year'!$A$3:$A$20000,ROW('Local Data Previous Year'!$A$3:$A$20000)-ROW('Local Data Previous Year'!$A$3)+1),ROW(81:81)))),"",INDEX('Local Data Previous Year'!$D$3:$D$20000,SMALL(IF(CTR1_Billing!$E$21='Local Data Previous Year'!$A$3:$A$20000,ROW('Local Data Previous Year'!$A$3:$A$20000)-ROW('Local Data Previous Year'!$A$3)+1),ROW(81:81))))</f>
        <v/>
      </c>
      <c r="E113" s="755" t="str" cm="1">
        <f t="array" ref="E113">IF(ISERROR(INDEX('Local Data Previous Year'!$E$3:$E$20000,SMALL(IF(CTR1_Billing!$E$21='Local Data Previous Year'!$A$3:$A$20000,ROW('Local Data Previous Year'!$A$3:$A$20000)-ROW('Local Data Previous Year'!$A$3)+1),ROW(81:81)))),"",INDEX('Local Data Previous Year'!$E$3:$E$20000,SMALL(IF(CTR1_Billing!$E$21='Local Data Previous Year'!$A$3:$A$20000,ROW('Local Data Previous Year'!$A$3:$A$20000)-ROW('Local Data Previous Year'!$A$3)+1),ROW(81:81))))</f>
        <v/>
      </c>
      <c r="F113" s="756" t="str">
        <f>IF($D113="","",IF(ISNA(MATCH($D113,'Local Data Previous Year'!$D$3:$D$20000,0)),"New",IFERROR(VLOOKUP($B113,'Local Data Previous Year'!$D$3:$I$20000,6,0),"")))</f>
        <v/>
      </c>
      <c r="G113" s="757">
        <f t="shared" si="24"/>
        <v>0</v>
      </c>
      <c r="H113" s="758" t="str">
        <f>IFERROR(INDEX('Local Data Previous Year'!$F:$F, MATCH($D113, 'Local Data Previous Year'!$D:$D, 0)), "")</f>
        <v/>
      </c>
      <c r="I113" s="759">
        <f>IF(B113=CTR1_Billing!$E$21&amp;"NEW",1,0)</f>
        <v>0</v>
      </c>
      <c r="J113" s="760" t="str">
        <f>IFERROR(INDEX('Local Data Previous Year'!$G:$G, MATCH($D113, 'Local Data Previous Year'!$D:$D, 0)), "")</f>
        <v/>
      </c>
      <c r="K113" s="762"/>
      <c r="L113" s="760" t="str">
        <f>IFERROR(INDEX('Local Data Previous Year'!$H:$H, MATCH($D113, 'Local Data Previous Year'!$D:$D, 0)), "")</f>
        <v/>
      </c>
      <c r="M113" s="762"/>
      <c r="N113" s="763"/>
      <c r="O113" s="767"/>
      <c r="P113" s="765"/>
      <c r="Q113" s="767"/>
      <c r="R113" s="766" t="str">
        <f t="shared" si="25"/>
        <v/>
      </c>
      <c r="S113" s="754"/>
      <c r="T113" s="763"/>
      <c r="U113" s="754"/>
      <c r="V113" s="763"/>
      <c r="W113" s="763"/>
      <c r="X113" s="865" t="str">
        <f>VLOOKUP(CTR1_Billing!$E$21,Data!$C$6:$D$302,1,FALSE)</f>
        <v>EZZZZ</v>
      </c>
      <c r="Y113" s="205"/>
      <c r="Z113" s="205">
        <f t="shared" si="13"/>
        <v>0</v>
      </c>
      <c r="AA113" s="206" t="str">
        <f t="shared" si="14"/>
        <v/>
      </c>
      <c r="AB113" s="205">
        <f t="shared" si="15"/>
        <v>0</v>
      </c>
      <c r="AC113" s="208"/>
      <c r="AD113" s="208"/>
      <c r="AE113" s="208"/>
      <c r="AF113" s="208"/>
      <c r="AG113" s="209" t="str">
        <f>IFERROR(INDEX('Local Data Previous Year'!$F:$F, MATCH($D113, 'Local Data Previous Year'!$D:$D, 0)), "")</f>
        <v/>
      </c>
      <c r="AH113" s="209" t="str">
        <f>IFERROR(INDEX('Local Data Previous Year'!$G:$G, MATCH($D113, 'Local Data Previous Year'!$D:$D, 0)), "")</f>
        <v/>
      </c>
      <c r="AI113" s="209" t="str">
        <f>IFERROR(INDEX('Local Data Previous Year'!$H:$H, MATCH($D113, 'Local Data Previous Year'!$D:$D, 0)), "")</f>
        <v/>
      </c>
      <c r="AJ113" s="209" t="str">
        <f t="shared" si="16"/>
        <v/>
      </c>
      <c r="AK113" s="209" t="str">
        <f t="shared" si="17"/>
        <v/>
      </c>
      <c r="AL113" s="209" t="str">
        <f t="shared" si="18"/>
        <v/>
      </c>
      <c r="AM113" s="208" t="str">
        <f>IF($AN113="","",IFERROR(VLOOKUP(CONCATENATE(CTR1_Billing!$E$20,$AN113),'Local Data Previous Year'!$C$3:$D$50000,2,0),CTR1_Billing!$E$21&amp;"NEW"))</f>
        <v/>
      </c>
      <c r="AN113" s="209" t="str" cm="1">
        <f t="array" ref="AN113">IF(ISERROR(INDEX('Local Data Previous Year'!$E$3:$E$50000, SMALL(IF(CTR1_Billing!$E$21='Local Data Previous Year'!$A$3:$A$50000, ROW('Local Data Previous Year'!$A$3:$A$50000)-ROW('Local Data Previous Year'!$A$3)+1), ROW(81:81)))), "", INDEX('Local Data Previous Year'!$E$3:$E$50000, SMALL(IF(CTR1_Billing!$E$21='Local Data Previous Year'!$A$3:$A$50000, ROW('Local Data Previous Year'!$A$3:$A$50000)-ROW('Local Data Previous Year'!$A$3)+1), ROW(81:81))))</f>
        <v/>
      </c>
      <c r="AO113" s="209" t="str">
        <f t="shared" si="19"/>
        <v/>
      </c>
      <c r="AP113" s="208"/>
      <c r="AQ113" s="209" t="str">
        <f t="shared" si="20"/>
        <v/>
      </c>
      <c r="AR113" s="209" t="str">
        <f t="shared" si="21"/>
        <v/>
      </c>
      <c r="AS113" s="202" t="str">
        <f t="shared" si="22"/>
        <v/>
      </c>
      <c r="AT113" s="202" t="str">
        <f t="shared" si="23"/>
        <v/>
      </c>
      <c r="AU113" s="208"/>
      <c r="AV113" s="208"/>
      <c r="AW113" s="208"/>
      <c r="AX113" s="208"/>
      <c r="AY113" s="208"/>
      <c r="AZ113" s="208"/>
      <c r="BA113" s="208"/>
      <c r="BB113" s="208"/>
      <c r="BC113" s="208"/>
      <c r="BD113" s="208"/>
      <c r="BE113" s="208"/>
      <c r="BF113" s="208"/>
      <c r="BG113" s="28"/>
      <c r="BH113" s="28"/>
      <c r="BI113" s="28"/>
      <c r="BJ113" s="28"/>
    </row>
    <row r="114" spans="1:62" s="23" customFormat="1" ht="21" customHeight="1" thickBot="1" x14ac:dyDescent="0.25">
      <c r="A114" s="846" t="str">
        <f>IF($AN114="","",IFERROR(VLOOKUP(CONCATENATE(CTR1_Billing!$E$20,$AN114),'Local Data Previous Year'!$C$3:$D$20000,2,0),CTR1_Billing!$E$21&amp;"NEW"))</f>
        <v/>
      </c>
      <c r="B114" s="846" t="str">
        <f>IF($E114="","",IFERROR(VLOOKUP(CONCATENATE(CTR1_Billing!$E$20,CTR1_Local!$E114),'Local Data Previous Year'!$C$3:$D$20000,2,0),CTR1_Billing!$E$21&amp;"NEW"))</f>
        <v/>
      </c>
      <c r="C114" s="846">
        <v>82</v>
      </c>
      <c r="D114" s="755" t="str" cm="1">
        <f t="array" ref="D114">IF(ISERROR(INDEX('Local Data Previous Year'!$D$3:$D$20000,SMALL(IF(CTR1_Billing!$E$21='Local Data Previous Year'!$A$3:$A$20000,ROW('Local Data Previous Year'!$A$3:$A$20000)-ROW('Local Data Previous Year'!$A$3)+1),ROW(82:82)))),"",INDEX('Local Data Previous Year'!$D$3:$D$20000,SMALL(IF(CTR1_Billing!$E$21='Local Data Previous Year'!$A$3:$A$20000,ROW('Local Data Previous Year'!$A$3:$A$20000)-ROW('Local Data Previous Year'!$A$3)+1),ROW(82:82))))</f>
        <v/>
      </c>
      <c r="E114" s="755" t="str" cm="1">
        <f t="array" ref="E114">IF(ISERROR(INDEX('Local Data Previous Year'!$E$3:$E$20000,SMALL(IF(CTR1_Billing!$E$21='Local Data Previous Year'!$A$3:$A$20000,ROW('Local Data Previous Year'!$A$3:$A$20000)-ROW('Local Data Previous Year'!$A$3)+1),ROW(82:82)))),"",INDEX('Local Data Previous Year'!$E$3:$E$20000,SMALL(IF(CTR1_Billing!$E$21='Local Data Previous Year'!$A$3:$A$20000,ROW('Local Data Previous Year'!$A$3:$A$20000)-ROW('Local Data Previous Year'!$A$3)+1),ROW(82:82))))</f>
        <v/>
      </c>
      <c r="F114" s="756" t="str">
        <f>IF($D114="","",IF(ISNA(MATCH($D114,'Local Data Previous Year'!$D$3:$D$20000,0)),"New",IFERROR(VLOOKUP($B114,'Local Data Previous Year'!$D$3:$I$20000,6,0),"")))</f>
        <v/>
      </c>
      <c r="G114" s="757">
        <f t="shared" si="24"/>
        <v>0</v>
      </c>
      <c r="H114" s="758" t="str">
        <f>IFERROR(INDEX('Local Data Previous Year'!$F:$F, MATCH($D114, 'Local Data Previous Year'!$D:$D, 0)), "")</f>
        <v/>
      </c>
      <c r="I114" s="759">
        <f>IF(B114=CTR1_Billing!$E$21&amp;"NEW",1,0)</f>
        <v>0</v>
      </c>
      <c r="J114" s="760" t="str">
        <f>IFERROR(INDEX('Local Data Previous Year'!$G:$G, MATCH($D114, 'Local Data Previous Year'!$D:$D, 0)), "")</f>
        <v/>
      </c>
      <c r="K114" s="762"/>
      <c r="L114" s="760" t="str">
        <f>IFERROR(INDEX('Local Data Previous Year'!$H:$H, MATCH($D114, 'Local Data Previous Year'!$D:$D, 0)), "")</f>
        <v/>
      </c>
      <c r="M114" s="762"/>
      <c r="N114" s="763"/>
      <c r="O114" s="767"/>
      <c r="P114" s="765"/>
      <c r="Q114" s="767"/>
      <c r="R114" s="766" t="str">
        <f t="shared" si="25"/>
        <v/>
      </c>
      <c r="S114" s="754"/>
      <c r="T114" s="763"/>
      <c r="U114" s="754"/>
      <c r="V114" s="763"/>
      <c r="W114" s="763"/>
      <c r="X114" s="865" t="str">
        <f>VLOOKUP(CTR1_Billing!$E$21,Data!$C$6:$D$302,1,FALSE)</f>
        <v>EZZZZ</v>
      </c>
      <c r="Y114" s="205"/>
      <c r="Z114" s="205">
        <f t="shared" si="13"/>
        <v>0</v>
      </c>
      <c r="AA114" s="206" t="str">
        <f t="shared" si="14"/>
        <v/>
      </c>
      <c r="AB114" s="205">
        <f t="shared" si="15"/>
        <v>0</v>
      </c>
      <c r="AC114" s="208"/>
      <c r="AD114" s="208"/>
      <c r="AE114" s="208"/>
      <c r="AF114" s="208"/>
      <c r="AG114" s="209" t="str">
        <f>IFERROR(INDEX('Local Data Previous Year'!$F:$F, MATCH($D114, 'Local Data Previous Year'!$D:$D, 0)), "")</f>
        <v/>
      </c>
      <c r="AH114" s="209" t="str">
        <f>IFERROR(INDEX('Local Data Previous Year'!$G:$G, MATCH($D114, 'Local Data Previous Year'!$D:$D, 0)), "")</f>
        <v/>
      </c>
      <c r="AI114" s="209" t="str">
        <f>IFERROR(INDEX('Local Data Previous Year'!$H:$H, MATCH($D114, 'Local Data Previous Year'!$D:$D, 0)), "")</f>
        <v/>
      </c>
      <c r="AJ114" s="209" t="str">
        <f t="shared" si="16"/>
        <v/>
      </c>
      <c r="AK114" s="209" t="str">
        <f t="shared" si="17"/>
        <v/>
      </c>
      <c r="AL114" s="209" t="str">
        <f t="shared" si="18"/>
        <v/>
      </c>
      <c r="AM114" s="208" t="str">
        <f>IF($AN114="","",IFERROR(VLOOKUP(CONCATENATE(CTR1_Billing!$E$20,$AN114),'Local Data Previous Year'!$C$3:$D$50000,2,0),CTR1_Billing!$E$21&amp;"NEW"))</f>
        <v/>
      </c>
      <c r="AN114" s="209" t="str" cm="1">
        <f t="array" ref="AN114">IF(ISERROR(INDEX('Local Data Previous Year'!$E$3:$E$50000, SMALL(IF(CTR1_Billing!$E$21='Local Data Previous Year'!$A$3:$A$50000, ROW('Local Data Previous Year'!$A$3:$A$50000)-ROW('Local Data Previous Year'!$A$3)+1), ROW(82:82)))), "", INDEX('Local Data Previous Year'!$E$3:$E$50000, SMALL(IF(CTR1_Billing!$E$21='Local Data Previous Year'!$A$3:$A$50000, ROW('Local Data Previous Year'!$A$3:$A$50000)-ROW('Local Data Previous Year'!$A$3)+1), ROW(82:82))))</f>
        <v/>
      </c>
      <c r="AO114" s="209" t="str">
        <f t="shared" si="19"/>
        <v/>
      </c>
      <c r="AP114" s="208"/>
      <c r="AQ114" s="209" t="str">
        <f t="shared" si="20"/>
        <v/>
      </c>
      <c r="AR114" s="209" t="str">
        <f t="shared" si="21"/>
        <v/>
      </c>
      <c r="AS114" s="202" t="str">
        <f t="shared" si="22"/>
        <v/>
      </c>
      <c r="AT114" s="202" t="str">
        <f t="shared" si="23"/>
        <v/>
      </c>
      <c r="AU114" s="208"/>
      <c r="AV114" s="208"/>
      <c r="AW114" s="208"/>
      <c r="AX114" s="208"/>
      <c r="AY114" s="208"/>
      <c r="AZ114" s="208"/>
      <c r="BA114" s="208"/>
      <c r="BB114" s="208"/>
      <c r="BC114" s="208"/>
      <c r="BD114" s="208"/>
      <c r="BE114" s="208"/>
      <c r="BF114" s="208"/>
      <c r="BG114" s="28"/>
      <c r="BH114" s="28"/>
      <c r="BI114" s="28"/>
      <c r="BJ114" s="28"/>
    </row>
    <row r="115" spans="1:62" s="23" customFormat="1" ht="21" customHeight="1" thickBot="1" x14ac:dyDescent="0.25">
      <c r="A115" s="846" t="str">
        <f>IF($AN115="","",IFERROR(VLOOKUP(CONCATENATE(CTR1_Billing!$E$20,$AN115),'Local Data Previous Year'!$C$3:$D$20000,2,0),CTR1_Billing!$E$21&amp;"NEW"))</f>
        <v/>
      </c>
      <c r="B115" s="846" t="str">
        <f>IF($E115="","",IFERROR(VLOOKUP(CONCATENATE(CTR1_Billing!$E$20,CTR1_Local!$E115),'Local Data Previous Year'!$C$3:$D$20000,2,0),CTR1_Billing!$E$21&amp;"NEW"))</f>
        <v/>
      </c>
      <c r="C115" s="846">
        <v>83</v>
      </c>
      <c r="D115" s="755" t="str" cm="1">
        <f t="array" ref="D115">IF(ISERROR(INDEX('Local Data Previous Year'!$D$3:$D$20000,SMALL(IF(CTR1_Billing!$E$21='Local Data Previous Year'!$A$3:$A$20000,ROW('Local Data Previous Year'!$A$3:$A$20000)-ROW('Local Data Previous Year'!$A$3)+1),ROW(83:83)))),"",INDEX('Local Data Previous Year'!$D$3:$D$20000,SMALL(IF(CTR1_Billing!$E$21='Local Data Previous Year'!$A$3:$A$20000,ROW('Local Data Previous Year'!$A$3:$A$20000)-ROW('Local Data Previous Year'!$A$3)+1),ROW(83:83))))</f>
        <v/>
      </c>
      <c r="E115" s="755" t="str" cm="1">
        <f t="array" ref="E115">IF(ISERROR(INDEX('Local Data Previous Year'!$E$3:$E$20000,SMALL(IF(CTR1_Billing!$E$21='Local Data Previous Year'!$A$3:$A$20000,ROW('Local Data Previous Year'!$A$3:$A$20000)-ROW('Local Data Previous Year'!$A$3)+1),ROW(83:83)))),"",INDEX('Local Data Previous Year'!$E$3:$E$20000,SMALL(IF(CTR1_Billing!$E$21='Local Data Previous Year'!$A$3:$A$20000,ROW('Local Data Previous Year'!$A$3:$A$20000)-ROW('Local Data Previous Year'!$A$3)+1),ROW(83:83))))</f>
        <v/>
      </c>
      <c r="F115" s="756" t="str">
        <f>IF($D115="","",IF(ISNA(MATCH($D115,'Local Data Previous Year'!$D$3:$D$20000,0)),"New",IFERROR(VLOOKUP($B115,'Local Data Previous Year'!$D$3:$I$20000,6,0),"")))</f>
        <v/>
      </c>
      <c r="G115" s="757">
        <f t="shared" si="24"/>
        <v>0</v>
      </c>
      <c r="H115" s="758" t="str">
        <f>IFERROR(INDEX('Local Data Previous Year'!$F:$F, MATCH($D115, 'Local Data Previous Year'!$D:$D, 0)), "")</f>
        <v/>
      </c>
      <c r="I115" s="759">
        <f>IF(B115=CTR1_Billing!$E$21&amp;"NEW",1,0)</f>
        <v>0</v>
      </c>
      <c r="J115" s="760" t="str">
        <f>IFERROR(INDEX('Local Data Previous Year'!$G:$G, MATCH($D115, 'Local Data Previous Year'!$D:$D, 0)), "")</f>
        <v/>
      </c>
      <c r="K115" s="762"/>
      <c r="L115" s="760" t="str">
        <f>IFERROR(INDEX('Local Data Previous Year'!$H:$H, MATCH($D115, 'Local Data Previous Year'!$D:$D, 0)), "")</f>
        <v/>
      </c>
      <c r="M115" s="762"/>
      <c r="N115" s="763"/>
      <c r="O115" s="767"/>
      <c r="P115" s="765"/>
      <c r="Q115" s="767"/>
      <c r="R115" s="766" t="str">
        <f t="shared" si="25"/>
        <v/>
      </c>
      <c r="S115" s="754"/>
      <c r="T115" s="763"/>
      <c r="U115" s="754"/>
      <c r="V115" s="763"/>
      <c r="W115" s="763"/>
      <c r="X115" s="865" t="str">
        <f>VLOOKUP(CTR1_Billing!$E$21,Data!$C$6:$D$302,1,FALSE)</f>
        <v>EZZZZ</v>
      </c>
      <c r="Y115" s="205"/>
      <c r="Z115" s="205">
        <f t="shared" si="13"/>
        <v>0</v>
      </c>
      <c r="AA115" s="206" t="str">
        <f t="shared" si="14"/>
        <v/>
      </c>
      <c r="AB115" s="205">
        <f t="shared" si="15"/>
        <v>0</v>
      </c>
      <c r="AC115" s="208"/>
      <c r="AD115" s="208"/>
      <c r="AE115" s="208"/>
      <c r="AF115" s="208"/>
      <c r="AG115" s="209" t="str">
        <f>IFERROR(INDEX('Local Data Previous Year'!$F:$F, MATCH($D115, 'Local Data Previous Year'!$D:$D, 0)), "")</f>
        <v/>
      </c>
      <c r="AH115" s="209" t="str">
        <f>IFERROR(INDEX('Local Data Previous Year'!$G:$G, MATCH($D115, 'Local Data Previous Year'!$D:$D, 0)), "")</f>
        <v/>
      </c>
      <c r="AI115" s="209" t="str">
        <f>IFERROR(INDEX('Local Data Previous Year'!$H:$H, MATCH($D115, 'Local Data Previous Year'!$D:$D, 0)), "")</f>
        <v/>
      </c>
      <c r="AJ115" s="209" t="str">
        <f t="shared" si="16"/>
        <v/>
      </c>
      <c r="AK115" s="209" t="str">
        <f t="shared" si="17"/>
        <v/>
      </c>
      <c r="AL115" s="209" t="str">
        <f t="shared" si="18"/>
        <v/>
      </c>
      <c r="AM115" s="208" t="str">
        <f>IF($AN115="","",IFERROR(VLOOKUP(CONCATENATE(CTR1_Billing!$E$20,$AN115),'Local Data Previous Year'!$C$3:$D$50000,2,0),CTR1_Billing!$E$21&amp;"NEW"))</f>
        <v/>
      </c>
      <c r="AN115" s="209" t="str" cm="1">
        <f t="array" ref="AN115">IF(ISERROR(INDEX('Local Data Previous Year'!$E$3:$E$50000, SMALL(IF(CTR1_Billing!$E$21='Local Data Previous Year'!$A$3:$A$50000, ROW('Local Data Previous Year'!$A$3:$A$50000)-ROW('Local Data Previous Year'!$A$3)+1), ROW(83:83)))), "", INDEX('Local Data Previous Year'!$E$3:$E$50000, SMALL(IF(CTR1_Billing!$E$21='Local Data Previous Year'!$A$3:$A$50000, ROW('Local Data Previous Year'!$A$3:$A$50000)-ROW('Local Data Previous Year'!$A$3)+1), ROW(83:83))))</f>
        <v/>
      </c>
      <c r="AO115" s="209" t="str">
        <f t="shared" si="19"/>
        <v/>
      </c>
      <c r="AP115" s="208"/>
      <c r="AQ115" s="209" t="str">
        <f t="shared" si="20"/>
        <v/>
      </c>
      <c r="AR115" s="209" t="str">
        <f t="shared" si="21"/>
        <v/>
      </c>
      <c r="AS115" s="202" t="str">
        <f t="shared" si="22"/>
        <v/>
      </c>
      <c r="AT115" s="202" t="str">
        <f t="shared" si="23"/>
        <v/>
      </c>
      <c r="AU115" s="208"/>
      <c r="AV115" s="208"/>
      <c r="AW115" s="208"/>
      <c r="AX115" s="208"/>
      <c r="AY115" s="208"/>
      <c r="AZ115" s="208"/>
      <c r="BA115" s="208"/>
      <c r="BB115" s="208"/>
      <c r="BC115" s="208"/>
      <c r="BD115" s="208"/>
      <c r="BE115" s="208"/>
      <c r="BF115" s="208"/>
      <c r="BG115" s="28"/>
      <c r="BH115" s="28"/>
      <c r="BI115" s="28"/>
      <c r="BJ115" s="28"/>
    </row>
    <row r="116" spans="1:62" s="23" customFormat="1" ht="21" customHeight="1" thickBot="1" x14ac:dyDescent="0.25">
      <c r="A116" s="846" t="str">
        <f>IF($AN116="","",IFERROR(VLOOKUP(CONCATENATE(CTR1_Billing!$E$20,$AN116),'Local Data Previous Year'!$C$3:$D$20000,2,0),CTR1_Billing!$E$21&amp;"NEW"))</f>
        <v/>
      </c>
      <c r="B116" s="846" t="str">
        <f>IF($E116="","",IFERROR(VLOOKUP(CONCATENATE(CTR1_Billing!$E$20,CTR1_Local!$E116),'Local Data Previous Year'!$C$3:$D$20000,2,0),CTR1_Billing!$E$21&amp;"NEW"))</f>
        <v/>
      </c>
      <c r="C116" s="846">
        <v>84</v>
      </c>
      <c r="D116" s="755" t="str" cm="1">
        <f t="array" ref="D116">IF(ISERROR(INDEX('Local Data Previous Year'!$D$3:$D$20000,SMALL(IF(CTR1_Billing!$E$21='Local Data Previous Year'!$A$3:$A$20000,ROW('Local Data Previous Year'!$A$3:$A$20000)-ROW('Local Data Previous Year'!$A$3)+1),ROW(84:84)))),"",INDEX('Local Data Previous Year'!$D$3:$D$20000,SMALL(IF(CTR1_Billing!$E$21='Local Data Previous Year'!$A$3:$A$20000,ROW('Local Data Previous Year'!$A$3:$A$20000)-ROW('Local Data Previous Year'!$A$3)+1),ROW(84:84))))</f>
        <v/>
      </c>
      <c r="E116" s="755" t="str" cm="1">
        <f t="array" ref="E116">IF(ISERROR(INDEX('Local Data Previous Year'!$E$3:$E$20000,SMALL(IF(CTR1_Billing!$E$21='Local Data Previous Year'!$A$3:$A$20000,ROW('Local Data Previous Year'!$A$3:$A$20000)-ROW('Local Data Previous Year'!$A$3)+1),ROW(84:84)))),"",INDEX('Local Data Previous Year'!$E$3:$E$20000,SMALL(IF(CTR1_Billing!$E$21='Local Data Previous Year'!$A$3:$A$20000,ROW('Local Data Previous Year'!$A$3:$A$20000)-ROW('Local Data Previous Year'!$A$3)+1),ROW(84:84))))</f>
        <v/>
      </c>
      <c r="F116" s="756" t="str">
        <f>IF($D116="","",IF(ISNA(MATCH($D116,'Local Data Previous Year'!$D$3:$D$20000,0)),"New",IFERROR(VLOOKUP($B116,'Local Data Previous Year'!$D$3:$I$20000,6,0),"")))</f>
        <v/>
      </c>
      <c r="G116" s="757">
        <f t="shared" si="24"/>
        <v>0</v>
      </c>
      <c r="H116" s="758" t="str">
        <f>IFERROR(INDEX('Local Data Previous Year'!$F:$F, MATCH($D116, 'Local Data Previous Year'!$D:$D, 0)), "")</f>
        <v/>
      </c>
      <c r="I116" s="759">
        <f>IF(B116=CTR1_Billing!$E$21&amp;"NEW",1,0)</f>
        <v>0</v>
      </c>
      <c r="J116" s="760" t="str">
        <f>IFERROR(INDEX('Local Data Previous Year'!$G:$G, MATCH($D116, 'Local Data Previous Year'!$D:$D, 0)), "")</f>
        <v/>
      </c>
      <c r="K116" s="762"/>
      <c r="L116" s="760" t="str">
        <f>IFERROR(INDEX('Local Data Previous Year'!$H:$H, MATCH($D116, 'Local Data Previous Year'!$D:$D, 0)), "")</f>
        <v/>
      </c>
      <c r="M116" s="762"/>
      <c r="N116" s="763"/>
      <c r="O116" s="767"/>
      <c r="P116" s="765"/>
      <c r="Q116" s="767"/>
      <c r="R116" s="766" t="str">
        <f t="shared" si="25"/>
        <v/>
      </c>
      <c r="S116" s="754"/>
      <c r="T116" s="763"/>
      <c r="U116" s="754"/>
      <c r="V116" s="763"/>
      <c r="W116" s="763"/>
      <c r="X116" s="865" t="str">
        <f>VLOOKUP(CTR1_Billing!$E$21,Data!$C$6:$D$302,1,FALSE)</f>
        <v>EZZZZ</v>
      </c>
      <c r="Y116" s="205"/>
      <c r="Z116" s="205">
        <f t="shared" si="13"/>
        <v>0</v>
      </c>
      <c r="AA116" s="206" t="str">
        <f t="shared" si="14"/>
        <v/>
      </c>
      <c r="AB116" s="205">
        <f t="shared" si="15"/>
        <v>0</v>
      </c>
      <c r="AC116" s="208"/>
      <c r="AD116" s="208"/>
      <c r="AE116" s="208"/>
      <c r="AF116" s="208"/>
      <c r="AG116" s="209" t="str">
        <f>IFERROR(INDEX('Local Data Previous Year'!$F:$F, MATCH($D116, 'Local Data Previous Year'!$D:$D, 0)), "")</f>
        <v/>
      </c>
      <c r="AH116" s="209" t="str">
        <f>IFERROR(INDEX('Local Data Previous Year'!$G:$G, MATCH($D116, 'Local Data Previous Year'!$D:$D, 0)), "")</f>
        <v/>
      </c>
      <c r="AI116" s="209" t="str">
        <f>IFERROR(INDEX('Local Data Previous Year'!$H:$H, MATCH($D116, 'Local Data Previous Year'!$D:$D, 0)), "")</f>
        <v/>
      </c>
      <c r="AJ116" s="209" t="str">
        <f t="shared" si="16"/>
        <v/>
      </c>
      <c r="AK116" s="209" t="str">
        <f t="shared" si="17"/>
        <v/>
      </c>
      <c r="AL116" s="209" t="str">
        <f t="shared" si="18"/>
        <v/>
      </c>
      <c r="AM116" s="208" t="str">
        <f>IF($AN116="","",IFERROR(VLOOKUP(CONCATENATE(CTR1_Billing!$E$20,$AN116),'Local Data Previous Year'!$C$3:$D$50000,2,0),CTR1_Billing!$E$21&amp;"NEW"))</f>
        <v/>
      </c>
      <c r="AN116" s="209" t="str" cm="1">
        <f t="array" ref="AN116">IF(ISERROR(INDEX('Local Data Previous Year'!$E$3:$E$50000, SMALL(IF(CTR1_Billing!$E$21='Local Data Previous Year'!$A$3:$A$50000, ROW('Local Data Previous Year'!$A$3:$A$50000)-ROW('Local Data Previous Year'!$A$3)+1), ROW(84:84)))), "", INDEX('Local Data Previous Year'!$E$3:$E$50000, SMALL(IF(CTR1_Billing!$E$21='Local Data Previous Year'!$A$3:$A$50000, ROW('Local Data Previous Year'!$A$3:$A$50000)-ROW('Local Data Previous Year'!$A$3)+1), ROW(84:84))))</f>
        <v/>
      </c>
      <c r="AO116" s="209" t="str">
        <f t="shared" si="19"/>
        <v/>
      </c>
      <c r="AP116" s="208"/>
      <c r="AQ116" s="209" t="str">
        <f t="shared" si="20"/>
        <v/>
      </c>
      <c r="AR116" s="209" t="str">
        <f t="shared" si="21"/>
        <v/>
      </c>
      <c r="AS116" s="202" t="str">
        <f t="shared" si="22"/>
        <v/>
      </c>
      <c r="AT116" s="202" t="str">
        <f t="shared" si="23"/>
        <v/>
      </c>
      <c r="AU116" s="208"/>
      <c r="AV116" s="208"/>
      <c r="AW116" s="208"/>
      <c r="AX116" s="208"/>
      <c r="AY116" s="208"/>
      <c r="AZ116" s="208"/>
      <c r="BA116" s="208"/>
      <c r="BB116" s="208"/>
      <c r="BC116" s="208"/>
      <c r="BD116" s="208"/>
      <c r="BE116" s="208"/>
      <c r="BF116" s="208"/>
      <c r="BG116" s="28"/>
      <c r="BH116" s="28"/>
      <c r="BI116" s="28"/>
      <c r="BJ116" s="28"/>
    </row>
    <row r="117" spans="1:62" s="23" customFormat="1" ht="21" customHeight="1" thickBot="1" x14ac:dyDescent="0.25">
      <c r="A117" s="846" t="str">
        <f>IF($AN117="","",IFERROR(VLOOKUP(CONCATENATE(CTR1_Billing!$E$20,$AN117),'Local Data Previous Year'!$C$3:$D$20000,2,0),CTR1_Billing!$E$21&amp;"NEW"))</f>
        <v/>
      </c>
      <c r="B117" s="846" t="str">
        <f>IF($E117="","",IFERROR(VLOOKUP(CONCATENATE(CTR1_Billing!$E$20,CTR1_Local!$E117),'Local Data Previous Year'!$C$3:$D$20000,2,0),CTR1_Billing!$E$21&amp;"NEW"))</f>
        <v/>
      </c>
      <c r="C117" s="846">
        <v>85</v>
      </c>
      <c r="D117" s="755" t="str" cm="1">
        <f t="array" ref="D117">IF(ISERROR(INDEX('Local Data Previous Year'!$D$3:$D$20000,SMALL(IF(CTR1_Billing!$E$21='Local Data Previous Year'!$A$3:$A$20000,ROW('Local Data Previous Year'!$A$3:$A$20000)-ROW('Local Data Previous Year'!$A$3)+1),ROW(85:85)))),"",INDEX('Local Data Previous Year'!$D$3:$D$20000,SMALL(IF(CTR1_Billing!$E$21='Local Data Previous Year'!$A$3:$A$20000,ROW('Local Data Previous Year'!$A$3:$A$20000)-ROW('Local Data Previous Year'!$A$3)+1),ROW(85:85))))</f>
        <v/>
      </c>
      <c r="E117" s="755" t="str" cm="1">
        <f t="array" ref="E117">IF(ISERROR(INDEX('Local Data Previous Year'!$E$3:$E$20000,SMALL(IF(CTR1_Billing!$E$21='Local Data Previous Year'!$A$3:$A$20000,ROW('Local Data Previous Year'!$A$3:$A$20000)-ROW('Local Data Previous Year'!$A$3)+1),ROW(85:85)))),"",INDEX('Local Data Previous Year'!$E$3:$E$20000,SMALL(IF(CTR1_Billing!$E$21='Local Data Previous Year'!$A$3:$A$20000,ROW('Local Data Previous Year'!$A$3:$A$20000)-ROW('Local Data Previous Year'!$A$3)+1),ROW(85:85))))</f>
        <v/>
      </c>
      <c r="F117" s="756" t="str">
        <f>IF($D117="","",IF(ISNA(MATCH($D117,'Local Data Previous Year'!$D$3:$D$20000,0)),"New",IFERROR(VLOOKUP($B117,'Local Data Previous Year'!$D$3:$I$20000,6,0),"")))</f>
        <v/>
      </c>
      <c r="G117" s="757">
        <f t="shared" si="24"/>
        <v>0</v>
      </c>
      <c r="H117" s="758" t="str">
        <f>IFERROR(INDEX('Local Data Previous Year'!$F:$F, MATCH($D117, 'Local Data Previous Year'!$D:$D, 0)), "")</f>
        <v/>
      </c>
      <c r="I117" s="759">
        <f>IF(B117=CTR1_Billing!$E$21&amp;"NEW",1,0)</f>
        <v>0</v>
      </c>
      <c r="J117" s="760" t="str">
        <f>IFERROR(INDEX('Local Data Previous Year'!$G:$G, MATCH($D117, 'Local Data Previous Year'!$D:$D, 0)), "")</f>
        <v/>
      </c>
      <c r="K117" s="762"/>
      <c r="L117" s="760" t="str">
        <f>IFERROR(INDEX('Local Data Previous Year'!$H:$H, MATCH($D117, 'Local Data Previous Year'!$D:$D, 0)), "")</f>
        <v/>
      </c>
      <c r="M117" s="762"/>
      <c r="N117" s="763"/>
      <c r="O117" s="767"/>
      <c r="P117" s="765"/>
      <c r="Q117" s="767"/>
      <c r="R117" s="766" t="str">
        <f t="shared" si="25"/>
        <v/>
      </c>
      <c r="S117" s="754"/>
      <c r="T117" s="763"/>
      <c r="U117" s="754"/>
      <c r="V117" s="763"/>
      <c r="W117" s="763"/>
      <c r="X117" s="865" t="str">
        <f>VLOOKUP(CTR1_Billing!$E$21,Data!$C$6:$D$302,1,FALSE)</f>
        <v>EZZZZ</v>
      </c>
      <c r="Y117" s="205"/>
      <c r="Z117" s="205">
        <f t="shared" si="13"/>
        <v>0</v>
      </c>
      <c r="AA117" s="206" t="str">
        <f t="shared" si="14"/>
        <v/>
      </c>
      <c r="AB117" s="205">
        <f t="shared" si="15"/>
        <v>0</v>
      </c>
      <c r="AC117" s="208"/>
      <c r="AD117" s="208"/>
      <c r="AE117" s="208"/>
      <c r="AF117" s="208"/>
      <c r="AG117" s="209" t="str">
        <f>IFERROR(INDEX('Local Data Previous Year'!$F:$F, MATCH($D117, 'Local Data Previous Year'!$D:$D, 0)), "")</f>
        <v/>
      </c>
      <c r="AH117" s="209" t="str">
        <f>IFERROR(INDEX('Local Data Previous Year'!$G:$G, MATCH($D117, 'Local Data Previous Year'!$D:$D, 0)), "")</f>
        <v/>
      </c>
      <c r="AI117" s="209" t="str">
        <f>IFERROR(INDEX('Local Data Previous Year'!$H:$H, MATCH($D117, 'Local Data Previous Year'!$D:$D, 0)), "")</f>
        <v/>
      </c>
      <c r="AJ117" s="209" t="str">
        <f t="shared" si="16"/>
        <v/>
      </c>
      <c r="AK117" s="209" t="str">
        <f t="shared" si="17"/>
        <v/>
      </c>
      <c r="AL117" s="209" t="str">
        <f t="shared" si="18"/>
        <v/>
      </c>
      <c r="AM117" s="208" t="str">
        <f>IF($AN117="","",IFERROR(VLOOKUP(CONCATENATE(CTR1_Billing!$E$20,$AN117),'Local Data Previous Year'!$C$3:$D$50000,2,0),CTR1_Billing!$E$21&amp;"NEW"))</f>
        <v/>
      </c>
      <c r="AN117" s="209" t="str" cm="1">
        <f t="array" ref="AN117">IF(ISERROR(INDEX('Local Data Previous Year'!$E$3:$E$50000, SMALL(IF(CTR1_Billing!$E$21='Local Data Previous Year'!$A$3:$A$50000, ROW('Local Data Previous Year'!$A$3:$A$50000)-ROW('Local Data Previous Year'!$A$3)+1), ROW(85:85)))), "", INDEX('Local Data Previous Year'!$E$3:$E$50000, SMALL(IF(CTR1_Billing!$E$21='Local Data Previous Year'!$A$3:$A$50000, ROW('Local Data Previous Year'!$A$3:$A$50000)-ROW('Local Data Previous Year'!$A$3)+1), ROW(85:85))))</f>
        <v/>
      </c>
      <c r="AO117" s="209" t="str">
        <f t="shared" si="19"/>
        <v/>
      </c>
      <c r="AP117" s="208"/>
      <c r="AQ117" s="209" t="str">
        <f t="shared" si="20"/>
        <v/>
      </c>
      <c r="AR117" s="209" t="str">
        <f t="shared" si="21"/>
        <v/>
      </c>
      <c r="AS117" s="202" t="str">
        <f t="shared" si="22"/>
        <v/>
      </c>
      <c r="AT117" s="202" t="str">
        <f t="shared" si="23"/>
        <v/>
      </c>
      <c r="AU117" s="208"/>
      <c r="AV117" s="208"/>
      <c r="AW117" s="208"/>
      <c r="AX117" s="208"/>
      <c r="AY117" s="208"/>
      <c r="AZ117" s="208"/>
      <c r="BA117" s="208"/>
      <c r="BB117" s="208"/>
      <c r="BC117" s="208"/>
      <c r="BD117" s="208"/>
      <c r="BE117" s="208"/>
      <c r="BF117" s="208"/>
      <c r="BG117" s="28"/>
      <c r="BH117" s="28"/>
      <c r="BI117" s="28"/>
      <c r="BJ117" s="28"/>
    </row>
    <row r="118" spans="1:62" s="23" customFormat="1" ht="21" customHeight="1" thickBot="1" x14ac:dyDescent="0.25">
      <c r="A118" s="846" t="str">
        <f>IF($AN118="","",IFERROR(VLOOKUP(CONCATENATE(CTR1_Billing!$E$20,$AN118),'Local Data Previous Year'!$C$3:$D$20000,2,0),CTR1_Billing!$E$21&amp;"NEW"))</f>
        <v/>
      </c>
      <c r="B118" s="846" t="str">
        <f>IF($E118="","",IFERROR(VLOOKUP(CONCATENATE(CTR1_Billing!$E$20,CTR1_Local!$E118),'Local Data Previous Year'!$C$3:$D$20000,2,0),CTR1_Billing!$E$21&amp;"NEW"))</f>
        <v/>
      </c>
      <c r="C118" s="846">
        <v>86</v>
      </c>
      <c r="D118" s="755" t="str" cm="1">
        <f t="array" ref="D118">IF(ISERROR(INDEX('Local Data Previous Year'!$D$3:$D$20000,SMALL(IF(CTR1_Billing!$E$21='Local Data Previous Year'!$A$3:$A$20000,ROW('Local Data Previous Year'!$A$3:$A$20000)-ROW('Local Data Previous Year'!$A$3)+1),ROW(86:86)))),"",INDEX('Local Data Previous Year'!$D$3:$D$20000,SMALL(IF(CTR1_Billing!$E$21='Local Data Previous Year'!$A$3:$A$20000,ROW('Local Data Previous Year'!$A$3:$A$20000)-ROW('Local Data Previous Year'!$A$3)+1),ROW(86:86))))</f>
        <v/>
      </c>
      <c r="E118" s="755" t="str" cm="1">
        <f t="array" ref="E118">IF(ISERROR(INDEX('Local Data Previous Year'!$E$3:$E$20000,SMALL(IF(CTR1_Billing!$E$21='Local Data Previous Year'!$A$3:$A$20000,ROW('Local Data Previous Year'!$A$3:$A$20000)-ROW('Local Data Previous Year'!$A$3)+1),ROW(86:86)))),"",INDEX('Local Data Previous Year'!$E$3:$E$20000,SMALL(IF(CTR1_Billing!$E$21='Local Data Previous Year'!$A$3:$A$20000,ROW('Local Data Previous Year'!$A$3:$A$20000)-ROW('Local Data Previous Year'!$A$3)+1),ROW(86:86))))</f>
        <v/>
      </c>
      <c r="F118" s="756" t="str">
        <f>IF($D118="","",IF(ISNA(MATCH($D118,'Local Data Previous Year'!$D$3:$D$20000,0)),"New",IFERROR(VLOOKUP($B118,'Local Data Previous Year'!$D$3:$I$20000,6,0),"")))</f>
        <v/>
      </c>
      <c r="G118" s="757">
        <f t="shared" si="24"/>
        <v>0</v>
      </c>
      <c r="H118" s="758" t="str">
        <f>IFERROR(INDEX('Local Data Previous Year'!$F:$F, MATCH($D118, 'Local Data Previous Year'!$D:$D, 0)), "")</f>
        <v/>
      </c>
      <c r="I118" s="759">
        <f>IF(B118=CTR1_Billing!$E$21&amp;"NEW",1,0)</f>
        <v>0</v>
      </c>
      <c r="J118" s="760" t="str">
        <f>IFERROR(INDEX('Local Data Previous Year'!$G:$G, MATCH($D118, 'Local Data Previous Year'!$D:$D, 0)), "")</f>
        <v/>
      </c>
      <c r="K118" s="762"/>
      <c r="L118" s="760" t="str">
        <f>IFERROR(INDEX('Local Data Previous Year'!$H:$H, MATCH($D118, 'Local Data Previous Year'!$D:$D, 0)), "")</f>
        <v/>
      </c>
      <c r="M118" s="762"/>
      <c r="N118" s="763"/>
      <c r="O118" s="767"/>
      <c r="P118" s="765"/>
      <c r="Q118" s="767"/>
      <c r="R118" s="766" t="str">
        <f t="shared" si="25"/>
        <v/>
      </c>
      <c r="S118" s="754"/>
      <c r="T118" s="763"/>
      <c r="U118" s="754"/>
      <c r="V118" s="763"/>
      <c r="W118" s="763"/>
      <c r="X118" s="865" t="str">
        <f>VLOOKUP(CTR1_Billing!$E$21,Data!$C$6:$D$302,1,FALSE)</f>
        <v>EZZZZ</v>
      </c>
      <c r="Y118" s="205"/>
      <c r="Z118" s="205">
        <f t="shared" si="13"/>
        <v>0</v>
      </c>
      <c r="AA118" s="206" t="str">
        <f t="shared" si="14"/>
        <v/>
      </c>
      <c r="AB118" s="205">
        <f t="shared" si="15"/>
        <v>0</v>
      </c>
      <c r="AC118" s="208"/>
      <c r="AD118" s="208"/>
      <c r="AE118" s="208"/>
      <c r="AF118" s="208"/>
      <c r="AG118" s="209" t="str">
        <f>IFERROR(INDEX('Local Data Previous Year'!$F:$F, MATCH($D118, 'Local Data Previous Year'!$D:$D, 0)), "")</f>
        <v/>
      </c>
      <c r="AH118" s="209" t="str">
        <f>IFERROR(INDEX('Local Data Previous Year'!$G:$G, MATCH($D118, 'Local Data Previous Year'!$D:$D, 0)), "")</f>
        <v/>
      </c>
      <c r="AI118" s="209" t="str">
        <f>IFERROR(INDEX('Local Data Previous Year'!$H:$H, MATCH($D118, 'Local Data Previous Year'!$D:$D, 0)), "")</f>
        <v/>
      </c>
      <c r="AJ118" s="209" t="str">
        <f t="shared" si="16"/>
        <v/>
      </c>
      <c r="AK118" s="209" t="str">
        <f t="shared" si="17"/>
        <v/>
      </c>
      <c r="AL118" s="209" t="str">
        <f t="shared" si="18"/>
        <v/>
      </c>
      <c r="AM118" s="208" t="str">
        <f>IF($AN118="","",IFERROR(VLOOKUP(CONCATENATE(CTR1_Billing!$E$20,$AN118),'Local Data Previous Year'!$C$3:$D$50000,2,0),CTR1_Billing!$E$21&amp;"NEW"))</f>
        <v/>
      </c>
      <c r="AN118" s="209" t="str" cm="1">
        <f t="array" ref="AN118">IF(ISERROR(INDEX('Local Data Previous Year'!$E$3:$E$50000, SMALL(IF(CTR1_Billing!$E$21='Local Data Previous Year'!$A$3:$A$50000, ROW('Local Data Previous Year'!$A$3:$A$50000)-ROW('Local Data Previous Year'!$A$3)+1), ROW(86:86)))), "", INDEX('Local Data Previous Year'!$E$3:$E$50000, SMALL(IF(CTR1_Billing!$E$21='Local Data Previous Year'!$A$3:$A$50000, ROW('Local Data Previous Year'!$A$3:$A$50000)-ROW('Local Data Previous Year'!$A$3)+1), ROW(86:86))))</f>
        <v/>
      </c>
      <c r="AO118" s="209" t="str">
        <f t="shared" si="19"/>
        <v/>
      </c>
      <c r="AP118" s="208"/>
      <c r="AQ118" s="209" t="str">
        <f t="shared" si="20"/>
        <v/>
      </c>
      <c r="AR118" s="209" t="str">
        <f t="shared" si="21"/>
        <v/>
      </c>
      <c r="AS118" s="202" t="str">
        <f t="shared" si="22"/>
        <v/>
      </c>
      <c r="AT118" s="202" t="str">
        <f t="shared" si="23"/>
        <v/>
      </c>
      <c r="AU118" s="208"/>
      <c r="AV118" s="208"/>
      <c r="AW118" s="208"/>
      <c r="AX118" s="208"/>
      <c r="AY118" s="208"/>
      <c r="AZ118" s="208"/>
      <c r="BA118" s="208"/>
      <c r="BB118" s="208"/>
      <c r="BC118" s="208"/>
      <c r="BD118" s="208"/>
      <c r="BE118" s="208"/>
      <c r="BF118" s="208"/>
      <c r="BG118" s="28"/>
      <c r="BH118" s="28"/>
      <c r="BI118" s="28"/>
      <c r="BJ118" s="28"/>
    </row>
    <row r="119" spans="1:62" s="23" customFormat="1" ht="21" customHeight="1" thickBot="1" x14ac:dyDescent="0.25">
      <c r="A119" s="846" t="str">
        <f>IF($AN119="","",IFERROR(VLOOKUP(CONCATENATE(CTR1_Billing!$E$20,$AN119),'Local Data Previous Year'!$C$3:$D$20000,2,0),CTR1_Billing!$E$21&amp;"NEW"))</f>
        <v/>
      </c>
      <c r="B119" s="846" t="str">
        <f>IF($E119="","",IFERROR(VLOOKUP(CONCATENATE(CTR1_Billing!$E$20,CTR1_Local!$E119),'Local Data Previous Year'!$C$3:$D$20000,2,0),CTR1_Billing!$E$21&amp;"NEW"))</f>
        <v/>
      </c>
      <c r="C119" s="846">
        <v>87</v>
      </c>
      <c r="D119" s="755" t="str" cm="1">
        <f t="array" ref="D119">IF(ISERROR(INDEX('Local Data Previous Year'!$D$3:$D$20000,SMALL(IF(CTR1_Billing!$E$21='Local Data Previous Year'!$A$3:$A$20000,ROW('Local Data Previous Year'!$A$3:$A$20000)-ROW('Local Data Previous Year'!$A$3)+1),ROW(87:87)))),"",INDEX('Local Data Previous Year'!$D$3:$D$20000,SMALL(IF(CTR1_Billing!$E$21='Local Data Previous Year'!$A$3:$A$20000,ROW('Local Data Previous Year'!$A$3:$A$20000)-ROW('Local Data Previous Year'!$A$3)+1),ROW(87:87))))</f>
        <v/>
      </c>
      <c r="E119" s="755" t="str" cm="1">
        <f t="array" ref="E119">IF(ISERROR(INDEX('Local Data Previous Year'!$E$3:$E$20000,SMALL(IF(CTR1_Billing!$E$21='Local Data Previous Year'!$A$3:$A$20000,ROW('Local Data Previous Year'!$A$3:$A$20000)-ROW('Local Data Previous Year'!$A$3)+1),ROW(87:87)))),"",INDEX('Local Data Previous Year'!$E$3:$E$20000,SMALL(IF(CTR1_Billing!$E$21='Local Data Previous Year'!$A$3:$A$20000,ROW('Local Data Previous Year'!$A$3:$A$20000)-ROW('Local Data Previous Year'!$A$3)+1),ROW(87:87))))</f>
        <v/>
      </c>
      <c r="F119" s="756" t="str">
        <f>IF($D119="","",IF(ISNA(MATCH($D119,'Local Data Previous Year'!$D$3:$D$20000,0)),"New",IFERROR(VLOOKUP($B119,'Local Data Previous Year'!$D$3:$I$20000,6,0),"")))</f>
        <v/>
      </c>
      <c r="G119" s="757">
        <f t="shared" si="24"/>
        <v>0</v>
      </c>
      <c r="H119" s="758" t="str">
        <f>IFERROR(INDEX('Local Data Previous Year'!$F:$F, MATCH($D119, 'Local Data Previous Year'!$D:$D, 0)), "")</f>
        <v/>
      </c>
      <c r="I119" s="759">
        <f>IF(B119=CTR1_Billing!$E$21&amp;"NEW",1,0)</f>
        <v>0</v>
      </c>
      <c r="J119" s="760" t="str">
        <f>IFERROR(INDEX('Local Data Previous Year'!$G:$G, MATCH($D119, 'Local Data Previous Year'!$D:$D, 0)), "")</f>
        <v/>
      </c>
      <c r="K119" s="762"/>
      <c r="L119" s="760" t="str">
        <f>IFERROR(INDEX('Local Data Previous Year'!$H:$H, MATCH($D119, 'Local Data Previous Year'!$D:$D, 0)), "")</f>
        <v/>
      </c>
      <c r="M119" s="762"/>
      <c r="N119" s="763"/>
      <c r="O119" s="767"/>
      <c r="P119" s="765"/>
      <c r="Q119" s="767"/>
      <c r="R119" s="766" t="str">
        <f t="shared" si="25"/>
        <v/>
      </c>
      <c r="S119" s="754"/>
      <c r="T119" s="763"/>
      <c r="U119" s="754"/>
      <c r="V119" s="763"/>
      <c r="W119" s="763"/>
      <c r="X119" s="865" t="str">
        <f>VLOOKUP(CTR1_Billing!$E$21,Data!$C$6:$D$302,1,FALSE)</f>
        <v>EZZZZ</v>
      </c>
      <c r="Y119" s="205"/>
      <c r="Z119" s="205">
        <f t="shared" si="13"/>
        <v>0</v>
      </c>
      <c r="AA119" s="206" t="str">
        <f t="shared" si="14"/>
        <v/>
      </c>
      <c r="AB119" s="205">
        <f t="shared" si="15"/>
        <v>0</v>
      </c>
      <c r="AC119" s="208"/>
      <c r="AD119" s="208"/>
      <c r="AE119" s="208"/>
      <c r="AF119" s="208"/>
      <c r="AG119" s="209" t="str">
        <f>IFERROR(INDEX('Local Data Previous Year'!$F:$F, MATCH($D119, 'Local Data Previous Year'!$D:$D, 0)), "")</f>
        <v/>
      </c>
      <c r="AH119" s="209" t="str">
        <f>IFERROR(INDEX('Local Data Previous Year'!$G:$G, MATCH($D119, 'Local Data Previous Year'!$D:$D, 0)), "")</f>
        <v/>
      </c>
      <c r="AI119" s="209" t="str">
        <f>IFERROR(INDEX('Local Data Previous Year'!$H:$H, MATCH($D119, 'Local Data Previous Year'!$D:$D, 0)), "")</f>
        <v/>
      </c>
      <c r="AJ119" s="209" t="str">
        <f t="shared" si="16"/>
        <v/>
      </c>
      <c r="AK119" s="209" t="str">
        <f t="shared" si="17"/>
        <v/>
      </c>
      <c r="AL119" s="209" t="str">
        <f t="shared" si="18"/>
        <v/>
      </c>
      <c r="AM119" s="208" t="str">
        <f>IF($AN119="","",IFERROR(VLOOKUP(CONCATENATE(CTR1_Billing!$E$20,$AN119),'Local Data Previous Year'!$C$3:$D$50000,2,0),CTR1_Billing!$E$21&amp;"NEW"))</f>
        <v/>
      </c>
      <c r="AN119" s="209" t="str" cm="1">
        <f t="array" ref="AN119">IF(ISERROR(INDEX('Local Data Previous Year'!$E$3:$E$50000, SMALL(IF(CTR1_Billing!$E$21='Local Data Previous Year'!$A$3:$A$50000, ROW('Local Data Previous Year'!$A$3:$A$50000)-ROW('Local Data Previous Year'!$A$3)+1), ROW(87:87)))), "", INDEX('Local Data Previous Year'!$E$3:$E$50000, SMALL(IF(CTR1_Billing!$E$21='Local Data Previous Year'!$A$3:$A$50000, ROW('Local Data Previous Year'!$A$3:$A$50000)-ROW('Local Data Previous Year'!$A$3)+1), ROW(87:87))))</f>
        <v/>
      </c>
      <c r="AO119" s="209" t="str">
        <f t="shared" si="19"/>
        <v/>
      </c>
      <c r="AP119" s="208"/>
      <c r="AQ119" s="209" t="str">
        <f t="shared" si="20"/>
        <v/>
      </c>
      <c r="AR119" s="209" t="str">
        <f t="shared" si="21"/>
        <v/>
      </c>
      <c r="AS119" s="202" t="str">
        <f t="shared" si="22"/>
        <v/>
      </c>
      <c r="AT119" s="202" t="str">
        <f t="shared" si="23"/>
        <v/>
      </c>
      <c r="AU119" s="208"/>
      <c r="AV119" s="208"/>
      <c r="AW119" s="208"/>
      <c r="AX119" s="208"/>
      <c r="AY119" s="208"/>
      <c r="AZ119" s="208"/>
      <c r="BA119" s="208"/>
      <c r="BB119" s="208"/>
      <c r="BC119" s="208"/>
      <c r="BD119" s="208"/>
      <c r="BE119" s="208"/>
      <c r="BF119" s="208"/>
      <c r="BG119" s="28"/>
      <c r="BH119" s="28"/>
      <c r="BI119" s="28"/>
      <c r="BJ119" s="28"/>
    </row>
    <row r="120" spans="1:62" s="23" customFormat="1" ht="21" customHeight="1" thickBot="1" x14ac:dyDescent="0.25">
      <c r="A120" s="846" t="str">
        <f>IF($AN120="","",IFERROR(VLOOKUP(CONCATENATE(CTR1_Billing!$E$20,$AN120),'Local Data Previous Year'!$C$3:$D$20000,2,0),CTR1_Billing!$E$21&amp;"NEW"))</f>
        <v/>
      </c>
      <c r="B120" s="846" t="str">
        <f>IF($E120="","",IFERROR(VLOOKUP(CONCATENATE(CTR1_Billing!$E$20,CTR1_Local!$E120),'Local Data Previous Year'!$C$3:$D$20000,2,0),CTR1_Billing!$E$21&amp;"NEW"))</f>
        <v/>
      </c>
      <c r="C120" s="846">
        <v>88</v>
      </c>
      <c r="D120" s="755" t="str" cm="1">
        <f t="array" ref="D120">IF(ISERROR(INDEX('Local Data Previous Year'!$D$3:$D$20000,SMALL(IF(CTR1_Billing!$E$21='Local Data Previous Year'!$A$3:$A$20000,ROW('Local Data Previous Year'!$A$3:$A$20000)-ROW('Local Data Previous Year'!$A$3)+1),ROW(88:88)))),"",INDEX('Local Data Previous Year'!$D$3:$D$20000,SMALL(IF(CTR1_Billing!$E$21='Local Data Previous Year'!$A$3:$A$20000,ROW('Local Data Previous Year'!$A$3:$A$20000)-ROW('Local Data Previous Year'!$A$3)+1),ROW(88:88))))</f>
        <v/>
      </c>
      <c r="E120" s="755" t="str" cm="1">
        <f t="array" ref="E120">IF(ISERROR(INDEX('Local Data Previous Year'!$E$3:$E$20000,SMALL(IF(CTR1_Billing!$E$21='Local Data Previous Year'!$A$3:$A$20000,ROW('Local Data Previous Year'!$A$3:$A$20000)-ROW('Local Data Previous Year'!$A$3)+1),ROW(88:88)))),"",INDEX('Local Data Previous Year'!$E$3:$E$20000,SMALL(IF(CTR1_Billing!$E$21='Local Data Previous Year'!$A$3:$A$20000,ROW('Local Data Previous Year'!$A$3:$A$20000)-ROW('Local Data Previous Year'!$A$3)+1),ROW(88:88))))</f>
        <v/>
      </c>
      <c r="F120" s="756" t="str">
        <f>IF($D120="","",IF(ISNA(MATCH($D120,'Local Data Previous Year'!$D$3:$D$20000,0)),"New",IFERROR(VLOOKUP($B120,'Local Data Previous Year'!$D$3:$I$20000,6,0),"")))</f>
        <v/>
      </c>
      <c r="G120" s="757">
        <f t="shared" si="24"/>
        <v>0</v>
      </c>
      <c r="H120" s="758" t="str">
        <f>IFERROR(INDEX('Local Data Previous Year'!$F:$F, MATCH($D120, 'Local Data Previous Year'!$D:$D, 0)), "")</f>
        <v/>
      </c>
      <c r="I120" s="759">
        <f>IF(B120=CTR1_Billing!$E$21&amp;"NEW",1,0)</f>
        <v>0</v>
      </c>
      <c r="J120" s="760" t="str">
        <f>IFERROR(INDEX('Local Data Previous Year'!$G:$G, MATCH($D120, 'Local Data Previous Year'!$D:$D, 0)), "")</f>
        <v/>
      </c>
      <c r="K120" s="762"/>
      <c r="L120" s="760" t="str">
        <f>IFERROR(INDEX('Local Data Previous Year'!$H:$H, MATCH($D120, 'Local Data Previous Year'!$D:$D, 0)), "")</f>
        <v/>
      </c>
      <c r="M120" s="762"/>
      <c r="N120" s="763"/>
      <c r="O120" s="767"/>
      <c r="P120" s="765"/>
      <c r="Q120" s="767"/>
      <c r="R120" s="766" t="str">
        <f t="shared" si="25"/>
        <v/>
      </c>
      <c r="S120" s="754"/>
      <c r="T120" s="763"/>
      <c r="U120" s="754"/>
      <c r="V120" s="763"/>
      <c r="W120" s="763"/>
      <c r="X120" s="865" t="str">
        <f>VLOOKUP(CTR1_Billing!$E$21,Data!$C$6:$D$302,1,FALSE)</f>
        <v>EZZZZ</v>
      </c>
      <c r="Y120" s="205"/>
      <c r="Z120" s="205">
        <f t="shared" si="13"/>
        <v>0</v>
      </c>
      <c r="AA120" s="206" t="str">
        <f t="shared" si="14"/>
        <v/>
      </c>
      <c r="AB120" s="205">
        <f t="shared" si="15"/>
        <v>0</v>
      </c>
      <c r="AC120" s="208"/>
      <c r="AD120" s="208"/>
      <c r="AE120" s="208"/>
      <c r="AF120" s="208"/>
      <c r="AG120" s="209" t="str">
        <f>IFERROR(INDEX('Local Data Previous Year'!$F:$F, MATCH($D120, 'Local Data Previous Year'!$D:$D, 0)), "")</f>
        <v/>
      </c>
      <c r="AH120" s="209" t="str">
        <f>IFERROR(INDEX('Local Data Previous Year'!$G:$G, MATCH($D120, 'Local Data Previous Year'!$D:$D, 0)), "")</f>
        <v/>
      </c>
      <c r="AI120" s="209" t="str">
        <f>IFERROR(INDEX('Local Data Previous Year'!$H:$H, MATCH($D120, 'Local Data Previous Year'!$D:$D, 0)), "")</f>
        <v/>
      </c>
      <c r="AJ120" s="209" t="str">
        <f t="shared" si="16"/>
        <v/>
      </c>
      <c r="AK120" s="209" t="str">
        <f t="shared" si="17"/>
        <v/>
      </c>
      <c r="AL120" s="209" t="str">
        <f t="shared" si="18"/>
        <v/>
      </c>
      <c r="AM120" s="208" t="str">
        <f>IF($AN120="","",IFERROR(VLOOKUP(CONCATENATE(CTR1_Billing!$E$20,$AN120),'Local Data Previous Year'!$C$3:$D$50000,2,0),CTR1_Billing!$E$21&amp;"NEW"))</f>
        <v/>
      </c>
      <c r="AN120" s="209" t="str" cm="1">
        <f t="array" ref="AN120">IF(ISERROR(INDEX('Local Data Previous Year'!$E$3:$E$50000, SMALL(IF(CTR1_Billing!$E$21='Local Data Previous Year'!$A$3:$A$50000, ROW('Local Data Previous Year'!$A$3:$A$50000)-ROW('Local Data Previous Year'!$A$3)+1), ROW(88:88)))), "", INDEX('Local Data Previous Year'!$E$3:$E$50000, SMALL(IF(CTR1_Billing!$E$21='Local Data Previous Year'!$A$3:$A$50000, ROW('Local Data Previous Year'!$A$3:$A$50000)-ROW('Local Data Previous Year'!$A$3)+1), ROW(88:88))))</f>
        <v/>
      </c>
      <c r="AO120" s="209" t="str">
        <f t="shared" si="19"/>
        <v/>
      </c>
      <c r="AP120" s="208"/>
      <c r="AQ120" s="209" t="str">
        <f t="shared" si="20"/>
        <v/>
      </c>
      <c r="AR120" s="209" t="str">
        <f t="shared" si="21"/>
        <v/>
      </c>
      <c r="AS120" s="202" t="str">
        <f t="shared" si="22"/>
        <v/>
      </c>
      <c r="AT120" s="202" t="str">
        <f t="shared" si="23"/>
        <v/>
      </c>
      <c r="AU120" s="208"/>
      <c r="AV120" s="208"/>
      <c r="AW120" s="208"/>
      <c r="AX120" s="208"/>
      <c r="AY120" s="208"/>
      <c r="AZ120" s="208"/>
      <c r="BA120" s="208"/>
      <c r="BB120" s="208"/>
      <c r="BC120" s="208"/>
      <c r="BD120" s="208"/>
      <c r="BE120" s="208"/>
      <c r="BF120" s="208"/>
      <c r="BG120" s="28"/>
      <c r="BH120" s="28"/>
      <c r="BI120" s="28"/>
      <c r="BJ120" s="28"/>
    </row>
    <row r="121" spans="1:62" s="23" customFormat="1" ht="21" customHeight="1" thickBot="1" x14ac:dyDescent="0.25">
      <c r="A121" s="846" t="str">
        <f>IF($AN121="","",IFERROR(VLOOKUP(CONCATENATE(CTR1_Billing!$E$20,$AN121),'Local Data Previous Year'!$C$3:$D$20000,2,0),CTR1_Billing!$E$21&amp;"NEW"))</f>
        <v/>
      </c>
      <c r="B121" s="846" t="str">
        <f>IF($E121="","",IFERROR(VLOOKUP(CONCATENATE(CTR1_Billing!$E$20,CTR1_Local!$E121),'Local Data Previous Year'!$C$3:$D$20000,2,0),CTR1_Billing!$E$21&amp;"NEW"))</f>
        <v/>
      </c>
      <c r="C121" s="846">
        <v>89</v>
      </c>
      <c r="D121" s="755" t="str" cm="1">
        <f t="array" ref="D121">IF(ISERROR(INDEX('Local Data Previous Year'!$D$3:$D$20000,SMALL(IF(CTR1_Billing!$E$21='Local Data Previous Year'!$A$3:$A$20000,ROW('Local Data Previous Year'!$A$3:$A$20000)-ROW('Local Data Previous Year'!$A$3)+1),ROW(89:89)))),"",INDEX('Local Data Previous Year'!$D$3:$D$20000,SMALL(IF(CTR1_Billing!$E$21='Local Data Previous Year'!$A$3:$A$20000,ROW('Local Data Previous Year'!$A$3:$A$20000)-ROW('Local Data Previous Year'!$A$3)+1),ROW(89:89))))</f>
        <v/>
      </c>
      <c r="E121" s="755" t="str" cm="1">
        <f t="array" ref="E121">IF(ISERROR(INDEX('Local Data Previous Year'!$E$3:$E$20000,SMALL(IF(CTR1_Billing!$E$21='Local Data Previous Year'!$A$3:$A$20000,ROW('Local Data Previous Year'!$A$3:$A$20000)-ROW('Local Data Previous Year'!$A$3)+1),ROW(89:89)))),"",INDEX('Local Data Previous Year'!$E$3:$E$20000,SMALL(IF(CTR1_Billing!$E$21='Local Data Previous Year'!$A$3:$A$20000,ROW('Local Data Previous Year'!$A$3:$A$20000)-ROW('Local Data Previous Year'!$A$3)+1),ROW(89:89))))</f>
        <v/>
      </c>
      <c r="F121" s="756" t="str">
        <f>IF($D121="","",IF(ISNA(MATCH($D121,'Local Data Previous Year'!$D$3:$D$20000,0)),"New",IFERROR(VLOOKUP($B121,'Local Data Previous Year'!$D$3:$I$20000,6,0),"")))</f>
        <v/>
      </c>
      <c r="G121" s="757">
        <f t="shared" si="24"/>
        <v>0</v>
      </c>
      <c r="H121" s="758" t="str">
        <f>IFERROR(INDEX('Local Data Previous Year'!$F:$F, MATCH($D121, 'Local Data Previous Year'!$D:$D, 0)), "")</f>
        <v/>
      </c>
      <c r="I121" s="759">
        <f>IF(B121=CTR1_Billing!$E$21&amp;"NEW",1,0)</f>
        <v>0</v>
      </c>
      <c r="J121" s="760" t="str">
        <f>IFERROR(INDEX('Local Data Previous Year'!$G:$G, MATCH($D121, 'Local Data Previous Year'!$D:$D, 0)), "")</f>
        <v/>
      </c>
      <c r="K121" s="762"/>
      <c r="L121" s="760" t="str">
        <f>IFERROR(INDEX('Local Data Previous Year'!$H:$H, MATCH($D121, 'Local Data Previous Year'!$D:$D, 0)), "")</f>
        <v/>
      </c>
      <c r="M121" s="762"/>
      <c r="N121" s="763"/>
      <c r="O121" s="767"/>
      <c r="P121" s="765"/>
      <c r="Q121" s="767"/>
      <c r="R121" s="766" t="str">
        <f t="shared" si="25"/>
        <v/>
      </c>
      <c r="S121" s="754"/>
      <c r="T121" s="763"/>
      <c r="U121" s="754"/>
      <c r="V121" s="763"/>
      <c r="W121" s="763"/>
      <c r="X121" s="865" t="str">
        <f>VLOOKUP(CTR1_Billing!$E$21,Data!$C$6:$D$302,1,FALSE)</f>
        <v>EZZZZ</v>
      </c>
      <c r="Y121" s="205"/>
      <c r="Z121" s="205">
        <f t="shared" si="13"/>
        <v>0</v>
      </c>
      <c r="AA121" s="206" t="str">
        <f t="shared" si="14"/>
        <v/>
      </c>
      <c r="AB121" s="205">
        <f t="shared" si="15"/>
        <v>0</v>
      </c>
      <c r="AC121" s="208"/>
      <c r="AD121" s="208"/>
      <c r="AE121" s="208"/>
      <c r="AF121" s="208"/>
      <c r="AG121" s="209" t="str">
        <f>IFERROR(INDEX('Local Data Previous Year'!$F:$F, MATCH($D121, 'Local Data Previous Year'!$D:$D, 0)), "")</f>
        <v/>
      </c>
      <c r="AH121" s="209" t="str">
        <f>IFERROR(INDEX('Local Data Previous Year'!$G:$G, MATCH($D121, 'Local Data Previous Year'!$D:$D, 0)), "")</f>
        <v/>
      </c>
      <c r="AI121" s="209" t="str">
        <f>IFERROR(INDEX('Local Data Previous Year'!$H:$H, MATCH($D121, 'Local Data Previous Year'!$D:$D, 0)), "")</f>
        <v/>
      </c>
      <c r="AJ121" s="209" t="str">
        <f t="shared" si="16"/>
        <v/>
      </c>
      <c r="AK121" s="209" t="str">
        <f t="shared" si="17"/>
        <v/>
      </c>
      <c r="AL121" s="209" t="str">
        <f t="shared" si="18"/>
        <v/>
      </c>
      <c r="AM121" s="208" t="str">
        <f>IF($AN121="","",IFERROR(VLOOKUP(CONCATENATE(CTR1_Billing!$E$20,$AN121),'Local Data Previous Year'!$C$3:$D$50000,2,0),CTR1_Billing!$E$21&amp;"NEW"))</f>
        <v/>
      </c>
      <c r="AN121" s="209" t="str" cm="1">
        <f t="array" ref="AN121">IF(ISERROR(INDEX('Local Data Previous Year'!$E$3:$E$50000, SMALL(IF(CTR1_Billing!$E$21='Local Data Previous Year'!$A$3:$A$50000, ROW('Local Data Previous Year'!$A$3:$A$50000)-ROW('Local Data Previous Year'!$A$3)+1), ROW(89:89)))), "", INDEX('Local Data Previous Year'!$E$3:$E$50000, SMALL(IF(CTR1_Billing!$E$21='Local Data Previous Year'!$A$3:$A$50000, ROW('Local Data Previous Year'!$A$3:$A$50000)-ROW('Local Data Previous Year'!$A$3)+1), ROW(89:89))))</f>
        <v/>
      </c>
      <c r="AO121" s="209" t="str">
        <f t="shared" si="19"/>
        <v/>
      </c>
      <c r="AP121" s="208"/>
      <c r="AQ121" s="209" t="str">
        <f t="shared" si="20"/>
        <v/>
      </c>
      <c r="AR121" s="209" t="str">
        <f t="shared" si="21"/>
        <v/>
      </c>
      <c r="AS121" s="202" t="str">
        <f t="shared" si="22"/>
        <v/>
      </c>
      <c r="AT121" s="202" t="str">
        <f t="shared" si="23"/>
        <v/>
      </c>
      <c r="AU121" s="208"/>
      <c r="AV121" s="208"/>
      <c r="AW121" s="208"/>
      <c r="AX121" s="208"/>
      <c r="AY121" s="208"/>
      <c r="AZ121" s="208"/>
      <c r="BA121" s="208"/>
      <c r="BB121" s="208"/>
      <c r="BC121" s="208"/>
      <c r="BD121" s="208"/>
      <c r="BE121" s="208"/>
      <c r="BF121" s="208"/>
      <c r="BG121" s="28"/>
      <c r="BH121" s="28"/>
      <c r="BI121" s="28"/>
      <c r="BJ121" s="28"/>
    </row>
    <row r="122" spans="1:62" s="23" customFormat="1" ht="21" customHeight="1" thickBot="1" x14ac:dyDescent="0.25">
      <c r="A122" s="846" t="str">
        <f>IF($AN122="","",IFERROR(VLOOKUP(CONCATENATE(CTR1_Billing!$E$20,$AN122),'Local Data Previous Year'!$C$3:$D$20000,2,0),CTR1_Billing!$E$21&amp;"NEW"))</f>
        <v/>
      </c>
      <c r="B122" s="846" t="str">
        <f>IF($E122="","",IFERROR(VLOOKUP(CONCATENATE(CTR1_Billing!$E$20,CTR1_Local!$E122),'Local Data Previous Year'!$C$3:$D$20000,2,0),CTR1_Billing!$E$21&amp;"NEW"))</f>
        <v/>
      </c>
      <c r="C122" s="846">
        <v>90</v>
      </c>
      <c r="D122" s="755" t="str" cm="1">
        <f t="array" ref="D122">IF(ISERROR(INDEX('Local Data Previous Year'!$D$3:$D$20000,SMALL(IF(CTR1_Billing!$E$21='Local Data Previous Year'!$A$3:$A$20000,ROW('Local Data Previous Year'!$A$3:$A$20000)-ROW('Local Data Previous Year'!$A$3)+1),ROW(90:90)))),"",INDEX('Local Data Previous Year'!$D$3:$D$20000,SMALL(IF(CTR1_Billing!$E$21='Local Data Previous Year'!$A$3:$A$20000,ROW('Local Data Previous Year'!$A$3:$A$20000)-ROW('Local Data Previous Year'!$A$3)+1),ROW(90:90))))</f>
        <v/>
      </c>
      <c r="E122" s="755" t="str" cm="1">
        <f t="array" ref="E122">IF(ISERROR(INDEX('Local Data Previous Year'!$E$3:$E$20000,SMALL(IF(CTR1_Billing!$E$21='Local Data Previous Year'!$A$3:$A$20000,ROW('Local Data Previous Year'!$A$3:$A$20000)-ROW('Local Data Previous Year'!$A$3)+1),ROW(90:90)))),"",INDEX('Local Data Previous Year'!$E$3:$E$20000,SMALL(IF(CTR1_Billing!$E$21='Local Data Previous Year'!$A$3:$A$20000,ROW('Local Data Previous Year'!$A$3:$A$20000)-ROW('Local Data Previous Year'!$A$3)+1),ROW(90:90))))</f>
        <v/>
      </c>
      <c r="F122" s="756" t="str">
        <f>IF($D122="","",IF(ISNA(MATCH($D122,'Local Data Previous Year'!$D$3:$D$20000,0)),"New",IFERROR(VLOOKUP($B122,'Local Data Previous Year'!$D$3:$I$20000,6,0),"")))</f>
        <v/>
      </c>
      <c r="G122" s="757">
        <f t="shared" si="24"/>
        <v>0</v>
      </c>
      <c r="H122" s="758" t="str">
        <f>IFERROR(INDEX('Local Data Previous Year'!$F:$F, MATCH($D122, 'Local Data Previous Year'!$D:$D, 0)), "")</f>
        <v/>
      </c>
      <c r="I122" s="759">
        <f>IF(B122=CTR1_Billing!$E$21&amp;"NEW",1,0)</f>
        <v>0</v>
      </c>
      <c r="J122" s="760" t="str">
        <f>IFERROR(INDEX('Local Data Previous Year'!$G:$G, MATCH($D122, 'Local Data Previous Year'!$D:$D, 0)), "")</f>
        <v/>
      </c>
      <c r="K122" s="762"/>
      <c r="L122" s="760" t="str">
        <f>IFERROR(INDEX('Local Data Previous Year'!$H:$H, MATCH($D122, 'Local Data Previous Year'!$D:$D, 0)), "")</f>
        <v/>
      </c>
      <c r="M122" s="762"/>
      <c r="N122" s="763"/>
      <c r="O122" s="767"/>
      <c r="P122" s="765"/>
      <c r="Q122" s="767"/>
      <c r="R122" s="766" t="str">
        <f t="shared" si="25"/>
        <v/>
      </c>
      <c r="S122" s="754"/>
      <c r="T122" s="763"/>
      <c r="U122" s="754"/>
      <c r="V122" s="763"/>
      <c r="W122" s="763"/>
      <c r="X122" s="865" t="str">
        <f>VLOOKUP(CTR1_Billing!$E$21,Data!$C$6:$D$302,1,FALSE)</f>
        <v>EZZZZ</v>
      </c>
      <c r="Y122" s="205"/>
      <c r="Z122" s="205">
        <f t="shared" si="13"/>
        <v>0</v>
      </c>
      <c r="AA122" s="206" t="str">
        <f t="shared" si="14"/>
        <v/>
      </c>
      <c r="AB122" s="205">
        <f t="shared" si="15"/>
        <v>0</v>
      </c>
      <c r="AC122" s="208"/>
      <c r="AD122" s="208"/>
      <c r="AE122" s="208"/>
      <c r="AF122" s="208"/>
      <c r="AG122" s="209" t="str">
        <f>IFERROR(INDEX('Local Data Previous Year'!$F:$F, MATCH($D122, 'Local Data Previous Year'!$D:$D, 0)), "")</f>
        <v/>
      </c>
      <c r="AH122" s="209" t="str">
        <f>IFERROR(INDEX('Local Data Previous Year'!$G:$G, MATCH($D122, 'Local Data Previous Year'!$D:$D, 0)), "")</f>
        <v/>
      </c>
      <c r="AI122" s="209" t="str">
        <f>IFERROR(INDEX('Local Data Previous Year'!$H:$H, MATCH($D122, 'Local Data Previous Year'!$D:$D, 0)), "")</f>
        <v/>
      </c>
      <c r="AJ122" s="209" t="str">
        <f t="shared" si="16"/>
        <v/>
      </c>
      <c r="AK122" s="209" t="str">
        <f t="shared" si="17"/>
        <v/>
      </c>
      <c r="AL122" s="209" t="str">
        <f t="shared" si="18"/>
        <v/>
      </c>
      <c r="AM122" s="208" t="str">
        <f>IF($AN122="","",IFERROR(VLOOKUP(CONCATENATE(CTR1_Billing!$E$20,$AN122),'Local Data Previous Year'!$C$3:$D$50000,2,0),CTR1_Billing!$E$21&amp;"NEW"))</f>
        <v/>
      </c>
      <c r="AN122" s="209" t="str" cm="1">
        <f t="array" ref="AN122">IF(ISERROR(INDEX('Local Data Previous Year'!$E$3:$E$50000, SMALL(IF(CTR1_Billing!$E$21='Local Data Previous Year'!$A$3:$A$50000, ROW('Local Data Previous Year'!$A$3:$A$50000)-ROW('Local Data Previous Year'!$A$3)+1), ROW(90:90)))), "", INDEX('Local Data Previous Year'!$E$3:$E$50000, SMALL(IF(CTR1_Billing!$E$21='Local Data Previous Year'!$A$3:$A$50000, ROW('Local Data Previous Year'!$A$3:$A$50000)-ROW('Local Data Previous Year'!$A$3)+1), ROW(90:90))))</f>
        <v/>
      </c>
      <c r="AO122" s="209" t="str">
        <f t="shared" si="19"/>
        <v/>
      </c>
      <c r="AP122" s="208"/>
      <c r="AQ122" s="209" t="str">
        <f t="shared" si="20"/>
        <v/>
      </c>
      <c r="AR122" s="209" t="str">
        <f t="shared" si="21"/>
        <v/>
      </c>
      <c r="AS122" s="202" t="str">
        <f t="shared" si="22"/>
        <v/>
      </c>
      <c r="AT122" s="202" t="str">
        <f t="shared" si="23"/>
        <v/>
      </c>
      <c r="AU122" s="208"/>
      <c r="AV122" s="208"/>
      <c r="AW122" s="208"/>
      <c r="AX122" s="208"/>
      <c r="AY122" s="208"/>
      <c r="AZ122" s="208"/>
      <c r="BA122" s="208"/>
      <c r="BB122" s="208"/>
      <c r="BC122" s="208"/>
      <c r="BD122" s="208"/>
      <c r="BE122" s="208"/>
      <c r="BF122" s="208"/>
      <c r="BG122" s="28"/>
      <c r="BH122" s="28"/>
      <c r="BI122" s="28"/>
      <c r="BJ122" s="28"/>
    </row>
    <row r="123" spans="1:62" s="23" customFormat="1" ht="21" customHeight="1" thickBot="1" x14ac:dyDescent="0.25">
      <c r="A123" s="846" t="str">
        <f>IF($AN123="","",IFERROR(VLOOKUP(CONCATENATE(CTR1_Billing!$E$20,$AN123),'Local Data Previous Year'!$C$3:$D$20000,2,0),CTR1_Billing!$E$21&amp;"NEW"))</f>
        <v/>
      </c>
      <c r="B123" s="846" t="str">
        <f>IF($E123="","",IFERROR(VLOOKUP(CONCATENATE(CTR1_Billing!$E$20,CTR1_Local!$E123),'Local Data Previous Year'!$C$3:$D$20000,2,0),CTR1_Billing!$E$21&amp;"NEW"))</f>
        <v/>
      </c>
      <c r="C123" s="846">
        <v>91</v>
      </c>
      <c r="D123" s="755" t="str" cm="1">
        <f t="array" ref="D123">IF(ISERROR(INDEX('Local Data Previous Year'!$D$3:$D$20000,SMALL(IF(CTR1_Billing!$E$21='Local Data Previous Year'!$A$3:$A$20000,ROW('Local Data Previous Year'!$A$3:$A$20000)-ROW('Local Data Previous Year'!$A$3)+1),ROW(91:91)))),"",INDEX('Local Data Previous Year'!$D$3:$D$20000,SMALL(IF(CTR1_Billing!$E$21='Local Data Previous Year'!$A$3:$A$20000,ROW('Local Data Previous Year'!$A$3:$A$20000)-ROW('Local Data Previous Year'!$A$3)+1),ROW(91:91))))</f>
        <v/>
      </c>
      <c r="E123" s="755" t="str" cm="1">
        <f t="array" ref="E123">IF(ISERROR(INDEX('Local Data Previous Year'!$E$3:$E$20000,SMALL(IF(CTR1_Billing!$E$21='Local Data Previous Year'!$A$3:$A$20000,ROW('Local Data Previous Year'!$A$3:$A$20000)-ROW('Local Data Previous Year'!$A$3)+1),ROW(91:91)))),"",INDEX('Local Data Previous Year'!$E$3:$E$20000,SMALL(IF(CTR1_Billing!$E$21='Local Data Previous Year'!$A$3:$A$20000,ROW('Local Data Previous Year'!$A$3:$A$20000)-ROW('Local Data Previous Year'!$A$3)+1),ROW(91:91))))</f>
        <v/>
      </c>
      <c r="F123" s="756" t="str">
        <f>IF($D123="","",IF(ISNA(MATCH($D123,'Local Data Previous Year'!$D$3:$D$20000,0)),"New",IFERROR(VLOOKUP($B123,'Local Data Previous Year'!$D$3:$I$20000,6,0),"")))</f>
        <v/>
      </c>
      <c r="G123" s="757">
        <f t="shared" si="24"/>
        <v>0</v>
      </c>
      <c r="H123" s="758" t="str">
        <f>IFERROR(INDEX('Local Data Previous Year'!$F:$F, MATCH($D123, 'Local Data Previous Year'!$D:$D, 0)), "")</f>
        <v/>
      </c>
      <c r="I123" s="759">
        <f>IF(B123=CTR1_Billing!$E$21&amp;"NEW",1,0)</f>
        <v>0</v>
      </c>
      <c r="J123" s="760" t="str">
        <f>IFERROR(INDEX('Local Data Previous Year'!$G:$G, MATCH($D123, 'Local Data Previous Year'!$D:$D, 0)), "")</f>
        <v/>
      </c>
      <c r="K123" s="762"/>
      <c r="L123" s="760" t="str">
        <f>IFERROR(INDEX('Local Data Previous Year'!$H:$H, MATCH($D123, 'Local Data Previous Year'!$D:$D, 0)), "")</f>
        <v/>
      </c>
      <c r="M123" s="762"/>
      <c r="N123" s="763"/>
      <c r="O123" s="767"/>
      <c r="P123" s="765"/>
      <c r="Q123" s="767"/>
      <c r="R123" s="766" t="str">
        <f t="shared" si="25"/>
        <v/>
      </c>
      <c r="S123" s="754"/>
      <c r="T123" s="763"/>
      <c r="U123" s="754"/>
      <c r="V123" s="763"/>
      <c r="W123" s="763"/>
      <c r="X123" s="865" t="str">
        <f>VLOOKUP(CTR1_Billing!$E$21,Data!$C$6:$D$302,1,FALSE)</f>
        <v>EZZZZ</v>
      </c>
      <c r="Y123" s="205"/>
      <c r="Z123" s="205">
        <f t="shared" si="13"/>
        <v>0</v>
      </c>
      <c r="AA123" s="206" t="str">
        <f t="shared" si="14"/>
        <v/>
      </c>
      <c r="AB123" s="205">
        <f t="shared" si="15"/>
        <v>0</v>
      </c>
      <c r="AC123" s="208"/>
      <c r="AD123" s="208"/>
      <c r="AE123" s="208"/>
      <c r="AF123" s="208"/>
      <c r="AG123" s="209" t="str">
        <f>IFERROR(INDEX('Local Data Previous Year'!$F:$F, MATCH($D123, 'Local Data Previous Year'!$D:$D, 0)), "")</f>
        <v/>
      </c>
      <c r="AH123" s="209" t="str">
        <f>IFERROR(INDEX('Local Data Previous Year'!$G:$G, MATCH($D123, 'Local Data Previous Year'!$D:$D, 0)), "")</f>
        <v/>
      </c>
      <c r="AI123" s="209" t="str">
        <f>IFERROR(INDEX('Local Data Previous Year'!$H:$H, MATCH($D123, 'Local Data Previous Year'!$D:$D, 0)), "")</f>
        <v/>
      </c>
      <c r="AJ123" s="209" t="str">
        <f t="shared" si="16"/>
        <v/>
      </c>
      <c r="AK123" s="209" t="str">
        <f t="shared" si="17"/>
        <v/>
      </c>
      <c r="AL123" s="209" t="str">
        <f t="shared" si="18"/>
        <v/>
      </c>
      <c r="AM123" s="208" t="str">
        <f>IF($AN123="","",IFERROR(VLOOKUP(CONCATENATE(CTR1_Billing!$E$20,$AN123),'Local Data Previous Year'!$C$3:$D$50000,2,0),CTR1_Billing!$E$21&amp;"NEW"))</f>
        <v/>
      </c>
      <c r="AN123" s="209" t="str" cm="1">
        <f t="array" ref="AN123">IF(ISERROR(INDEX('Local Data Previous Year'!$E$3:$E$50000, SMALL(IF(CTR1_Billing!$E$21='Local Data Previous Year'!$A$3:$A$50000, ROW('Local Data Previous Year'!$A$3:$A$50000)-ROW('Local Data Previous Year'!$A$3)+1), ROW(91:91)))), "", INDEX('Local Data Previous Year'!$E$3:$E$50000, SMALL(IF(CTR1_Billing!$E$21='Local Data Previous Year'!$A$3:$A$50000, ROW('Local Data Previous Year'!$A$3:$A$50000)-ROW('Local Data Previous Year'!$A$3)+1), ROW(91:91))))</f>
        <v/>
      </c>
      <c r="AO123" s="209" t="str">
        <f t="shared" si="19"/>
        <v/>
      </c>
      <c r="AP123" s="208"/>
      <c r="AQ123" s="209" t="str">
        <f t="shared" si="20"/>
        <v/>
      </c>
      <c r="AR123" s="209" t="str">
        <f t="shared" si="21"/>
        <v/>
      </c>
      <c r="AS123" s="202" t="str">
        <f t="shared" si="22"/>
        <v/>
      </c>
      <c r="AT123" s="202" t="str">
        <f t="shared" si="23"/>
        <v/>
      </c>
      <c r="AU123" s="208"/>
      <c r="AV123" s="208"/>
      <c r="AW123" s="208"/>
      <c r="AX123" s="208"/>
      <c r="AY123" s="208"/>
      <c r="AZ123" s="208"/>
      <c r="BA123" s="208"/>
      <c r="BB123" s="208"/>
      <c r="BC123" s="208"/>
      <c r="BD123" s="208"/>
      <c r="BE123" s="208"/>
      <c r="BF123" s="208"/>
      <c r="BG123" s="28"/>
      <c r="BH123" s="28"/>
      <c r="BI123" s="28"/>
      <c r="BJ123" s="28"/>
    </row>
    <row r="124" spans="1:62" s="23" customFormat="1" ht="21" customHeight="1" thickBot="1" x14ac:dyDescent="0.25">
      <c r="A124" s="846" t="str">
        <f>IF($AN124="","",IFERROR(VLOOKUP(CONCATENATE(CTR1_Billing!$E$20,$AN124),'Local Data Previous Year'!$C$3:$D$20000,2,0),CTR1_Billing!$E$21&amp;"NEW"))</f>
        <v/>
      </c>
      <c r="B124" s="846" t="str">
        <f>IF($E124="","",IFERROR(VLOOKUP(CONCATENATE(CTR1_Billing!$E$20,CTR1_Local!$E124),'Local Data Previous Year'!$C$3:$D$20000,2,0),CTR1_Billing!$E$21&amp;"NEW"))</f>
        <v/>
      </c>
      <c r="C124" s="846">
        <v>92</v>
      </c>
      <c r="D124" s="755" t="str" cm="1">
        <f t="array" ref="D124">IF(ISERROR(INDEX('Local Data Previous Year'!$D$3:$D$20000,SMALL(IF(CTR1_Billing!$E$21='Local Data Previous Year'!$A$3:$A$20000,ROW('Local Data Previous Year'!$A$3:$A$20000)-ROW('Local Data Previous Year'!$A$3)+1),ROW(92:92)))),"",INDEX('Local Data Previous Year'!$D$3:$D$20000,SMALL(IF(CTR1_Billing!$E$21='Local Data Previous Year'!$A$3:$A$20000,ROW('Local Data Previous Year'!$A$3:$A$20000)-ROW('Local Data Previous Year'!$A$3)+1),ROW(92:92))))</f>
        <v/>
      </c>
      <c r="E124" s="755" t="str" cm="1">
        <f t="array" ref="E124">IF(ISERROR(INDEX('Local Data Previous Year'!$E$3:$E$20000,SMALL(IF(CTR1_Billing!$E$21='Local Data Previous Year'!$A$3:$A$20000,ROW('Local Data Previous Year'!$A$3:$A$20000)-ROW('Local Data Previous Year'!$A$3)+1),ROW(92:92)))),"",INDEX('Local Data Previous Year'!$E$3:$E$20000,SMALL(IF(CTR1_Billing!$E$21='Local Data Previous Year'!$A$3:$A$20000,ROW('Local Data Previous Year'!$A$3:$A$20000)-ROW('Local Data Previous Year'!$A$3)+1),ROW(92:92))))</f>
        <v/>
      </c>
      <c r="F124" s="756" t="str">
        <f>IF($D124="","",IF(ISNA(MATCH($D124,'Local Data Previous Year'!$D$3:$D$20000,0)),"New",IFERROR(VLOOKUP($B124,'Local Data Previous Year'!$D$3:$I$20000,6,0),"")))</f>
        <v/>
      </c>
      <c r="G124" s="757">
        <f t="shared" si="24"/>
        <v>0</v>
      </c>
      <c r="H124" s="758" t="str">
        <f>IFERROR(INDEX('Local Data Previous Year'!$F:$F, MATCH($D124, 'Local Data Previous Year'!$D:$D, 0)), "")</f>
        <v/>
      </c>
      <c r="I124" s="759">
        <f>IF(B124=CTR1_Billing!$E$21&amp;"NEW",1,0)</f>
        <v>0</v>
      </c>
      <c r="J124" s="760" t="str">
        <f>IFERROR(INDEX('Local Data Previous Year'!$G:$G, MATCH($D124, 'Local Data Previous Year'!$D:$D, 0)), "")</f>
        <v/>
      </c>
      <c r="K124" s="762"/>
      <c r="L124" s="760" t="str">
        <f>IFERROR(INDEX('Local Data Previous Year'!$H:$H, MATCH($D124, 'Local Data Previous Year'!$D:$D, 0)), "")</f>
        <v/>
      </c>
      <c r="M124" s="762"/>
      <c r="N124" s="763"/>
      <c r="O124" s="767"/>
      <c r="P124" s="765"/>
      <c r="Q124" s="767"/>
      <c r="R124" s="766" t="str">
        <f t="shared" si="25"/>
        <v/>
      </c>
      <c r="S124" s="754"/>
      <c r="T124" s="763"/>
      <c r="U124" s="754"/>
      <c r="V124" s="763"/>
      <c r="W124" s="763"/>
      <c r="X124" s="865" t="str">
        <f>VLOOKUP(CTR1_Billing!$E$21,Data!$C$6:$D$302,1,FALSE)</f>
        <v>EZZZZ</v>
      </c>
      <c r="Y124" s="205"/>
      <c r="Z124" s="205">
        <f t="shared" si="13"/>
        <v>0</v>
      </c>
      <c r="AA124" s="206" t="str">
        <f t="shared" si="14"/>
        <v/>
      </c>
      <c r="AB124" s="205">
        <f t="shared" si="15"/>
        <v>0</v>
      </c>
      <c r="AC124" s="208"/>
      <c r="AD124" s="208"/>
      <c r="AE124" s="208"/>
      <c r="AF124" s="208"/>
      <c r="AG124" s="209" t="str">
        <f>IFERROR(INDEX('Local Data Previous Year'!$F:$F, MATCH($D124, 'Local Data Previous Year'!$D:$D, 0)), "")</f>
        <v/>
      </c>
      <c r="AH124" s="209" t="str">
        <f>IFERROR(INDEX('Local Data Previous Year'!$G:$G, MATCH($D124, 'Local Data Previous Year'!$D:$D, 0)), "")</f>
        <v/>
      </c>
      <c r="AI124" s="209" t="str">
        <f>IFERROR(INDEX('Local Data Previous Year'!$H:$H, MATCH($D124, 'Local Data Previous Year'!$D:$D, 0)), "")</f>
        <v/>
      </c>
      <c r="AJ124" s="209" t="str">
        <f t="shared" si="16"/>
        <v/>
      </c>
      <c r="AK124" s="209" t="str">
        <f t="shared" si="17"/>
        <v/>
      </c>
      <c r="AL124" s="209" t="str">
        <f t="shared" si="18"/>
        <v/>
      </c>
      <c r="AM124" s="208" t="str">
        <f>IF($AN124="","",IFERROR(VLOOKUP(CONCATENATE(CTR1_Billing!$E$20,$AN124),'Local Data Previous Year'!$C$3:$D$50000,2,0),CTR1_Billing!$E$21&amp;"NEW"))</f>
        <v/>
      </c>
      <c r="AN124" s="209" t="str" cm="1">
        <f t="array" ref="AN124">IF(ISERROR(INDEX('Local Data Previous Year'!$E$3:$E$50000, SMALL(IF(CTR1_Billing!$E$21='Local Data Previous Year'!$A$3:$A$50000, ROW('Local Data Previous Year'!$A$3:$A$50000)-ROW('Local Data Previous Year'!$A$3)+1), ROW(92:92)))), "", INDEX('Local Data Previous Year'!$E$3:$E$50000, SMALL(IF(CTR1_Billing!$E$21='Local Data Previous Year'!$A$3:$A$50000, ROW('Local Data Previous Year'!$A$3:$A$50000)-ROW('Local Data Previous Year'!$A$3)+1), ROW(92:92))))</f>
        <v/>
      </c>
      <c r="AO124" s="209" t="str">
        <f t="shared" si="19"/>
        <v/>
      </c>
      <c r="AP124" s="208"/>
      <c r="AQ124" s="209" t="str">
        <f t="shared" si="20"/>
        <v/>
      </c>
      <c r="AR124" s="209" t="str">
        <f t="shared" si="21"/>
        <v/>
      </c>
      <c r="AS124" s="202" t="str">
        <f t="shared" si="22"/>
        <v/>
      </c>
      <c r="AT124" s="202" t="str">
        <f t="shared" si="23"/>
        <v/>
      </c>
      <c r="AU124" s="208"/>
      <c r="AV124" s="208"/>
      <c r="AW124" s="208"/>
      <c r="AX124" s="208"/>
      <c r="AY124" s="208"/>
      <c r="AZ124" s="208"/>
      <c r="BA124" s="208"/>
      <c r="BB124" s="208"/>
      <c r="BC124" s="208"/>
      <c r="BD124" s="208"/>
      <c r="BE124" s="208"/>
      <c r="BF124" s="208"/>
      <c r="BG124" s="28"/>
      <c r="BH124" s="28"/>
      <c r="BI124" s="28"/>
      <c r="BJ124" s="28"/>
    </row>
    <row r="125" spans="1:62" s="23" customFormat="1" ht="21" customHeight="1" thickBot="1" x14ac:dyDescent="0.25">
      <c r="A125" s="846" t="str">
        <f>IF($AN125="","",IFERROR(VLOOKUP(CONCATENATE(CTR1_Billing!$E$20,$AN125),'Local Data Previous Year'!$C$3:$D$20000,2,0),CTR1_Billing!$E$21&amp;"NEW"))</f>
        <v/>
      </c>
      <c r="B125" s="846" t="str">
        <f>IF($E125="","",IFERROR(VLOOKUP(CONCATENATE(CTR1_Billing!$E$20,CTR1_Local!$E125),'Local Data Previous Year'!$C$3:$D$20000,2,0),CTR1_Billing!$E$21&amp;"NEW"))</f>
        <v/>
      </c>
      <c r="C125" s="846">
        <v>93</v>
      </c>
      <c r="D125" s="755" t="str" cm="1">
        <f t="array" ref="D125">IF(ISERROR(INDEX('Local Data Previous Year'!$D$3:$D$20000,SMALL(IF(CTR1_Billing!$E$21='Local Data Previous Year'!$A$3:$A$20000,ROW('Local Data Previous Year'!$A$3:$A$20000)-ROW('Local Data Previous Year'!$A$3)+1),ROW(93:93)))),"",INDEX('Local Data Previous Year'!$D$3:$D$20000,SMALL(IF(CTR1_Billing!$E$21='Local Data Previous Year'!$A$3:$A$20000,ROW('Local Data Previous Year'!$A$3:$A$20000)-ROW('Local Data Previous Year'!$A$3)+1),ROW(93:93))))</f>
        <v/>
      </c>
      <c r="E125" s="755" t="str" cm="1">
        <f t="array" ref="E125">IF(ISERROR(INDEX('Local Data Previous Year'!$E$3:$E$20000,SMALL(IF(CTR1_Billing!$E$21='Local Data Previous Year'!$A$3:$A$20000,ROW('Local Data Previous Year'!$A$3:$A$20000)-ROW('Local Data Previous Year'!$A$3)+1),ROW(93:93)))),"",INDEX('Local Data Previous Year'!$E$3:$E$20000,SMALL(IF(CTR1_Billing!$E$21='Local Data Previous Year'!$A$3:$A$20000,ROW('Local Data Previous Year'!$A$3:$A$20000)-ROW('Local Data Previous Year'!$A$3)+1),ROW(93:93))))</f>
        <v/>
      </c>
      <c r="F125" s="756" t="str">
        <f>IF($D125="","",IF(ISNA(MATCH($D125,'Local Data Previous Year'!$D$3:$D$20000,0)),"New",IFERROR(VLOOKUP($B125,'Local Data Previous Year'!$D$3:$I$20000,6,0),"")))</f>
        <v/>
      </c>
      <c r="G125" s="757">
        <f t="shared" si="24"/>
        <v>0</v>
      </c>
      <c r="H125" s="758" t="str">
        <f>IFERROR(INDEX('Local Data Previous Year'!$F:$F, MATCH($D125, 'Local Data Previous Year'!$D:$D, 0)), "")</f>
        <v/>
      </c>
      <c r="I125" s="759">
        <f>IF(B125=CTR1_Billing!$E$21&amp;"NEW",1,0)</f>
        <v>0</v>
      </c>
      <c r="J125" s="760" t="str">
        <f>IFERROR(INDEX('Local Data Previous Year'!$G:$G, MATCH($D125, 'Local Data Previous Year'!$D:$D, 0)), "")</f>
        <v/>
      </c>
      <c r="K125" s="762"/>
      <c r="L125" s="760" t="str">
        <f>IFERROR(INDEX('Local Data Previous Year'!$H:$H, MATCH($D125, 'Local Data Previous Year'!$D:$D, 0)), "")</f>
        <v/>
      </c>
      <c r="M125" s="762"/>
      <c r="N125" s="763"/>
      <c r="O125" s="767"/>
      <c r="P125" s="765"/>
      <c r="Q125" s="767"/>
      <c r="R125" s="766" t="str">
        <f t="shared" si="25"/>
        <v/>
      </c>
      <c r="S125" s="754"/>
      <c r="T125" s="763"/>
      <c r="U125" s="754"/>
      <c r="V125" s="763"/>
      <c r="W125" s="763"/>
      <c r="X125" s="865" t="str">
        <f>VLOOKUP(CTR1_Billing!$E$21,Data!$C$6:$D$302,1,FALSE)</f>
        <v>EZZZZ</v>
      </c>
      <c r="Y125" s="205"/>
      <c r="Z125" s="205">
        <f t="shared" si="13"/>
        <v>0</v>
      </c>
      <c r="AA125" s="206" t="str">
        <f t="shared" si="14"/>
        <v/>
      </c>
      <c r="AB125" s="205">
        <f t="shared" si="15"/>
        <v>0</v>
      </c>
      <c r="AC125" s="208"/>
      <c r="AD125" s="208"/>
      <c r="AE125" s="208"/>
      <c r="AF125" s="208"/>
      <c r="AG125" s="209" t="str">
        <f>IFERROR(INDEX('Local Data Previous Year'!$F:$F, MATCH($D125, 'Local Data Previous Year'!$D:$D, 0)), "")</f>
        <v/>
      </c>
      <c r="AH125" s="209" t="str">
        <f>IFERROR(INDEX('Local Data Previous Year'!$G:$G, MATCH($D125, 'Local Data Previous Year'!$D:$D, 0)), "")</f>
        <v/>
      </c>
      <c r="AI125" s="209" t="str">
        <f>IFERROR(INDEX('Local Data Previous Year'!$H:$H, MATCH($D125, 'Local Data Previous Year'!$D:$D, 0)), "")</f>
        <v/>
      </c>
      <c r="AJ125" s="209" t="str">
        <f t="shared" si="16"/>
        <v/>
      </c>
      <c r="AK125" s="209" t="str">
        <f t="shared" si="17"/>
        <v/>
      </c>
      <c r="AL125" s="209" t="str">
        <f t="shared" si="18"/>
        <v/>
      </c>
      <c r="AM125" s="208" t="str">
        <f>IF($AN125="","",IFERROR(VLOOKUP(CONCATENATE(CTR1_Billing!$E$20,$AN125),'Local Data Previous Year'!$C$3:$D$50000,2,0),CTR1_Billing!$E$21&amp;"NEW"))</f>
        <v/>
      </c>
      <c r="AN125" s="209" t="str" cm="1">
        <f t="array" ref="AN125">IF(ISERROR(INDEX('Local Data Previous Year'!$E$3:$E$50000, SMALL(IF(CTR1_Billing!$E$21='Local Data Previous Year'!$A$3:$A$50000, ROW('Local Data Previous Year'!$A$3:$A$50000)-ROW('Local Data Previous Year'!$A$3)+1), ROW(93:93)))), "", INDEX('Local Data Previous Year'!$E$3:$E$50000, SMALL(IF(CTR1_Billing!$E$21='Local Data Previous Year'!$A$3:$A$50000, ROW('Local Data Previous Year'!$A$3:$A$50000)-ROW('Local Data Previous Year'!$A$3)+1), ROW(93:93))))</f>
        <v/>
      </c>
      <c r="AO125" s="209" t="str">
        <f t="shared" si="19"/>
        <v/>
      </c>
      <c r="AP125" s="208"/>
      <c r="AQ125" s="209" t="str">
        <f t="shared" si="20"/>
        <v/>
      </c>
      <c r="AR125" s="209" t="str">
        <f t="shared" si="21"/>
        <v/>
      </c>
      <c r="AS125" s="202" t="str">
        <f t="shared" si="22"/>
        <v/>
      </c>
      <c r="AT125" s="202" t="str">
        <f t="shared" si="23"/>
        <v/>
      </c>
      <c r="AU125" s="208"/>
      <c r="AV125" s="208"/>
      <c r="AW125" s="208"/>
      <c r="AX125" s="208"/>
      <c r="AY125" s="208"/>
      <c r="AZ125" s="208"/>
      <c r="BA125" s="208"/>
      <c r="BB125" s="208"/>
      <c r="BC125" s="208"/>
      <c r="BD125" s="208"/>
      <c r="BE125" s="208"/>
      <c r="BF125" s="208"/>
      <c r="BG125" s="28"/>
      <c r="BH125" s="28"/>
      <c r="BI125" s="28"/>
      <c r="BJ125" s="28"/>
    </row>
    <row r="126" spans="1:62" s="23" customFormat="1" ht="21" customHeight="1" thickBot="1" x14ac:dyDescent="0.25">
      <c r="A126" s="846" t="str">
        <f>IF($AN126="","",IFERROR(VLOOKUP(CONCATENATE(CTR1_Billing!$E$20,$AN126),'Local Data Previous Year'!$C$3:$D$20000,2,0),CTR1_Billing!$E$21&amp;"NEW"))</f>
        <v/>
      </c>
      <c r="B126" s="846" t="str">
        <f>IF($E126="","",IFERROR(VLOOKUP(CONCATENATE(CTR1_Billing!$E$20,CTR1_Local!$E126),'Local Data Previous Year'!$C$3:$D$20000,2,0),CTR1_Billing!$E$21&amp;"NEW"))</f>
        <v/>
      </c>
      <c r="C126" s="846">
        <v>94</v>
      </c>
      <c r="D126" s="755" t="str" cm="1">
        <f t="array" ref="D126">IF(ISERROR(INDEX('Local Data Previous Year'!$D$3:$D$20000,SMALL(IF(CTR1_Billing!$E$21='Local Data Previous Year'!$A$3:$A$20000,ROW('Local Data Previous Year'!$A$3:$A$20000)-ROW('Local Data Previous Year'!$A$3)+1),ROW(94:94)))),"",INDEX('Local Data Previous Year'!$D$3:$D$20000,SMALL(IF(CTR1_Billing!$E$21='Local Data Previous Year'!$A$3:$A$20000,ROW('Local Data Previous Year'!$A$3:$A$20000)-ROW('Local Data Previous Year'!$A$3)+1),ROW(94:94))))</f>
        <v/>
      </c>
      <c r="E126" s="755" t="str" cm="1">
        <f t="array" ref="E126">IF(ISERROR(INDEX('Local Data Previous Year'!$E$3:$E$20000,SMALL(IF(CTR1_Billing!$E$21='Local Data Previous Year'!$A$3:$A$20000,ROW('Local Data Previous Year'!$A$3:$A$20000)-ROW('Local Data Previous Year'!$A$3)+1),ROW(94:94)))),"",INDEX('Local Data Previous Year'!$E$3:$E$20000,SMALL(IF(CTR1_Billing!$E$21='Local Data Previous Year'!$A$3:$A$20000,ROW('Local Data Previous Year'!$A$3:$A$20000)-ROW('Local Data Previous Year'!$A$3)+1),ROW(94:94))))</f>
        <v/>
      </c>
      <c r="F126" s="756" t="str">
        <f>IF($D126="","",IF(ISNA(MATCH($D126,'Local Data Previous Year'!$D$3:$D$20000,0)),"New",IFERROR(VLOOKUP($B126,'Local Data Previous Year'!$D$3:$I$20000,6,0),"")))</f>
        <v/>
      </c>
      <c r="G126" s="757">
        <f t="shared" si="24"/>
        <v>0</v>
      </c>
      <c r="H126" s="758" t="str">
        <f>IFERROR(INDEX('Local Data Previous Year'!$F:$F, MATCH($D126, 'Local Data Previous Year'!$D:$D, 0)), "")</f>
        <v/>
      </c>
      <c r="I126" s="759">
        <f>IF(B126=CTR1_Billing!$E$21&amp;"NEW",1,0)</f>
        <v>0</v>
      </c>
      <c r="J126" s="760" t="str">
        <f>IFERROR(INDEX('Local Data Previous Year'!$G:$G, MATCH($D126, 'Local Data Previous Year'!$D:$D, 0)), "")</f>
        <v/>
      </c>
      <c r="K126" s="762"/>
      <c r="L126" s="760" t="str">
        <f>IFERROR(INDEX('Local Data Previous Year'!$H:$H, MATCH($D126, 'Local Data Previous Year'!$D:$D, 0)), "")</f>
        <v/>
      </c>
      <c r="M126" s="762"/>
      <c r="N126" s="763"/>
      <c r="O126" s="767"/>
      <c r="P126" s="765"/>
      <c r="Q126" s="767"/>
      <c r="R126" s="766" t="str">
        <f t="shared" si="25"/>
        <v/>
      </c>
      <c r="S126" s="754"/>
      <c r="T126" s="763"/>
      <c r="U126" s="754"/>
      <c r="V126" s="763"/>
      <c r="W126" s="763"/>
      <c r="X126" s="865" t="str">
        <f>VLOOKUP(CTR1_Billing!$E$21,Data!$C$6:$D$302,1,FALSE)</f>
        <v>EZZZZ</v>
      </c>
      <c r="Y126" s="205"/>
      <c r="Z126" s="205">
        <f t="shared" si="13"/>
        <v>0</v>
      </c>
      <c r="AA126" s="206" t="str">
        <f t="shared" si="14"/>
        <v/>
      </c>
      <c r="AB126" s="205">
        <f t="shared" si="15"/>
        <v>0</v>
      </c>
      <c r="AC126" s="208"/>
      <c r="AD126" s="208"/>
      <c r="AE126" s="208"/>
      <c r="AF126" s="208"/>
      <c r="AG126" s="209" t="str">
        <f>IFERROR(INDEX('Local Data Previous Year'!$F:$F, MATCH($D126, 'Local Data Previous Year'!$D:$D, 0)), "")</f>
        <v/>
      </c>
      <c r="AH126" s="209" t="str">
        <f>IFERROR(INDEX('Local Data Previous Year'!$G:$G, MATCH($D126, 'Local Data Previous Year'!$D:$D, 0)), "")</f>
        <v/>
      </c>
      <c r="AI126" s="209" t="str">
        <f>IFERROR(INDEX('Local Data Previous Year'!$H:$H, MATCH($D126, 'Local Data Previous Year'!$D:$D, 0)), "")</f>
        <v/>
      </c>
      <c r="AJ126" s="209" t="str">
        <f t="shared" si="16"/>
        <v/>
      </c>
      <c r="AK126" s="209" t="str">
        <f t="shared" si="17"/>
        <v/>
      </c>
      <c r="AL126" s="209" t="str">
        <f t="shared" si="18"/>
        <v/>
      </c>
      <c r="AM126" s="208" t="str">
        <f>IF($AN126="","",IFERROR(VLOOKUP(CONCATENATE(CTR1_Billing!$E$20,$AN126),'Local Data Previous Year'!$C$3:$D$50000,2,0),CTR1_Billing!$E$21&amp;"NEW"))</f>
        <v/>
      </c>
      <c r="AN126" s="209" t="str" cm="1">
        <f t="array" ref="AN126">IF(ISERROR(INDEX('Local Data Previous Year'!$E$3:$E$50000, SMALL(IF(CTR1_Billing!$E$21='Local Data Previous Year'!$A$3:$A$50000, ROW('Local Data Previous Year'!$A$3:$A$50000)-ROW('Local Data Previous Year'!$A$3)+1), ROW(94:94)))), "", INDEX('Local Data Previous Year'!$E$3:$E$50000, SMALL(IF(CTR1_Billing!$E$21='Local Data Previous Year'!$A$3:$A$50000, ROW('Local Data Previous Year'!$A$3:$A$50000)-ROW('Local Data Previous Year'!$A$3)+1), ROW(94:94))))</f>
        <v/>
      </c>
      <c r="AO126" s="209" t="str">
        <f t="shared" si="19"/>
        <v/>
      </c>
      <c r="AP126" s="208"/>
      <c r="AQ126" s="209" t="str">
        <f t="shared" si="20"/>
        <v/>
      </c>
      <c r="AR126" s="209" t="str">
        <f t="shared" si="21"/>
        <v/>
      </c>
      <c r="AS126" s="202" t="str">
        <f t="shared" si="22"/>
        <v/>
      </c>
      <c r="AT126" s="202" t="str">
        <f t="shared" si="23"/>
        <v/>
      </c>
      <c r="AU126" s="208"/>
      <c r="AV126" s="208"/>
      <c r="AW126" s="208"/>
      <c r="AX126" s="208"/>
      <c r="AY126" s="208"/>
      <c r="AZ126" s="208"/>
      <c r="BA126" s="208"/>
      <c r="BB126" s="208"/>
      <c r="BC126" s="208"/>
      <c r="BD126" s="208"/>
      <c r="BE126" s="208"/>
      <c r="BF126" s="208"/>
      <c r="BG126" s="28"/>
      <c r="BH126" s="28"/>
      <c r="BI126" s="28"/>
      <c r="BJ126" s="28"/>
    </row>
    <row r="127" spans="1:62" s="23" customFormat="1" ht="21" customHeight="1" thickBot="1" x14ac:dyDescent="0.25">
      <c r="A127" s="846" t="str">
        <f>IF($AN127="","",IFERROR(VLOOKUP(CONCATENATE(CTR1_Billing!$E$20,$AN127),'Local Data Previous Year'!$C$3:$D$20000,2,0),CTR1_Billing!$E$21&amp;"NEW"))</f>
        <v/>
      </c>
      <c r="B127" s="846" t="str">
        <f>IF($E127="","",IFERROR(VLOOKUP(CONCATENATE(CTR1_Billing!$E$20,CTR1_Local!$E127),'Local Data Previous Year'!$C$3:$D$20000,2,0),CTR1_Billing!$E$21&amp;"NEW"))</f>
        <v/>
      </c>
      <c r="C127" s="846">
        <v>95</v>
      </c>
      <c r="D127" s="755" t="str" cm="1">
        <f t="array" ref="D127">IF(ISERROR(INDEX('Local Data Previous Year'!$D$3:$D$20000,SMALL(IF(CTR1_Billing!$E$21='Local Data Previous Year'!$A$3:$A$20000,ROW('Local Data Previous Year'!$A$3:$A$20000)-ROW('Local Data Previous Year'!$A$3)+1),ROW(95:95)))),"",INDEX('Local Data Previous Year'!$D$3:$D$20000,SMALL(IF(CTR1_Billing!$E$21='Local Data Previous Year'!$A$3:$A$20000,ROW('Local Data Previous Year'!$A$3:$A$20000)-ROW('Local Data Previous Year'!$A$3)+1),ROW(95:95))))</f>
        <v/>
      </c>
      <c r="E127" s="755" t="str" cm="1">
        <f t="array" ref="E127">IF(ISERROR(INDEX('Local Data Previous Year'!$E$3:$E$20000,SMALL(IF(CTR1_Billing!$E$21='Local Data Previous Year'!$A$3:$A$20000,ROW('Local Data Previous Year'!$A$3:$A$20000)-ROW('Local Data Previous Year'!$A$3)+1),ROW(95:95)))),"",INDEX('Local Data Previous Year'!$E$3:$E$20000,SMALL(IF(CTR1_Billing!$E$21='Local Data Previous Year'!$A$3:$A$20000,ROW('Local Data Previous Year'!$A$3:$A$20000)-ROW('Local Data Previous Year'!$A$3)+1),ROW(95:95))))</f>
        <v/>
      </c>
      <c r="F127" s="756" t="str">
        <f>IF($D127="","",IF(ISNA(MATCH($D127,'Local Data Previous Year'!$D$3:$D$20000,0)),"New",IFERROR(VLOOKUP($B127,'Local Data Previous Year'!$D$3:$I$20000,6,0),"")))</f>
        <v/>
      </c>
      <c r="G127" s="757">
        <f t="shared" si="24"/>
        <v>0</v>
      </c>
      <c r="H127" s="758" t="str">
        <f>IFERROR(INDEX('Local Data Previous Year'!$F:$F, MATCH($D127, 'Local Data Previous Year'!$D:$D, 0)), "")</f>
        <v/>
      </c>
      <c r="I127" s="759">
        <f>IF(B127=CTR1_Billing!$E$21&amp;"NEW",1,0)</f>
        <v>0</v>
      </c>
      <c r="J127" s="760" t="str">
        <f>IFERROR(INDEX('Local Data Previous Year'!$G:$G, MATCH($D127, 'Local Data Previous Year'!$D:$D, 0)), "")</f>
        <v/>
      </c>
      <c r="K127" s="762"/>
      <c r="L127" s="760" t="str">
        <f>IFERROR(INDEX('Local Data Previous Year'!$H:$H, MATCH($D127, 'Local Data Previous Year'!$D:$D, 0)), "")</f>
        <v/>
      </c>
      <c r="M127" s="762"/>
      <c r="N127" s="763"/>
      <c r="O127" s="767"/>
      <c r="P127" s="765"/>
      <c r="Q127" s="767"/>
      <c r="R127" s="766" t="str">
        <f t="shared" si="25"/>
        <v/>
      </c>
      <c r="S127" s="754"/>
      <c r="T127" s="763"/>
      <c r="U127" s="754"/>
      <c r="V127" s="763"/>
      <c r="W127" s="763"/>
      <c r="X127" s="865" t="str">
        <f>VLOOKUP(CTR1_Billing!$E$21,Data!$C$6:$D$302,1,FALSE)</f>
        <v>EZZZZ</v>
      </c>
      <c r="Y127" s="205"/>
      <c r="Z127" s="205">
        <f t="shared" si="13"/>
        <v>0</v>
      </c>
      <c r="AA127" s="206" t="str">
        <f t="shared" si="14"/>
        <v/>
      </c>
      <c r="AB127" s="205">
        <f t="shared" si="15"/>
        <v>0</v>
      </c>
      <c r="AC127" s="208"/>
      <c r="AD127" s="208"/>
      <c r="AE127" s="208"/>
      <c r="AF127" s="208"/>
      <c r="AG127" s="209" t="str">
        <f>IFERROR(INDEX('Local Data Previous Year'!$F:$F, MATCH($D127, 'Local Data Previous Year'!$D:$D, 0)), "")</f>
        <v/>
      </c>
      <c r="AH127" s="209" t="str">
        <f>IFERROR(INDEX('Local Data Previous Year'!$G:$G, MATCH($D127, 'Local Data Previous Year'!$D:$D, 0)), "")</f>
        <v/>
      </c>
      <c r="AI127" s="209" t="str">
        <f>IFERROR(INDEX('Local Data Previous Year'!$H:$H, MATCH($D127, 'Local Data Previous Year'!$D:$D, 0)), "")</f>
        <v/>
      </c>
      <c r="AJ127" s="209" t="str">
        <f t="shared" si="16"/>
        <v/>
      </c>
      <c r="AK127" s="209" t="str">
        <f t="shared" si="17"/>
        <v/>
      </c>
      <c r="AL127" s="209" t="str">
        <f t="shared" si="18"/>
        <v/>
      </c>
      <c r="AM127" s="208" t="str">
        <f>IF($AN127="","",IFERROR(VLOOKUP(CONCATENATE(CTR1_Billing!$E$20,$AN127),'Local Data Previous Year'!$C$3:$D$50000,2,0),CTR1_Billing!$E$21&amp;"NEW"))</f>
        <v/>
      </c>
      <c r="AN127" s="209" t="str" cm="1">
        <f t="array" ref="AN127">IF(ISERROR(INDEX('Local Data Previous Year'!$E$3:$E$50000, SMALL(IF(CTR1_Billing!$E$21='Local Data Previous Year'!$A$3:$A$50000, ROW('Local Data Previous Year'!$A$3:$A$50000)-ROW('Local Data Previous Year'!$A$3)+1), ROW(95:95)))), "", INDEX('Local Data Previous Year'!$E$3:$E$50000, SMALL(IF(CTR1_Billing!$E$21='Local Data Previous Year'!$A$3:$A$50000, ROW('Local Data Previous Year'!$A$3:$A$50000)-ROW('Local Data Previous Year'!$A$3)+1), ROW(95:95))))</f>
        <v/>
      </c>
      <c r="AO127" s="209" t="str">
        <f t="shared" si="19"/>
        <v/>
      </c>
      <c r="AP127" s="208"/>
      <c r="AQ127" s="209" t="str">
        <f t="shared" si="20"/>
        <v/>
      </c>
      <c r="AR127" s="209" t="str">
        <f t="shared" si="21"/>
        <v/>
      </c>
      <c r="AS127" s="202" t="str">
        <f t="shared" si="22"/>
        <v/>
      </c>
      <c r="AT127" s="202" t="str">
        <f t="shared" si="23"/>
        <v/>
      </c>
      <c r="AU127" s="208"/>
      <c r="AV127" s="208"/>
      <c r="AW127" s="208"/>
      <c r="AX127" s="208"/>
      <c r="AY127" s="208"/>
      <c r="AZ127" s="208"/>
      <c r="BA127" s="208"/>
      <c r="BB127" s="208"/>
      <c r="BC127" s="208"/>
      <c r="BD127" s="208"/>
      <c r="BE127" s="208"/>
      <c r="BF127" s="208"/>
      <c r="BG127" s="28"/>
      <c r="BH127" s="28"/>
      <c r="BI127" s="28"/>
      <c r="BJ127" s="28"/>
    </row>
    <row r="128" spans="1:62" s="23" customFormat="1" ht="21" customHeight="1" thickBot="1" x14ac:dyDescent="0.25">
      <c r="A128" s="846" t="str">
        <f>IF($AN128="","",IFERROR(VLOOKUP(CONCATENATE(CTR1_Billing!$E$20,$AN128),'Local Data Previous Year'!$C$3:$D$20000,2,0),CTR1_Billing!$E$21&amp;"NEW"))</f>
        <v/>
      </c>
      <c r="B128" s="846" t="str">
        <f>IF($E128="","",IFERROR(VLOOKUP(CONCATENATE(CTR1_Billing!$E$20,CTR1_Local!$E128),'Local Data Previous Year'!$C$3:$D$20000,2,0),CTR1_Billing!$E$21&amp;"NEW"))</f>
        <v/>
      </c>
      <c r="C128" s="846">
        <v>96</v>
      </c>
      <c r="D128" s="755" t="str" cm="1">
        <f t="array" ref="D128">IF(ISERROR(INDEX('Local Data Previous Year'!$D$3:$D$20000,SMALL(IF(CTR1_Billing!$E$21='Local Data Previous Year'!$A$3:$A$20000,ROW('Local Data Previous Year'!$A$3:$A$20000)-ROW('Local Data Previous Year'!$A$3)+1),ROW(96:96)))),"",INDEX('Local Data Previous Year'!$D$3:$D$20000,SMALL(IF(CTR1_Billing!$E$21='Local Data Previous Year'!$A$3:$A$20000,ROW('Local Data Previous Year'!$A$3:$A$20000)-ROW('Local Data Previous Year'!$A$3)+1),ROW(96:96))))</f>
        <v/>
      </c>
      <c r="E128" s="755" t="str" cm="1">
        <f t="array" ref="E128">IF(ISERROR(INDEX('Local Data Previous Year'!$E$3:$E$20000,SMALL(IF(CTR1_Billing!$E$21='Local Data Previous Year'!$A$3:$A$20000,ROW('Local Data Previous Year'!$A$3:$A$20000)-ROW('Local Data Previous Year'!$A$3)+1),ROW(96:96)))),"",INDEX('Local Data Previous Year'!$E$3:$E$20000,SMALL(IF(CTR1_Billing!$E$21='Local Data Previous Year'!$A$3:$A$20000,ROW('Local Data Previous Year'!$A$3:$A$20000)-ROW('Local Data Previous Year'!$A$3)+1),ROW(96:96))))</f>
        <v/>
      </c>
      <c r="F128" s="756" t="str">
        <f>IF($D128="","",IF(ISNA(MATCH($D128,'Local Data Previous Year'!$D$3:$D$20000,0)),"New",IFERROR(VLOOKUP($B128,'Local Data Previous Year'!$D$3:$I$20000,6,0),"")))</f>
        <v/>
      </c>
      <c r="G128" s="757">
        <f t="shared" si="24"/>
        <v>0</v>
      </c>
      <c r="H128" s="758" t="str">
        <f>IFERROR(INDEX('Local Data Previous Year'!$F:$F, MATCH($D128, 'Local Data Previous Year'!$D:$D, 0)), "")</f>
        <v/>
      </c>
      <c r="I128" s="759">
        <f>IF(B128=CTR1_Billing!$E$21&amp;"NEW",1,0)</f>
        <v>0</v>
      </c>
      <c r="J128" s="760" t="str">
        <f>IFERROR(INDEX('Local Data Previous Year'!$G:$G, MATCH($D128, 'Local Data Previous Year'!$D:$D, 0)), "")</f>
        <v/>
      </c>
      <c r="K128" s="762"/>
      <c r="L128" s="760" t="str">
        <f>IFERROR(INDEX('Local Data Previous Year'!$H:$H, MATCH($D128, 'Local Data Previous Year'!$D:$D, 0)), "")</f>
        <v/>
      </c>
      <c r="M128" s="762"/>
      <c r="N128" s="763"/>
      <c r="O128" s="767"/>
      <c r="P128" s="765"/>
      <c r="Q128" s="767"/>
      <c r="R128" s="766" t="str">
        <f t="shared" si="25"/>
        <v/>
      </c>
      <c r="S128" s="754"/>
      <c r="T128" s="763"/>
      <c r="U128" s="754"/>
      <c r="V128" s="763"/>
      <c r="W128" s="763"/>
      <c r="X128" s="865" t="str">
        <f>VLOOKUP(CTR1_Billing!$E$21,Data!$C$6:$D$302,1,FALSE)</f>
        <v>EZZZZ</v>
      </c>
      <c r="Y128" s="205"/>
      <c r="Z128" s="205">
        <f t="shared" si="13"/>
        <v>0</v>
      </c>
      <c r="AA128" s="206" t="str">
        <f t="shared" si="14"/>
        <v/>
      </c>
      <c r="AB128" s="205">
        <f t="shared" si="15"/>
        <v>0</v>
      </c>
      <c r="AC128" s="208"/>
      <c r="AD128" s="208"/>
      <c r="AE128" s="208"/>
      <c r="AF128" s="208"/>
      <c r="AG128" s="209" t="str">
        <f>IFERROR(INDEX('Local Data Previous Year'!$F:$F, MATCH($D128, 'Local Data Previous Year'!$D:$D, 0)), "")</f>
        <v/>
      </c>
      <c r="AH128" s="209" t="str">
        <f>IFERROR(INDEX('Local Data Previous Year'!$G:$G, MATCH($D128, 'Local Data Previous Year'!$D:$D, 0)), "")</f>
        <v/>
      </c>
      <c r="AI128" s="209" t="str">
        <f>IFERROR(INDEX('Local Data Previous Year'!$H:$H, MATCH($D128, 'Local Data Previous Year'!$D:$D, 0)), "")</f>
        <v/>
      </c>
      <c r="AJ128" s="209" t="str">
        <f t="shared" si="16"/>
        <v/>
      </c>
      <c r="AK128" s="209" t="str">
        <f t="shared" si="17"/>
        <v/>
      </c>
      <c r="AL128" s="209" t="str">
        <f t="shared" si="18"/>
        <v/>
      </c>
      <c r="AM128" s="208" t="str">
        <f>IF($AN128="","",IFERROR(VLOOKUP(CONCATENATE(CTR1_Billing!$E$20,$AN128),'Local Data Previous Year'!$C$3:$D$50000,2,0),CTR1_Billing!$E$21&amp;"NEW"))</f>
        <v/>
      </c>
      <c r="AN128" s="209" t="str" cm="1">
        <f t="array" ref="AN128">IF(ISERROR(INDEX('Local Data Previous Year'!$E$3:$E$50000, SMALL(IF(CTR1_Billing!$E$21='Local Data Previous Year'!$A$3:$A$50000, ROW('Local Data Previous Year'!$A$3:$A$50000)-ROW('Local Data Previous Year'!$A$3)+1), ROW(96:96)))), "", INDEX('Local Data Previous Year'!$E$3:$E$50000, SMALL(IF(CTR1_Billing!$E$21='Local Data Previous Year'!$A$3:$A$50000, ROW('Local Data Previous Year'!$A$3:$A$50000)-ROW('Local Data Previous Year'!$A$3)+1), ROW(96:96))))</f>
        <v/>
      </c>
      <c r="AO128" s="209" t="str">
        <f t="shared" si="19"/>
        <v/>
      </c>
      <c r="AP128" s="208"/>
      <c r="AQ128" s="209" t="str">
        <f t="shared" si="20"/>
        <v/>
      </c>
      <c r="AR128" s="209" t="str">
        <f t="shared" si="21"/>
        <v/>
      </c>
      <c r="AS128" s="202" t="str">
        <f t="shared" si="22"/>
        <v/>
      </c>
      <c r="AT128" s="202" t="str">
        <f t="shared" si="23"/>
        <v/>
      </c>
      <c r="AU128" s="208"/>
      <c r="AV128" s="208"/>
      <c r="AW128" s="208"/>
      <c r="AX128" s="208"/>
      <c r="AY128" s="208"/>
      <c r="AZ128" s="208"/>
      <c r="BA128" s="208"/>
      <c r="BB128" s="208"/>
      <c r="BC128" s="208"/>
      <c r="BD128" s="208"/>
      <c r="BE128" s="208"/>
      <c r="BF128" s="208"/>
      <c r="BG128" s="28"/>
      <c r="BH128" s="28"/>
      <c r="BI128" s="28"/>
      <c r="BJ128" s="28"/>
    </row>
    <row r="129" spans="1:62" s="23" customFormat="1" ht="21" customHeight="1" thickBot="1" x14ac:dyDescent="0.25">
      <c r="A129" s="846" t="str">
        <f>IF($AN129="","",IFERROR(VLOOKUP(CONCATENATE(CTR1_Billing!$E$20,$AN129),'Local Data Previous Year'!$C$3:$D$20000,2,0),CTR1_Billing!$E$21&amp;"NEW"))</f>
        <v/>
      </c>
      <c r="B129" s="846" t="str">
        <f>IF($E129="","",IFERROR(VLOOKUP(CONCATENATE(CTR1_Billing!$E$20,CTR1_Local!$E129),'Local Data Previous Year'!$C$3:$D$20000,2,0),CTR1_Billing!$E$21&amp;"NEW"))</f>
        <v/>
      </c>
      <c r="C129" s="846">
        <v>97</v>
      </c>
      <c r="D129" s="755" t="str" cm="1">
        <f t="array" ref="D129">IF(ISERROR(INDEX('Local Data Previous Year'!$D$3:$D$20000,SMALL(IF(CTR1_Billing!$E$21='Local Data Previous Year'!$A$3:$A$20000,ROW('Local Data Previous Year'!$A$3:$A$20000)-ROW('Local Data Previous Year'!$A$3)+1),ROW(97:97)))),"",INDEX('Local Data Previous Year'!$D$3:$D$20000,SMALL(IF(CTR1_Billing!$E$21='Local Data Previous Year'!$A$3:$A$20000,ROW('Local Data Previous Year'!$A$3:$A$20000)-ROW('Local Data Previous Year'!$A$3)+1),ROW(97:97))))</f>
        <v/>
      </c>
      <c r="E129" s="755" t="str" cm="1">
        <f t="array" ref="E129">IF(ISERROR(INDEX('Local Data Previous Year'!$E$3:$E$20000,SMALL(IF(CTR1_Billing!$E$21='Local Data Previous Year'!$A$3:$A$20000,ROW('Local Data Previous Year'!$A$3:$A$20000)-ROW('Local Data Previous Year'!$A$3)+1),ROW(97:97)))),"",INDEX('Local Data Previous Year'!$E$3:$E$20000,SMALL(IF(CTR1_Billing!$E$21='Local Data Previous Year'!$A$3:$A$20000,ROW('Local Data Previous Year'!$A$3:$A$20000)-ROW('Local Data Previous Year'!$A$3)+1),ROW(97:97))))</f>
        <v/>
      </c>
      <c r="F129" s="756" t="str">
        <f>IF($D129="","",IF(ISNA(MATCH($D129,'Local Data Previous Year'!$D$3:$D$20000,0)),"New",IFERROR(VLOOKUP($B129,'Local Data Previous Year'!$D$3:$I$20000,6,0),"")))</f>
        <v/>
      </c>
      <c r="G129" s="757">
        <f t="shared" si="24"/>
        <v>0</v>
      </c>
      <c r="H129" s="758" t="str">
        <f>IFERROR(INDEX('Local Data Previous Year'!$F:$F, MATCH($D129, 'Local Data Previous Year'!$D:$D, 0)), "")</f>
        <v/>
      </c>
      <c r="I129" s="759">
        <f>IF(B129=CTR1_Billing!$E$21&amp;"NEW",1,0)</f>
        <v>0</v>
      </c>
      <c r="J129" s="760" t="str">
        <f>IFERROR(INDEX('Local Data Previous Year'!$G:$G, MATCH($D129, 'Local Data Previous Year'!$D:$D, 0)), "")</f>
        <v/>
      </c>
      <c r="K129" s="762"/>
      <c r="L129" s="760" t="str">
        <f>IFERROR(INDEX('Local Data Previous Year'!$H:$H, MATCH($D129, 'Local Data Previous Year'!$D:$D, 0)), "")</f>
        <v/>
      </c>
      <c r="M129" s="762"/>
      <c r="N129" s="763"/>
      <c r="O129" s="767"/>
      <c r="P129" s="765"/>
      <c r="Q129" s="767"/>
      <c r="R129" s="766" t="str">
        <f t="shared" si="25"/>
        <v/>
      </c>
      <c r="S129" s="754"/>
      <c r="T129" s="763"/>
      <c r="U129" s="754"/>
      <c r="V129" s="763"/>
      <c r="W129" s="763"/>
      <c r="X129" s="865" t="str">
        <f>VLOOKUP(CTR1_Billing!$E$21,Data!$C$6:$D$302,1,FALSE)</f>
        <v>EZZZZ</v>
      </c>
      <c r="Y129" s="205"/>
      <c r="Z129" s="205">
        <f t="shared" si="13"/>
        <v>0</v>
      </c>
      <c r="AA129" s="206" t="str">
        <f t="shared" si="14"/>
        <v/>
      </c>
      <c r="AB129" s="205">
        <f t="shared" si="15"/>
        <v>0</v>
      </c>
      <c r="AC129" s="208"/>
      <c r="AD129" s="208"/>
      <c r="AE129" s="208"/>
      <c r="AF129" s="208"/>
      <c r="AG129" s="209" t="str">
        <f>IFERROR(INDEX('Local Data Previous Year'!$F:$F, MATCH($D129, 'Local Data Previous Year'!$D:$D, 0)), "")</f>
        <v/>
      </c>
      <c r="AH129" s="209" t="str">
        <f>IFERROR(INDEX('Local Data Previous Year'!$G:$G, MATCH($D129, 'Local Data Previous Year'!$D:$D, 0)), "")</f>
        <v/>
      </c>
      <c r="AI129" s="209" t="str">
        <f>IFERROR(INDEX('Local Data Previous Year'!$H:$H, MATCH($D129, 'Local Data Previous Year'!$D:$D, 0)), "")</f>
        <v/>
      </c>
      <c r="AJ129" s="209" t="str">
        <f t="shared" si="16"/>
        <v/>
      </c>
      <c r="AK129" s="209" t="str">
        <f t="shared" si="17"/>
        <v/>
      </c>
      <c r="AL129" s="209" t="str">
        <f t="shared" si="18"/>
        <v/>
      </c>
      <c r="AM129" s="208" t="str">
        <f>IF($AN129="","",IFERROR(VLOOKUP(CONCATENATE(CTR1_Billing!$E$20,$AN129),'Local Data Previous Year'!$C$3:$D$50000,2,0),CTR1_Billing!$E$21&amp;"NEW"))</f>
        <v/>
      </c>
      <c r="AN129" s="209" t="str" cm="1">
        <f t="array" ref="AN129">IF(ISERROR(INDEX('Local Data Previous Year'!$E$3:$E$50000, SMALL(IF(CTR1_Billing!$E$21='Local Data Previous Year'!$A$3:$A$50000, ROW('Local Data Previous Year'!$A$3:$A$50000)-ROW('Local Data Previous Year'!$A$3)+1), ROW(97:97)))), "", INDEX('Local Data Previous Year'!$E$3:$E$50000, SMALL(IF(CTR1_Billing!$E$21='Local Data Previous Year'!$A$3:$A$50000, ROW('Local Data Previous Year'!$A$3:$A$50000)-ROW('Local Data Previous Year'!$A$3)+1), ROW(97:97))))</f>
        <v/>
      </c>
      <c r="AO129" s="209" t="str">
        <f t="shared" si="19"/>
        <v/>
      </c>
      <c r="AP129" s="208"/>
      <c r="AQ129" s="209" t="str">
        <f t="shared" si="20"/>
        <v/>
      </c>
      <c r="AR129" s="209" t="str">
        <f t="shared" si="21"/>
        <v/>
      </c>
      <c r="AS129" s="202" t="str">
        <f t="shared" si="22"/>
        <v/>
      </c>
      <c r="AT129" s="202" t="str">
        <f t="shared" si="23"/>
        <v/>
      </c>
      <c r="AU129" s="208"/>
      <c r="AV129" s="208"/>
      <c r="AW129" s="208"/>
      <c r="AX129" s="208"/>
      <c r="AY129" s="208"/>
      <c r="AZ129" s="208"/>
      <c r="BA129" s="208"/>
      <c r="BB129" s="208"/>
      <c r="BC129" s="208"/>
      <c r="BD129" s="208"/>
      <c r="BE129" s="208"/>
      <c r="BF129" s="208"/>
      <c r="BG129" s="28"/>
      <c r="BH129" s="28"/>
      <c r="BI129" s="28"/>
      <c r="BJ129" s="28"/>
    </row>
    <row r="130" spans="1:62" s="23" customFormat="1" ht="21" customHeight="1" thickBot="1" x14ac:dyDescent="0.25">
      <c r="A130" s="846" t="str">
        <f>IF($AN130="","",IFERROR(VLOOKUP(CONCATENATE(CTR1_Billing!$E$20,$AN130),'Local Data Previous Year'!$C$3:$D$20000,2,0),CTR1_Billing!$E$21&amp;"NEW"))</f>
        <v/>
      </c>
      <c r="B130" s="846" t="str">
        <f>IF($E130="","",IFERROR(VLOOKUP(CONCATENATE(CTR1_Billing!$E$20,CTR1_Local!$E130),'Local Data Previous Year'!$C$3:$D$20000,2,0),CTR1_Billing!$E$21&amp;"NEW"))</f>
        <v/>
      </c>
      <c r="C130" s="846">
        <v>98</v>
      </c>
      <c r="D130" s="755" t="str" cm="1">
        <f t="array" ref="D130">IF(ISERROR(INDEX('Local Data Previous Year'!$D$3:$D$20000,SMALL(IF(CTR1_Billing!$E$21='Local Data Previous Year'!$A$3:$A$20000,ROW('Local Data Previous Year'!$A$3:$A$20000)-ROW('Local Data Previous Year'!$A$3)+1),ROW(98:98)))),"",INDEX('Local Data Previous Year'!$D$3:$D$20000,SMALL(IF(CTR1_Billing!$E$21='Local Data Previous Year'!$A$3:$A$20000,ROW('Local Data Previous Year'!$A$3:$A$20000)-ROW('Local Data Previous Year'!$A$3)+1),ROW(98:98))))</f>
        <v/>
      </c>
      <c r="E130" s="755" t="str" cm="1">
        <f t="array" ref="E130">IF(ISERROR(INDEX('Local Data Previous Year'!$E$3:$E$20000,SMALL(IF(CTR1_Billing!$E$21='Local Data Previous Year'!$A$3:$A$20000,ROW('Local Data Previous Year'!$A$3:$A$20000)-ROW('Local Data Previous Year'!$A$3)+1),ROW(98:98)))),"",INDEX('Local Data Previous Year'!$E$3:$E$20000,SMALL(IF(CTR1_Billing!$E$21='Local Data Previous Year'!$A$3:$A$20000,ROW('Local Data Previous Year'!$A$3:$A$20000)-ROW('Local Data Previous Year'!$A$3)+1),ROW(98:98))))</f>
        <v/>
      </c>
      <c r="F130" s="756" t="str">
        <f>IF($D130="","",IF(ISNA(MATCH($D130,'Local Data Previous Year'!$D$3:$D$20000,0)),"New",IFERROR(VLOOKUP($B130,'Local Data Previous Year'!$D$3:$I$20000,6,0),"")))</f>
        <v/>
      </c>
      <c r="G130" s="757">
        <f t="shared" si="24"/>
        <v>0</v>
      </c>
      <c r="H130" s="758" t="str">
        <f>IFERROR(INDEX('Local Data Previous Year'!$F:$F, MATCH($D130, 'Local Data Previous Year'!$D:$D, 0)), "")</f>
        <v/>
      </c>
      <c r="I130" s="759">
        <f>IF(B130=CTR1_Billing!$E$21&amp;"NEW",1,0)</f>
        <v>0</v>
      </c>
      <c r="J130" s="760" t="str">
        <f>IFERROR(INDEX('Local Data Previous Year'!$G:$G, MATCH($D130, 'Local Data Previous Year'!$D:$D, 0)), "")</f>
        <v/>
      </c>
      <c r="K130" s="762"/>
      <c r="L130" s="760" t="str">
        <f>IFERROR(INDEX('Local Data Previous Year'!$H:$H, MATCH($D130, 'Local Data Previous Year'!$D:$D, 0)), "")</f>
        <v/>
      </c>
      <c r="M130" s="762"/>
      <c r="N130" s="763"/>
      <c r="O130" s="767"/>
      <c r="P130" s="765"/>
      <c r="Q130" s="767"/>
      <c r="R130" s="766" t="str">
        <f t="shared" si="25"/>
        <v/>
      </c>
      <c r="S130" s="754"/>
      <c r="T130" s="763"/>
      <c r="U130" s="754"/>
      <c r="V130" s="763"/>
      <c r="W130" s="763"/>
      <c r="X130" s="865" t="str">
        <f>VLOOKUP(CTR1_Billing!$E$21,Data!$C$6:$D$302,1,FALSE)</f>
        <v>EZZZZ</v>
      </c>
      <c r="Y130" s="205"/>
      <c r="Z130" s="205">
        <f t="shared" si="13"/>
        <v>0</v>
      </c>
      <c r="AA130" s="206" t="str">
        <f t="shared" si="14"/>
        <v/>
      </c>
      <c r="AB130" s="205">
        <f t="shared" si="15"/>
        <v>0</v>
      </c>
      <c r="AC130" s="208"/>
      <c r="AD130" s="208"/>
      <c r="AE130" s="208"/>
      <c r="AF130" s="208"/>
      <c r="AG130" s="209" t="str">
        <f>IFERROR(INDEX('Local Data Previous Year'!$F:$F, MATCH($D130, 'Local Data Previous Year'!$D:$D, 0)), "")</f>
        <v/>
      </c>
      <c r="AH130" s="209" t="str">
        <f>IFERROR(INDEX('Local Data Previous Year'!$G:$G, MATCH($D130, 'Local Data Previous Year'!$D:$D, 0)), "")</f>
        <v/>
      </c>
      <c r="AI130" s="209" t="str">
        <f>IFERROR(INDEX('Local Data Previous Year'!$H:$H, MATCH($D130, 'Local Data Previous Year'!$D:$D, 0)), "")</f>
        <v/>
      </c>
      <c r="AJ130" s="209" t="str">
        <f t="shared" si="16"/>
        <v/>
      </c>
      <c r="AK130" s="209" t="str">
        <f t="shared" si="17"/>
        <v/>
      </c>
      <c r="AL130" s="209" t="str">
        <f t="shared" si="18"/>
        <v/>
      </c>
      <c r="AM130" s="208" t="str">
        <f>IF($AN130="","",IFERROR(VLOOKUP(CONCATENATE(CTR1_Billing!$E$20,$AN130),'Local Data Previous Year'!$C$3:$D$50000,2,0),CTR1_Billing!$E$21&amp;"NEW"))</f>
        <v/>
      </c>
      <c r="AN130" s="209" t="str" cm="1">
        <f t="array" ref="AN130">IF(ISERROR(INDEX('Local Data Previous Year'!$E$3:$E$50000, SMALL(IF(CTR1_Billing!$E$21='Local Data Previous Year'!$A$3:$A$50000, ROW('Local Data Previous Year'!$A$3:$A$50000)-ROW('Local Data Previous Year'!$A$3)+1), ROW(98:98)))), "", INDEX('Local Data Previous Year'!$E$3:$E$50000, SMALL(IF(CTR1_Billing!$E$21='Local Data Previous Year'!$A$3:$A$50000, ROW('Local Data Previous Year'!$A$3:$A$50000)-ROW('Local Data Previous Year'!$A$3)+1), ROW(98:98))))</f>
        <v/>
      </c>
      <c r="AO130" s="209" t="str">
        <f t="shared" si="19"/>
        <v/>
      </c>
      <c r="AP130" s="208"/>
      <c r="AQ130" s="209" t="str">
        <f t="shared" si="20"/>
        <v/>
      </c>
      <c r="AR130" s="209" t="str">
        <f t="shared" si="21"/>
        <v/>
      </c>
      <c r="AS130" s="202" t="str">
        <f t="shared" si="22"/>
        <v/>
      </c>
      <c r="AT130" s="202" t="str">
        <f t="shared" si="23"/>
        <v/>
      </c>
      <c r="AU130" s="208"/>
      <c r="AV130" s="208"/>
      <c r="AW130" s="208"/>
      <c r="AX130" s="208"/>
      <c r="AY130" s="208"/>
      <c r="AZ130" s="208"/>
      <c r="BA130" s="208"/>
      <c r="BB130" s="208"/>
      <c r="BC130" s="208"/>
      <c r="BD130" s="208"/>
      <c r="BE130" s="208"/>
      <c r="BF130" s="208"/>
      <c r="BG130" s="28"/>
      <c r="BH130" s="28"/>
      <c r="BI130" s="28"/>
      <c r="BJ130" s="28"/>
    </row>
    <row r="131" spans="1:62" s="23" customFormat="1" ht="21" customHeight="1" thickBot="1" x14ac:dyDescent="0.25">
      <c r="A131" s="846" t="str">
        <f>IF($AN131="","",IFERROR(VLOOKUP(CONCATENATE(CTR1_Billing!$E$20,$AN131),'Local Data Previous Year'!$C$3:$D$20000,2,0),CTR1_Billing!$E$21&amp;"NEW"))</f>
        <v/>
      </c>
      <c r="B131" s="846" t="str">
        <f>IF($E131="","",IFERROR(VLOOKUP(CONCATENATE(CTR1_Billing!$E$20,CTR1_Local!$E131),'Local Data Previous Year'!$C$3:$D$20000,2,0),CTR1_Billing!$E$21&amp;"NEW"))</f>
        <v/>
      </c>
      <c r="C131" s="846">
        <v>99</v>
      </c>
      <c r="D131" s="755" t="str" cm="1">
        <f t="array" ref="D131">IF(ISERROR(INDEX('Local Data Previous Year'!$D$3:$D$20000,SMALL(IF(CTR1_Billing!$E$21='Local Data Previous Year'!$A$3:$A$20000,ROW('Local Data Previous Year'!$A$3:$A$20000)-ROW('Local Data Previous Year'!$A$3)+1),ROW(99:99)))),"",INDEX('Local Data Previous Year'!$D$3:$D$20000,SMALL(IF(CTR1_Billing!$E$21='Local Data Previous Year'!$A$3:$A$20000,ROW('Local Data Previous Year'!$A$3:$A$20000)-ROW('Local Data Previous Year'!$A$3)+1),ROW(99:99))))</f>
        <v/>
      </c>
      <c r="E131" s="755" t="str" cm="1">
        <f t="array" ref="E131">IF(ISERROR(INDEX('Local Data Previous Year'!$E$3:$E$20000,SMALL(IF(CTR1_Billing!$E$21='Local Data Previous Year'!$A$3:$A$20000,ROW('Local Data Previous Year'!$A$3:$A$20000)-ROW('Local Data Previous Year'!$A$3)+1),ROW(99:99)))),"",INDEX('Local Data Previous Year'!$E$3:$E$20000,SMALL(IF(CTR1_Billing!$E$21='Local Data Previous Year'!$A$3:$A$20000,ROW('Local Data Previous Year'!$A$3:$A$20000)-ROW('Local Data Previous Year'!$A$3)+1),ROW(99:99))))</f>
        <v/>
      </c>
      <c r="F131" s="756" t="str">
        <f>IF($D131="","",IF(ISNA(MATCH($D131,'Local Data Previous Year'!$D$3:$D$20000,0)),"New",IFERROR(VLOOKUP($B131,'Local Data Previous Year'!$D$3:$I$20000,6,0),"")))</f>
        <v/>
      </c>
      <c r="G131" s="757">
        <f t="shared" si="24"/>
        <v>0</v>
      </c>
      <c r="H131" s="758" t="str">
        <f>IFERROR(INDEX('Local Data Previous Year'!$F:$F, MATCH($D131, 'Local Data Previous Year'!$D:$D, 0)), "")</f>
        <v/>
      </c>
      <c r="I131" s="759">
        <f>IF(B131=CTR1_Billing!$E$21&amp;"NEW",1,0)</f>
        <v>0</v>
      </c>
      <c r="J131" s="760" t="str">
        <f>IFERROR(INDEX('Local Data Previous Year'!$G:$G, MATCH($D131, 'Local Data Previous Year'!$D:$D, 0)), "")</f>
        <v/>
      </c>
      <c r="K131" s="762"/>
      <c r="L131" s="760" t="str">
        <f>IFERROR(INDEX('Local Data Previous Year'!$H:$H, MATCH($D131, 'Local Data Previous Year'!$D:$D, 0)), "")</f>
        <v/>
      </c>
      <c r="M131" s="762"/>
      <c r="N131" s="763"/>
      <c r="O131" s="767"/>
      <c r="P131" s="765"/>
      <c r="Q131" s="767"/>
      <c r="R131" s="766" t="str">
        <f t="shared" si="25"/>
        <v/>
      </c>
      <c r="S131" s="754"/>
      <c r="T131" s="763"/>
      <c r="U131" s="754"/>
      <c r="V131" s="763"/>
      <c r="W131" s="763"/>
      <c r="X131" s="865" t="str">
        <f>VLOOKUP(CTR1_Billing!$E$21,Data!$C$6:$D$302,1,FALSE)</f>
        <v>EZZZZ</v>
      </c>
      <c r="Y131" s="205"/>
      <c r="Z131" s="205">
        <f t="shared" si="13"/>
        <v>0</v>
      </c>
      <c r="AA131" s="206" t="str">
        <f t="shared" si="14"/>
        <v/>
      </c>
      <c r="AB131" s="205">
        <f t="shared" si="15"/>
        <v>0</v>
      </c>
      <c r="AC131" s="208"/>
      <c r="AD131" s="208"/>
      <c r="AE131" s="208"/>
      <c r="AF131" s="208"/>
      <c r="AG131" s="209" t="str">
        <f>IFERROR(INDEX('Local Data Previous Year'!$F:$F, MATCH($D131, 'Local Data Previous Year'!$D:$D, 0)), "")</f>
        <v/>
      </c>
      <c r="AH131" s="209" t="str">
        <f>IFERROR(INDEX('Local Data Previous Year'!$G:$G, MATCH($D131, 'Local Data Previous Year'!$D:$D, 0)), "")</f>
        <v/>
      </c>
      <c r="AI131" s="209" t="str">
        <f>IFERROR(INDEX('Local Data Previous Year'!$H:$H, MATCH($D131, 'Local Data Previous Year'!$D:$D, 0)), "")</f>
        <v/>
      </c>
      <c r="AJ131" s="209" t="str">
        <f t="shared" si="16"/>
        <v/>
      </c>
      <c r="AK131" s="209" t="str">
        <f t="shared" si="17"/>
        <v/>
      </c>
      <c r="AL131" s="209" t="str">
        <f t="shared" si="18"/>
        <v/>
      </c>
      <c r="AM131" s="208" t="str">
        <f>IF($AN131="","",IFERROR(VLOOKUP(CONCATENATE(CTR1_Billing!$E$20,$AN131),'Local Data Previous Year'!$C$3:$D$50000,2,0),CTR1_Billing!$E$21&amp;"NEW"))</f>
        <v/>
      </c>
      <c r="AN131" s="209" t="str" cm="1">
        <f t="array" ref="AN131">IF(ISERROR(INDEX('Local Data Previous Year'!$E$3:$E$50000, SMALL(IF(CTR1_Billing!$E$21='Local Data Previous Year'!$A$3:$A$50000, ROW('Local Data Previous Year'!$A$3:$A$50000)-ROW('Local Data Previous Year'!$A$3)+1), ROW(99:99)))), "", INDEX('Local Data Previous Year'!$E$3:$E$50000, SMALL(IF(CTR1_Billing!$E$21='Local Data Previous Year'!$A$3:$A$50000, ROW('Local Data Previous Year'!$A$3:$A$50000)-ROW('Local Data Previous Year'!$A$3)+1), ROW(99:99))))</f>
        <v/>
      </c>
      <c r="AO131" s="209" t="str">
        <f t="shared" si="19"/>
        <v/>
      </c>
      <c r="AP131" s="208"/>
      <c r="AQ131" s="209" t="str">
        <f t="shared" si="20"/>
        <v/>
      </c>
      <c r="AR131" s="209" t="str">
        <f t="shared" si="21"/>
        <v/>
      </c>
      <c r="AS131" s="202" t="str">
        <f t="shared" si="22"/>
        <v/>
      </c>
      <c r="AT131" s="202" t="str">
        <f t="shared" si="23"/>
        <v/>
      </c>
      <c r="AU131" s="208"/>
      <c r="AV131" s="208"/>
      <c r="AW131" s="208"/>
      <c r="AX131" s="208"/>
      <c r="AY131" s="208"/>
      <c r="AZ131" s="208"/>
      <c r="BA131" s="208"/>
      <c r="BB131" s="208"/>
      <c r="BC131" s="208"/>
      <c r="BD131" s="208"/>
      <c r="BE131" s="208"/>
      <c r="BF131" s="208"/>
      <c r="BG131" s="28"/>
      <c r="BH131" s="28"/>
      <c r="BI131" s="28"/>
      <c r="BJ131" s="28"/>
    </row>
    <row r="132" spans="1:62" s="23" customFormat="1" ht="21" customHeight="1" thickBot="1" x14ac:dyDescent="0.25">
      <c r="A132" s="846" t="str">
        <f>IF($AN132="","",IFERROR(VLOOKUP(CONCATENATE(CTR1_Billing!$E$20,$AN132),'Local Data Previous Year'!$C$3:$D$20000,2,0),CTR1_Billing!$E$21&amp;"NEW"))</f>
        <v/>
      </c>
      <c r="B132" s="846" t="str">
        <f>IF($E132="","",IFERROR(VLOOKUP(CONCATENATE(CTR1_Billing!$E$20,CTR1_Local!$E132),'Local Data Previous Year'!$C$3:$D$20000,2,0),CTR1_Billing!$E$21&amp;"NEW"))</f>
        <v/>
      </c>
      <c r="C132" s="846">
        <v>100</v>
      </c>
      <c r="D132" s="755" t="str" cm="1">
        <f t="array" ref="D132">IF(ISERROR(INDEX('Local Data Previous Year'!$D$3:$D$20000,SMALL(IF(CTR1_Billing!$E$21='Local Data Previous Year'!$A$3:$A$20000,ROW('Local Data Previous Year'!$A$3:$A$20000)-ROW('Local Data Previous Year'!$A$3)+1),ROW(100:100)))),"",INDEX('Local Data Previous Year'!$D$3:$D$20000,SMALL(IF(CTR1_Billing!$E$21='Local Data Previous Year'!$A$3:$A$20000,ROW('Local Data Previous Year'!$A$3:$A$20000)-ROW('Local Data Previous Year'!$A$3)+1),ROW(100:100))))</f>
        <v/>
      </c>
      <c r="E132" s="755" t="str" cm="1">
        <f t="array" ref="E132">IF(ISERROR(INDEX('Local Data Previous Year'!$E$3:$E$20000,SMALL(IF(CTR1_Billing!$E$21='Local Data Previous Year'!$A$3:$A$20000,ROW('Local Data Previous Year'!$A$3:$A$20000)-ROW('Local Data Previous Year'!$A$3)+1),ROW(100:100)))),"",INDEX('Local Data Previous Year'!$E$3:$E$20000,SMALL(IF(CTR1_Billing!$E$21='Local Data Previous Year'!$A$3:$A$20000,ROW('Local Data Previous Year'!$A$3:$A$20000)-ROW('Local Data Previous Year'!$A$3)+1),ROW(100:100))))</f>
        <v/>
      </c>
      <c r="F132" s="756" t="str">
        <f>IF($D132="","",IF(ISNA(MATCH($D132,'Local Data Previous Year'!$D$3:$D$20000,0)),"New",IFERROR(VLOOKUP($B132,'Local Data Previous Year'!$D$3:$I$20000,6,0),"")))</f>
        <v/>
      </c>
      <c r="G132" s="757">
        <f t="shared" si="24"/>
        <v>0</v>
      </c>
      <c r="H132" s="758" t="str">
        <f>IFERROR(INDEX('Local Data Previous Year'!$F:$F, MATCH($D132, 'Local Data Previous Year'!$D:$D, 0)), "")</f>
        <v/>
      </c>
      <c r="I132" s="759">
        <f>IF(B132=CTR1_Billing!$E$21&amp;"NEW",1,0)</f>
        <v>0</v>
      </c>
      <c r="J132" s="760" t="str">
        <f>IFERROR(INDEX('Local Data Previous Year'!$G:$G, MATCH($D132, 'Local Data Previous Year'!$D:$D, 0)), "")</f>
        <v/>
      </c>
      <c r="K132" s="762"/>
      <c r="L132" s="760" t="str">
        <f>IFERROR(INDEX('Local Data Previous Year'!$H:$H, MATCH($D132, 'Local Data Previous Year'!$D:$D, 0)), "")</f>
        <v/>
      </c>
      <c r="M132" s="762"/>
      <c r="N132" s="763"/>
      <c r="O132" s="767"/>
      <c r="P132" s="765"/>
      <c r="Q132" s="767"/>
      <c r="R132" s="766" t="str">
        <f t="shared" si="25"/>
        <v/>
      </c>
      <c r="S132" s="754"/>
      <c r="T132" s="763"/>
      <c r="U132" s="754"/>
      <c r="V132" s="763"/>
      <c r="W132" s="763"/>
      <c r="X132" s="865" t="str">
        <f>VLOOKUP(CTR1_Billing!$E$21,Data!$C$6:$D$302,1,FALSE)</f>
        <v>EZZZZ</v>
      </c>
      <c r="Y132" s="205"/>
      <c r="Z132" s="205">
        <f t="shared" si="13"/>
        <v>0</v>
      </c>
      <c r="AA132" s="206" t="str">
        <f t="shared" si="14"/>
        <v/>
      </c>
      <c r="AB132" s="205">
        <f t="shared" si="15"/>
        <v>0</v>
      </c>
      <c r="AC132" s="208"/>
      <c r="AD132" s="208"/>
      <c r="AE132" s="208"/>
      <c r="AF132" s="208"/>
      <c r="AG132" s="209" t="str">
        <f>IFERROR(INDEX('Local Data Previous Year'!$F:$F, MATCH($D132, 'Local Data Previous Year'!$D:$D, 0)), "")</f>
        <v/>
      </c>
      <c r="AH132" s="209" t="str">
        <f>IFERROR(INDEX('Local Data Previous Year'!$G:$G, MATCH($D132, 'Local Data Previous Year'!$D:$D, 0)), "")</f>
        <v/>
      </c>
      <c r="AI132" s="209" t="str">
        <f>IFERROR(INDEX('Local Data Previous Year'!$H:$H, MATCH($D132, 'Local Data Previous Year'!$D:$D, 0)), "")</f>
        <v/>
      </c>
      <c r="AJ132" s="209" t="str">
        <f t="shared" si="16"/>
        <v/>
      </c>
      <c r="AK132" s="209" t="str">
        <f t="shared" si="17"/>
        <v/>
      </c>
      <c r="AL132" s="209" t="str">
        <f t="shared" si="18"/>
        <v/>
      </c>
      <c r="AM132" s="208" t="str">
        <f>IF($AN132="","",IFERROR(VLOOKUP(CONCATENATE(CTR1_Billing!$E$20,$AN132),'Local Data Previous Year'!$C$3:$D$50000,2,0),CTR1_Billing!$E$21&amp;"NEW"))</f>
        <v/>
      </c>
      <c r="AN132" s="209" t="str" cm="1">
        <f t="array" ref="AN132">IF(ISERROR(INDEX('Local Data Previous Year'!$E$3:$E$50000, SMALL(IF(CTR1_Billing!$E$21='Local Data Previous Year'!$A$3:$A$50000, ROW('Local Data Previous Year'!$A$3:$A$50000)-ROW('Local Data Previous Year'!$A$3)+1), ROW(100:100)))), "", INDEX('Local Data Previous Year'!$E$3:$E$50000, SMALL(IF(CTR1_Billing!$E$21='Local Data Previous Year'!$A$3:$A$50000, ROW('Local Data Previous Year'!$A$3:$A$50000)-ROW('Local Data Previous Year'!$A$3)+1), ROW(100:100))))</f>
        <v/>
      </c>
      <c r="AO132" s="209" t="str">
        <f t="shared" si="19"/>
        <v/>
      </c>
      <c r="AP132" s="208"/>
      <c r="AQ132" s="209" t="str">
        <f t="shared" si="20"/>
        <v/>
      </c>
      <c r="AR132" s="209" t="str">
        <f t="shared" si="21"/>
        <v/>
      </c>
      <c r="AS132" s="202" t="str">
        <f t="shared" si="22"/>
        <v/>
      </c>
      <c r="AT132" s="202" t="str">
        <f t="shared" si="23"/>
        <v/>
      </c>
      <c r="AU132" s="208"/>
      <c r="AV132" s="208"/>
      <c r="AW132" s="208"/>
      <c r="AX132" s="208"/>
      <c r="AY132" s="208"/>
      <c r="AZ132" s="208"/>
      <c r="BA132" s="208"/>
      <c r="BB132" s="208"/>
      <c r="BC132" s="208"/>
      <c r="BD132" s="208"/>
      <c r="BE132" s="208"/>
      <c r="BF132" s="208"/>
      <c r="BG132" s="28"/>
      <c r="BH132" s="28"/>
      <c r="BI132" s="28"/>
      <c r="BJ132" s="28"/>
    </row>
    <row r="133" spans="1:62" s="23" customFormat="1" ht="21" customHeight="1" thickBot="1" x14ac:dyDescent="0.25">
      <c r="A133" s="846" t="str">
        <f>IF($AN133="","",IFERROR(VLOOKUP(CONCATENATE(CTR1_Billing!$E$20,$AN133),'Local Data Previous Year'!$C$3:$D$20000,2,0),CTR1_Billing!$E$21&amp;"NEW"))</f>
        <v/>
      </c>
      <c r="B133" s="846" t="str">
        <f>IF($E133="","",IFERROR(VLOOKUP(CONCATENATE(CTR1_Billing!$E$20,CTR1_Local!$E133),'Local Data Previous Year'!$C$3:$D$20000,2,0),CTR1_Billing!$E$21&amp;"NEW"))</f>
        <v/>
      </c>
      <c r="C133" s="846">
        <v>101</v>
      </c>
      <c r="D133" s="755" t="str" cm="1">
        <f t="array" ref="D133">IF(ISERROR(INDEX('Local Data Previous Year'!$D$3:$D$20000,SMALL(IF(CTR1_Billing!$E$21='Local Data Previous Year'!$A$3:$A$20000,ROW('Local Data Previous Year'!$A$3:$A$20000)-ROW('Local Data Previous Year'!$A$3)+1),ROW(101:101)))),"",INDEX('Local Data Previous Year'!$D$3:$D$20000,SMALL(IF(CTR1_Billing!$E$21='Local Data Previous Year'!$A$3:$A$20000,ROW('Local Data Previous Year'!$A$3:$A$20000)-ROW('Local Data Previous Year'!$A$3)+1),ROW(101:101))))</f>
        <v/>
      </c>
      <c r="E133" s="755" t="str" cm="1">
        <f t="array" ref="E133">IF(ISERROR(INDEX('Local Data Previous Year'!$E$3:$E$20000,SMALL(IF(CTR1_Billing!$E$21='Local Data Previous Year'!$A$3:$A$20000,ROW('Local Data Previous Year'!$A$3:$A$20000)-ROW('Local Data Previous Year'!$A$3)+1),ROW(101:101)))),"",INDEX('Local Data Previous Year'!$E$3:$E$20000,SMALL(IF(CTR1_Billing!$E$21='Local Data Previous Year'!$A$3:$A$20000,ROW('Local Data Previous Year'!$A$3:$A$20000)-ROW('Local Data Previous Year'!$A$3)+1),ROW(101:101))))</f>
        <v/>
      </c>
      <c r="F133" s="756" t="str">
        <f>IF($D133="","",IF(ISNA(MATCH($D133,'Local Data Previous Year'!$D$3:$D$20000,0)),"New",IFERROR(VLOOKUP($B133,'Local Data Previous Year'!$D$3:$I$20000,6,0),"")))</f>
        <v/>
      </c>
      <c r="G133" s="757">
        <f t="shared" si="24"/>
        <v>0</v>
      </c>
      <c r="H133" s="758" t="str">
        <f>IFERROR(INDEX('Local Data Previous Year'!$F:$F, MATCH($D133, 'Local Data Previous Year'!$D:$D, 0)), "")</f>
        <v/>
      </c>
      <c r="I133" s="759">
        <f>IF(B133=CTR1_Billing!$E$21&amp;"NEW",1,0)</f>
        <v>0</v>
      </c>
      <c r="J133" s="760" t="str">
        <f>IFERROR(INDEX('Local Data Previous Year'!$G:$G, MATCH($D133, 'Local Data Previous Year'!$D:$D, 0)), "")</f>
        <v/>
      </c>
      <c r="K133" s="762"/>
      <c r="L133" s="760" t="str">
        <f>IFERROR(INDEX('Local Data Previous Year'!$H:$H, MATCH($D133, 'Local Data Previous Year'!$D:$D, 0)), "")</f>
        <v/>
      </c>
      <c r="M133" s="762"/>
      <c r="N133" s="763"/>
      <c r="O133" s="767"/>
      <c r="P133" s="765"/>
      <c r="Q133" s="767"/>
      <c r="R133" s="766" t="str">
        <f t="shared" si="25"/>
        <v/>
      </c>
      <c r="S133" s="754"/>
      <c r="T133" s="763"/>
      <c r="U133" s="754"/>
      <c r="V133" s="763"/>
      <c r="W133" s="763"/>
      <c r="X133" s="865" t="str">
        <f>VLOOKUP(CTR1_Billing!$E$21,Data!$C$6:$D$302,1,FALSE)</f>
        <v>EZZZZ</v>
      </c>
      <c r="Y133" s="205"/>
      <c r="Z133" s="205">
        <f t="shared" si="13"/>
        <v>0</v>
      </c>
      <c r="AA133" s="206" t="str">
        <f t="shared" si="14"/>
        <v/>
      </c>
      <c r="AB133" s="205">
        <f t="shared" si="15"/>
        <v>0</v>
      </c>
      <c r="AC133" s="208"/>
      <c r="AD133" s="208"/>
      <c r="AE133" s="208"/>
      <c r="AF133" s="208"/>
      <c r="AG133" s="209" t="str">
        <f>IFERROR(INDEX('Local Data Previous Year'!$F:$F, MATCH($D133, 'Local Data Previous Year'!$D:$D, 0)), "")</f>
        <v/>
      </c>
      <c r="AH133" s="209" t="str">
        <f>IFERROR(INDEX('Local Data Previous Year'!$G:$G, MATCH($D133, 'Local Data Previous Year'!$D:$D, 0)), "")</f>
        <v/>
      </c>
      <c r="AI133" s="209" t="str">
        <f>IFERROR(INDEX('Local Data Previous Year'!$H:$H, MATCH($D133, 'Local Data Previous Year'!$D:$D, 0)), "")</f>
        <v/>
      </c>
      <c r="AJ133" s="209" t="str">
        <f t="shared" si="16"/>
        <v/>
      </c>
      <c r="AK133" s="209" t="str">
        <f t="shared" si="17"/>
        <v/>
      </c>
      <c r="AL133" s="209" t="str">
        <f t="shared" si="18"/>
        <v/>
      </c>
      <c r="AM133" s="208" t="str">
        <f>IF($AN133="","",IFERROR(VLOOKUP(CONCATENATE(CTR1_Billing!$E$20,$AN133),'Local Data Previous Year'!$C$3:$D$50000,2,0),CTR1_Billing!$E$21&amp;"NEW"))</f>
        <v/>
      </c>
      <c r="AN133" s="209" t="str" cm="1">
        <f t="array" ref="AN133">IF(ISERROR(INDEX('Local Data Previous Year'!$E$3:$E$50000, SMALL(IF(CTR1_Billing!$E$21='Local Data Previous Year'!$A$3:$A$50000, ROW('Local Data Previous Year'!$A$3:$A$50000)-ROW('Local Data Previous Year'!$A$3)+1), ROW(101:101)))), "", INDEX('Local Data Previous Year'!$E$3:$E$50000, SMALL(IF(CTR1_Billing!$E$21='Local Data Previous Year'!$A$3:$A$50000, ROW('Local Data Previous Year'!$A$3:$A$50000)-ROW('Local Data Previous Year'!$A$3)+1), ROW(101:101))))</f>
        <v/>
      </c>
      <c r="AO133" s="209" t="str">
        <f t="shared" si="19"/>
        <v/>
      </c>
      <c r="AP133" s="208"/>
      <c r="AQ133" s="209" t="str">
        <f t="shared" si="20"/>
        <v/>
      </c>
      <c r="AR133" s="209" t="str">
        <f t="shared" si="21"/>
        <v/>
      </c>
      <c r="AS133" s="202" t="str">
        <f t="shared" si="22"/>
        <v/>
      </c>
      <c r="AT133" s="202" t="str">
        <f t="shared" si="23"/>
        <v/>
      </c>
      <c r="AU133" s="208"/>
      <c r="AV133" s="208"/>
      <c r="AW133" s="208"/>
      <c r="AX133" s="208"/>
      <c r="AY133" s="208"/>
      <c r="AZ133" s="208"/>
      <c r="BA133" s="208"/>
      <c r="BB133" s="208"/>
      <c r="BC133" s="208"/>
      <c r="BD133" s="208"/>
      <c r="BE133" s="208"/>
      <c r="BF133" s="208"/>
      <c r="BG133" s="28"/>
      <c r="BH133" s="28"/>
      <c r="BI133" s="28"/>
      <c r="BJ133" s="28"/>
    </row>
    <row r="134" spans="1:62" s="23" customFormat="1" ht="21" customHeight="1" thickBot="1" x14ac:dyDescent="0.25">
      <c r="A134" s="846" t="str">
        <f>IF($AN134="","",IFERROR(VLOOKUP(CONCATENATE(CTR1_Billing!$E$20,$AN134),'Local Data Previous Year'!$C$3:$D$20000,2,0),CTR1_Billing!$E$21&amp;"NEW"))</f>
        <v/>
      </c>
      <c r="B134" s="846" t="str">
        <f>IF($E134="","",IFERROR(VLOOKUP(CONCATENATE(CTR1_Billing!$E$20,CTR1_Local!$E134),'Local Data Previous Year'!$C$3:$D$20000,2,0),CTR1_Billing!$E$21&amp;"NEW"))</f>
        <v/>
      </c>
      <c r="C134" s="846">
        <v>102</v>
      </c>
      <c r="D134" s="755" t="str" cm="1">
        <f t="array" ref="D134">IF(ISERROR(INDEX('Local Data Previous Year'!$D$3:$D$20000,SMALL(IF(CTR1_Billing!$E$21='Local Data Previous Year'!$A$3:$A$20000,ROW('Local Data Previous Year'!$A$3:$A$20000)-ROW('Local Data Previous Year'!$A$3)+1),ROW(102:102)))),"",INDEX('Local Data Previous Year'!$D$3:$D$20000,SMALL(IF(CTR1_Billing!$E$21='Local Data Previous Year'!$A$3:$A$20000,ROW('Local Data Previous Year'!$A$3:$A$20000)-ROW('Local Data Previous Year'!$A$3)+1),ROW(102:102))))</f>
        <v/>
      </c>
      <c r="E134" s="755" t="str" cm="1">
        <f t="array" ref="E134">IF(ISERROR(INDEX('Local Data Previous Year'!$E$3:$E$20000,SMALL(IF(CTR1_Billing!$E$21='Local Data Previous Year'!$A$3:$A$20000,ROW('Local Data Previous Year'!$A$3:$A$20000)-ROW('Local Data Previous Year'!$A$3)+1),ROW(102:102)))),"",INDEX('Local Data Previous Year'!$E$3:$E$20000,SMALL(IF(CTR1_Billing!$E$21='Local Data Previous Year'!$A$3:$A$20000,ROW('Local Data Previous Year'!$A$3:$A$20000)-ROW('Local Data Previous Year'!$A$3)+1),ROW(102:102))))</f>
        <v/>
      </c>
      <c r="F134" s="756" t="str">
        <f>IF($D134="","",IF(ISNA(MATCH($D134,'Local Data Previous Year'!$D$3:$D$20000,0)),"New",IFERROR(VLOOKUP($B134,'Local Data Previous Year'!$D$3:$I$20000,6,0),"")))</f>
        <v/>
      </c>
      <c r="G134" s="757">
        <f t="shared" si="24"/>
        <v>0</v>
      </c>
      <c r="H134" s="758" t="str">
        <f>IFERROR(INDEX('Local Data Previous Year'!$F:$F, MATCH($D134, 'Local Data Previous Year'!$D:$D, 0)), "")</f>
        <v/>
      </c>
      <c r="I134" s="759">
        <f>IF(B134=CTR1_Billing!$E$21&amp;"NEW",1,0)</f>
        <v>0</v>
      </c>
      <c r="J134" s="760" t="str">
        <f>IFERROR(INDEX('Local Data Previous Year'!$G:$G, MATCH($D134, 'Local Data Previous Year'!$D:$D, 0)), "")</f>
        <v/>
      </c>
      <c r="K134" s="762"/>
      <c r="L134" s="760" t="str">
        <f>IFERROR(INDEX('Local Data Previous Year'!$H:$H, MATCH($D134, 'Local Data Previous Year'!$D:$D, 0)), "")</f>
        <v/>
      </c>
      <c r="M134" s="762"/>
      <c r="N134" s="763"/>
      <c r="O134" s="767"/>
      <c r="P134" s="765"/>
      <c r="Q134" s="767"/>
      <c r="R134" s="766" t="str">
        <f t="shared" si="25"/>
        <v/>
      </c>
      <c r="S134" s="754"/>
      <c r="T134" s="763"/>
      <c r="U134" s="754"/>
      <c r="V134" s="763"/>
      <c r="W134" s="763"/>
      <c r="X134" s="865" t="str">
        <f>VLOOKUP(CTR1_Billing!$E$21,Data!$C$6:$D$302,1,FALSE)</f>
        <v>EZZZZ</v>
      </c>
      <c r="Y134" s="205"/>
      <c r="Z134" s="205">
        <f t="shared" si="13"/>
        <v>0</v>
      </c>
      <c r="AA134" s="206" t="str">
        <f t="shared" si="14"/>
        <v/>
      </c>
      <c r="AB134" s="205">
        <f t="shared" si="15"/>
        <v>0</v>
      </c>
      <c r="AC134" s="208"/>
      <c r="AD134" s="208"/>
      <c r="AE134" s="208"/>
      <c r="AF134" s="208"/>
      <c r="AG134" s="209" t="str">
        <f>IFERROR(INDEX('Local Data Previous Year'!$F:$F, MATCH($D134, 'Local Data Previous Year'!$D:$D, 0)), "")</f>
        <v/>
      </c>
      <c r="AH134" s="209" t="str">
        <f>IFERROR(INDEX('Local Data Previous Year'!$G:$G, MATCH($D134, 'Local Data Previous Year'!$D:$D, 0)), "")</f>
        <v/>
      </c>
      <c r="AI134" s="209" t="str">
        <f>IFERROR(INDEX('Local Data Previous Year'!$H:$H, MATCH($D134, 'Local Data Previous Year'!$D:$D, 0)), "")</f>
        <v/>
      </c>
      <c r="AJ134" s="209" t="str">
        <f t="shared" si="16"/>
        <v/>
      </c>
      <c r="AK134" s="209" t="str">
        <f t="shared" si="17"/>
        <v/>
      </c>
      <c r="AL134" s="209" t="str">
        <f t="shared" si="18"/>
        <v/>
      </c>
      <c r="AM134" s="208" t="str">
        <f>IF($AN134="","",IFERROR(VLOOKUP(CONCATENATE(CTR1_Billing!$E$20,$AN134),'Local Data Previous Year'!$C$3:$D$50000,2,0),CTR1_Billing!$E$21&amp;"NEW"))</f>
        <v/>
      </c>
      <c r="AN134" s="209" t="str" cm="1">
        <f t="array" ref="AN134">IF(ISERROR(INDEX('Local Data Previous Year'!$E$3:$E$50000, SMALL(IF(CTR1_Billing!$E$21='Local Data Previous Year'!$A$3:$A$50000, ROW('Local Data Previous Year'!$A$3:$A$50000)-ROW('Local Data Previous Year'!$A$3)+1), ROW(102:102)))), "", INDEX('Local Data Previous Year'!$E$3:$E$50000, SMALL(IF(CTR1_Billing!$E$21='Local Data Previous Year'!$A$3:$A$50000, ROW('Local Data Previous Year'!$A$3:$A$50000)-ROW('Local Data Previous Year'!$A$3)+1), ROW(102:102))))</f>
        <v/>
      </c>
      <c r="AO134" s="209" t="str">
        <f t="shared" si="19"/>
        <v/>
      </c>
      <c r="AP134" s="208"/>
      <c r="AQ134" s="209" t="str">
        <f t="shared" si="20"/>
        <v/>
      </c>
      <c r="AR134" s="209" t="str">
        <f t="shared" si="21"/>
        <v/>
      </c>
      <c r="AS134" s="202" t="str">
        <f t="shared" si="22"/>
        <v/>
      </c>
      <c r="AT134" s="202" t="str">
        <f t="shared" si="23"/>
        <v/>
      </c>
      <c r="AU134" s="208"/>
      <c r="AV134" s="208"/>
      <c r="AW134" s="208"/>
      <c r="AX134" s="208"/>
      <c r="AY134" s="208"/>
      <c r="AZ134" s="208"/>
      <c r="BA134" s="208"/>
      <c r="BB134" s="208"/>
      <c r="BC134" s="208"/>
      <c r="BD134" s="208"/>
      <c r="BE134" s="208"/>
      <c r="BF134" s="208"/>
      <c r="BG134" s="28"/>
      <c r="BH134" s="28"/>
      <c r="BI134" s="28"/>
      <c r="BJ134" s="28"/>
    </row>
    <row r="135" spans="1:62" s="23" customFormat="1" ht="21" customHeight="1" thickBot="1" x14ac:dyDescent="0.25">
      <c r="A135" s="846" t="str">
        <f>IF($AN135="","",IFERROR(VLOOKUP(CONCATENATE(CTR1_Billing!$E$20,$AN135),'Local Data Previous Year'!$C$3:$D$20000,2,0),CTR1_Billing!$E$21&amp;"NEW"))</f>
        <v/>
      </c>
      <c r="B135" s="846" t="str">
        <f>IF($E135="","",IFERROR(VLOOKUP(CONCATENATE(CTR1_Billing!$E$20,CTR1_Local!$E135),'Local Data Previous Year'!$C$3:$D$20000,2,0),CTR1_Billing!$E$21&amp;"NEW"))</f>
        <v/>
      </c>
      <c r="C135" s="846">
        <v>103</v>
      </c>
      <c r="D135" s="755" t="str" cm="1">
        <f t="array" ref="D135">IF(ISERROR(INDEX('Local Data Previous Year'!$D$3:$D$20000,SMALL(IF(CTR1_Billing!$E$21='Local Data Previous Year'!$A$3:$A$20000,ROW('Local Data Previous Year'!$A$3:$A$20000)-ROW('Local Data Previous Year'!$A$3)+1),ROW(103:103)))),"",INDEX('Local Data Previous Year'!$D$3:$D$20000,SMALL(IF(CTR1_Billing!$E$21='Local Data Previous Year'!$A$3:$A$20000,ROW('Local Data Previous Year'!$A$3:$A$20000)-ROW('Local Data Previous Year'!$A$3)+1),ROW(103:103))))</f>
        <v/>
      </c>
      <c r="E135" s="755" t="str" cm="1">
        <f t="array" ref="E135">IF(ISERROR(INDEX('Local Data Previous Year'!$E$3:$E$20000,SMALL(IF(CTR1_Billing!$E$21='Local Data Previous Year'!$A$3:$A$20000,ROW('Local Data Previous Year'!$A$3:$A$20000)-ROW('Local Data Previous Year'!$A$3)+1),ROW(103:103)))),"",INDEX('Local Data Previous Year'!$E$3:$E$20000,SMALL(IF(CTR1_Billing!$E$21='Local Data Previous Year'!$A$3:$A$20000,ROW('Local Data Previous Year'!$A$3:$A$20000)-ROW('Local Data Previous Year'!$A$3)+1),ROW(103:103))))</f>
        <v/>
      </c>
      <c r="F135" s="756" t="str">
        <f>IF($D135="","",IF(ISNA(MATCH($D135,'Local Data Previous Year'!$D$3:$D$20000,0)),"New",IFERROR(VLOOKUP($B135,'Local Data Previous Year'!$D$3:$I$20000,6,0),"")))</f>
        <v/>
      </c>
      <c r="G135" s="757">
        <f t="shared" si="24"/>
        <v>0</v>
      </c>
      <c r="H135" s="758" t="str">
        <f>IFERROR(INDEX('Local Data Previous Year'!$F:$F, MATCH($D135, 'Local Data Previous Year'!$D:$D, 0)), "")</f>
        <v/>
      </c>
      <c r="I135" s="759">
        <f>IF(B135=CTR1_Billing!$E$21&amp;"NEW",1,0)</f>
        <v>0</v>
      </c>
      <c r="J135" s="760" t="str">
        <f>IFERROR(INDEX('Local Data Previous Year'!$G:$G, MATCH($D135, 'Local Data Previous Year'!$D:$D, 0)), "")</f>
        <v/>
      </c>
      <c r="K135" s="762"/>
      <c r="L135" s="760" t="str">
        <f>IFERROR(INDEX('Local Data Previous Year'!$H:$H, MATCH($D135, 'Local Data Previous Year'!$D:$D, 0)), "")</f>
        <v/>
      </c>
      <c r="M135" s="762"/>
      <c r="N135" s="763"/>
      <c r="O135" s="767"/>
      <c r="P135" s="765"/>
      <c r="Q135" s="767"/>
      <c r="R135" s="766" t="str">
        <f t="shared" si="25"/>
        <v/>
      </c>
      <c r="S135" s="754"/>
      <c r="T135" s="763"/>
      <c r="U135" s="754"/>
      <c r="V135" s="763"/>
      <c r="W135" s="763"/>
      <c r="X135" s="865" t="str">
        <f>VLOOKUP(CTR1_Billing!$E$21,Data!$C$6:$D$302,1,FALSE)</f>
        <v>EZZZZ</v>
      </c>
      <c r="Y135" s="205"/>
      <c r="Z135" s="205">
        <f t="shared" si="13"/>
        <v>0</v>
      </c>
      <c r="AA135" s="206" t="str">
        <f t="shared" si="14"/>
        <v/>
      </c>
      <c r="AB135" s="205">
        <f t="shared" si="15"/>
        <v>0</v>
      </c>
      <c r="AC135" s="208"/>
      <c r="AD135" s="208"/>
      <c r="AE135" s="208"/>
      <c r="AF135" s="208"/>
      <c r="AG135" s="209" t="str">
        <f>IFERROR(INDEX('Local Data Previous Year'!$F:$F, MATCH($D135, 'Local Data Previous Year'!$D:$D, 0)), "")</f>
        <v/>
      </c>
      <c r="AH135" s="209" t="str">
        <f>IFERROR(INDEX('Local Data Previous Year'!$G:$G, MATCH($D135, 'Local Data Previous Year'!$D:$D, 0)), "")</f>
        <v/>
      </c>
      <c r="AI135" s="209" t="str">
        <f>IFERROR(INDEX('Local Data Previous Year'!$H:$H, MATCH($D135, 'Local Data Previous Year'!$D:$D, 0)), "")</f>
        <v/>
      </c>
      <c r="AJ135" s="209" t="str">
        <f t="shared" si="16"/>
        <v/>
      </c>
      <c r="AK135" s="209" t="str">
        <f t="shared" si="17"/>
        <v/>
      </c>
      <c r="AL135" s="209" t="str">
        <f t="shared" si="18"/>
        <v/>
      </c>
      <c r="AM135" s="208" t="str">
        <f>IF($AN135="","",IFERROR(VLOOKUP(CONCATENATE(CTR1_Billing!$E$20,$AN135),'Local Data Previous Year'!$C$3:$D$50000,2,0),CTR1_Billing!$E$21&amp;"NEW"))</f>
        <v/>
      </c>
      <c r="AN135" s="209" t="str" cm="1">
        <f t="array" ref="AN135">IF(ISERROR(INDEX('Local Data Previous Year'!$E$3:$E$50000, SMALL(IF(CTR1_Billing!$E$21='Local Data Previous Year'!$A$3:$A$50000, ROW('Local Data Previous Year'!$A$3:$A$50000)-ROW('Local Data Previous Year'!$A$3)+1), ROW(103:103)))), "", INDEX('Local Data Previous Year'!$E$3:$E$50000, SMALL(IF(CTR1_Billing!$E$21='Local Data Previous Year'!$A$3:$A$50000, ROW('Local Data Previous Year'!$A$3:$A$50000)-ROW('Local Data Previous Year'!$A$3)+1), ROW(103:103))))</f>
        <v/>
      </c>
      <c r="AO135" s="209" t="str">
        <f t="shared" si="19"/>
        <v/>
      </c>
      <c r="AP135" s="208"/>
      <c r="AQ135" s="209" t="str">
        <f t="shared" si="20"/>
        <v/>
      </c>
      <c r="AR135" s="209" t="str">
        <f t="shared" si="21"/>
        <v/>
      </c>
      <c r="AS135" s="202" t="str">
        <f t="shared" si="22"/>
        <v/>
      </c>
      <c r="AT135" s="202" t="str">
        <f t="shared" si="23"/>
        <v/>
      </c>
      <c r="AU135" s="208"/>
      <c r="AV135" s="208"/>
      <c r="AW135" s="208"/>
      <c r="AX135" s="208"/>
      <c r="AY135" s="208"/>
      <c r="AZ135" s="208"/>
      <c r="BA135" s="208"/>
      <c r="BB135" s="208"/>
      <c r="BC135" s="208"/>
      <c r="BD135" s="208"/>
      <c r="BE135" s="208"/>
      <c r="BF135" s="208"/>
      <c r="BG135" s="28"/>
      <c r="BH135" s="28"/>
      <c r="BI135" s="28"/>
      <c r="BJ135" s="28"/>
    </row>
    <row r="136" spans="1:62" s="23" customFormat="1" ht="21" customHeight="1" thickBot="1" x14ac:dyDescent="0.25">
      <c r="A136" s="846" t="str">
        <f>IF($AN136="","",IFERROR(VLOOKUP(CONCATENATE(CTR1_Billing!$E$20,$AN136),'Local Data Previous Year'!$C$3:$D$20000,2,0),CTR1_Billing!$E$21&amp;"NEW"))</f>
        <v/>
      </c>
      <c r="B136" s="846" t="str">
        <f>IF($E136="","",IFERROR(VLOOKUP(CONCATENATE(CTR1_Billing!$E$20,CTR1_Local!$E136),'Local Data Previous Year'!$C$3:$D$20000,2,0),CTR1_Billing!$E$21&amp;"NEW"))</f>
        <v/>
      </c>
      <c r="C136" s="846">
        <v>104</v>
      </c>
      <c r="D136" s="755" t="str" cm="1">
        <f t="array" ref="D136">IF(ISERROR(INDEX('Local Data Previous Year'!$D$3:$D$20000,SMALL(IF(CTR1_Billing!$E$21='Local Data Previous Year'!$A$3:$A$20000,ROW('Local Data Previous Year'!$A$3:$A$20000)-ROW('Local Data Previous Year'!$A$3)+1),ROW(104:104)))),"",INDEX('Local Data Previous Year'!$D$3:$D$20000,SMALL(IF(CTR1_Billing!$E$21='Local Data Previous Year'!$A$3:$A$20000,ROW('Local Data Previous Year'!$A$3:$A$20000)-ROW('Local Data Previous Year'!$A$3)+1),ROW(104:104))))</f>
        <v/>
      </c>
      <c r="E136" s="755" t="str" cm="1">
        <f t="array" ref="E136">IF(ISERROR(INDEX('Local Data Previous Year'!$E$3:$E$20000,SMALL(IF(CTR1_Billing!$E$21='Local Data Previous Year'!$A$3:$A$20000,ROW('Local Data Previous Year'!$A$3:$A$20000)-ROW('Local Data Previous Year'!$A$3)+1),ROW(104:104)))),"",INDEX('Local Data Previous Year'!$E$3:$E$20000,SMALL(IF(CTR1_Billing!$E$21='Local Data Previous Year'!$A$3:$A$20000,ROW('Local Data Previous Year'!$A$3:$A$20000)-ROW('Local Data Previous Year'!$A$3)+1),ROW(104:104))))</f>
        <v/>
      </c>
      <c r="F136" s="756" t="str">
        <f>IF($D136="","",IF(ISNA(MATCH($D136,'Local Data Previous Year'!$D$3:$D$20000,0)),"New",IFERROR(VLOOKUP($B136,'Local Data Previous Year'!$D$3:$I$20000,6,0),"")))</f>
        <v/>
      </c>
      <c r="G136" s="757">
        <f t="shared" si="24"/>
        <v>0</v>
      </c>
      <c r="H136" s="758" t="str">
        <f>IFERROR(INDEX('Local Data Previous Year'!$F:$F, MATCH($D136, 'Local Data Previous Year'!$D:$D, 0)), "")</f>
        <v/>
      </c>
      <c r="I136" s="759">
        <f>IF(B136=CTR1_Billing!$E$21&amp;"NEW",1,0)</f>
        <v>0</v>
      </c>
      <c r="J136" s="760" t="str">
        <f>IFERROR(INDEX('Local Data Previous Year'!$G:$G, MATCH($D136, 'Local Data Previous Year'!$D:$D, 0)), "")</f>
        <v/>
      </c>
      <c r="K136" s="762"/>
      <c r="L136" s="760" t="str">
        <f>IFERROR(INDEX('Local Data Previous Year'!$H:$H, MATCH($D136, 'Local Data Previous Year'!$D:$D, 0)), "")</f>
        <v/>
      </c>
      <c r="M136" s="762"/>
      <c r="N136" s="763"/>
      <c r="O136" s="767"/>
      <c r="P136" s="765"/>
      <c r="Q136" s="767"/>
      <c r="R136" s="766" t="str">
        <f t="shared" si="25"/>
        <v/>
      </c>
      <c r="S136" s="754"/>
      <c r="T136" s="763"/>
      <c r="U136" s="754"/>
      <c r="V136" s="763"/>
      <c r="W136" s="763"/>
      <c r="X136" s="865" t="str">
        <f>VLOOKUP(CTR1_Billing!$E$21,Data!$C$6:$D$302,1,FALSE)</f>
        <v>EZZZZ</v>
      </c>
      <c r="Y136" s="205"/>
      <c r="Z136" s="205">
        <f t="shared" si="13"/>
        <v>0</v>
      </c>
      <c r="AA136" s="206" t="str">
        <f t="shared" si="14"/>
        <v/>
      </c>
      <c r="AB136" s="205">
        <f t="shared" si="15"/>
        <v>0</v>
      </c>
      <c r="AC136" s="208"/>
      <c r="AD136" s="208"/>
      <c r="AE136" s="208"/>
      <c r="AF136" s="208"/>
      <c r="AG136" s="209" t="str">
        <f>IFERROR(INDEX('Local Data Previous Year'!$F:$F, MATCH($D136, 'Local Data Previous Year'!$D:$D, 0)), "")</f>
        <v/>
      </c>
      <c r="AH136" s="209" t="str">
        <f>IFERROR(INDEX('Local Data Previous Year'!$G:$G, MATCH($D136, 'Local Data Previous Year'!$D:$D, 0)), "")</f>
        <v/>
      </c>
      <c r="AI136" s="209" t="str">
        <f>IFERROR(INDEX('Local Data Previous Year'!$H:$H, MATCH($D136, 'Local Data Previous Year'!$D:$D, 0)), "")</f>
        <v/>
      </c>
      <c r="AJ136" s="209" t="str">
        <f t="shared" si="16"/>
        <v/>
      </c>
      <c r="AK136" s="209" t="str">
        <f t="shared" si="17"/>
        <v/>
      </c>
      <c r="AL136" s="209" t="str">
        <f t="shared" si="18"/>
        <v/>
      </c>
      <c r="AM136" s="208" t="str">
        <f>IF($AN136="","",IFERROR(VLOOKUP(CONCATENATE(CTR1_Billing!$E$20,$AN136),'Local Data Previous Year'!$C$3:$D$50000,2,0),CTR1_Billing!$E$21&amp;"NEW"))</f>
        <v/>
      </c>
      <c r="AN136" s="209" t="str" cm="1">
        <f t="array" ref="AN136">IF(ISERROR(INDEX('Local Data Previous Year'!$E$3:$E$50000, SMALL(IF(CTR1_Billing!$E$21='Local Data Previous Year'!$A$3:$A$50000, ROW('Local Data Previous Year'!$A$3:$A$50000)-ROW('Local Data Previous Year'!$A$3)+1), ROW(104:104)))), "", INDEX('Local Data Previous Year'!$E$3:$E$50000, SMALL(IF(CTR1_Billing!$E$21='Local Data Previous Year'!$A$3:$A$50000, ROW('Local Data Previous Year'!$A$3:$A$50000)-ROW('Local Data Previous Year'!$A$3)+1), ROW(104:104))))</f>
        <v/>
      </c>
      <c r="AO136" s="209" t="str">
        <f t="shared" si="19"/>
        <v/>
      </c>
      <c r="AP136" s="208"/>
      <c r="AQ136" s="209" t="str">
        <f t="shared" si="20"/>
        <v/>
      </c>
      <c r="AR136" s="209" t="str">
        <f t="shared" si="21"/>
        <v/>
      </c>
      <c r="AS136" s="202" t="str">
        <f t="shared" si="22"/>
        <v/>
      </c>
      <c r="AT136" s="202" t="str">
        <f t="shared" si="23"/>
        <v/>
      </c>
      <c r="AU136" s="208"/>
      <c r="AV136" s="208"/>
      <c r="AW136" s="208"/>
      <c r="AX136" s="208"/>
      <c r="AY136" s="208"/>
      <c r="AZ136" s="208"/>
      <c r="BA136" s="208"/>
      <c r="BB136" s="208"/>
      <c r="BC136" s="208"/>
      <c r="BD136" s="208"/>
      <c r="BE136" s="208"/>
      <c r="BF136" s="208"/>
      <c r="BG136" s="28"/>
      <c r="BH136" s="28"/>
      <c r="BI136" s="28"/>
      <c r="BJ136" s="28"/>
    </row>
    <row r="137" spans="1:62" s="23" customFormat="1" ht="21" customHeight="1" thickBot="1" x14ac:dyDescent="0.25">
      <c r="A137" s="846" t="str">
        <f>IF($AN137="","",IFERROR(VLOOKUP(CONCATENATE(CTR1_Billing!$E$20,$AN137),'Local Data Previous Year'!$C$3:$D$20000,2,0),CTR1_Billing!$E$21&amp;"NEW"))</f>
        <v/>
      </c>
      <c r="B137" s="846" t="str">
        <f>IF($E137="","",IFERROR(VLOOKUP(CONCATENATE(CTR1_Billing!$E$20,CTR1_Local!$E137),'Local Data Previous Year'!$C$3:$D$20000,2,0),CTR1_Billing!$E$21&amp;"NEW"))</f>
        <v/>
      </c>
      <c r="C137" s="846">
        <v>105</v>
      </c>
      <c r="D137" s="755" t="str" cm="1">
        <f t="array" ref="D137">IF(ISERROR(INDEX('Local Data Previous Year'!$D$3:$D$20000,SMALL(IF(CTR1_Billing!$E$21='Local Data Previous Year'!$A$3:$A$20000,ROW('Local Data Previous Year'!$A$3:$A$20000)-ROW('Local Data Previous Year'!$A$3)+1),ROW(105:105)))),"",INDEX('Local Data Previous Year'!$D$3:$D$20000,SMALL(IF(CTR1_Billing!$E$21='Local Data Previous Year'!$A$3:$A$20000,ROW('Local Data Previous Year'!$A$3:$A$20000)-ROW('Local Data Previous Year'!$A$3)+1),ROW(105:105))))</f>
        <v/>
      </c>
      <c r="E137" s="755" t="str" cm="1">
        <f t="array" ref="E137">IF(ISERROR(INDEX('Local Data Previous Year'!$E$3:$E$20000,SMALL(IF(CTR1_Billing!$E$21='Local Data Previous Year'!$A$3:$A$20000,ROW('Local Data Previous Year'!$A$3:$A$20000)-ROW('Local Data Previous Year'!$A$3)+1),ROW(105:105)))),"",INDEX('Local Data Previous Year'!$E$3:$E$20000,SMALL(IF(CTR1_Billing!$E$21='Local Data Previous Year'!$A$3:$A$20000,ROW('Local Data Previous Year'!$A$3:$A$20000)-ROW('Local Data Previous Year'!$A$3)+1),ROW(105:105))))</f>
        <v/>
      </c>
      <c r="F137" s="756" t="str">
        <f>IF($D137="","",IF(ISNA(MATCH($D137,'Local Data Previous Year'!$D$3:$D$20000,0)),"New",IFERROR(VLOOKUP($B137,'Local Data Previous Year'!$D$3:$I$20000,6,0),"")))</f>
        <v/>
      </c>
      <c r="G137" s="757">
        <f t="shared" si="24"/>
        <v>0</v>
      </c>
      <c r="H137" s="758" t="str">
        <f>IFERROR(INDEX('Local Data Previous Year'!$F:$F, MATCH($D137, 'Local Data Previous Year'!$D:$D, 0)), "")</f>
        <v/>
      </c>
      <c r="I137" s="759">
        <f>IF(B137=CTR1_Billing!$E$21&amp;"NEW",1,0)</f>
        <v>0</v>
      </c>
      <c r="J137" s="760" t="str">
        <f>IFERROR(INDEX('Local Data Previous Year'!$G:$G, MATCH($D137, 'Local Data Previous Year'!$D:$D, 0)), "")</f>
        <v/>
      </c>
      <c r="K137" s="762"/>
      <c r="L137" s="760" t="str">
        <f>IFERROR(INDEX('Local Data Previous Year'!$H:$H, MATCH($D137, 'Local Data Previous Year'!$D:$D, 0)), "")</f>
        <v/>
      </c>
      <c r="M137" s="762"/>
      <c r="N137" s="763"/>
      <c r="O137" s="767"/>
      <c r="P137" s="765"/>
      <c r="Q137" s="767"/>
      <c r="R137" s="766" t="str">
        <f t="shared" si="25"/>
        <v/>
      </c>
      <c r="S137" s="754"/>
      <c r="T137" s="763"/>
      <c r="U137" s="754"/>
      <c r="V137" s="763"/>
      <c r="W137" s="763"/>
      <c r="X137" s="865" t="str">
        <f>VLOOKUP(CTR1_Billing!$E$21,Data!$C$6:$D$302,1,FALSE)</f>
        <v>EZZZZ</v>
      </c>
      <c r="Y137" s="205"/>
      <c r="Z137" s="205">
        <f t="shared" si="13"/>
        <v>0</v>
      </c>
      <c r="AA137" s="206" t="str">
        <f t="shared" si="14"/>
        <v/>
      </c>
      <c r="AB137" s="205">
        <f t="shared" si="15"/>
        <v>0</v>
      </c>
      <c r="AC137" s="208"/>
      <c r="AD137" s="208"/>
      <c r="AE137" s="208"/>
      <c r="AF137" s="208"/>
      <c r="AG137" s="209" t="str">
        <f>IFERROR(INDEX('Local Data Previous Year'!$F:$F, MATCH($D137, 'Local Data Previous Year'!$D:$D, 0)), "")</f>
        <v/>
      </c>
      <c r="AH137" s="209" t="str">
        <f>IFERROR(INDEX('Local Data Previous Year'!$G:$G, MATCH($D137, 'Local Data Previous Year'!$D:$D, 0)), "")</f>
        <v/>
      </c>
      <c r="AI137" s="209" t="str">
        <f>IFERROR(INDEX('Local Data Previous Year'!$H:$H, MATCH($D137, 'Local Data Previous Year'!$D:$D, 0)), "")</f>
        <v/>
      </c>
      <c r="AJ137" s="209" t="str">
        <f t="shared" si="16"/>
        <v/>
      </c>
      <c r="AK137" s="209" t="str">
        <f t="shared" si="17"/>
        <v/>
      </c>
      <c r="AL137" s="209" t="str">
        <f t="shared" si="18"/>
        <v/>
      </c>
      <c r="AM137" s="208" t="str">
        <f>IF($AN137="","",IFERROR(VLOOKUP(CONCATENATE(CTR1_Billing!$E$20,$AN137),'Local Data Previous Year'!$C$3:$D$50000,2,0),CTR1_Billing!$E$21&amp;"NEW"))</f>
        <v/>
      </c>
      <c r="AN137" s="209" t="str" cm="1">
        <f t="array" ref="AN137">IF(ISERROR(INDEX('Local Data Previous Year'!$E$3:$E$50000, SMALL(IF(CTR1_Billing!$E$21='Local Data Previous Year'!$A$3:$A$50000, ROW('Local Data Previous Year'!$A$3:$A$50000)-ROW('Local Data Previous Year'!$A$3)+1), ROW(105:105)))), "", INDEX('Local Data Previous Year'!$E$3:$E$50000, SMALL(IF(CTR1_Billing!$E$21='Local Data Previous Year'!$A$3:$A$50000, ROW('Local Data Previous Year'!$A$3:$A$50000)-ROW('Local Data Previous Year'!$A$3)+1), ROW(105:105))))</f>
        <v/>
      </c>
      <c r="AO137" s="209" t="str">
        <f t="shared" si="19"/>
        <v/>
      </c>
      <c r="AP137" s="208"/>
      <c r="AQ137" s="209" t="str">
        <f t="shared" si="20"/>
        <v/>
      </c>
      <c r="AR137" s="209" t="str">
        <f t="shared" si="21"/>
        <v/>
      </c>
      <c r="AS137" s="202" t="str">
        <f t="shared" si="22"/>
        <v/>
      </c>
      <c r="AT137" s="202" t="str">
        <f t="shared" si="23"/>
        <v/>
      </c>
      <c r="AU137" s="208"/>
      <c r="AV137" s="208"/>
      <c r="AW137" s="208"/>
      <c r="AX137" s="208"/>
      <c r="AY137" s="208"/>
      <c r="AZ137" s="208"/>
      <c r="BA137" s="208"/>
      <c r="BB137" s="208"/>
      <c r="BC137" s="208"/>
      <c r="BD137" s="208"/>
      <c r="BE137" s="208"/>
      <c r="BF137" s="208"/>
      <c r="BG137" s="28"/>
      <c r="BH137" s="28"/>
      <c r="BI137" s="28"/>
      <c r="BJ137" s="28"/>
    </row>
    <row r="138" spans="1:62" s="23" customFormat="1" ht="21" customHeight="1" thickBot="1" x14ac:dyDescent="0.25">
      <c r="A138" s="846" t="str">
        <f>IF($AN138="","",IFERROR(VLOOKUP(CONCATENATE(CTR1_Billing!$E$20,$AN138),'Local Data Previous Year'!$C$3:$D$20000,2,0),CTR1_Billing!$E$21&amp;"NEW"))</f>
        <v/>
      </c>
      <c r="B138" s="846" t="str">
        <f>IF($E138="","",IFERROR(VLOOKUP(CONCATENATE(CTR1_Billing!$E$20,CTR1_Local!$E138),'Local Data Previous Year'!$C$3:$D$20000,2,0),CTR1_Billing!$E$21&amp;"NEW"))</f>
        <v/>
      </c>
      <c r="C138" s="846">
        <v>106</v>
      </c>
      <c r="D138" s="755" t="str" cm="1">
        <f t="array" ref="D138">IF(ISERROR(INDEX('Local Data Previous Year'!$D$3:$D$20000,SMALL(IF(CTR1_Billing!$E$21='Local Data Previous Year'!$A$3:$A$20000,ROW('Local Data Previous Year'!$A$3:$A$20000)-ROW('Local Data Previous Year'!$A$3)+1),ROW(106:106)))),"",INDEX('Local Data Previous Year'!$D$3:$D$20000,SMALL(IF(CTR1_Billing!$E$21='Local Data Previous Year'!$A$3:$A$20000,ROW('Local Data Previous Year'!$A$3:$A$20000)-ROW('Local Data Previous Year'!$A$3)+1),ROW(106:106))))</f>
        <v/>
      </c>
      <c r="E138" s="755" t="str" cm="1">
        <f t="array" ref="E138">IF(ISERROR(INDEX('Local Data Previous Year'!$E$3:$E$20000,SMALL(IF(CTR1_Billing!$E$21='Local Data Previous Year'!$A$3:$A$20000,ROW('Local Data Previous Year'!$A$3:$A$20000)-ROW('Local Data Previous Year'!$A$3)+1),ROW(106:106)))),"",INDEX('Local Data Previous Year'!$E$3:$E$20000,SMALL(IF(CTR1_Billing!$E$21='Local Data Previous Year'!$A$3:$A$20000,ROW('Local Data Previous Year'!$A$3:$A$20000)-ROW('Local Data Previous Year'!$A$3)+1),ROW(106:106))))</f>
        <v/>
      </c>
      <c r="F138" s="756" t="str">
        <f>IF($D138="","",IF(ISNA(MATCH($D138,'Local Data Previous Year'!$D$3:$D$20000,0)),"New",IFERROR(VLOOKUP($B138,'Local Data Previous Year'!$D$3:$I$20000,6,0),"")))</f>
        <v/>
      </c>
      <c r="G138" s="757">
        <f t="shared" si="24"/>
        <v>0</v>
      </c>
      <c r="H138" s="758" t="str">
        <f>IFERROR(INDEX('Local Data Previous Year'!$F:$F, MATCH($D138, 'Local Data Previous Year'!$D:$D, 0)), "")</f>
        <v/>
      </c>
      <c r="I138" s="759">
        <f>IF(B138=CTR1_Billing!$E$21&amp;"NEW",1,0)</f>
        <v>0</v>
      </c>
      <c r="J138" s="760" t="str">
        <f>IFERROR(INDEX('Local Data Previous Year'!$G:$G, MATCH($D138, 'Local Data Previous Year'!$D:$D, 0)), "")</f>
        <v/>
      </c>
      <c r="K138" s="762"/>
      <c r="L138" s="760" t="str">
        <f>IFERROR(INDEX('Local Data Previous Year'!$H:$H, MATCH($D138, 'Local Data Previous Year'!$D:$D, 0)), "")</f>
        <v/>
      </c>
      <c r="M138" s="762"/>
      <c r="N138" s="763"/>
      <c r="O138" s="767"/>
      <c r="P138" s="765"/>
      <c r="Q138" s="767"/>
      <c r="R138" s="766" t="str">
        <f t="shared" si="25"/>
        <v/>
      </c>
      <c r="S138" s="754"/>
      <c r="T138" s="763"/>
      <c r="U138" s="754"/>
      <c r="V138" s="763"/>
      <c r="W138" s="763"/>
      <c r="X138" s="865" t="str">
        <f>VLOOKUP(CTR1_Billing!$E$21,Data!$C$6:$D$302,1,FALSE)</f>
        <v>EZZZZ</v>
      </c>
      <c r="Y138" s="205"/>
      <c r="Z138" s="205">
        <f t="shared" si="13"/>
        <v>0</v>
      </c>
      <c r="AA138" s="206" t="str">
        <f t="shared" si="14"/>
        <v/>
      </c>
      <c r="AB138" s="205">
        <f t="shared" si="15"/>
        <v>0</v>
      </c>
      <c r="AC138" s="208"/>
      <c r="AD138" s="208"/>
      <c r="AE138" s="208"/>
      <c r="AF138" s="208"/>
      <c r="AG138" s="209" t="str">
        <f>IFERROR(INDEX('Local Data Previous Year'!$F:$F, MATCH($D138, 'Local Data Previous Year'!$D:$D, 0)), "")</f>
        <v/>
      </c>
      <c r="AH138" s="209" t="str">
        <f>IFERROR(INDEX('Local Data Previous Year'!$G:$G, MATCH($D138, 'Local Data Previous Year'!$D:$D, 0)), "")</f>
        <v/>
      </c>
      <c r="AI138" s="209" t="str">
        <f>IFERROR(INDEX('Local Data Previous Year'!$H:$H, MATCH($D138, 'Local Data Previous Year'!$D:$D, 0)), "")</f>
        <v/>
      </c>
      <c r="AJ138" s="209" t="str">
        <f t="shared" si="16"/>
        <v/>
      </c>
      <c r="AK138" s="209" t="str">
        <f t="shared" si="17"/>
        <v/>
      </c>
      <c r="AL138" s="209" t="str">
        <f t="shared" si="18"/>
        <v/>
      </c>
      <c r="AM138" s="208" t="str">
        <f>IF($AN138="","",IFERROR(VLOOKUP(CONCATENATE(CTR1_Billing!$E$20,$AN138),'Local Data Previous Year'!$C$3:$D$50000,2,0),CTR1_Billing!$E$21&amp;"NEW"))</f>
        <v/>
      </c>
      <c r="AN138" s="209" t="str" cm="1">
        <f t="array" ref="AN138">IF(ISERROR(INDEX('Local Data Previous Year'!$E$3:$E$50000, SMALL(IF(CTR1_Billing!$E$21='Local Data Previous Year'!$A$3:$A$50000, ROW('Local Data Previous Year'!$A$3:$A$50000)-ROW('Local Data Previous Year'!$A$3)+1), ROW(106:106)))), "", INDEX('Local Data Previous Year'!$E$3:$E$50000, SMALL(IF(CTR1_Billing!$E$21='Local Data Previous Year'!$A$3:$A$50000, ROW('Local Data Previous Year'!$A$3:$A$50000)-ROW('Local Data Previous Year'!$A$3)+1), ROW(106:106))))</f>
        <v/>
      </c>
      <c r="AO138" s="209" t="str">
        <f t="shared" si="19"/>
        <v/>
      </c>
      <c r="AP138" s="208"/>
      <c r="AQ138" s="209" t="str">
        <f t="shared" si="20"/>
        <v/>
      </c>
      <c r="AR138" s="209" t="str">
        <f t="shared" si="21"/>
        <v/>
      </c>
      <c r="AS138" s="202" t="str">
        <f t="shared" si="22"/>
        <v/>
      </c>
      <c r="AT138" s="202" t="str">
        <f t="shared" si="23"/>
        <v/>
      </c>
      <c r="AU138" s="208"/>
      <c r="AV138" s="208"/>
      <c r="AW138" s="208"/>
      <c r="AX138" s="208"/>
      <c r="AY138" s="208"/>
      <c r="AZ138" s="208"/>
      <c r="BA138" s="208"/>
      <c r="BB138" s="208"/>
      <c r="BC138" s="208"/>
      <c r="BD138" s="208"/>
      <c r="BE138" s="208"/>
      <c r="BF138" s="208"/>
      <c r="BG138" s="28"/>
      <c r="BH138" s="28"/>
      <c r="BI138" s="28"/>
      <c r="BJ138" s="28"/>
    </row>
    <row r="139" spans="1:62" s="23" customFormat="1" ht="21" customHeight="1" thickBot="1" x14ac:dyDescent="0.25">
      <c r="A139" s="846" t="str">
        <f>IF($AN139="","",IFERROR(VLOOKUP(CONCATENATE(CTR1_Billing!$E$20,$AN139),'Local Data Previous Year'!$C$3:$D$20000,2,0),CTR1_Billing!$E$21&amp;"NEW"))</f>
        <v/>
      </c>
      <c r="B139" s="846" t="str">
        <f>IF($E139="","",IFERROR(VLOOKUP(CONCATENATE(CTR1_Billing!$E$20,CTR1_Local!$E139),'Local Data Previous Year'!$C$3:$D$20000,2,0),CTR1_Billing!$E$21&amp;"NEW"))</f>
        <v/>
      </c>
      <c r="C139" s="846">
        <v>107</v>
      </c>
      <c r="D139" s="755" t="str" cm="1">
        <f t="array" ref="D139">IF(ISERROR(INDEX('Local Data Previous Year'!$D$3:$D$20000,SMALL(IF(CTR1_Billing!$E$21='Local Data Previous Year'!$A$3:$A$20000,ROW('Local Data Previous Year'!$A$3:$A$20000)-ROW('Local Data Previous Year'!$A$3)+1),ROW(107:107)))),"",INDEX('Local Data Previous Year'!$D$3:$D$20000,SMALL(IF(CTR1_Billing!$E$21='Local Data Previous Year'!$A$3:$A$20000,ROW('Local Data Previous Year'!$A$3:$A$20000)-ROW('Local Data Previous Year'!$A$3)+1),ROW(107:107))))</f>
        <v/>
      </c>
      <c r="E139" s="755" t="str" cm="1">
        <f t="array" ref="E139">IF(ISERROR(INDEX('Local Data Previous Year'!$E$3:$E$20000,SMALL(IF(CTR1_Billing!$E$21='Local Data Previous Year'!$A$3:$A$20000,ROW('Local Data Previous Year'!$A$3:$A$20000)-ROW('Local Data Previous Year'!$A$3)+1),ROW(107:107)))),"",INDEX('Local Data Previous Year'!$E$3:$E$20000,SMALL(IF(CTR1_Billing!$E$21='Local Data Previous Year'!$A$3:$A$20000,ROW('Local Data Previous Year'!$A$3:$A$20000)-ROW('Local Data Previous Year'!$A$3)+1),ROW(107:107))))</f>
        <v/>
      </c>
      <c r="F139" s="756" t="str">
        <f>IF($D139="","",IF(ISNA(MATCH($D139,'Local Data Previous Year'!$D$3:$D$20000,0)),"New",IFERROR(VLOOKUP($B139,'Local Data Previous Year'!$D$3:$I$20000,6,0),"")))</f>
        <v/>
      </c>
      <c r="G139" s="757">
        <f t="shared" si="24"/>
        <v>0</v>
      </c>
      <c r="H139" s="758" t="str">
        <f>IFERROR(INDEX('Local Data Previous Year'!$F:$F, MATCH($D139, 'Local Data Previous Year'!$D:$D, 0)), "")</f>
        <v/>
      </c>
      <c r="I139" s="759">
        <f>IF(B139=CTR1_Billing!$E$21&amp;"NEW",1,0)</f>
        <v>0</v>
      </c>
      <c r="J139" s="760" t="str">
        <f>IFERROR(INDEX('Local Data Previous Year'!$G:$G, MATCH($D139, 'Local Data Previous Year'!$D:$D, 0)), "")</f>
        <v/>
      </c>
      <c r="K139" s="762"/>
      <c r="L139" s="760" t="str">
        <f>IFERROR(INDEX('Local Data Previous Year'!$H:$H, MATCH($D139, 'Local Data Previous Year'!$D:$D, 0)), "")</f>
        <v/>
      </c>
      <c r="M139" s="762"/>
      <c r="N139" s="763"/>
      <c r="O139" s="767"/>
      <c r="P139" s="765"/>
      <c r="Q139" s="767"/>
      <c r="R139" s="766" t="str">
        <f t="shared" si="25"/>
        <v/>
      </c>
      <c r="S139" s="754"/>
      <c r="T139" s="763"/>
      <c r="U139" s="754"/>
      <c r="V139" s="763"/>
      <c r="W139" s="763"/>
      <c r="X139" s="865" t="str">
        <f>VLOOKUP(CTR1_Billing!$E$21,Data!$C$6:$D$302,1,FALSE)</f>
        <v>EZZZZ</v>
      </c>
      <c r="Y139" s="205"/>
      <c r="Z139" s="205">
        <f t="shared" si="13"/>
        <v>0</v>
      </c>
      <c r="AA139" s="206" t="str">
        <f t="shared" si="14"/>
        <v/>
      </c>
      <c r="AB139" s="205">
        <f t="shared" si="15"/>
        <v>0</v>
      </c>
      <c r="AC139" s="208"/>
      <c r="AD139" s="208"/>
      <c r="AE139" s="208"/>
      <c r="AF139" s="208"/>
      <c r="AG139" s="209" t="str">
        <f>IFERROR(INDEX('Local Data Previous Year'!$F:$F, MATCH($D139, 'Local Data Previous Year'!$D:$D, 0)), "")</f>
        <v/>
      </c>
      <c r="AH139" s="209" t="str">
        <f>IFERROR(INDEX('Local Data Previous Year'!$G:$G, MATCH($D139, 'Local Data Previous Year'!$D:$D, 0)), "")</f>
        <v/>
      </c>
      <c r="AI139" s="209" t="str">
        <f>IFERROR(INDEX('Local Data Previous Year'!$H:$H, MATCH($D139, 'Local Data Previous Year'!$D:$D, 0)), "")</f>
        <v/>
      </c>
      <c r="AJ139" s="209" t="str">
        <f t="shared" si="16"/>
        <v/>
      </c>
      <c r="AK139" s="209" t="str">
        <f t="shared" si="17"/>
        <v/>
      </c>
      <c r="AL139" s="209" t="str">
        <f t="shared" si="18"/>
        <v/>
      </c>
      <c r="AM139" s="208" t="str">
        <f>IF($AN139="","",IFERROR(VLOOKUP(CONCATENATE(CTR1_Billing!$E$20,$AN139),'Local Data Previous Year'!$C$3:$D$50000,2,0),CTR1_Billing!$E$21&amp;"NEW"))</f>
        <v/>
      </c>
      <c r="AN139" s="209" t="str" cm="1">
        <f t="array" ref="AN139">IF(ISERROR(INDEX('Local Data Previous Year'!$E$3:$E$50000, SMALL(IF(CTR1_Billing!$E$21='Local Data Previous Year'!$A$3:$A$50000, ROW('Local Data Previous Year'!$A$3:$A$50000)-ROW('Local Data Previous Year'!$A$3)+1), ROW(107:107)))), "", INDEX('Local Data Previous Year'!$E$3:$E$50000, SMALL(IF(CTR1_Billing!$E$21='Local Data Previous Year'!$A$3:$A$50000, ROW('Local Data Previous Year'!$A$3:$A$50000)-ROW('Local Data Previous Year'!$A$3)+1), ROW(107:107))))</f>
        <v/>
      </c>
      <c r="AO139" s="209" t="str">
        <f t="shared" si="19"/>
        <v/>
      </c>
      <c r="AP139" s="208"/>
      <c r="AQ139" s="209" t="str">
        <f t="shared" si="20"/>
        <v/>
      </c>
      <c r="AR139" s="209" t="str">
        <f t="shared" si="21"/>
        <v/>
      </c>
      <c r="AS139" s="202" t="str">
        <f t="shared" si="22"/>
        <v/>
      </c>
      <c r="AT139" s="202" t="str">
        <f t="shared" si="23"/>
        <v/>
      </c>
      <c r="AU139" s="208"/>
      <c r="AV139" s="208"/>
      <c r="AW139" s="208"/>
      <c r="AX139" s="208"/>
      <c r="AY139" s="208"/>
      <c r="AZ139" s="208"/>
      <c r="BA139" s="208"/>
      <c r="BB139" s="208"/>
      <c r="BC139" s="208"/>
      <c r="BD139" s="208"/>
      <c r="BE139" s="208"/>
      <c r="BF139" s="208"/>
      <c r="BG139" s="28"/>
      <c r="BH139" s="28"/>
      <c r="BI139" s="28"/>
      <c r="BJ139" s="28"/>
    </row>
    <row r="140" spans="1:62" s="23" customFormat="1" ht="21" customHeight="1" thickBot="1" x14ac:dyDescent="0.25">
      <c r="A140" s="846" t="str">
        <f>IF($AN140="","",IFERROR(VLOOKUP(CONCATENATE(CTR1_Billing!$E$20,$AN140),'Local Data Previous Year'!$C$3:$D$20000,2,0),CTR1_Billing!$E$21&amp;"NEW"))</f>
        <v/>
      </c>
      <c r="B140" s="846" t="str">
        <f>IF($E140="","",IFERROR(VLOOKUP(CONCATENATE(CTR1_Billing!$E$20,CTR1_Local!$E140),'Local Data Previous Year'!$C$3:$D$20000,2,0),CTR1_Billing!$E$21&amp;"NEW"))</f>
        <v/>
      </c>
      <c r="C140" s="846">
        <v>108</v>
      </c>
      <c r="D140" s="755" t="str" cm="1">
        <f t="array" ref="D140">IF(ISERROR(INDEX('Local Data Previous Year'!$D$3:$D$20000,SMALL(IF(CTR1_Billing!$E$21='Local Data Previous Year'!$A$3:$A$20000,ROW('Local Data Previous Year'!$A$3:$A$20000)-ROW('Local Data Previous Year'!$A$3)+1),ROW(108:108)))),"",INDEX('Local Data Previous Year'!$D$3:$D$20000,SMALL(IF(CTR1_Billing!$E$21='Local Data Previous Year'!$A$3:$A$20000,ROW('Local Data Previous Year'!$A$3:$A$20000)-ROW('Local Data Previous Year'!$A$3)+1),ROW(108:108))))</f>
        <v/>
      </c>
      <c r="E140" s="755" t="str" cm="1">
        <f t="array" ref="E140">IF(ISERROR(INDEX('Local Data Previous Year'!$E$3:$E$20000,SMALL(IF(CTR1_Billing!$E$21='Local Data Previous Year'!$A$3:$A$20000,ROW('Local Data Previous Year'!$A$3:$A$20000)-ROW('Local Data Previous Year'!$A$3)+1),ROW(108:108)))),"",INDEX('Local Data Previous Year'!$E$3:$E$20000,SMALL(IF(CTR1_Billing!$E$21='Local Data Previous Year'!$A$3:$A$20000,ROW('Local Data Previous Year'!$A$3:$A$20000)-ROW('Local Data Previous Year'!$A$3)+1),ROW(108:108))))</f>
        <v/>
      </c>
      <c r="F140" s="756" t="str">
        <f>IF($D140="","",IF(ISNA(MATCH($D140,'Local Data Previous Year'!$D$3:$D$20000,0)),"New",IFERROR(VLOOKUP($B140,'Local Data Previous Year'!$D$3:$I$20000,6,0),"")))</f>
        <v/>
      </c>
      <c r="G140" s="757">
        <f t="shared" si="24"/>
        <v>0</v>
      </c>
      <c r="H140" s="758" t="str">
        <f>IFERROR(INDEX('Local Data Previous Year'!$F:$F, MATCH($D140, 'Local Data Previous Year'!$D:$D, 0)), "")</f>
        <v/>
      </c>
      <c r="I140" s="759">
        <f>IF(B140=CTR1_Billing!$E$21&amp;"NEW",1,0)</f>
        <v>0</v>
      </c>
      <c r="J140" s="760" t="str">
        <f>IFERROR(INDEX('Local Data Previous Year'!$G:$G, MATCH($D140, 'Local Data Previous Year'!$D:$D, 0)), "")</f>
        <v/>
      </c>
      <c r="K140" s="762"/>
      <c r="L140" s="760" t="str">
        <f>IFERROR(INDEX('Local Data Previous Year'!$H:$H, MATCH($D140, 'Local Data Previous Year'!$D:$D, 0)), "")</f>
        <v/>
      </c>
      <c r="M140" s="762"/>
      <c r="N140" s="763"/>
      <c r="O140" s="767"/>
      <c r="P140" s="765"/>
      <c r="Q140" s="767"/>
      <c r="R140" s="766" t="str">
        <f t="shared" si="25"/>
        <v/>
      </c>
      <c r="S140" s="754"/>
      <c r="T140" s="763"/>
      <c r="U140" s="754"/>
      <c r="V140" s="763"/>
      <c r="W140" s="763"/>
      <c r="X140" s="865" t="str">
        <f>VLOOKUP(CTR1_Billing!$E$21,Data!$C$6:$D$302,1,FALSE)</f>
        <v>EZZZZ</v>
      </c>
      <c r="Y140" s="205"/>
      <c r="Z140" s="205">
        <f t="shared" si="13"/>
        <v>0</v>
      </c>
      <c r="AA140" s="206" t="str">
        <f t="shared" si="14"/>
        <v/>
      </c>
      <c r="AB140" s="205">
        <f t="shared" si="15"/>
        <v>0</v>
      </c>
      <c r="AC140" s="208"/>
      <c r="AD140" s="208"/>
      <c r="AE140" s="208"/>
      <c r="AF140" s="208"/>
      <c r="AG140" s="209" t="str">
        <f>IFERROR(INDEX('Local Data Previous Year'!$F:$F, MATCH($D140, 'Local Data Previous Year'!$D:$D, 0)), "")</f>
        <v/>
      </c>
      <c r="AH140" s="209" t="str">
        <f>IFERROR(INDEX('Local Data Previous Year'!$G:$G, MATCH($D140, 'Local Data Previous Year'!$D:$D, 0)), "")</f>
        <v/>
      </c>
      <c r="AI140" s="209" t="str">
        <f>IFERROR(INDEX('Local Data Previous Year'!$H:$H, MATCH($D140, 'Local Data Previous Year'!$D:$D, 0)), "")</f>
        <v/>
      </c>
      <c r="AJ140" s="209" t="str">
        <f t="shared" si="16"/>
        <v/>
      </c>
      <c r="AK140" s="209" t="str">
        <f t="shared" si="17"/>
        <v/>
      </c>
      <c r="AL140" s="209" t="str">
        <f t="shared" si="18"/>
        <v/>
      </c>
      <c r="AM140" s="208" t="str">
        <f>IF($AN140="","",IFERROR(VLOOKUP(CONCATENATE(CTR1_Billing!$E$20,$AN140),'Local Data Previous Year'!$C$3:$D$50000,2,0),CTR1_Billing!$E$21&amp;"NEW"))</f>
        <v/>
      </c>
      <c r="AN140" s="209" t="str" cm="1">
        <f t="array" ref="AN140">IF(ISERROR(INDEX('Local Data Previous Year'!$E$3:$E$50000, SMALL(IF(CTR1_Billing!$E$21='Local Data Previous Year'!$A$3:$A$50000, ROW('Local Data Previous Year'!$A$3:$A$50000)-ROW('Local Data Previous Year'!$A$3)+1), ROW(108:108)))), "", INDEX('Local Data Previous Year'!$E$3:$E$50000, SMALL(IF(CTR1_Billing!$E$21='Local Data Previous Year'!$A$3:$A$50000, ROW('Local Data Previous Year'!$A$3:$A$50000)-ROW('Local Data Previous Year'!$A$3)+1), ROW(108:108))))</f>
        <v/>
      </c>
      <c r="AO140" s="209" t="str">
        <f t="shared" si="19"/>
        <v/>
      </c>
      <c r="AP140" s="208"/>
      <c r="AQ140" s="209" t="str">
        <f t="shared" si="20"/>
        <v/>
      </c>
      <c r="AR140" s="209" t="str">
        <f t="shared" si="21"/>
        <v/>
      </c>
      <c r="AS140" s="202" t="str">
        <f t="shared" si="22"/>
        <v/>
      </c>
      <c r="AT140" s="202" t="str">
        <f t="shared" si="23"/>
        <v/>
      </c>
      <c r="AU140" s="208"/>
      <c r="AV140" s="208"/>
      <c r="AW140" s="208"/>
      <c r="AX140" s="208"/>
      <c r="AY140" s="208"/>
      <c r="AZ140" s="208"/>
      <c r="BA140" s="208"/>
      <c r="BB140" s="208"/>
      <c r="BC140" s="208"/>
      <c r="BD140" s="208"/>
      <c r="BE140" s="208"/>
      <c r="BF140" s="208"/>
      <c r="BG140" s="28"/>
      <c r="BH140" s="28"/>
      <c r="BI140" s="28"/>
      <c r="BJ140" s="28"/>
    </row>
    <row r="141" spans="1:62" s="23" customFormat="1" ht="21" customHeight="1" thickBot="1" x14ac:dyDescent="0.25">
      <c r="A141" s="846" t="str">
        <f>IF($AN141="","",IFERROR(VLOOKUP(CONCATENATE(CTR1_Billing!$E$20,$AN141),'Local Data Previous Year'!$C$3:$D$20000,2,0),CTR1_Billing!$E$21&amp;"NEW"))</f>
        <v/>
      </c>
      <c r="B141" s="846" t="str">
        <f>IF($E141="","",IFERROR(VLOOKUP(CONCATENATE(CTR1_Billing!$E$20,CTR1_Local!$E141),'Local Data Previous Year'!$C$3:$D$20000,2,0),CTR1_Billing!$E$21&amp;"NEW"))</f>
        <v/>
      </c>
      <c r="C141" s="846">
        <v>109</v>
      </c>
      <c r="D141" s="755" t="str" cm="1">
        <f t="array" ref="D141">IF(ISERROR(INDEX('Local Data Previous Year'!$D$3:$D$20000,SMALL(IF(CTR1_Billing!$E$21='Local Data Previous Year'!$A$3:$A$20000,ROW('Local Data Previous Year'!$A$3:$A$20000)-ROW('Local Data Previous Year'!$A$3)+1),ROW(109:109)))),"",INDEX('Local Data Previous Year'!$D$3:$D$20000,SMALL(IF(CTR1_Billing!$E$21='Local Data Previous Year'!$A$3:$A$20000,ROW('Local Data Previous Year'!$A$3:$A$20000)-ROW('Local Data Previous Year'!$A$3)+1),ROW(109:109))))</f>
        <v/>
      </c>
      <c r="E141" s="755" t="str" cm="1">
        <f t="array" ref="E141">IF(ISERROR(INDEX('Local Data Previous Year'!$E$3:$E$20000,SMALL(IF(CTR1_Billing!$E$21='Local Data Previous Year'!$A$3:$A$20000,ROW('Local Data Previous Year'!$A$3:$A$20000)-ROW('Local Data Previous Year'!$A$3)+1),ROW(109:109)))),"",INDEX('Local Data Previous Year'!$E$3:$E$20000,SMALL(IF(CTR1_Billing!$E$21='Local Data Previous Year'!$A$3:$A$20000,ROW('Local Data Previous Year'!$A$3:$A$20000)-ROW('Local Data Previous Year'!$A$3)+1),ROW(109:109))))</f>
        <v/>
      </c>
      <c r="F141" s="756" t="str">
        <f>IF($D141="","",IF(ISNA(MATCH($D141,'Local Data Previous Year'!$D$3:$D$20000,0)),"New",IFERROR(VLOOKUP($B141,'Local Data Previous Year'!$D$3:$I$20000,6,0),"")))</f>
        <v/>
      </c>
      <c r="G141" s="757">
        <f t="shared" si="24"/>
        <v>0</v>
      </c>
      <c r="H141" s="758" t="str">
        <f>IFERROR(INDEX('Local Data Previous Year'!$F:$F, MATCH($D141, 'Local Data Previous Year'!$D:$D, 0)), "")</f>
        <v/>
      </c>
      <c r="I141" s="759">
        <f>IF(B141=CTR1_Billing!$E$21&amp;"NEW",1,0)</f>
        <v>0</v>
      </c>
      <c r="J141" s="760" t="str">
        <f>IFERROR(INDEX('Local Data Previous Year'!$G:$G, MATCH($D141, 'Local Data Previous Year'!$D:$D, 0)), "")</f>
        <v/>
      </c>
      <c r="K141" s="762"/>
      <c r="L141" s="760" t="str">
        <f>IFERROR(INDEX('Local Data Previous Year'!$H:$H, MATCH($D141, 'Local Data Previous Year'!$D:$D, 0)), "")</f>
        <v/>
      </c>
      <c r="M141" s="762"/>
      <c r="N141" s="763"/>
      <c r="O141" s="767"/>
      <c r="P141" s="765"/>
      <c r="Q141" s="767"/>
      <c r="R141" s="766" t="str">
        <f t="shared" si="25"/>
        <v/>
      </c>
      <c r="S141" s="754"/>
      <c r="T141" s="763"/>
      <c r="U141" s="754"/>
      <c r="V141" s="763"/>
      <c r="W141" s="763"/>
      <c r="X141" s="865" t="str">
        <f>VLOOKUP(CTR1_Billing!$E$21,Data!$C$6:$D$302,1,FALSE)</f>
        <v>EZZZZ</v>
      </c>
      <c r="Y141" s="205"/>
      <c r="Z141" s="205">
        <f t="shared" si="13"/>
        <v>0</v>
      </c>
      <c r="AA141" s="206" t="str">
        <f t="shared" si="14"/>
        <v/>
      </c>
      <c r="AB141" s="205">
        <f t="shared" si="15"/>
        <v>0</v>
      </c>
      <c r="AC141" s="208"/>
      <c r="AD141" s="208"/>
      <c r="AE141" s="208"/>
      <c r="AF141" s="208"/>
      <c r="AG141" s="209" t="str">
        <f>IFERROR(INDEX('Local Data Previous Year'!$F:$F, MATCH($D141, 'Local Data Previous Year'!$D:$D, 0)), "")</f>
        <v/>
      </c>
      <c r="AH141" s="209" t="str">
        <f>IFERROR(INDEX('Local Data Previous Year'!$G:$G, MATCH($D141, 'Local Data Previous Year'!$D:$D, 0)), "")</f>
        <v/>
      </c>
      <c r="AI141" s="209" t="str">
        <f>IFERROR(INDEX('Local Data Previous Year'!$H:$H, MATCH($D141, 'Local Data Previous Year'!$D:$D, 0)), "")</f>
        <v/>
      </c>
      <c r="AJ141" s="209" t="str">
        <f t="shared" si="16"/>
        <v/>
      </c>
      <c r="AK141" s="209" t="str">
        <f t="shared" si="17"/>
        <v/>
      </c>
      <c r="AL141" s="209" t="str">
        <f t="shared" si="18"/>
        <v/>
      </c>
      <c r="AM141" s="208" t="str">
        <f>IF($AN141="","",IFERROR(VLOOKUP(CONCATENATE(CTR1_Billing!$E$20,$AN141),'Local Data Previous Year'!$C$3:$D$50000,2,0),CTR1_Billing!$E$21&amp;"NEW"))</f>
        <v/>
      </c>
      <c r="AN141" s="209" t="str" cm="1">
        <f t="array" ref="AN141">IF(ISERROR(INDEX('Local Data Previous Year'!$E$3:$E$50000, SMALL(IF(CTR1_Billing!$E$21='Local Data Previous Year'!$A$3:$A$50000, ROW('Local Data Previous Year'!$A$3:$A$50000)-ROW('Local Data Previous Year'!$A$3)+1), ROW(109:109)))), "", INDEX('Local Data Previous Year'!$E$3:$E$50000, SMALL(IF(CTR1_Billing!$E$21='Local Data Previous Year'!$A$3:$A$50000, ROW('Local Data Previous Year'!$A$3:$A$50000)-ROW('Local Data Previous Year'!$A$3)+1), ROW(109:109))))</f>
        <v/>
      </c>
      <c r="AO141" s="209" t="str">
        <f t="shared" si="19"/>
        <v/>
      </c>
      <c r="AP141" s="208"/>
      <c r="AQ141" s="209" t="str">
        <f t="shared" si="20"/>
        <v/>
      </c>
      <c r="AR141" s="209" t="str">
        <f t="shared" si="21"/>
        <v/>
      </c>
      <c r="AS141" s="202" t="str">
        <f t="shared" si="22"/>
        <v/>
      </c>
      <c r="AT141" s="202" t="str">
        <f t="shared" si="23"/>
        <v/>
      </c>
      <c r="AU141" s="208"/>
      <c r="AV141" s="208"/>
      <c r="AW141" s="208"/>
      <c r="AX141" s="208"/>
      <c r="AY141" s="208"/>
      <c r="AZ141" s="208"/>
      <c r="BA141" s="208"/>
      <c r="BB141" s="208"/>
      <c r="BC141" s="208"/>
      <c r="BD141" s="208"/>
      <c r="BE141" s="208"/>
      <c r="BF141" s="208"/>
      <c r="BG141" s="28"/>
      <c r="BH141" s="28"/>
      <c r="BI141" s="28"/>
      <c r="BJ141" s="28"/>
    </row>
    <row r="142" spans="1:62" s="23" customFormat="1" ht="21" customHeight="1" thickBot="1" x14ac:dyDescent="0.25">
      <c r="A142" s="846" t="str">
        <f>IF($AN142="","",IFERROR(VLOOKUP(CONCATENATE(CTR1_Billing!$E$20,$AN142),'Local Data Previous Year'!$C$3:$D$20000,2,0),CTR1_Billing!$E$21&amp;"NEW"))</f>
        <v/>
      </c>
      <c r="B142" s="846" t="str">
        <f>IF($E142="","",IFERROR(VLOOKUP(CONCATENATE(CTR1_Billing!$E$20,CTR1_Local!$E142),'Local Data Previous Year'!$C$3:$D$20000,2,0),CTR1_Billing!$E$21&amp;"NEW"))</f>
        <v/>
      </c>
      <c r="C142" s="846">
        <v>110</v>
      </c>
      <c r="D142" s="755" t="str" cm="1">
        <f t="array" ref="D142">IF(ISERROR(INDEX('Local Data Previous Year'!$D$3:$D$20000,SMALL(IF(CTR1_Billing!$E$21='Local Data Previous Year'!$A$3:$A$20000,ROW('Local Data Previous Year'!$A$3:$A$20000)-ROW('Local Data Previous Year'!$A$3)+1),ROW(110:110)))),"",INDEX('Local Data Previous Year'!$D$3:$D$20000,SMALL(IF(CTR1_Billing!$E$21='Local Data Previous Year'!$A$3:$A$20000,ROW('Local Data Previous Year'!$A$3:$A$20000)-ROW('Local Data Previous Year'!$A$3)+1),ROW(110:110))))</f>
        <v/>
      </c>
      <c r="E142" s="755" t="str" cm="1">
        <f t="array" ref="E142">IF(ISERROR(INDEX('Local Data Previous Year'!$E$3:$E$20000,SMALL(IF(CTR1_Billing!$E$21='Local Data Previous Year'!$A$3:$A$20000,ROW('Local Data Previous Year'!$A$3:$A$20000)-ROW('Local Data Previous Year'!$A$3)+1),ROW(110:110)))),"",INDEX('Local Data Previous Year'!$E$3:$E$20000,SMALL(IF(CTR1_Billing!$E$21='Local Data Previous Year'!$A$3:$A$20000,ROW('Local Data Previous Year'!$A$3:$A$20000)-ROW('Local Data Previous Year'!$A$3)+1),ROW(110:110))))</f>
        <v/>
      </c>
      <c r="F142" s="756" t="str">
        <f>IF($D142="","",IF(ISNA(MATCH($D142,'Local Data Previous Year'!$D$3:$D$20000,0)),"New",IFERROR(VLOOKUP($B142,'Local Data Previous Year'!$D$3:$I$20000,6,0),"")))</f>
        <v/>
      </c>
      <c r="G142" s="757">
        <f t="shared" si="24"/>
        <v>0</v>
      </c>
      <c r="H142" s="758" t="str">
        <f>IFERROR(INDEX('Local Data Previous Year'!$F:$F, MATCH($D142, 'Local Data Previous Year'!$D:$D, 0)), "")</f>
        <v/>
      </c>
      <c r="I142" s="759">
        <f>IF(B142=CTR1_Billing!$E$21&amp;"NEW",1,0)</f>
        <v>0</v>
      </c>
      <c r="J142" s="760" t="str">
        <f>IFERROR(INDEX('Local Data Previous Year'!$G:$G, MATCH($D142, 'Local Data Previous Year'!$D:$D, 0)), "")</f>
        <v/>
      </c>
      <c r="K142" s="762"/>
      <c r="L142" s="760" t="str">
        <f>IFERROR(INDEX('Local Data Previous Year'!$H:$H, MATCH($D142, 'Local Data Previous Year'!$D:$D, 0)), "")</f>
        <v/>
      </c>
      <c r="M142" s="762"/>
      <c r="N142" s="763"/>
      <c r="O142" s="767"/>
      <c r="P142" s="765"/>
      <c r="Q142" s="767"/>
      <c r="R142" s="766" t="str">
        <f t="shared" si="25"/>
        <v/>
      </c>
      <c r="S142" s="754"/>
      <c r="T142" s="763"/>
      <c r="U142" s="754"/>
      <c r="V142" s="763"/>
      <c r="W142" s="763"/>
      <c r="X142" s="865" t="str">
        <f>VLOOKUP(CTR1_Billing!$E$21,Data!$C$6:$D$302,1,FALSE)</f>
        <v>EZZZZ</v>
      </c>
      <c r="Y142" s="205"/>
      <c r="Z142" s="205">
        <f t="shared" si="13"/>
        <v>0</v>
      </c>
      <c r="AA142" s="206" t="str">
        <f t="shared" si="14"/>
        <v/>
      </c>
      <c r="AB142" s="205">
        <f t="shared" si="15"/>
        <v>0</v>
      </c>
      <c r="AC142" s="208"/>
      <c r="AD142" s="208"/>
      <c r="AE142" s="208"/>
      <c r="AF142" s="208"/>
      <c r="AG142" s="209" t="str">
        <f>IFERROR(INDEX('Local Data Previous Year'!$F:$F, MATCH($D142, 'Local Data Previous Year'!$D:$D, 0)), "")</f>
        <v/>
      </c>
      <c r="AH142" s="209" t="str">
        <f>IFERROR(INDEX('Local Data Previous Year'!$G:$G, MATCH($D142, 'Local Data Previous Year'!$D:$D, 0)), "")</f>
        <v/>
      </c>
      <c r="AI142" s="209" t="str">
        <f>IFERROR(INDEX('Local Data Previous Year'!$H:$H, MATCH($D142, 'Local Data Previous Year'!$D:$D, 0)), "")</f>
        <v/>
      </c>
      <c r="AJ142" s="209" t="str">
        <f t="shared" si="16"/>
        <v/>
      </c>
      <c r="AK142" s="209" t="str">
        <f t="shared" si="17"/>
        <v/>
      </c>
      <c r="AL142" s="209" t="str">
        <f t="shared" si="18"/>
        <v/>
      </c>
      <c r="AM142" s="208" t="str">
        <f>IF($AN142="","",IFERROR(VLOOKUP(CONCATENATE(CTR1_Billing!$E$20,$AN142),'Local Data Previous Year'!$C$3:$D$50000,2,0),CTR1_Billing!$E$21&amp;"NEW"))</f>
        <v/>
      </c>
      <c r="AN142" s="209" t="str" cm="1">
        <f t="array" ref="AN142">IF(ISERROR(INDEX('Local Data Previous Year'!$E$3:$E$50000, SMALL(IF(CTR1_Billing!$E$21='Local Data Previous Year'!$A$3:$A$50000, ROW('Local Data Previous Year'!$A$3:$A$50000)-ROW('Local Data Previous Year'!$A$3)+1), ROW(110:110)))), "", INDEX('Local Data Previous Year'!$E$3:$E$50000, SMALL(IF(CTR1_Billing!$E$21='Local Data Previous Year'!$A$3:$A$50000, ROW('Local Data Previous Year'!$A$3:$A$50000)-ROW('Local Data Previous Year'!$A$3)+1), ROW(110:110))))</f>
        <v/>
      </c>
      <c r="AO142" s="209" t="str">
        <f t="shared" si="19"/>
        <v/>
      </c>
      <c r="AP142" s="208"/>
      <c r="AQ142" s="209" t="str">
        <f t="shared" si="20"/>
        <v/>
      </c>
      <c r="AR142" s="209" t="str">
        <f t="shared" si="21"/>
        <v/>
      </c>
      <c r="AS142" s="202" t="str">
        <f t="shared" si="22"/>
        <v/>
      </c>
      <c r="AT142" s="202" t="str">
        <f t="shared" si="23"/>
        <v/>
      </c>
      <c r="AU142" s="208"/>
      <c r="AV142" s="208"/>
      <c r="AW142" s="208"/>
      <c r="AX142" s="208"/>
      <c r="AY142" s="208"/>
      <c r="AZ142" s="208"/>
      <c r="BA142" s="208"/>
      <c r="BB142" s="208"/>
      <c r="BC142" s="208"/>
      <c r="BD142" s="208"/>
      <c r="BE142" s="208"/>
      <c r="BF142" s="208"/>
      <c r="BG142" s="28"/>
      <c r="BH142" s="28"/>
      <c r="BI142" s="28"/>
      <c r="BJ142" s="28"/>
    </row>
    <row r="143" spans="1:62" s="23" customFormat="1" ht="21" customHeight="1" thickBot="1" x14ac:dyDescent="0.25">
      <c r="A143" s="846" t="str">
        <f>IF($AN143="","",IFERROR(VLOOKUP(CONCATENATE(CTR1_Billing!$E$20,$AN143),'Local Data Previous Year'!$C$3:$D$20000,2,0),CTR1_Billing!$E$21&amp;"NEW"))</f>
        <v/>
      </c>
      <c r="B143" s="846" t="str">
        <f>IF($E143="","",IFERROR(VLOOKUP(CONCATENATE(CTR1_Billing!$E$20,CTR1_Local!$E143),'Local Data Previous Year'!$C$3:$D$20000,2,0),CTR1_Billing!$E$21&amp;"NEW"))</f>
        <v/>
      </c>
      <c r="C143" s="846">
        <v>111</v>
      </c>
      <c r="D143" s="755" t="str" cm="1">
        <f t="array" ref="D143">IF(ISERROR(INDEX('Local Data Previous Year'!$D$3:$D$20000,SMALL(IF(CTR1_Billing!$E$21='Local Data Previous Year'!$A$3:$A$20000,ROW('Local Data Previous Year'!$A$3:$A$20000)-ROW('Local Data Previous Year'!$A$3)+1),ROW(111:111)))),"",INDEX('Local Data Previous Year'!$D$3:$D$20000,SMALL(IF(CTR1_Billing!$E$21='Local Data Previous Year'!$A$3:$A$20000,ROW('Local Data Previous Year'!$A$3:$A$20000)-ROW('Local Data Previous Year'!$A$3)+1),ROW(111:111))))</f>
        <v/>
      </c>
      <c r="E143" s="755" t="str" cm="1">
        <f t="array" ref="E143">IF(ISERROR(INDEX('Local Data Previous Year'!$E$3:$E$20000,SMALL(IF(CTR1_Billing!$E$21='Local Data Previous Year'!$A$3:$A$20000,ROW('Local Data Previous Year'!$A$3:$A$20000)-ROW('Local Data Previous Year'!$A$3)+1),ROW(111:111)))),"",INDEX('Local Data Previous Year'!$E$3:$E$20000,SMALL(IF(CTR1_Billing!$E$21='Local Data Previous Year'!$A$3:$A$20000,ROW('Local Data Previous Year'!$A$3:$A$20000)-ROW('Local Data Previous Year'!$A$3)+1),ROW(111:111))))</f>
        <v/>
      </c>
      <c r="F143" s="756" t="str">
        <f>IF($D143="","",IF(ISNA(MATCH($D143,'Local Data Previous Year'!$D$3:$D$20000,0)),"New",IFERROR(VLOOKUP($B143,'Local Data Previous Year'!$D$3:$I$20000,6,0),"")))</f>
        <v/>
      </c>
      <c r="G143" s="757">
        <f t="shared" si="24"/>
        <v>0</v>
      </c>
      <c r="H143" s="758" t="str">
        <f>IFERROR(INDEX('Local Data Previous Year'!$F:$F, MATCH($D143, 'Local Data Previous Year'!$D:$D, 0)), "")</f>
        <v/>
      </c>
      <c r="I143" s="759">
        <f>IF(B143=CTR1_Billing!$E$21&amp;"NEW",1,0)</f>
        <v>0</v>
      </c>
      <c r="J143" s="760" t="str">
        <f>IFERROR(INDEX('Local Data Previous Year'!$G:$G, MATCH($D143, 'Local Data Previous Year'!$D:$D, 0)), "")</f>
        <v/>
      </c>
      <c r="K143" s="762"/>
      <c r="L143" s="760" t="str">
        <f>IFERROR(INDEX('Local Data Previous Year'!$H:$H, MATCH($D143, 'Local Data Previous Year'!$D:$D, 0)), "")</f>
        <v/>
      </c>
      <c r="M143" s="762"/>
      <c r="N143" s="763"/>
      <c r="O143" s="767"/>
      <c r="P143" s="765"/>
      <c r="Q143" s="767"/>
      <c r="R143" s="766" t="str">
        <f t="shared" si="25"/>
        <v/>
      </c>
      <c r="S143" s="754"/>
      <c r="T143" s="763"/>
      <c r="U143" s="754"/>
      <c r="V143" s="763"/>
      <c r="W143" s="763"/>
      <c r="X143" s="865" t="str">
        <f>VLOOKUP(CTR1_Billing!$E$21,Data!$C$6:$D$302,1,FALSE)</f>
        <v>EZZZZ</v>
      </c>
      <c r="Y143" s="205"/>
      <c r="Z143" s="205">
        <f t="shared" si="13"/>
        <v>0</v>
      </c>
      <c r="AA143" s="206" t="str">
        <f t="shared" si="14"/>
        <v/>
      </c>
      <c r="AB143" s="205">
        <f t="shared" si="15"/>
        <v>0</v>
      </c>
      <c r="AC143" s="208"/>
      <c r="AD143" s="208"/>
      <c r="AE143" s="208"/>
      <c r="AF143" s="208"/>
      <c r="AG143" s="209" t="str">
        <f>IFERROR(INDEX('Local Data Previous Year'!$F:$F, MATCH($D143, 'Local Data Previous Year'!$D:$D, 0)), "")</f>
        <v/>
      </c>
      <c r="AH143" s="209" t="str">
        <f>IFERROR(INDEX('Local Data Previous Year'!$G:$G, MATCH($D143, 'Local Data Previous Year'!$D:$D, 0)), "")</f>
        <v/>
      </c>
      <c r="AI143" s="209" t="str">
        <f>IFERROR(INDEX('Local Data Previous Year'!$H:$H, MATCH($D143, 'Local Data Previous Year'!$D:$D, 0)), "")</f>
        <v/>
      </c>
      <c r="AJ143" s="209" t="str">
        <f t="shared" si="16"/>
        <v/>
      </c>
      <c r="AK143" s="209" t="str">
        <f t="shared" si="17"/>
        <v/>
      </c>
      <c r="AL143" s="209" t="str">
        <f t="shared" si="18"/>
        <v/>
      </c>
      <c r="AM143" s="208" t="str">
        <f>IF($AN143="","",IFERROR(VLOOKUP(CONCATENATE(CTR1_Billing!$E$20,$AN143),'Local Data Previous Year'!$C$3:$D$50000,2,0),CTR1_Billing!$E$21&amp;"NEW"))</f>
        <v/>
      </c>
      <c r="AN143" s="209" t="str" cm="1">
        <f t="array" ref="AN143">IF(ISERROR(INDEX('Local Data Previous Year'!$E$3:$E$50000, SMALL(IF(CTR1_Billing!$E$21='Local Data Previous Year'!$A$3:$A$50000, ROW('Local Data Previous Year'!$A$3:$A$50000)-ROW('Local Data Previous Year'!$A$3)+1), ROW(111:111)))), "", INDEX('Local Data Previous Year'!$E$3:$E$50000, SMALL(IF(CTR1_Billing!$E$21='Local Data Previous Year'!$A$3:$A$50000, ROW('Local Data Previous Year'!$A$3:$A$50000)-ROW('Local Data Previous Year'!$A$3)+1), ROW(111:111))))</f>
        <v/>
      </c>
      <c r="AO143" s="209" t="str">
        <f t="shared" si="19"/>
        <v/>
      </c>
      <c r="AP143" s="208"/>
      <c r="AQ143" s="209" t="str">
        <f t="shared" si="20"/>
        <v/>
      </c>
      <c r="AR143" s="209" t="str">
        <f t="shared" si="21"/>
        <v/>
      </c>
      <c r="AS143" s="202" t="str">
        <f t="shared" si="22"/>
        <v/>
      </c>
      <c r="AT143" s="202" t="str">
        <f t="shared" si="23"/>
        <v/>
      </c>
      <c r="AU143" s="208"/>
      <c r="AV143" s="208"/>
      <c r="AW143" s="208"/>
      <c r="AX143" s="208"/>
      <c r="AY143" s="208"/>
      <c r="AZ143" s="208"/>
      <c r="BA143" s="208"/>
      <c r="BB143" s="208"/>
      <c r="BC143" s="208"/>
      <c r="BD143" s="208"/>
      <c r="BE143" s="208"/>
      <c r="BF143" s="208"/>
      <c r="BG143" s="28"/>
      <c r="BH143" s="28"/>
      <c r="BI143" s="28"/>
      <c r="BJ143" s="28"/>
    </row>
    <row r="144" spans="1:62" s="23" customFormat="1" ht="21" customHeight="1" thickBot="1" x14ac:dyDescent="0.25">
      <c r="A144" s="846" t="str">
        <f>IF($AN144="","",IFERROR(VLOOKUP(CONCATENATE(CTR1_Billing!$E$20,$AN144),'Local Data Previous Year'!$C$3:$D$20000,2,0),CTR1_Billing!$E$21&amp;"NEW"))</f>
        <v/>
      </c>
      <c r="B144" s="846" t="str">
        <f>IF($E144="","",IFERROR(VLOOKUP(CONCATENATE(CTR1_Billing!$E$20,CTR1_Local!$E144),'Local Data Previous Year'!$C$3:$D$20000,2,0),CTR1_Billing!$E$21&amp;"NEW"))</f>
        <v/>
      </c>
      <c r="C144" s="846">
        <v>112</v>
      </c>
      <c r="D144" s="755" t="str" cm="1">
        <f t="array" ref="D144">IF(ISERROR(INDEX('Local Data Previous Year'!$D$3:$D$20000,SMALL(IF(CTR1_Billing!$E$21='Local Data Previous Year'!$A$3:$A$20000,ROW('Local Data Previous Year'!$A$3:$A$20000)-ROW('Local Data Previous Year'!$A$3)+1),ROW(112:112)))),"",INDEX('Local Data Previous Year'!$D$3:$D$20000,SMALL(IF(CTR1_Billing!$E$21='Local Data Previous Year'!$A$3:$A$20000,ROW('Local Data Previous Year'!$A$3:$A$20000)-ROW('Local Data Previous Year'!$A$3)+1),ROW(112:112))))</f>
        <v/>
      </c>
      <c r="E144" s="755" t="str" cm="1">
        <f t="array" ref="E144">IF(ISERROR(INDEX('Local Data Previous Year'!$E$3:$E$20000,SMALL(IF(CTR1_Billing!$E$21='Local Data Previous Year'!$A$3:$A$20000,ROW('Local Data Previous Year'!$A$3:$A$20000)-ROW('Local Data Previous Year'!$A$3)+1),ROW(112:112)))),"",INDEX('Local Data Previous Year'!$E$3:$E$20000,SMALL(IF(CTR1_Billing!$E$21='Local Data Previous Year'!$A$3:$A$20000,ROW('Local Data Previous Year'!$A$3:$A$20000)-ROW('Local Data Previous Year'!$A$3)+1),ROW(112:112))))</f>
        <v/>
      </c>
      <c r="F144" s="756" t="str">
        <f>IF($D144="","",IF(ISNA(MATCH($D144,'Local Data Previous Year'!$D$3:$D$20000,0)),"New",IFERROR(VLOOKUP($B144,'Local Data Previous Year'!$D$3:$I$20000,6,0),"")))</f>
        <v/>
      </c>
      <c r="G144" s="757">
        <f t="shared" si="24"/>
        <v>0</v>
      </c>
      <c r="H144" s="758" t="str">
        <f>IFERROR(INDEX('Local Data Previous Year'!$F:$F, MATCH($D144, 'Local Data Previous Year'!$D:$D, 0)), "")</f>
        <v/>
      </c>
      <c r="I144" s="759">
        <f>IF(B144=CTR1_Billing!$E$21&amp;"NEW",1,0)</f>
        <v>0</v>
      </c>
      <c r="J144" s="760" t="str">
        <f>IFERROR(INDEX('Local Data Previous Year'!$G:$G, MATCH($D144, 'Local Data Previous Year'!$D:$D, 0)), "")</f>
        <v/>
      </c>
      <c r="K144" s="762"/>
      <c r="L144" s="760" t="str">
        <f>IFERROR(INDEX('Local Data Previous Year'!$H:$H, MATCH($D144, 'Local Data Previous Year'!$D:$D, 0)), "")</f>
        <v/>
      </c>
      <c r="M144" s="762"/>
      <c r="N144" s="763"/>
      <c r="O144" s="767"/>
      <c r="P144" s="765"/>
      <c r="Q144" s="767"/>
      <c r="R144" s="766" t="str">
        <f t="shared" si="25"/>
        <v/>
      </c>
      <c r="S144" s="754"/>
      <c r="T144" s="763"/>
      <c r="U144" s="754"/>
      <c r="V144" s="763"/>
      <c r="W144" s="763"/>
      <c r="X144" s="865" t="str">
        <f>VLOOKUP(CTR1_Billing!$E$21,Data!$C$6:$D$302,1,FALSE)</f>
        <v>EZZZZ</v>
      </c>
      <c r="Y144" s="205"/>
      <c r="Z144" s="205">
        <f t="shared" si="13"/>
        <v>0</v>
      </c>
      <c r="AA144" s="206" t="str">
        <f t="shared" si="14"/>
        <v/>
      </c>
      <c r="AB144" s="205">
        <f t="shared" si="15"/>
        <v>0</v>
      </c>
      <c r="AC144" s="208"/>
      <c r="AD144" s="208"/>
      <c r="AE144" s="208"/>
      <c r="AF144" s="208"/>
      <c r="AG144" s="209" t="str">
        <f>IFERROR(INDEX('Local Data Previous Year'!$F:$F, MATCH($D144, 'Local Data Previous Year'!$D:$D, 0)), "")</f>
        <v/>
      </c>
      <c r="AH144" s="209" t="str">
        <f>IFERROR(INDEX('Local Data Previous Year'!$G:$G, MATCH($D144, 'Local Data Previous Year'!$D:$D, 0)), "")</f>
        <v/>
      </c>
      <c r="AI144" s="209" t="str">
        <f>IFERROR(INDEX('Local Data Previous Year'!$H:$H, MATCH($D144, 'Local Data Previous Year'!$D:$D, 0)), "")</f>
        <v/>
      </c>
      <c r="AJ144" s="209" t="str">
        <f t="shared" si="16"/>
        <v/>
      </c>
      <c r="AK144" s="209" t="str">
        <f t="shared" si="17"/>
        <v/>
      </c>
      <c r="AL144" s="209" t="str">
        <f t="shared" si="18"/>
        <v/>
      </c>
      <c r="AM144" s="208" t="str">
        <f>IF($AN144="","",IFERROR(VLOOKUP(CONCATENATE(CTR1_Billing!$E$20,$AN144),'Local Data Previous Year'!$C$3:$D$50000,2,0),CTR1_Billing!$E$21&amp;"NEW"))</f>
        <v/>
      </c>
      <c r="AN144" s="209" t="str" cm="1">
        <f t="array" ref="AN144">IF(ISERROR(INDEX('Local Data Previous Year'!$E$3:$E$50000, SMALL(IF(CTR1_Billing!$E$21='Local Data Previous Year'!$A$3:$A$50000, ROW('Local Data Previous Year'!$A$3:$A$50000)-ROW('Local Data Previous Year'!$A$3)+1), ROW(112:112)))), "", INDEX('Local Data Previous Year'!$E$3:$E$50000, SMALL(IF(CTR1_Billing!$E$21='Local Data Previous Year'!$A$3:$A$50000, ROW('Local Data Previous Year'!$A$3:$A$50000)-ROW('Local Data Previous Year'!$A$3)+1), ROW(112:112))))</f>
        <v/>
      </c>
      <c r="AO144" s="209" t="str">
        <f t="shared" si="19"/>
        <v/>
      </c>
      <c r="AP144" s="208"/>
      <c r="AQ144" s="209" t="str">
        <f t="shared" si="20"/>
        <v/>
      </c>
      <c r="AR144" s="209" t="str">
        <f t="shared" si="21"/>
        <v/>
      </c>
      <c r="AS144" s="202" t="str">
        <f t="shared" si="22"/>
        <v/>
      </c>
      <c r="AT144" s="202" t="str">
        <f t="shared" si="23"/>
        <v/>
      </c>
      <c r="AU144" s="208"/>
      <c r="AV144" s="208"/>
      <c r="AW144" s="208"/>
      <c r="AX144" s="208"/>
      <c r="AY144" s="208"/>
      <c r="AZ144" s="208"/>
      <c r="BA144" s="208"/>
      <c r="BB144" s="208"/>
      <c r="BC144" s="208"/>
      <c r="BD144" s="208"/>
      <c r="BE144" s="208"/>
      <c r="BF144" s="208"/>
      <c r="BG144" s="28"/>
      <c r="BH144" s="28"/>
      <c r="BI144" s="28"/>
      <c r="BJ144" s="28"/>
    </row>
    <row r="145" spans="1:62" s="23" customFormat="1" ht="21" customHeight="1" thickBot="1" x14ac:dyDescent="0.25">
      <c r="A145" s="846" t="str">
        <f>IF($AN145="","",IFERROR(VLOOKUP(CONCATENATE(CTR1_Billing!$E$20,$AN145),'Local Data Previous Year'!$C$3:$D$20000,2,0),CTR1_Billing!$E$21&amp;"NEW"))</f>
        <v/>
      </c>
      <c r="B145" s="846" t="str">
        <f>IF($E145="","",IFERROR(VLOOKUP(CONCATENATE(CTR1_Billing!$E$20,CTR1_Local!$E145),'Local Data Previous Year'!$C$3:$D$20000,2,0),CTR1_Billing!$E$21&amp;"NEW"))</f>
        <v/>
      </c>
      <c r="C145" s="846">
        <v>113</v>
      </c>
      <c r="D145" s="755" t="str" cm="1">
        <f t="array" ref="D145">IF(ISERROR(INDEX('Local Data Previous Year'!$D$3:$D$20000,SMALL(IF(CTR1_Billing!$E$21='Local Data Previous Year'!$A$3:$A$20000,ROW('Local Data Previous Year'!$A$3:$A$20000)-ROW('Local Data Previous Year'!$A$3)+1),ROW(113:113)))),"",INDEX('Local Data Previous Year'!$D$3:$D$20000,SMALL(IF(CTR1_Billing!$E$21='Local Data Previous Year'!$A$3:$A$20000,ROW('Local Data Previous Year'!$A$3:$A$20000)-ROW('Local Data Previous Year'!$A$3)+1),ROW(113:113))))</f>
        <v/>
      </c>
      <c r="E145" s="755" t="str" cm="1">
        <f t="array" ref="E145">IF(ISERROR(INDEX('Local Data Previous Year'!$E$3:$E$20000,SMALL(IF(CTR1_Billing!$E$21='Local Data Previous Year'!$A$3:$A$20000,ROW('Local Data Previous Year'!$A$3:$A$20000)-ROW('Local Data Previous Year'!$A$3)+1),ROW(113:113)))),"",INDEX('Local Data Previous Year'!$E$3:$E$20000,SMALL(IF(CTR1_Billing!$E$21='Local Data Previous Year'!$A$3:$A$20000,ROW('Local Data Previous Year'!$A$3:$A$20000)-ROW('Local Data Previous Year'!$A$3)+1),ROW(113:113))))</f>
        <v/>
      </c>
      <c r="F145" s="756" t="str">
        <f>IF($D145="","",IF(ISNA(MATCH($D145,'Local Data Previous Year'!$D$3:$D$20000,0)),"New",IFERROR(VLOOKUP($B145,'Local Data Previous Year'!$D$3:$I$20000,6,0),"")))</f>
        <v/>
      </c>
      <c r="G145" s="757">
        <f t="shared" si="24"/>
        <v>0</v>
      </c>
      <c r="H145" s="758" t="str">
        <f>IFERROR(INDEX('Local Data Previous Year'!$F:$F, MATCH($D145, 'Local Data Previous Year'!$D:$D, 0)), "")</f>
        <v/>
      </c>
      <c r="I145" s="759">
        <f>IF(B145=CTR1_Billing!$E$21&amp;"NEW",1,0)</f>
        <v>0</v>
      </c>
      <c r="J145" s="760" t="str">
        <f>IFERROR(INDEX('Local Data Previous Year'!$G:$G, MATCH($D145, 'Local Data Previous Year'!$D:$D, 0)), "")</f>
        <v/>
      </c>
      <c r="K145" s="762"/>
      <c r="L145" s="760" t="str">
        <f>IFERROR(INDEX('Local Data Previous Year'!$H:$H, MATCH($D145, 'Local Data Previous Year'!$D:$D, 0)), "")</f>
        <v/>
      </c>
      <c r="M145" s="762"/>
      <c r="N145" s="763"/>
      <c r="O145" s="767"/>
      <c r="P145" s="765"/>
      <c r="Q145" s="767"/>
      <c r="R145" s="766" t="str">
        <f t="shared" si="25"/>
        <v/>
      </c>
      <c r="S145" s="754"/>
      <c r="T145" s="763"/>
      <c r="U145" s="754"/>
      <c r="V145" s="763"/>
      <c r="W145" s="763"/>
      <c r="X145" s="865" t="str">
        <f>VLOOKUP(CTR1_Billing!$E$21,Data!$C$6:$D$302,1,FALSE)</f>
        <v>EZZZZ</v>
      </c>
      <c r="Y145" s="205"/>
      <c r="Z145" s="205">
        <f t="shared" si="13"/>
        <v>0</v>
      </c>
      <c r="AA145" s="206" t="str">
        <f t="shared" si="14"/>
        <v/>
      </c>
      <c r="AB145" s="205">
        <f t="shared" si="15"/>
        <v>0</v>
      </c>
      <c r="AC145" s="208"/>
      <c r="AD145" s="208"/>
      <c r="AE145" s="208"/>
      <c r="AF145" s="208"/>
      <c r="AG145" s="209" t="str">
        <f>IFERROR(INDEX('Local Data Previous Year'!$F:$F, MATCH($D145, 'Local Data Previous Year'!$D:$D, 0)), "")</f>
        <v/>
      </c>
      <c r="AH145" s="209" t="str">
        <f>IFERROR(INDEX('Local Data Previous Year'!$G:$G, MATCH($D145, 'Local Data Previous Year'!$D:$D, 0)), "")</f>
        <v/>
      </c>
      <c r="AI145" s="209" t="str">
        <f>IFERROR(INDEX('Local Data Previous Year'!$H:$H, MATCH($D145, 'Local Data Previous Year'!$D:$D, 0)), "")</f>
        <v/>
      </c>
      <c r="AJ145" s="209" t="str">
        <f t="shared" si="16"/>
        <v/>
      </c>
      <c r="AK145" s="209" t="str">
        <f t="shared" si="17"/>
        <v/>
      </c>
      <c r="AL145" s="209" t="str">
        <f t="shared" si="18"/>
        <v/>
      </c>
      <c r="AM145" s="208" t="str">
        <f>IF($AN145="","",IFERROR(VLOOKUP(CONCATENATE(CTR1_Billing!$E$20,$AN145),'Local Data Previous Year'!$C$3:$D$50000,2,0),CTR1_Billing!$E$21&amp;"NEW"))</f>
        <v/>
      </c>
      <c r="AN145" s="209" t="str" cm="1">
        <f t="array" ref="AN145">IF(ISERROR(INDEX('Local Data Previous Year'!$E$3:$E$50000, SMALL(IF(CTR1_Billing!$E$21='Local Data Previous Year'!$A$3:$A$50000, ROW('Local Data Previous Year'!$A$3:$A$50000)-ROW('Local Data Previous Year'!$A$3)+1), ROW(113:113)))), "", INDEX('Local Data Previous Year'!$E$3:$E$50000, SMALL(IF(CTR1_Billing!$E$21='Local Data Previous Year'!$A$3:$A$50000, ROW('Local Data Previous Year'!$A$3:$A$50000)-ROW('Local Data Previous Year'!$A$3)+1), ROW(113:113))))</f>
        <v/>
      </c>
      <c r="AO145" s="209" t="str">
        <f t="shared" si="19"/>
        <v/>
      </c>
      <c r="AP145" s="208"/>
      <c r="AQ145" s="209" t="str">
        <f t="shared" si="20"/>
        <v/>
      </c>
      <c r="AR145" s="209" t="str">
        <f t="shared" si="21"/>
        <v/>
      </c>
      <c r="AS145" s="202" t="str">
        <f t="shared" si="22"/>
        <v/>
      </c>
      <c r="AT145" s="202" t="str">
        <f t="shared" si="23"/>
        <v/>
      </c>
      <c r="AU145" s="208"/>
      <c r="AV145" s="208"/>
      <c r="AW145" s="208"/>
      <c r="AX145" s="208"/>
      <c r="AY145" s="208"/>
      <c r="AZ145" s="208"/>
      <c r="BA145" s="208"/>
      <c r="BB145" s="208"/>
      <c r="BC145" s="208"/>
      <c r="BD145" s="208"/>
      <c r="BE145" s="208"/>
      <c r="BF145" s="208"/>
      <c r="BG145" s="28"/>
      <c r="BH145" s="28"/>
      <c r="BI145" s="28"/>
      <c r="BJ145" s="28"/>
    </row>
    <row r="146" spans="1:62" s="23" customFormat="1" ht="21" customHeight="1" thickBot="1" x14ac:dyDescent="0.25">
      <c r="A146" s="846" t="str">
        <f>IF($AN146="","",IFERROR(VLOOKUP(CONCATENATE(CTR1_Billing!$E$20,$AN146),'Local Data Previous Year'!$C$3:$D$20000,2,0),CTR1_Billing!$E$21&amp;"NEW"))</f>
        <v/>
      </c>
      <c r="B146" s="846" t="str">
        <f>IF($E146="","",IFERROR(VLOOKUP(CONCATENATE(CTR1_Billing!$E$20,CTR1_Local!$E146),'Local Data Previous Year'!$C$3:$D$20000,2,0),CTR1_Billing!$E$21&amp;"NEW"))</f>
        <v/>
      </c>
      <c r="C146" s="846">
        <v>114</v>
      </c>
      <c r="D146" s="755" t="str" cm="1">
        <f t="array" ref="D146">IF(ISERROR(INDEX('Local Data Previous Year'!$D$3:$D$20000,SMALL(IF(CTR1_Billing!$E$21='Local Data Previous Year'!$A$3:$A$20000,ROW('Local Data Previous Year'!$A$3:$A$20000)-ROW('Local Data Previous Year'!$A$3)+1),ROW(114:114)))),"",INDEX('Local Data Previous Year'!$D$3:$D$20000,SMALL(IF(CTR1_Billing!$E$21='Local Data Previous Year'!$A$3:$A$20000,ROW('Local Data Previous Year'!$A$3:$A$20000)-ROW('Local Data Previous Year'!$A$3)+1),ROW(114:114))))</f>
        <v/>
      </c>
      <c r="E146" s="755" t="str" cm="1">
        <f t="array" ref="E146">IF(ISERROR(INDEX('Local Data Previous Year'!$E$3:$E$20000,SMALL(IF(CTR1_Billing!$E$21='Local Data Previous Year'!$A$3:$A$20000,ROW('Local Data Previous Year'!$A$3:$A$20000)-ROW('Local Data Previous Year'!$A$3)+1),ROW(114:114)))),"",INDEX('Local Data Previous Year'!$E$3:$E$20000,SMALL(IF(CTR1_Billing!$E$21='Local Data Previous Year'!$A$3:$A$20000,ROW('Local Data Previous Year'!$A$3:$A$20000)-ROW('Local Data Previous Year'!$A$3)+1),ROW(114:114))))</f>
        <v/>
      </c>
      <c r="F146" s="756" t="str">
        <f>IF($D146="","",IF(ISNA(MATCH($D146,'Local Data Previous Year'!$D$3:$D$20000,0)),"New",IFERROR(VLOOKUP($B146,'Local Data Previous Year'!$D$3:$I$20000,6,0),"")))</f>
        <v/>
      </c>
      <c r="G146" s="757">
        <f t="shared" si="24"/>
        <v>0</v>
      </c>
      <c r="H146" s="758" t="str">
        <f>IFERROR(INDEX('Local Data Previous Year'!$F:$F, MATCH($D146, 'Local Data Previous Year'!$D:$D, 0)), "")</f>
        <v/>
      </c>
      <c r="I146" s="759">
        <f>IF(B146=CTR1_Billing!$E$21&amp;"NEW",1,0)</f>
        <v>0</v>
      </c>
      <c r="J146" s="760" t="str">
        <f>IFERROR(INDEX('Local Data Previous Year'!$G:$G, MATCH($D146, 'Local Data Previous Year'!$D:$D, 0)), "")</f>
        <v/>
      </c>
      <c r="K146" s="762"/>
      <c r="L146" s="760" t="str">
        <f>IFERROR(INDEX('Local Data Previous Year'!$H:$H, MATCH($D146, 'Local Data Previous Year'!$D:$D, 0)), "")</f>
        <v/>
      </c>
      <c r="M146" s="762"/>
      <c r="N146" s="763"/>
      <c r="O146" s="767"/>
      <c r="P146" s="765"/>
      <c r="Q146" s="767"/>
      <c r="R146" s="766" t="str">
        <f t="shared" si="25"/>
        <v/>
      </c>
      <c r="S146" s="754"/>
      <c r="T146" s="763"/>
      <c r="U146" s="754"/>
      <c r="V146" s="763"/>
      <c r="W146" s="763"/>
      <c r="X146" s="865" t="str">
        <f>VLOOKUP(CTR1_Billing!$E$21,Data!$C$6:$D$302,1,FALSE)</f>
        <v>EZZZZ</v>
      </c>
      <c r="Y146" s="205"/>
      <c r="Z146" s="205">
        <f t="shared" si="13"/>
        <v>0</v>
      </c>
      <c r="AA146" s="206" t="str">
        <f t="shared" si="14"/>
        <v/>
      </c>
      <c r="AB146" s="205">
        <f t="shared" si="15"/>
        <v>0</v>
      </c>
      <c r="AC146" s="208"/>
      <c r="AD146" s="208"/>
      <c r="AE146" s="208"/>
      <c r="AF146" s="208"/>
      <c r="AG146" s="209" t="str">
        <f>IFERROR(INDEX('Local Data Previous Year'!$F:$F, MATCH($D146, 'Local Data Previous Year'!$D:$D, 0)), "")</f>
        <v/>
      </c>
      <c r="AH146" s="209" t="str">
        <f>IFERROR(INDEX('Local Data Previous Year'!$G:$G, MATCH($D146, 'Local Data Previous Year'!$D:$D, 0)), "")</f>
        <v/>
      </c>
      <c r="AI146" s="209" t="str">
        <f>IFERROR(INDEX('Local Data Previous Year'!$H:$H, MATCH($D146, 'Local Data Previous Year'!$D:$D, 0)), "")</f>
        <v/>
      </c>
      <c r="AJ146" s="209" t="str">
        <f t="shared" si="16"/>
        <v/>
      </c>
      <c r="AK146" s="209" t="str">
        <f t="shared" si="17"/>
        <v/>
      </c>
      <c r="AL146" s="209" t="str">
        <f t="shared" si="18"/>
        <v/>
      </c>
      <c r="AM146" s="208" t="str">
        <f>IF($AN146="","",IFERROR(VLOOKUP(CONCATENATE(CTR1_Billing!$E$20,$AN146),'Local Data Previous Year'!$C$3:$D$50000,2,0),CTR1_Billing!$E$21&amp;"NEW"))</f>
        <v/>
      </c>
      <c r="AN146" s="209" t="str" cm="1">
        <f t="array" ref="AN146">IF(ISERROR(INDEX('Local Data Previous Year'!$E$3:$E$50000, SMALL(IF(CTR1_Billing!$E$21='Local Data Previous Year'!$A$3:$A$50000, ROW('Local Data Previous Year'!$A$3:$A$50000)-ROW('Local Data Previous Year'!$A$3)+1), ROW(114:114)))), "", INDEX('Local Data Previous Year'!$E$3:$E$50000, SMALL(IF(CTR1_Billing!$E$21='Local Data Previous Year'!$A$3:$A$50000, ROW('Local Data Previous Year'!$A$3:$A$50000)-ROW('Local Data Previous Year'!$A$3)+1), ROW(114:114))))</f>
        <v/>
      </c>
      <c r="AO146" s="209" t="str">
        <f t="shared" si="19"/>
        <v/>
      </c>
      <c r="AP146" s="208"/>
      <c r="AQ146" s="209" t="str">
        <f t="shared" si="20"/>
        <v/>
      </c>
      <c r="AR146" s="209" t="str">
        <f t="shared" si="21"/>
        <v/>
      </c>
      <c r="AS146" s="202" t="str">
        <f t="shared" si="22"/>
        <v/>
      </c>
      <c r="AT146" s="202" t="str">
        <f t="shared" si="23"/>
        <v/>
      </c>
      <c r="AU146" s="208"/>
      <c r="AV146" s="208"/>
      <c r="AW146" s="208"/>
      <c r="AX146" s="208"/>
      <c r="AY146" s="208"/>
      <c r="AZ146" s="208"/>
      <c r="BA146" s="208"/>
      <c r="BB146" s="208"/>
      <c r="BC146" s="208"/>
      <c r="BD146" s="208"/>
      <c r="BE146" s="208"/>
      <c r="BF146" s="208"/>
      <c r="BG146" s="28"/>
      <c r="BH146" s="28"/>
      <c r="BI146" s="28"/>
      <c r="BJ146" s="28"/>
    </row>
    <row r="147" spans="1:62" s="23" customFormat="1" ht="21" customHeight="1" thickBot="1" x14ac:dyDescent="0.25">
      <c r="A147" s="846" t="str">
        <f>IF($AN147="","",IFERROR(VLOOKUP(CONCATENATE(CTR1_Billing!$E$20,$AN147),'Local Data Previous Year'!$C$3:$D$20000,2,0),CTR1_Billing!$E$21&amp;"NEW"))</f>
        <v/>
      </c>
      <c r="B147" s="846" t="str">
        <f>IF($E147="","",IFERROR(VLOOKUP(CONCATENATE(CTR1_Billing!$E$20,CTR1_Local!$E147),'Local Data Previous Year'!$C$3:$D$20000,2,0),CTR1_Billing!$E$21&amp;"NEW"))</f>
        <v/>
      </c>
      <c r="C147" s="846">
        <v>115</v>
      </c>
      <c r="D147" s="755" t="str" cm="1">
        <f t="array" ref="D147">IF(ISERROR(INDEX('Local Data Previous Year'!$D$3:$D$20000,SMALL(IF(CTR1_Billing!$E$21='Local Data Previous Year'!$A$3:$A$20000,ROW('Local Data Previous Year'!$A$3:$A$20000)-ROW('Local Data Previous Year'!$A$3)+1),ROW(115:115)))),"",INDEX('Local Data Previous Year'!$D$3:$D$20000,SMALL(IF(CTR1_Billing!$E$21='Local Data Previous Year'!$A$3:$A$20000,ROW('Local Data Previous Year'!$A$3:$A$20000)-ROW('Local Data Previous Year'!$A$3)+1),ROW(115:115))))</f>
        <v/>
      </c>
      <c r="E147" s="755" t="str" cm="1">
        <f t="array" ref="E147">IF(ISERROR(INDEX('Local Data Previous Year'!$E$3:$E$20000,SMALL(IF(CTR1_Billing!$E$21='Local Data Previous Year'!$A$3:$A$20000,ROW('Local Data Previous Year'!$A$3:$A$20000)-ROW('Local Data Previous Year'!$A$3)+1),ROW(115:115)))),"",INDEX('Local Data Previous Year'!$E$3:$E$20000,SMALL(IF(CTR1_Billing!$E$21='Local Data Previous Year'!$A$3:$A$20000,ROW('Local Data Previous Year'!$A$3:$A$20000)-ROW('Local Data Previous Year'!$A$3)+1),ROW(115:115))))</f>
        <v/>
      </c>
      <c r="F147" s="756" t="str">
        <f>IF($D147="","",IF(ISNA(MATCH($D147,'Local Data Previous Year'!$D$3:$D$20000,0)),"New",IFERROR(VLOOKUP($B147,'Local Data Previous Year'!$D$3:$I$20000,6,0),"")))</f>
        <v/>
      </c>
      <c r="G147" s="757">
        <f t="shared" si="24"/>
        <v>0</v>
      </c>
      <c r="H147" s="758" t="str">
        <f>IFERROR(INDEX('Local Data Previous Year'!$F:$F, MATCH($D147, 'Local Data Previous Year'!$D:$D, 0)), "")</f>
        <v/>
      </c>
      <c r="I147" s="759">
        <f>IF(B147=CTR1_Billing!$E$21&amp;"NEW",1,0)</f>
        <v>0</v>
      </c>
      <c r="J147" s="760" t="str">
        <f>IFERROR(INDEX('Local Data Previous Year'!$G:$G, MATCH($D147, 'Local Data Previous Year'!$D:$D, 0)), "")</f>
        <v/>
      </c>
      <c r="K147" s="762"/>
      <c r="L147" s="760" t="str">
        <f>IFERROR(INDEX('Local Data Previous Year'!$H:$H, MATCH($D147, 'Local Data Previous Year'!$D:$D, 0)), "")</f>
        <v/>
      </c>
      <c r="M147" s="762"/>
      <c r="N147" s="763"/>
      <c r="O147" s="767"/>
      <c r="P147" s="765"/>
      <c r="Q147" s="767"/>
      <c r="R147" s="766" t="str">
        <f t="shared" si="25"/>
        <v/>
      </c>
      <c r="S147" s="754"/>
      <c r="T147" s="763"/>
      <c r="U147" s="754"/>
      <c r="V147" s="763"/>
      <c r="W147" s="763"/>
      <c r="X147" s="865" t="str">
        <f>VLOOKUP(CTR1_Billing!$E$21,Data!$C$6:$D$302,1,FALSE)</f>
        <v>EZZZZ</v>
      </c>
      <c r="Y147" s="205"/>
      <c r="Z147" s="205">
        <f t="shared" si="13"/>
        <v>0</v>
      </c>
      <c r="AA147" s="206" t="str">
        <f t="shared" si="14"/>
        <v/>
      </c>
      <c r="AB147" s="205">
        <f t="shared" si="15"/>
        <v>0</v>
      </c>
      <c r="AC147" s="208"/>
      <c r="AD147" s="208"/>
      <c r="AE147" s="208"/>
      <c r="AF147" s="208"/>
      <c r="AG147" s="209" t="str">
        <f>IFERROR(INDEX('Local Data Previous Year'!$F:$F, MATCH($D147, 'Local Data Previous Year'!$D:$D, 0)), "")</f>
        <v/>
      </c>
      <c r="AH147" s="209" t="str">
        <f>IFERROR(INDEX('Local Data Previous Year'!$G:$G, MATCH($D147, 'Local Data Previous Year'!$D:$D, 0)), "")</f>
        <v/>
      </c>
      <c r="AI147" s="209" t="str">
        <f>IFERROR(INDEX('Local Data Previous Year'!$H:$H, MATCH($D147, 'Local Data Previous Year'!$D:$D, 0)), "")</f>
        <v/>
      </c>
      <c r="AJ147" s="209" t="str">
        <f t="shared" si="16"/>
        <v/>
      </c>
      <c r="AK147" s="209" t="str">
        <f t="shared" si="17"/>
        <v/>
      </c>
      <c r="AL147" s="209" t="str">
        <f t="shared" si="18"/>
        <v/>
      </c>
      <c r="AM147" s="208" t="str">
        <f>IF($AN147="","",IFERROR(VLOOKUP(CONCATENATE(CTR1_Billing!$E$20,$AN147),'Local Data Previous Year'!$C$3:$D$50000,2,0),CTR1_Billing!$E$21&amp;"NEW"))</f>
        <v/>
      </c>
      <c r="AN147" s="209" t="str" cm="1">
        <f t="array" ref="AN147">IF(ISERROR(INDEX('Local Data Previous Year'!$E$3:$E$50000, SMALL(IF(CTR1_Billing!$E$21='Local Data Previous Year'!$A$3:$A$50000, ROW('Local Data Previous Year'!$A$3:$A$50000)-ROW('Local Data Previous Year'!$A$3)+1), ROW(115:115)))), "", INDEX('Local Data Previous Year'!$E$3:$E$50000, SMALL(IF(CTR1_Billing!$E$21='Local Data Previous Year'!$A$3:$A$50000, ROW('Local Data Previous Year'!$A$3:$A$50000)-ROW('Local Data Previous Year'!$A$3)+1), ROW(115:115))))</f>
        <v/>
      </c>
      <c r="AO147" s="209" t="str">
        <f t="shared" si="19"/>
        <v/>
      </c>
      <c r="AP147" s="208"/>
      <c r="AQ147" s="209" t="str">
        <f t="shared" si="20"/>
        <v/>
      </c>
      <c r="AR147" s="209" t="str">
        <f t="shared" si="21"/>
        <v/>
      </c>
      <c r="AS147" s="202" t="str">
        <f t="shared" si="22"/>
        <v/>
      </c>
      <c r="AT147" s="202" t="str">
        <f t="shared" si="23"/>
        <v/>
      </c>
      <c r="AU147" s="208"/>
      <c r="AV147" s="208"/>
      <c r="AW147" s="208"/>
      <c r="AX147" s="208"/>
      <c r="AY147" s="208"/>
      <c r="AZ147" s="208"/>
      <c r="BA147" s="208"/>
      <c r="BB147" s="208"/>
      <c r="BC147" s="208"/>
      <c r="BD147" s="208"/>
      <c r="BE147" s="208"/>
      <c r="BF147" s="208"/>
      <c r="BG147" s="28"/>
      <c r="BH147" s="28"/>
      <c r="BI147" s="28"/>
      <c r="BJ147" s="28"/>
    </row>
    <row r="148" spans="1:62" s="23" customFormat="1" ht="21" customHeight="1" thickBot="1" x14ac:dyDescent="0.25">
      <c r="A148" s="846" t="str">
        <f>IF($AN148="","",IFERROR(VLOOKUP(CONCATENATE(CTR1_Billing!$E$20,$AN148),'Local Data Previous Year'!$C$3:$D$20000,2,0),CTR1_Billing!$E$21&amp;"NEW"))</f>
        <v/>
      </c>
      <c r="B148" s="846" t="str">
        <f>IF($E148="","",IFERROR(VLOOKUP(CONCATENATE(CTR1_Billing!$E$20,CTR1_Local!$E148),'Local Data Previous Year'!$C$3:$D$20000,2,0),CTR1_Billing!$E$21&amp;"NEW"))</f>
        <v/>
      </c>
      <c r="C148" s="846">
        <v>116</v>
      </c>
      <c r="D148" s="755" t="str" cm="1">
        <f t="array" ref="D148">IF(ISERROR(INDEX('Local Data Previous Year'!$D$3:$D$20000,SMALL(IF(CTR1_Billing!$E$21='Local Data Previous Year'!$A$3:$A$20000,ROW('Local Data Previous Year'!$A$3:$A$20000)-ROW('Local Data Previous Year'!$A$3)+1),ROW(116:116)))),"",INDEX('Local Data Previous Year'!$D$3:$D$20000,SMALL(IF(CTR1_Billing!$E$21='Local Data Previous Year'!$A$3:$A$20000,ROW('Local Data Previous Year'!$A$3:$A$20000)-ROW('Local Data Previous Year'!$A$3)+1),ROW(116:116))))</f>
        <v/>
      </c>
      <c r="E148" s="755" t="str" cm="1">
        <f t="array" ref="E148">IF(ISERROR(INDEX('Local Data Previous Year'!$E$3:$E$20000,SMALL(IF(CTR1_Billing!$E$21='Local Data Previous Year'!$A$3:$A$20000,ROW('Local Data Previous Year'!$A$3:$A$20000)-ROW('Local Data Previous Year'!$A$3)+1),ROW(116:116)))),"",INDEX('Local Data Previous Year'!$E$3:$E$20000,SMALL(IF(CTR1_Billing!$E$21='Local Data Previous Year'!$A$3:$A$20000,ROW('Local Data Previous Year'!$A$3:$A$20000)-ROW('Local Data Previous Year'!$A$3)+1),ROW(116:116))))</f>
        <v/>
      </c>
      <c r="F148" s="756" t="str">
        <f>IF($D148="","",IF(ISNA(MATCH($D148,'Local Data Previous Year'!$D$3:$D$20000,0)),"New",IFERROR(VLOOKUP($B148,'Local Data Previous Year'!$D$3:$I$20000,6,0),"")))</f>
        <v/>
      </c>
      <c r="G148" s="757">
        <f t="shared" si="24"/>
        <v>0</v>
      </c>
      <c r="H148" s="758" t="str">
        <f>IFERROR(INDEX('Local Data Previous Year'!$F:$F, MATCH($D148, 'Local Data Previous Year'!$D:$D, 0)), "")</f>
        <v/>
      </c>
      <c r="I148" s="759">
        <f>IF(B148=CTR1_Billing!$E$21&amp;"NEW",1,0)</f>
        <v>0</v>
      </c>
      <c r="J148" s="760" t="str">
        <f>IFERROR(INDEX('Local Data Previous Year'!$G:$G, MATCH($D148, 'Local Data Previous Year'!$D:$D, 0)), "")</f>
        <v/>
      </c>
      <c r="K148" s="762"/>
      <c r="L148" s="760" t="str">
        <f>IFERROR(INDEX('Local Data Previous Year'!$H:$H, MATCH($D148, 'Local Data Previous Year'!$D:$D, 0)), "")</f>
        <v/>
      </c>
      <c r="M148" s="762"/>
      <c r="N148" s="763"/>
      <c r="O148" s="767"/>
      <c r="P148" s="765"/>
      <c r="Q148" s="767"/>
      <c r="R148" s="766" t="str">
        <f t="shared" si="25"/>
        <v/>
      </c>
      <c r="S148" s="754"/>
      <c r="T148" s="763"/>
      <c r="U148" s="754"/>
      <c r="V148" s="763"/>
      <c r="W148" s="763"/>
      <c r="X148" s="865" t="str">
        <f>VLOOKUP(CTR1_Billing!$E$21,Data!$C$6:$D$302,1,FALSE)</f>
        <v>EZZZZ</v>
      </c>
      <c r="Y148" s="205"/>
      <c r="Z148" s="205">
        <f t="shared" si="13"/>
        <v>0</v>
      </c>
      <c r="AA148" s="206" t="str">
        <f t="shared" si="14"/>
        <v/>
      </c>
      <c r="AB148" s="205">
        <f t="shared" si="15"/>
        <v>0</v>
      </c>
      <c r="AC148" s="208"/>
      <c r="AD148" s="208"/>
      <c r="AE148" s="208"/>
      <c r="AF148" s="208"/>
      <c r="AG148" s="209" t="str">
        <f>IFERROR(INDEX('Local Data Previous Year'!$F:$F, MATCH($D148, 'Local Data Previous Year'!$D:$D, 0)), "")</f>
        <v/>
      </c>
      <c r="AH148" s="209" t="str">
        <f>IFERROR(INDEX('Local Data Previous Year'!$G:$G, MATCH($D148, 'Local Data Previous Year'!$D:$D, 0)), "")</f>
        <v/>
      </c>
      <c r="AI148" s="209" t="str">
        <f>IFERROR(INDEX('Local Data Previous Year'!$H:$H, MATCH($D148, 'Local Data Previous Year'!$D:$D, 0)), "")</f>
        <v/>
      </c>
      <c r="AJ148" s="209" t="str">
        <f t="shared" si="16"/>
        <v/>
      </c>
      <c r="AK148" s="209" t="str">
        <f t="shared" si="17"/>
        <v/>
      </c>
      <c r="AL148" s="209" t="str">
        <f t="shared" si="18"/>
        <v/>
      </c>
      <c r="AM148" s="208" t="str">
        <f>IF($AN148="","",IFERROR(VLOOKUP(CONCATENATE(CTR1_Billing!$E$20,$AN148),'Local Data Previous Year'!$C$3:$D$50000,2,0),CTR1_Billing!$E$21&amp;"NEW"))</f>
        <v/>
      </c>
      <c r="AN148" s="209" t="str" cm="1">
        <f t="array" ref="AN148">IF(ISERROR(INDEX('Local Data Previous Year'!$E$3:$E$50000, SMALL(IF(CTR1_Billing!$E$21='Local Data Previous Year'!$A$3:$A$50000, ROW('Local Data Previous Year'!$A$3:$A$50000)-ROW('Local Data Previous Year'!$A$3)+1), ROW(116:116)))), "", INDEX('Local Data Previous Year'!$E$3:$E$50000, SMALL(IF(CTR1_Billing!$E$21='Local Data Previous Year'!$A$3:$A$50000, ROW('Local Data Previous Year'!$A$3:$A$50000)-ROW('Local Data Previous Year'!$A$3)+1), ROW(116:116))))</f>
        <v/>
      </c>
      <c r="AO148" s="209" t="str">
        <f t="shared" si="19"/>
        <v/>
      </c>
      <c r="AP148" s="208"/>
      <c r="AQ148" s="209" t="str">
        <f t="shared" si="20"/>
        <v/>
      </c>
      <c r="AR148" s="209" t="str">
        <f t="shared" si="21"/>
        <v/>
      </c>
      <c r="AS148" s="202" t="str">
        <f t="shared" si="22"/>
        <v/>
      </c>
      <c r="AT148" s="202" t="str">
        <f t="shared" si="23"/>
        <v/>
      </c>
      <c r="AU148" s="208"/>
      <c r="AV148" s="208"/>
      <c r="AW148" s="208"/>
      <c r="AX148" s="208"/>
      <c r="AY148" s="208"/>
      <c r="AZ148" s="208"/>
      <c r="BA148" s="208"/>
      <c r="BB148" s="208"/>
      <c r="BC148" s="208"/>
      <c r="BD148" s="208"/>
      <c r="BE148" s="208"/>
      <c r="BF148" s="208"/>
      <c r="BG148" s="28"/>
      <c r="BH148" s="28"/>
      <c r="BI148" s="28"/>
      <c r="BJ148" s="28"/>
    </row>
    <row r="149" spans="1:62" s="23" customFormat="1" ht="21" customHeight="1" thickBot="1" x14ac:dyDescent="0.25">
      <c r="A149" s="846" t="str">
        <f>IF($AN149="","",IFERROR(VLOOKUP(CONCATENATE(CTR1_Billing!$E$20,$AN149),'Local Data Previous Year'!$C$3:$D$20000,2,0),CTR1_Billing!$E$21&amp;"NEW"))</f>
        <v/>
      </c>
      <c r="B149" s="846" t="str">
        <f>IF($E149="","",IFERROR(VLOOKUP(CONCATENATE(CTR1_Billing!$E$20,CTR1_Local!$E149),'Local Data Previous Year'!$C$3:$D$20000,2,0),CTR1_Billing!$E$21&amp;"NEW"))</f>
        <v/>
      </c>
      <c r="C149" s="846">
        <v>117</v>
      </c>
      <c r="D149" s="755" t="str" cm="1">
        <f t="array" ref="D149">IF(ISERROR(INDEX('Local Data Previous Year'!$D$3:$D$20000,SMALL(IF(CTR1_Billing!$E$21='Local Data Previous Year'!$A$3:$A$20000,ROW('Local Data Previous Year'!$A$3:$A$20000)-ROW('Local Data Previous Year'!$A$3)+1),ROW(117:117)))),"",INDEX('Local Data Previous Year'!$D$3:$D$20000,SMALL(IF(CTR1_Billing!$E$21='Local Data Previous Year'!$A$3:$A$20000,ROW('Local Data Previous Year'!$A$3:$A$20000)-ROW('Local Data Previous Year'!$A$3)+1),ROW(117:117))))</f>
        <v/>
      </c>
      <c r="E149" s="755" t="str" cm="1">
        <f t="array" ref="E149">IF(ISERROR(INDEX('Local Data Previous Year'!$E$3:$E$20000,SMALL(IF(CTR1_Billing!$E$21='Local Data Previous Year'!$A$3:$A$20000,ROW('Local Data Previous Year'!$A$3:$A$20000)-ROW('Local Data Previous Year'!$A$3)+1),ROW(117:117)))),"",INDEX('Local Data Previous Year'!$E$3:$E$20000,SMALL(IF(CTR1_Billing!$E$21='Local Data Previous Year'!$A$3:$A$20000,ROW('Local Data Previous Year'!$A$3:$A$20000)-ROW('Local Data Previous Year'!$A$3)+1),ROW(117:117))))</f>
        <v/>
      </c>
      <c r="F149" s="756" t="str">
        <f>IF($D149="","",IF(ISNA(MATCH($D149,'Local Data Previous Year'!$D$3:$D$20000,0)),"New",IFERROR(VLOOKUP($B149,'Local Data Previous Year'!$D$3:$I$20000,6,0),"")))</f>
        <v/>
      </c>
      <c r="G149" s="757">
        <f t="shared" si="24"/>
        <v>0</v>
      </c>
      <c r="H149" s="758" t="str">
        <f>IFERROR(INDEX('Local Data Previous Year'!$F:$F, MATCH($D149, 'Local Data Previous Year'!$D:$D, 0)), "")</f>
        <v/>
      </c>
      <c r="I149" s="759">
        <f>IF(B149=CTR1_Billing!$E$21&amp;"NEW",1,0)</f>
        <v>0</v>
      </c>
      <c r="J149" s="760" t="str">
        <f>IFERROR(INDEX('Local Data Previous Year'!$G:$G, MATCH($D149, 'Local Data Previous Year'!$D:$D, 0)), "")</f>
        <v/>
      </c>
      <c r="K149" s="762"/>
      <c r="L149" s="760" t="str">
        <f>IFERROR(INDEX('Local Data Previous Year'!$H:$H, MATCH($D149, 'Local Data Previous Year'!$D:$D, 0)), "")</f>
        <v/>
      </c>
      <c r="M149" s="762"/>
      <c r="N149" s="763"/>
      <c r="O149" s="767"/>
      <c r="P149" s="765"/>
      <c r="Q149" s="767"/>
      <c r="R149" s="766" t="str">
        <f t="shared" si="25"/>
        <v/>
      </c>
      <c r="S149" s="754"/>
      <c r="T149" s="763"/>
      <c r="U149" s="754"/>
      <c r="V149" s="763"/>
      <c r="W149" s="763"/>
      <c r="X149" s="865" t="str">
        <f>VLOOKUP(CTR1_Billing!$E$21,Data!$C$6:$D$302,1,FALSE)</f>
        <v>EZZZZ</v>
      </c>
      <c r="Y149" s="205"/>
      <c r="Z149" s="205">
        <f t="shared" si="13"/>
        <v>0</v>
      </c>
      <c r="AA149" s="206" t="str">
        <f t="shared" si="14"/>
        <v/>
      </c>
      <c r="AB149" s="205">
        <f t="shared" si="15"/>
        <v>0</v>
      </c>
      <c r="AC149" s="208"/>
      <c r="AD149" s="208"/>
      <c r="AE149" s="208"/>
      <c r="AF149" s="208"/>
      <c r="AG149" s="209" t="str">
        <f>IFERROR(INDEX('Local Data Previous Year'!$F:$F, MATCH($D149, 'Local Data Previous Year'!$D:$D, 0)), "")</f>
        <v/>
      </c>
      <c r="AH149" s="209" t="str">
        <f>IFERROR(INDEX('Local Data Previous Year'!$G:$G, MATCH($D149, 'Local Data Previous Year'!$D:$D, 0)), "")</f>
        <v/>
      </c>
      <c r="AI149" s="209" t="str">
        <f>IFERROR(INDEX('Local Data Previous Year'!$H:$H, MATCH($D149, 'Local Data Previous Year'!$D:$D, 0)), "")</f>
        <v/>
      </c>
      <c r="AJ149" s="209" t="str">
        <f t="shared" si="16"/>
        <v/>
      </c>
      <c r="AK149" s="209" t="str">
        <f t="shared" si="17"/>
        <v/>
      </c>
      <c r="AL149" s="209" t="str">
        <f t="shared" si="18"/>
        <v/>
      </c>
      <c r="AM149" s="208" t="str">
        <f>IF($AN149="","",IFERROR(VLOOKUP(CONCATENATE(CTR1_Billing!$E$20,$AN149),'Local Data Previous Year'!$C$3:$D$50000,2,0),CTR1_Billing!$E$21&amp;"NEW"))</f>
        <v/>
      </c>
      <c r="AN149" s="209" t="str" cm="1">
        <f t="array" ref="AN149">IF(ISERROR(INDEX('Local Data Previous Year'!$E$3:$E$50000, SMALL(IF(CTR1_Billing!$E$21='Local Data Previous Year'!$A$3:$A$50000, ROW('Local Data Previous Year'!$A$3:$A$50000)-ROW('Local Data Previous Year'!$A$3)+1), ROW(117:117)))), "", INDEX('Local Data Previous Year'!$E$3:$E$50000, SMALL(IF(CTR1_Billing!$E$21='Local Data Previous Year'!$A$3:$A$50000, ROW('Local Data Previous Year'!$A$3:$A$50000)-ROW('Local Data Previous Year'!$A$3)+1), ROW(117:117))))</f>
        <v/>
      </c>
      <c r="AO149" s="209" t="str">
        <f t="shared" si="19"/>
        <v/>
      </c>
      <c r="AP149" s="208"/>
      <c r="AQ149" s="209" t="str">
        <f t="shared" si="20"/>
        <v/>
      </c>
      <c r="AR149" s="209" t="str">
        <f t="shared" si="21"/>
        <v/>
      </c>
      <c r="AS149" s="202" t="str">
        <f t="shared" si="22"/>
        <v/>
      </c>
      <c r="AT149" s="202" t="str">
        <f t="shared" si="23"/>
        <v/>
      </c>
      <c r="AU149" s="208"/>
      <c r="AV149" s="208"/>
      <c r="AW149" s="208"/>
      <c r="AX149" s="208"/>
      <c r="AY149" s="208"/>
      <c r="AZ149" s="208"/>
      <c r="BA149" s="208"/>
      <c r="BB149" s="208"/>
      <c r="BC149" s="208"/>
      <c r="BD149" s="208"/>
      <c r="BE149" s="208"/>
      <c r="BF149" s="208"/>
      <c r="BG149" s="28"/>
      <c r="BH149" s="28"/>
      <c r="BI149" s="28"/>
      <c r="BJ149" s="28"/>
    </row>
    <row r="150" spans="1:62" s="23" customFormat="1" ht="21" customHeight="1" thickBot="1" x14ac:dyDescent="0.25">
      <c r="A150" s="846" t="str">
        <f>IF($AN150="","",IFERROR(VLOOKUP(CONCATENATE(CTR1_Billing!$E$20,$AN150),'Local Data Previous Year'!$C$3:$D$20000,2,0),CTR1_Billing!$E$21&amp;"NEW"))</f>
        <v/>
      </c>
      <c r="B150" s="846" t="str">
        <f>IF($E150="","",IFERROR(VLOOKUP(CONCATENATE(CTR1_Billing!$E$20,CTR1_Local!$E150),'Local Data Previous Year'!$C$3:$D$20000,2,0),CTR1_Billing!$E$21&amp;"NEW"))</f>
        <v/>
      </c>
      <c r="C150" s="846">
        <v>118</v>
      </c>
      <c r="D150" s="755" t="str" cm="1">
        <f t="array" ref="D150">IF(ISERROR(INDEX('Local Data Previous Year'!$D$3:$D$20000,SMALL(IF(CTR1_Billing!$E$21='Local Data Previous Year'!$A$3:$A$20000,ROW('Local Data Previous Year'!$A$3:$A$20000)-ROW('Local Data Previous Year'!$A$3)+1),ROW(118:118)))),"",INDEX('Local Data Previous Year'!$D$3:$D$20000,SMALL(IF(CTR1_Billing!$E$21='Local Data Previous Year'!$A$3:$A$20000,ROW('Local Data Previous Year'!$A$3:$A$20000)-ROW('Local Data Previous Year'!$A$3)+1),ROW(118:118))))</f>
        <v/>
      </c>
      <c r="E150" s="755" t="str" cm="1">
        <f t="array" ref="E150">IF(ISERROR(INDEX('Local Data Previous Year'!$E$3:$E$20000,SMALL(IF(CTR1_Billing!$E$21='Local Data Previous Year'!$A$3:$A$20000,ROW('Local Data Previous Year'!$A$3:$A$20000)-ROW('Local Data Previous Year'!$A$3)+1),ROW(118:118)))),"",INDEX('Local Data Previous Year'!$E$3:$E$20000,SMALL(IF(CTR1_Billing!$E$21='Local Data Previous Year'!$A$3:$A$20000,ROW('Local Data Previous Year'!$A$3:$A$20000)-ROW('Local Data Previous Year'!$A$3)+1),ROW(118:118))))</f>
        <v/>
      </c>
      <c r="F150" s="756" t="str">
        <f>IF($D150="","",IF(ISNA(MATCH($D150,'Local Data Previous Year'!$D$3:$D$20000,0)),"New",IFERROR(VLOOKUP($B150,'Local Data Previous Year'!$D$3:$I$20000,6,0),"")))</f>
        <v/>
      </c>
      <c r="G150" s="757">
        <f t="shared" si="24"/>
        <v>0</v>
      </c>
      <c r="H150" s="758" t="str">
        <f>IFERROR(INDEX('Local Data Previous Year'!$F:$F, MATCH($D150, 'Local Data Previous Year'!$D:$D, 0)), "")</f>
        <v/>
      </c>
      <c r="I150" s="759">
        <f>IF(B150=CTR1_Billing!$E$21&amp;"NEW",1,0)</f>
        <v>0</v>
      </c>
      <c r="J150" s="760" t="str">
        <f>IFERROR(INDEX('Local Data Previous Year'!$G:$G, MATCH($D150, 'Local Data Previous Year'!$D:$D, 0)), "")</f>
        <v/>
      </c>
      <c r="K150" s="762"/>
      <c r="L150" s="760" t="str">
        <f>IFERROR(INDEX('Local Data Previous Year'!$H:$H, MATCH($D150, 'Local Data Previous Year'!$D:$D, 0)), "")</f>
        <v/>
      </c>
      <c r="M150" s="762"/>
      <c r="N150" s="763"/>
      <c r="O150" s="767"/>
      <c r="P150" s="765"/>
      <c r="Q150" s="767"/>
      <c r="R150" s="766" t="str">
        <f t="shared" si="25"/>
        <v/>
      </c>
      <c r="S150" s="754"/>
      <c r="T150" s="763"/>
      <c r="U150" s="754"/>
      <c r="V150" s="763"/>
      <c r="W150" s="763"/>
      <c r="X150" s="865" t="str">
        <f>VLOOKUP(CTR1_Billing!$E$21,Data!$C$6:$D$302,1,FALSE)</f>
        <v>EZZZZ</v>
      </c>
      <c r="Y150" s="205"/>
      <c r="Z150" s="205">
        <f t="shared" si="13"/>
        <v>0</v>
      </c>
      <c r="AA150" s="206" t="str">
        <f t="shared" si="14"/>
        <v/>
      </c>
      <c r="AB150" s="205">
        <f t="shared" si="15"/>
        <v>0</v>
      </c>
      <c r="AC150" s="208"/>
      <c r="AD150" s="208"/>
      <c r="AE150" s="208"/>
      <c r="AF150" s="208"/>
      <c r="AG150" s="209" t="str">
        <f>IFERROR(INDEX('Local Data Previous Year'!$F:$F, MATCH($D150, 'Local Data Previous Year'!$D:$D, 0)), "")</f>
        <v/>
      </c>
      <c r="AH150" s="209" t="str">
        <f>IFERROR(INDEX('Local Data Previous Year'!$G:$G, MATCH($D150, 'Local Data Previous Year'!$D:$D, 0)), "")</f>
        <v/>
      </c>
      <c r="AI150" s="209" t="str">
        <f>IFERROR(INDEX('Local Data Previous Year'!$H:$H, MATCH($D150, 'Local Data Previous Year'!$D:$D, 0)), "")</f>
        <v/>
      </c>
      <c r="AJ150" s="209" t="str">
        <f t="shared" si="16"/>
        <v/>
      </c>
      <c r="AK150" s="209" t="str">
        <f t="shared" si="17"/>
        <v/>
      </c>
      <c r="AL150" s="209" t="str">
        <f t="shared" si="18"/>
        <v/>
      </c>
      <c r="AM150" s="208" t="str">
        <f>IF($AN150="","",IFERROR(VLOOKUP(CONCATENATE(CTR1_Billing!$E$20,$AN150),'Local Data Previous Year'!$C$3:$D$50000,2,0),CTR1_Billing!$E$21&amp;"NEW"))</f>
        <v/>
      </c>
      <c r="AN150" s="209" t="str" cm="1">
        <f t="array" ref="AN150">IF(ISERROR(INDEX('Local Data Previous Year'!$E$3:$E$50000, SMALL(IF(CTR1_Billing!$E$21='Local Data Previous Year'!$A$3:$A$50000, ROW('Local Data Previous Year'!$A$3:$A$50000)-ROW('Local Data Previous Year'!$A$3)+1), ROW(118:118)))), "", INDEX('Local Data Previous Year'!$E$3:$E$50000, SMALL(IF(CTR1_Billing!$E$21='Local Data Previous Year'!$A$3:$A$50000, ROW('Local Data Previous Year'!$A$3:$A$50000)-ROW('Local Data Previous Year'!$A$3)+1), ROW(118:118))))</f>
        <v/>
      </c>
      <c r="AO150" s="209" t="str">
        <f t="shared" si="19"/>
        <v/>
      </c>
      <c r="AP150" s="208"/>
      <c r="AQ150" s="209" t="str">
        <f t="shared" si="20"/>
        <v/>
      </c>
      <c r="AR150" s="209" t="str">
        <f t="shared" si="21"/>
        <v/>
      </c>
      <c r="AS150" s="202" t="str">
        <f t="shared" si="22"/>
        <v/>
      </c>
      <c r="AT150" s="202" t="str">
        <f t="shared" si="23"/>
        <v/>
      </c>
      <c r="AU150" s="208"/>
      <c r="AV150" s="208"/>
      <c r="AW150" s="208"/>
      <c r="AX150" s="208"/>
      <c r="AY150" s="208"/>
      <c r="AZ150" s="208"/>
      <c r="BA150" s="208"/>
      <c r="BB150" s="208"/>
      <c r="BC150" s="208"/>
      <c r="BD150" s="208"/>
      <c r="BE150" s="208"/>
      <c r="BF150" s="208"/>
      <c r="BG150" s="28"/>
      <c r="BH150" s="28"/>
      <c r="BI150" s="28"/>
      <c r="BJ150" s="28"/>
    </row>
    <row r="151" spans="1:62" s="23" customFormat="1" ht="21" customHeight="1" thickBot="1" x14ac:dyDescent="0.25">
      <c r="A151" s="846" t="str">
        <f>IF($AN151="","",IFERROR(VLOOKUP(CONCATENATE(CTR1_Billing!$E$20,$AN151),'Local Data Previous Year'!$C$3:$D$20000,2,0),CTR1_Billing!$E$21&amp;"NEW"))</f>
        <v/>
      </c>
      <c r="B151" s="846" t="str">
        <f>IF($E151="","",IFERROR(VLOOKUP(CONCATENATE(CTR1_Billing!$E$20,CTR1_Local!$E151),'Local Data Previous Year'!$C$3:$D$20000,2,0),CTR1_Billing!$E$21&amp;"NEW"))</f>
        <v/>
      </c>
      <c r="C151" s="846">
        <v>119</v>
      </c>
      <c r="D151" s="755" t="str" cm="1">
        <f t="array" ref="D151">IF(ISERROR(INDEX('Local Data Previous Year'!$D$3:$D$20000,SMALL(IF(CTR1_Billing!$E$21='Local Data Previous Year'!$A$3:$A$20000,ROW('Local Data Previous Year'!$A$3:$A$20000)-ROW('Local Data Previous Year'!$A$3)+1),ROW(119:119)))),"",INDEX('Local Data Previous Year'!$D$3:$D$20000,SMALL(IF(CTR1_Billing!$E$21='Local Data Previous Year'!$A$3:$A$20000,ROW('Local Data Previous Year'!$A$3:$A$20000)-ROW('Local Data Previous Year'!$A$3)+1),ROW(119:119))))</f>
        <v/>
      </c>
      <c r="E151" s="755" t="str" cm="1">
        <f t="array" ref="E151">IF(ISERROR(INDEX('Local Data Previous Year'!$E$3:$E$20000,SMALL(IF(CTR1_Billing!$E$21='Local Data Previous Year'!$A$3:$A$20000,ROW('Local Data Previous Year'!$A$3:$A$20000)-ROW('Local Data Previous Year'!$A$3)+1),ROW(119:119)))),"",INDEX('Local Data Previous Year'!$E$3:$E$20000,SMALL(IF(CTR1_Billing!$E$21='Local Data Previous Year'!$A$3:$A$20000,ROW('Local Data Previous Year'!$A$3:$A$20000)-ROW('Local Data Previous Year'!$A$3)+1),ROW(119:119))))</f>
        <v/>
      </c>
      <c r="F151" s="756" t="str">
        <f>IF($D151="","",IF(ISNA(MATCH($D151,'Local Data Previous Year'!$D$3:$D$20000,0)),"New",IFERROR(VLOOKUP($B151,'Local Data Previous Year'!$D$3:$I$20000,6,0),"")))</f>
        <v/>
      </c>
      <c r="G151" s="757">
        <f t="shared" si="24"/>
        <v>0</v>
      </c>
      <c r="H151" s="758" t="str">
        <f>IFERROR(INDEX('Local Data Previous Year'!$F:$F, MATCH($D151, 'Local Data Previous Year'!$D:$D, 0)), "")</f>
        <v/>
      </c>
      <c r="I151" s="759">
        <f>IF(B151=CTR1_Billing!$E$21&amp;"NEW",1,0)</f>
        <v>0</v>
      </c>
      <c r="J151" s="760" t="str">
        <f>IFERROR(INDEX('Local Data Previous Year'!$G:$G, MATCH($D151, 'Local Data Previous Year'!$D:$D, 0)), "")</f>
        <v/>
      </c>
      <c r="K151" s="762"/>
      <c r="L151" s="760" t="str">
        <f>IFERROR(INDEX('Local Data Previous Year'!$H:$H, MATCH($D151, 'Local Data Previous Year'!$D:$D, 0)), "")</f>
        <v/>
      </c>
      <c r="M151" s="762"/>
      <c r="N151" s="763"/>
      <c r="O151" s="767"/>
      <c r="P151" s="765"/>
      <c r="Q151" s="767"/>
      <c r="R151" s="766" t="str">
        <f t="shared" si="25"/>
        <v/>
      </c>
      <c r="S151" s="754"/>
      <c r="T151" s="763"/>
      <c r="U151" s="754"/>
      <c r="V151" s="763"/>
      <c r="W151" s="763"/>
      <c r="X151" s="865" t="str">
        <f>VLOOKUP(CTR1_Billing!$E$21,Data!$C$6:$D$302,1,FALSE)</f>
        <v>EZZZZ</v>
      </c>
      <c r="Y151" s="205"/>
      <c r="Z151" s="205">
        <f t="shared" si="13"/>
        <v>0</v>
      </c>
      <c r="AA151" s="206" t="str">
        <f t="shared" si="14"/>
        <v/>
      </c>
      <c r="AB151" s="205">
        <f t="shared" si="15"/>
        <v>0</v>
      </c>
      <c r="AC151" s="208"/>
      <c r="AD151" s="208"/>
      <c r="AE151" s="208"/>
      <c r="AF151" s="208"/>
      <c r="AG151" s="209" t="str">
        <f>IFERROR(INDEX('Local Data Previous Year'!$F:$F, MATCH($D151, 'Local Data Previous Year'!$D:$D, 0)), "")</f>
        <v/>
      </c>
      <c r="AH151" s="209" t="str">
        <f>IFERROR(INDEX('Local Data Previous Year'!$G:$G, MATCH($D151, 'Local Data Previous Year'!$D:$D, 0)), "")</f>
        <v/>
      </c>
      <c r="AI151" s="209" t="str">
        <f>IFERROR(INDEX('Local Data Previous Year'!$H:$H, MATCH($D151, 'Local Data Previous Year'!$D:$D, 0)), "")</f>
        <v/>
      </c>
      <c r="AJ151" s="209" t="str">
        <f t="shared" si="16"/>
        <v/>
      </c>
      <c r="AK151" s="209" t="str">
        <f t="shared" si="17"/>
        <v/>
      </c>
      <c r="AL151" s="209" t="str">
        <f t="shared" si="18"/>
        <v/>
      </c>
      <c r="AM151" s="208" t="str">
        <f>IF($AN151="","",IFERROR(VLOOKUP(CONCATENATE(CTR1_Billing!$E$20,$AN151),'Local Data Previous Year'!$C$3:$D$50000,2,0),CTR1_Billing!$E$21&amp;"NEW"))</f>
        <v/>
      </c>
      <c r="AN151" s="209" t="str" cm="1">
        <f t="array" ref="AN151">IF(ISERROR(INDEX('Local Data Previous Year'!$E$3:$E$50000, SMALL(IF(CTR1_Billing!$E$21='Local Data Previous Year'!$A$3:$A$50000, ROW('Local Data Previous Year'!$A$3:$A$50000)-ROW('Local Data Previous Year'!$A$3)+1), ROW(119:119)))), "", INDEX('Local Data Previous Year'!$E$3:$E$50000, SMALL(IF(CTR1_Billing!$E$21='Local Data Previous Year'!$A$3:$A$50000, ROW('Local Data Previous Year'!$A$3:$A$50000)-ROW('Local Data Previous Year'!$A$3)+1), ROW(119:119))))</f>
        <v/>
      </c>
      <c r="AO151" s="209" t="str">
        <f t="shared" si="19"/>
        <v/>
      </c>
      <c r="AP151" s="208"/>
      <c r="AQ151" s="209" t="str">
        <f t="shared" si="20"/>
        <v/>
      </c>
      <c r="AR151" s="209" t="str">
        <f t="shared" si="21"/>
        <v/>
      </c>
      <c r="AS151" s="202" t="str">
        <f t="shared" si="22"/>
        <v/>
      </c>
      <c r="AT151" s="202" t="str">
        <f t="shared" si="23"/>
        <v/>
      </c>
      <c r="AU151" s="208"/>
      <c r="AV151" s="208"/>
      <c r="AW151" s="208"/>
      <c r="AX151" s="208"/>
      <c r="AY151" s="208"/>
      <c r="AZ151" s="208"/>
      <c r="BA151" s="208"/>
      <c r="BB151" s="208"/>
      <c r="BC151" s="208"/>
      <c r="BD151" s="208"/>
      <c r="BE151" s="208"/>
      <c r="BF151" s="208"/>
      <c r="BG151" s="28"/>
      <c r="BH151" s="28"/>
      <c r="BI151" s="28"/>
      <c r="BJ151" s="28"/>
    </row>
    <row r="152" spans="1:62" s="23" customFormat="1" ht="21" customHeight="1" thickBot="1" x14ac:dyDescent="0.25">
      <c r="A152" s="846" t="str">
        <f>IF($AN152="","",IFERROR(VLOOKUP(CONCATENATE(CTR1_Billing!$E$20,$AN152),'Local Data Previous Year'!$C$3:$D$20000,2,0),CTR1_Billing!$E$21&amp;"NEW"))</f>
        <v/>
      </c>
      <c r="B152" s="846" t="str">
        <f>IF($E152="","",IFERROR(VLOOKUP(CONCATENATE(CTR1_Billing!$E$20,CTR1_Local!$E152),'Local Data Previous Year'!$C$3:$D$20000,2,0),CTR1_Billing!$E$21&amp;"NEW"))</f>
        <v/>
      </c>
      <c r="C152" s="846">
        <v>120</v>
      </c>
      <c r="D152" s="755" t="str" cm="1">
        <f t="array" ref="D152">IF(ISERROR(INDEX('Local Data Previous Year'!$D$3:$D$20000,SMALL(IF(CTR1_Billing!$E$21='Local Data Previous Year'!$A$3:$A$20000,ROW('Local Data Previous Year'!$A$3:$A$20000)-ROW('Local Data Previous Year'!$A$3)+1),ROW(120:120)))),"",INDEX('Local Data Previous Year'!$D$3:$D$20000,SMALL(IF(CTR1_Billing!$E$21='Local Data Previous Year'!$A$3:$A$20000,ROW('Local Data Previous Year'!$A$3:$A$20000)-ROW('Local Data Previous Year'!$A$3)+1),ROW(120:120))))</f>
        <v/>
      </c>
      <c r="E152" s="755" t="str" cm="1">
        <f t="array" ref="E152">IF(ISERROR(INDEX('Local Data Previous Year'!$E$3:$E$20000,SMALL(IF(CTR1_Billing!$E$21='Local Data Previous Year'!$A$3:$A$20000,ROW('Local Data Previous Year'!$A$3:$A$20000)-ROW('Local Data Previous Year'!$A$3)+1),ROW(120:120)))),"",INDEX('Local Data Previous Year'!$E$3:$E$20000,SMALL(IF(CTR1_Billing!$E$21='Local Data Previous Year'!$A$3:$A$20000,ROW('Local Data Previous Year'!$A$3:$A$20000)-ROW('Local Data Previous Year'!$A$3)+1),ROW(120:120))))</f>
        <v/>
      </c>
      <c r="F152" s="756" t="str">
        <f>IF($D152="","",IF(ISNA(MATCH($D152,'Local Data Previous Year'!$D$3:$D$20000,0)),"New",IFERROR(VLOOKUP($B152,'Local Data Previous Year'!$D$3:$I$20000,6,0),"")))</f>
        <v/>
      </c>
      <c r="G152" s="757">
        <f t="shared" si="24"/>
        <v>0</v>
      </c>
      <c r="H152" s="758" t="str">
        <f>IFERROR(INDEX('Local Data Previous Year'!$F:$F, MATCH($D152, 'Local Data Previous Year'!$D:$D, 0)), "")</f>
        <v/>
      </c>
      <c r="I152" s="759">
        <f>IF(B152=CTR1_Billing!$E$21&amp;"NEW",1,0)</f>
        <v>0</v>
      </c>
      <c r="J152" s="760" t="str">
        <f>IFERROR(INDEX('Local Data Previous Year'!$G:$G, MATCH($D152, 'Local Data Previous Year'!$D:$D, 0)), "")</f>
        <v/>
      </c>
      <c r="K152" s="762"/>
      <c r="L152" s="760" t="str">
        <f>IFERROR(INDEX('Local Data Previous Year'!$H:$H, MATCH($D152, 'Local Data Previous Year'!$D:$D, 0)), "")</f>
        <v/>
      </c>
      <c r="M152" s="762"/>
      <c r="N152" s="763"/>
      <c r="O152" s="767"/>
      <c r="P152" s="765"/>
      <c r="Q152" s="767"/>
      <c r="R152" s="766" t="str">
        <f t="shared" si="25"/>
        <v/>
      </c>
      <c r="S152" s="754"/>
      <c r="T152" s="763"/>
      <c r="U152" s="754"/>
      <c r="V152" s="763"/>
      <c r="W152" s="763"/>
      <c r="X152" s="865" t="str">
        <f>VLOOKUP(CTR1_Billing!$E$21,Data!$C$6:$D$302,1,FALSE)</f>
        <v>EZZZZ</v>
      </c>
      <c r="Y152" s="205"/>
      <c r="Z152" s="205">
        <f t="shared" si="13"/>
        <v>0</v>
      </c>
      <c r="AA152" s="206" t="str">
        <f t="shared" si="14"/>
        <v/>
      </c>
      <c r="AB152" s="205">
        <f t="shared" si="15"/>
        <v>0</v>
      </c>
      <c r="AC152" s="208"/>
      <c r="AD152" s="208"/>
      <c r="AE152" s="208"/>
      <c r="AF152" s="208"/>
      <c r="AG152" s="209" t="str">
        <f>IFERROR(INDEX('Local Data Previous Year'!$F:$F, MATCH($D152, 'Local Data Previous Year'!$D:$D, 0)), "")</f>
        <v/>
      </c>
      <c r="AH152" s="209" t="str">
        <f>IFERROR(INDEX('Local Data Previous Year'!$G:$G, MATCH($D152, 'Local Data Previous Year'!$D:$D, 0)), "")</f>
        <v/>
      </c>
      <c r="AI152" s="209" t="str">
        <f>IFERROR(INDEX('Local Data Previous Year'!$H:$H, MATCH($D152, 'Local Data Previous Year'!$D:$D, 0)), "")</f>
        <v/>
      </c>
      <c r="AJ152" s="209" t="str">
        <f t="shared" si="16"/>
        <v/>
      </c>
      <c r="AK152" s="209" t="str">
        <f t="shared" si="17"/>
        <v/>
      </c>
      <c r="AL152" s="209" t="str">
        <f t="shared" si="18"/>
        <v/>
      </c>
      <c r="AM152" s="208" t="str">
        <f>IF($AN152="","",IFERROR(VLOOKUP(CONCATENATE(CTR1_Billing!$E$20,$AN152),'Local Data Previous Year'!$C$3:$D$50000,2,0),CTR1_Billing!$E$21&amp;"NEW"))</f>
        <v/>
      </c>
      <c r="AN152" s="209" t="str" cm="1">
        <f t="array" ref="AN152">IF(ISERROR(INDEX('Local Data Previous Year'!$E$3:$E$50000, SMALL(IF(CTR1_Billing!$E$21='Local Data Previous Year'!$A$3:$A$50000, ROW('Local Data Previous Year'!$A$3:$A$50000)-ROW('Local Data Previous Year'!$A$3)+1), ROW(120:120)))), "", INDEX('Local Data Previous Year'!$E$3:$E$50000, SMALL(IF(CTR1_Billing!$E$21='Local Data Previous Year'!$A$3:$A$50000, ROW('Local Data Previous Year'!$A$3:$A$50000)-ROW('Local Data Previous Year'!$A$3)+1), ROW(120:120))))</f>
        <v/>
      </c>
      <c r="AO152" s="209" t="str">
        <f t="shared" si="19"/>
        <v/>
      </c>
      <c r="AP152" s="208"/>
      <c r="AQ152" s="209" t="str">
        <f t="shared" si="20"/>
        <v/>
      </c>
      <c r="AR152" s="209" t="str">
        <f t="shared" si="21"/>
        <v/>
      </c>
      <c r="AS152" s="202" t="str">
        <f t="shared" si="22"/>
        <v/>
      </c>
      <c r="AT152" s="202" t="str">
        <f t="shared" si="23"/>
        <v/>
      </c>
      <c r="AU152" s="208"/>
      <c r="AV152" s="208"/>
      <c r="AW152" s="208"/>
      <c r="AX152" s="208"/>
      <c r="AY152" s="208"/>
      <c r="AZ152" s="208"/>
      <c r="BA152" s="208"/>
      <c r="BB152" s="208"/>
      <c r="BC152" s="208"/>
      <c r="BD152" s="208"/>
      <c r="BE152" s="208"/>
      <c r="BF152" s="208"/>
      <c r="BG152" s="28"/>
      <c r="BH152" s="28"/>
      <c r="BI152" s="28"/>
      <c r="BJ152" s="28"/>
    </row>
    <row r="153" spans="1:62" s="23" customFormat="1" ht="21" customHeight="1" thickBot="1" x14ac:dyDescent="0.25">
      <c r="A153" s="846" t="str">
        <f>IF($AN153="","",IFERROR(VLOOKUP(CONCATENATE(CTR1_Billing!$E$20,$AN153),'Local Data Previous Year'!$C$3:$D$20000,2,0),CTR1_Billing!$E$21&amp;"NEW"))</f>
        <v/>
      </c>
      <c r="B153" s="846" t="str">
        <f>IF($E153="","",IFERROR(VLOOKUP(CONCATENATE(CTR1_Billing!$E$20,CTR1_Local!$E153),'Local Data Previous Year'!$C$3:$D$20000,2,0),CTR1_Billing!$E$21&amp;"NEW"))</f>
        <v/>
      </c>
      <c r="C153" s="846">
        <v>121</v>
      </c>
      <c r="D153" s="755" t="str" cm="1">
        <f t="array" ref="D153">IF(ISERROR(INDEX('Local Data Previous Year'!$D$3:$D$20000,SMALL(IF(CTR1_Billing!$E$21='Local Data Previous Year'!$A$3:$A$20000,ROW('Local Data Previous Year'!$A$3:$A$20000)-ROW('Local Data Previous Year'!$A$3)+1),ROW(121:121)))),"",INDEX('Local Data Previous Year'!$D$3:$D$20000,SMALL(IF(CTR1_Billing!$E$21='Local Data Previous Year'!$A$3:$A$20000,ROW('Local Data Previous Year'!$A$3:$A$20000)-ROW('Local Data Previous Year'!$A$3)+1),ROW(121:121))))</f>
        <v/>
      </c>
      <c r="E153" s="755" t="str" cm="1">
        <f t="array" ref="E153">IF(ISERROR(INDEX('Local Data Previous Year'!$E$3:$E$20000,SMALL(IF(CTR1_Billing!$E$21='Local Data Previous Year'!$A$3:$A$20000,ROW('Local Data Previous Year'!$A$3:$A$20000)-ROW('Local Data Previous Year'!$A$3)+1),ROW(121:121)))),"",INDEX('Local Data Previous Year'!$E$3:$E$20000,SMALL(IF(CTR1_Billing!$E$21='Local Data Previous Year'!$A$3:$A$20000,ROW('Local Data Previous Year'!$A$3:$A$20000)-ROW('Local Data Previous Year'!$A$3)+1),ROW(121:121))))</f>
        <v/>
      </c>
      <c r="F153" s="756" t="str">
        <f>IF($D153="","",IF(ISNA(MATCH($D153,'Local Data Previous Year'!$D$3:$D$20000,0)),"New",IFERROR(VLOOKUP($B153,'Local Data Previous Year'!$D$3:$I$20000,6,0),"")))</f>
        <v/>
      </c>
      <c r="G153" s="757">
        <f t="shared" si="24"/>
        <v>0</v>
      </c>
      <c r="H153" s="758" t="str">
        <f>IFERROR(INDEX('Local Data Previous Year'!$F:$F, MATCH($D153, 'Local Data Previous Year'!$D:$D, 0)), "")</f>
        <v/>
      </c>
      <c r="I153" s="759">
        <f>IF(B153=CTR1_Billing!$E$21&amp;"NEW",1,0)</f>
        <v>0</v>
      </c>
      <c r="J153" s="760" t="str">
        <f>IFERROR(INDEX('Local Data Previous Year'!$G:$G, MATCH($D153, 'Local Data Previous Year'!$D:$D, 0)), "")</f>
        <v/>
      </c>
      <c r="K153" s="762"/>
      <c r="L153" s="760" t="str">
        <f>IFERROR(INDEX('Local Data Previous Year'!$H:$H, MATCH($D153, 'Local Data Previous Year'!$D:$D, 0)), "")</f>
        <v/>
      </c>
      <c r="M153" s="762"/>
      <c r="N153" s="763"/>
      <c r="O153" s="767"/>
      <c r="P153" s="765"/>
      <c r="Q153" s="767"/>
      <c r="R153" s="766" t="str">
        <f t="shared" si="25"/>
        <v/>
      </c>
      <c r="S153" s="754"/>
      <c r="T153" s="763"/>
      <c r="U153" s="754"/>
      <c r="V153" s="763"/>
      <c r="W153" s="763"/>
      <c r="X153" s="865" t="str">
        <f>VLOOKUP(CTR1_Billing!$E$21,Data!$C$6:$D$302,1,FALSE)</f>
        <v>EZZZZ</v>
      </c>
      <c r="Y153" s="205"/>
      <c r="Z153" s="205">
        <f t="shared" si="13"/>
        <v>0</v>
      </c>
      <c r="AA153" s="206" t="str">
        <f t="shared" si="14"/>
        <v/>
      </c>
      <c r="AB153" s="205">
        <f t="shared" si="15"/>
        <v>0</v>
      </c>
      <c r="AC153" s="208"/>
      <c r="AD153" s="208"/>
      <c r="AE153" s="208"/>
      <c r="AF153" s="208"/>
      <c r="AG153" s="209" t="str">
        <f>IFERROR(INDEX('Local Data Previous Year'!$F:$F, MATCH($D153, 'Local Data Previous Year'!$D:$D, 0)), "")</f>
        <v/>
      </c>
      <c r="AH153" s="209" t="str">
        <f>IFERROR(INDEX('Local Data Previous Year'!$G:$G, MATCH($D153, 'Local Data Previous Year'!$D:$D, 0)), "")</f>
        <v/>
      </c>
      <c r="AI153" s="209" t="str">
        <f>IFERROR(INDEX('Local Data Previous Year'!$H:$H, MATCH($D153, 'Local Data Previous Year'!$D:$D, 0)), "")</f>
        <v/>
      </c>
      <c r="AJ153" s="209" t="str">
        <f t="shared" si="16"/>
        <v/>
      </c>
      <c r="AK153" s="209" t="str">
        <f t="shared" si="17"/>
        <v/>
      </c>
      <c r="AL153" s="209" t="str">
        <f t="shared" si="18"/>
        <v/>
      </c>
      <c r="AM153" s="208" t="str">
        <f>IF($AN153="","",IFERROR(VLOOKUP(CONCATENATE(CTR1_Billing!$E$20,$AN153),'Local Data Previous Year'!$C$3:$D$50000,2,0),CTR1_Billing!$E$21&amp;"NEW"))</f>
        <v/>
      </c>
      <c r="AN153" s="209" t="str" cm="1">
        <f t="array" ref="AN153">IF(ISERROR(INDEX('Local Data Previous Year'!$E$3:$E$50000, SMALL(IF(CTR1_Billing!$E$21='Local Data Previous Year'!$A$3:$A$50000, ROW('Local Data Previous Year'!$A$3:$A$50000)-ROW('Local Data Previous Year'!$A$3)+1), ROW(121:121)))), "", INDEX('Local Data Previous Year'!$E$3:$E$50000, SMALL(IF(CTR1_Billing!$E$21='Local Data Previous Year'!$A$3:$A$50000, ROW('Local Data Previous Year'!$A$3:$A$50000)-ROW('Local Data Previous Year'!$A$3)+1), ROW(121:121))))</f>
        <v/>
      </c>
      <c r="AO153" s="209" t="str">
        <f t="shared" si="19"/>
        <v/>
      </c>
      <c r="AP153" s="208"/>
      <c r="AQ153" s="209" t="str">
        <f t="shared" si="20"/>
        <v/>
      </c>
      <c r="AR153" s="209" t="str">
        <f t="shared" si="21"/>
        <v/>
      </c>
      <c r="AS153" s="202" t="str">
        <f t="shared" si="22"/>
        <v/>
      </c>
      <c r="AT153" s="202" t="str">
        <f t="shared" si="23"/>
        <v/>
      </c>
      <c r="AU153" s="208"/>
      <c r="AV153" s="208"/>
      <c r="AW153" s="208"/>
      <c r="AX153" s="208"/>
      <c r="AY153" s="208"/>
      <c r="AZ153" s="208"/>
      <c r="BA153" s="208"/>
      <c r="BB153" s="208"/>
      <c r="BC153" s="208"/>
      <c r="BD153" s="208"/>
      <c r="BE153" s="208"/>
      <c r="BF153" s="208"/>
      <c r="BG153" s="28"/>
      <c r="BH153" s="28"/>
      <c r="BI153" s="28"/>
      <c r="BJ153" s="28"/>
    </row>
    <row r="154" spans="1:62" s="23" customFormat="1" ht="21" customHeight="1" thickBot="1" x14ac:dyDescent="0.25">
      <c r="A154" s="846" t="str">
        <f>IF($AN154="","",IFERROR(VLOOKUP(CONCATENATE(CTR1_Billing!$E$20,$AN154),'Local Data Previous Year'!$C$3:$D$20000,2,0),CTR1_Billing!$E$21&amp;"NEW"))</f>
        <v/>
      </c>
      <c r="B154" s="846" t="str">
        <f>IF($E154="","",IFERROR(VLOOKUP(CONCATENATE(CTR1_Billing!$E$20,CTR1_Local!$E154),'Local Data Previous Year'!$C$3:$D$20000,2,0),CTR1_Billing!$E$21&amp;"NEW"))</f>
        <v/>
      </c>
      <c r="C154" s="846">
        <v>122</v>
      </c>
      <c r="D154" s="755" t="str" cm="1">
        <f t="array" ref="D154">IF(ISERROR(INDEX('Local Data Previous Year'!$D$3:$D$20000,SMALL(IF(CTR1_Billing!$E$21='Local Data Previous Year'!$A$3:$A$20000,ROW('Local Data Previous Year'!$A$3:$A$20000)-ROW('Local Data Previous Year'!$A$3)+1),ROW(122:122)))),"",INDEX('Local Data Previous Year'!$D$3:$D$20000,SMALL(IF(CTR1_Billing!$E$21='Local Data Previous Year'!$A$3:$A$20000,ROW('Local Data Previous Year'!$A$3:$A$20000)-ROW('Local Data Previous Year'!$A$3)+1),ROW(122:122))))</f>
        <v/>
      </c>
      <c r="E154" s="755" t="str" cm="1">
        <f t="array" ref="E154">IF(ISERROR(INDEX('Local Data Previous Year'!$E$3:$E$20000,SMALL(IF(CTR1_Billing!$E$21='Local Data Previous Year'!$A$3:$A$20000,ROW('Local Data Previous Year'!$A$3:$A$20000)-ROW('Local Data Previous Year'!$A$3)+1),ROW(122:122)))),"",INDEX('Local Data Previous Year'!$E$3:$E$20000,SMALL(IF(CTR1_Billing!$E$21='Local Data Previous Year'!$A$3:$A$20000,ROW('Local Data Previous Year'!$A$3:$A$20000)-ROW('Local Data Previous Year'!$A$3)+1),ROW(122:122))))</f>
        <v/>
      </c>
      <c r="F154" s="756" t="str">
        <f>IF($D154="","",IF(ISNA(MATCH($D154,'Local Data Previous Year'!$D$3:$D$20000,0)),"New",IFERROR(VLOOKUP($B154,'Local Data Previous Year'!$D$3:$I$20000,6,0),"")))</f>
        <v/>
      </c>
      <c r="G154" s="757">
        <f t="shared" si="24"/>
        <v>0</v>
      </c>
      <c r="H154" s="758" t="str">
        <f>IFERROR(INDEX('Local Data Previous Year'!$F:$F, MATCH($D154, 'Local Data Previous Year'!$D:$D, 0)), "")</f>
        <v/>
      </c>
      <c r="I154" s="759">
        <f>IF(B154=CTR1_Billing!$E$21&amp;"NEW",1,0)</f>
        <v>0</v>
      </c>
      <c r="J154" s="760" t="str">
        <f>IFERROR(INDEX('Local Data Previous Year'!$G:$G, MATCH($D154, 'Local Data Previous Year'!$D:$D, 0)), "")</f>
        <v/>
      </c>
      <c r="K154" s="762"/>
      <c r="L154" s="760" t="str">
        <f>IFERROR(INDEX('Local Data Previous Year'!$H:$H, MATCH($D154, 'Local Data Previous Year'!$D:$D, 0)), "")</f>
        <v/>
      </c>
      <c r="M154" s="762"/>
      <c r="N154" s="763"/>
      <c r="O154" s="767"/>
      <c r="P154" s="765"/>
      <c r="Q154" s="767"/>
      <c r="R154" s="766" t="str">
        <f t="shared" si="25"/>
        <v/>
      </c>
      <c r="S154" s="754"/>
      <c r="T154" s="763"/>
      <c r="U154" s="754"/>
      <c r="V154" s="763"/>
      <c r="W154" s="763"/>
      <c r="X154" s="865" t="str">
        <f>VLOOKUP(CTR1_Billing!$E$21,Data!$C$6:$D$302,1,FALSE)</f>
        <v>EZZZZ</v>
      </c>
      <c r="Y154" s="205"/>
      <c r="Z154" s="205">
        <f t="shared" si="13"/>
        <v>0</v>
      </c>
      <c r="AA154" s="206" t="str">
        <f t="shared" si="14"/>
        <v/>
      </c>
      <c r="AB154" s="205">
        <f t="shared" si="15"/>
        <v>0</v>
      </c>
      <c r="AC154" s="208"/>
      <c r="AD154" s="208"/>
      <c r="AE154" s="208"/>
      <c r="AF154" s="208"/>
      <c r="AG154" s="209" t="str">
        <f>IFERROR(INDEX('Local Data Previous Year'!$F:$F, MATCH($D154, 'Local Data Previous Year'!$D:$D, 0)), "")</f>
        <v/>
      </c>
      <c r="AH154" s="209" t="str">
        <f>IFERROR(INDEX('Local Data Previous Year'!$G:$G, MATCH($D154, 'Local Data Previous Year'!$D:$D, 0)), "")</f>
        <v/>
      </c>
      <c r="AI154" s="209" t="str">
        <f>IFERROR(INDEX('Local Data Previous Year'!$H:$H, MATCH($D154, 'Local Data Previous Year'!$D:$D, 0)), "")</f>
        <v/>
      </c>
      <c r="AJ154" s="209" t="str">
        <f t="shared" si="16"/>
        <v/>
      </c>
      <c r="AK154" s="209" t="str">
        <f t="shared" si="17"/>
        <v/>
      </c>
      <c r="AL154" s="209" t="str">
        <f t="shared" si="18"/>
        <v/>
      </c>
      <c r="AM154" s="208" t="str">
        <f>IF($AN154="","",IFERROR(VLOOKUP(CONCATENATE(CTR1_Billing!$E$20,$AN154),'Local Data Previous Year'!$C$3:$D$50000,2,0),CTR1_Billing!$E$21&amp;"NEW"))</f>
        <v/>
      </c>
      <c r="AN154" s="209" t="str" cm="1">
        <f t="array" ref="AN154">IF(ISERROR(INDEX('Local Data Previous Year'!$E$3:$E$50000, SMALL(IF(CTR1_Billing!$E$21='Local Data Previous Year'!$A$3:$A$50000, ROW('Local Data Previous Year'!$A$3:$A$50000)-ROW('Local Data Previous Year'!$A$3)+1), ROW(122:122)))), "", INDEX('Local Data Previous Year'!$E$3:$E$50000, SMALL(IF(CTR1_Billing!$E$21='Local Data Previous Year'!$A$3:$A$50000, ROW('Local Data Previous Year'!$A$3:$A$50000)-ROW('Local Data Previous Year'!$A$3)+1), ROW(122:122))))</f>
        <v/>
      </c>
      <c r="AO154" s="209" t="str">
        <f t="shared" si="19"/>
        <v/>
      </c>
      <c r="AP154" s="208"/>
      <c r="AQ154" s="209" t="str">
        <f t="shared" si="20"/>
        <v/>
      </c>
      <c r="AR154" s="209" t="str">
        <f t="shared" si="21"/>
        <v/>
      </c>
      <c r="AS154" s="202" t="str">
        <f t="shared" si="22"/>
        <v/>
      </c>
      <c r="AT154" s="202" t="str">
        <f t="shared" si="23"/>
        <v/>
      </c>
      <c r="AU154" s="208"/>
      <c r="AV154" s="208"/>
      <c r="AW154" s="208"/>
      <c r="AX154" s="208"/>
      <c r="AY154" s="208"/>
      <c r="AZ154" s="208"/>
      <c r="BA154" s="208"/>
      <c r="BB154" s="208"/>
      <c r="BC154" s="208"/>
      <c r="BD154" s="208"/>
      <c r="BE154" s="208"/>
      <c r="BF154" s="208"/>
      <c r="BG154" s="28"/>
      <c r="BH154" s="28"/>
      <c r="BI154" s="28"/>
      <c r="BJ154" s="28"/>
    </row>
    <row r="155" spans="1:62" s="23" customFormat="1" ht="21" customHeight="1" thickBot="1" x14ac:dyDescent="0.25">
      <c r="A155" s="846" t="str">
        <f>IF($AN155="","",IFERROR(VLOOKUP(CONCATENATE(CTR1_Billing!$E$20,$AN155),'Local Data Previous Year'!$C$3:$D$20000,2,0),CTR1_Billing!$E$21&amp;"NEW"))</f>
        <v/>
      </c>
      <c r="B155" s="846" t="str">
        <f>IF($E155="","",IFERROR(VLOOKUP(CONCATENATE(CTR1_Billing!$E$20,CTR1_Local!$E155),'Local Data Previous Year'!$C$3:$D$20000,2,0),CTR1_Billing!$E$21&amp;"NEW"))</f>
        <v/>
      </c>
      <c r="C155" s="846">
        <v>123</v>
      </c>
      <c r="D155" s="755" t="str" cm="1">
        <f t="array" ref="D155">IF(ISERROR(INDEX('Local Data Previous Year'!$D$3:$D$20000,SMALL(IF(CTR1_Billing!$E$21='Local Data Previous Year'!$A$3:$A$20000,ROW('Local Data Previous Year'!$A$3:$A$20000)-ROW('Local Data Previous Year'!$A$3)+1),ROW(123:123)))),"",INDEX('Local Data Previous Year'!$D$3:$D$20000,SMALL(IF(CTR1_Billing!$E$21='Local Data Previous Year'!$A$3:$A$20000,ROW('Local Data Previous Year'!$A$3:$A$20000)-ROW('Local Data Previous Year'!$A$3)+1),ROW(123:123))))</f>
        <v/>
      </c>
      <c r="E155" s="755" t="str" cm="1">
        <f t="array" ref="E155">IF(ISERROR(INDEX('Local Data Previous Year'!$E$3:$E$20000,SMALL(IF(CTR1_Billing!$E$21='Local Data Previous Year'!$A$3:$A$20000,ROW('Local Data Previous Year'!$A$3:$A$20000)-ROW('Local Data Previous Year'!$A$3)+1),ROW(123:123)))),"",INDEX('Local Data Previous Year'!$E$3:$E$20000,SMALL(IF(CTR1_Billing!$E$21='Local Data Previous Year'!$A$3:$A$20000,ROW('Local Data Previous Year'!$A$3:$A$20000)-ROW('Local Data Previous Year'!$A$3)+1),ROW(123:123))))</f>
        <v/>
      </c>
      <c r="F155" s="756" t="str">
        <f>IF($D155="","",IF(ISNA(MATCH($D155,'Local Data Previous Year'!$D$3:$D$20000,0)),"New",IFERROR(VLOOKUP($B155,'Local Data Previous Year'!$D$3:$I$20000,6,0),"")))</f>
        <v/>
      </c>
      <c r="G155" s="757">
        <f t="shared" si="24"/>
        <v>0</v>
      </c>
      <c r="H155" s="758" t="str">
        <f>IFERROR(INDEX('Local Data Previous Year'!$F:$F, MATCH($D155, 'Local Data Previous Year'!$D:$D, 0)), "")</f>
        <v/>
      </c>
      <c r="I155" s="759">
        <f>IF(B155=CTR1_Billing!$E$21&amp;"NEW",1,0)</f>
        <v>0</v>
      </c>
      <c r="J155" s="760" t="str">
        <f>IFERROR(INDEX('Local Data Previous Year'!$G:$G, MATCH($D155, 'Local Data Previous Year'!$D:$D, 0)), "")</f>
        <v/>
      </c>
      <c r="K155" s="762"/>
      <c r="L155" s="760" t="str">
        <f>IFERROR(INDEX('Local Data Previous Year'!$H:$H, MATCH($D155, 'Local Data Previous Year'!$D:$D, 0)), "")</f>
        <v/>
      </c>
      <c r="M155" s="762"/>
      <c r="N155" s="763"/>
      <c r="O155" s="767"/>
      <c r="P155" s="765"/>
      <c r="Q155" s="767"/>
      <c r="R155" s="766" t="str">
        <f t="shared" si="25"/>
        <v/>
      </c>
      <c r="S155" s="754"/>
      <c r="T155" s="763"/>
      <c r="U155" s="754"/>
      <c r="V155" s="763"/>
      <c r="W155" s="763"/>
      <c r="X155" s="865" t="str">
        <f>VLOOKUP(CTR1_Billing!$E$21,Data!$C$6:$D$302,1,FALSE)</f>
        <v>EZZZZ</v>
      </c>
      <c r="Y155" s="205"/>
      <c r="Z155" s="205">
        <f t="shared" si="13"/>
        <v>0</v>
      </c>
      <c r="AA155" s="206" t="str">
        <f t="shared" si="14"/>
        <v/>
      </c>
      <c r="AB155" s="205">
        <f t="shared" si="15"/>
        <v>0</v>
      </c>
      <c r="AC155" s="208"/>
      <c r="AD155" s="208"/>
      <c r="AE155" s="208"/>
      <c r="AF155" s="208"/>
      <c r="AG155" s="209" t="str">
        <f>IFERROR(INDEX('Local Data Previous Year'!$F:$F, MATCH($D155, 'Local Data Previous Year'!$D:$D, 0)), "")</f>
        <v/>
      </c>
      <c r="AH155" s="209" t="str">
        <f>IFERROR(INDEX('Local Data Previous Year'!$G:$G, MATCH($D155, 'Local Data Previous Year'!$D:$D, 0)), "")</f>
        <v/>
      </c>
      <c r="AI155" s="209" t="str">
        <f>IFERROR(INDEX('Local Data Previous Year'!$H:$H, MATCH($D155, 'Local Data Previous Year'!$D:$D, 0)), "")</f>
        <v/>
      </c>
      <c r="AJ155" s="209" t="str">
        <f t="shared" si="16"/>
        <v/>
      </c>
      <c r="AK155" s="209" t="str">
        <f t="shared" si="17"/>
        <v/>
      </c>
      <c r="AL155" s="209" t="str">
        <f t="shared" si="18"/>
        <v/>
      </c>
      <c r="AM155" s="208" t="str">
        <f>IF($AN155="","",IFERROR(VLOOKUP(CONCATENATE(CTR1_Billing!$E$20,$AN155),'Local Data Previous Year'!$C$3:$D$50000,2,0),CTR1_Billing!$E$21&amp;"NEW"))</f>
        <v/>
      </c>
      <c r="AN155" s="209" t="str" cm="1">
        <f t="array" ref="AN155">IF(ISERROR(INDEX('Local Data Previous Year'!$E$3:$E$50000, SMALL(IF(CTR1_Billing!$E$21='Local Data Previous Year'!$A$3:$A$50000, ROW('Local Data Previous Year'!$A$3:$A$50000)-ROW('Local Data Previous Year'!$A$3)+1), ROW(123:123)))), "", INDEX('Local Data Previous Year'!$E$3:$E$50000, SMALL(IF(CTR1_Billing!$E$21='Local Data Previous Year'!$A$3:$A$50000, ROW('Local Data Previous Year'!$A$3:$A$50000)-ROW('Local Data Previous Year'!$A$3)+1), ROW(123:123))))</f>
        <v/>
      </c>
      <c r="AO155" s="209" t="str">
        <f t="shared" si="19"/>
        <v/>
      </c>
      <c r="AP155" s="208"/>
      <c r="AQ155" s="209" t="str">
        <f t="shared" si="20"/>
        <v/>
      </c>
      <c r="AR155" s="209" t="str">
        <f t="shared" si="21"/>
        <v/>
      </c>
      <c r="AS155" s="202" t="str">
        <f t="shared" si="22"/>
        <v/>
      </c>
      <c r="AT155" s="202" t="str">
        <f t="shared" si="23"/>
        <v/>
      </c>
      <c r="AU155" s="208"/>
      <c r="AV155" s="208"/>
      <c r="AW155" s="208"/>
      <c r="AX155" s="208"/>
      <c r="AY155" s="208"/>
      <c r="AZ155" s="208"/>
      <c r="BA155" s="208"/>
      <c r="BB155" s="208"/>
      <c r="BC155" s="208"/>
      <c r="BD155" s="208"/>
      <c r="BE155" s="208"/>
      <c r="BF155" s="208"/>
      <c r="BG155" s="28"/>
      <c r="BH155" s="28"/>
      <c r="BI155" s="28"/>
      <c r="BJ155" s="28"/>
    </row>
    <row r="156" spans="1:62" s="23" customFormat="1" ht="21" customHeight="1" thickBot="1" x14ac:dyDescent="0.25">
      <c r="A156" s="846" t="str">
        <f>IF($AN156="","",IFERROR(VLOOKUP(CONCATENATE(CTR1_Billing!$E$20,$AN156),'Local Data Previous Year'!$C$3:$D$20000,2,0),CTR1_Billing!$E$21&amp;"NEW"))</f>
        <v/>
      </c>
      <c r="B156" s="846" t="str">
        <f>IF($E156="","",IFERROR(VLOOKUP(CONCATENATE(CTR1_Billing!$E$20,CTR1_Local!$E156),'Local Data Previous Year'!$C$3:$D$20000,2,0),CTR1_Billing!$E$21&amp;"NEW"))</f>
        <v/>
      </c>
      <c r="C156" s="846">
        <v>124</v>
      </c>
      <c r="D156" s="755" t="str" cm="1">
        <f t="array" ref="D156">IF(ISERROR(INDEX('Local Data Previous Year'!$D$3:$D$20000,SMALL(IF(CTR1_Billing!$E$21='Local Data Previous Year'!$A$3:$A$20000,ROW('Local Data Previous Year'!$A$3:$A$20000)-ROW('Local Data Previous Year'!$A$3)+1),ROW(124:124)))),"",INDEX('Local Data Previous Year'!$D$3:$D$20000,SMALL(IF(CTR1_Billing!$E$21='Local Data Previous Year'!$A$3:$A$20000,ROW('Local Data Previous Year'!$A$3:$A$20000)-ROW('Local Data Previous Year'!$A$3)+1),ROW(124:124))))</f>
        <v/>
      </c>
      <c r="E156" s="755" t="str" cm="1">
        <f t="array" ref="E156">IF(ISERROR(INDEX('Local Data Previous Year'!$E$3:$E$20000,SMALL(IF(CTR1_Billing!$E$21='Local Data Previous Year'!$A$3:$A$20000,ROW('Local Data Previous Year'!$A$3:$A$20000)-ROW('Local Data Previous Year'!$A$3)+1),ROW(124:124)))),"",INDEX('Local Data Previous Year'!$E$3:$E$20000,SMALL(IF(CTR1_Billing!$E$21='Local Data Previous Year'!$A$3:$A$20000,ROW('Local Data Previous Year'!$A$3:$A$20000)-ROW('Local Data Previous Year'!$A$3)+1),ROW(124:124))))</f>
        <v/>
      </c>
      <c r="F156" s="756" t="str">
        <f>IF($D156="","",IF(ISNA(MATCH($D156,'Local Data Previous Year'!$D$3:$D$20000,0)),"New",IFERROR(VLOOKUP($B156,'Local Data Previous Year'!$D$3:$I$20000,6,0),"")))</f>
        <v/>
      </c>
      <c r="G156" s="757">
        <f t="shared" si="24"/>
        <v>0</v>
      </c>
      <c r="H156" s="758" t="str">
        <f>IFERROR(INDEX('Local Data Previous Year'!$F:$F, MATCH($D156, 'Local Data Previous Year'!$D:$D, 0)), "")</f>
        <v/>
      </c>
      <c r="I156" s="759">
        <f>IF(B156=CTR1_Billing!$E$21&amp;"NEW",1,0)</f>
        <v>0</v>
      </c>
      <c r="J156" s="760" t="str">
        <f>IFERROR(INDEX('Local Data Previous Year'!$G:$G, MATCH($D156, 'Local Data Previous Year'!$D:$D, 0)), "")</f>
        <v/>
      </c>
      <c r="K156" s="762"/>
      <c r="L156" s="760" t="str">
        <f>IFERROR(INDEX('Local Data Previous Year'!$H:$H, MATCH($D156, 'Local Data Previous Year'!$D:$D, 0)), "")</f>
        <v/>
      </c>
      <c r="M156" s="762"/>
      <c r="N156" s="763"/>
      <c r="O156" s="767"/>
      <c r="P156" s="765"/>
      <c r="Q156" s="767"/>
      <c r="R156" s="766" t="str">
        <f t="shared" si="25"/>
        <v/>
      </c>
      <c r="S156" s="754"/>
      <c r="T156" s="763"/>
      <c r="U156" s="754"/>
      <c r="V156" s="763"/>
      <c r="W156" s="763"/>
      <c r="X156" s="865" t="str">
        <f>VLOOKUP(CTR1_Billing!$E$21,Data!$C$6:$D$302,1,FALSE)</f>
        <v>EZZZZ</v>
      </c>
      <c r="Y156" s="205"/>
      <c r="Z156" s="205">
        <f t="shared" si="13"/>
        <v>0</v>
      </c>
      <c r="AA156" s="206" t="str">
        <f t="shared" si="14"/>
        <v/>
      </c>
      <c r="AB156" s="205">
        <f t="shared" si="15"/>
        <v>0</v>
      </c>
      <c r="AC156" s="208"/>
      <c r="AD156" s="208"/>
      <c r="AE156" s="208"/>
      <c r="AF156" s="208"/>
      <c r="AG156" s="209" t="str">
        <f>IFERROR(INDEX('Local Data Previous Year'!$F:$F, MATCH($D156, 'Local Data Previous Year'!$D:$D, 0)), "")</f>
        <v/>
      </c>
      <c r="AH156" s="209" t="str">
        <f>IFERROR(INDEX('Local Data Previous Year'!$G:$G, MATCH($D156, 'Local Data Previous Year'!$D:$D, 0)), "")</f>
        <v/>
      </c>
      <c r="AI156" s="209" t="str">
        <f>IFERROR(INDEX('Local Data Previous Year'!$H:$H, MATCH($D156, 'Local Data Previous Year'!$D:$D, 0)), "")</f>
        <v/>
      </c>
      <c r="AJ156" s="209" t="str">
        <f t="shared" si="16"/>
        <v/>
      </c>
      <c r="AK156" s="209" t="str">
        <f t="shared" si="17"/>
        <v/>
      </c>
      <c r="AL156" s="209" t="str">
        <f t="shared" si="18"/>
        <v/>
      </c>
      <c r="AM156" s="208" t="str">
        <f>IF($AN156="","",IFERROR(VLOOKUP(CONCATENATE(CTR1_Billing!$E$20,$AN156),'Local Data Previous Year'!$C$3:$D$50000,2,0),CTR1_Billing!$E$21&amp;"NEW"))</f>
        <v/>
      </c>
      <c r="AN156" s="209" t="str" cm="1">
        <f t="array" ref="AN156">IF(ISERROR(INDEX('Local Data Previous Year'!$E$3:$E$50000, SMALL(IF(CTR1_Billing!$E$21='Local Data Previous Year'!$A$3:$A$50000, ROW('Local Data Previous Year'!$A$3:$A$50000)-ROW('Local Data Previous Year'!$A$3)+1), ROW(124:124)))), "", INDEX('Local Data Previous Year'!$E$3:$E$50000, SMALL(IF(CTR1_Billing!$E$21='Local Data Previous Year'!$A$3:$A$50000, ROW('Local Data Previous Year'!$A$3:$A$50000)-ROW('Local Data Previous Year'!$A$3)+1), ROW(124:124))))</f>
        <v/>
      </c>
      <c r="AO156" s="209" t="str">
        <f t="shared" si="19"/>
        <v/>
      </c>
      <c r="AP156" s="208"/>
      <c r="AQ156" s="209" t="str">
        <f t="shared" si="20"/>
        <v/>
      </c>
      <c r="AR156" s="209" t="str">
        <f t="shared" si="21"/>
        <v/>
      </c>
      <c r="AS156" s="202" t="str">
        <f t="shared" si="22"/>
        <v/>
      </c>
      <c r="AT156" s="202" t="str">
        <f t="shared" si="23"/>
        <v/>
      </c>
      <c r="AU156" s="208"/>
      <c r="AV156" s="208"/>
      <c r="AW156" s="208"/>
      <c r="AX156" s="208"/>
      <c r="AY156" s="208"/>
      <c r="AZ156" s="208"/>
      <c r="BA156" s="208"/>
      <c r="BB156" s="208"/>
      <c r="BC156" s="208"/>
      <c r="BD156" s="208"/>
      <c r="BE156" s="208"/>
      <c r="BF156" s="208"/>
      <c r="BG156" s="28"/>
      <c r="BH156" s="28"/>
      <c r="BI156" s="28"/>
      <c r="BJ156" s="28"/>
    </row>
    <row r="157" spans="1:62" s="23" customFormat="1" ht="21" customHeight="1" thickBot="1" x14ac:dyDescent="0.25">
      <c r="A157" s="846" t="str">
        <f>IF($AN157="","",IFERROR(VLOOKUP(CONCATENATE(CTR1_Billing!$E$20,$AN157),'Local Data Previous Year'!$C$3:$D$20000,2,0),CTR1_Billing!$E$21&amp;"NEW"))</f>
        <v/>
      </c>
      <c r="B157" s="846" t="str">
        <f>IF($E157="","",IFERROR(VLOOKUP(CONCATENATE(CTR1_Billing!$E$20,CTR1_Local!$E157),'Local Data Previous Year'!$C$3:$D$20000,2,0),CTR1_Billing!$E$21&amp;"NEW"))</f>
        <v/>
      </c>
      <c r="C157" s="846">
        <v>125</v>
      </c>
      <c r="D157" s="755" t="str" cm="1">
        <f t="array" ref="D157">IF(ISERROR(INDEX('Local Data Previous Year'!$D$3:$D$20000,SMALL(IF(CTR1_Billing!$E$21='Local Data Previous Year'!$A$3:$A$20000,ROW('Local Data Previous Year'!$A$3:$A$20000)-ROW('Local Data Previous Year'!$A$3)+1),ROW(125:125)))),"",INDEX('Local Data Previous Year'!$D$3:$D$20000,SMALL(IF(CTR1_Billing!$E$21='Local Data Previous Year'!$A$3:$A$20000,ROW('Local Data Previous Year'!$A$3:$A$20000)-ROW('Local Data Previous Year'!$A$3)+1),ROW(125:125))))</f>
        <v/>
      </c>
      <c r="E157" s="755" t="str" cm="1">
        <f t="array" ref="E157">IF(ISERROR(INDEX('Local Data Previous Year'!$E$3:$E$20000,SMALL(IF(CTR1_Billing!$E$21='Local Data Previous Year'!$A$3:$A$20000,ROW('Local Data Previous Year'!$A$3:$A$20000)-ROW('Local Data Previous Year'!$A$3)+1),ROW(125:125)))),"",INDEX('Local Data Previous Year'!$E$3:$E$20000,SMALL(IF(CTR1_Billing!$E$21='Local Data Previous Year'!$A$3:$A$20000,ROW('Local Data Previous Year'!$A$3:$A$20000)-ROW('Local Data Previous Year'!$A$3)+1),ROW(125:125))))</f>
        <v/>
      </c>
      <c r="F157" s="756" t="str">
        <f>IF($D157="","",IF(ISNA(MATCH($D157,'Local Data Previous Year'!$D$3:$D$20000,0)),"New",IFERROR(VLOOKUP($B157,'Local Data Previous Year'!$D$3:$I$20000,6,0),"")))</f>
        <v/>
      </c>
      <c r="G157" s="757">
        <f t="shared" si="24"/>
        <v>0</v>
      </c>
      <c r="H157" s="758" t="str">
        <f>IFERROR(INDEX('Local Data Previous Year'!$F:$F, MATCH($D157, 'Local Data Previous Year'!$D:$D, 0)), "")</f>
        <v/>
      </c>
      <c r="I157" s="759">
        <f>IF(B157=CTR1_Billing!$E$21&amp;"NEW",1,0)</f>
        <v>0</v>
      </c>
      <c r="J157" s="760" t="str">
        <f>IFERROR(INDEX('Local Data Previous Year'!$G:$G, MATCH($D157, 'Local Data Previous Year'!$D:$D, 0)), "")</f>
        <v/>
      </c>
      <c r="K157" s="762"/>
      <c r="L157" s="760" t="str">
        <f>IFERROR(INDEX('Local Data Previous Year'!$H:$H, MATCH($D157, 'Local Data Previous Year'!$D:$D, 0)), "")</f>
        <v/>
      </c>
      <c r="M157" s="762"/>
      <c r="N157" s="763"/>
      <c r="O157" s="767"/>
      <c r="P157" s="765"/>
      <c r="Q157" s="767"/>
      <c r="R157" s="766" t="str">
        <f t="shared" si="25"/>
        <v/>
      </c>
      <c r="S157" s="754"/>
      <c r="T157" s="763"/>
      <c r="U157" s="754"/>
      <c r="V157" s="763"/>
      <c r="W157" s="763"/>
      <c r="X157" s="865" t="str">
        <f>VLOOKUP(CTR1_Billing!$E$21,Data!$C$6:$D$302,1,FALSE)</f>
        <v>EZZZZ</v>
      </c>
      <c r="Y157" s="205"/>
      <c r="Z157" s="205">
        <f t="shared" si="13"/>
        <v>0</v>
      </c>
      <c r="AA157" s="206" t="str">
        <f t="shared" si="14"/>
        <v/>
      </c>
      <c r="AB157" s="205">
        <f t="shared" si="15"/>
        <v>0</v>
      </c>
      <c r="AC157" s="208"/>
      <c r="AD157" s="208"/>
      <c r="AE157" s="208"/>
      <c r="AF157" s="208"/>
      <c r="AG157" s="209" t="str">
        <f>IFERROR(INDEX('Local Data Previous Year'!$F:$F, MATCH($D157, 'Local Data Previous Year'!$D:$D, 0)), "")</f>
        <v/>
      </c>
      <c r="AH157" s="209" t="str">
        <f>IFERROR(INDEX('Local Data Previous Year'!$G:$G, MATCH($D157, 'Local Data Previous Year'!$D:$D, 0)), "")</f>
        <v/>
      </c>
      <c r="AI157" s="209" t="str">
        <f>IFERROR(INDEX('Local Data Previous Year'!$H:$H, MATCH($D157, 'Local Data Previous Year'!$D:$D, 0)), "")</f>
        <v/>
      </c>
      <c r="AJ157" s="209" t="str">
        <f t="shared" si="16"/>
        <v/>
      </c>
      <c r="AK157" s="209" t="str">
        <f t="shared" si="17"/>
        <v/>
      </c>
      <c r="AL157" s="209" t="str">
        <f t="shared" si="18"/>
        <v/>
      </c>
      <c r="AM157" s="208" t="str">
        <f>IF($AN157="","",IFERROR(VLOOKUP(CONCATENATE(CTR1_Billing!$E$20,$AN157),'Local Data Previous Year'!$C$3:$D$50000,2,0),CTR1_Billing!$E$21&amp;"NEW"))</f>
        <v/>
      </c>
      <c r="AN157" s="209" t="str" cm="1">
        <f t="array" ref="AN157">IF(ISERROR(INDEX('Local Data Previous Year'!$E$3:$E$50000, SMALL(IF(CTR1_Billing!$E$21='Local Data Previous Year'!$A$3:$A$50000, ROW('Local Data Previous Year'!$A$3:$A$50000)-ROW('Local Data Previous Year'!$A$3)+1), ROW(125:125)))), "", INDEX('Local Data Previous Year'!$E$3:$E$50000, SMALL(IF(CTR1_Billing!$E$21='Local Data Previous Year'!$A$3:$A$50000, ROW('Local Data Previous Year'!$A$3:$A$50000)-ROW('Local Data Previous Year'!$A$3)+1), ROW(125:125))))</f>
        <v/>
      </c>
      <c r="AO157" s="209" t="str">
        <f t="shared" si="19"/>
        <v/>
      </c>
      <c r="AP157" s="208"/>
      <c r="AQ157" s="209" t="str">
        <f t="shared" si="20"/>
        <v/>
      </c>
      <c r="AR157" s="209" t="str">
        <f t="shared" si="21"/>
        <v/>
      </c>
      <c r="AS157" s="202" t="str">
        <f t="shared" si="22"/>
        <v/>
      </c>
      <c r="AT157" s="202" t="str">
        <f t="shared" si="23"/>
        <v/>
      </c>
      <c r="AU157" s="208"/>
      <c r="AV157" s="208"/>
      <c r="AW157" s="208"/>
      <c r="AX157" s="208"/>
      <c r="AY157" s="208"/>
      <c r="AZ157" s="208"/>
      <c r="BA157" s="208"/>
      <c r="BB157" s="208"/>
      <c r="BC157" s="208"/>
      <c r="BD157" s="208"/>
      <c r="BE157" s="208"/>
      <c r="BF157" s="208"/>
      <c r="BG157" s="28"/>
      <c r="BH157" s="28"/>
      <c r="BI157" s="28"/>
      <c r="BJ157" s="28"/>
    </row>
    <row r="158" spans="1:62" s="23" customFormat="1" ht="21" customHeight="1" thickBot="1" x14ac:dyDescent="0.25">
      <c r="A158" s="846" t="str">
        <f>IF($AN158="","",IFERROR(VLOOKUP(CONCATENATE(CTR1_Billing!$E$20,$AN158),'Local Data Previous Year'!$C$3:$D$20000,2,0),CTR1_Billing!$E$21&amp;"NEW"))</f>
        <v/>
      </c>
      <c r="B158" s="846" t="str">
        <f>IF($E158="","",IFERROR(VLOOKUP(CONCATENATE(CTR1_Billing!$E$20,CTR1_Local!$E158),'Local Data Previous Year'!$C$3:$D$20000,2,0),CTR1_Billing!$E$21&amp;"NEW"))</f>
        <v/>
      </c>
      <c r="C158" s="846">
        <v>126</v>
      </c>
      <c r="D158" s="755" t="str" cm="1">
        <f t="array" ref="D158">IF(ISERROR(INDEX('Local Data Previous Year'!$D$3:$D$20000,SMALL(IF(CTR1_Billing!$E$21='Local Data Previous Year'!$A$3:$A$20000,ROW('Local Data Previous Year'!$A$3:$A$20000)-ROW('Local Data Previous Year'!$A$3)+1),ROW(126:126)))),"",INDEX('Local Data Previous Year'!$D$3:$D$20000,SMALL(IF(CTR1_Billing!$E$21='Local Data Previous Year'!$A$3:$A$20000,ROW('Local Data Previous Year'!$A$3:$A$20000)-ROW('Local Data Previous Year'!$A$3)+1),ROW(126:126))))</f>
        <v/>
      </c>
      <c r="E158" s="755" t="str" cm="1">
        <f t="array" ref="E158">IF(ISERROR(INDEX('Local Data Previous Year'!$E$3:$E$20000,SMALL(IF(CTR1_Billing!$E$21='Local Data Previous Year'!$A$3:$A$20000,ROW('Local Data Previous Year'!$A$3:$A$20000)-ROW('Local Data Previous Year'!$A$3)+1),ROW(126:126)))),"",INDEX('Local Data Previous Year'!$E$3:$E$20000,SMALL(IF(CTR1_Billing!$E$21='Local Data Previous Year'!$A$3:$A$20000,ROW('Local Data Previous Year'!$A$3:$A$20000)-ROW('Local Data Previous Year'!$A$3)+1),ROW(126:126))))</f>
        <v/>
      </c>
      <c r="F158" s="756" t="str">
        <f>IF($D158="","",IF(ISNA(MATCH($D158,'Local Data Previous Year'!$D$3:$D$20000,0)),"New",IFERROR(VLOOKUP($B158,'Local Data Previous Year'!$D$3:$I$20000,6,0),"")))</f>
        <v/>
      </c>
      <c r="G158" s="757">
        <f t="shared" si="24"/>
        <v>0</v>
      </c>
      <c r="H158" s="758" t="str">
        <f>IFERROR(INDEX('Local Data Previous Year'!$F:$F, MATCH($D158, 'Local Data Previous Year'!$D:$D, 0)), "")</f>
        <v/>
      </c>
      <c r="I158" s="759">
        <f>IF(B158=CTR1_Billing!$E$21&amp;"NEW",1,0)</f>
        <v>0</v>
      </c>
      <c r="J158" s="760" t="str">
        <f>IFERROR(INDEX('Local Data Previous Year'!$G:$G, MATCH($D158, 'Local Data Previous Year'!$D:$D, 0)), "")</f>
        <v/>
      </c>
      <c r="K158" s="762"/>
      <c r="L158" s="760" t="str">
        <f>IFERROR(INDEX('Local Data Previous Year'!$H:$H, MATCH($D158, 'Local Data Previous Year'!$D:$D, 0)), "")</f>
        <v/>
      </c>
      <c r="M158" s="762"/>
      <c r="N158" s="763"/>
      <c r="O158" s="767"/>
      <c r="P158" s="765"/>
      <c r="Q158" s="767"/>
      <c r="R158" s="766" t="str">
        <f t="shared" si="25"/>
        <v/>
      </c>
      <c r="S158" s="754"/>
      <c r="T158" s="763"/>
      <c r="U158" s="754"/>
      <c r="V158" s="763"/>
      <c r="W158" s="763"/>
      <c r="X158" s="865" t="str">
        <f>VLOOKUP(CTR1_Billing!$E$21,Data!$C$6:$D$302,1,FALSE)</f>
        <v>EZZZZ</v>
      </c>
      <c r="Y158" s="205"/>
      <c r="Z158" s="205">
        <f t="shared" si="13"/>
        <v>0</v>
      </c>
      <c r="AA158" s="206" t="str">
        <f t="shared" si="14"/>
        <v/>
      </c>
      <c r="AB158" s="205">
        <f t="shared" si="15"/>
        <v>0</v>
      </c>
      <c r="AC158" s="208"/>
      <c r="AD158" s="208"/>
      <c r="AE158" s="208"/>
      <c r="AF158" s="208"/>
      <c r="AG158" s="209" t="str">
        <f>IFERROR(INDEX('Local Data Previous Year'!$F:$F, MATCH($D158, 'Local Data Previous Year'!$D:$D, 0)), "")</f>
        <v/>
      </c>
      <c r="AH158" s="209" t="str">
        <f>IFERROR(INDEX('Local Data Previous Year'!$G:$G, MATCH($D158, 'Local Data Previous Year'!$D:$D, 0)), "")</f>
        <v/>
      </c>
      <c r="AI158" s="209" t="str">
        <f>IFERROR(INDEX('Local Data Previous Year'!$H:$H, MATCH($D158, 'Local Data Previous Year'!$D:$D, 0)), "")</f>
        <v/>
      </c>
      <c r="AJ158" s="209" t="str">
        <f t="shared" si="16"/>
        <v/>
      </c>
      <c r="AK158" s="209" t="str">
        <f t="shared" si="17"/>
        <v/>
      </c>
      <c r="AL158" s="209" t="str">
        <f t="shared" si="18"/>
        <v/>
      </c>
      <c r="AM158" s="208" t="str">
        <f>IF($AN158="","",IFERROR(VLOOKUP(CONCATENATE(CTR1_Billing!$E$20,$AN158),'Local Data Previous Year'!$C$3:$D$50000,2,0),CTR1_Billing!$E$21&amp;"NEW"))</f>
        <v/>
      </c>
      <c r="AN158" s="209" t="str" cm="1">
        <f t="array" ref="AN158">IF(ISERROR(INDEX('Local Data Previous Year'!$E$3:$E$50000, SMALL(IF(CTR1_Billing!$E$21='Local Data Previous Year'!$A$3:$A$50000, ROW('Local Data Previous Year'!$A$3:$A$50000)-ROW('Local Data Previous Year'!$A$3)+1), ROW(126:126)))), "", INDEX('Local Data Previous Year'!$E$3:$E$50000, SMALL(IF(CTR1_Billing!$E$21='Local Data Previous Year'!$A$3:$A$50000, ROW('Local Data Previous Year'!$A$3:$A$50000)-ROW('Local Data Previous Year'!$A$3)+1), ROW(126:126))))</f>
        <v/>
      </c>
      <c r="AO158" s="209" t="str">
        <f t="shared" si="19"/>
        <v/>
      </c>
      <c r="AP158" s="208"/>
      <c r="AQ158" s="209" t="str">
        <f t="shared" si="20"/>
        <v/>
      </c>
      <c r="AR158" s="209" t="str">
        <f t="shared" si="21"/>
        <v/>
      </c>
      <c r="AS158" s="202" t="str">
        <f t="shared" si="22"/>
        <v/>
      </c>
      <c r="AT158" s="202" t="str">
        <f t="shared" si="23"/>
        <v/>
      </c>
      <c r="AU158" s="208"/>
      <c r="AV158" s="208"/>
      <c r="AW158" s="208"/>
      <c r="AX158" s="208"/>
      <c r="AY158" s="208"/>
      <c r="AZ158" s="208"/>
      <c r="BA158" s="208"/>
      <c r="BB158" s="208"/>
      <c r="BC158" s="208"/>
      <c r="BD158" s="208"/>
      <c r="BE158" s="208"/>
      <c r="BF158" s="208"/>
      <c r="BG158" s="28"/>
      <c r="BH158" s="28"/>
      <c r="BI158" s="28"/>
      <c r="BJ158" s="28"/>
    </row>
    <row r="159" spans="1:62" s="23" customFormat="1" ht="21" customHeight="1" thickBot="1" x14ac:dyDescent="0.25">
      <c r="A159" s="846" t="str">
        <f>IF($AN159="","",IFERROR(VLOOKUP(CONCATENATE(CTR1_Billing!$E$20,$AN159),'Local Data Previous Year'!$C$3:$D$20000,2,0),CTR1_Billing!$E$21&amp;"NEW"))</f>
        <v/>
      </c>
      <c r="B159" s="846" t="str">
        <f>IF($E159="","",IFERROR(VLOOKUP(CONCATENATE(CTR1_Billing!$E$20,CTR1_Local!$E159),'Local Data Previous Year'!$C$3:$D$20000,2,0),CTR1_Billing!$E$21&amp;"NEW"))</f>
        <v/>
      </c>
      <c r="C159" s="846">
        <v>127</v>
      </c>
      <c r="D159" s="755" t="str" cm="1">
        <f t="array" ref="D159">IF(ISERROR(INDEX('Local Data Previous Year'!$D$3:$D$20000,SMALL(IF(CTR1_Billing!$E$21='Local Data Previous Year'!$A$3:$A$20000,ROW('Local Data Previous Year'!$A$3:$A$20000)-ROW('Local Data Previous Year'!$A$3)+1),ROW(127:127)))),"",INDEX('Local Data Previous Year'!$D$3:$D$20000,SMALL(IF(CTR1_Billing!$E$21='Local Data Previous Year'!$A$3:$A$20000,ROW('Local Data Previous Year'!$A$3:$A$20000)-ROW('Local Data Previous Year'!$A$3)+1),ROW(127:127))))</f>
        <v/>
      </c>
      <c r="E159" s="755" t="str" cm="1">
        <f t="array" ref="E159">IF(ISERROR(INDEX('Local Data Previous Year'!$E$3:$E$20000,SMALL(IF(CTR1_Billing!$E$21='Local Data Previous Year'!$A$3:$A$20000,ROW('Local Data Previous Year'!$A$3:$A$20000)-ROW('Local Data Previous Year'!$A$3)+1),ROW(127:127)))),"",INDEX('Local Data Previous Year'!$E$3:$E$20000,SMALL(IF(CTR1_Billing!$E$21='Local Data Previous Year'!$A$3:$A$20000,ROW('Local Data Previous Year'!$A$3:$A$20000)-ROW('Local Data Previous Year'!$A$3)+1),ROW(127:127))))</f>
        <v/>
      </c>
      <c r="F159" s="756" t="str">
        <f>IF($D159="","",IF(ISNA(MATCH($D159,'Local Data Previous Year'!$D$3:$D$20000,0)),"New",IFERROR(VLOOKUP($B159,'Local Data Previous Year'!$D$3:$I$20000,6,0),"")))</f>
        <v/>
      </c>
      <c r="G159" s="757">
        <f t="shared" si="24"/>
        <v>0</v>
      </c>
      <c r="H159" s="758" t="str">
        <f>IFERROR(INDEX('Local Data Previous Year'!$F:$F, MATCH($D159, 'Local Data Previous Year'!$D:$D, 0)), "")</f>
        <v/>
      </c>
      <c r="I159" s="759">
        <f>IF(B159=CTR1_Billing!$E$21&amp;"NEW",1,0)</f>
        <v>0</v>
      </c>
      <c r="J159" s="760" t="str">
        <f>IFERROR(INDEX('Local Data Previous Year'!$G:$G, MATCH($D159, 'Local Data Previous Year'!$D:$D, 0)), "")</f>
        <v/>
      </c>
      <c r="K159" s="762"/>
      <c r="L159" s="760" t="str">
        <f>IFERROR(INDEX('Local Data Previous Year'!$H:$H, MATCH($D159, 'Local Data Previous Year'!$D:$D, 0)), "")</f>
        <v/>
      </c>
      <c r="M159" s="762"/>
      <c r="N159" s="763"/>
      <c r="O159" s="767"/>
      <c r="P159" s="765"/>
      <c r="Q159" s="767"/>
      <c r="R159" s="766" t="str">
        <f t="shared" si="25"/>
        <v/>
      </c>
      <c r="S159" s="754"/>
      <c r="T159" s="763"/>
      <c r="U159" s="754"/>
      <c r="V159" s="763"/>
      <c r="W159" s="763"/>
      <c r="X159" s="865" t="str">
        <f>VLOOKUP(CTR1_Billing!$E$21,Data!$C$6:$D$302,1,FALSE)</f>
        <v>EZZZZ</v>
      </c>
      <c r="Y159" s="205"/>
      <c r="Z159" s="205">
        <f t="shared" si="13"/>
        <v>0</v>
      </c>
      <c r="AA159" s="206" t="str">
        <f t="shared" si="14"/>
        <v/>
      </c>
      <c r="AB159" s="205">
        <f t="shared" si="15"/>
        <v>0</v>
      </c>
      <c r="AC159" s="208"/>
      <c r="AD159" s="208"/>
      <c r="AE159" s="208"/>
      <c r="AF159" s="208"/>
      <c r="AG159" s="209" t="str">
        <f>IFERROR(INDEX('Local Data Previous Year'!$F:$F, MATCH($D159, 'Local Data Previous Year'!$D:$D, 0)), "")</f>
        <v/>
      </c>
      <c r="AH159" s="209" t="str">
        <f>IFERROR(INDEX('Local Data Previous Year'!$G:$G, MATCH($D159, 'Local Data Previous Year'!$D:$D, 0)), "")</f>
        <v/>
      </c>
      <c r="AI159" s="209" t="str">
        <f>IFERROR(INDEX('Local Data Previous Year'!$H:$H, MATCH($D159, 'Local Data Previous Year'!$D:$D, 0)), "")</f>
        <v/>
      </c>
      <c r="AJ159" s="209" t="str">
        <f t="shared" si="16"/>
        <v/>
      </c>
      <c r="AK159" s="209" t="str">
        <f t="shared" si="17"/>
        <v/>
      </c>
      <c r="AL159" s="209" t="str">
        <f t="shared" si="18"/>
        <v/>
      </c>
      <c r="AM159" s="208" t="str">
        <f>IF($AN159="","",IFERROR(VLOOKUP(CONCATENATE(CTR1_Billing!$E$20,$AN159),'Local Data Previous Year'!$C$3:$D$50000,2,0),CTR1_Billing!$E$21&amp;"NEW"))</f>
        <v/>
      </c>
      <c r="AN159" s="209" t="str" cm="1">
        <f t="array" ref="AN159">IF(ISERROR(INDEX('Local Data Previous Year'!$E$3:$E$50000, SMALL(IF(CTR1_Billing!$E$21='Local Data Previous Year'!$A$3:$A$50000, ROW('Local Data Previous Year'!$A$3:$A$50000)-ROW('Local Data Previous Year'!$A$3)+1), ROW(127:127)))), "", INDEX('Local Data Previous Year'!$E$3:$E$50000, SMALL(IF(CTR1_Billing!$E$21='Local Data Previous Year'!$A$3:$A$50000, ROW('Local Data Previous Year'!$A$3:$A$50000)-ROW('Local Data Previous Year'!$A$3)+1), ROW(127:127))))</f>
        <v/>
      </c>
      <c r="AO159" s="209" t="str">
        <f t="shared" si="19"/>
        <v/>
      </c>
      <c r="AP159" s="208"/>
      <c r="AQ159" s="209" t="str">
        <f t="shared" si="20"/>
        <v/>
      </c>
      <c r="AR159" s="209" t="str">
        <f t="shared" si="21"/>
        <v/>
      </c>
      <c r="AS159" s="202" t="str">
        <f t="shared" si="22"/>
        <v/>
      </c>
      <c r="AT159" s="202" t="str">
        <f t="shared" si="23"/>
        <v/>
      </c>
      <c r="AU159" s="208"/>
      <c r="AV159" s="208"/>
      <c r="AW159" s="208"/>
      <c r="AX159" s="208"/>
      <c r="AY159" s="208"/>
      <c r="AZ159" s="208"/>
      <c r="BA159" s="208"/>
      <c r="BB159" s="208"/>
      <c r="BC159" s="208"/>
      <c r="BD159" s="208"/>
      <c r="BE159" s="208"/>
      <c r="BF159" s="208"/>
      <c r="BG159" s="28"/>
      <c r="BH159" s="28"/>
      <c r="BI159" s="28"/>
      <c r="BJ159" s="28"/>
    </row>
    <row r="160" spans="1:62" s="23" customFormat="1" ht="21" customHeight="1" thickBot="1" x14ac:dyDescent="0.25">
      <c r="A160" s="846" t="str">
        <f>IF($AN160="","",IFERROR(VLOOKUP(CONCATENATE(CTR1_Billing!$E$20,$AN160),'Local Data Previous Year'!$C$3:$D$20000,2,0),CTR1_Billing!$E$21&amp;"NEW"))</f>
        <v/>
      </c>
      <c r="B160" s="846" t="str">
        <f>IF($E160="","",IFERROR(VLOOKUP(CONCATENATE(CTR1_Billing!$E$20,CTR1_Local!$E160),'Local Data Previous Year'!$C$3:$D$20000,2,0),CTR1_Billing!$E$21&amp;"NEW"))</f>
        <v/>
      </c>
      <c r="C160" s="846">
        <v>128</v>
      </c>
      <c r="D160" s="755" t="str" cm="1">
        <f t="array" ref="D160">IF(ISERROR(INDEX('Local Data Previous Year'!$D$3:$D$20000,SMALL(IF(CTR1_Billing!$E$21='Local Data Previous Year'!$A$3:$A$20000,ROW('Local Data Previous Year'!$A$3:$A$20000)-ROW('Local Data Previous Year'!$A$3)+1),ROW(128:128)))),"",INDEX('Local Data Previous Year'!$D$3:$D$20000,SMALL(IF(CTR1_Billing!$E$21='Local Data Previous Year'!$A$3:$A$20000,ROW('Local Data Previous Year'!$A$3:$A$20000)-ROW('Local Data Previous Year'!$A$3)+1),ROW(128:128))))</f>
        <v/>
      </c>
      <c r="E160" s="755" t="str" cm="1">
        <f t="array" ref="E160">IF(ISERROR(INDEX('Local Data Previous Year'!$E$3:$E$20000,SMALL(IF(CTR1_Billing!$E$21='Local Data Previous Year'!$A$3:$A$20000,ROW('Local Data Previous Year'!$A$3:$A$20000)-ROW('Local Data Previous Year'!$A$3)+1),ROW(128:128)))),"",INDEX('Local Data Previous Year'!$E$3:$E$20000,SMALL(IF(CTR1_Billing!$E$21='Local Data Previous Year'!$A$3:$A$20000,ROW('Local Data Previous Year'!$A$3:$A$20000)-ROW('Local Data Previous Year'!$A$3)+1),ROW(128:128))))</f>
        <v/>
      </c>
      <c r="F160" s="756" t="str">
        <f>IF($D160="","",IF(ISNA(MATCH($D160,'Local Data Previous Year'!$D$3:$D$20000,0)),"New",IFERROR(VLOOKUP($B160,'Local Data Previous Year'!$D$3:$I$20000,6,0),"")))</f>
        <v/>
      </c>
      <c r="G160" s="757">
        <f t="shared" si="24"/>
        <v>0</v>
      </c>
      <c r="H160" s="758" t="str">
        <f>IFERROR(INDEX('Local Data Previous Year'!$F:$F, MATCH($D160, 'Local Data Previous Year'!$D:$D, 0)), "")</f>
        <v/>
      </c>
      <c r="I160" s="759">
        <f>IF(B160=CTR1_Billing!$E$21&amp;"NEW",1,0)</f>
        <v>0</v>
      </c>
      <c r="J160" s="760" t="str">
        <f>IFERROR(INDEX('Local Data Previous Year'!$G:$G, MATCH($D160, 'Local Data Previous Year'!$D:$D, 0)), "")</f>
        <v/>
      </c>
      <c r="K160" s="762"/>
      <c r="L160" s="760" t="str">
        <f>IFERROR(INDEX('Local Data Previous Year'!$H:$H, MATCH($D160, 'Local Data Previous Year'!$D:$D, 0)), "")</f>
        <v/>
      </c>
      <c r="M160" s="762"/>
      <c r="N160" s="763"/>
      <c r="O160" s="767"/>
      <c r="P160" s="765"/>
      <c r="Q160" s="767"/>
      <c r="R160" s="766" t="str">
        <f t="shared" si="25"/>
        <v/>
      </c>
      <c r="S160" s="754"/>
      <c r="T160" s="763"/>
      <c r="U160" s="754"/>
      <c r="V160" s="763"/>
      <c r="W160" s="763"/>
      <c r="X160" s="865" t="str">
        <f>VLOOKUP(CTR1_Billing!$E$21,Data!$C$6:$D$302,1,FALSE)</f>
        <v>EZZZZ</v>
      </c>
      <c r="Y160" s="205"/>
      <c r="Z160" s="205">
        <f t="shared" si="13"/>
        <v>0</v>
      </c>
      <c r="AA160" s="206" t="str">
        <f t="shared" si="14"/>
        <v/>
      </c>
      <c r="AB160" s="205">
        <f t="shared" si="15"/>
        <v>0</v>
      </c>
      <c r="AC160" s="208"/>
      <c r="AD160" s="208"/>
      <c r="AE160" s="208"/>
      <c r="AF160" s="208"/>
      <c r="AG160" s="209" t="str">
        <f>IFERROR(INDEX('Local Data Previous Year'!$F:$F, MATCH($D160, 'Local Data Previous Year'!$D:$D, 0)), "")</f>
        <v/>
      </c>
      <c r="AH160" s="209" t="str">
        <f>IFERROR(INDEX('Local Data Previous Year'!$G:$G, MATCH($D160, 'Local Data Previous Year'!$D:$D, 0)), "")</f>
        <v/>
      </c>
      <c r="AI160" s="209" t="str">
        <f>IFERROR(INDEX('Local Data Previous Year'!$H:$H, MATCH($D160, 'Local Data Previous Year'!$D:$D, 0)), "")</f>
        <v/>
      </c>
      <c r="AJ160" s="209" t="str">
        <f t="shared" si="16"/>
        <v/>
      </c>
      <c r="AK160" s="209" t="str">
        <f t="shared" si="17"/>
        <v/>
      </c>
      <c r="AL160" s="209" t="str">
        <f t="shared" si="18"/>
        <v/>
      </c>
      <c r="AM160" s="208" t="str">
        <f>IF($AN160="","",IFERROR(VLOOKUP(CONCATENATE(CTR1_Billing!$E$20,$AN160),'Local Data Previous Year'!$C$3:$D$50000,2,0),CTR1_Billing!$E$21&amp;"NEW"))</f>
        <v/>
      </c>
      <c r="AN160" s="209" t="str" cm="1">
        <f t="array" ref="AN160">IF(ISERROR(INDEX('Local Data Previous Year'!$E$3:$E$50000, SMALL(IF(CTR1_Billing!$E$21='Local Data Previous Year'!$A$3:$A$50000, ROW('Local Data Previous Year'!$A$3:$A$50000)-ROW('Local Data Previous Year'!$A$3)+1), ROW(128:128)))), "", INDEX('Local Data Previous Year'!$E$3:$E$50000, SMALL(IF(CTR1_Billing!$E$21='Local Data Previous Year'!$A$3:$A$50000, ROW('Local Data Previous Year'!$A$3:$A$50000)-ROW('Local Data Previous Year'!$A$3)+1), ROW(128:128))))</f>
        <v/>
      </c>
      <c r="AO160" s="209" t="str">
        <f t="shared" si="19"/>
        <v/>
      </c>
      <c r="AP160" s="208"/>
      <c r="AQ160" s="209" t="str">
        <f t="shared" si="20"/>
        <v/>
      </c>
      <c r="AR160" s="209" t="str">
        <f t="shared" si="21"/>
        <v/>
      </c>
      <c r="AS160" s="202" t="str">
        <f t="shared" si="22"/>
        <v/>
      </c>
      <c r="AT160" s="202" t="str">
        <f t="shared" si="23"/>
        <v/>
      </c>
      <c r="AU160" s="208"/>
      <c r="AV160" s="208"/>
      <c r="AW160" s="208"/>
      <c r="AX160" s="208"/>
      <c r="AY160" s="208"/>
      <c r="AZ160" s="208"/>
      <c r="BA160" s="208"/>
      <c r="BB160" s="208"/>
      <c r="BC160" s="208"/>
      <c r="BD160" s="208"/>
      <c r="BE160" s="208"/>
      <c r="BF160" s="208"/>
      <c r="BG160" s="28"/>
      <c r="BH160" s="28"/>
      <c r="BI160" s="28"/>
      <c r="BJ160" s="28"/>
    </row>
    <row r="161" spans="1:62" s="23" customFormat="1" ht="21" customHeight="1" thickBot="1" x14ac:dyDescent="0.25">
      <c r="A161" s="846" t="str">
        <f>IF($AN161="","",IFERROR(VLOOKUP(CONCATENATE(CTR1_Billing!$E$20,$AN161),'Local Data Previous Year'!$C$3:$D$20000,2,0),CTR1_Billing!$E$21&amp;"NEW"))</f>
        <v/>
      </c>
      <c r="B161" s="846" t="str">
        <f>IF($E161="","",IFERROR(VLOOKUP(CONCATENATE(CTR1_Billing!$E$20,CTR1_Local!$E161),'Local Data Previous Year'!$C$3:$D$20000,2,0),CTR1_Billing!$E$21&amp;"NEW"))</f>
        <v/>
      </c>
      <c r="C161" s="846">
        <v>129</v>
      </c>
      <c r="D161" s="755" t="str" cm="1">
        <f t="array" ref="D161">IF(ISERROR(INDEX('Local Data Previous Year'!$D$3:$D$20000,SMALL(IF(CTR1_Billing!$E$21='Local Data Previous Year'!$A$3:$A$20000,ROW('Local Data Previous Year'!$A$3:$A$20000)-ROW('Local Data Previous Year'!$A$3)+1),ROW(129:129)))),"",INDEX('Local Data Previous Year'!$D$3:$D$20000,SMALL(IF(CTR1_Billing!$E$21='Local Data Previous Year'!$A$3:$A$20000,ROW('Local Data Previous Year'!$A$3:$A$20000)-ROW('Local Data Previous Year'!$A$3)+1),ROW(129:129))))</f>
        <v/>
      </c>
      <c r="E161" s="755" t="str" cm="1">
        <f t="array" ref="E161">IF(ISERROR(INDEX('Local Data Previous Year'!$E$3:$E$20000,SMALL(IF(CTR1_Billing!$E$21='Local Data Previous Year'!$A$3:$A$20000,ROW('Local Data Previous Year'!$A$3:$A$20000)-ROW('Local Data Previous Year'!$A$3)+1),ROW(129:129)))),"",INDEX('Local Data Previous Year'!$E$3:$E$20000,SMALL(IF(CTR1_Billing!$E$21='Local Data Previous Year'!$A$3:$A$20000,ROW('Local Data Previous Year'!$A$3:$A$20000)-ROW('Local Data Previous Year'!$A$3)+1),ROW(129:129))))</f>
        <v/>
      </c>
      <c r="F161" s="756" t="str">
        <f>IF($D161="","",IF(ISNA(MATCH($D161,'Local Data Previous Year'!$D$3:$D$20000,0)),"New",IFERROR(VLOOKUP($B161,'Local Data Previous Year'!$D$3:$I$20000,6,0),"")))</f>
        <v/>
      </c>
      <c r="G161" s="757">
        <f t="shared" si="24"/>
        <v>0</v>
      </c>
      <c r="H161" s="758" t="str">
        <f>IFERROR(INDEX('Local Data Previous Year'!$F:$F, MATCH($D161, 'Local Data Previous Year'!$D:$D, 0)), "")</f>
        <v/>
      </c>
      <c r="I161" s="759">
        <f>IF(B161=CTR1_Billing!$E$21&amp;"NEW",1,0)</f>
        <v>0</v>
      </c>
      <c r="J161" s="760" t="str">
        <f>IFERROR(INDEX('Local Data Previous Year'!$G:$G, MATCH($D161, 'Local Data Previous Year'!$D:$D, 0)), "")</f>
        <v/>
      </c>
      <c r="K161" s="762"/>
      <c r="L161" s="760" t="str">
        <f>IFERROR(INDEX('Local Data Previous Year'!$H:$H, MATCH($D161, 'Local Data Previous Year'!$D:$D, 0)), "")</f>
        <v/>
      </c>
      <c r="M161" s="762"/>
      <c r="N161" s="763"/>
      <c r="O161" s="767"/>
      <c r="P161" s="765"/>
      <c r="Q161" s="767"/>
      <c r="R161" s="766" t="str">
        <f t="shared" si="25"/>
        <v/>
      </c>
      <c r="S161" s="754"/>
      <c r="T161" s="763"/>
      <c r="U161" s="754"/>
      <c r="V161" s="763"/>
      <c r="W161" s="763"/>
      <c r="X161" s="865" t="str">
        <f>VLOOKUP(CTR1_Billing!$E$21,Data!$C$6:$D$302,1,FALSE)</f>
        <v>EZZZZ</v>
      </c>
      <c r="Y161" s="205"/>
      <c r="Z161" s="205">
        <f t="shared" ref="Z161:Z224" si="26">IF(OR(P161&gt;AQ161,P161&lt;AR161),1,0)</f>
        <v>0</v>
      </c>
      <c r="AA161" s="206" t="str">
        <f t="shared" ref="AA161:AA224" si="27">IF(R161="","",IF(R161=0,"ok",IF(R161&lt;&gt;(N161/P161),"error","ok")))</f>
        <v/>
      </c>
      <c r="AB161" s="205">
        <f t="shared" ref="AB161:AB224" si="28">IF(OR(R161&gt;AS161,R161&lt;AT161),1,0)</f>
        <v>0</v>
      </c>
      <c r="AC161" s="208"/>
      <c r="AD161" s="208"/>
      <c r="AE161" s="208"/>
      <c r="AF161" s="208"/>
      <c r="AG161" s="209" t="str">
        <f>IFERROR(INDEX('Local Data Previous Year'!$F:$F, MATCH($D161, 'Local Data Previous Year'!$D:$D, 0)), "")</f>
        <v/>
      </c>
      <c r="AH161" s="209" t="str">
        <f>IFERROR(INDEX('Local Data Previous Year'!$G:$G, MATCH($D161, 'Local Data Previous Year'!$D:$D, 0)), "")</f>
        <v/>
      </c>
      <c r="AI161" s="209" t="str">
        <f>IFERROR(INDEX('Local Data Previous Year'!$H:$H, MATCH($D161, 'Local Data Previous Year'!$D:$D, 0)), "")</f>
        <v/>
      </c>
      <c r="AJ161" s="209" t="str">
        <f t="shared" ref="AJ161:AJ224" si="29">IF(AG161=H161,"","change")</f>
        <v/>
      </c>
      <c r="AK161" s="209" t="str">
        <f t="shared" ref="AK161:AK224" si="30">IF(AH161=J161,"","change")</f>
        <v/>
      </c>
      <c r="AL161" s="209" t="str">
        <f t="shared" ref="AL161:AL224" si="31">IF(AI161=L161,"","change")</f>
        <v/>
      </c>
      <c r="AM161" s="208" t="str">
        <f>IF($AN161="","",IFERROR(VLOOKUP(CONCATENATE(CTR1_Billing!$E$20,$AN161),'Local Data Previous Year'!$C$3:$D$50000,2,0),CTR1_Billing!$E$21&amp;"NEW"))</f>
        <v/>
      </c>
      <c r="AN161" s="209" t="str" cm="1">
        <f t="array" ref="AN161">IF(ISERROR(INDEX('Local Data Previous Year'!$E$3:$E$50000, SMALL(IF(CTR1_Billing!$E$21='Local Data Previous Year'!$A$3:$A$50000, ROW('Local Data Previous Year'!$A$3:$A$50000)-ROW('Local Data Previous Year'!$A$3)+1), ROW(129:129)))), "", INDEX('Local Data Previous Year'!$E$3:$E$50000, SMALL(IF(CTR1_Billing!$E$21='Local Data Previous Year'!$A$3:$A$50000, ROW('Local Data Previous Year'!$A$3:$A$50000)-ROW('Local Data Previous Year'!$A$3)+1), ROW(129:129))))</f>
        <v/>
      </c>
      <c r="AO161" s="209" t="str">
        <f t="shared" ref="AO161:AO224" si="32">IF(AN161=E161,"","change")</f>
        <v/>
      </c>
      <c r="AP161" s="208"/>
      <c r="AQ161" s="209" t="str">
        <f t="shared" ref="AQ161:AQ224" si="33">IFERROR(J161*1.1,"")</f>
        <v/>
      </c>
      <c r="AR161" s="209" t="str">
        <f t="shared" ref="AR161:AR224" si="34">IFERROR(J161*0.9,"")</f>
        <v/>
      </c>
      <c r="AS161" s="202" t="str">
        <f t="shared" ref="AS161:AS224" si="35">IFERROR(L161+20,"")</f>
        <v/>
      </c>
      <c r="AT161" s="202" t="str">
        <f t="shared" ref="AT161:AT224" si="36">IFERROR(L161-20,"")</f>
        <v/>
      </c>
      <c r="AU161" s="208"/>
      <c r="AV161" s="208"/>
      <c r="AW161" s="208"/>
      <c r="AX161" s="208"/>
      <c r="AY161" s="208"/>
      <c r="AZ161" s="208"/>
      <c r="BA161" s="208"/>
      <c r="BB161" s="208"/>
      <c r="BC161" s="208"/>
      <c r="BD161" s="208"/>
      <c r="BE161" s="208"/>
      <c r="BF161" s="208"/>
      <c r="BG161" s="28"/>
      <c r="BH161" s="28"/>
      <c r="BI161" s="28"/>
      <c r="BJ161" s="28"/>
    </row>
    <row r="162" spans="1:62" s="23" customFormat="1" ht="21" customHeight="1" thickBot="1" x14ac:dyDescent="0.25">
      <c r="A162" s="846" t="str">
        <f>IF($AN162="","",IFERROR(VLOOKUP(CONCATENATE(CTR1_Billing!$E$20,$AN162),'Local Data Previous Year'!$C$3:$D$20000,2,0),CTR1_Billing!$E$21&amp;"NEW"))</f>
        <v/>
      </c>
      <c r="B162" s="846" t="str">
        <f>IF($E162="","",IFERROR(VLOOKUP(CONCATENATE(CTR1_Billing!$E$20,CTR1_Local!$E162),'Local Data Previous Year'!$C$3:$D$20000,2,0),CTR1_Billing!$E$21&amp;"NEW"))</f>
        <v/>
      </c>
      <c r="C162" s="846">
        <v>130</v>
      </c>
      <c r="D162" s="755" t="str" cm="1">
        <f t="array" ref="D162">IF(ISERROR(INDEX('Local Data Previous Year'!$D$3:$D$20000,SMALL(IF(CTR1_Billing!$E$21='Local Data Previous Year'!$A$3:$A$20000,ROW('Local Data Previous Year'!$A$3:$A$20000)-ROW('Local Data Previous Year'!$A$3)+1),ROW(130:130)))),"",INDEX('Local Data Previous Year'!$D$3:$D$20000,SMALL(IF(CTR1_Billing!$E$21='Local Data Previous Year'!$A$3:$A$20000,ROW('Local Data Previous Year'!$A$3:$A$20000)-ROW('Local Data Previous Year'!$A$3)+1),ROW(130:130))))</f>
        <v/>
      </c>
      <c r="E162" s="755" t="str" cm="1">
        <f t="array" ref="E162">IF(ISERROR(INDEX('Local Data Previous Year'!$E$3:$E$20000,SMALL(IF(CTR1_Billing!$E$21='Local Data Previous Year'!$A$3:$A$20000,ROW('Local Data Previous Year'!$A$3:$A$20000)-ROW('Local Data Previous Year'!$A$3)+1),ROW(130:130)))),"",INDEX('Local Data Previous Year'!$E$3:$E$20000,SMALL(IF(CTR1_Billing!$E$21='Local Data Previous Year'!$A$3:$A$20000,ROW('Local Data Previous Year'!$A$3:$A$20000)-ROW('Local Data Previous Year'!$A$3)+1),ROW(130:130))))</f>
        <v/>
      </c>
      <c r="F162" s="756" t="str">
        <f>IF($D162="","",IF(ISNA(MATCH($D162,'Local Data Previous Year'!$D$3:$D$20000,0)),"New",IFERROR(VLOOKUP($B162,'Local Data Previous Year'!$D$3:$I$20000,6,0),"")))</f>
        <v/>
      </c>
      <c r="G162" s="757">
        <f t="shared" ref="G162:G225" si="37">IF(F162="Charter Trustee",1,0)</f>
        <v>0</v>
      </c>
      <c r="H162" s="758" t="str">
        <f>IFERROR(INDEX('Local Data Previous Year'!$F:$F, MATCH($D162, 'Local Data Previous Year'!$D:$D, 0)), "")</f>
        <v/>
      </c>
      <c r="I162" s="759">
        <f>IF(B162=CTR1_Billing!$E$21&amp;"NEW",1,0)</f>
        <v>0</v>
      </c>
      <c r="J162" s="760" t="str">
        <f>IFERROR(INDEX('Local Data Previous Year'!$G:$G, MATCH($D162, 'Local Data Previous Year'!$D:$D, 0)), "")</f>
        <v/>
      </c>
      <c r="K162" s="762"/>
      <c r="L162" s="760" t="str">
        <f>IFERROR(INDEX('Local Data Previous Year'!$H:$H, MATCH($D162, 'Local Data Previous Year'!$D:$D, 0)), "")</f>
        <v/>
      </c>
      <c r="M162" s="762"/>
      <c r="N162" s="763"/>
      <c r="O162" s="767"/>
      <c r="P162" s="765"/>
      <c r="Q162" s="767"/>
      <c r="R162" s="766" t="str">
        <f t="shared" si="25"/>
        <v/>
      </c>
      <c r="S162" s="754"/>
      <c r="T162" s="763"/>
      <c r="U162" s="754"/>
      <c r="V162" s="763"/>
      <c r="W162" s="763"/>
      <c r="X162" s="865" t="str">
        <f>VLOOKUP(CTR1_Billing!$E$21,Data!$C$6:$D$302,1,FALSE)</f>
        <v>EZZZZ</v>
      </c>
      <c r="Y162" s="205"/>
      <c r="Z162" s="205">
        <f t="shared" si="26"/>
        <v>0</v>
      </c>
      <c r="AA162" s="206" t="str">
        <f t="shared" si="27"/>
        <v/>
      </c>
      <c r="AB162" s="205">
        <f t="shared" si="28"/>
        <v>0</v>
      </c>
      <c r="AC162" s="208"/>
      <c r="AD162" s="208"/>
      <c r="AE162" s="208"/>
      <c r="AF162" s="208"/>
      <c r="AG162" s="209" t="str">
        <f>IFERROR(INDEX('Local Data Previous Year'!$F:$F, MATCH($D162, 'Local Data Previous Year'!$D:$D, 0)), "")</f>
        <v/>
      </c>
      <c r="AH162" s="209" t="str">
        <f>IFERROR(INDEX('Local Data Previous Year'!$G:$G, MATCH($D162, 'Local Data Previous Year'!$D:$D, 0)), "")</f>
        <v/>
      </c>
      <c r="AI162" s="209" t="str">
        <f>IFERROR(INDEX('Local Data Previous Year'!$H:$H, MATCH($D162, 'Local Data Previous Year'!$D:$D, 0)), "")</f>
        <v/>
      </c>
      <c r="AJ162" s="209" t="str">
        <f t="shared" si="29"/>
        <v/>
      </c>
      <c r="AK162" s="209" t="str">
        <f t="shared" si="30"/>
        <v/>
      </c>
      <c r="AL162" s="209" t="str">
        <f t="shared" si="31"/>
        <v/>
      </c>
      <c r="AM162" s="208" t="str">
        <f>IF($AN162="","",IFERROR(VLOOKUP(CONCATENATE(CTR1_Billing!$E$20,$AN162),'Local Data Previous Year'!$C$3:$D$50000,2,0),CTR1_Billing!$E$21&amp;"NEW"))</f>
        <v/>
      </c>
      <c r="AN162" s="209" t="str" cm="1">
        <f t="array" ref="AN162">IF(ISERROR(INDEX('Local Data Previous Year'!$E$3:$E$50000, SMALL(IF(CTR1_Billing!$E$21='Local Data Previous Year'!$A$3:$A$50000, ROW('Local Data Previous Year'!$A$3:$A$50000)-ROW('Local Data Previous Year'!$A$3)+1), ROW(130:130)))), "", INDEX('Local Data Previous Year'!$E$3:$E$50000, SMALL(IF(CTR1_Billing!$E$21='Local Data Previous Year'!$A$3:$A$50000, ROW('Local Data Previous Year'!$A$3:$A$50000)-ROW('Local Data Previous Year'!$A$3)+1), ROW(130:130))))</f>
        <v/>
      </c>
      <c r="AO162" s="209" t="str">
        <f t="shared" si="32"/>
        <v/>
      </c>
      <c r="AP162" s="208"/>
      <c r="AQ162" s="209" t="str">
        <f t="shared" si="33"/>
        <v/>
      </c>
      <c r="AR162" s="209" t="str">
        <f t="shared" si="34"/>
        <v/>
      </c>
      <c r="AS162" s="202" t="str">
        <f t="shared" si="35"/>
        <v/>
      </c>
      <c r="AT162" s="202" t="str">
        <f t="shared" si="36"/>
        <v/>
      </c>
      <c r="AU162" s="208"/>
      <c r="AV162" s="208"/>
      <c r="AW162" s="208"/>
      <c r="AX162" s="208"/>
      <c r="AY162" s="208"/>
      <c r="AZ162" s="208"/>
      <c r="BA162" s="208"/>
      <c r="BB162" s="208"/>
      <c r="BC162" s="208"/>
      <c r="BD162" s="208"/>
      <c r="BE162" s="208"/>
      <c r="BF162" s="208"/>
      <c r="BG162" s="28"/>
      <c r="BH162" s="28"/>
      <c r="BI162" s="28"/>
      <c r="BJ162" s="28"/>
    </row>
    <row r="163" spans="1:62" s="23" customFormat="1" ht="21" customHeight="1" thickBot="1" x14ac:dyDescent="0.25">
      <c r="A163" s="846" t="str">
        <f>IF($AN163="","",IFERROR(VLOOKUP(CONCATENATE(CTR1_Billing!$E$20,$AN163),'Local Data Previous Year'!$C$3:$D$20000,2,0),CTR1_Billing!$E$21&amp;"NEW"))</f>
        <v/>
      </c>
      <c r="B163" s="846" t="str">
        <f>IF($E163="","",IFERROR(VLOOKUP(CONCATENATE(CTR1_Billing!$E$20,CTR1_Local!$E163),'Local Data Previous Year'!$C$3:$D$20000,2,0),CTR1_Billing!$E$21&amp;"NEW"))</f>
        <v/>
      </c>
      <c r="C163" s="846">
        <v>131</v>
      </c>
      <c r="D163" s="755" t="str" cm="1">
        <f t="array" ref="D163">IF(ISERROR(INDEX('Local Data Previous Year'!$D$3:$D$20000,SMALL(IF(CTR1_Billing!$E$21='Local Data Previous Year'!$A$3:$A$20000,ROW('Local Data Previous Year'!$A$3:$A$20000)-ROW('Local Data Previous Year'!$A$3)+1),ROW(131:131)))),"",INDEX('Local Data Previous Year'!$D$3:$D$20000,SMALL(IF(CTR1_Billing!$E$21='Local Data Previous Year'!$A$3:$A$20000,ROW('Local Data Previous Year'!$A$3:$A$20000)-ROW('Local Data Previous Year'!$A$3)+1),ROW(131:131))))</f>
        <v/>
      </c>
      <c r="E163" s="755" t="str" cm="1">
        <f t="array" ref="E163">IF(ISERROR(INDEX('Local Data Previous Year'!$E$3:$E$20000,SMALL(IF(CTR1_Billing!$E$21='Local Data Previous Year'!$A$3:$A$20000,ROW('Local Data Previous Year'!$A$3:$A$20000)-ROW('Local Data Previous Year'!$A$3)+1),ROW(131:131)))),"",INDEX('Local Data Previous Year'!$E$3:$E$20000,SMALL(IF(CTR1_Billing!$E$21='Local Data Previous Year'!$A$3:$A$20000,ROW('Local Data Previous Year'!$A$3:$A$20000)-ROW('Local Data Previous Year'!$A$3)+1),ROW(131:131))))</f>
        <v/>
      </c>
      <c r="F163" s="756" t="str">
        <f>IF($D163="","",IF(ISNA(MATCH($D163,'Local Data Previous Year'!$D$3:$D$20000,0)),"New",IFERROR(VLOOKUP($B163,'Local Data Previous Year'!$D$3:$I$20000,6,0),"")))</f>
        <v/>
      </c>
      <c r="G163" s="757">
        <f t="shared" si="37"/>
        <v>0</v>
      </c>
      <c r="H163" s="758" t="str">
        <f>IFERROR(INDEX('Local Data Previous Year'!$F:$F, MATCH($D163, 'Local Data Previous Year'!$D:$D, 0)), "")</f>
        <v/>
      </c>
      <c r="I163" s="759">
        <f>IF(B163=CTR1_Billing!$E$21&amp;"NEW",1,0)</f>
        <v>0</v>
      </c>
      <c r="J163" s="760" t="str">
        <f>IFERROR(INDEX('Local Data Previous Year'!$G:$G, MATCH($D163, 'Local Data Previous Year'!$D:$D, 0)), "")</f>
        <v/>
      </c>
      <c r="K163" s="762"/>
      <c r="L163" s="760" t="str">
        <f>IFERROR(INDEX('Local Data Previous Year'!$H:$H, MATCH($D163, 'Local Data Previous Year'!$D:$D, 0)), "")</f>
        <v/>
      </c>
      <c r="M163" s="762"/>
      <c r="N163" s="763"/>
      <c r="O163" s="767"/>
      <c r="P163" s="765"/>
      <c r="Q163" s="767"/>
      <c r="R163" s="766" t="str">
        <f t="shared" ref="R163:R226" si="38">+IF(N163="","",IF(N163+P163=0,0,+N163/P163))</f>
        <v/>
      </c>
      <c r="S163" s="754"/>
      <c r="T163" s="763"/>
      <c r="U163" s="754"/>
      <c r="V163" s="763"/>
      <c r="W163" s="763"/>
      <c r="X163" s="865" t="str">
        <f>VLOOKUP(CTR1_Billing!$E$21,Data!$C$6:$D$302,1,FALSE)</f>
        <v>EZZZZ</v>
      </c>
      <c r="Y163" s="205"/>
      <c r="Z163" s="205">
        <f t="shared" si="26"/>
        <v>0</v>
      </c>
      <c r="AA163" s="206" t="str">
        <f t="shared" si="27"/>
        <v/>
      </c>
      <c r="AB163" s="205">
        <f t="shared" si="28"/>
        <v>0</v>
      </c>
      <c r="AC163" s="208"/>
      <c r="AD163" s="208"/>
      <c r="AE163" s="208"/>
      <c r="AF163" s="208"/>
      <c r="AG163" s="209" t="str">
        <f>IFERROR(INDEX('Local Data Previous Year'!$F:$F, MATCH($D163, 'Local Data Previous Year'!$D:$D, 0)), "")</f>
        <v/>
      </c>
      <c r="AH163" s="209" t="str">
        <f>IFERROR(INDEX('Local Data Previous Year'!$G:$G, MATCH($D163, 'Local Data Previous Year'!$D:$D, 0)), "")</f>
        <v/>
      </c>
      <c r="AI163" s="209" t="str">
        <f>IFERROR(INDEX('Local Data Previous Year'!$H:$H, MATCH($D163, 'Local Data Previous Year'!$D:$D, 0)), "")</f>
        <v/>
      </c>
      <c r="AJ163" s="209" t="str">
        <f t="shared" si="29"/>
        <v/>
      </c>
      <c r="AK163" s="209" t="str">
        <f t="shared" si="30"/>
        <v/>
      </c>
      <c r="AL163" s="209" t="str">
        <f t="shared" si="31"/>
        <v/>
      </c>
      <c r="AM163" s="208" t="str">
        <f>IF($AN163="","",IFERROR(VLOOKUP(CONCATENATE(CTR1_Billing!$E$20,$AN163),'Local Data Previous Year'!$C$3:$D$50000,2,0),CTR1_Billing!$E$21&amp;"NEW"))</f>
        <v/>
      </c>
      <c r="AN163" s="209" t="str" cm="1">
        <f t="array" ref="AN163">IF(ISERROR(INDEX('Local Data Previous Year'!$E$3:$E$50000, SMALL(IF(CTR1_Billing!$E$21='Local Data Previous Year'!$A$3:$A$50000, ROW('Local Data Previous Year'!$A$3:$A$50000)-ROW('Local Data Previous Year'!$A$3)+1), ROW(131:131)))), "", INDEX('Local Data Previous Year'!$E$3:$E$50000, SMALL(IF(CTR1_Billing!$E$21='Local Data Previous Year'!$A$3:$A$50000, ROW('Local Data Previous Year'!$A$3:$A$50000)-ROW('Local Data Previous Year'!$A$3)+1), ROW(131:131))))</f>
        <v/>
      </c>
      <c r="AO163" s="209" t="str">
        <f t="shared" si="32"/>
        <v/>
      </c>
      <c r="AP163" s="208"/>
      <c r="AQ163" s="209" t="str">
        <f t="shared" si="33"/>
        <v/>
      </c>
      <c r="AR163" s="209" t="str">
        <f t="shared" si="34"/>
        <v/>
      </c>
      <c r="AS163" s="202" t="str">
        <f t="shared" si="35"/>
        <v/>
      </c>
      <c r="AT163" s="202" t="str">
        <f t="shared" si="36"/>
        <v/>
      </c>
      <c r="AU163" s="208"/>
      <c r="AV163" s="208"/>
      <c r="AW163" s="208"/>
      <c r="AX163" s="208"/>
      <c r="AY163" s="208"/>
      <c r="AZ163" s="208"/>
      <c r="BA163" s="208"/>
      <c r="BB163" s="208"/>
      <c r="BC163" s="208"/>
      <c r="BD163" s="208"/>
      <c r="BE163" s="208"/>
      <c r="BF163" s="208"/>
      <c r="BG163" s="28"/>
      <c r="BH163" s="28"/>
      <c r="BI163" s="28"/>
      <c r="BJ163" s="28"/>
    </row>
    <row r="164" spans="1:62" s="23" customFormat="1" ht="21" customHeight="1" thickBot="1" x14ac:dyDescent="0.25">
      <c r="A164" s="846" t="str">
        <f>IF($AN164="","",IFERROR(VLOOKUP(CONCATENATE(CTR1_Billing!$E$20,$AN164),'Local Data Previous Year'!$C$3:$D$20000,2,0),CTR1_Billing!$E$21&amp;"NEW"))</f>
        <v/>
      </c>
      <c r="B164" s="846" t="str">
        <f>IF($E164="","",IFERROR(VLOOKUP(CONCATENATE(CTR1_Billing!$E$20,CTR1_Local!$E164),'Local Data Previous Year'!$C$3:$D$20000,2,0),CTR1_Billing!$E$21&amp;"NEW"))</f>
        <v/>
      </c>
      <c r="C164" s="846">
        <v>132</v>
      </c>
      <c r="D164" s="755" t="str" cm="1">
        <f t="array" ref="D164">IF(ISERROR(INDEX('Local Data Previous Year'!$D$3:$D$20000,SMALL(IF(CTR1_Billing!$E$21='Local Data Previous Year'!$A$3:$A$20000,ROW('Local Data Previous Year'!$A$3:$A$20000)-ROW('Local Data Previous Year'!$A$3)+1),ROW(132:132)))),"",INDEX('Local Data Previous Year'!$D$3:$D$20000,SMALL(IF(CTR1_Billing!$E$21='Local Data Previous Year'!$A$3:$A$20000,ROW('Local Data Previous Year'!$A$3:$A$20000)-ROW('Local Data Previous Year'!$A$3)+1),ROW(132:132))))</f>
        <v/>
      </c>
      <c r="E164" s="755" t="str" cm="1">
        <f t="array" ref="E164">IF(ISERROR(INDEX('Local Data Previous Year'!$E$3:$E$20000,SMALL(IF(CTR1_Billing!$E$21='Local Data Previous Year'!$A$3:$A$20000,ROW('Local Data Previous Year'!$A$3:$A$20000)-ROW('Local Data Previous Year'!$A$3)+1),ROW(132:132)))),"",INDEX('Local Data Previous Year'!$E$3:$E$20000,SMALL(IF(CTR1_Billing!$E$21='Local Data Previous Year'!$A$3:$A$20000,ROW('Local Data Previous Year'!$A$3:$A$20000)-ROW('Local Data Previous Year'!$A$3)+1),ROW(132:132))))</f>
        <v/>
      </c>
      <c r="F164" s="756" t="str">
        <f>IF($D164="","",IF(ISNA(MATCH($D164,'Local Data Previous Year'!$D$3:$D$20000,0)),"New",IFERROR(VLOOKUP($B164,'Local Data Previous Year'!$D$3:$I$20000,6,0),"")))</f>
        <v/>
      </c>
      <c r="G164" s="757">
        <f t="shared" si="37"/>
        <v>0</v>
      </c>
      <c r="H164" s="758" t="str">
        <f>IFERROR(INDEX('Local Data Previous Year'!$F:$F, MATCH($D164, 'Local Data Previous Year'!$D:$D, 0)), "")</f>
        <v/>
      </c>
      <c r="I164" s="759">
        <f>IF(B164=CTR1_Billing!$E$21&amp;"NEW",1,0)</f>
        <v>0</v>
      </c>
      <c r="J164" s="760" t="str">
        <f>IFERROR(INDEX('Local Data Previous Year'!$G:$G, MATCH($D164, 'Local Data Previous Year'!$D:$D, 0)), "")</f>
        <v/>
      </c>
      <c r="K164" s="762"/>
      <c r="L164" s="760" t="str">
        <f>IFERROR(INDEX('Local Data Previous Year'!$H:$H, MATCH($D164, 'Local Data Previous Year'!$D:$D, 0)), "")</f>
        <v/>
      </c>
      <c r="M164" s="762"/>
      <c r="N164" s="763"/>
      <c r="O164" s="767"/>
      <c r="P164" s="765"/>
      <c r="Q164" s="767"/>
      <c r="R164" s="766" t="str">
        <f t="shared" si="38"/>
        <v/>
      </c>
      <c r="S164" s="754"/>
      <c r="T164" s="763"/>
      <c r="U164" s="754"/>
      <c r="V164" s="763"/>
      <c r="W164" s="763"/>
      <c r="X164" s="865" t="str">
        <f>VLOOKUP(CTR1_Billing!$E$21,Data!$C$6:$D$302,1,FALSE)</f>
        <v>EZZZZ</v>
      </c>
      <c r="Y164" s="205"/>
      <c r="Z164" s="205">
        <f t="shared" si="26"/>
        <v>0</v>
      </c>
      <c r="AA164" s="206" t="str">
        <f t="shared" si="27"/>
        <v/>
      </c>
      <c r="AB164" s="205">
        <f t="shared" si="28"/>
        <v>0</v>
      </c>
      <c r="AC164" s="208"/>
      <c r="AD164" s="208"/>
      <c r="AE164" s="208"/>
      <c r="AF164" s="208"/>
      <c r="AG164" s="209" t="str">
        <f>IFERROR(INDEX('Local Data Previous Year'!$F:$F, MATCH($D164, 'Local Data Previous Year'!$D:$D, 0)), "")</f>
        <v/>
      </c>
      <c r="AH164" s="209" t="str">
        <f>IFERROR(INDEX('Local Data Previous Year'!$G:$G, MATCH($D164, 'Local Data Previous Year'!$D:$D, 0)), "")</f>
        <v/>
      </c>
      <c r="AI164" s="209" t="str">
        <f>IFERROR(INDEX('Local Data Previous Year'!$H:$H, MATCH($D164, 'Local Data Previous Year'!$D:$D, 0)), "")</f>
        <v/>
      </c>
      <c r="AJ164" s="209" t="str">
        <f t="shared" si="29"/>
        <v/>
      </c>
      <c r="AK164" s="209" t="str">
        <f t="shared" si="30"/>
        <v/>
      </c>
      <c r="AL164" s="209" t="str">
        <f t="shared" si="31"/>
        <v/>
      </c>
      <c r="AM164" s="208" t="str">
        <f>IF($AN164="","",IFERROR(VLOOKUP(CONCATENATE(CTR1_Billing!$E$20,$AN164),'Local Data Previous Year'!$C$3:$D$50000,2,0),CTR1_Billing!$E$21&amp;"NEW"))</f>
        <v/>
      </c>
      <c r="AN164" s="209" t="str" cm="1">
        <f t="array" ref="AN164">IF(ISERROR(INDEX('Local Data Previous Year'!$E$3:$E$50000, SMALL(IF(CTR1_Billing!$E$21='Local Data Previous Year'!$A$3:$A$50000, ROW('Local Data Previous Year'!$A$3:$A$50000)-ROW('Local Data Previous Year'!$A$3)+1), ROW(132:132)))), "", INDEX('Local Data Previous Year'!$E$3:$E$50000, SMALL(IF(CTR1_Billing!$E$21='Local Data Previous Year'!$A$3:$A$50000, ROW('Local Data Previous Year'!$A$3:$A$50000)-ROW('Local Data Previous Year'!$A$3)+1), ROW(132:132))))</f>
        <v/>
      </c>
      <c r="AO164" s="209" t="str">
        <f t="shared" si="32"/>
        <v/>
      </c>
      <c r="AP164" s="208"/>
      <c r="AQ164" s="209" t="str">
        <f t="shared" si="33"/>
        <v/>
      </c>
      <c r="AR164" s="209" t="str">
        <f t="shared" si="34"/>
        <v/>
      </c>
      <c r="AS164" s="202" t="str">
        <f t="shared" si="35"/>
        <v/>
      </c>
      <c r="AT164" s="202" t="str">
        <f t="shared" si="36"/>
        <v/>
      </c>
      <c r="AU164" s="208"/>
      <c r="AV164" s="208"/>
      <c r="AW164" s="208"/>
      <c r="AX164" s="208"/>
      <c r="AY164" s="208"/>
      <c r="AZ164" s="208"/>
      <c r="BA164" s="208"/>
      <c r="BB164" s="208"/>
      <c r="BC164" s="208"/>
      <c r="BD164" s="208"/>
      <c r="BE164" s="208"/>
      <c r="BF164" s="208"/>
      <c r="BG164" s="28"/>
      <c r="BH164" s="28"/>
      <c r="BI164" s="28"/>
      <c r="BJ164" s="28"/>
    </row>
    <row r="165" spans="1:62" s="23" customFormat="1" ht="21" customHeight="1" thickBot="1" x14ac:dyDescent="0.25">
      <c r="A165" s="846" t="str">
        <f>IF($AN165="","",IFERROR(VLOOKUP(CONCATENATE(CTR1_Billing!$E$20,$AN165),'Local Data Previous Year'!$C$3:$D$20000,2,0),CTR1_Billing!$E$21&amp;"NEW"))</f>
        <v/>
      </c>
      <c r="B165" s="846" t="str">
        <f>IF($E165="","",IFERROR(VLOOKUP(CONCATENATE(CTR1_Billing!$E$20,CTR1_Local!$E165),'Local Data Previous Year'!$C$3:$D$20000,2,0),CTR1_Billing!$E$21&amp;"NEW"))</f>
        <v/>
      </c>
      <c r="C165" s="846">
        <v>133</v>
      </c>
      <c r="D165" s="755" t="str" cm="1">
        <f t="array" ref="D165">IF(ISERROR(INDEX('Local Data Previous Year'!$D$3:$D$20000,SMALL(IF(CTR1_Billing!$E$21='Local Data Previous Year'!$A$3:$A$20000,ROW('Local Data Previous Year'!$A$3:$A$20000)-ROW('Local Data Previous Year'!$A$3)+1),ROW(133:133)))),"",INDEX('Local Data Previous Year'!$D$3:$D$20000,SMALL(IF(CTR1_Billing!$E$21='Local Data Previous Year'!$A$3:$A$20000,ROW('Local Data Previous Year'!$A$3:$A$20000)-ROW('Local Data Previous Year'!$A$3)+1),ROW(133:133))))</f>
        <v/>
      </c>
      <c r="E165" s="755" t="str" cm="1">
        <f t="array" ref="E165">IF(ISERROR(INDEX('Local Data Previous Year'!$E$3:$E$20000,SMALL(IF(CTR1_Billing!$E$21='Local Data Previous Year'!$A$3:$A$20000,ROW('Local Data Previous Year'!$A$3:$A$20000)-ROW('Local Data Previous Year'!$A$3)+1),ROW(133:133)))),"",INDEX('Local Data Previous Year'!$E$3:$E$20000,SMALL(IF(CTR1_Billing!$E$21='Local Data Previous Year'!$A$3:$A$20000,ROW('Local Data Previous Year'!$A$3:$A$20000)-ROW('Local Data Previous Year'!$A$3)+1),ROW(133:133))))</f>
        <v/>
      </c>
      <c r="F165" s="756" t="str">
        <f>IF($D165="","",IF(ISNA(MATCH($D165,'Local Data Previous Year'!$D$3:$D$20000,0)),"New",IFERROR(VLOOKUP($B165,'Local Data Previous Year'!$D$3:$I$20000,6,0),"")))</f>
        <v/>
      </c>
      <c r="G165" s="757">
        <f t="shared" si="37"/>
        <v>0</v>
      </c>
      <c r="H165" s="758" t="str">
        <f>IFERROR(INDEX('Local Data Previous Year'!$F:$F, MATCH($D165, 'Local Data Previous Year'!$D:$D, 0)), "")</f>
        <v/>
      </c>
      <c r="I165" s="759">
        <f>IF(B165=CTR1_Billing!$E$21&amp;"NEW",1,0)</f>
        <v>0</v>
      </c>
      <c r="J165" s="760" t="str">
        <f>IFERROR(INDEX('Local Data Previous Year'!$G:$G, MATCH($D165, 'Local Data Previous Year'!$D:$D, 0)), "")</f>
        <v/>
      </c>
      <c r="K165" s="762"/>
      <c r="L165" s="760" t="str">
        <f>IFERROR(INDEX('Local Data Previous Year'!$H:$H, MATCH($D165, 'Local Data Previous Year'!$D:$D, 0)), "")</f>
        <v/>
      </c>
      <c r="M165" s="762"/>
      <c r="N165" s="763"/>
      <c r="O165" s="767"/>
      <c r="P165" s="765"/>
      <c r="Q165" s="767"/>
      <c r="R165" s="766" t="str">
        <f t="shared" si="38"/>
        <v/>
      </c>
      <c r="S165" s="754"/>
      <c r="T165" s="763"/>
      <c r="U165" s="754"/>
      <c r="V165" s="763"/>
      <c r="W165" s="763"/>
      <c r="X165" s="865" t="str">
        <f>VLOOKUP(CTR1_Billing!$E$21,Data!$C$6:$D$302,1,FALSE)</f>
        <v>EZZZZ</v>
      </c>
      <c r="Y165" s="205"/>
      <c r="Z165" s="205">
        <f t="shared" si="26"/>
        <v>0</v>
      </c>
      <c r="AA165" s="206" t="str">
        <f t="shared" si="27"/>
        <v/>
      </c>
      <c r="AB165" s="205">
        <f t="shared" si="28"/>
        <v>0</v>
      </c>
      <c r="AC165" s="208"/>
      <c r="AD165" s="208"/>
      <c r="AE165" s="208"/>
      <c r="AF165" s="208"/>
      <c r="AG165" s="209" t="str">
        <f>IFERROR(INDEX('Local Data Previous Year'!$F:$F, MATCH($D165, 'Local Data Previous Year'!$D:$D, 0)), "")</f>
        <v/>
      </c>
      <c r="AH165" s="209" t="str">
        <f>IFERROR(INDEX('Local Data Previous Year'!$G:$G, MATCH($D165, 'Local Data Previous Year'!$D:$D, 0)), "")</f>
        <v/>
      </c>
      <c r="AI165" s="209" t="str">
        <f>IFERROR(INDEX('Local Data Previous Year'!$H:$H, MATCH($D165, 'Local Data Previous Year'!$D:$D, 0)), "")</f>
        <v/>
      </c>
      <c r="AJ165" s="209" t="str">
        <f t="shared" si="29"/>
        <v/>
      </c>
      <c r="AK165" s="209" t="str">
        <f t="shared" si="30"/>
        <v/>
      </c>
      <c r="AL165" s="209" t="str">
        <f t="shared" si="31"/>
        <v/>
      </c>
      <c r="AM165" s="208" t="str">
        <f>IF($AN165="","",IFERROR(VLOOKUP(CONCATENATE(CTR1_Billing!$E$20,$AN165),'Local Data Previous Year'!$C$3:$D$50000,2,0),CTR1_Billing!$E$21&amp;"NEW"))</f>
        <v/>
      </c>
      <c r="AN165" s="209" t="str" cm="1">
        <f t="array" ref="AN165">IF(ISERROR(INDEX('Local Data Previous Year'!$E$3:$E$50000, SMALL(IF(CTR1_Billing!$E$21='Local Data Previous Year'!$A$3:$A$50000, ROW('Local Data Previous Year'!$A$3:$A$50000)-ROW('Local Data Previous Year'!$A$3)+1), ROW(133:133)))), "", INDEX('Local Data Previous Year'!$E$3:$E$50000, SMALL(IF(CTR1_Billing!$E$21='Local Data Previous Year'!$A$3:$A$50000, ROW('Local Data Previous Year'!$A$3:$A$50000)-ROW('Local Data Previous Year'!$A$3)+1), ROW(133:133))))</f>
        <v/>
      </c>
      <c r="AO165" s="209" t="str">
        <f t="shared" si="32"/>
        <v/>
      </c>
      <c r="AP165" s="208"/>
      <c r="AQ165" s="209" t="str">
        <f t="shared" si="33"/>
        <v/>
      </c>
      <c r="AR165" s="209" t="str">
        <f t="shared" si="34"/>
        <v/>
      </c>
      <c r="AS165" s="202" t="str">
        <f t="shared" si="35"/>
        <v/>
      </c>
      <c r="AT165" s="202" t="str">
        <f t="shared" si="36"/>
        <v/>
      </c>
      <c r="AU165" s="208"/>
      <c r="AV165" s="208"/>
      <c r="AW165" s="208"/>
      <c r="AX165" s="208"/>
      <c r="AY165" s="208"/>
      <c r="AZ165" s="208"/>
      <c r="BA165" s="208"/>
      <c r="BB165" s="208"/>
      <c r="BC165" s="208"/>
      <c r="BD165" s="208"/>
      <c r="BE165" s="208"/>
      <c r="BF165" s="208"/>
      <c r="BG165" s="28"/>
      <c r="BH165" s="28"/>
      <c r="BI165" s="28"/>
      <c r="BJ165" s="28"/>
    </row>
    <row r="166" spans="1:62" s="23" customFormat="1" ht="21" customHeight="1" thickBot="1" x14ac:dyDescent="0.25">
      <c r="A166" s="846" t="str">
        <f>IF($AN166="","",IFERROR(VLOOKUP(CONCATENATE(CTR1_Billing!$E$20,$AN166),'Local Data Previous Year'!$C$3:$D$20000,2,0),CTR1_Billing!$E$21&amp;"NEW"))</f>
        <v/>
      </c>
      <c r="B166" s="846" t="str">
        <f>IF($E166="","",IFERROR(VLOOKUP(CONCATENATE(CTR1_Billing!$E$20,CTR1_Local!$E166),'Local Data Previous Year'!$C$3:$D$20000,2,0),CTR1_Billing!$E$21&amp;"NEW"))</f>
        <v/>
      </c>
      <c r="C166" s="846">
        <v>134</v>
      </c>
      <c r="D166" s="755" t="str" cm="1">
        <f t="array" ref="D166">IF(ISERROR(INDEX('Local Data Previous Year'!$D$3:$D$20000,SMALL(IF(CTR1_Billing!$E$21='Local Data Previous Year'!$A$3:$A$20000,ROW('Local Data Previous Year'!$A$3:$A$20000)-ROW('Local Data Previous Year'!$A$3)+1),ROW(134:134)))),"",INDEX('Local Data Previous Year'!$D$3:$D$20000,SMALL(IF(CTR1_Billing!$E$21='Local Data Previous Year'!$A$3:$A$20000,ROW('Local Data Previous Year'!$A$3:$A$20000)-ROW('Local Data Previous Year'!$A$3)+1),ROW(134:134))))</f>
        <v/>
      </c>
      <c r="E166" s="755" t="str" cm="1">
        <f t="array" ref="E166">IF(ISERROR(INDEX('Local Data Previous Year'!$E$3:$E$20000,SMALL(IF(CTR1_Billing!$E$21='Local Data Previous Year'!$A$3:$A$20000,ROW('Local Data Previous Year'!$A$3:$A$20000)-ROW('Local Data Previous Year'!$A$3)+1),ROW(134:134)))),"",INDEX('Local Data Previous Year'!$E$3:$E$20000,SMALL(IF(CTR1_Billing!$E$21='Local Data Previous Year'!$A$3:$A$20000,ROW('Local Data Previous Year'!$A$3:$A$20000)-ROW('Local Data Previous Year'!$A$3)+1),ROW(134:134))))</f>
        <v/>
      </c>
      <c r="F166" s="756" t="str">
        <f>IF($D166="","",IF(ISNA(MATCH($D166,'Local Data Previous Year'!$D$3:$D$20000,0)),"New",IFERROR(VLOOKUP($B166,'Local Data Previous Year'!$D$3:$I$20000,6,0),"")))</f>
        <v/>
      </c>
      <c r="G166" s="757">
        <f t="shared" si="37"/>
        <v>0</v>
      </c>
      <c r="H166" s="758" t="str">
        <f>IFERROR(INDEX('Local Data Previous Year'!$F:$F, MATCH($D166, 'Local Data Previous Year'!$D:$D, 0)), "")</f>
        <v/>
      </c>
      <c r="I166" s="759">
        <f>IF(B166=CTR1_Billing!$E$21&amp;"NEW",1,0)</f>
        <v>0</v>
      </c>
      <c r="J166" s="760" t="str">
        <f>IFERROR(INDEX('Local Data Previous Year'!$G:$G, MATCH($D166, 'Local Data Previous Year'!$D:$D, 0)), "")</f>
        <v/>
      </c>
      <c r="K166" s="762"/>
      <c r="L166" s="760" t="str">
        <f>IFERROR(INDEX('Local Data Previous Year'!$H:$H, MATCH($D166, 'Local Data Previous Year'!$D:$D, 0)), "")</f>
        <v/>
      </c>
      <c r="M166" s="762"/>
      <c r="N166" s="763"/>
      <c r="O166" s="767"/>
      <c r="P166" s="765"/>
      <c r="Q166" s="767"/>
      <c r="R166" s="766" t="str">
        <f t="shared" si="38"/>
        <v/>
      </c>
      <c r="S166" s="754"/>
      <c r="T166" s="763"/>
      <c r="U166" s="754"/>
      <c r="V166" s="763"/>
      <c r="W166" s="763"/>
      <c r="X166" s="865" t="str">
        <f>VLOOKUP(CTR1_Billing!$E$21,Data!$C$6:$D$302,1,FALSE)</f>
        <v>EZZZZ</v>
      </c>
      <c r="Y166" s="205"/>
      <c r="Z166" s="205">
        <f t="shared" si="26"/>
        <v>0</v>
      </c>
      <c r="AA166" s="206" t="str">
        <f t="shared" si="27"/>
        <v/>
      </c>
      <c r="AB166" s="205">
        <f t="shared" si="28"/>
        <v>0</v>
      </c>
      <c r="AC166" s="208"/>
      <c r="AD166" s="208"/>
      <c r="AE166" s="208"/>
      <c r="AF166" s="208"/>
      <c r="AG166" s="209" t="str">
        <f>IFERROR(INDEX('Local Data Previous Year'!$F:$F, MATCH($D166, 'Local Data Previous Year'!$D:$D, 0)), "")</f>
        <v/>
      </c>
      <c r="AH166" s="209" t="str">
        <f>IFERROR(INDEX('Local Data Previous Year'!$G:$G, MATCH($D166, 'Local Data Previous Year'!$D:$D, 0)), "")</f>
        <v/>
      </c>
      <c r="AI166" s="209" t="str">
        <f>IFERROR(INDEX('Local Data Previous Year'!$H:$H, MATCH($D166, 'Local Data Previous Year'!$D:$D, 0)), "")</f>
        <v/>
      </c>
      <c r="AJ166" s="209" t="str">
        <f t="shared" si="29"/>
        <v/>
      </c>
      <c r="AK166" s="209" t="str">
        <f t="shared" si="30"/>
        <v/>
      </c>
      <c r="AL166" s="209" t="str">
        <f t="shared" si="31"/>
        <v/>
      </c>
      <c r="AM166" s="208" t="str">
        <f>IF($AN166="","",IFERROR(VLOOKUP(CONCATENATE(CTR1_Billing!$E$20,$AN166),'Local Data Previous Year'!$C$3:$D$50000,2,0),CTR1_Billing!$E$21&amp;"NEW"))</f>
        <v/>
      </c>
      <c r="AN166" s="209" t="str" cm="1">
        <f t="array" ref="AN166">IF(ISERROR(INDEX('Local Data Previous Year'!$E$3:$E$50000, SMALL(IF(CTR1_Billing!$E$21='Local Data Previous Year'!$A$3:$A$50000, ROW('Local Data Previous Year'!$A$3:$A$50000)-ROW('Local Data Previous Year'!$A$3)+1), ROW(134:134)))), "", INDEX('Local Data Previous Year'!$E$3:$E$50000, SMALL(IF(CTR1_Billing!$E$21='Local Data Previous Year'!$A$3:$A$50000, ROW('Local Data Previous Year'!$A$3:$A$50000)-ROW('Local Data Previous Year'!$A$3)+1), ROW(134:134))))</f>
        <v/>
      </c>
      <c r="AO166" s="209" t="str">
        <f t="shared" si="32"/>
        <v/>
      </c>
      <c r="AP166" s="208"/>
      <c r="AQ166" s="209" t="str">
        <f t="shared" si="33"/>
        <v/>
      </c>
      <c r="AR166" s="209" t="str">
        <f t="shared" si="34"/>
        <v/>
      </c>
      <c r="AS166" s="202" t="str">
        <f t="shared" si="35"/>
        <v/>
      </c>
      <c r="AT166" s="202" t="str">
        <f t="shared" si="36"/>
        <v/>
      </c>
      <c r="AU166" s="208"/>
      <c r="AV166" s="208"/>
      <c r="AW166" s="208"/>
      <c r="AX166" s="208"/>
      <c r="AY166" s="208"/>
      <c r="AZ166" s="208"/>
      <c r="BA166" s="208"/>
      <c r="BB166" s="208"/>
      <c r="BC166" s="208"/>
      <c r="BD166" s="208"/>
      <c r="BE166" s="208"/>
      <c r="BF166" s="208"/>
      <c r="BG166" s="28"/>
      <c r="BH166" s="28"/>
      <c r="BI166" s="28"/>
      <c r="BJ166" s="28"/>
    </row>
    <row r="167" spans="1:62" s="23" customFormat="1" ht="21" customHeight="1" thickBot="1" x14ac:dyDescent="0.25">
      <c r="A167" s="846" t="str">
        <f>IF($AN167="","",IFERROR(VLOOKUP(CONCATENATE(CTR1_Billing!$E$20,$AN167),'Local Data Previous Year'!$C$3:$D$20000,2,0),CTR1_Billing!$E$21&amp;"NEW"))</f>
        <v/>
      </c>
      <c r="B167" s="846" t="str">
        <f>IF($E167="","",IFERROR(VLOOKUP(CONCATENATE(CTR1_Billing!$E$20,CTR1_Local!$E167),'Local Data Previous Year'!$C$3:$D$20000,2,0),CTR1_Billing!$E$21&amp;"NEW"))</f>
        <v/>
      </c>
      <c r="C167" s="846">
        <v>135</v>
      </c>
      <c r="D167" s="755" t="str" cm="1">
        <f t="array" ref="D167">IF(ISERROR(INDEX('Local Data Previous Year'!$D$3:$D$20000,SMALL(IF(CTR1_Billing!$E$21='Local Data Previous Year'!$A$3:$A$20000,ROW('Local Data Previous Year'!$A$3:$A$20000)-ROW('Local Data Previous Year'!$A$3)+1),ROW(135:135)))),"",INDEX('Local Data Previous Year'!$D$3:$D$20000,SMALL(IF(CTR1_Billing!$E$21='Local Data Previous Year'!$A$3:$A$20000,ROW('Local Data Previous Year'!$A$3:$A$20000)-ROW('Local Data Previous Year'!$A$3)+1),ROW(135:135))))</f>
        <v/>
      </c>
      <c r="E167" s="755" t="str" cm="1">
        <f t="array" ref="E167">IF(ISERROR(INDEX('Local Data Previous Year'!$E$3:$E$20000,SMALL(IF(CTR1_Billing!$E$21='Local Data Previous Year'!$A$3:$A$20000,ROW('Local Data Previous Year'!$A$3:$A$20000)-ROW('Local Data Previous Year'!$A$3)+1),ROW(135:135)))),"",INDEX('Local Data Previous Year'!$E$3:$E$20000,SMALL(IF(CTR1_Billing!$E$21='Local Data Previous Year'!$A$3:$A$20000,ROW('Local Data Previous Year'!$A$3:$A$20000)-ROW('Local Data Previous Year'!$A$3)+1),ROW(135:135))))</f>
        <v/>
      </c>
      <c r="F167" s="756" t="str">
        <f>IF($D167="","",IF(ISNA(MATCH($D167,'Local Data Previous Year'!$D$3:$D$20000,0)),"New",IFERROR(VLOOKUP($B167,'Local Data Previous Year'!$D$3:$I$20000,6,0),"")))</f>
        <v/>
      </c>
      <c r="G167" s="757">
        <f t="shared" si="37"/>
        <v>0</v>
      </c>
      <c r="H167" s="758" t="str">
        <f>IFERROR(INDEX('Local Data Previous Year'!$F:$F, MATCH($D167, 'Local Data Previous Year'!$D:$D, 0)), "")</f>
        <v/>
      </c>
      <c r="I167" s="759">
        <f>IF(B167=CTR1_Billing!$E$21&amp;"NEW",1,0)</f>
        <v>0</v>
      </c>
      <c r="J167" s="760" t="str">
        <f>IFERROR(INDEX('Local Data Previous Year'!$G:$G, MATCH($D167, 'Local Data Previous Year'!$D:$D, 0)), "")</f>
        <v/>
      </c>
      <c r="K167" s="762"/>
      <c r="L167" s="760" t="str">
        <f>IFERROR(INDEX('Local Data Previous Year'!$H:$H, MATCH($D167, 'Local Data Previous Year'!$D:$D, 0)), "")</f>
        <v/>
      </c>
      <c r="M167" s="762"/>
      <c r="N167" s="763"/>
      <c r="O167" s="767"/>
      <c r="P167" s="765"/>
      <c r="Q167" s="767"/>
      <c r="R167" s="766" t="str">
        <f t="shared" si="38"/>
        <v/>
      </c>
      <c r="S167" s="754"/>
      <c r="T167" s="763"/>
      <c r="U167" s="754"/>
      <c r="V167" s="763"/>
      <c r="W167" s="763"/>
      <c r="X167" s="865" t="str">
        <f>VLOOKUP(CTR1_Billing!$E$21,Data!$C$6:$D$302,1,FALSE)</f>
        <v>EZZZZ</v>
      </c>
      <c r="Y167" s="205"/>
      <c r="Z167" s="205">
        <f t="shared" si="26"/>
        <v>0</v>
      </c>
      <c r="AA167" s="206" t="str">
        <f t="shared" si="27"/>
        <v/>
      </c>
      <c r="AB167" s="205">
        <f t="shared" si="28"/>
        <v>0</v>
      </c>
      <c r="AC167" s="208"/>
      <c r="AD167" s="208"/>
      <c r="AE167" s="208"/>
      <c r="AF167" s="208"/>
      <c r="AG167" s="209" t="str">
        <f>IFERROR(INDEX('Local Data Previous Year'!$F:$F, MATCH($D167, 'Local Data Previous Year'!$D:$D, 0)), "")</f>
        <v/>
      </c>
      <c r="AH167" s="209" t="str">
        <f>IFERROR(INDEX('Local Data Previous Year'!$G:$G, MATCH($D167, 'Local Data Previous Year'!$D:$D, 0)), "")</f>
        <v/>
      </c>
      <c r="AI167" s="209" t="str">
        <f>IFERROR(INDEX('Local Data Previous Year'!$H:$H, MATCH($D167, 'Local Data Previous Year'!$D:$D, 0)), "")</f>
        <v/>
      </c>
      <c r="AJ167" s="209" t="str">
        <f t="shared" si="29"/>
        <v/>
      </c>
      <c r="AK167" s="209" t="str">
        <f t="shared" si="30"/>
        <v/>
      </c>
      <c r="AL167" s="209" t="str">
        <f t="shared" si="31"/>
        <v/>
      </c>
      <c r="AM167" s="208" t="str">
        <f>IF($AN167="","",IFERROR(VLOOKUP(CONCATENATE(CTR1_Billing!$E$20,$AN167),'Local Data Previous Year'!$C$3:$D$50000,2,0),CTR1_Billing!$E$21&amp;"NEW"))</f>
        <v/>
      </c>
      <c r="AN167" s="209" t="str" cm="1">
        <f t="array" ref="AN167">IF(ISERROR(INDEX('Local Data Previous Year'!$E$3:$E$50000, SMALL(IF(CTR1_Billing!$E$21='Local Data Previous Year'!$A$3:$A$50000, ROW('Local Data Previous Year'!$A$3:$A$50000)-ROW('Local Data Previous Year'!$A$3)+1), ROW(135:135)))), "", INDEX('Local Data Previous Year'!$E$3:$E$50000, SMALL(IF(CTR1_Billing!$E$21='Local Data Previous Year'!$A$3:$A$50000, ROW('Local Data Previous Year'!$A$3:$A$50000)-ROW('Local Data Previous Year'!$A$3)+1), ROW(135:135))))</f>
        <v/>
      </c>
      <c r="AO167" s="209" t="str">
        <f t="shared" si="32"/>
        <v/>
      </c>
      <c r="AP167" s="208"/>
      <c r="AQ167" s="209" t="str">
        <f t="shared" si="33"/>
        <v/>
      </c>
      <c r="AR167" s="209" t="str">
        <f t="shared" si="34"/>
        <v/>
      </c>
      <c r="AS167" s="202" t="str">
        <f t="shared" si="35"/>
        <v/>
      </c>
      <c r="AT167" s="202" t="str">
        <f t="shared" si="36"/>
        <v/>
      </c>
      <c r="AU167" s="208"/>
      <c r="AV167" s="208"/>
      <c r="AW167" s="208"/>
      <c r="AX167" s="208"/>
      <c r="AY167" s="208"/>
      <c r="AZ167" s="208"/>
      <c r="BA167" s="208"/>
      <c r="BB167" s="208"/>
      <c r="BC167" s="208"/>
      <c r="BD167" s="208"/>
      <c r="BE167" s="208"/>
      <c r="BF167" s="208"/>
      <c r="BG167" s="28"/>
      <c r="BH167" s="28"/>
      <c r="BI167" s="28"/>
      <c r="BJ167" s="28"/>
    </row>
    <row r="168" spans="1:62" s="23" customFormat="1" ht="21" customHeight="1" thickBot="1" x14ac:dyDescent="0.25">
      <c r="A168" s="846" t="str">
        <f>IF($AN168="","",IFERROR(VLOOKUP(CONCATENATE(CTR1_Billing!$E$20,$AN168),'Local Data Previous Year'!$C$3:$D$20000,2,0),CTR1_Billing!$E$21&amp;"NEW"))</f>
        <v/>
      </c>
      <c r="B168" s="846" t="str">
        <f>IF($E168="","",IFERROR(VLOOKUP(CONCATENATE(CTR1_Billing!$E$20,CTR1_Local!$E168),'Local Data Previous Year'!$C$3:$D$20000,2,0),CTR1_Billing!$E$21&amp;"NEW"))</f>
        <v/>
      </c>
      <c r="C168" s="846">
        <v>136</v>
      </c>
      <c r="D168" s="755" t="str" cm="1">
        <f t="array" ref="D168">IF(ISERROR(INDEX('Local Data Previous Year'!$D$3:$D$20000,SMALL(IF(CTR1_Billing!$E$21='Local Data Previous Year'!$A$3:$A$20000,ROW('Local Data Previous Year'!$A$3:$A$20000)-ROW('Local Data Previous Year'!$A$3)+1),ROW(136:136)))),"",INDEX('Local Data Previous Year'!$D$3:$D$20000,SMALL(IF(CTR1_Billing!$E$21='Local Data Previous Year'!$A$3:$A$20000,ROW('Local Data Previous Year'!$A$3:$A$20000)-ROW('Local Data Previous Year'!$A$3)+1),ROW(136:136))))</f>
        <v/>
      </c>
      <c r="E168" s="755" t="str" cm="1">
        <f t="array" ref="E168">IF(ISERROR(INDEX('Local Data Previous Year'!$E$3:$E$20000,SMALL(IF(CTR1_Billing!$E$21='Local Data Previous Year'!$A$3:$A$20000,ROW('Local Data Previous Year'!$A$3:$A$20000)-ROW('Local Data Previous Year'!$A$3)+1),ROW(136:136)))),"",INDEX('Local Data Previous Year'!$E$3:$E$20000,SMALL(IF(CTR1_Billing!$E$21='Local Data Previous Year'!$A$3:$A$20000,ROW('Local Data Previous Year'!$A$3:$A$20000)-ROW('Local Data Previous Year'!$A$3)+1),ROW(136:136))))</f>
        <v/>
      </c>
      <c r="F168" s="756" t="str">
        <f>IF($D168="","",IF(ISNA(MATCH($D168,'Local Data Previous Year'!$D$3:$D$20000,0)),"New",IFERROR(VLOOKUP($B168,'Local Data Previous Year'!$D$3:$I$20000,6,0),"")))</f>
        <v/>
      </c>
      <c r="G168" s="757">
        <f t="shared" si="37"/>
        <v>0</v>
      </c>
      <c r="H168" s="758" t="str">
        <f>IFERROR(INDEX('Local Data Previous Year'!$F:$F, MATCH($D168, 'Local Data Previous Year'!$D:$D, 0)), "")</f>
        <v/>
      </c>
      <c r="I168" s="759">
        <f>IF(B168=CTR1_Billing!$E$21&amp;"NEW",1,0)</f>
        <v>0</v>
      </c>
      <c r="J168" s="760" t="str">
        <f>IFERROR(INDEX('Local Data Previous Year'!$G:$G, MATCH($D168, 'Local Data Previous Year'!$D:$D, 0)), "")</f>
        <v/>
      </c>
      <c r="K168" s="762"/>
      <c r="L168" s="760" t="str">
        <f>IFERROR(INDEX('Local Data Previous Year'!$H:$H, MATCH($D168, 'Local Data Previous Year'!$D:$D, 0)), "")</f>
        <v/>
      </c>
      <c r="M168" s="762"/>
      <c r="N168" s="763"/>
      <c r="O168" s="767"/>
      <c r="P168" s="765"/>
      <c r="Q168" s="767"/>
      <c r="R168" s="766" t="str">
        <f t="shared" si="38"/>
        <v/>
      </c>
      <c r="S168" s="754"/>
      <c r="T168" s="763"/>
      <c r="U168" s="754"/>
      <c r="V168" s="763"/>
      <c r="W168" s="763"/>
      <c r="X168" s="865" t="str">
        <f>VLOOKUP(CTR1_Billing!$E$21,Data!$C$6:$D$302,1,FALSE)</f>
        <v>EZZZZ</v>
      </c>
      <c r="Y168" s="205"/>
      <c r="Z168" s="205">
        <f t="shared" si="26"/>
        <v>0</v>
      </c>
      <c r="AA168" s="206" t="str">
        <f t="shared" si="27"/>
        <v/>
      </c>
      <c r="AB168" s="205">
        <f t="shared" si="28"/>
        <v>0</v>
      </c>
      <c r="AC168" s="208"/>
      <c r="AD168" s="208"/>
      <c r="AE168" s="208"/>
      <c r="AF168" s="208"/>
      <c r="AG168" s="209" t="str">
        <f>IFERROR(INDEX('Local Data Previous Year'!$F:$F, MATCH($D168, 'Local Data Previous Year'!$D:$D, 0)), "")</f>
        <v/>
      </c>
      <c r="AH168" s="209" t="str">
        <f>IFERROR(INDEX('Local Data Previous Year'!$G:$G, MATCH($D168, 'Local Data Previous Year'!$D:$D, 0)), "")</f>
        <v/>
      </c>
      <c r="AI168" s="209" t="str">
        <f>IFERROR(INDEX('Local Data Previous Year'!$H:$H, MATCH($D168, 'Local Data Previous Year'!$D:$D, 0)), "")</f>
        <v/>
      </c>
      <c r="AJ168" s="209" t="str">
        <f t="shared" si="29"/>
        <v/>
      </c>
      <c r="AK168" s="209" t="str">
        <f t="shared" si="30"/>
        <v/>
      </c>
      <c r="AL168" s="209" t="str">
        <f t="shared" si="31"/>
        <v/>
      </c>
      <c r="AM168" s="208" t="str">
        <f>IF($AN168="","",IFERROR(VLOOKUP(CONCATENATE(CTR1_Billing!$E$20,$AN168),'Local Data Previous Year'!$C$3:$D$50000,2,0),CTR1_Billing!$E$21&amp;"NEW"))</f>
        <v/>
      </c>
      <c r="AN168" s="209" t="str" cm="1">
        <f t="array" ref="AN168">IF(ISERROR(INDEX('Local Data Previous Year'!$E$3:$E$50000, SMALL(IF(CTR1_Billing!$E$21='Local Data Previous Year'!$A$3:$A$50000, ROW('Local Data Previous Year'!$A$3:$A$50000)-ROW('Local Data Previous Year'!$A$3)+1), ROW(136:136)))), "", INDEX('Local Data Previous Year'!$E$3:$E$50000, SMALL(IF(CTR1_Billing!$E$21='Local Data Previous Year'!$A$3:$A$50000, ROW('Local Data Previous Year'!$A$3:$A$50000)-ROW('Local Data Previous Year'!$A$3)+1), ROW(136:136))))</f>
        <v/>
      </c>
      <c r="AO168" s="209" t="str">
        <f t="shared" si="32"/>
        <v/>
      </c>
      <c r="AP168" s="208"/>
      <c r="AQ168" s="209" t="str">
        <f t="shared" si="33"/>
        <v/>
      </c>
      <c r="AR168" s="209" t="str">
        <f t="shared" si="34"/>
        <v/>
      </c>
      <c r="AS168" s="202" t="str">
        <f t="shared" si="35"/>
        <v/>
      </c>
      <c r="AT168" s="202" t="str">
        <f t="shared" si="36"/>
        <v/>
      </c>
      <c r="AU168" s="208"/>
      <c r="AV168" s="208"/>
      <c r="AW168" s="208"/>
      <c r="AX168" s="208"/>
      <c r="AY168" s="208"/>
      <c r="AZ168" s="208"/>
      <c r="BA168" s="208"/>
      <c r="BB168" s="208"/>
      <c r="BC168" s="208"/>
      <c r="BD168" s="208"/>
      <c r="BE168" s="208"/>
      <c r="BF168" s="208"/>
      <c r="BG168" s="28"/>
      <c r="BH168" s="28"/>
      <c r="BI168" s="28"/>
      <c r="BJ168" s="28"/>
    </row>
    <row r="169" spans="1:62" s="23" customFormat="1" ht="21" customHeight="1" thickBot="1" x14ac:dyDescent="0.25">
      <c r="A169" s="846" t="str">
        <f>IF($AN169="","",IFERROR(VLOOKUP(CONCATENATE(CTR1_Billing!$E$20,$AN169),'Local Data Previous Year'!$C$3:$D$20000,2,0),CTR1_Billing!$E$21&amp;"NEW"))</f>
        <v/>
      </c>
      <c r="B169" s="846" t="str">
        <f>IF($E169="","",IFERROR(VLOOKUP(CONCATENATE(CTR1_Billing!$E$20,CTR1_Local!$E169),'Local Data Previous Year'!$C$3:$D$20000,2,0),CTR1_Billing!$E$21&amp;"NEW"))</f>
        <v/>
      </c>
      <c r="C169" s="846">
        <v>137</v>
      </c>
      <c r="D169" s="755" t="str" cm="1">
        <f t="array" ref="D169">IF(ISERROR(INDEX('Local Data Previous Year'!$D$3:$D$20000,SMALL(IF(CTR1_Billing!$E$21='Local Data Previous Year'!$A$3:$A$20000,ROW('Local Data Previous Year'!$A$3:$A$20000)-ROW('Local Data Previous Year'!$A$3)+1),ROW(137:137)))),"",INDEX('Local Data Previous Year'!$D$3:$D$20000,SMALL(IF(CTR1_Billing!$E$21='Local Data Previous Year'!$A$3:$A$20000,ROW('Local Data Previous Year'!$A$3:$A$20000)-ROW('Local Data Previous Year'!$A$3)+1),ROW(137:137))))</f>
        <v/>
      </c>
      <c r="E169" s="755" t="str" cm="1">
        <f t="array" ref="E169">IF(ISERROR(INDEX('Local Data Previous Year'!$E$3:$E$20000,SMALL(IF(CTR1_Billing!$E$21='Local Data Previous Year'!$A$3:$A$20000,ROW('Local Data Previous Year'!$A$3:$A$20000)-ROW('Local Data Previous Year'!$A$3)+1),ROW(137:137)))),"",INDEX('Local Data Previous Year'!$E$3:$E$20000,SMALL(IF(CTR1_Billing!$E$21='Local Data Previous Year'!$A$3:$A$20000,ROW('Local Data Previous Year'!$A$3:$A$20000)-ROW('Local Data Previous Year'!$A$3)+1),ROW(137:137))))</f>
        <v/>
      </c>
      <c r="F169" s="756" t="str">
        <f>IF($D169="","",IF(ISNA(MATCH($D169,'Local Data Previous Year'!$D$3:$D$20000,0)),"New",IFERROR(VLOOKUP($B169,'Local Data Previous Year'!$D$3:$I$20000,6,0),"")))</f>
        <v/>
      </c>
      <c r="G169" s="757">
        <f t="shared" si="37"/>
        <v>0</v>
      </c>
      <c r="H169" s="758" t="str">
        <f>IFERROR(INDEX('Local Data Previous Year'!$F:$F, MATCH($D169, 'Local Data Previous Year'!$D:$D, 0)), "")</f>
        <v/>
      </c>
      <c r="I169" s="759">
        <f>IF(B169=CTR1_Billing!$E$21&amp;"NEW",1,0)</f>
        <v>0</v>
      </c>
      <c r="J169" s="760" t="str">
        <f>IFERROR(INDEX('Local Data Previous Year'!$G:$G, MATCH($D169, 'Local Data Previous Year'!$D:$D, 0)), "")</f>
        <v/>
      </c>
      <c r="K169" s="762"/>
      <c r="L169" s="760" t="str">
        <f>IFERROR(INDEX('Local Data Previous Year'!$H:$H, MATCH($D169, 'Local Data Previous Year'!$D:$D, 0)), "")</f>
        <v/>
      </c>
      <c r="M169" s="762"/>
      <c r="N169" s="763"/>
      <c r="O169" s="767"/>
      <c r="P169" s="765"/>
      <c r="Q169" s="767"/>
      <c r="R169" s="766" t="str">
        <f t="shared" si="38"/>
        <v/>
      </c>
      <c r="S169" s="754"/>
      <c r="T169" s="763"/>
      <c r="U169" s="754"/>
      <c r="V169" s="763"/>
      <c r="W169" s="763"/>
      <c r="X169" s="865" t="str">
        <f>VLOOKUP(CTR1_Billing!$E$21,Data!$C$6:$D$302,1,FALSE)</f>
        <v>EZZZZ</v>
      </c>
      <c r="Y169" s="205"/>
      <c r="Z169" s="205">
        <f t="shared" si="26"/>
        <v>0</v>
      </c>
      <c r="AA169" s="206" t="str">
        <f t="shared" si="27"/>
        <v/>
      </c>
      <c r="AB169" s="205">
        <f t="shared" si="28"/>
        <v>0</v>
      </c>
      <c r="AC169" s="208"/>
      <c r="AD169" s="208"/>
      <c r="AE169" s="208"/>
      <c r="AF169" s="208"/>
      <c r="AG169" s="209" t="str">
        <f>IFERROR(INDEX('Local Data Previous Year'!$F:$F, MATCH($D169, 'Local Data Previous Year'!$D:$D, 0)), "")</f>
        <v/>
      </c>
      <c r="AH169" s="209" t="str">
        <f>IFERROR(INDEX('Local Data Previous Year'!$G:$G, MATCH($D169, 'Local Data Previous Year'!$D:$D, 0)), "")</f>
        <v/>
      </c>
      <c r="AI169" s="209" t="str">
        <f>IFERROR(INDEX('Local Data Previous Year'!$H:$H, MATCH($D169, 'Local Data Previous Year'!$D:$D, 0)), "")</f>
        <v/>
      </c>
      <c r="AJ169" s="209" t="str">
        <f t="shared" si="29"/>
        <v/>
      </c>
      <c r="AK169" s="209" t="str">
        <f t="shared" si="30"/>
        <v/>
      </c>
      <c r="AL169" s="209" t="str">
        <f t="shared" si="31"/>
        <v/>
      </c>
      <c r="AM169" s="208" t="str">
        <f>IF($AN169="","",IFERROR(VLOOKUP(CONCATENATE(CTR1_Billing!$E$20,$AN169),'Local Data Previous Year'!$C$3:$D$50000,2,0),CTR1_Billing!$E$21&amp;"NEW"))</f>
        <v/>
      </c>
      <c r="AN169" s="209" t="str" cm="1">
        <f t="array" ref="AN169">IF(ISERROR(INDEX('Local Data Previous Year'!$E$3:$E$50000, SMALL(IF(CTR1_Billing!$E$21='Local Data Previous Year'!$A$3:$A$50000, ROW('Local Data Previous Year'!$A$3:$A$50000)-ROW('Local Data Previous Year'!$A$3)+1), ROW(137:137)))), "", INDEX('Local Data Previous Year'!$E$3:$E$50000, SMALL(IF(CTR1_Billing!$E$21='Local Data Previous Year'!$A$3:$A$50000, ROW('Local Data Previous Year'!$A$3:$A$50000)-ROW('Local Data Previous Year'!$A$3)+1), ROW(137:137))))</f>
        <v/>
      </c>
      <c r="AO169" s="209" t="str">
        <f t="shared" si="32"/>
        <v/>
      </c>
      <c r="AP169" s="208"/>
      <c r="AQ169" s="209" t="str">
        <f t="shared" si="33"/>
        <v/>
      </c>
      <c r="AR169" s="209" t="str">
        <f t="shared" si="34"/>
        <v/>
      </c>
      <c r="AS169" s="202" t="str">
        <f t="shared" si="35"/>
        <v/>
      </c>
      <c r="AT169" s="202" t="str">
        <f t="shared" si="36"/>
        <v/>
      </c>
      <c r="AU169" s="208"/>
      <c r="AV169" s="208"/>
      <c r="AW169" s="208"/>
      <c r="AX169" s="208"/>
      <c r="AY169" s="208"/>
      <c r="AZ169" s="208"/>
      <c r="BA169" s="208"/>
      <c r="BB169" s="208"/>
      <c r="BC169" s="208"/>
      <c r="BD169" s="208"/>
      <c r="BE169" s="208"/>
      <c r="BF169" s="208"/>
      <c r="BG169" s="28"/>
      <c r="BH169" s="28"/>
      <c r="BI169" s="28"/>
      <c r="BJ169" s="28"/>
    </row>
    <row r="170" spans="1:62" s="23" customFormat="1" ht="21" customHeight="1" thickBot="1" x14ac:dyDescent="0.25">
      <c r="A170" s="846" t="str">
        <f>IF($AN170="","",IFERROR(VLOOKUP(CONCATENATE(CTR1_Billing!$E$20,$AN170),'Local Data Previous Year'!$C$3:$D$20000,2,0),CTR1_Billing!$E$21&amp;"NEW"))</f>
        <v/>
      </c>
      <c r="B170" s="846" t="str">
        <f>IF($E170="","",IFERROR(VLOOKUP(CONCATENATE(CTR1_Billing!$E$20,CTR1_Local!$E170),'Local Data Previous Year'!$C$3:$D$20000,2,0),CTR1_Billing!$E$21&amp;"NEW"))</f>
        <v/>
      </c>
      <c r="C170" s="846">
        <v>138</v>
      </c>
      <c r="D170" s="755" t="str" cm="1">
        <f t="array" ref="D170">IF(ISERROR(INDEX('Local Data Previous Year'!$D$3:$D$20000,SMALL(IF(CTR1_Billing!$E$21='Local Data Previous Year'!$A$3:$A$20000,ROW('Local Data Previous Year'!$A$3:$A$20000)-ROW('Local Data Previous Year'!$A$3)+1),ROW(138:138)))),"",INDEX('Local Data Previous Year'!$D$3:$D$20000,SMALL(IF(CTR1_Billing!$E$21='Local Data Previous Year'!$A$3:$A$20000,ROW('Local Data Previous Year'!$A$3:$A$20000)-ROW('Local Data Previous Year'!$A$3)+1),ROW(138:138))))</f>
        <v/>
      </c>
      <c r="E170" s="755" t="str" cm="1">
        <f t="array" ref="E170">IF(ISERROR(INDEX('Local Data Previous Year'!$E$3:$E$20000,SMALL(IF(CTR1_Billing!$E$21='Local Data Previous Year'!$A$3:$A$20000,ROW('Local Data Previous Year'!$A$3:$A$20000)-ROW('Local Data Previous Year'!$A$3)+1),ROW(138:138)))),"",INDEX('Local Data Previous Year'!$E$3:$E$20000,SMALL(IF(CTR1_Billing!$E$21='Local Data Previous Year'!$A$3:$A$20000,ROW('Local Data Previous Year'!$A$3:$A$20000)-ROW('Local Data Previous Year'!$A$3)+1),ROW(138:138))))</f>
        <v/>
      </c>
      <c r="F170" s="756" t="str">
        <f>IF($D170="","",IF(ISNA(MATCH($D170,'Local Data Previous Year'!$D$3:$D$20000,0)),"New",IFERROR(VLOOKUP($B170,'Local Data Previous Year'!$D$3:$I$20000,6,0),"")))</f>
        <v/>
      </c>
      <c r="G170" s="757">
        <f t="shared" si="37"/>
        <v>0</v>
      </c>
      <c r="H170" s="758" t="str">
        <f>IFERROR(INDEX('Local Data Previous Year'!$F:$F, MATCH($D170, 'Local Data Previous Year'!$D:$D, 0)), "")</f>
        <v/>
      </c>
      <c r="I170" s="759">
        <f>IF(B170=CTR1_Billing!$E$21&amp;"NEW",1,0)</f>
        <v>0</v>
      </c>
      <c r="J170" s="760" t="str">
        <f>IFERROR(INDEX('Local Data Previous Year'!$G:$G, MATCH($D170, 'Local Data Previous Year'!$D:$D, 0)), "")</f>
        <v/>
      </c>
      <c r="K170" s="762"/>
      <c r="L170" s="760" t="str">
        <f>IFERROR(INDEX('Local Data Previous Year'!$H:$H, MATCH($D170, 'Local Data Previous Year'!$D:$D, 0)), "")</f>
        <v/>
      </c>
      <c r="M170" s="762"/>
      <c r="N170" s="763"/>
      <c r="O170" s="767"/>
      <c r="P170" s="765"/>
      <c r="Q170" s="767"/>
      <c r="R170" s="766" t="str">
        <f t="shared" si="38"/>
        <v/>
      </c>
      <c r="S170" s="754"/>
      <c r="T170" s="763"/>
      <c r="U170" s="754"/>
      <c r="V170" s="763"/>
      <c r="W170" s="763"/>
      <c r="X170" s="865" t="str">
        <f>VLOOKUP(CTR1_Billing!$E$21,Data!$C$6:$D$302,1,FALSE)</f>
        <v>EZZZZ</v>
      </c>
      <c r="Y170" s="205"/>
      <c r="Z170" s="205">
        <f t="shared" si="26"/>
        <v>0</v>
      </c>
      <c r="AA170" s="206" t="str">
        <f t="shared" si="27"/>
        <v/>
      </c>
      <c r="AB170" s="205">
        <f t="shared" si="28"/>
        <v>0</v>
      </c>
      <c r="AC170" s="208"/>
      <c r="AD170" s="208"/>
      <c r="AE170" s="208"/>
      <c r="AF170" s="208"/>
      <c r="AG170" s="209" t="str">
        <f>IFERROR(INDEX('Local Data Previous Year'!$F:$F, MATCH($D170, 'Local Data Previous Year'!$D:$D, 0)), "")</f>
        <v/>
      </c>
      <c r="AH170" s="209" t="str">
        <f>IFERROR(INDEX('Local Data Previous Year'!$G:$G, MATCH($D170, 'Local Data Previous Year'!$D:$D, 0)), "")</f>
        <v/>
      </c>
      <c r="AI170" s="209" t="str">
        <f>IFERROR(INDEX('Local Data Previous Year'!$H:$H, MATCH($D170, 'Local Data Previous Year'!$D:$D, 0)), "")</f>
        <v/>
      </c>
      <c r="AJ170" s="209" t="str">
        <f t="shared" si="29"/>
        <v/>
      </c>
      <c r="AK170" s="209" t="str">
        <f t="shared" si="30"/>
        <v/>
      </c>
      <c r="AL170" s="209" t="str">
        <f t="shared" si="31"/>
        <v/>
      </c>
      <c r="AM170" s="208" t="str">
        <f>IF($AN170="","",IFERROR(VLOOKUP(CONCATENATE(CTR1_Billing!$E$20,$AN170),'Local Data Previous Year'!$C$3:$D$50000,2,0),CTR1_Billing!$E$21&amp;"NEW"))</f>
        <v/>
      </c>
      <c r="AN170" s="209" t="str" cm="1">
        <f t="array" ref="AN170">IF(ISERROR(INDEX('Local Data Previous Year'!$E$3:$E$50000, SMALL(IF(CTR1_Billing!$E$21='Local Data Previous Year'!$A$3:$A$50000, ROW('Local Data Previous Year'!$A$3:$A$50000)-ROW('Local Data Previous Year'!$A$3)+1), ROW(138:138)))), "", INDEX('Local Data Previous Year'!$E$3:$E$50000, SMALL(IF(CTR1_Billing!$E$21='Local Data Previous Year'!$A$3:$A$50000, ROW('Local Data Previous Year'!$A$3:$A$50000)-ROW('Local Data Previous Year'!$A$3)+1), ROW(138:138))))</f>
        <v/>
      </c>
      <c r="AO170" s="209" t="str">
        <f t="shared" si="32"/>
        <v/>
      </c>
      <c r="AP170" s="208"/>
      <c r="AQ170" s="209" t="str">
        <f t="shared" si="33"/>
        <v/>
      </c>
      <c r="AR170" s="209" t="str">
        <f t="shared" si="34"/>
        <v/>
      </c>
      <c r="AS170" s="202" t="str">
        <f t="shared" si="35"/>
        <v/>
      </c>
      <c r="AT170" s="202" t="str">
        <f t="shared" si="36"/>
        <v/>
      </c>
      <c r="AU170" s="208"/>
      <c r="AV170" s="208"/>
      <c r="AW170" s="208"/>
      <c r="AX170" s="208"/>
      <c r="AY170" s="208"/>
      <c r="AZ170" s="208"/>
      <c r="BA170" s="208"/>
      <c r="BB170" s="208"/>
      <c r="BC170" s="208"/>
      <c r="BD170" s="208"/>
      <c r="BE170" s="208"/>
      <c r="BF170" s="208"/>
      <c r="BG170" s="28"/>
      <c r="BH170" s="28"/>
      <c r="BI170" s="28"/>
      <c r="BJ170" s="28"/>
    </row>
    <row r="171" spans="1:62" s="23" customFormat="1" ht="21" customHeight="1" thickBot="1" x14ac:dyDescent="0.25">
      <c r="A171" s="846" t="str">
        <f>IF($AN171="","",IFERROR(VLOOKUP(CONCATENATE(CTR1_Billing!$E$20,$AN171),'Local Data Previous Year'!$C$3:$D$20000,2,0),CTR1_Billing!$E$21&amp;"NEW"))</f>
        <v/>
      </c>
      <c r="B171" s="846" t="str">
        <f>IF($E171="","",IFERROR(VLOOKUP(CONCATENATE(CTR1_Billing!$E$20,CTR1_Local!$E171),'Local Data Previous Year'!$C$3:$D$20000,2,0),CTR1_Billing!$E$21&amp;"NEW"))</f>
        <v/>
      </c>
      <c r="C171" s="846">
        <v>139</v>
      </c>
      <c r="D171" s="755" t="str" cm="1">
        <f t="array" ref="D171">IF(ISERROR(INDEX('Local Data Previous Year'!$D$3:$D$20000,SMALL(IF(CTR1_Billing!$E$21='Local Data Previous Year'!$A$3:$A$20000,ROW('Local Data Previous Year'!$A$3:$A$20000)-ROW('Local Data Previous Year'!$A$3)+1),ROW(139:139)))),"",INDEX('Local Data Previous Year'!$D$3:$D$20000,SMALL(IF(CTR1_Billing!$E$21='Local Data Previous Year'!$A$3:$A$20000,ROW('Local Data Previous Year'!$A$3:$A$20000)-ROW('Local Data Previous Year'!$A$3)+1),ROW(139:139))))</f>
        <v/>
      </c>
      <c r="E171" s="755" t="str" cm="1">
        <f t="array" ref="E171">IF(ISERROR(INDEX('Local Data Previous Year'!$E$3:$E$20000,SMALL(IF(CTR1_Billing!$E$21='Local Data Previous Year'!$A$3:$A$20000,ROW('Local Data Previous Year'!$A$3:$A$20000)-ROW('Local Data Previous Year'!$A$3)+1),ROW(139:139)))),"",INDEX('Local Data Previous Year'!$E$3:$E$20000,SMALL(IF(CTR1_Billing!$E$21='Local Data Previous Year'!$A$3:$A$20000,ROW('Local Data Previous Year'!$A$3:$A$20000)-ROW('Local Data Previous Year'!$A$3)+1),ROW(139:139))))</f>
        <v/>
      </c>
      <c r="F171" s="756" t="str">
        <f>IF($D171="","",IF(ISNA(MATCH($D171,'Local Data Previous Year'!$D$3:$D$20000,0)),"New",IFERROR(VLOOKUP($B171,'Local Data Previous Year'!$D$3:$I$20000,6,0),"")))</f>
        <v/>
      </c>
      <c r="G171" s="757">
        <f t="shared" si="37"/>
        <v>0</v>
      </c>
      <c r="H171" s="758" t="str">
        <f>IFERROR(INDEX('Local Data Previous Year'!$F:$F, MATCH($D171, 'Local Data Previous Year'!$D:$D, 0)), "")</f>
        <v/>
      </c>
      <c r="I171" s="759">
        <f>IF(B171=CTR1_Billing!$E$21&amp;"NEW",1,0)</f>
        <v>0</v>
      </c>
      <c r="J171" s="760" t="str">
        <f>IFERROR(INDEX('Local Data Previous Year'!$G:$G, MATCH($D171, 'Local Data Previous Year'!$D:$D, 0)), "")</f>
        <v/>
      </c>
      <c r="K171" s="762"/>
      <c r="L171" s="760" t="str">
        <f>IFERROR(INDEX('Local Data Previous Year'!$H:$H, MATCH($D171, 'Local Data Previous Year'!$D:$D, 0)), "")</f>
        <v/>
      </c>
      <c r="M171" s="762"/>
      <c r="N171" s="763"/>
      <c r="O171" s="767"/>
      <c r="P171" s="765"/>
      <c r="Q171" s="767"/>
      <c r="R171" s="766" t="str">
        <f t="shared" si="38"/>
        <v/>
      </c>
      <c r="S171" s="754"/>
      <c r="T171" s="763"/>
      <c r="U171" s="754"/>
      <c r="V171" s="763"/>
      <c r="W171" s="763"/>
      <c r="X171" s="865" t="str">
        <f>VLOOKUP(CTR1_Billing!$E$21,Data!$C$6:$D$302,1,FALSE)</f>
        <v>EZZZZ</v>
      </c>
      <c r="Y171" s="205"/>
      <c r="Z171" s="205">
        <f t="shared" si="26"/>
        <v>0</v>
      </c>
      <c r="AA171" s="206" t="str">
        <f t="shared" si="27"/>
        <v/>
      </c>
      <c r="AB171" s="205">
        <f t="shared" si="28"/>
        <v>0</v>
      </c>
      <c r="AC171" s="208"/>
      <c r="AD171" s="208"/>
      <c r="AE171" s="208"/>
      <c r="AF171" s="208"/>
      <c r="AG171" s="209" t="str">
        <f>IFERROR(INDEX('Local Data Previous Year'!$F:$F, MATCH($D171, 'Local Data Previous Year'!$D:$D, 0)), "")</f>
        <v/>
      </c>
      <c r="AH171" s="209" t="str">
        <f>IFERROR(INDEX('Local Data Previous Year'!$G:$G, MATCH($D171, 'Local Data Previous Year'!$D:$D, 0)), "")</f>
        <v/>
      </c>
      <c r="AI171" s="209" t="str">
        <f>IFERROR(INDEX('Local Data Previous Year'!$H:$H, MATCH($D171, 'Local Data Previous Year'!$D:$D, 0)), "")</f>
        <v/>
      </c>
      <c r="AJ171" s="209" t="str">
        <f t="shared" si="29"/>
        <v/>
      </c>
      <c r="AK171" s="209" t="str">
        <f t="shared" si="30"/>
        <v/>
      </c>
      <c r="AL171" s="209" t="str">
        <f t="shared" si="31"/>
        <v/>
      </c>
      <c r="AM171" s="208" t="str">
        <f>IF($AN171="","",IFERROR(VLOOKUP(CONCATENATE(CTR1_Billing!$E$20,$AN171),'Local Data Previous Year'!$C$3:$D$50000,2,0),CTR1_Billing!$E$21&amp;"NEW"))</f>
        <v/>
      </c>
      <c r="AN171" s="209" t="str" cm="1">
        <f t="array" ref="AN171">IF(ISERROR(INDEX('Local Data Previous Year'!$E$3:$E$50000, SMALL(IF(CTR1_Billing!$E$21='Local Data Previous Year'!$A$3:$A$50000, ROW('Local Data Previous Year'!$A$3:$A$50000)-ROW('Local Data Previous Year'!$A$3)+1), ROW(139:139)))), "", INDEX('Local Data Previous Year'!$E$3:$E$50000, SMALL(IF(CTR1_Billing!$E$21='Local Data Previous Year'!$A$3:$A$50000, ROW('Local Data Previous Year'!$A$3:$A$50000)-ROW('Local Data Previous Year'!$A$3)+1), ROW(139:139))))</f>
        <v/>
      </c>
      <c r="AO171" s="209" t="str">
        <f t="shared" si="32"/>
        <v/>
      </c>
      <c r="AP171" s="208"/>
      <c r="AQ171" s="209" t="str">
        <f t="shared" si="33"/>
        <v/>
      </c>
      <c r="AR171" s="209" t="str">
        <f t="shared" si="34"/>
        <v/>
      </c>
      <c r="AS171" s="202" t="str">
        <f t="shared" si="35"/>
        <v/>
      </c>
      <c r="AT171" s="202" t="str">
        <f t="shared" si="36"/>
        <v/>
      </c>
      <c r="AU171" s="208"/>
      <c r="AV171" s="208"/>
      <c r="AW171" s="208"/>
      <c r="AX171" s="208"/>
      <c r="AY171" s="208"/>
      <c r="AZ171" s="208"/>
      <c r="BA171" s="208"/>
      <c r="BB171" s="208"/>
      <c r="BC171" s="208"/>
      <c r="BD171" s="208"/>
      <c r="BE171" s="208"/>
      <c r="BF171" s="208"/>
      <c r="BG171" s="28"/>
      <c r="BH171" s="28"/>
      <c r="BI171" s="28"/>
      <c r="BJ171" s="28"/>
    </row>
    <row r="172" spans="1:62" s="23" customFormat="1" ht="21" customHeight="1" thickBot="1" x14ac:dyDescent="0.25">
      <c r="A172" s="846" t="str">
        <f>IF($AN172="","",IFERROR(VLOOKUP(CONCATENATE(CTR1_Billing!$E$20,$AN172),'Local Data Previous Year'!$C$3:$D$20000,2,0),CTR1_Billing!$E$21&amp;"NEW"))</f>
        <v/>
      </c>
      <c r="B172" s="846" t="str">
        <f>IF($E172="","",IFERROR(VLOOKUP(CONCATENATE(CTR1_Billing!$E$20,CTR1_Local!$E172),'Local Data Previous Year'!$C$3:$D$20000,2,0),CTR1_Billing!$E$21&amp;"NEW"))</f>
        <v/>
      </c>
      <c r="C172" s="846">
        <v>140</v>
      </c>
      <c r="D172" s="755" t="str" cm="1">
        <f t="array" ref="D172">IF(ISERROR(INDEX('Local Data Previous Year'!$D$3:$D$20000,SMALL(IF(CTR1_Billing!$E$21='Local Data Previous Year'!$A$3:$A$20000,ROW('Local Data Previous Year'!$A$3:$A$20000)-ROW('Local Data Previous Year'!$A$3)+1),ROW(140:140)))),"",INDEX('Local Data Previous Year'!$D$3:$D$20000,SMALL(IF(CTR1_Billing!$E$21='Local Data Previous Year'!$A$3:$A$20000,ROW('Local Data Previous Year'!$A$3:$A$20000)-ROW('Local Data Previous Year'!$A$3)+1),ROW(140:140))))</f>
        <v/>
      </c>
      <c r="E172" s="755" t="str" cm="1">
        <f t="array" ref="E172">IF(ISERROR(INDEX('Local Data Previous Year'!$E$3:$E$20000,SMALL(IF(CTR1_Billing!$E$21='Local Data Previous Year'!$A$3:$A$20000,ROW('Local Data Previous Year'!$A$3:$A$20000)-ROW('Local Data Previous Year'!$A$3)+1),ROW(140:140)))),"",INDEX('Local Data Previous Year'!$E$3:$E$20000,SMALL(IF(CTR1_Billing!$E$21='Local Data Previous Year'!$A$3:$A$20000,ROW('Local Data Previous Year'!$A$3:$A$20000)-ROW('Local Data Previous Year'!$A$3)+1),ROW(140:140))))</f>
        <v/>
      </c>
      <c r="F172" s="756" t="str">
        <f>IF($D172="","",IF(ISNA(MATCH($D172,'Local Data Previous Year'!$D$3:$D$20000,0)),"New",IFERROR(VLOOKUP($B172,'Local Data Previous Year'!$D$3:$I$20000,6,0),"")))</f>
        <v/>
      </c>
      <c r="G172" s="757">
        <f t="shared" si="37"/>
        <v>0</v>
      </c>
      <c r="H172" s="758" t="str">
        <f>IFERROR(INDEX('Local Data Previous Year'!$F:$F, MATCH($D172, 'Local Data Previous Year'!$D:$D, 0)), "")</f>
        <v/>
      </c>
      <c r="I172" s="759">
        <f>IF(B172=CTR1_Billing!$E$21&amp;"NEW",1,0)</f>
        <v>0</v>
      </c>
      <c r="J172" s="760" t="str">
        <f>IFERROR(INDEX('Local Data Previous Year'!$G:$G, MATCH($D172, 'Local Data Previous Year'!$D:$D, 0)), "")</f>
        <v/>
      </c>
      <c r="K172" s="762"/>
      <c r="L172" s="760" t="str">
        <f>IFERROR(INDEX('Local Data Previous Year'!$H:$H, MATCH($D172, 'Local Data Previous Year'!$D:$D, 0)), "")</f>
        <v/>
      </c>
      <c r="M172" s="762"/>
      <c r="N172" s="763"/>
      <c r="O172" s="767"/>
      <c r="P172" s="765"/>
      <c r="Q172" s="767"/>
      <c r="R172" s="766" t="str">
        <f t="shared" si="38"/>
        <v/>
      </c>
      <c r="S172" s="754"/>
      <c r="T172" s="763"/>
      <c r="U172" s="754"/>
      <c r="V172" s="763"/>
      <c r="W172" s="763"/>
      <c r="X172" s="865" t="str">
        <f>VLOOKUP(CTR1_Billing!$E$21,Data!$C$6:$D$302,1,FALSE)</f>
        <v>EZZZZ</v>
      </c>
      <c r="Y172" s="205"/>
      <c r="Z172" s="205">
        <f t="shared" si="26"/>
        <v>0</v>
      </c>
      <c r="AA172" s="206" t="str">
        <f t="shared" si="27"/>
        <v/>
      </c>
      <c r="AB172" s="205">
        <f t="shared" si="28"/>
        <v>0</v>
      </c>
      <c r="AC172" s="208"/>
      <c r="AD172" s="208"/>
      <c r="AE172" s="208"/>
      <c r="AF172" s="208"/>
      <c r="AG172" s="209" t="str">
        <f>IFERROR(INDEX('Local Data Previous Year'!$F:$F, MATCH($D172, 'Local Data Previous Year'!$D:$D, 0)), "")</f>
        <v/>
      </c>
      <c r="AH172" s="209" t="str">
        <f>IFERROR(INDEX('Local Data Previous Year'!$G:$G, MATCH($D172, 'Local Data Previous Year'!$D:$D, 0)), "")</f>
        <v/>
      </c>
      <c r="AI172" s="209" t="str">
        <f>IFERROR(INDEX('Local Data Previous Year'!$H:$H, MATCH($D172, 'Local Data Previous Year'!$D:$D, 0)), "")</f>
        <v/>
      </c>
      <c r="AJ172" s="209" t="str">
        <f t="shared" si="29"/>
        <v/>
      </c>
      <c r="AK172" s="209" t="str">
        <f t="shared" si="30"/>
        <v/>
      </c>
      <c r="AL172" s="209" t="str">
        <f t="shared" si="31"/>
        <v/>
      </c>
      <c r="AM172" s="208" t="str">
        <f>IF($AN172="","",IFERROR(VLOOKUP(CONCATENATE(CTR1_Billing!$E$20,$AN172),'Local Data Previous Year'!$C$3:$D$50000,2,0),CTR1_Billing!$E$21&amp;"NEW"))</f>
        <v/>
      </c>
      <c r="AN172" s="209" t="str" cm="1">
        <f t="array" ref="AN172">IF(ISERROR(INDEX('Local Data Previous Year'!$E$3:$E$50000, SMALL(IF(CTR1_Billing!$E$21='Local Data Previous Year'!$A$3:$A$50000, ROW('Local Data Previous Year'!$A$3:$A$50000)-ROW('Local Data Previous Year'!$A$3)+1), ROW(140:140)))), "", INDEX('Local Data Previous Year'!$E$3:$E$50000, SMALL(IF(CTR1_Billing!$E$21='Local Data Previous Year'!$A$3:$A$50000, ROW('Local Data Previous Year'!$A$3:$A$50000)-ROW('Local Data Previous Year'!$A$3)+1), ROW(140:140))))</f>
        <v/>
      </c>
      <c r="AO172" s="209" t="str">
        <f t="shared" si="32"/>
        <v/>
      </c>
      <c r="AP172" s="208"/>
      <c r="AQ172" s="209" t="str">
        <f t="shared" si="33"/>
        <v/>
      </c>
      <c r="AR172" s="209" t="str">
        <f t="shared" si="34"/>
        <v/>
      </c>
      <c r="AS172" s="202" t="str">
        <f t="shared" si="35"/>
        <v/>
      </c>
      <c r="AT172" s="202" t="str">
        <f t="shared" si="36"/>
        <v/>
      </c>
      <c r="AU172" s="208"/>
      <c r="AV172" s="208"/>
      <c r="AW172" s="208"/>
      <c r="AX172" s="208"/>
      <c r="AY172" s="208"/>
      <c r="AZ172" s="208"/>
      <c r="BA172" s="208"/>
      <c r="BB172" s="208"/>
      <c r="BC172" s="208"/>
      <c r="BD172" s="208"/>
      <c r="BE172" s="208"/>
      <c r="BF172" s="208"/>
      <c r="BG172" s="28"/>
      <c r="BH172" s="28"/>
      <c r="BI172" s="28"/>
      <c r="BJ172" s="28"/>
    </row>
    <row r="173" spans="1:62" s="23" customFormat="1" ht="21" customHeight="1" thickBot="1" x14ac:dyDescent="0.25">
      <c r="A173" s="846" t="str">
        <f>IF($AN173="","",IFERROR(VLOOKUP(CONCATENATE(CTR1_Billing!$E$20,$AN173),'Local Data Previous Year'!$C$3:$D$20000,2,0),CTR1_Billing!$E$21&amp;"NEW"))</f>
        <v/>
      </c>
      <c r="B173" s="846" t="str">
        <f>IF($E173="","",IFERROR(VLOOKUP(CONCATENATE(CTR1_Billing!$E$20,CTR1_Local!$E173),'Local Data Previous Year'!$C$3:$D$20000,2,0),CTR1_Billing!$E$21&amp;"NEW"))</f>
        <v/>
      </c>
      <c r="C173" s="846">
        <v>141</v>
      </c>
      <c r="D173" s="755" t="str" cm="1">
        <f t="array" ref="D173">IF(ISERROR(INDEX('Local Data Previous Year'!$D$3:$D$20000,SMALL(IF(CTR1_Billing!$E$21='Local Data Previous Year'!$A$3:$A$20000,ROW('Local Data Previous Year'!$A$3:$A$20000)-ROW('Local Data Previous Year'!$A$3)+1),ROW(141:141)))),"",INDEX('Local Data Previous Year'!$D$3:$D$20000,SMALL(IF(CTR1_Billing!$E$21='Local Data Previous Year'!$A$3:$A$20000,ROW('Local Data Previous Year'!$A$3:$A$20000)-ROW('Local Data Previous Year'!$A$3)+1),ROW(141:141))))</f>
        <v/>
      </c>
      <c r="E173" s="755" t="str" cm="1">
        <f t="array" ref="E173">IF(ISERROR(INDEX('Local Data Previous Year'!$E$3:$E$20000,SMALL(IF(CTR1_Billing!$E$21='Local Data Previous Year'!$A$3:$A$20000,ROW('Local Data Previous Year'!$A$3:$A$20000)-ROW('Local Data Previous Year'!$A$3)+1),ROW(141:141)))),"",INDEX('Local Data Previous Year'!$E$3:$E$20000,SMALL(IF(CTR1_Billing!$E$21='Local Data Previous Year'!$A$3:$A$20000,ROW('Local Data Previous Year'!$A$3:$A$20000)-ROW('Local Data Previous Year'!$A$3)+1),ROW(141:141))))</f>
        <v/>
      </c>
      <c r="F173" s="756" t="str">
        <f>IF($D173="","",IF(ISNA(MATCH($D173,'Local Data Previous Year'!$D$3:$D$20000,0)),"New",IFERROR(VLOOKUP($B173,'Local Data Previous Year'!$D$3:$I$20000,6,0),"")))</f>
        <v/>
      </c>
      <c r="G173" s="757">
        <f t="shared" si="37"/>
        <v>0</v>
      </c>
      <c r="H173" s="758" t="str">
        <f>IFERROR(INDEX('Local Data Previous Year'!$F:$F, MATCH($D173, 'Local Data Previous Year'!$D:$D, 0)), "")</f>
        <v/>
      </c>
      <c r="I173" s="759">
        <f>IF(B173=CTR1_Billing!$E$21&amp;"NEW",1,0)</f>
        <v>0</v>
      </c>
      <c r="J173" s="760" t="str">
        <f>IFERROR(INDEX('Local Data Previous Year'!$G:$G, MATCH($D173, 'Local Data Previous Year'!$D:$D, 0)), "")</f>
        <v/>
      </c>
      <c r="K173" s="762"/>
      <c r="L173" s="760" t="str">
        <f>IFERROR(INDEX('Local Data Previous Year'!$H:$H, MATCH($D173, 'Local Data Previous Year'!$D:$D, 0)), "")</f>
        <v/>
      </c>
      <c r="M173" s="762"/>
      <c r="N173" s="763"/>
      <c r="O173" s="767"/>
      <c r="P173" s="765"/>
      <c r="Q173" s="767"/>
      <c r="R173" s="766" t="str">
        <f t="shared" si="38"/>
        <v/>
      </c>
      <c r="S173" s="754"/>
      <c r="T173" s="763"/>
      <c r="U173" s="754"/>
      <c r="V173" s="763"/>
      <c r="W173" s="763"/>
      <c r="X173" s="865" t="str">
        <f>VLOOKUP(CTR1_Billing!$E$21,Data!$C$6:$D$302,1,FALSE)</f>
        <v>EZZZZ</v>
      </c>
      <c r="Y173" s="205"/>
      <c r="Z173" s="205">
        <f t="shared" si="26"/>
        <v>0</v>
      </c>
      <c r="AA173" s="206" t="str">
        <f t="shared" si="27"/>
        <v/>
      </c>
      <c r="AB173" s="205">
        <f t="shared" si="28"/>
        <v>0</v>
      </c>
      <c r="AC173" s="208"/>
      <c r="AD173" s="208"/>
      <c r="AE173" s="208"/>
      <c r="AF173" s="208"/>
      <c r="AG173" s="209" t="str">
        <f>IFERROR(INDEX('Local Data Previous Year'!$F:$F, MATCH($D173, 'Local Data Previous Year'!$D:$D, 0)), "")</f>
        <v/>
      </c>
      <c r="AH173" s="209" t="str">
        <f>IFERROR(INDEX('Local Data Previous Year'!$G:$G, MATCH($D173, 'Local Data Previous Year'!$D:$D, 0)), "")</f>
        <v/>
      </c>
      <c r="AI173" s="209" t="str">
        <f>IFERROR(INDEX('Local Data Previous Year'!$H:$H, MATCH($D173, 'Local Data Previous Year'!$D:$D, 0)), "")</f>
        <v/>
      </c>
      <c r="AJ173" s="209" t="str">
        <f t="shared" si="29"/>
        <v/>
      </c>
      <c r="AK173" s="209" t="str">
        <f t="shared" si="30"/>
        <v/>
      </c>
      <c r="AL173" s="209" t="str">
        <f t="shared" si="31"/>
        <v/>
      </c>
      <c r="AM173" s="208" t="str">
        <f>IF($AN173="","",IFERROR(VLOOKUP(CONCATENATE(CTR1_Billing!$E$20,$AN173),'Local Data Previous Year'!$C$3:$D$50000,2,0),CTR1_Billing!$E$21&amp;"NEW"))</f>
        <v/>
      </c>
      <c r="AN173" s="209" t="str" cm="1">
        <f t="array" ref="AN173">IF(ISERROR(INDEX('Local Data Previous Year'!$E$3:$E$50000, SMALL(IF(CTR1_Billing!$E$21='Local Data Previous Year'!$A$3:$A$50000, ROW('Local Data Previous Year'!$A$3:$A$50000)-ROW('Local Data Previous Year'!$A$3)+1), ROW(141:141)))), "", INDEX('Local Data Previous Year'!$E$3:$E$50000, SMALL(IF(CTR1_Billing!$E$21='Local Data Previous Year'!$A$3:$A$50000, ROW('Local Data Previous Year'!$A$3:$A$50000)-ROW('Local Data Previous Year'!$A$3)+1), ROW(141:141))))</f>
        <v/>
      </c>
      <c r="AO173" s="209" t="str">
        <f t="shared" si="32"/>
        <v/>
      </c>
      <c r="AP173" s="208"/>
      <c r="AQ173" s="209" t="str">
        <f t="shared" si="33"/>
        <v/>
      </c>
      <c r="AR173" s="209" t="str">
        <f t="shared" si="34"/>
        <v/>
      </c>
      <c r="AS173" s="202" t="str">
        <f t="shared" si="35"/>
        <v/>
      </c>
      <c r="AT173" s="202" t="str">
        <f t="shared" si="36"/>
        <v/>
      </c>
      <c r="AU173" s="208"/>
      <c r="AV173" s="208"/>
      <c r="AW173" s="208"/>
      <c r="AX173" s="208"/>
      <c r="AY173" s="208"/>
      <c r="AZ173" s="208"/>
      <c r="BA173" s="208"/>
      <c r="BB173" s="208"/>
      <c r="BC173" s="208"/>
      <c r="BD173" s="208"/>
      <c r="BE173" s="208"/>
      <c r="BF173" s="208"/>
      <c r="BG173" s="28"/>
      <c r="BH173" s="28"/>
      <c r="BI173" s="28"/>
      <c r="BJ173" s="28"/>
    </row>
    <row r="174" spans="1:62" s="23" customFormat="1" ht="21" customHeight="1" thickBot="1" x14ac:dyDescent="0.25">
      <c r="A174" s="846" t="str">
        <f>IF($AN174="","",IFERROR(VLOOKUP(CONCATENATE(CTR1_Billing!$E$20,$AN174),'Local Data Previous Year'!$C$3:$D$20000,2,0),CTR1_Billing!$E$21&amp;"NEW"))</f>
        <v/>
      </c>
      <c r="B174" s="846" t="str">
        <f>IF($E174="","",IFERROR(VLOOKUP(CONCATENATE(CTR1_Billing!$E$20,CTR1_Local!$E174),'Local Data Previous Year'!$C$3:$D$20000,2,0),CTR1_Billing!$E$21&amp;"NEW"))</f>
        <v/>
      </c>
      <c r="C174" s="846">
        <v>142</v>
      </c>
      <c r="D174" s="755" t="str" cm="1">
        <f t="array" ref="D174">IF(ISERROR(INDEX('Local Data Previous Year'!$D$3:$D$20000,SMALL(IF(CTR1_Billing!$E$21='Local Data Previous Year'!$A$3:$A$20000,ROW('Local Data Previous Year'!$A$3:$A$20000)-ROW('Local Data Previous Year'!$A$3)+1),ROW(142:142)))),"",INDEX('Local Data Previous Year'!$D$3:$D$20000,SMALL(IF(CTR1_Billing!$E$21='Local Data Previous Year'!$A$3:$A$20000,ROW('Local Data Previous Year'!$A$3:$A$20000)-ROW('Local Data Previous Year'!$A$3)+1),ROW(142:142))))</f>
        <v/>
      </c>
      <c r="E174" s="755" t="str" cm="1">
        <f t="array" ref="E174">IF(ISERROR(INDEX('Local Data Previous Year'!$E$3:$E$20000,SMALL(IF(CTR1_Billing!$E$21='Local Data Previous Year'!$A$3:$A$20000,ROW('Local Data Previous Year'!$A$3:$A$20000)-ROW('Local Data Previous Year'!$A$3)+1),ROW(142:142)))),"",INDEX('Local Data Previous Year'!$E$3:$E$20000,SMALL(IF(CTR1_Billing!$E$21='Local Data Previous Year'!$A$3:$A$20000,ROW('Local Data Previous Year'!$A$3:$A$20000)-ROW('Local Data Previous Year'!$A$3)+1),ROW(142:142))))</f>
        <v/>
      </c>
      <c r="F174" s="756" t="str">
        <f>IF($D174="","",IF(ISNA(MATCH($D174,'Local Data Previous Year'!$D$3:$D$20000,0)),"New",IFERROR(VLOOKUP($B174,'Local Data Previous Year'!$D$3:$I$20000,6,0),"")))</f>
        <v/>
      </c>
      <c r="G174" s="757">
        <f t="shared" si="37"/>
        <v>0</v>
      </c>
      <c r="H174" s="758" t="str">
        <f>IFERROR(INDEX('Local Data Previous Year'!$F:$F, MATCH($D174, 'Local Data Previous Year'!$D:$D, 0)), "")</f>
        <v/>
      </c>
      <c r="I174" s="759">
        <f>IF(B174=CTR1_Billing!$E$21&amp;"NEW",1,0)</f>
        <v>0</v>
      </c>
      <c r="J174" s="760" t="str">
        <f>IFERROR(INDEX('Local Data Previous Year'!$G:$G, MATCH($D174, 'Local Data Previous Year'!$D:$D, 0)), "")</f>
        <v/>
      </c>
      <c r="K174" s="762"/>
      <c r="L174" s="760" t="str">
        <f>IFERROR(INDEX('Local Data Previous Year'!$H:$H, MATCH($D174, 'Local Data Previous Year'!$D:$D, 0)), "")</f>
        <v/>
      </c>
      <c r="M174" s="762"/>
      <c r="N174" s="763"/>
      <c r="O174" s="767"/>
      <c r="P174" s="765"/>
      <c r="Q174" s="767"/>
      <c r="R174" s="766" t="str">
        <f t="shared" si="38"/>
        <v/>
      </c>
      <c r="S174" s="754"/>
      <c r="T174" s="763"/>
      <c r="U174" s="754"/>
      <c r="V174" s="763"/>
      <c r="W174" s="763"/>
      <c r="X174" s="865" t="str">
        <f>VLOOKUP(CTR1_Billing!$E$21,Data!$C$6:$D$302,1,FALSE)</f>
        <v>EZZZZ</v>
      </c>
      <c r="Y174" s="205"/>
      <c r="Z174" s="205">
        <f t="shared" si="26"/>
        <v>0</v>
      </c>
      <c r="AA174" s="206" t="str">
        <f t="shared" si="27"/>
        <v/>
      </c>
      <c r="AB174" s="205">
        <f t="shared" si="28"/>
        <v>0</v>
      </c>
      <c r="AC174" s="208"/>
      <c r="AD174" s="208"/>
      <c r="AE174" s="208"/>
      <c r="AF174" s="208"/>
      <c r="AG174" s="209" t="str">
        <f>IFERROR(INDEX('Local Data Previous Year'!$F:$F, MATCH($D174, 'Local Data Previous Year'!$D:$D, 0)), "")</f>
        <v/>
      </c>
      <c r="AH174" s="209" t="str">
        <f>IFERROR(INDEX('Local Data Previous Year'!$G:$G, MATCH($D174, 'Local Data Previous Year'!$D:$D, 0)), "")</f>
        <v/>
      </c>
      <c r="AI174" s="209" t="str">
        <f>IFERROR(INDEX('Local Data Previous Year'!$H:$H, MATCH($D174, 'Local Data Previous Year'!$D:$D, 0)), "")</f>
        <v/>
      </c>
      <c r="AJ174" s="209" t="str">
        <f t="shared" si="29"/>
        <v/>
      </c>
      <c r="AK174" s="209" t="str">
        <f t="shared" si="30"/>
        <v/>
      </c>
      <c r="AL174" s="209" t="str">
        <f t="shared" si="31"/>
        <v/>
      </c>
      <c r="AM174" s="208" t="str">
        <f>IF($AN174="","",IFERROR(VLOOKUP(CONCATENATE(CTR1_Billing!$E$20,$AN174),'Local Data Previous Year'!$C$3:$D$50000,2,0),CTR1_Billing!$E$21&amp;"NEW"))</f>
        <v/>
      </c>
      <c r="AN174" s="209" t="str" cm="1">
        <f t="array" ref="AN174">IF(ISERROR(INDEX('Local Data Previous Year'!$E$3:$E$50000, SMALL(IF(CTR1_Billing!$E$21='Local Data Previous Year'!$A$3:$A$50000, ROW('Local Data Previous Year'!$A$3:$A$50000)-ROW('Local Data Previous Year'!$A$3)+1), ROW(142:142)))), "", INDEX('Local Data Previous Year'!$E$3:$E$50000, SMALL(IF(CTR1_Billing!$E$21='Local Data Previous Year'!$A$3:$A$50000, ROW('Local Data Previous Year'!$A$3:$A$50000)-ROW('Local Data Previous Year'!$A$3)+1), ROW(142:142))))</f>
        <v/>
      </c>
      <c r="AO174" s="209" t="str">
        <f t="shared" si="32"/>
        <v/>
      </c>
      <c r="AP174" s="208"/>
      <c r="AQ174" s="209" t="str">
        <f t="shared" si="33"/>
        <v/>
      </c>
      <c r="AR174" s="209" t="str">
        <f t="shared" si="34"/>
        <v/>
      </c>
      <c r="AS174" s="202" t="str">
        <f t="shared" si="35"/>
        <v/>
      </c>
      <c r="AT174" s="202" t="str">
        <f t="shared" si="36"/>
        <v/>
      </c>
      <c r="AU174" s="208"/>
      <c r="AV174" s="208"/>
      <c r="AW174" s="208"/>
      <c r="AX174" s="208"/>
      <c r="AY174" s="208"/>
      <c r="AZ174" s="208"/>
      <c r="BA174" s="208"/>
      <c r="BB174" s="208"/>
      <c r="BC174" s="208"/>
      <c r="BD174" s="208"/>
      <c r="BE174" s="208"/>
      <c r="BF174" s="208"/>
      <c r="BG174" s="28"/>
      <c r="BH174" s="28"/>
      <c r="BI174" s="28"/>
      <c r="BJ174" s="28"/>
    </row>
    <row r="175" spans="1:62" s="23" customFormat="1" ht="21" customHeight="1" thickBot="1" x14ac:dyDescent="0.25">
      <c r="A175" s="846" t="str">
        <f>IF($AN175="","",IFERROR(VLOOKUP(CONCATENATE(CTR1_Billing!$E$20,$AN175),'Local Data Previous Year'!$C$3:$D$20000,2,0),CTR1_Billing!$E$21&amp;"NEW"))</f>
        <v/>
      </c>
      <c r="B175" s="846" t="str">
        <f>IF($E175="","",IFERROR(VLOOKUP(CONCATENATE(CTR1_Billing!$E$20,CTR1_Local!$E175),'Local Data Previous Year'!$C$3:$D$20000,2,0),CTR1_Billing!$E$21&amp;"NEW"))</f>
        <v/>
      </c>
      <c r="C175" s="846">
        <v>143</v>
      </c>
      <c r="D175" s="755" t="str" cm="1">
        <f t="array" ref="D175">IF(ISERROR(INDEX('Local Data Previous Year'!$D$3:$D$20000,SMALL(IF(CTR1_Billing!$E$21='Local Data Previous Year'!$A$3:$A$20000,ROW('Local Data Previous Year'!$A$3:$A$20000)-ROW('Local Data Previous Year'!$A$3)+1),ROW(143:143)))),"",INDEX('Local Data Previous Year'!$D$3:$D$20000,SMALL(IF(CTR1_Billing!$E$21='Local Data Previous Year'!$A$3:$A$20000,ROW('Local Data Previous Year'!$A$3:$A$20000)-ROW('Local Data Previous Year'!$A$3)+1),ROW(143:143))))</f>
        <v/>
      </c>
      <c r="E175" s="755" t="str" cm="1">
        <f t="array" ref="E175">IF(ISERROR(INDEX('Local Data Previous Year'!$E$3:$E$20000,SMALL(IF(CTR1_Billing!$E$21='Local Data Previous Year'!$A$3:$A$20000,ROW('Local Data Previous Year'!$A$3:$A$20000)-ROW('Local Data Previous Year'!$A$3)+1),ROW(143:143)))),"",INDEX('Local Data Previous Year'!$E$3:$E$20000,SMALL(IF(CTR1_Billing!$E$21='Local Data Previous Year'!$A$3:$A$20000,ROW('Local Data Previous Year'!$A$3:$A$20000)-ROW('Local Data Previous Year'!$A$3)+1),ROW(143:143))))</f>
        <v/>
      </c>
      <c r="F175" s="756" t="str">
        <f>IF($D175="","",IF(ISNA(MATCH($D175,'Local Data Previous Year'!$D$3:$D$20000,0)),"New",IFERROR(VLOOKUP($B175,'Local Data Previous Year'!$D$3:$I$20000,6,0),"")))</f>
        <v/>
      </c>
      <c r="G175" s="757">
        <f t="shared" si="37"/>
        <v>0</v>
      </c>
      <c r="H175" s="758" t="str">
        <f>IFERROR(INDEX('Local Data Previous Year'!$F:$F, MATCH($D175, 'Local Data Previous Year'!$D:$D, 0)), "")</f>
        <v/>
      </c>
      <c r="I175" s="759">
        <f>IF(B175=CTR1_Billing!$E$21&amp;"NEW",1,0)</f>
        <v>0</v>
      </c>
      <c r="J175" s="760" t="str">
        <f>IFERROR(INDEX('Local Data Previous Year'!$G:$G, MATCH($D175, 'Local Data Previous Year'!$D:$D, 0)), "")</f>
        <v/>
      </c>
      <c r="K175" s="762"/>
      <c r="L175" s="760" t="str">
        <f>IFERROR(INDEX('Local Data Previous Year'!$H:$H, MATCH($D175, 'Local Data Previous Year'!$D:$D, 0)), "")</f>
        <v/>
      </c>
      <c r="M175" s="762"/>
      <c r="N175" s="763"/>
      <c r="O175" s="767"/>
      <c r="P175" s="765"/>
      <c r="Q175" s="767"/>
      <c r="R175" s="766" t="str">
        <f t="shared" si="38"/>
        <v/>
      </c>
      <c r="S175" s="754"/>
      <c r="T175" s="763"/>
      <c r="U175" s="754"/>
      <c r="V175" s="763"/>
      <c r="W175" s="763"/>
      <c r="X175" s="865" t="str">
        <f>VLOOKUP(CTR1_Billing!$E$21,Data!$C$6:$D$302,1,FALSE)</f>
        <v>EZZZZ</v>
      </c>
      <c r="Y175" s="205"/>
      <c r="Z175" s="205">
        <f t="shared" si="26"/>
        <v>0</v>
      </c>
      <c r="AA175" s="206" t="str">
        <f t="shared" si="27"/>
        <v/>
      </c>
      <c r="AB175" s="205">
        <f t="shared" si="28"/>
        <v>0</v>
      </c>
      <c r="AC175" s="208"/>
      <c r="AD175" s="208"/>
      <c r="AE175" s="208"/>
      <c r="AF175" s="208"/>
      <c r="AG175" s="209" t="str">
        <f>IFERROR(INDEX('Local Data Previous Year'!$F:$F, MATCH($D175, 'Local Data Previous Year'!$D:$D, 0)), "")</f>
        <v/>
      </c>
      <c r="AH175" s="209" t="str">
        <f>IFERROR(INDEX('Local Data Previous Year'!$G:$G, MATCH($D175, 'Local Data Previous Year'!$D:$D, 0)), "")</f>
        <v/>
      </c>
      <c r="AI175" s="209" t="str">
        <f>IFERROR(INDEX('Local Data Previous Year'!$H:$H, MATCH($D175, 'Local Data Previous Year'!$D:$D, 0)), "")</f>
        <v/>
      </c>
      <c r="AJ175" s="209" t="str">
        <f t="shared" si="29"/>
        <v/>
      </c>
      <c r="AK175" s="209" t="str">
        <f t="shared" si="30"/>
        <v/>
      </c>
      <c r="AL175" s="209" t="str">
        <f t="shared" si="31"/>
        <v/>
      </c>
      <c r="AM175" s="208" t="str">
        <f>IF($AN175="","",IFERROR(VLOOKUP(CONCATENATE(CTR1_Billing!$E$20,$AN175),'Local Data Previous Year'!$C$3:$D$50000,2,0),CTR1_Billing!$E$21&amp;"NEW"))</f>
        <v/>
      </c>
      <c r="AN175" s="209" t="str" cm="1">
        <f t="array" ref="AN175">IF(ISERROR(INDEX('Local Data Previous Year'!$E$3:$E$50000, SMALL(IF(CTR1_Billing!$E$21='Local Data Previous Year'!$A$3:$A$50000, ROW('Local Data Previous Year'!$A$3:$A$50000)-ROW('Local Data Previous Year'!$A$3)+1), ROW(143:143)))), "", INDEX('Local Data Previous Year'!$E$3:$E$50000, SMALL(IF(CTR1_Billing!$E$21='Local Data Previous Year'!$A$3:$A$50000, ROW('Local Data Previous Year'!$A$3:$A$50000)-ROW('Local Data Previous Year'!$A$3)+1), ROW(143:143))))</f>
        <v/>
      </c>
      <c r="AO175" s="209" t="str">
        <f t="shared" si="32"/>
        <v/>
      </c>
      <c r="AP175" s="208"/>
      <c r="AQ175" s="209" t="str">
        <f t="shared" si="33"/>
        <v/>
      </c>
      <c r="AR175" s="209" t="str">
        <f t="shared" si="34"/>
        <v/>
      </c>
      <c r="AS175" s="202" t="str">
        <f t="shared" si="35"/>
        <v/>
      </c>
      <c r="AT175" s="202" t="str">
        <f t="shared" si="36"/>
        <v/>
      </c>
      <c r="AU175" s="208"/>
      <c r="AV175" s="208"/>
      <c r="AW175" s="208"/>
      <c r="AX175" s="208"/>
      <c r="AY175" s="208"/>
      <c r="AZ175" s="208"/>
      <c r="BA175" s="208"/>
      <c r="BB175" s="208"/>
      <c r="BC175" s="208"/>
      <c r="BD175" s="208"/>
      <c r="BE175" s="208"/>
      <c r="BF175" s="208"/>
      <c r="BG175" s="28"/>
      <c r="BH175" s="28"/>
      <c r="BI175" s="28"/>
      <c r="BJ175" s="28"/>
    </row>
    <row r="176" spans="1:62" s="23" customFormat="1" ht="21" customHeight="1" thickBot="1" x14ac:dyDescent="0.25">
      <c r="A176" s="846" t="str">
        <f>IF($AN176="","",IFERROR(VLOOKUP(CONCATENATE(CTR1_Billing!$E$20,$AN176),'Local Data Previous Year'!$C$3:$D$20000,2,0),CTR1_Billing!$E$21&amp;"NEW"))</f>
        <v/>
      </c>
      <c r="B176" s="846" t="str">
        <f>IF($E176="","",IFERROR(VLOOKUP(CONCATENATE(CTR1_Billing!$E$20,CTR1_Local!$E176),'Local Data Previous Year'!$C$3:$D$20000,2,0),CTR1_Billing!$E$21&amp;"NEW"))</f>
        <v/>
      </c>
      <c r="C176" s="846">
        <v>144</v>
      </c>
      <c r="D176" s="755" t="str" cm="1">
        <f t="array" ref="D176">IF(ISERROR(INDEX('Local Data Previous Year'!$D$3:$D$20000,SMALL(IF(CTR1_Billing!$E$21='Local Data Previous Year'!$A$3:$A$20000,ROW('Local Data Previous Year'!$A$3:$A$20000)-ROW('Local Data Previous Year'!$A$3)+1),ROW(144:144)))),"",INDEX('Local Data Previous Year'!$D$3:$D$20000,SMALL(IF(CTR1_Billing!$E$21='Local Data Previous Year'!$A$3:$A$20000,ROW('Local Data Previous Year'!$A$3:$A$20000)-ROW('Local Data Previous Year'!$A$3)+1),ROW(144:144))))</f>
        <v/>
      </c>
      <c r="E176" s="755" t="str" cm="1">
        <f t="array" ref="E176">IF(ISERROR(INDEX('Local Data Previous Year'!$E$3:$E$20000,SMALL(IF(CTR1_Billing!$E$21='Local Data Previous Year'!$A$3:$A$20000,ROW('Local Data Previous Year'!$A$3:$A$20000)-ROW('Local Data Previous Year'!$A$3)+1),ROW(144:144)))),"",INDEX('Local Data Previous Year'!$E$3:$E$20000,SMALL(IF(CTR1_Billing!$E$21='Local Data Previous Year'!$A$3:$A$20000,ROW('Local Data Previous Year'!$A$3:$A$20000)-ROW('Local Data Previous Year'!$A$3)+1),ROW(144:144))))</f>
        <v/>
      </c>
      <c r="F176" s="756" t="str">
        <f>IF($D176="","",IF(ISNA(MATCH($D176,'Local Data Previous Year'!$D$3:$D$20000,0)),"New",IFERROR(VLOOKUP($B176,'Local Data Previous Year'!$D$3:$I$20000,6,0),"")))</f>
        <v/>
      </c>
      <c r="G176" s="757">
        <f t="shared" si="37"/>
        <v>0</v>
      </c>
      <c r="H176" s="758" t="str">
        <f>IFERROR(INDEX('Local Data Previous Year'!$F:$F, MATCH($D176, 'Local Data Previous Year'!$D:$D, 0)), "")</f>
        <v/>
      </c>
      <c r="I176" s="759">
        <f>IF(B176=CTR1_Billing!$E$21&amp;"NEW",1,0)</f>
        <v>0</v>
      </c>
      <c r="J176" s="760" t="str">
        <f>IFERROR(INDEX('Local Data Previous Year'!$G:$G, MATCH($D176, 'Local Data Previous Year'!$D:$D, 0)), "")</f>
        <v/>
      </c>
      <c r="K176" s="762"/>
      <c r="L176" s="760" t="str">
        <f>IFERROR(INDEX('Local Data Previous Year'!$H:$H, MATCH($D176, 'Local Data Previous Year'!$D:$D, 0)), "")</f>
        <v/>
      </c>
      <c r="M176" s="762"/>
      <c r="N176" s="763"/>
      <c r="O176" s="767"/>
      <c r="P176" s="765"/>
      <c r="Q176" s="767"/>
      <c r="R176" s="766" t="str">
        <f t="shared" si="38"/>
        <v/>
      </c>
      <c r="S176" s="754"/>
      <c r="T176" s="763"/>
      <c r="U176" s="754"/>
      <c r="V176" s="763"/>
      <c r="W176" s="763"/>
      <c r="X176" s="865" t="str">
        <f>VLOOKUP(CTR1_Billing!$E$21,Data!$C$6:$D$302,1,FALSE)</f>
        <v>EZZZZ</v>
      </c>
      <c r="Y176" s="205"/>
      <c r="Z176" s="205">
        <f t="shared" si="26"/>
        <v>0</v>
      </c>
      <c r="AA176" s="206" t="str">
        <f t="shared" si="27"/>
        <v/>
      </c>
      <c r="AB176" s="205">
        <f t="shared" si="28"/>
        <v>0</v>
      </c>
      <c r="AC176" s="208"/>
      <c r="AD176" s="208"/>
      <c r="AE176" s="208"/>
      <c r="AF176" s="208"/>
      <c r="AG176" s="209" t="str">
        <f>IFERROR(INDEX('Local Data Previous Year'!$F:$F, MATCH($D176, 'Local Data Previous Year'!$D:$D, 0)), "")</f>
        <v/>
      </c>
      <c r="AH176" s="209" t="str">
        <f>IFERROR(INDEX('Local Data Previous Year'!$G:$G, MATCH($D176, 'Local Data Previous Year'!$D:$D, 0)), "")</f>
        <v/>
      </c>
      <c r="AI176" s="209" t="str">
        <f>IFERROR(INDEX('Local Data Previous Year'!$H:$H, MATCH($D176, 'Local Data Previous Year'!$D:$D, 0)), "")</f>
        <v/>
      </c>
      <c r="AJ176" s="209" t="str">
        <f t="shared" si="29"/>
        <v/>
      </c>
      <c r="AK176" s="209" t="str">
        <f t="shared" si="30"/>
        <v/>
      </c>
      <c r="AL176" s="209" t="str">
        <f t="shared" si="31"/>
        <v/>
      </c>
      <c r="AM176" s="208" t="str">
        <f>IF($AN176="","",IFERROR(VLOOKUP(CONCATENATE(CTR1_Billing!$E$20,$AN176),'Local Data Previous Year'!$C$3:$D$50000,2,0),CTR1_Billing!$E$21&amp;"NEW"))</f>
        <v/>
      </c>
      <c r="AN176" s="209" t="str" cm="1">
        <f t="array" ref="AN176">IF(ISERROR(INDEX('Local Data Previous Year'!$E$3:$E$50000, SMALL(IF(CTR1_Billing!$E$21='Local Data Previous Year'!$A$3:$A$50000, ROW('Local Data Previous Year'!$A$3:$A$50000)-ROW('Local Data Previous Year'!$A$3)+1), ROW(144:144)))), "", INDEX('Local Data Previous Year'!$E$3:$E$50000, SMALL(IF(CTR1_Billing!$E$21='Local Data Previous Year'!$A$3:$A$50000, ROW('Local Data Previous Year'!$A$3:$A$50000)-ROW('Local Data Previous Year'!$A$3)+1), ROW(144:144))))</f>
        <v/>
      </c>
      <c r="AO176" s="209" t="str">
        <f t="shared" si="32"/>
        <v/>
      </c>
      <c r="AP176" s="208"/>
      <c r="AQ176" s="209" t="str">
        <f t="shared" si="33"/>
        <v/>
      </c>
      <c r="AR176" s="209" t="str">
        <f t="shared" si="34"/>
        <v/>
      </c>
      <c r="AS176" s="202" t="str">
        <f t="shared" si="35"/>
        <v/>
      </c>
      <c r="AT176" s="202" t="str">
        <f t="shared" si="36"/>
        <v/>
      </c>
      <c r="AU176" s="208"/>
      <c r="AV176" s="208"/>
      <c r="AW176" s="208"/>
      <c r="AX176" s="208"/>
      <c r="AY176" s="208"/>
      <c r="AZ176" s="208"/>
      <c r="BA176" s="208"/>
      <c r="BB176" s="208"/>
      <c r="BC176" s="208"/>
      <c r="BD176" s="208"/>
      <c r="BE176" s="208"/>
      <c r="BF176" s="208"/>
      <c r="BG176" s="28"/>
      <c r="BH176" s="28"/>
      <c r="BI176" s="28"/>
      <c r="BJ176" s="28"/>
    </row>
    <row r="177" spans="1:62" s="23" customFormat="1" ht="21" customHeight="1" thickBot="1" x14ac:dyDescent="0.25">
      <c r="A177" s="846" t="str">
        <f>IF($AN177="","",IFERROR(VLOOKUP(CONCATENATE(CTR1_Billing!$E$20,$AN177),'Local Data Previous Year'!$C$3:$D$20000,2,0),CTR1_Billing!$E$21&amp;"NEW"))</f>
        <v/>
      </c>
      <c r="B177" s="846" t="str">
        <f>IF($E177="","",IFERROR(VLOOKUP(CONCATENATE(CTR1_Billing!$E$20,CTR1_Local!$E177),'Local Data Previous Year'!$C$3:$D$20000,2,0),CTR1_Billing!$E$21&amp;"NEW"))</f>
        <v/>
      </c>
      <c r="C177" s="846">
        <v>145</v>
      </c>
      <c r="D177" s="755" t="str" cm="1">
        <f t="array" ref="D177">IF(ISERROR(INDEX('Local Data Previous Year'!$D$3:$D$20000,SMALL(IF(CTR1_Billing!$E$21='Local Data Previous Year'!$A$3:$A$20000,ROW('Local Data Previous Year'!$A$3:$A$20000)-ROW('Local Data Previous Year'!$A$3)+1),ROW(145:145)))),"",INDEX('Local Data Previous Year'!$D$3:$D$20000,SMALL(IF(CTR1_Billing!$E$21='Local Data Previous Year'!$A$3:$A$20000,ROW('Local Data Previous Year'!$A$3:$A$20000)-ROW('Local Data Previous Year'!$A$3)+1),ROW(145:145))))</f>
        <v/>
      </c>
      <c r="E177" s="755" t="str" cm="1">
        <f t="array" ref="E177">IF(ISERROR(INDEX('Local Data Previous Year'!$E$3:$E$20000,SMALL(IF(CTR1_Billing!$E$21='Local Data Previous Year'!$A$3:$A$20000,ROW('Local Data Previous Year'!$A$3:$A$20000)-ROW('Local Data Previous Year'!$A$3)+1),ROW(145:145)))),"",INDEX('Local Data Previous Year'!$E$3:$E$20000,SMALL(IF(CTR1_Billing!$E$21='Local Data Previous Year'!$A$3:$A$20000,ROW('Local Data Previous Year'!$A$3:$A$20000)-ROW('Local Data Previous Year'!$A$3)+1),ROW(145:145))))</f>
        <v/>
      </c>
      <c r="F177" s="756" t="str">
        <f>IF($D177="","",IF(ISNA(MATCH($D177,'Local Data Previous Year'!$D$3:$D$20000,0)),"New",IFERROR(VLOOKUP($B177,'Local Data Previous Year'!$D$3:$I$20000,6,0),"")))</f>
        <v/>
      </c>
      <c r="G177" s="757">
        <f t="shared" si="37"/>
        <v>0</v>
      </c>
      <c r="H177" s="758" t="str">
        <f>IFERROR(INDEX('Local Data Previous Year'!$F:$F, MATCH($D177, 'Local Data Previous Year'!$D:$D, 0)), "")</f>
        <v/>
      </c>
      <c r="I177" s="759">
        <f>IF(B177=CTR1_Billing!$E$21&amp;"NEW",1,0)</f>
        <v>0</v>
      </c>
      <c r="J177" s="760" t="str">
        <f>IFERROR(INDEX('Local Data Previous Year'!$G:$G, MATCH($D177, 'Local Data Previous Year'!$D:$D, 0)), "")</f>
        <v/>
      </c>
      <c r="K177" s="762"/>
      <c r="L177" s="760" t="str">
        <f>IFERROR(INDEX('Local Data Previous Year'!$H:$H, MATCH($D177, 'Local Data Previous Year'!$D:$D, 0)), "")</f>
        <v/>
      </c>
      <c r="M177" s="762"/>
      <c r="N177" s="763"/>
      <c r="O177" s="767"/>
      <c r="P177" s="765"/>
      <c r="Q177" s="767"/>
      <c r="R177" s="766" t="str">
        <f t="shared" si="38"/>
        <v/>
      </c>
      <c r="S177" s="754"/>
      <c r="T177" s="763"/>
      <c r="U177" s="754"/>
      <c r="V177" s="763"/>
      <c r="W177" s="763"/>
      <c r="X177" s="865" t="str">
        <f>VLOOKUP(CTR1_Billing!$E$21,Data!$C$6:$D$302,1,FALSE)</f>
        <v>EZZZZ</v>
      </c>
      <c r="Y177" s="205"/>
      <c r="Z177" s="205">
        <f t="shared" si="26"/>
        <v>0</v>
      </c>
      <c r="AA177" s="206" t="str">
        <f t="shared" si="27"/>
        <v/>
      </c>
      <c r="AB177" s="205">
        <f t="shared" si="28"/>
        <v>0</v>
      </c>
      <c r="AC177" s="208"/>
      <c r="AD177" s="208"/>
      <c r="AE177" s="208"/>
      <c r="AF177" s="208"/>
      <c r="AG177" s="209" t="str">
        <f>IFERROR(INDEX('Local Data Previous Year'!$F:$F, MATCH($D177, 'Local Data Previous Year'!$D:$D, 0)), "")</f>
        <v/>
      </c>
      <c r="AH177" s="209" t="str">
        <f>IFERROR(INDEX('Local Data Previous Year'!$G:$G, MATCH($D177, 'Local Data Previous Year'!$D:$D, 0)), "")</f>
        <v/>
      </c>
      <c r="AI177" s="209" t="str">
        <f>IFERROR(INDEX('Local Data Previous Year'!$H:$H, MATCH($D177, 'Local Data Previous Year'!$D:$D, 0)), "")</f>
        <v/>
      </c>
      <c r="AJ177" s="209" t="str">
        <f t="shared" si="29"/>
        <v/>
      </c>
      <c r="AK177" s="209" t="str">
        <f t="shared" si="30"/>
        <v/>
      </c>
      <c r="AL177" s="209" t="str">
        <f t="shared" si="31"/>
        <v/>
      </c>
      <c r="AM177" s="208" t="str">
        <f>IF($AN177="","",IFERROR(VLOOKUP(CONCATENATE(CTR1_Billing!$E$20,$AN177),'Local Data Previous Year'!$C$3:$D$50000,2,0),CTR1_Billing!$E$21&amp;"NEW"))</f>
        <v/>
      </c>
      <c r="AN177" s="209" t="str" cm="1">
        <f t="array" ref="AN177">IF(ISERROR(INDEX('Local Data Previous Year'!$E$3:$E$50000, SMALL(IF(CTR1_Billing!$E$21='Local Data Previous Year'!$A$3:$A$50000, ROW('Local Data Previous Year'!$A$3:$A$50000)-ROW('Local Data Previous Year'!$A$3)+1), ROW(145:145)))), "", INDEX('Local Data Previous Year'!$E$3:$E$50000, SMALL(IF(CTR1_Billing!$E$21='Local Data Previous Year'!$A$3:$A$50000, ROW('Local Data Previous Year'!$A$3:$A$50000)-ROW('Local Data Previous Year'!$A$3)+1), ROW(145:145))))</f>
        <v/>
      </c>
      <c r="AO177" s="209" t="str">
        <f t="shared" si="32"/>
        <v/>
      </c>
      <c r="AP177" s="208"/>
      <c r="AQ177" s="209" t="str">
        <f t="shared" si="33"/>
        <v/>
      </c>
      <c r="AR177" s="209" t="str">
        <f t="shared" si="34"/>
        <v/>
      </c>
      <c r="AS177" s="202" t="str">
        <f t="shared" si="35"/>
        <v/>
      </c>
      <c r="AT177" s="202" t="str">
        <f t="shared" si="36"/>
        <v/>
      </c>
      <c r="AU177" s="208"/>
      <c r="AV177" s="208"/>
      <c r="AW177" s="208"/>
      <c r="AX177" s="208"/>
      <c r="AY177" s="208"/>
      <c r="AZ177" s="208"/>
      <c r="BA177" s="208"/>
      <c r="BB177" s="208"/>
      <c r="BC177" s="208"/>
      <c r="BD177" s="208"/>
      <c r="BE177" s="208"/>
      <c r="BF177" s="208"/>
      <c r="BG177" s="28"/>
      <c r="BH177" s="28"/>
      <c r="BI177" s="28"/>
      <c r="BJ177" s="28"/>
    </row>
    <row r="178" spans="1:62" s="23" customFormat="1" ht="21" customHeight="1" thickBot="1" x14ac:dyDescent="0.25">
      <c r="A178" s="846" t="str">
        <f>IF($AN178="","",IFERROR(VLOOKUP(CONCATENATE(CTR1_Billing!$E$20,$AN178),'Local Data Previous Year'!$C$3:$D$20000,2,0),CTR1_Billing!$E$21&amp;"NEW"))</f>
        <v/>
      </c>
      <c r="B178" s="846" t="str">
        <f>IF($E178="","",IFERROR(VLOOKUP(CONCATENATE(CTR1_Billing!$E$20,CTR1_Local!$E178),'Local Data Previous Year'!$C$3:$D$20000,2,0),CTR1_Billing!$E$21&amp;"NEW"))</f>
        <v/>
      </c>
      <c r="C178" s="846">
        <v>146</v>
      </c>
      <c r="D178" s="755" t="str" cm="1">
        <f t="array" ref="D178">IF(ISERROR(INDEX('Local Data Previous Year'!$D$3:$D$20000,SMALL(IF(CTR1_Billing!$E$21='Local Data Previous Year'!$A$3:$A$20000,ROW('Local Data Previous Year'!$A$3:$A$20000)-ROW('Local Data Previous Year'!$A$3)+1),ROW(146:146)))),"",INDEX('Local Data Previous Year'!$D$3:$D$20000,SMALL(IF(CTR1_Billing!$E$21='Local Data Previous Year'!$A$3:$A$20000,ROW('Local Data Previous Year'!$A$3:$A$20000)-ROW('Local Data Previous Year'!$A$3)+1),ROW(146:146))))</f>
        <v/>
      </c>
      <c r="E178" s="755" t="str" cm="1">
        <f t="array" ref="E178">IF(ISERROR(INDEX('Local Data Previous Year'!$E$3:$E$20000,SMALL(IF(CTR1_Billing!$E$21='Local Data Previous Year'!$A$3:$A$20000,ROW('Local Data Previous Year'!$A$3:$A$20000)-ROW('Local Data Previous Year'!$A$3)+1),ROW(146:146)))),"",INDEX('Local Data Previous Year'!$E$3:$E$20000,SMALL(IF(CTR1_Billing!$E$21='Local Data Previous Year'!$A$3:$A$20000,ROW('Local Data Previous Year'!$A$3:$A$20000)-ROW('Local Data Previous Year'!$A$3)+1),ROW(146:146))))</f>
        <v/>
      </c>
      <c r="F178" s="756" t="str">
        <f>IF($D178="","",IF(ISNA(MATCH($D178,'Local Data Previous Year'!$D$3:$D$20000,0)),"New",IFERROR(VLOOKUP($B178,'Local Data Previous Year'!$D$3:$I$20000,6,0),"")))</f>
        <v/>
      </c>
      <c r="G178" s="757">
        <f t="shared" si="37"/>
        <v>0</v>
      </c>
      <c r="H178" s="758" t="str">
        <f>IFERROR(INDEX('Local Data Previous Year'!$F:$F, MATCH($D178, 'Local Data Previous Year'!$D:$D, 0)), "")</f>
        <v/>
      </c>
      <c r="I178" s="759">
        <f>IF(B178=CTR1_Billing!$E$21&amp;"NEW",1,0)</f>
        <v>0</v>
      </c>
      <c r="J178" s="760" t="str">
        <f>IFERROR(INDEX('Local Data Previous Year'!$G:$G, MATCH($D178, 'Local Data Previous Year'!$D:$D, 0)), "")</f>
        <v/>
      </c>
      <c r="K178" s="762"/>
      <c r="L178" s="760" t="str">
        <f>IFERROR(INDEX('Local Data Previous Year'!$H:$H, MATCH($D178, 'Local Data Previous Year'!$D:$D, 0)), "")</f>
        <v/>
      </c>
      <c r="M178" s="762"/>
      <c r="N178" s="763"/>
      <c r="O178" s="767"/>
      <c r="P178" s="765"/>
      <c r="Q178" s="767"/>
      <c r="R178" s="766" t="str">
        <f t="shared" si="38"/>
        <v/>
      </c>
      <c r="S178" s="754"/>
      <c r="T178" s="763"/>
      <c r="U178" s="754"/>
      <c r="V178" s="763"/>
      <c r="W178" s="763"/>
      <c r="X178" s="865" t="str">
        <f>VLOOKUP(CTR1_Billing!$E$21,Data!$C$6:$D$302,1,FALSE)</f>
        <v>EZZZZ</v>
      </c>
      <c r="Y178" s="205"/>
      <c r="Z178" s="205">
        <f t="shared" si="26"/>
        <v>0</v>
      </c>
      <c r="AA178" s="206" t="str">
        <f t="shared" si="27"/>
        <v/>
      </c>
      <c r="AB178" s="205">
        <f t="shared" si="28"/>
        <v>0</v>
      </c>
      <c r="AC178" s="208"/>
      <c r="AD178" s="208"/>
      <c r="AE178" s="208"/>
      <c r="AF178" s="208"/>
      <c r="AG178" s="209" t="str">
        <f>IFERROR(INDEX('Local Data Previous Year'!$F:$F, MATCH($D178, 'Local Data Previous Year'!$D:$D, 0)), "")</f>
        <v/>
      </c>
      <c r="AH178" s="209" t="str">
        <f>IFERROR(INDEX('Local Data Previous Year'!$G:$G, MATCH($D178, 'Local Data Previous Year'!$D:$D, 0)), "")</f>
        <v/>
      </c>
      <c r="AI178" s="209" t="str">
        <f>IFERROR(INDEX('Local Data Previous Year'!$H:$H, MATCH($D178, 'Local Data Previous Year'!$D:$D, 0)), "")</f>
        <v/>
      </c>
      <c r="AJ178" s="209" t="str">
        <f t="shared" si="29"/>
        <v/>
      </c>
      <c r="AK178" s="209" t="str">
        <f t="shared" si="30"/>
        <v/>
      </c>
      <c r="AL178" s="209" t="str">
        <f t="shared" si="31"/>
        <v/>
      </c>
      <c r="AM178" s="208" t="str">
        <f>IF($AN178="","",IFERROR(VLOOKUP(CONCATENATE(CTR1_Billing!$E$20,$AN178),'Local Data Previous Year'!$C$3:$D$50000,2,0),CTR1_Billing!$E$21&amp;"NEW"))</f>
        <v/>
      </c>
      <c r="AN178" s="209" t="str" cm="1">
        <f t="array" ref="AN178">IF(ISERROR(INDEX('Local Data Previous Year'!$E$3:$E$50000, SMALL(IF(CTR1_Billing!$E$21='Local Data Previous Year'!$A$3:$A$50000, ROW('Local Data Previous Year'!$A$3:$A$50000)-ROW('Local Data Previous Year'!$A$3)+1), ROW(146:146)))), "", INDEX('Local Data Previous Year'!$E$3:$E$50000, SMALL(IF(CTR1_Billing!$E$21='Local Data Previous Year'!$A$3:$A$50000, ROW('Local Data Previous Year'!$A$3:$A$50000)-ROW('Local Data Previous Year'!$A$3)+1), ROW(146:146))))</f>
        <v/>
      </c>
      <c r="AO178" s="209" t="str">
        <f t="shared" si="32"/>
        <v/>
      </c>
      <c r="AP178" s="208"/>
      <c r="AQ178" s="209" t="str">
        <f t="shared" si="33"/>
        <v/>
      </c>
      <c r="AR178" s="209" t="str">
        <f t="shared" si="34"/>
        <v/>
      </c>
      <c r="AS178" s="202" t="str">
        <f t="shared" si="35"/>
        <v/>
      </c>
      <c r="AT178" s="202" t="str">
        <f t="shared" si="36"/>
        <v/>
      </c>
      <c r="AU178" s="208"/>
      <c r="AV178" s="208"/>
      <c r="AW178" s="208"/>
      <c r="AX178" s="208"/>
      <c r="AY178" s="208"/>
      <c r="AZ178" s="208"/>
      <c r="BA178" s="208"/>
      <c r="BB178" s="208"/>
      <c r="BC178" s="208"/>
      <c r="BD178" s="208"/>
      <c r="BE178" s="208"/>
      <c r="BF178" s="208"/>
      <c r="BG178" s="28"/>
      <c r="BH178" s="28"/>
      <c r="BI178" s="28"/>
      <c r="BJ178" s="28"/>
    </row>
    <row r="179" spans="1:62" s="23" customFormat="1" ht="21" customHeight="1" thickBot="1" x14ac:dyDescent="0.25">
      <c r="A179" s="846" t="str">
        <f>IF($AN179="","",IFERROR(VLOOKUP(CONCATENATE(CTR1_Billing!$E$20,$AN179),'Local Data Previous Year'!$C$3:$D$20000,2,0),CTR1_Billing!$E$21&amp;"NEW"))</f>
        <v/>
      </c>
      <c r="B179" s="846" t="str">
        <f>IF($E179="","",IFERROR(VLOOKUP(CONCATENATE(CTR1_Billing!$E$20,CTR1_Local!$E179),'Local Data Previous Year'!$C$3:$D$20000,2,0),CTR1_Billing!$E$21&amp;"NEW"))</f>
        <v/>
      </c>
      <c r="C179" s="846">
        <v>147</v>
      </c>
      <c r="D179" s="755" t="str" cm="1">
        <f t="array" ref="D179">IF(ISERROR(INDEX('Local Data Previous Year'!$D$3:$D$20000,SMALL(IF(CTR1_Billing!$E$21='Local Data Previous Year'!$A$3:$A$20000,ROW('Local Data Previous Year'!$A$3:$A$20000)-ROW('Local Data Previous Year'!$A$3)+1),ROW(147:147)))),"",INDEX('Local Data Previous Year'!$D$3:$D$20000,SMALL(IF(CTR1_Billing!$E$21='Local Data Previous Year'!$A$3:$A$20000,ROW('Local Data Previous Year'!$A$3:$A$20000)-ROW('Local Data Previous Year'!$A$3)+1),ROW(147:147))))</f>
        <v/>
      </c>
      <c r="E179" s="755" t="str" cm="1">
        <f t="array" ref="E179">IF(ISERROR(INDEX('Local Data Previous Year'!$E$3:$E$20000,SMALL(IF(CTR1_Billing!$E$21='Local Data Previous Year'!$A$3:$A$20000,ROW('Local Data Previous Year'!$A$3:$A$20000)-ROW('Local Data Previous Year'!$A$3)+1),ROW(147:147)))),"",INDEX('Local Data Previous Year'!$E$3:$E$20000,SMALL(IF(CTR1_Billing!$E$21='Local Data Previous Year'!$A$3:$A$20000,ROW('Local Data Previous Year'!$A$3:$A$20000)-ROW('Local Data Previous Year'!$A$3)+1),ROW(147:147))))</f>
        <v/>
      </c>
      <c r="F179" s="756" t="str">
        <f>IF($D179="","",IF(ISNA(MATCH($D179,'Local Data Previous Year'!$D$3:$D$20000,0)),"New",IFERROR(VLOOKUP($B179,'Local Data Previous Year'!$D$3:$I$20000,6,0),"")))</f>
        <v/>
      </c>
      <c r="G179" s="757">
        <f t="shared" si="37"/>
        <v>0</v>
      </c>
      <c r="H179" s="758" t="str">
        <f>IFERROR(INDEX('Local Data Previous Year'!$F:$F, MATCH($D179, 'Local Data Previous Year'!$D:$D, 0)), "")</f>
        <v/>
      </c>
      <c r="I179" s="759">
        <f>IF(B179=CTR1_Billing!$E$21&amp;"NEW",1,0)</f>
        <v>0</v>
      </c>
      <c r="J179" s="760" t="str">
        <f>IFERROR(INDEX('Local Data Previous Year'!$G:$G, MATCH($D179, 'Local Data Previous Year'!$D:$D, 0)), "")</f>
        <v/>
      </c>
      <c r="K179" s="762"/>
      <c r="L179" s="760" t="str">
        <f>IFERROR(INDEX('Local Data Previous Year'!$H:$H, MATCH($D179, 'Local Data Previous Year'!$D:$D, 0)), "")</f>
        <v/>
      </c>
      <c r="M179" s="762"/>
      <c r="N179" s="763"/>
      <c r="O179" s="767"/>
      <c r="P179" s="765"/>
      <c r="Q179" s="767"/>
      <c r="R179" s="766" t="str">
        <f t="shared" si="38"/>
        <v/>
      </c>
      <c r="S179" s="754"/>
      <c r="T179" s="763"/>
      <c r="U179" s="754"/>
      <c r="V179" s="763"/>
      <c r="W179" s="763"/>
      <c r="X179" s="865" t="str">
        <f>VLOOKUP(CTR1_Billing!$E$21,Data!$C$6:$D$302,1,FALSE)</f>
        <v>EZZZZ</v>
      </c>
      <c r="Y179" s="205"/>
      <c r="Z179" s="205">
        <f t="shared" si="26"/>
        <v>0</v>
      </c>
      <c r="AA179" s="206" t="str">
        <f t="shared" si="27"/>
        <v/>
      </c>
      <c r="AB179" s="205">
        <f t="shared" si="28"/>
        <v>0</v>
      </c>
      <c r="AC179" s="208"/>
      <c r="AD179" s="208"/>
      <c r="AE179" s="208"/>
      <c r="AF179" s="208"/>
      <c r="AG179" s="209" t="str">
        <f>IFERROR(INDEX('Local Data Previous Year'!$F:$F, MATCH($D179, 'Local Data Previous Year'!$D:$D, 0)), "")</f>
        <v/>
      </c>
      <c r="AH179" s="209" t="str">
        <f>IFERROR(INDEX('Local Data Previous Year'!$G:$G, MATCH($D179, 'Local Data Previous Year'!$D:$D, 0)), "")</f>
        <v/>
      </c>
      <c r="AI179" s="209" t="str">
        <f>IFERROR(INDEX('Local Data Previous Year'!$H:$H, MATCH($D179, 'Local Data Previous Year'!$D:$D, 0)), "")</f>
        <v/>
      </c>
      <c r="AJ179" s="209" t="str">
        <f t="shared" si="29"/>
        <v/>
      </c>
      <c r="AK179" s="209" t="str">
        <f t="shared" si="30"/>
        <v/>
      </c>
      <c r="AL179" s="209" t="str">
        <f t="shared" si="31"/>
        <v/>
      </c>
      <c r="AM179" s="208" t="str">
        <f>IF($AN179="","",IFERROR(VLOOKUP(CONCATENATE(CTR1_Billing!$E$20,$AN179),'Local Data Previous Year'!$C$3:$D$50000,2,0),CTR1_Billing!$E$21&amp;"NEW"))</f>
        <v/>
      </c>
      <c r="AN179" s="209" t="str" cm="1">
        <f t="array" ref="AN179">IF(ISERROR(INDEX('Local Data Previous Year'!$E$3:$E$50000, SMALL(IF(CTR1_Billing!$E$21='Local Data Previous Year'!$A$3:$A$50000, ROW('Local Data Previous Year'!$A$3:$A$50000)-ROW('Local Data Previous Year'!$A$3)+1), ROW(147:147)))), "", INDEX('Local Data Previous Year'!$E$3:$E$50000, SMALL(IF(CTR1_Billing!$E$21='Local Data Previous Year'!$A$3:$A$50000, ROW('Local Data Previous Year'!$A$3:$A$50000)-ROW('Local Data Previous Year'!$A$3)+1), ROW(147:147))))</f>
        <v/>
      </c>
      <c r="AO179" s="209" t="str">
        <f t="shared" si="32"/>
        <v/>
      </c>
      <c r="AP179" s="208"/>
      <c r="AQ179" s="209" t="str">
        <f t="shared" si="33"/>
        <v/>
      </c>
      <c r="AR179" s="209" t="str">
        <f t="shared" si="34"/>
        <v/>
      </c>
      <c r="AS179" s="202" t="str">
        <f t="shared" si="35"/>
        <v/>
      </c>
      <c r="AT179" s="202" t="str">
        <f t="shared" si="36"/>
        <v/>
      </c>
      <c r="AU179" s="208"/>
      <c r="AV179" s="208"/>
      <c r="AW179" s="208"/>
      <c r="AX179" s="208"/>
      <c r="AY179" s="208"/>
      <c r="AZ179" s="208"/>
      <c r="BA179" s="208"/>
      <c r="BB179" s="208"/>
      <c r="BC179" s="208"/>
      <c r="BD179" s="208"/>
      <c r="BE179" s="208"/>
      <c r="BF179" s="208"/>
      <c r="BG179" s="28"/>
      <c r="BH179" s="28"/>
      <c r="BI179" s="28"/>
      <c r="BJ179" s="28"/>
    </row>
    <row r="180" spans="1:62" s="23" customFormat="1" ht="21" customHeight="1" thickBot="1" x14ac:dyDescent="0.25">
      <c r="A180" s="846" t="str">
        <f>IF($AN180="","",IFERROR(VLOOKUP(CONCATENATE(CTR1_Billing!$E$20,$AN180),'Local Data Previous Year'!$C$3:$D$20000,2,0),CTR1_Billing!$E$21&amp;"NEW"))</f>
        <v/>
      </c>
      <c r="B180" s="846" t="str">
        <f>IF($E180="","",IFERROR(VLOOKUP(CONCATENATE(CTR1_Billing!$E$20,CTR1_Local!$E180),'Local Data Previous Year'!$C$3:$D$20000,2,0),CTR1_Billing!$E$21&amp;"NEW"))</f>
        <v/>
      </c>
      <c r="C180" s="846">
        <v>148</v>
      </c>
      <c r="D180" s="755" t="str" cm="1">
        <f t="array" ref="D180">IF(ISERROR(INDEX('Local Data Previous Year'!$D$3:$D$20000,SMALL(IF(CTR1_Billing!$E$21='Local Data Previous Year'!$A$3:$A$20000,ROW('Local Data Previous Year'!$A$3:$A$20000)-ROW('Local Data Previous Year'!$A$3)+1),ROW(148:148)))),"",INDEX('Local Data Previous Year'!$D$3:$D$20000,SMALL(IF(CTR1_Billing!$E$21='Local Data Previous Year'!$A$3:$A$20000,ROW('Local Data Previous Year'!$A$3:$A$20000)-ROW('Local Data Previous Year'!$A$3)+1),ROW(148:148))))</f>
        <v/>
      </c>
      <c r="E180" s="755" t="str" cm="1">
        <f t="array" ref="E180">IF(ISERROR(INDEX('Local Data Previous Year'!$E$3:$E$20000,SMALL(IF(CTR1_Billing!$E$21='Local Data Previous Year'!$A$3:$A$20000,ROW('Local Data Previous Year'!$A$3:$A$20000)-ROW('Local Data Previous Year'!$A$3)+1),ROW(148:148)))),"",INDEX('Local Data Previous Year'!$E$3:$E$20000,SMALL(IF(CTR1_Billing!$E$21='Local Data Previous Year'!$A$3:$A$20000,ROW('Local Data Previous Year'!$A$3:$A$20000)-ROW('Local Data Previous Year'!$A$3)+1),ROW(148:148))))</f>
        <v/>
      </c>
      <c r="F180" s="756" t="str">
        <f>IF($D180="","",IF(ISNA(MATCH($D180,'Local Data Previous Year'!$D$3:$D$20000,0)),"New",IFERROR(VLOOKUP($B180,'Local Data Previous Year'!$D$3:$I$20000,6,0),"")))</f>
        <v/>
      </c>
      <c r="G180" s="757">
        <f t="shared" si="37"/>
        <v>0</v>
      </c>
      <c r="H180" s="758" t="str">
        <f>IFERROR(INDEX('Local Data Previous Year'!$F:$F, MATCH($D180, 'Local Data Previous Year'!$D:$D, 0)), "")</f>
        <v/>
      </c>
      <c r="I180" s="759">
        <f>IF(B180=CTR1_Billing!$E$21&amp;"NEW",1,0)</f>
        <v>0</v>
      </c>
      <c r="J180" s="760" t="str">
        <f>IFERROR(INDEX('Local Data Previous Year'!$G:$G, MATCH($D180, 'Local Data Previous Year'!$D:$D, 0)), "")</f>
        <v/>
      </c>
      <c r="K180" s="762"/>
      <c r="L180" s="760" t="str">
        <f>IFERROR(INDEX('Local Data Previous Year'!$H:$H, MATCH($D180, 'Local Data Previous Year'!$D:$D, 0)), "")</f>
        <v/>
      </c>
      <c r="M180" s="762"/>
      <c r="N180" s="763"/>
      <c r="O180" s="767"/>
      <c r="P180" s="765"/>
      <c r="Q180" s="767"/>
      <c r="R180" s="766" t="str">
        <f t="shared" si="38"/>
        <v/>
      </c>
      <c r="S180" s="754"/>
      <c r="T180" s="763"/>
      <c r="U180" s="754"/>
      <c r="V180" s="763"/>
      <c r="W180" s="763"/>
      <c r="X180" s="865" t="str">
        <f>VLOOKUP(CTR1_Billing!$E$21,Data!$C$6:$D$302,1,FALSE)</f>
        <v>EZZZZ</v>
      </c>
      <c r="Y180" s="205"/>
      <c r="Z180" s="205">
        <f t="shared" si="26"/>
        <v>0</v>
      </c>
      <c r="AA180" s="206" t="str">
        <f t="shared" si="27"/>
        <v/>
      </c>
      <c r="AB180" s="205">
        <f t="shared" si="28"/>
        <v>0</v>
      </c>
      <c r="AC180" s="208"/>
      <c r="AD180" s="208"/>
      <c r="AE180" s="208"/>
      <c r="AF180" s="208"/>
      <c r="AG180" s="209" t="str">
        <f>IFERROR(INDEX('Local Data Previous Year'!$F:$F, MATCH($D180, 'Local Data Previous Year'!$D:$D, 0)), "")</f>
        <v/>
      </c>
      <c r="AH180" s="209" t="str">
        <f>IFERROR(INDEX('Local Data Previous Year'!$G:$G, MATCH($D180, 'Local Data Previous Year'!$D:$D, 0)), "")</f>
        <v/>
      </c>
      <c r="AI180" s="209" t="str">
        <f>IFERROR(INDEX('Local Data Previous Year'!$H:$H, MATCH($D180, 'Local Data Previous Year'!$D:$D, 0)), "")</f>
        <v/>
      </c>
      <c r="AJ180" s="209" t="str">
        <f t="shared" si="29"/>
        <v/>
      </c>
      <c r="AK180" s="209" t="str">
        <f t="shared" si="30"/>
        <v/>
      </c>
      <c r="AL180" s="209" t="str">
        <f t="shared" si="31"/>
        <v/>
      </c>
      <c r="AM180" s="208" t="str">
        <f>IF($AN180="","",IFERROR(VLOOKUP(CONCATENATE(CTR1_Billing!$E$20,$AN180),'Local Data Previous Year'!$C$3:$D$50000,2,0),CTR1_Billing!$E$21&amp;"NEW"))</f>
        <v/>
      </c>
      <c r="AN180" s="209" t="str" cm="1">
        <f t="array" ref="AN180">IF(ISERROR(INDEX('Local Data Previous Year'!$E$3:$E$50000, SMALL(IF(CTR1_Billing!$E$21='Local Data Previous Year'!$A$3:$A$50000, ROW('Local Data Previous Year'!$A$3:$A$50000)-ROW('Local Data Previous Year'!$A$3)+1), ROW(148:148)))), "", INDEX('Local Data Previous Year'!$E$3:$E$50000, SMALL(IF(CTR1_Billing!$E$21='Local Data Previous Year'!$A$3:$A$50000, ROW('Local Data Previous Year'!$A$3:$A$50000)-ROW('Local Data Previous Year'!$A$3)+1), ROW(148:148))))</f>
        <v/>
      </c>
      <c r="AO180" s="209" t="str">
        <f t="shared" si="32"/>
        <v/>
      </c>
      <c r="AP180" s="208"/>
      <c r="AQ180" s="209" t="str">
        <f t="shared" si="33"/>
        <v/>
      </c>
      <c r="AR180" s="209" t="str">
        <f t="shared" si="34"/>
        <v/>
      </c>
      <c r="AS180" s="202" t="str">
        <f t="shared" si="35"/>
        <v/>
      </c>
      <c r="AT180" s="202" t="str">
        <f t="shared" si="36"/>
        <v/>
      </c>
      <c r="AU180" s="208"/>
      <c r="AV180" s="208"/>
      <c r="AW180" s="208"/>
      <c r="AX180" s="208"/>
      <c r="AY180" s="208"/>
      <c r="AZ180" s="208"/>
      <c r="BA180" s="208"/>
      <c r="BB180" s="208"/>
      <c r="BC180" s="208"/>
      <c r="BD180" s="208"/>
      <c r="BE180" s="208"/>
      <c r="BF180" s="208"/>
      <c r="BG180" s="28"/>
      <c r="BH180" s="28"/>
      <c r="BI180" s="28"/>
      <c r="BJ180" s="28"/>
    </row>
    <row r="181" spans="1:62" s="23" customFormat="1" ht="21" customHeight="1" thickBot="1" x14ac:dyDescent="0.25">
      <c r="A181" s="846" t="str">
        <f>IF($AN181="","",IFERROR(VLOOKUP(CONCATENATE(CTR1_Billing!$E$20,$AN181),'Local Data Previous Year'!$C$3:$D$20000,2,0),CTR1_Billing!$E$21&amp;"NEW"))</f>
        <v/>
      </c>
      <c r="B181" s="846" t="str">
        <f>IF($E181="","",IFERROR(VLOOKUP(CONCATENATE(CTR1_Billing!$E$20,CTR1_Local!$E181),'Local Data Previous Year'!$C$3:$D$20000,2,0),CTR1_Billing!$E$21&amp;"NEW"))</f>
        <v/>
      </c>
      <c r="C181" s="846">
        <v>149</v>
      </c>
      <c r="D181" s="755" t="str" cm="1">
        <f t="array" ref="D181">IF(ISERROR(INDEX('Local Data Previous Year'!$D$3:$D$20000,SMALL(IF(CTR1_Billing!$E$21='Local Data Previous Year'!$A$3:$A$20000,ROW('Local Data Previous Year'!$A$3:$A$20000)-ROW('Local Data Previous Year'!$A$3)+1),ROW(149:149)))),"",INDEX('Local Data Previous Year'!$D$3:$D$20000,SMALL(IF(CTR1_Billing!$E$21='Local Data Previous Year'!$A$3:$A$20000,ROW('Local Data Previous Year'!$A$3:$A$20000)-ROW('Local Data Previous Year'!$A$3)+1),ROW(149:149))))</f>
        <v/>
      </c>
      <c r="E181" s="755" t="str" cm="1">
        <f t="array" ref="E181">IF(ISERROR(INDEX('Local Data Previous Year'!$E$3:$E$20000,SMALL(IF(CTR1_Billing!$E$21='Local Data Previous Year'!$A$3:$A$20000,ROW('Local Data Previous Year'!$A$3:$A$20000)-ROW('Local Data Previous Year'!$A$3)+1),ROW(149:149)))),"",INDEX('Local Data Previous Year'!$E$3:$E$20000,SMALL(IF(CTR1_Billing!$E$21='Local Data Previous Year'!$A$3:$A$20000,ROW('Local Data Previous Year'!$A$3:$A$20000)-ROW('Local Data Previous Year'!$A$3)+1),ROW(149:149))))</f>
        <v/>
      </c>
      <c r="F181" s="756" t="str">
        <f>IF($D181="","",IF(ISNA(MATCH($D181,'Local Data Previous Year'!$D$3:$D$20000,0)),"New",IFERROR(VLOOKUP($B181,'Local Data Previous Year'!$D$3:$I$20000,6,0),"")))</f>
        <v/>
      </c>
      <c r="G181" s="757">
        <f t="shared" si="37"/>
        <v>0</v>
      </c>
      <c r="H181" s="758" t="str">
        <f>IFERROR(INDEX('Local Data Previous Year'!$F:$F, MATCH($D181, 'Local Data Previous Year'!$D:$D, 0)), "")</f>
        <v/>
      </c>
      <c r="I181" s="759">
        <f>IF(B181=CTR1_Billing!$E$21&amp;"NEW",1,0)</f>
        <v>0</v>
      </c>
      <c r="J181" s="760" t="str">
        <f>IFERROR(INDEX('Local Data Previous Year'!$G:$G, MATCH($D181, 'Local Data Previous Year'!$D:$D, 0)), "")</f>
        <v/>
      </c>
      <c r="K181" s="762"/>
      <c r="L181" s="760" t="str">
        <f>IFERROR(INDEX('Local Data Previous Year'!$H:$H, MATCH($D181, 'Local Data Previous Year'!$D:$D, 0)), "")</f>
        <v/>
      </c>
      <c r="M181" s="762"/>
      <c r="N181" s="763"/>
      <c r="O181" s="767"/>
      <c r="P181" s="765"/>
      <c r="Q181" s="767"/>
      <c r="R181" s="766" t="str">
        <f t="shared" si="38"/>
        <v/>
      </c>
      <c r="S181" s="754"/>
      <c r="T181" s="763"/>
      <c r="U181" s="754"/>
      <c r="V181" s="763"/>
      <c r="W181" s="763"/>
      <c r="X181" s="865" t="str">
        <f>VLOOKUP(CTR1_Billing!$E$21,Data!$C$6:$D$302,1,FALSE)</f>
        <v>EZZZZ</v>
      </c>
      <c r="Y181" s="205"/>
      <c r="Z181" s="205">
        <f t="shared" si="26"/>
        <v>0</v>
      </c>
      <c r="AA181" s="206" t="str">
        <f t="shared" si="27"/>
        <v/>
      </c>
      <c r="AB181" s="205">
        <f t="shared" si="28"/>
        <v>0</v>
      </c>
      <c r="AC181" s="208"/>
      <c r="AD181" s="208"/>
      <c r="AE181" s="208"/>
      <c r="AF181" s="208"/>
      <c r="AG181" s="209" t="str">
        <f>IFERROR(INDEX('Local Data Previous Year'!$F:$F, MATCH($D181, 'Local Data Previous Year'!$D:$D, 0)), "")</f>
        <v/>
      </c>
      <c r="AH181" s="209" t="str">
        <f>IFERROR(INDEX('Local Data Previous Year'!$G:$G, MATCH($D181, 'Local Data Previous Year'!$D:$D, 0)), "")</f>
        <v/>
      </c>
      <c r="AI181" s="209" t="str">
        <f>IFERROR(INDEX('Local Data Previous Year'!$H:$H, MATCH($D181, 'Local Data Previous Year'!$D:$D, 0)), "")</f>
        <v/>
      </c>
      <c r="AJ181" s="209" t="str">
        <f t="shared" si="29"/>
        <v/>
      </c>
      <c r="AK181" s="209" t="str">
        <f t="shared" si="30"/>
        <v/>
      </c>
      <c r="AL181" s="209" t="str">
        <f t="shared" si="31"/>
        <v/>
      </c>
      <c r="AM181" s="208" t="str">
        <f>IF($AN181="","",IFERROR(VLOOKUP(CONCATENATE(CTR1_Billing!$E$20,$AN181),'Local Data Previous Year'!$C$3:$D$50000,2,0),CTR1_Billing!$E$21&amp;"NEW"))</f>
        <v/>
      </c>
      <c r="AN181" s="209" t="str" cm="1">
        <f t="array" ref="AN181">IF(ISERROR(INDEX('Local Data Previous Year'!$E$3:$E$50000, SMALL(IF(CTR1_Billing!$E$21='Local Data Previous Year'!$A$3:$A$50000, ROW('Local Data Previous Year'!$A$3:$A$50000)-ROW('Local Data Previous Year'!$A$3)+1), ROW(149:149)))), "", INDEX('Local Data Previous Year'!$E$3:$E$50000, SMALL(IF(CTR1_Billing!$E$21='Local Data Previous Year'!$A$3:$A$50000, ROW('Local Data Previous Year'!$A$3:$A$50000)-ROW('Local Data Previous Year'!$A$3)+1), ROW(149:149))))</f>
        <v/>
      </c>
      <c r="AO181" s="209" t="str">
        <f t="shared" si="32"/>
        <v/>
      </c>
      <c r="AP181" s="208"/>
      <c r="AQ181" s="209" t="str">
        <f t="shared" si="33"/>
        <v/>
      </c>
      <c r="AR181" s="209" t="str">
        <f t="shared" si="34"/>
        <v/>
      </c>
      <c r="AS181" s="202" t="str">
        <f t="shared" si="35"/>
        <v/>
      </c>
      <c r="AT181" s="202" t="str">
        <f t="shared" si="36"/>
        <v/>
      </c>
      <c r="AU181" s="208"/>
      <c r="AV181" s="208"/>
      <c r="AW181" s="208"/>
      <c r="AX181" s="208"/>
      <c r="AY181" s="208"/>
      <c r="AZ181" s="208"/>
      <c r="BA181" s="208"/>
      <c r="BB181" s="208"/>
      <c r="BC181" s="208"/>
      <c r="BD181" s="208"/>
      <c r="BE181" s="208"/>
      <c r="BF181" s="208"/>
      <c r="BG181" s="28"/>
      <c r="BH181" s="28"/>
      <c r="BI181" s="28"/>
      <c r="BJ181" s="28"/>
    </row>
    <row r="182" spans="1:62" s="23" customFormat="1" ht="21" customHeight="1" thickBot="1" x14ac:dyDescent="0.25">
      <c r="A182" s="846" t="str">
        <f>IF($AN182="","",IFERROR(VLOOKUP(CONCATENATE(CTR1_Billing!$E$20,$AN182),'Local Data Previous Year'!$C$3:$D$20000,2,0),CTR1_Billing!$E$21&amp;"NEW"))</f>
        <v/>
      </c>
      <c r="B182" s="846" t="str">
        <f>IF($E182="","",IFERROR(VLOOKUP(CONCATENATE(CTR1_Billing!$E$20,CTR1_Local!$E182),'Local Data Previous Year'!$C$3:$D$20000,2,0),CTR1_Billing!$E$21&amp;"NEW"))</f>
        <v/>
      </c>
      <c r="C182" s="846">
        <v>150</v>
      </c>
      <c r="D182" s="755" t="str" cm="1">
        <f t="array" ref="D182">IF(ISERROR(INDEX('Local Data Previous Year'!$D$3:$D$20000,SMALL(IF(CTR1_Billing!$E$21='Local Data Previous Year'!$A$3:$A$20000,ROW('Local Data Previous Year'!$A$3:$A$20000)-ROW('Local Data Previous Year'!$A$3)+1),ROW(150:150)))),"",INDEX('Local Data Previous Year'!$D$3:$D$20000,SMALL(IF(CTR1_Billing!$E$21='Local Data Previous Year'!$A$3:$A$20000,ROW('Local Data Previous Year'!$A$3:$A$20000)-ROW('Local Data Previous Year'!$A$3)+1),ROW(150:150))))</f>
        <v/>
      </c>
      <c r="E182" s="755" t="str" cm="1">
        <f t="array" ref="E182">IF(ISERROR(INDEX('Local Data Previous Year'!$E$3:$E$20000,SMALL(IF(CTR1_Billing!$E$21='Local Data Previous Year'!$A$3:$A$20000,ROW('Local Data Previous Year'!$A$3:$A$20000)-ROW('Local Data Previous Year'!$A$3)+1),ROW(150:150)))),"",INDEX('Local Data Previous Year'!$E$3:$E$20000,SMALL(IF(CTR1_Billing!$E$21='Local Data Previous Year'!$A$3:$A$20000,ROW('Local Data Previous Year'!$A$3:$A$20000)-ROW('Local Data Previous Year'!$A$3)+1),ROW(150:150))))</f>
        <v/>
      </c>
      <c r="F182" s="756" t="str">
        <f>IF($D182="","",IF(ISNA(MATCH($D182,'Local Data Previous Year'!$D$3:$D$20000,0)),"New",IFERROR(VLOOKUP($B182,'Local Data Previous Year'!$D$3:$I$20000,6,0),"")))</f>
        <v/>
      </c>
      <c r="G182" s="757">
        <f t="shared" si="37"/>
        <v>0</v>
      </c>
      <c r="H182" s="758" t="str">
        <f>IFERROR(INDEX('Local Data Previous Year'!$F:$F, MATCH($D182, 'Local Data Previous Year'!$D:$D, 0)), "")</f>
        <v/>
      </c>
      <c r="I182" s="759">
        <f>IF(B182=CTR1_Billing!$E$21&amp;"NEW",1,0)</f>
        <v>0</v>
      </c>
      <c r="J182" s="760" t="str">
        <f>IFERROR(INDEX('Local Data Previous Year'!$G:$G, MATCH($D182, 'Local Data Previous Year'!$D:$D, 0)), "")</f>
        <v/>
      </c>
      <c r="K182" s="762"/>
      <c r="L182" s="760" t="str">
        <f>IFERROR(INDEX('Local Data Previous Year'!$H:$H, MATCH($D182, 'Local Data Previous Year'!$D:$D, 0)), "")</f>
        <v/>
      </c>
      <c r="M182" s="762"/>
      <c r="N182" s="763"/>
      <c r="O182" s="767"/>
      <c r="P182" s="765"/>
      <c r="Q182" s="767"/>
      <c r="R182" s="766" t="str">
        <f t="shared" si="38"/>
        <v/>
      </c>
      <c r="S182" s="754"/>
      <c r="T182" s="763"/>
      <c r="U182" s="754"/>
      <c r="V182" s="763"/>
      <c r="W182" s="763"/>
      <c r="X182" s="865" t="str">
        <f>VLOOKUP(CTR1_Billing!$E$21,Data!$C$6:$D$302,1,FALSE)</f>
        <v>EZZZZ</v>
      </c>
      <c r="Y182" s="205"/>
      <c r="Z182" s="205">
        <f t="shared" si="26"/>
        <v>0</v>
      </c>
      <c r="AA182" s="206" t="str">
        <f t="shared" si="27"/>
        <v/>
      </c>
      <c r="AB182" s="205">
        <f t="shared" si="28"/>
        <v>0</v>
      </c>
      <c r="AC182" s="208"/>
      <c r="AD182" s="208"/>
      <c r="AE182" s="208"/>
      <c r="AF182" s="208"/>
      <c r="AG182" s="209" t="str">
        <f>IFERROR(INDEX('Local Data Previous Year'!$F:$F, MATCH($D182, 'Local Data Previous Year'!$D:$D, 0)), "")</f>
        <v/>
      </c>
      <c r="AH182" s="209" t="str">
        <f>IFERROR(INDEX('Local Data Previous Year'!$G:$G, MATCH($D182, 'Local Data Previous Year'!$D:$D, 0)), "")</f>
        <v/>
      </c>
      <c r="AI182" s="209" t="str">
        <f>IFERROR(INDEX('Local Data Previous Year'!$H:$H, MATCH($D182, 'Local Data Previous Year'!$D:$D, 0)), "")</f>
        <v/>
      </c>
      <c r="AJ182" s="209" t="str">
        <f t="shared" si="29"/>
        <v/>
      </c>
      <c r="AK182" s="209" t="str">
        <f t="shared" si="30"/>
        <v/>
      </c>
      <c r="AL182" s="209" t="str">
        <f t="shared" si="31"/>
        <v/>
      </c>
      <c r="AM182" s="208" t="str">
        <f>IF($AN182="","",IFERROR(VLOOKUP(CONCATENATE(CTR1_Billing!$E$20,$AN182),'Local Data Previous Year'!$C$3:$D$50000,2,0),CTR1_Billing!$E$21&amp;"NEW"))</f>
        <v/>
      </c>
      <c r="AN182" s="209" t="str" cm="1">
        <f t="array" ref="AN182">IF(ISERROR(INDEX('Local Data Previous Year'!$E$3:$E$50000, SMALL(IF(CTR1_Billing!$E$21='Local Data Previous Year'!$A$3:$A$50000, ROW('Local Data Previous Year'!$A$3:$A$50000)-ROW('Local Data Previous Year'!$A$3)+1), ROW(150:150)))), "", INDEX('Local Data Previous Year'!$E$3:$E$50000, SMALL(IF(CTR1_Billing!$E$21='Local Data Previous Year'!$A$3:$A$50000, ROW('Local Data Previous Year'!$A$3:$A$50000)-ROW('Local Data Previous Year'!$A$3)+1), ROW(150:150))))</f>
        <v/>
      </c>
      <c r="AO182" s="209" t="str">
        <f t="shared" si="32"/>
        <v/>
      </c>
      <c r="AP182" s="208"/>
      <c r="AQ182" s="209" t="str">
        <f t="shared" si="33"/>
        <v/>
      </c>
      <c r="AR182" s="209" t="str">
        <f t="shared" si="34"/>
        <v/>
      </c>
      <c r="AS182" s="202" t="str">
        <f t="shared" si="35"/>
        <v/>
      </c>
      <c r="AT182" s="202" t="str">
        <f t="shared" si="36"/>
        <v/>
      </c>
      <c r="AU182" s="208"/>
      <c r="AV182" s="208"/>
      <c r="AW182" s="208"/>
      <c r="AX182" s="208"/>
      <c r="AY182" s="208"/>
      <c r="AZ182" s="208"/>
      <c r="BA182" s="208"/>
      <c r="BB182" s="208"/>
      <c r="BC182" s="208"/>
      <c r="BD182" s="208"/>
      <c r="BE182" s="208"/>
      <c r="BF182" s="208"/>
      <c r="BG182" s="28"/>
      <c r="BH182" s="28"/>
      <c r="BI182" s="28"/>
      <c r="BJ182" s="28"/>
    </row>
    <row r="183" spans="1:62" s="23" customFormat="1" ht="21" customHeight="1" thickBot="1" x14ac:dyDescent="0.25">
      <c r="A183" s="846" t="str">
        <f>IF($AN183="","",IFERROR(VLOOKUP(CONCATENATE(CTR1_Billing!$E$20,$AN183),'Local Data Previous Year'!$C$3:$D$20000,2,0),CTR1_Billing!$E$21&amp;"NEW"))</f>
        <v/>
      </c>
      <c r="B183" s="846" t="str">
        <f>IF($E183="","",IFERROR(VLOOKUP(CONCATENATE(CTR1_Billing!$E$20,CTR1_Local!$E183),'Local Data Previous Year'!$C$3:$D$20000,2,0),CTR1_Billing!$E$21&amp;"NEW"))</f>
        <v/>
      </c>
      <c r="C183" s="846">
        <v>151</v>
      </c>
      <c r="D183" s="755" t="str" cm="1">
        <f t="array" ref="D183">IF(ISERROR(INDEX('Local Data Previous Year'!$D$3:$D$20000,SMALL(IF(CTR1_Billing!$E$21='Local Data Previous Year'!$A$3:$A$20000,ROW('Local Data Previous Year'!$A$3:$A$20000)-ROW('Local Data Previous Year'!$A$3)+1),ROW(151:151)))),"",INDEX('Local Data Previous Year'!$D$3:$D$20000,SMALL(IF(CTR1_Billing!$E$21='Local Data Previous Year'!$A$3:$A$20000,ROW('Local Data Previous Year'!$A$3:$A$20000)-ROW('Local Data Previous Year'!$A$3)+1),ROW(151:151))))</f>
        <v/>
      </c>
      <c r="E183" s="755" t="str" cm="1">
        <f t="array" ref="E183">IF(ISERROR(INDEX('Local Data Previous Year'!$E$3:$E$20000,SMALL(IF(CTR1_Billing!$E$21='Local Data Previous Year'!$A$3:$A$20000,ROW('Local Data Previous Year'!$A$3:$A$20000)-ROW('Local Data Previous Year'!$A$3)+1),ROW(151:151)))),"",INDEX('Local Data Previous Year'!$E$3:$E$20000,SMALL(IF(CTR1_Billing!$E$21='Local Data Previous Year'!$A$3:$A$20000,ROW('Local Data Previous Year'!$A$3:$A$20000)-ROW('Local Data Previous Year'!$A$3)+1),ROW(151:151))))</f>
        <v/>
      </c>
      <c r="F183" s="756" t="str">
        <f>IF($D183="","",IF(ISNA(MATCH($D183,'Local Data Previous Year'!$D$3:$D$20000,0)),"New",IFERROR(VLOOKUP($B183,'Local Data Previous Year'!$D$3:$I$20000,6,0),"")))</f>
        <v/>
      </c>
      <c r="G183" s="757">
        <f t="shared" si="37"/>
        <v>0</v>
      </c>
      <c r="H183" s="758" t="str">
        <f>IFERROR(INDEX('Local Data Previous Year'!$F:$F, MATCH($D183, 'Local Data Previous Year'!$D:$D, 0)), "")</f>
        <v/>
      </c>
      <c r="I183" s="759">
        <f>IF(B183=CTR1_Billing!$E$21&amp;"NEW",1,0)</f>
        <v>0</v>
      </c>
      <c r="J183" s="760" t="str">
        <f>IFERROR(INDEX('Local Data Previous Year'!$G:$G, MATCH($D183, 'Local Data Previous Year'!$D:$D, 0)), "")</f>
        <v/>
      </c>
      <c r="K183" s="762"/>
      <c r="L183" s="760" t="str">
        <f>IFERROR(INDEX('Local Data Previous Year'!$H:$H, MATCH($D183, 'Local Data Previous Year'!$D:$D, 0)), "")</f>
        <v/>
      </c>
      <c r="M183" s="762"/>
      <c r="N183" s="763"/>
      <c r="O183" s="767"/>
      <c r="P183" s="765"/>
      <c r="Q183" s="767"/>
      <c r="R183" s="766" t="str">
        <f t="shared" si="38"/>
        <v/>
      </c>
      <c r="S183" s="754"/>
      <c r="T183" s="763"/>
      <c r="U183" s="754"/>
      <c r="V183" s="763"/>
      <c r="W183" s="763"/>
      <c r="X183" s="865" t="str">
        <f>VLOOKUP(CTR1_Billing!$E$21,Data!$C$6:$D$302,1,FALSE)</f>
        <v>EZZZZ</v>
      </c>
      <c r="Y183" s="205"/>
      <c r="Z183" s="205">
        <f t="shared" si="26"/>
        <v>0</v>
      </c>
      <c r="AA183" s="206" t="str">
        <f t="shared" si="27"/>
        <v/>
      </c>
      <c r="AB183" s="205">
        <f t="shared" si="28"/>
        <v>0</v>
      </c>
      <c r="AC183" s="208"/>
      <c r="AD183" s="208"/>
      <c r="AE183" s="208"/>
      <c r="AF183" s="208"/>
      <c r="AG183" s="209" t="str">
        <f>IFERROR(INDEX('Local Data Previous Year'!$F:$F, MATCH($D183, 'Local Data Previous Year'!$D:$D, 0)), "")</f>
        <v/>
      </c>
      <c r="AH183" s="209" t="str">
        <f>IFERROR(INDEX('Local Data Previous Year'!$G:$G, MATCH($D183, 'Local Data Previous Year'!$D:$D, 0)), "")</f>
        <v/>
      </c>
      <c r="AI183" s="209" t="str">
        <f>IFERROR(INDEX('Local Data Previous Year'!$H:$H, MATCH($D183, 'Local Data Previous Year'!$D:$D, 0)), "")</f>
        <v/>
      </c>
      <c r="AJ183" s="209" t="str">
        <f t="shared" si="29"/>
        <v/>
      </c>
      <c r="AK183" s="209" t="str">
        <f t="shared" si="30"/>
        <v/>
      </c>
      <c r="AL183" s="209" t="str">
        <f t="shared" si="31"/>
        <v/>
      </c>
      <c r="AM183" s="208" t="str">
        <f>IF($AN183="","",IFERROR(VLOOKUP(CONCATENATE(CTR1_Billing!$E$20,$AN183),'Local Data Previous Year'!$C$3:$D$50000,2,0),CTR1_Billing!$E$21&amp;"NEW"))</f>
        <v/>
      </c>
      <c r="AN183" s="209" t="str" cm="1">
        <f t="array" ref="AN183">IF(ISERROR(INDEX('Local Data Previous Year'!$E$3:$E$50000, SMALL(IF(CTR1_Billing!$E$21='Local Data Previous Year'!$A$3:$A$50000, ROW('Local Data Previous Year'!$A$3:$A$50000)-ROW('Local Data Previous Year'!$A$3)+1), ROW(151:151)))), "", INDEX('Local Data Previous Year'!$E$3:$E$50000, SMALL(IF(CTR1_Billing!$E$21='Local Data Previous Year'!$A$3:$A$50000, ROW('Local Data Previous Year'!$A$3:$A$50000)-ROW('Local Data Previous Year'!$A$3)+1), ROW(151:151))))</f>
        <v/>
      </c>
      <c r="AO183" s="209" t="str">
        <f t="shared" si="32"/>
        <v/>
      </c>
      <c r="AP183" s="208"/>
      <c r="AQ183" s="209" t="str">
        <f t="shared" si="33"/>
        <v/>
      </c>
      <c r="AR183" s="209" t="str">
        <f t="shared" si="34"/>
        <v/>
      </c>
      <c r="AS183" s="202" t="str">
        <f t="shared" si="35"/>
        <v/>
      </c>
      <c r="AT183" s="202" t="str">
        <f t="shared" si="36"/>
        <v/>
      </c>
      <c r="AU183" s="208"/>
      <c r="AV183" s="208"/>
      <c r="AW183" s="208"/>
      <c r="AX183" s="208"/>
      <c r="AY183" s="208"/>
      <c r="AZ183" s="208"/>
      <c r="BA183" s="208"/>
      <c r="BB183" s="208"/>
      <c r="BC183" s="208"/>
      <c r="BD183" s="208"/>
      <c r="BE183" s="208"/>
      <c r="BF183" s="208"/>
      <c r="BG183" s="28"/>
      <c r="BH183" s="28"/>
      <c r="BI183" s="28"/>
      <c r="BJ183" s="28"/>
    </row>
    <row r="184" spans="1:62" s="23" customFormat="1" ht="21" customHeight="1" thickBot="1" x14ac:dyDescent="0.25">
      <c r="A184" s="846" t="str">
        <f>IF($AN184="","",IFERROR(VLOOKUP(CONCATENATE(CTR1_Billing!$E$20,$AN184),'Local Data Previous Year'!$C$3:$D$20000,2,0),CTR1_Billing!$E$21&amp;"NEW"))</f>
        <v/>
      </c>
      <c r="B184" s="846" t="str">
        <f>IF($E184="","",IFERROR(VLOOKUP(CONCATENATE(CTR1_Billing!$E$20,CTR1_Local!$E184),'Local Data Previous Year'!$C$3:$D$20000,2,0),CTR1_Billing!$E$21&amp;"NEW"))</f>
        <v/>
      </c>
      <c r="C184" s="846">
        <v>152</v>
      </c>
      <c r="D184" s="755" t="str" cm="1">
        <f t="array" ref="D184">IF(ISERROR(INDEX('Local Data Previous Year'!$D$3:$D$20000,SMALL(IF(CTR1_Billing!$E$21='Local Data Previous Year'!$A$3:$A$20000,ROW('Local Data Previous Year'!$A$3:$A$20000)-ROW('Local Data Previous Year'!$A$3)+1),ROW(152:152)))),"",INDEX('Local Data Previous Year'!$D$3:$D$20000,SMALL(IF(CTR1_Billing!$E$21='Local Data Previous Year'!$A$3:$A$20000,ROW('Local Data Previous Year'!$A$3:$A$20000)-ROW('Local Data Previous Year'!$A$3)+1),ROW(152:152))))</f>
        <v/>
      </c>
      <c r="E184" s="755" t="str" cm="1">
        <f t="array" ref="E184">IF(ISERROR(INDEX('Local Data Previous Year'!$E$3:$E$20000,SMALL(IF(CTR1_Billing!$E$21='Local Data Previous Year'!$A$3:$A$20000,ROW('Local Data Previous Year'!$A$3:$A$20000)-ROW('Local Data Previous Year'!$A$3)+1),ROW(152:152)))),"",INDEX('Local Data Previous Year'!$E$3:$E$20000,SMALL(IF(CTR1_Billing!$E$21='Local Data Previous Year'!$A$3:$A$20000,ROW('Local Data Previous Year'!$A$3:$A$20000)-ROW('Local Data Previous Year'!$A$3)+1),ROW(152:152))))</f>
        <v/>
      </c>
      <c r="F184" s="756" t="str">
        <f>IF($D184="","",IF(ISNA(MATCH($D184,'Local Data Previous Year'!$D$3:$D$20000,0)),"New",IFERROR(VLOOKUP($B184,'Local Data Previous Year'!$D$3:$I$20000,6,0),"")))</f>
        <v/>
      </c>
      <c r="G184" s="757">
        <f t="shared" si="37"/>
        <v>0</v>
      </c>
      <c r="H184" s="758" t="str">
        <f>IFERROR(INDEX('Local Data Previous Year'!$F:$F, MATCH($D184, 'Local Data Previous Year'!$D:$D, 0)), "")</f>
        <v/>
      </c>
      <c r="I184" s="759">
        <f>IF(B184=CTR1_Billing!$E$21&amp;"NEW",1,0)</f>
        <v>0</v>
      </c>
      <c r="J184" s="760" t="str">
        <f>IFERROR(INDEX('Local Data Previous Year'!$G:$G, MATCH($D184, 'Local Data Previous Year'!$D:$D, 0)), "")</f>
        <v/>
      </c>
      <c r="K184" s="762"/>
      <c r="L184" s="760" t="str">
        <f>IFERROR(INDEX('Local Data Previous Year'!$H:$H, MATCH($D184, 'Local Data Previous Year'!$D:$D, 0)), "")</f>
        <v/>
      </c>
      <c r="M184" s="762"/>
      <c r="N184" s="763"/>
      <c r="O184" s="767"/>
      <c r="P184" s="765"/>
      <c r="Q184" s="767"/>
      <c r="R184" s="766" t="str">
        <f t="shared" si="38"/>
        <v/>
      </c>
      <c r="S184" s="754"/>
      <c r="T184" s="763"/>
      <c r="U184" s="754"/>
      <c r="V184" s="763"/>
      <c r="W184" s="763"/>
      <c r="X184" s="865" t="str">
        <f>VLOOKUP(CTR1_Billing!$E$21,Data!$C$6:$D$302,1,FALSE)</f>
        <v>EZZZZ</v>
      </c>
      <c r="Y184" s="205"/>
      <c r="Z184" s="205">
        <f t="shared" si="26"/>
        <v>0</v>
      </c>
      <c r="AA184" s="206" t="str">
        <f t="shared" si="27"/>
        <v/>
      </c>
      <c r="AB184" s="205">
        <f t="shared" si="28"/>
        <v>0</v>
      </c>
      <c r="AC184" s="208"/>
      <c r="AD184" s="208"/>
      <c r="AE184" s="208"/>
      <c r="AF184" s="208"/>
      <c r="AG184" s="209" t="str">
        <f>IFERROR(INDEX('Local Data Previous Year'!$F:$F, MATCH($D184, 'Local Data Previous Year'!$D:$D, 0)), "")</f>
        <v/>
      </c>
      <c r="AH184" s="209" t="str">
        <f>IFERROR(INDEX('Local Data Previous Year'!$G:$G, MATCH($D184, 'Local Data Previous Year'!$D:$D, 0)), "")</f>
        <v/>
      </c>
      <c r="AI184" s="209" t="str">
        <f>IFERROR(INDEX('Local Data Previous Year'!$H:$H, MATCH($D184, 'Local Data Previous Year'!$D:$D, 0)), "")</f>
        <v/>
      </c>
      <c r="AJ184" s="209" t="str">
        <f t="shared" si="29"/>
        <v/>
      </c>
      <c r="AK184" s="209" t="str">
        <f t="shared" si="30"/>
        <v/>
      </c>
      <c r="AL184" s="209" t="str">
        <f t="shared" si="31"/>
        <v/>
      </c>
      <c r="AM184" s="208" t="str">
        <f>IF($AN184="","",IFERROR(VLOOKUP(CONCATENATE(CTR1_Billing!$E$20,$AN184),'Local Data Previous Year'!$C$3:$D$50000,2,0),CTR1_Billing!$E$21&amp;"NEW"))</f>
        <v/>
      </c>
      <c r="AN184" s="209" t="str" cm="1">
        <f t="array" ref="AN184">IF(ISERROR(INDEX('Local Data Previous Year'!$E$3:$E$50000, SMALL(IF(CTR1_Billing!$E$21='Local Data Previous Year'!$A$3:$A$50000, ROW('Local Data Previous Year'!$A$3:$A$50000)-ROW('Local Data Previous Year'!$A$3)+1), ROW(152:152)))), "", INDEX('Local Data Previous Year'!$E$3:$E$50000, SMALL(IF(CTR1_Billing!$E$21='Local Data Previous Year'!$A$3:$A$50000, ROW('Local Data Previous Year'!$A$3:$A$50000)-ROW('Local Data Previous Year'!$A$3)+1), ROW(152:152))))</f>
        <v/>
      </c>
      <c r="AO184" s="209" t="str">
        <f t="shared" si="32"/>
        <v/>
      </c>
      <c r="AP184" s="208"/>
      <c r="AQ184" s="209" t="str">
        <f t="shared" si="33"/>
        <v/>
      </c>
      <c r="AR184" s="209" t="str">
        <f t="shared" si="34"/>
        <v/>
      </c>
      <c r="AS184" s="202" t="str">
        <f t="shared" si="35"/>
        <v/>
      </c>
      <c r="AT184" s="202" t="str">
        <f t="shared" si="36"/>
        <v/>
      </c>
      <c r="AU184" s="208"/>
      <c r="AV184" s="208"/>
      <c r="AW184" s="208"/>
      <c r="AX184" s="208"/>
      <c r="AY184" s="208"/>
      <c r="AZ184" s="208"/>
      <c r="BA184" s="208"/>
      <c r="BB184" s="208"/>
      <c r="BC184" s="208"/>
      <c r="BD184" s="208"/>
      <c r="BE184" s="208"/>
      <c r="BF184" s="208"/>
      <c r="BG184" s="28"/>
      <c r="BH184" s="28"/>
      <c r="BI184" s="28"/>
      <c r="BJ184" s="28"/>
    </row>
    <row r="185" spans="1:62" s="23" customFormat="1" ht="21" customHeight="1" thickBot="1" x14ac:dyDescent="0.25">
      <c r="A185" s="846" t="str">
        <f>IF($AN185="","",IFERROR(VLOOKUP(CONCATENATE(CTR1_Billing!$E$20,$AN185),'Local Data Previous Year'!$C$3:$D$20000,2,0),CTR1_Billing!$E$21&amp;"NEW"))</f>
        <v/>
      </c>
      <c r="B185" s="846" t="str">
        <f>IF($E185="","",IFERROR(VLOOKUP(CONCATENATE(CTR1_Billing!$E$20,CTR1_Local!$E185),'Local Data Previous Year'!$C$3:$D$20000,2,0),CTR1_Billing!$E$21&amp;"NEW"))</f>
        <v/>
      </c>
      <c r="C185" s="846">
        <v>153</v>
      </c>
      <c r="D185" s="755" t="str" cm="1">
        <f t="array" ref="D185">IF(ISERROR(INDEX('Local Data Previous Year'!$D$3:$D$20000,SMALL(IF(CTR1_Billing!$E$21='Local Data Previous Year'!$A$3:$A$20000,ROW('Local Data Previous Year'!$A$3:$A$20000)-ROW('Local Data Previous Year'!$A$3)+1),ROW(153:153)))),"",INDEX('Local Data Previous Year'!$D$3:$D$20000,SMALL(IF(CTR1_Billing!$E$21='Local Data Previous Year'!$A$3:$A$20000,ROW('Local Data Previous Year'!$A$3:$A$20000)-ROW('Local Data Previous Year'!$A$3)+1),ROW(153:153))))</f>
        <v/>
      </c>
      <c r="E185" s="755" t="str" cm="1">
        <f t="array" ref="E185">IF(ISERROR(INDEX('Local Data Previous Year'!$E$3:$E$20000,SMALL(IF(CTR1_Billing!$E$21='Local Data Previous Year'!$A$3:$A$20000,ROW('Local Data Previous Year'!$A$3:$A$20000)-ROW('Local Data Previous Year'!$A$3)+1),ROW(153:153)))),"",INDEX('Local Data Previous Year'!$E$3:$E$20000,SMALL(IF(CTR1_Billing!$E$21='Local Data Previous Year'!$A$3:$A$20000,ROW('Local Data Previous Year'!$A$3:$A$20000)-ROW('Local Data Previous Year'!$A$3)+1),ROW(153:153))))</f>
        <v/>
      </c>
      <c r="F185" s="756" t="str">
        <f>IF($D185="","",IF(ISNA(MATCH($D185,'Local Data Previous Year'!$D$3:$D$20000,0)),"New",IFERROR(VLOOKUP($B185,'Local Data Previous Year'!$D$3:$I$20000,6,0),"")))</f>
        <v/>
      </c>
      <c r="G185" s="757">
        <f t="shared" si="37"/>
        <v>0</v>
      </c>
      <c r="H185" s="758" t="str">
        <f>IFERROR(INDEX('Local Data Previous Year'!$F:$F, MATCH($D185, 'Local Data Previous Year'!$D:$D, 0)), "")</f>
        <v/>
      </c>
      <c r="I185" s="759">
        <f>IF(B185=CTR1_Billing!$E$21&amp;"NEW",1,0)</f>
        <v>0</v>
      </c>
      <c r="J185" s="760" t="str">
        <f>IFERROR(INDEX('Local Data Previous Year'!$G:$G, MATCH($D185, 'Local Data Previous Year'!$D:$D, 0)), "")</f>
        <v/>
      </c>
      <c r="K185" s="762"/>
      <c r="L185" s="760" t="str">
        <f>IFERROR(INDEX('Local Data Previous Year'!$H:$H, MATCH($D185, 'Local Data Previous Year'!$D:$D, 0)), "")</f>
        <v/>
      </c>
      <c r="M185" s="762"/>
      <c r="N185" s="763"/>
      <c r="O185" s="767"/>
      <c r="P185" s="765"/>
      <c r="Q185" s="767"/>
      <c r="R185" s="766" t="str">
        <f t="shared" si="38"/>
        <v/>
      </c>
      <c r="S185" s="754"/>
      <c r="T185" s="763"/>
      <c r="U185" s="754"/>
      <c r="V185" s="763"/>
      <c r="W185" s="763"/>
      <c r="X185" s="865" t="str">
        <f>VLOOKUP(CTR1_Billing!$E$21,Data!$C$6:$D$302,1,FALSE)</f>
        <v>EZZZZ</v>
      </c>
      <c r="Y185" s="205"/>
      <c r="Z185" s="205">
        <f t="shared" si="26"/>
        <v>0</v>
      </c>
      <c r="AA185" s="206" t="str">
        <f t="shared" si="27"/>
        <v/>
      </c>
      <c r="AB185" s="205">
        <f t="shared" si="28"/>
        <v>0</v>
      </c>
      <c r="AC185" s="208"/>
      <c r="AD185" s="208"/>
      <c r="AE185" s="208"/>
      <c r="AF185" s="208"/>
      <c r="AG185" s="209" t="str">
        <f>IFERROR(INDEX('Local Data Previous Year'!$F:$F, MATCH($D185, 'Local Data Previous Year'!$D:$D, 0)), "")</f>
        <v/>
      </c>
      <c r="AH185" s="209" t="str">
        <f>IFERROR(INDEX('Local Data Previous Year'!$G:$G, MATCH($D185, 'Local Data Previous Year'!$D:$D, 0)), "")</f>
        <v/>
      </c>
      <c r="AI185" s="209" t="str">
        <f>IFERROR(INDEX('Local Data Previous Year'!$H:$H, MATCH($D185, 'Local Data Previous Year'!$D:$D, 0)), "")</f>
        <v/>
      </c>
      <c r="AJ185" s="209" t="str">
        <f t="shared" si="29"/>
        <v/>
      </c>
      <c r="AK185" s="209" t="str">
        <f t="shared" si="30"/>
        <v/>
      </c>
      <c r="AL185" s="209" t="str">
        <f t="shared" si="31"/>
        <v/>
      </c>
      <c r="AM185" s="208" t="str">
        <f>IF($AN185="","",IFERROR(VLOOKUP(CONCATENATE(CTR1_Billing!$E$20,$AN185),'Local Data Previous Year'!$C$3:$D$50000,2,0),CTR1_Billing!$E$21&amp;"NEW"))</f>
        <v/>
      </c>
      <c r="AN185" s="209" t="str" cm="1">
        <f t="array" ref="AN185">IF(ISERROR(INDEX('Local Data Previous Year'!$E$3:$E$50000, SMALL(IF(CTR1_Billing!$E$21='Local Data Previous Year'!$A$3:$A$50000, ROW('Local Data Previous Year'!$A$3:$A$50000)-ROW('Local Data Previous Year'!$A$3)+1), ROW(153:153)))), "", INDEX('Local Data Previous Year'!$E$3:$E$50000, SMALL(IF(CTR1_Billing!$E$21='Local Data Previous Year'!$A$3:$A$50000, ROW('Local Data Previous Year'!$A$3:$A$50000)-ROW('Local Data Previous Year'!$A$3)+1), ROW(153:153))))</f>
        <v/>
      </c>
      <c r="AO185" s="209" t="str">
        <f t="shared" si="32"/>
        <v/>
      </c>
      <c r="AP185" s="208"/>
      <c r="AQ185" s="209" t="str">
        <f t="shared" si="33"/>
        <v/>
      </c>
      <c r="AR185" s="209" t="str">
        <f t="shared" si="34"/>
        <v/>
      </c>
      <c r="AS185" s="202" t="str">
        <f t="shared" si="35"/>
        <v/>
      </c>
      <c r="AT185" s="202" t="str">
        <f t="shared" si="36"/>
        <v/>
      </c>
      <c r="AU185" s="208"/>
      <c r="AV185" s="208"/>
      <c r="AW185" s="208"/>
      <c r="AX185" s="208"/>
      <c r="AY185" s="208"/>
      <c r="AZ185" s="208"/>
      <c r="BA185" s="208"/>
      <c r="BB185" s="208"/>
      <c r="BC185" s="208"/>
      <c r="BD185" s="208"/>
      <c r="BE185" s="208"/>
      <c r="BF185" s="208"/>
      <c r="BG185" s="28"/>
      <c r="BH185" s="28"/>
      <c r="BI185" s="28"/>
      <c r="BJ185" s="28"/>
    </row>
    <row r="186" spans="1:62" s="23" customFormat="1" ht="21" customHeight="1" thickBot="1" x14ac:dyDescent="0.25">
      <c r="A186" s="846" t="str">
        <f>IF($AN186="","",IFERROR(VLOOKUP(CONCATENATE(CTR1_Billing!$E$20,$AN186),'Local Data Previous Year'!$C$3:$D$20000,2,0),CTR1_Billing!$E$21&amp;"NEW"))</f>
        <v/>
      </c>
      <c r="B186" s="846" t="str">
        <f>IF($E186="","",IFERROR(VLOOKUP(CONCATENATE(CTR1_Billing!$E$20,CTR1_Local!$E186),'Local Data Previous Year'!$C$3:$D$20000,2,0),CTR1_Billing!$E$21&amp;"NEW"))</f>
        <v/>
      </c>
      <c r="C186" s="846">
        <v>154</v>
      </c>
      <c r="D186" s="755" t="str" cm="1">
        <f t="array" ref="D186">IF(ISERROR(INDEX('Local Data Previous Year'!$D$3:$D$20000,SMALL(IF(CTR1_Billing!$E$21='Local Data Previous Year'!$A$3:$A$20000,ROW('Local Data Previous Year'!$A$3:$A$20000)-ROW('Local Data Previous Year'!$A$3)+1),ROW(154:154)))),"",INDEX('Local Data Previous Year'!$D$3:$D$20000,SMALL(IF(CTR1_Billing!$E$21='Local Data Previous Year'!$A$3:$A$20000,ROW('Local Data Previous Year'!$A$3:$A$20000)-ROW('Local Data Previous Year'!$A$3)+1),ROW(154:154))))</f>
        <v/>
      </c>
      <c r="E186" s="755" t="str" cm="1">
        <f t="array" ref="E186">IF(ISERROR(INDEX('Local Data Previous Year'!$E$3:$E$20000,SMALL(IF(CTR1_Billing!$E$21='Local Data Previous Year'!$A$3:$A$20000,ROW('Local Data Previous Year'!$A$3:$A$20000)-ROW('Local Data Previous Year'!$A$3)+1),ROW(154:154)))),"",INDEX('Local Data Previous Year'!$E$3:$E$20000,SMALL(IF(CTR1_Billing!$E$21='Local Data Previous Year'!$A$3:$A$20000,ROW('Local Data Previous Year'!$A$3:$A$20000)-ROW('Local Data Previous Year'!$A$3)+1),ROW(154:154))))</f>
        <v/>
      </c>
      <c r="F186" s="756" t="str">
        <f>IF($D186="","",IF(ISNA(MATCH($D186,'Local Data Previous Year'!$D$3:$D$20000,0)),"New",IFERROR(VLOOKUP($B186,'Local Data Previous Year'!$D$3:$I$20000,6,0),"")))</f>
        <v/>
      </c>
      <c r="G186" s="757">
        <f t="shared" si="37"/>
        <v>0</v>
      </c>
      <c r="H186" s="758" t="str">
        <f>IFERROR(INDEX('Local Data Previous Year'!$F:$F, MATCH($D186, 'Local Data Previous Year'!$D:$D, 0)), "")</f>
        <v/>
      </c>
      <c r="I186" s="759">
        <f>IF(B186=CTR1_Billing!$E$21&amp;"NEW",1,0)</f>
        <v>0</v>
      </c>
      <c r="J186" s="760" t="str">
        <f>IFERROR(INDEX('Local Data Previous Year'!$G:$G, MATCH($D186, 'Local Data Previous Year'!$D:$D, 0)), "")</f>
        <v/>
      </c>
      <c r="K186" s="762"/>
      <c r="L186" s="760" t="str">
        <f>IFERROR(INDEX('Local Data Previous Year'!$H:$H, MATCH($D186, 'Local Data Previous Year'!$D:$D, 0)), "")</f>
        <v/>
      </c>
      <c r="M186" s="762"/>
      <c r="N186" s="763"/>
      <c r="O186" s="767"/>
      <c r="P186" s="765"/>
      <c r="Q186" s="767"/>
      <c r="R186" s="766" t="str">
        <f t="shared" si="38"/>
        <v/>
      </c>
      <c r="S186" s="754"/>
      <c r="T186" s="763"/>
      <c r="U186" s="754"/>
      <c r="V186" s="763"/>
      <c r="W186" s="763"/>
      <c r="X186" s="865" t="str">
        <f>VLOOKUP(CTR1_Billing!$E$21,Data!$C$6:$D$302,1,FALSE)</f>
        <v>EZZZZ</v>
      </c>
      <c r="Y186" s="205"/>
      <c r="Z186" s="205">
        <f t="shared" si="26"/>
        <v>0</v>
      </c>
      <c r="AA186" s="206" t="str">
        <f t="shared" si="27"/>
        <v/>
      </c>
      <c r="AB186" s="205">
        <f t="shared" si="28"/>
        <v>0</v>
      </c>
      <c r="AC186" s="208"/>
      <c r="AD186" s="208"/>
      <c r="AE186" s="208"/>
      <c r="AF186" s="208"/>
      <c r="AG186" s="209" t="str">
        <f>IFERROR(INDEX('Local Data Previous Year'!$F:$F, MATCH($D186, 'Local Data Previous Year'!$D:$D, 0)), "")</f>
        <v/>
      </c>
      <c r="AH186" s="209" t="str">
        <f>IFERROR(INDEX('Local Data Previous Year'!$G:$G, MATCH($D186, 'Local Data Previous Year'!$D:$D, 0)), "")</f>
        <v/>
      </c>
      <c r="AI186" s="209" t="str">
        <f>IFERROR(INDEX('Local Data Previous Year'!$H:$H, MATCH($D186, 'Local Data Previous Year'!$D:$D, 0)), "")</f>
        <v/>
      </c>
      <c r="AJ186" s="209" t="str">
        <f t="shared" si="29"/>
        <v/>
      </c>
      <c r="AK186" s="209" t="str">
        <f t="shared" si="30"/>
        <v/>
      </c>
      <c r="AL186" s="209" t="str">
        <f t="shared" si="31"/>
        <v/>
      </c>
      <c r="AM186" s="208" t="str">
        <f>IF($AN186="","",IFERROR(VLOOKUP(CONCATENATE(CTR1_Billing!$E$20,$AN186),'Local Data Previous Year'!$C$3:$D$50000,2,0),CTR1_Billing!$E$21&amp;"NEW"))</f>
        <v/>
      </c>
      <c r="AN186" s="209" t="str" cm="1">
        <f t="array" ref="AN186">IF(ISERROR(INDEX('Local Data Previous Year'!$E$3:$E$50000, SMALL(IF(CTR1_Billing!$E$21='Local Data Previous Year'!$A$3:$A$50000, ROW('Local Data Previous Year'!$A$3:$A$50000)-ROW('Local Data Previous Year'!$A$3)+1), ROW(154:154)))), "", INDEX('Local Data Previous Year'!$E$3:$E$50000, SMALL(IF(CTR1_Billing!$E$21='Local Data Previous Year'!$A$3:$A$50000, ROW('Local Data Previous Year'!$A$3:$A$50000)-ROW('Local Data Previous Year'!$A$3)+1), ROW(154:154))))</f>
        <v/>
      </c>
      <c r="AO186" s="209" t="str">
        <f t="shared" si="32"/>
        <v/>
      </c>
      <c r="AP186" s="208"/>
      <c r="AQ186" s="209" t="str">
        <f t="shared" si="33"/>
        <v/>
      </c>
      <c r="AR186" s="209" t="str">
        <f t="shared" si="34"/>
        <v/>
      </c>
      <c r="AS186" s="202" t="str">
        <f t="shared" si="35"/>
        <v/>
      </c>
      <c r="AT186" s="202" t="str">
        <f t="shared" si="36"/>
        <v/>
      </c>
      <c r="AU186" s="208"/>
      <c r="AV186" s="208"/>
      <c r="AW186" s="208"/>
      <c r="AX186" s="208"/>
      <c r="AY186" s="208"/>
      <c r="AZ186" s="208"/>
      <c r="BA186" s="208"/>
      <c r="BB186" s="208"/>
      <c r="BC186" s="208"/>
      <c r="BD186" s="208"/>
      <c r="BE186" s="208"/>
      <c r="BF186" s="208"/>
      <c r="BG186" s="28"/>
      <c r="BH186" s="28"/>
      <c r="BI186" s="28"/>
      <c r="BJ186" s="28"/>
    </row>
    <row r="187" spans="1:62" s="23" customFormat="1" ht="21" customHeight="1" thickBot="1" x14ac:dyDescent="0.25">
      <c r="A187" s="846" t="str">
        <f>IF($AN187="","",IFERROR(VLOOKUP(CONCATENATE(CTR1_Billing!$E$20,$AN187),'Local Data Previous Year'!$C$3:$D$20000,2,0),CTR1_Billing!$E$21&amp;"NEW"))</f>
        <v/>
      </c>
      <c r="B187" s="846" t="str">
        <f>IF($E187="","",IFERROR(VLOOKUP(CONCATENATE(CTR1_Billing!$E$20,CTR1_Local!$E187),'Local Data Previous Year'!$C$3:$D$20000,2,0),CTR1_Billing!$E$21&amp;"NEW"))</f>
        <v/>
      </c>
      <c r="C187" s="846">
        <v>155</v>
      </c>
      <c r="D187" s="755" t="str" cm="1">
        <f t="array" ref="D187">IF(ISERROR(INDEX('Local Data Previous Year'!$D$3:$D$20000,SMALL(IF(CTR1_Billing!$E$21='Local Data Previous Year'!$A$3:$A$20000,ROW('Local Data Previous Year'!$A$3:$A$20000)-ROW('Local Data Previous Year'!$A$3)+1),ROW(155:155)))),"",INDEX('Local Data Previous Year'!$D$3:$D$20000,SMALL(IF(CTR1_Billing!$E$21='Local Data Previous Year'!$A$3:$A$20000,ROW('Local Data Previous Year'!$A$3:$A$20000)-ROW('Local Data Previous Year'!$A$3)+1),ROW(155:155))))</f>
        <v/>
      </c>
      <c r="E187" s="755" t="str" cm="1">
        <f t="array" ref="E187">IF(ISERROR(INDEX('Local Data Previous Year'!$E$3:$E$20000,SMALL(IF(CTR1_Billing!$E$21='Local Data Previous Year'!$A$3:$A$20000,ROW('Local Data Previous Year'!$A$3:$A$20000)-ROW('Local Data Previous Year'!$A$3)+1),ROW(155:155)))),"",INDEX('Local Data Previous Year'!$E$3:$E$20000,SMALL(IF(CTR1_Billing!$E$21='Local Data Previous Year'!$A$3:$A$20000,ROW('Local Data Previous Year'!$A$3:$A$20000)-ROW('Local Data Previous Year'!$A$3)+1),ROW(155:155))))</f>
        <v/>
      </c>
      <c r="F187" s="756" t="str">
        <f>IF($D187="","",IF(ISNA(MATCH($D187,'Local Data Previous Year'!$D$3:$D$20000,0)),"New",IFERROR(VLOOKUP($B187,'Local Data Previous Year'!$D$3:$I$20000,6,0),"")))</f>
        <v/>
      </c>
      <c r="G187" s="757">
        <f t="shared" si="37"/>
        <v>0</v>
      </c>
      <c r="H187" s="758" t="str">
        <f>IFERROR(INDEX('Local Data Previous Year'!$F:$F, MATCH($D187, 'Local Data Previous Year'!$D:$D, 0)), "")</f>
        <v/>
      </c>
      <c r="I187" s="759">
        <f>IF(B187=CTR1_Billing!$E$21&amp;"NEW",1,0)</f>
        <v>0</v>
      </c>
      <c r="J187" s="760" t="str">
        <f>IFERROR(INDEX('Local Data Previous Year'!$G:$G, MATCH($D187, 'Local Data Previous Year'!$D:$D, 0)), "")</f>
        <v/>
      </c>
      <c r="K187" s="762"/>
      <c r="L187" s="760" t="str">
        <f>IFERROR(INDEX('Local Data Previous Year'!$H:$H, MATCH($D187, 'Local Data Previous Year'!$D:$D, 0)), "")</f>
        <v/>
      </c>
      <c r="M187" s="762"/>
      <c r="N187" s="763"/>
      <c r="O187" s="767"/>
      <c r="P187" s="765"/>
      <c r="Q187" s="767"/>
      <c r="R187" s="766" t="str">
        <f t="shared" si="38"/>
        <v/>
      </c>
      <c r="S187" s="754"/>
      <c r="T187" s="763"/>
      <c r="U187" s="754"/>
      <c r="V187" s="763"/>
      <c r="W187" s="763"/>
      <c r="X187" s="865" t="str">
        <f>VLOOKUP(CTR1_Billing!$E$21,Data!$C$6:$D$302,1,FALSE)</f>
        <v>EZZZZ</v>
      </c>
      <c r="Y187" s="205"/>
      <c r="Z187" s="205">
        <f t="shared" si="26"/>
        <v>0</v>
      </c>
      <c r="AA187" s="206" t="str">
        <f t="shared" si="27"/>
        <v/>
      </c>
      <c r="AB187" s="205">
        <f t="shared" si="28"/>
        <v>0</v>
      </c>
      <c r="AC187" s="208"/>
      <c r="AD187" s="208"/>
      <c r="AE187" s="208"/>
      <c r="AF187" s="208"/>
      <c r="AG187" s="209" t="str">
        <f>IFERROR(INDEX('Local Data Previous Year'!$F:$F, MATCH($D187, 'Local Data Previous Year'!$D:$D, 0)), "")</f>
        <v/>
      </c>
      <c r="AH187" s="209" t="str">
        <f>IFERROR(INDEX('Local Data Previous Year'!$G:$G, MATCH($D187, 'Local Data Previous Year'!$D:$D, 0)), "")</f>
        <v/>
      </c>
      <c r="AI187" s="209" t="str">
        <f>IFERROR(INDEX('Local Data Previous Year'!$H:$H, MATCH($D187, 'Local Data Previous Year'!$D:$D, 0)), "")</f>
        <v/>
      </c>
      <c r="AJ187" s="209" t="str">
        <f t="shared" si="29"/>
        <v/>
      </c>
      <c r="AK187" s="209" t="str">
        <f t="shared" si="30"/>
        <v/>
      </c>
      <c r="AL187" s="209" t="str">
        <f t="shared" si="31"/>
        <v/>
      </c>
      <c r="AM187" s="208" t="str">
        <f>IF($AN187="","",IFERROR(VLOOKUP(CONCATENATE(CTR1_Billing!$E$20,$AN187),'Local Data Previous Year'!$C$3:$D$50000,2,0),CTR1_Billing!$E$21&amp;"NEW"))</f>
        <v/>
      </c>
      <c r="AN187" s="209" t="str" cm="1">
        <f t="array" ref="AN187">IF(ISERROR(INDEX('Local Data Previous Year'!$E$3:$E$50000, SMALL(IF(CTR1_Billing!$E$21='Local Data Previous Year'!$A$3:$A$50000, ROW('Local Data Previous Year'!$A$3:$A$50000)-ROW('Local Data Previous Year'!$A$3)+1), ROW(155:155)))), "", INDEX('Local Data Previous Year'!$E$3:$E$50000, SMALL(IF(CTR1_Billing!$E$21='Local Data Previous Year'!$A$3:$A$50000, ROW('Local Data Previous Year'!$A$3:$A$50000)-ROW('Local Data Previous Year'!$A$3)+1), ROW(155:155))))</f>
        <v/>
      </c>
      <c r="AO187" s="209" t="str">
        <f t="shared" si="32"/>
        <v/>
      </c>
      <c r="AP187" s="208"/>
      <c r="AQ187" s="209" t="str">
        <f t="shared" si="33"/>
        <v/>
      </c>
      <c r="AR187" s="209" t="str">
        <f t="shared" si="34"/>
        <v/>
      </c>
      <c r="AS187" s="202" t="str">
        <f t="shared" si="35"/>
        <v/>
      </c>
      <c r="AT187" s="202" t="str">
        <f t="shared" si="36"/>
        <v/>
      </c>
      <c r="AU187" s="208"/>
      <c r="AV187" s="208"/>
      <c r="AW187" s="208"/>
      <c r="AX187" s="208"/>
      <c r="AY187" s="208"/>
      <c r="AZ187" s="208"/>
      <c r="BA187" s="208"/>
      <c r="BB187" s="208"/>
      <c r="BC187" s="208"/>
      <c r="BD187" s="208"/>
      <c r="BE187" s="208"/>
      <c r="BF187" s="208"/>
      <c r="BG187" s="28"/>
      <c r="BH187" s="28"/>
      <c r="BI187" s="28"/>
      <c r="BJ187" s="28"/>
    </row>
    <row r="188" spans="1:62" s="23" customFormat="1" ht="21" customHeight="1" thickBot="1" x14ac:dyDescent="0.25">
      <c r="A188" s="846" t="str">
        <f>IF($AN188="","",IFERROR(VLOOKUP(CONCATENATE(CTR1_Billing!$E$20,$AN188),'Local Data Previous Year'!$C$3:$D$20000,2,0),CTR1_Billing!$E$21&amp;"NEW"))</f>
        <v/>
      </c>
      <c r="B188" s="846" t="str">
        <f>IF($E188="","",IFERROR(VLOOKUP(CONCATENATE(CTR1_Billing!$E$20,CTR1_Local!$E188),'Local Data Previous Year'!$C$3:$D$20000,2,0),CTR1_Billing!$E$21&amp;"NEW"))</f>
        <v/>
      </c>
      <c r="C188" s="846">
        <v>156</v>
      </c>
      <c r="D188" s="755" t="str" cm="1">
        <f t="array" ref="D188">IF(ISERROR(INDEX('Local Data Previous Year'!$D$3:$D$20000,SMALL(IF(CTR1_Billing!$E$21='Local Data Previous Year'!$A$3:$A$20000,ROW('Local Data Previous Year'!$A$3:$A$20000)-ROW('Local Data Previous Year'!$A$3)+1),ROW(156:156)))),"",INDEX('Local Data Previous Year'!$D$3:$D$20000,SMALL(IF(CTR1_Billing!$E$21='Local Data Previous Year'!$A$3:$A$20000,ROW('Local Data Previous Year'!$A$3:$A$20000)-ROW('Local Data Previous Year'!$A$3)+1),ROW(156:156))))</f>
        <v/>
      </c>
      <c r="E188" s="755" t="str" cm="1">
        <f t="array" ref="E188">IF(ISERROR(INDEX('Local Data Previous Year'!$E$3:$E$20000,SMALL(IF(CTR1_Billing!$E$21='Local Data Previous Year'!$A$3:$A$20000,ROW('Local Data Previous Year'!$A$3:$A$20000)-ROW('Local Data Previous Year'!$A$3)+1),ROW(156:156)))),"",INDEX('Local Data Previous Year'!$E$3:$E$20000,SMALL(IF(CTR1_Billing!$E$21='Local Data Previous Year'!$A$3:$A$20000,ROW('Local Data Previous Year'!$A$3:$A$20000)-ROW('Local Data Previous Year'!$A$3)+1),ROW(156:156))))</f>
        <v/>
      </c>
      <c r="F188" s="756" t="str">
        <f>IF($D188="","",IF(ISNA(MATCH($D188,'Local Data Previous Year'!$D$3:$D$20000,0)),"New",IFERROR(VLOOKUP($B188,'Local Data Previous Year'!$D$3:$I$20000,6,0),"")))</f>
        <v/>
      </c>
      <c r="G188" s="757">
        <f t="shared" si="37"/>
        <v>0</v>
      </c>
      <c r="H188" s="758" t="str">
        <f>IFERROR(INDEX('Local Data Previous Year'!$F:$F, MATCH($D188, 'Local Data Previous Year'!$D:$D, 0)), "")</f>
        <v/>
      </c>
      <c r="I188" s="759">
        <f>IF(B188=CTR1_Billing!$E$21&amp;"NEW",1,0)</f>
        <v>0</v>
      </c>
      <c r="J188" s="760" t="str">
        <f>IFERROR(INDEX('Local Data Previous Year'!$G:$G, MATCH($D188, 'Local Data Previous Year'!$D:$D, 0)), "")</f>
        <v/>
      </c>
      <c r="K188" s="762"/>
      <c r="L188" s="760" t="str">
        <f>IFERROR(INDEX('Local Data Previous Year'!$H:$H, MATCH($D188, 'Local Data Previous Year'!$D:$D, 0)), "")</f>
        <v/>
      </c>
      <c r="M188" s="762"/>
      <c r="N188" s="763"/>
      <c r="O188" s="767"/>
      <c r="P188" s="765"/>
      <c r="Q188" s="767"/>
      <c r="R188" s="766" t="str">
        <f t="shared" si="38"/>
        <v/>
      </c>
      <c r="S188" s="754"/>
      <c r="T188" s="763"/>
      <c r="U188" s="754"/>
      <c r="V188" s="763"/>
      <c r="W188" s="763"/>
      <c r="X188" s="865" t="str">
        <f>VLOOKUP(CTR1_Billing!$E$21,Data!$C$6:$D$302,1,FALSE)</f>
        <v>EZZZZ</v>
      </c>
      <c r="Y188" s="205"/>
      <c r="Z188" s="205">
        <f t="shared" si="26"/>
        <v>0</v>
      </c>
      <c r="AA188" s="206" t="str">
        <f t="shared" si="27"/>
        <v/>
      </c>
      <c r="AB188" s="205">
        <f t="shared" si="28"/>
        <v>0</v>
      </c>
      <c r="AC188" s="208"/>
      <c r="AD188" s="208"/>
      <c r="AE188" s="208"/>
      <c r="AF188" s="208"/>
      <c r="AG188" s="209" t="str">
        <f>IFERROR(INDEX('Local Data Previous Year'!$F:$F, MATCH($D188, 'Local Data Previous Year'!$D:$D, 0)), "")</f>
        <v/>
      </c>
      <c r="AH188" s="209" t="str">
        <f>IFERROR(INDEX('Local Data Previous Year'!$G:$G, MATCH($D188, 'Local Data Previous Year'!$D:$D, 0)), "")</f>
        <v/>
      </c>
      <c r="AI188" s="209" t="str">
        <f>IFERROR(INDEX('Local Data Previous Year'!$H:$H, MATCH($D188, 'Local Data Previous Year'!$D:$D, 0)), "")</f>
        <v/>
      </c>
      <c r="AJ188" s="209" t="str">
        <f t="shared" si="29"/>
        <v/>
      </c>
      <c r="AK188" s="209" t="str">
        <f t="shared" si="30"/>
        <v/>
      </c>
      <c r="AL188" s="209" t="str">
        <f t="shared" si="31"/>
        <v/>
      </c>
      <c r="AM188" s="208" t="str">
        <f>IF($AN188="","",IFERROR(VLOOKUP(CONCATENATE(CTR1_Billing!$E$20,$AN188),'Local Data Previous Year'!$C$3:$D$50000,2,0),CTR1_Billing!$E$21&amp;"NEW"))</f>
        <v/>
      </c>
      <c r="AN188" s="209" t="str" cm="1">
        <f t="array" ref="AN188">IF(ISERROR(INDEX('Local Data Previous Year'!$E$3:$E$50000, SMALL(IF(CTR1_Billing!$E$21='Local Data Previous Year'!$A$3:$A$50000, ROW('Local Data Previous Year'!$A$3:$A$50000)-ROW('Local Data Previous Year'!$A$3)+1), ROW(156:156)))), "", INDEX('Local Data Previous Year'!$E$3:$E$50000, SMALL(IF(CTR1_Billing!$E$21='Local Data Previous Year'!$A$3:$A$50000, ROW('Local Data Previous Year'!$A$3:$A$50000)-ROW('Local Data Previous Year'!$A$3)+1), ROW(156:156))))</f>
        <v/>
      </c>
      <c r="AO188" s="209" t="str">
        <f t="shared" si="32"/>
        <v/>
      </c>
      <c r="AP188" s="208"/>
      <c r="AQ188" s="209" t="str">
        <f t="shared" si="33"/>
        <v/>
      </c>
      <c r="AR188" s="209" t="str">
        <f t="shared" si="34"/>
        <v/>
      </c>
      <c r="AS188" s="202" t="str">
        <f t="shared" si="35"/>
        <v/>
      </c>
      <c r="AT188" s="202" t="str">
        <f t="shared" si="36"/>
        <v/>
      </c>
      <c r="AU188" s="208"/>
      <c r="AV188" s="208"/>
      <c r="AW188" s="208"/>
      <c r="AX188" s="208"/>
      <c r="AY188" s="208"/>
      <c r="AZ188" s="208"/>
      <c r="BA188" s="208"/>
      <c r="BB188" s="208"/>
      <c r="BC188" s="208"/>
      <c r="BD188" s="208"/>
      <c r="BE188" s="208"/>
      <c r="BF188" s="208"/>
      <c r="BG188" s="28"/>
      <c r="BH188" s="28"/>
      <c r="BI188" s="28"/>
      <c r="BJ188" s="28"/>
    </row>
    <row r="189" spans="1:62" s="23" customFormat="1" ht="21" customHeight="1" thickBot="1" x14ac:dyDescent="0.25">
      <c r="A189" s="846" t="str">
        <f>IF($AN189="","",IFERROR(VLOOKUP(CONCATENATE(CTR1_Billing!$E$20,$AN189),'Local Data Previous Year'!$C$3:$D$20000,2,0),CTR1_Billing!$E$21&amp;"NEW"))</f>
        <v/>
      </c>
      <c r="B189" s="846" t="str">
        <f>IF($E189="","",IFERROR(VLOOKUP(CONCATENATE(CTR1_Billing!$E$20,CTR1_Local!$E189),'Local Data Previous Year'!$C$3:$D$20000,2,0),CTR1_Billing!$E$21&amp;"NEW"))</f>
        <v/>
      </c>
      <c r="C189" s="846">
        <v>157</v>
      </c>
      <c r="D189" s="755" t="str" cm="1">
        <f t="array" ref="D189">IF(ISERROR(INDEX('Local Data Previous Year'!$D$3:$D$20000,SMALL(IF(CTR1_Billing!$E$21='Local Data Previous Year'!$A$3:$A$20000,ROW('Local Data Previous Year'!$A$3:$A$20000)-ROW('Local Data Previous Year'!$A$3)+1),ROW(157:157)))),"",INDEX('Local Data Previous Year'!$D$3:$D$20000,SMALL(IF(CTR1_Billing!$E$21='Local Data Previous Year'!$A$3:$A$20000,ROW('Local Data Previous Year'!$A$3:$A$20000)-ROW('Local Data Previous Year'!$A$3)+1),ROW(157:157))))</f>
        <v/>
      </c>
      <c r="E189" s="755" t="str" cm="1">
        <f t="array" ref="E189">IF(ISERROR(INDEX('Local Data Previous Year'!$E$3:$E$20000,SMALL(IF(CTR1_Billing!$E$21='Local Data Previous Year'!$A$3:$A$20000,ROW('Local Data Previous Year'!$A$3:$A$20000)-ROW('Local Data Previous Year'!$A$3)+1),ROW(157:157)))),"",INDEX('Local Data Previous Year'!$E$3:$E$20000,SMALL(IF(CTR1_Billing!$E$21='Local Data Previous Year'!$A$3:$A$20000,ROW('Local Data Previous Year'!$A$3:$A$20000)-ROW('Local Data Previous Year'!$A$3)+1),ROW(157:157))))</f>
        <v/>
      </c>
      <c r="F189" s="756" t="str">
        <f>IF($D189="","",IF(ISNA(MATCH($D189,'Local Data Previous Year'!$D$3:$D$20000,0)),"New",IFERROR(VLOOKUP($B189,'Local Data Previous Year'!$D$3:$I$20000,6,0),"")))</f>
        <v/>
      </c>
      <c r="G189" s="757">
        <f t="shared" si="37"/>
        <v>0</v>
      </c>
      <c r="H189" s="758" t="str">
        <f>IFERROR(INDEX('Local Data Previous Year'!$F:$F, MATCH($D189, 'Local Data Previous Year'!$D:$D, 0)), "")</f>
        <v/>
      </c>
      <c r="I189" s="759">
        <f>IF(B189=CTR1_Billing!$E$21&amp;"NEW",1,0)</f>
        <v>0</v>
      </c>
      <c r="J189" s="760" t="str">
        <f>IFERROR(INDEX('Local Data Previous Year'!$G:$G, MATCH($D189, 'Local Data Previous Year'!$D:$D, 0)), "")</f>
        <v/>
      </c>
      <c r="K189" s="762"/>
      <c r="L189" s="760" t="str">
        <f>IFERROR(INDEX('Local Data Previous Year'!$H:$H, MATCH($D189, 'Local Data Previous Year'!$D:$D, 0)), "")</f>
        <v/>
      </c>
      <c r="M189" s="762"/>
      <c r="N189" s="763"/>
      <c r="O189" s="767"/>
      <c r="P189" s="765"/>
      <c r="Q189" s="767"/>
      <c r="R189" s="766" t="str">
        <f t="shared" si="38"/>
        <v/>
      </c>
      <c r="S189" s="754"/>
      <c r="T189" s="763"/>
      <c r="U189" s="754"/>
      <c r="V189" s="763"/>
      <c r="W189" s="763"/>
      <c r="X189" s="865" t="str">
        <f>VLOOKUP(CTR1_Billing!$E$21,Data!$C$6:$D$302,1,FALSE)</f>
        <v>EZZZZ</v>
      </c>
      <c r="Y189" s="205"/>
      <c r="Z189" s="205">
        <f t="shared" si="26"/>
        <v>0</v>
      </c>
      <c r="AA189" s="206" t="str">
        <f t="shared" si="27"/>
        <v/>
      </c>
      <c r="AB189" s="205">
        <f t="shared" si="28"/>
        <v>0</v>
      </c>
      <c r="AC189" s="208"/>
      <c r="AD189" s="208"/>
      <c r="AE189" s="208"/>
      <c r="AF189" s="208"/>
      <c r="AG189" s="209" t="str">
        <f>IFERROR(INDEX('Local Data Previous Year'!$F:$F, MATCH($D189, 'Local Data Previous Year'!$D:$D, 0)), "")</f>
        <v/>
      </c>
      <c r="AH189" s="209" t="str">
        <f>IFERROR(INDEX('Local Data Previous Year'!$G:$G, MATCH($D189, 'Local Data Previous Year'!$D:$D, 0)), "")</f>
        <v/>
      </c>
      <c r="AI189" s="209" t="str">
        <f>IFERROR(INDEX('Local Data Previous Year'!$H:$H, MATCH($D189, 'Local Data Previous Year'!$D:$D, 0)), "")</f>
        <v/>
      </c>
      <c r="AJ189" s="209" t="str">
        <f t="shared" si="29"/>
        <v/>
      </c>
      <c r="AK189" s="209" t="str">
        <f t="shared" si="30"/>
        <v/>
      </c>
      <c r="AL189" s="209" t="str">
        <f t="shared" si="31"/>
        <v/>
      </c>
      <c r="AM189" s="208" t="str">
        <f>IF($AN189="","",IFERROR(VLOOKUP(CONCATENATE(CTR1_Billing!$E$20,$AN189),'Local Data Previous Year'!$C$3:$D$50000,2,0),CTR1_Billing!$E$21&amp;"NEW"))</f>
        <v/>
      </c>
      <c r="AN189" s="209" t="str" cm="1">
        <f t="array" ref="AN189">IF(ISERROR(INDEX('Local Data Previous Year'!$E$3:$E$50000, SMALL(IF(CTR1_Billing!$E$21='Local Data Previous Year'!$A$3:$A$50000, ROW('Local Data Previous Year'!$A$3:$A$50000)-ROW('Local Data Previous Year'!$A$3)+1), ROW(157:157)))), "", INDEX('Local Data Previous Year'!$E$3:$E$50000, SMALL(IF(CTR1_Billing!$E$21='Local Data Previous Year'!$A$3:$A$50000, ROW('Local Data Previous Year'!$A$3:$A$50000)-ROW('Local Data Previous Year'!$A$3)+1), ROW(157:157))))</f>
        <v/>
      </c>
      <c r="AO189" s="209" t="str">
        <f t="shared" si="32"/>
        <v/>
      </c>
      <c r="AP189" s="208"/>
      <c r="AQ189" s="209" t="str">
        <f t="shared" si="33"/>
        <v/>
      </c>
      <c r="AR189" s="209" t="str">
        <f t="shared" si="34"/>
        <v/>
      </c>
      <c r="AS189" s="202" t="str">
        <f t="shared" si="35"/>
        <v/>
      </c>
      <c r="AT189" s="202" t="str">
        <f t="shared" si="36"/>
        <v/>
      </c>
      <c r="AU189" s="208"/>
      <c r="AV189" s="208"/>
      <c r="AW189" s="208"/>
      <c r="AX189" s="208"/>
      <c r="AY189" s="208"/>
      <c r="AZ189" s="208"/>
      <c r="BA189" s="208"/>
      <c r="BB189" s="208"/>
      <c r="BC189" s="208"/>
      <c r="BD189" s="208"/>
      <c r="BE189" s="208"/>
      <c r="BF189" s="208"/>
      <c r="BG189" s="28"/>
      <c r="BH189" s="28"/>
      <c r="BI189" s="28"/>
      <c r="BJ189" s="28"/>
    </row>
    <row r="190" spans="1:62" s="23" customFormat="1" ht="21" customHeight="1" thickBot="1" x14ac:dyDescent="0.25">
      <c r="A190" s="846" t="str">
        <f>IF($AN190="","",IFERROR(VLOOKUP(CONCATENATE(CTR1_Billing!$E$20,$AN190),'Local Data Previous Year'!$C$3:$D$20000,2,0),CTR1_Billing!$E$21&amp;"NEW"))</f>
        <v/>
      </c>
      <c r="B190" s="846" t="str">
        <f>IF($E190="","",IFERROR(VLOOKUP(CONCATENATE(CTR1_Billing!$E$20,CTR1_Local!$E190),'Local Data Previous Year'!$C$3:$D$20000,2,0),CTR1_Billing!$E$21&amp;"NEW"))</f>
        <v/>
      </c>
      <c r="C190" s="846">
        <v>158</v>
      </c>
      <c r="D190" s="755" t="str" cm="1">
        <f t="array" ref="D190">IF(ISERROR(INDEX('Local Data Previous Year'!$D$3:$D$20000,SMALL(IF(CTR1_Billing!$E$21='Local Data Previous Year'!$A$3:$A$20000,ROW('Local Data Previous Year'!$A$3:$A$20000)-ROW('Local Data Previous Year'!$A$3)+1),ROW(158:158)))),"",INDEX('Local Data Previous Year'!$D$3:$D$20000,SMALL(IF(CTR1_Billing!$E$21='Local Data Previous Year'!$A$3:$A$20000,ROW('Local Data Previous Year'!$A$3:$A$20000)-ROW('Local Data Previous Year'!$A$3)+1),ROW(158:158))))</f>
        <v/>
      </c>
      <c r="E190" s="755" t="str" cm="1">
        <f t="array" ref="E190">IF(ISERROR(INDEX('Local Data Previous Year'!$E$3:$E$20000,SMALL(IF(CTR1_Billing!$E$21='Local Data Previous Year'!$A$3:$A$20000,ROW('Local Data Previous Year'!$A$3:$A$20000)-ROW('Local Data Previous Year'!$A$3)+1),ROW(158:158)))),"",INDEX('Local Data Previous Year'!$E$3:$E$20000,SMALL(IF(CTR1_Billing!$E$21='Local Data Previous Year'!$A$3:$A$20000,ROW('Local Data Previous Year'!$A$3:$A$20000)-ROW('Local Data Previous Year'!$A$3)+1),ROW(158:158))))</f>
        <v/>
      </c>
      <c r="F190" s="756" t="str">
        <f>IF($D190="","",IF(ISNA(MATCH($D190,'Local Data Previous Year'!$D$3:$D$20000,0)),"New",IFERROR(VLOOKUP($B190,'Local Data Previous Year'!$D$3:$I$20000,6,0),"")))</f>
        <v/>
      </c>
      <c r="G190" s="757">
        <f t="shared" si="37"/>
        <v>0</v>
      </c>
      <c r="H190" s="758" t="str">
        <f>IFERROR(INDEX('Local Data Previous Year'!$F:$F, MATCH($D190, 'Local Data Previous Year'!$D:$D, 0)), "")</f>
        <v/>
      </c>
      <c r="I190" s="759">
        <f>IF(B190=CTR1_Billing!$E$21&amp;"NEW",1,0)</f>
        <v>0</v>
      </c>
      <c r="J190" s="760" t="str">
        <f>IFERROR(INDEX('Local Data Previous Year'!$G:$G, MATCH($D190, 'Local Data Previous Year'!$D:$D, 0)), "")</f>
        <v/>
      </c>
      <c r="K190" s="762"/>
      <c r="L190" s="760" t="str">
        <f>IFERROR(INDEX('Local Data Previous Year'!$H:$H, MATCH($D190, 'Local Data Previous Year'!$D:$D, 0)), "")</f>
        <v/>
      </c>
      <c r="M190" s="762"/>
      <c r="N190" s="763"/>
      <c r="O190" s="767"/>
      <c r="P190" s="765"/>
      <c r="Q190" s="767"/>
      <c r="R190" s="766" t="str">
        <f t="shared" si="38"/>
        <v/>
      </c>
      <c r="S190" s="754"/>
      <c r="T190" s="763"/>
      <c r="U190" s="754"/>
      <c r="V190" s="763"/>
      <c r="W190" s="763"/>
      <c r="X190" s="865" t="str">
        <f>VLOOKUP(CTR1_Billing!$E$21,Data!$C$6:$D$302,1,FALSE)</f>
        <v>EZZZZ</v>
      </c>
      <c r="Y190" s="205"/>
      <c r="Z190" s="205">
        <f t="shared" si="26"/>
        <v>0</v>
      </c>
      <c r="AA190" s="206" t="str">
        <f t="shared" si="27"/>
        <v/>
      </c>
      <c r="AB190" s="205">
        <f t="shared" si="28"/>
        <v>0</v>
      </c>
      <c r="AC190" s="208"/>
      <c r="AD190" s="208"/>
      <c r="AE190" s="208"/>
      <c r="AF190" s="208"/>
      <c r="AG190" s="209" t="str">
        <f>IFERROR(INDEX('Local Data Previous Year'!$F:$F, MATCH($D190, 'Local Data Previous Year'!$D:$D, 0)), "")</f>
        <v/>
      </c>
      <c r="AH190" s="209" t="str">
        <f>IFERROR(INDEX('Local Data Previous Year'!$G:$G, MATCH($D190, 'Local Data Previous Year'!$D:$D, 0)), "")</f>
        <v/>
      </c>
      <c r="AI190" s="209" t="str">
        <f>IFERROR(INDEX('Local Data Previous Year'!$H:$H, MATCH($D190, 'Local Data Previous Year'!$D:$D, 0)), "")</f>
        <v/>
      </c>
      <c r="AJ190" s="209" t="str">
        <f t="shared" si="29"/>
        <v/>
      </c>
      <c r="AK190" s="209" t="str">
        <f t="shared" si="30"/>
        <v/>
      </c>
      <c r="AL190" s="209" t="str">
        <f t="shared" si="31"/>
        <v/>
      </c>
      <c r="AM190" s="208" t="str">
        <f>IF($AN190="","",IFERROR(VLOOKUP(CONCATENATE(CTR1_Billing!$E$20,$AN190),'Local Data Previous Year'!$C$3:$D$50000,2,0),CTR1_Billing!$E$21&amp;"NEW"))</f>
        <v/>
      </c>
      <c r="AN190" s="209" t="str" cm="1">
        <f t="array" ref="AN190">IF(ISERROR(INDEX('Local Data Previous Year'!$E$3:$E$50000, SMALL(IF(CTR1_Billing!$E$21='Local Data Previous Year'!$A$3:$A$50000, ROW('Local Data Previous Year'!$A$3:$A$50000)-ROW('Local Data Previous Year'!$A$3)+1), ROW(158:158)))), "", INDEX('Local Data Previous Year'!$E$3:$E$50000, SMALL(IF(CTR1_Billing!$E$21='Local Data Previous Year'!$A$3:$A$50000, ROW('Local Data Previous Year'!$A$3:$A$50000)-ROW('Local Data Previous Year'!$A$3)+1), ROW(158:158))))</f>
        <v/>
      </c>
      <c r="AO190" s="209" t="str">
        <f t="shared" si="32"/>
        <v/>
      </c>
      <c r="AP190" s="208"/>
      <c r="AQ190" s="209" t="str">
        <f t="shared" si="33"/>
        <v/>
      </c>
      <c r="AR190" s="209" t="str">
        <f t="shared" si="34"/>
        <v/>
      </c>
      <c r="AS190" s="202" t="str">
        <f t="shared" si="35"/>
        <v/>
      </c>
      <c r="AT190" s="202" t="str">
        <f t="shared" si="36"/>
        <v/>
      </c>
      <c r="AU190" s="208"/>
      <c r="AV190" s="208"/>
      <c r="AW190" s="208"/>
      <c r="AX190" s="208"/>
      <c r="AY190" s="208"/>
      <c r="AZ190" s="208"/>
      <c r="BA190" s="208"/>
      <c r="BB190" s="208"/>
      <c r="BC190" s="208"/>
      <c r="BD190" s="208"/>
      <c r="BE190" s="208"/>
      <c r="BF190" s="208"/>
      <c r="BG190" s="28"/>
      <c r="BH190" s="28"/>
      <c r="BI190" s="28"/>
      <c r="BJ190" s="28"/>
    </row>
    <row r="191" spans="1:62" s="23" customFormat="1" ht="21" customHeight="1" thickBot="1" x14ac:dyDescent="0.25">
      <c r="A191" s="846" t="str">
        <f>IF($AN191="","",IFERROR(VLOOKUP(CONCATENATE(CTR1_Billing!$E$20,$AN191),'Local Data Previous Year'!$C$3:$D$20000,2,0),CTR1_Billing!$E$21&amp;"NEW"))</f>
        <v/>
      </c>
      <c r="B191" s="846" t="str">
        <f>IF($E191="","",IFERROR(VLOOKUP(CONCATENATE(CTR1_Billing!$E$20,CTR1_Local!$E191),'Local Data Previous Year'!$C$3:$D$20000,2,0),CTR1_Billing!$E$21&amp;"NEW"))</f>
        <v/>
      </c>
      <c r="C191" s="846">
        <v>159</v>
      </c>
      <c r="D191" s="755" t="str" cm="1">
        <f t="array" ref="D191">IF(ISERROR(INDEX('Local Data Previous Year'!$D$3:$D$20000,SMALL(IF(CTR1_Billing!$E$21='Local Data Previous Year'!$A$3:$A$20000,ROW('Local Data Previous Year'!$A$3:$A$20000)-ROW('Local Data Previous Year'!$A$3)+1),ROW(159:159)))),"",INDEX('Local Data Previous Year'!$D$3:$D$20000,SMALL(IF(CTR1_Billing!$E$21='Local Data Previous Year'!$A$3:$A$20000,ROW('Local Data Previous Year'!$A$3:$A$20000)-ROW('Local Data Previous Year'!$A$3)+1),ROW(159:159))))</f>
        <v/>
      </c>
      <c r="E191" s="755" t="str" cm="1">
        <f t="array" ref="E191">IF(ISERROR(INDEX('Local Data Previous Year'!$E$3:$E$20000,SMALL(IF(CTR1_Billing!$E$21='Local Data Previous Year'!$A$3:$A$20000,ROW('Local Data Previous Year'!$A$3:$A$20000)-ROW('Local Data Previous Year'!$A$3)+1),ROW(159:159)))),"",INDEX('Local Data Previous Year'!$E$3:$E$20000,SMALL(IF(CTR1_Billing!$E$21='Local Data Previous Year'!$A$3:$A$20000,ROW('Local Data Previous Year'!$A$3:$A$20000)-ROW('Local Data Previous Year'!$A$3)+1),ROW(159:159))))</f>
        <v/>
      </c>
      <c r="F191" s="756" t="str">
        <f>IF($D191="","",IF(ISNA(MATCH($D191,'Local Data Previous Year'!$D$3:$D$20000,0)),"New",IFERROR(VLOOKUP($B191,'Local Data Previous Year'!$D$3:$I$20000,6,0),"")))</f>
        <v/>
      </c>
      <c r="G191" s="757">
        <f t="shared" si="37"/>
        <v>0</v>
      </c>
      <c r="H191" s="758" t="str">
        <f>IFERROR(INDEX('Local Data Previous Year'!$F:$F, MATCH($D191, 'Local Data Previous Year'!$D:$D, 0)), "")</f>
        <v/>
      </c>
      <c r="I191" s="759">
        <f>IF(B191=CTR1_Billing!$E$21&amp;"NEW",1,0)</f>
        <v>0</v>
      </c>
      <c r="J191" s="760" t="str">
        <f>IFERROR(INDEX('Local Data Previous Year'!$G:$G, MATCH($D191, 'Local Data Previous Year'!$D:$D, 0)), "")</f>
        <v/>
      </c>
      <c r="K191" s="762"/>
      <c r="L191" s="760" t="str">
        <f>IFERROR(INDEX('Local Data Previous Year'!$H:$H, MATCH($D191, 'Local Data Previous Year'!$D:$D, 0)), "")</f>
        <v/>
      </c>
      <c r="M191" s="762"/>
      <c r="N191" s="763"/>
      <c r="O191" s="767"/>
      <c r="P191" s="765"/>
      <c r="Q191" s="767"/>
      <c r="R191" s="766" t="str">
        <f t="shared" si="38"/>
        <v/>
      </c>
      <c r="S191" s="754"/>
      <c r="T191" s="763"/>
      <c r="U191" s="754"/>
      <c r="V191" s="763"/>
      <c r="W191" s="763"/>
      <c r="X191" s="865" t="str">
        <f>VLOOKUP(CTR1_Billing!$E$21,Data!$C$6:$D$302,1,FALSE)</f>
        <v>EZZZZ</v>
      </c>
      <c r="Y191" s="205"/>
      <c r="Z191" s="205">
        <f t="shared" si="26"/>
        <v>0</v>
      </c>
      <c r="AA191" s="206" t="str">
        <f t="shared" si="27"/>
        <v/>
      </c>
      <c r="AB191" s="205">
        <f t="shared" si="28"/>
        <v>0</v>
      </c>
      <c r="AC191" s="208"/>
      <c r="AD191" s="208"/>
      <c r="AE191" s="208"/>
      <c r="AF191" s="208"/>
      <c r="AG191" s="209" t="str">
        <f>IFERROR(INDEX('Local Data Previous Year'!$F:$F, MATCH($D191, 'Local Data Previous Year'!$D:$D, 0)), "")</f>
        <v/>
      </c>
      <c r="AH191" s="209" t="str">
        <f>IFERROR(INDEX('Local Data Previous Year'!$G:$G, MATCH($D191, 'Local Data Previous Year'!$D:$D, 0)), "")</f>
        <v/>
      </c>
      <c r="AI191" s="209" t="str">
        <f>IFERROR(INDEX('Local Data Previous Year'!$H:$H, MATCH($D191, 'Local Data Previous Year'!$D:$D, 0)), "")</f>
        <v/>
      </c>
      <c r="AJ191" s="209" t="str">
        <f t="shared" si="29"/>
        <v/>
      </c>
      <c r="AK191" s="209" t="str">
        <f t="shared" si="30"/>
        <v/>
      </c>
      <c r="AL191" s="209" t="str">
        <f t="shared" si="31"/>
        <v/>
      </c>
      <c r="AM191" s="208" t="str">
        <f>IF($AN191="","",IFERROR(VLOOKUP(CONCATENATE(CTR1_Billing!$E$20,$AN191),'Local Data Previous Year'!$C$3:$D$50000,2,0),CTR1_Billing!$E$21&amp;"NEW"))</f>
        <v/>
      </c>
      <c r="AN191" s="209" t="str" cm="1">
        <f t="array" ref="AN191">IF(ISERROR(INDEX('Local Data Previous Year'!$E$3:$E$50000, SMALL(IF(CTR1_Billing!$E$21='Local Data Previous Year'!$A$3:$A$50000, ROW('Local Data Previous Year'!$A$3:$A$50000)-ROW('Local Data Previous Year'!$A$3)+1), ROW(159:159)))), "", INDEX('Local Data Previous Year'!$E$3:$E$50000, SMALL(IF(CTR1_Billing!$E$21='Local Data Previous Year'!$A$3:$A$50000, ROW('Local Data Previous Year'!$A$3:$A$50000)-ROW('Local Data Previous Year'!$A$3)+1), ROW(159:159))))</f>
        <v/>
      </c>
      <c r="AO191" s="209" t="str">
        <f t="shared" si="32"/>
        <v/>
      </c>
      <c r="AP191" s="208"/>
      <c r="AQ191" s="209" t="str">
        <f t="shared" si="33"/>
        <v/>
      </c>
      <c r="AR191" s="209" t="str">
        <f t="shared" si="34"/>
        <v/>
      </c>
      <c r="AS191" s="202" t="str">
        <f t="shared" si="35"/>
        <v/>
      </c>
      <c r="AT191" s="202" t="str">
        <f t="shared" si="36"/>
        <v/>
      </c>
      <c r="AU191" s="208"/>
      <c r="AV191" s="208"/>
      <c r="AW191" s="208"/>
      <c r="AX191" s="208"/>
      <c r="AY191" s="208"/>
      <c r="AZ191" s="208"/>
      <c r="BA191" s="208"/>
      <c r="BB191" s="208"/>
      <c r="BC191" s="208"/>
      <c r="BD191" s="208"/>
      <c r="BE191" s="208"/>
      <c r="BF191" s="208"/>
      <c r="BG191" s="28"/>
      <c r="BH191" s="28"/>
      <c r="BI191" s="28"/>
      <c r="BJ191" s="28"/>
    </row>
    <row r="192" spans="1:62" s="23" customFormat="1" ht="21" customHeight="1" thickBot="1" x14ac:dyDescent="0.25">
      <c r="A192" s="846" t="str">
        <f>IF($AN192="","",IFERROR(VLOOKUP(CONCATENATE(CTR1_Billing!$E$20,$AN192),'Local Data Previous Year'!$C$3:$D$20000,2,0),CTR1_Billing!$E$21&amp;"NEW"))</f>
        <v/>
      </c>
      <c r="B192" s="846" t="str">
        <f>IF($E192="","",IFERROR(VLOOKUP(CONCATENATE(CTR1_Billing!$E$20,CTR1_Local!$E192),'Local Data Previous Year'!$C$3:$D$20000,2,0),CTR1_Billing!$E$21&amp;"NEW"))</f>
        <v/>
      </c>
      <c r="C192" s="846">
        <v>160</v>
      </c>
      <c r="D192" s="755" t="str" cm="1">
        <f t="array" ref="D192">IF(ISERROR(INDEX('Local Data Previous Year'!$D$3:$D$20000,SMALL(IF(CTR1_Billing!$E$21='Local Data Previous Year'!$A$3:$A$20000,ROW('Local Data Previous Year'!$A$3:$A$20000)-ROW('Local Data Previous Year'!$A$3)+1),ROW(160:160)))),"",INDEX('Local Data Previous Year'!$D$3:$D$20000,SMALL(IF(CTR1_Billing!$E$21='Local Data Previous Year'!$A$3:$A$20000,ROW('Local Data Previous Year'!$A$3:$A$20000)-ROW('Local Data Previous Year'!$A$3)+1),ROW(160:160))))</f>
        <v/>
      </c>
      <c r="E192" s="755" t="str" cm="1">
        <f t="array" ref="E192">IF(ISERROR(INDEX('Local Data Previous Year'!$E$3:$E$20000,SMALL(IF(CTR1_Billing!$E$21='Local Data Previous Year'!$A$3:$A$20000,ROW('Local Data Previous Year'!$A$3:$A$20000)-ROW('Local Data Previous Year'!$A$3)+1),ROW(160:160)))),"",INDEX('Local Data Previous Year'!$E$3:$E$20000,SMALL(IF(CTR1_Billing!$E$21='Local Data Previous Year'!$A$3:$A$20000,ROW('Local Data Previous Year'!$A$3:$A$20000)-ROW('Local Data Previous Year'!$A$3)+1),ROW(160:160))))</f>
        <v/>
      </c>
      <c r="F192" s="756" t="str">
        <f>IF($D192="","",IF(ISNA(MATCH($D192,'Local Data Previous Year'!$D$3:$D$20000,0)),"New",IFERROR(VLOOKUP($B192,'Local Data Previous Year'!$D$3:$I$20000,6,0),"")))</f>
        <v/>
      </c>
      <c r="G192" s="757">
        <f t="shared" si="37"/>
        <v>0</v>
      </c>
      <c r="H192" s="758" t="str">
        <f>IFERROR(INDEX('Local Data Previous Year'!$F:$F, MATCH($D192, 'Local Data Previous Year'!$D:$D, 0)), "")</f>
        <v/>
      </c>
      <c r="I192" s="759">
        <f>IF(B192=CTR1_Billing!$E$21&amp;"NEW",1,0)</f>
        <v>0</v>
      </c>
      <c r="J192" s="760" t="str">
        <f>IFERROR(INDEX('Local Data Previous Year'!$G:$G, MATCH($D192, 'Local Data Previous Year'!$D:$D, 0)), "")</f>
        <v/>
      </c>
      <c r="K192" s="762"/>
      <c r="L192" s="760" t="str">
        <f>IFERROR(INDEX('Local Data Previous Year'!$H:$H, MATCH($D192, 'Local Data Previous Year'!$D:$D, 0)), "")</f>
        <v/>
      </c>
      <c r="M192" s="762"/>
      <c r="N192" s="763"/>
      <c r="O192" s="767"/>
      <c r="P192" s="765"/>
      <c r="Q192" s="767"/>
      <c r="R192" s="766" t="str">
        <f t="shared" si="38"/>
        <v/>
      </c>
      <c r="S192" s="754"/>
      <c r="T192" s="763"/>
      <c r="U192" s="754"/>
      <c r="V192" s="763"/>
      <c r="W192" s="763"/>
      <c r="X192" s="865" t="str">
        <f>VLOOKUP(CTR1_Billing!$E$21,Data!$C$6:$D$302,1,FALSE)</f>
        <v>EZZZZ</v>
      </c>
      <c r="Y192" s="205"/>
      <c r="Z192" s="205">
        <f t="shared" si="26"/>
        <v>0</v>
      </c>
      <c r="AA192" s="206" t="str">
        <f t="shared" si="27"/>
        <v/>
      </c>
      <c r="AB192" s="205">
        <f t="shared" si="28"/>
        <v>0</v>
      </c>
      <c r="AC192" s="208"/>
      <c r="AD192" s="208"/>
      <c r="AE192" s="208"/>
      <c r="AF192" s="208"/>
      <c r="AG192" s="209" t="str">
        <f>IFERROR(INDEX('Local Data Previous Year'!$F:$F, MATCH($D192, 'Local Data Previous Year'!$D:$D, 0)), "")</f>
        <v/>
      </c>
      <c r="AH192" s="209" t="str">
        <f>IFERROR(INDEX('Local Data Previous Year'!$G:$G, MATCH($D192, 'Local Data Previous Year'!$D:$D, 0)), "")</f>
        <v/>
      </c>
      <c r="AI192" s="209" t="str">
        <f>IFERROR(INDEX('Local Data Previous Year'!$H:$H, MATCH($D192, 'Local Data Previous Year'!$D:$D, 0)), "")</f>
        <v/>
      </c>
      <c r="AJ192" s="209" t="str">
        <f t="shared" si="29"/>
        <v/>
      </c>
      <c r="AK192" s="209" t="str">
        <f t="shared" si="30"/>
        <v/>
      </c>
      <c r="AL192" s="209" t="str">
        <f t="shared" si="31"/>
        <v/>
      </c>
      <c r="AM192" s="208" t="str">
        <f>IF($AN192="","",IFERROR(VLOOKUP(CONCATENATE(CTR1_Billing!$E$20,$AN192),'Local Data Previous Year'!$C$3:$D$50000,2,0),CTR1_Billing!$E$21&amp;"NEW"))</f>
        <v/>
      </c>
      <c r="AN192" s="209" t="str" cm="1">
        <f t="array" ref="AN192">IF(ISERROR(INDEX('Local Data Previous Year'!$E$3:$E$50000, SMALL(IF(CTR1_Billing!$E$21='Local Data Previous Year'!$A$3:$A$50000, ROW('Local Data Previous Year'!$A$3:$A$50000)-ROW('Local Data Previous Year'!$A$3)+1), ROW(160:160)))), "", INDEX('Local Data Previous Year'!$E$3:$E$50000, SMALL(IF(CTR1_Billing!$E$21='Local Data Previous Year'!$A$3:$A$50000, ROW('Local Data Previous Year'!$A$3:$A$50000)-ROW('Local Data Previous Year'!$A$3)+1), ROW(160:160))))</f>
        <v/>
      </c>
      <c r="AO192" s="209" t="str">
        <f t="shared" si="32"/>
        <v/>
      </c>
      <c r="AP192" s="208"/>
      <c r="AQ192" s="209" t="str">
        <f t="shared" si="33"/>
        <v/>
      </c>
      <c r="AR192" s="209" t="str">
        <f t="shared" si="34"/>
        <v/>
      </c>
      <c r="AS192" s="202" t="str">
        <f t="shared" si="35"/>
        <v/>
      </c>
      <c r="AT192" s="202" t="str">
        <f t="shared" si="36"/>
        <v/>
      </c>
      <c r="AU192" s="208"/>
      <c r="AV192" s="208"/>
      <c r="AW192" s="208"/>
      <c r="AX192" s="208"/>
      <c r="AY192" s="208"/>
      <c r="AZ192" s="208"/>
      <c r="BA192" s="208"/>
      <c r="BB192" s="208"/>
      <c r="BC192" s="208"/>
      <c r="BD192" s="208"/>
      <c r="BE192" s="208"/>
      <c r="BF192" s="208"/>
      <c r="BG192" s="28"/>
      <c r="BH192" s="28"/>
      <c r="BI192" s="28"/>
      <c r="BJ192" s="28"/>
    </row>
    <row r="193" spans="1:62" s="23" customFormat="1" ht="21" customHeight="1" thickBot="1" x14ac:dyDescent="0.25">
      <c r="A193" s="846" t="str">
        <f>IF($AN193="","",IFERROR(VLOOKUP(CONCATENATE(CTR1_Billing!$E$20,$AN193),'Local Data Previous Year'!$C$3:$D$20000,2,0),CTR1_Billing!$E$21&amp;"NEW"))</f>
        <v/>
      </c>
      <c r="B193" s="846" t="str">
        <f>IF($E193="","",IFERROR(VLOOKUP(CONCATENATE(CTR1_Billing!$E$20,CTR1_Local!$E193),'Local Data Previous Year'!$C$3:$D$20000,2,0),CTR1_Billing!$E$21&amp;"NEW"))</f>
        <v/>
      </c>
      <c r="C193" s="846">
        <v>161</v>
      </c>
      <c r="D193" s="755" t="str" cm="1">
        <f t="array" ref="D193">IF(ISERROR(INDEX('Local Data Previous Year'!$D$3:$D$20000,SMALL(IF(CTR1_Billing!$E$21='Local Data Previous Year'!$A$3:$A$20000,ROW('Local Data Previous Year'!$A$3:$A$20000)-ROW('Local Data Previous Year'!$A$3)+1),ROW(161:161)))),"",INDEX('Local Data Previous Year'!$D$3:$D$20000,SMALL(IF(CTR1_Billing!$E$21='Local Data Previous Year'!$A$3:$A$20000,ROW('Local Data Previous Year'!$A$3:$A$20000)-ROW('Local Data Previous Year'!$A$3)+1),ROW(161:161))))</f>
        <v/>
      </c>
      <c r="E193" s="755" t="str" cm="1">
        <f t="array" ref="E193">IF(ISERROR(INDEX('Local Data Previous Year'!$E$3:$E$20000,SMALL(IF(CTR1_Billing!$E$21='Local Data Previous Year'!$A$3:$A$20000,ROW('Local Data Previous Year'!$A$3:$A$20000)-ROW('Local Data Previous Year'!$A$3)+1),ROW(161:161)))),"",INDEX('Local Data Previous Year'!$E$3:$E$20000,SMALL(IF(CTR1_Billing!$E$21='Local Data Previous Year'!$A$3:$A$20000,ROW('Local Data Previous Year'!$A$3:$A$20000)-ROW('Local Data Previous Year'!$A$3)+1),ROW(161:161))))</f>
        <v/>
      </c>
      <c r="F193" s="756" t="str">
        <f>IF($D193="","",IF(ISNA(MATCH($D193,'Local Data Previous Year'!$D$3:$D$20000,0)),"New",IFERROR(VLOOKUP($B193,'Local Data Previous Year'!$D$3:$I$20000,6,0),"")))</f>
        <v/>
      </c>
      <c r="G193" s="757">
        <f t="shared" si="37"/>
        <v>0</v>
      </c>
      <c r="H193" s="758" t="str">
        <f>IFERROR(INDEX('Local Data Previous Year'!$F:$F, MATCH($D193, 'Local Data Previous Year'!$D:$D, 0)), "")</f>
        <v/>
      </c>
      <c r="I193" s="759">
        <f>IF(B193=CTR1_Billing!$E$21&amp;"NEW",1,0)</f>
        <v>0</v>
      </c>
      <c r="J193" s="760" t="str">
        <f>IFERROR(INDEX('Local Data Previous Year'!$G:$G, MATCH($D193, 'Local Data Previous Year'!$D:$D, 0)), "")</f>
        <v/>
      </c>
      <c r="K193" s="762"/>
      <c r="L193" s="760" t="str">
        <f>IFERROR(INDEX('Local Data Previous Year'!$H:$H, MATCH($D193, 'Local Data Previous Year'!$D:$D, 0)), "")</f>
        <v/>
      </c>
      <c r="M193" s="762"/>
      <c r="N193" s="763"/>
      <c r="O193" s="767"/>
      <c r="P193" s="765"/>
      <c r="Q193" s="767"/>
      <c r="R193" s="766" t="str">
        <f t="shared" si="38"/>
        <v/>
      </c>
      <c r="S193" s="754"/>
      <c r="T193" s="763"/>
      <c r="U193" s="754"/>
      <c r="V193" s="763"/>
      <c r="W193" s="763"/>
      <c r="X193" s="865" t="str">
        <f>VLOOKUP(CTR1_Billing!$E$21,Data!$C$6:$D$302,1,FALSE)</f>
        <v>EZZZZ</v>
      </c>
      <c r="Y193" s="205"/>
      <c r="Z193" s="205">
        <f t="shared" si="26"/>
        <v>0</v>
      </c>
      <c r="AA193" s="206" t="str">
        <f t="shared" si="27"/>
        <v/>
      </c>
      <c r="AB193" s="205">
        <f t="shared" si="28"/>
        <v>0</v>
      </c>
      <c r="AC193" s="208"/>
      <c r="AD193" s="208"/>
      <c r="AE193" s="208"/>
      <c r="AF193" s="208"/>
      <c r="AG193" s="209" t="str">
        <f>IFERROR(INDEX('Local Data Previous Year'!$F:$F, MATCH($D193, 'Local Data Previous Year'!$D:$D, 0)), "")</f>
        <v/>
      </c>
      <c r="AH193" s="209" t="str">
        <f>IFERROR(INDEX('Local Data Previous Year'!$G:$G, MATCH($D193, 'Local Data Previous Year'!$D:$D, 0)), "")</f>
        <v/>
      </c>
      <c r="AI193" s="209" t="str">
        <f>IFERROR(INDEX('Local Data Previous Year'!$H:$H, MATCH($D193, 'Local Data Previous Year'!$D:$D, 0)), "")</f>
        <v/>
      </c>
      <c r="AJ193" s="209" t="str">
        <f t="shared" si="29"/>
        <v/>
      </c>
      <c r="AK193" s="209" t="str">
        <f t="shared" si="30"/>
        <v/>
      </c>
      <c r="AL193" s="209" t="str">
        <f t="shared" si="31"/>
        <v/>
      </c>
      <c r="AM193" s="208" t="str">
        <f>IF($AN193="","",IFERROR(VLOOKUP(CONCATENATE(CTR1_Billing!$E$20,$AN193),'Local Data Previous Year'!$C$3:$D$50000,2,0),CTR1_Billing!$E$21&amp;"NEW"))</f>
        <v/>
      </c>
      <c r="AN193" s="209" t="str" cm="1">
        <f t="array" ref="AN193">IF(ISERROR(INDEX('Local Data Previous Year'!$E$3:$E$50000, SMALL(IF(CTR1_Billing!$E$21='Local Data Previous Year'!$A$3:$A$50000, ROW('Local Data Previous Year'!$A$3:$A$50000)-ROW('Local Data Previous Year'!$A$3)+1), ROW(161:161)))), "", INDEX('Local Data Previous Year'!$E$3:$E$50000, SMALL(IF(CTR1_Billing!$E$21='Local Data Previous Year'!$A$3:$A$50000, ROW('Local Data Previous Year'!$A$3:$A$50000)-ROW('Local Data Previous Year'!$A$3)+1), ROW(161:161))))</f>
        <v/>
      </c>
      <c r="AO193" s="209" t="str">
        <f t="shared" si="32"/>
        <v/>
      </c>
      <c r="AP193" s="208"/>
      <c r="AQ193" s="209" t="str">
        <f t="shared" si="33"/>
        <v/>
      </c>
      <c r="AR193" s="209" t="str">
        <f t="shared" si="34"/>
        <v/>
      </c>
      <c r="AS193" s="202" t="str">
        <f t="shared" si="35"/>
        <v/>
      </c>
      <c r="AT193" s="202" t="str">
        <f t="shared" si="36"/>
        <v/>
      </c>
      <c r="AU193" s="208"/>
      <c r="AV193" s="208"/>
      <c r="AW193" s="208"/>
      <c r="AX193" s="208"/>
      <c r="AY193" s="208"/>
      <c r="AZ193" s="208"/>
      <c r="BA193" s="208"/>
      <c r="BB193" s="208"/>
      <c r="BC193" s="208"/>
      <c r="BD193" s="208"/>
      <c r="BE193" s="208"/>
      <c r="BF193" s="208"/>
      <c r="BG193" s="28"/>
      <c r="BH193" s="28"/>
      <c r="BI193" s="28"/>
      <c r="BJ193" s="28"/>
    </row>
    <row r="194" spans="1:62" s="23" customFormat="1" ht="21" customHeight="1" thickBot="1" x14ac:dyDescent="0.25">
      <c r="A194" s="846" t="str">
        <f>IF($AN194="","",IFERROR(VLOOKUP(CONCATENATE(CTR1_Billing!$E$20,$AN194),'Local Data Previous Year'!$C$3:$D$20000,2,0),CTR1_Billing!$E$21&amp;"NEW"))</f>
        <v/>
      </c>
      <c r="B194" s="846" t="str">
        <f>IF($E194="","",IFERROR(VLOOKUP(CONCATENATE(CTR1_Billing!$E$20,CTR1_Local!$E194),'Local Data Previous Year'!$C$3:$D$20000,2,0),CTR1_Billing!$E$21&amp;"NEW"))</f>
        <v/>
      </c>
      <c r="C194" s="846">
        <v>162</v>
      </c>
      <c r="D194" s="755" t="str" cm="1">
        <f t="array" ref="D194">IF(ISERROR(INDEX('Local Data Previous Year'!$D$3:$D$20000,SMALL(IF(CTR1_Billing!$E$21='Local Data Previous Year'!$A$3:$A$20000,ROW('Local Data Previous Year'!$A$3:$A$20000)-ROW('Local Data Previous Year'!$A$3)+1),ROW(162:162)))),"",INDEX('Local Data Previous Year'!$D$3:$D$20000,SMALL(IF(CTR1_Billing!$E$21='Local Data Previous Year'!$A$3:$A$20000,ROW('Local Data Previous Year'!$A$3:$A$20000)-ROW('Local Data Previous Year'!$A$3)+1),ROW(162:162))))</f>
        <v/>
      </c>
      <c r="E194" s="755" t="str" cm="1">
        <f t="array" ref="E194">IF(ISERROR(INDEX('Local Data Previous Year'!$E$3:$E$20000,SMALL(IF(CTR1_Billing!$E$21='Local Data Previous Year'!$A$3:$A$20000,ROW('Local Data Previous Year'!$A$3:$A$20000)-ROW('Local Data Previous Year'!$A$3)+1),ROW(162:162)))),"",INDEX('Local Data Previous Year'!$E$3:$E$20000,SMALL(IF(CTR1_Billing!$E$21='Local Data Previous Year'!$A$3:$A$20000,ROW('Local Data Previous Year'!$A$3:$A$20000)-ROW('Local Data Previous Year'!$A$3)+1),ROW(162:162))))</f>
        <v/>
      </c>
      <c r="F194" s="756" t="str">
        <f>IF($D194="","",IF(ISNA(MATCH($D194,'Local Data Previous Year'!$D$3:$D$20000,0)),"New",IFERROR(VLOOKUP($B194,'Local Data Previous Year'!$D$3:$I$20000,6,0),"")))</f>
        <v/>
      </c>
      <c r="G194" s="757">
        <f t="shared" si="37"/>
        <v>0</v>
      </c>
      <c r="H194" s="758" t="str">
        <f>IFERROR(INDEX('Local Data Previous Year'!$F:$F, MATCH($D194, 'Local Data Previous Year'!$D:$D, 0)), "")</f>
        <v/>
      </c>
      <c r="I194" s="759">
        <f>IF(B194=CTR1_Billing!$E$21&amp;"NEW",1,0)</f>
        <v>0</v>
      </c>
      <c r="J194" s="760" t="str">
        <f>IFERROR(INDEX('Local Data Previous Year'!$G:$G, MATCH($D194, 'Local Data Previous Year'!$D:$D, 0)), "")</f>
        <v/>
      </c>
      <c r="K194" s="762"/>
      <c r="L194" s="760" t="str">
        <f>IFERROR(INDEX('Local Data Previous Year'!$H:$H, MATCH($D194, 'Local Data Previous Year'!$D:$D, 0)), "")</f>
        <v/>
      </c>
      <c r="M194" s="762"/>
      <c r="N194" s="763"/>
      <c r="O194" s="767"/>
      <c r="P194" s="765"/>
      <c r="Q194" s="767"/>
      <c r="R194" s="766" t="str">
        <f t="shared" si="38"/>
        <v/>
      </c>
      <c r="S194" s="754"/>
      <c r="T194" s="763"/>
      <c r="U194" s="754"/>
      <c r="V194" s="763"/>
      <c r="W194" s="763"/>
      <c r="X194" s="865" t="str">
        <f>VLOOKUP(CTR1_Billing!$E$21,Data!$C$6:$D$302,1,FALSE)</f>
        <v>EZZZZ</v>
      </c>
      <c r="Y194" s="205"/>
      <c r="Z194" s="205">
        <f t="shared" si="26"/>
        <v>0</v>
      </c>
      <c r="AA194" s="206" t="str">
        <f t="shared" si="27"/>
        <v/>
      </c>
      <c r="AB194" s="205">
        <f t="shared" si="28"/>
        <v>0</v>
      </c>
      <c r="AC194" s="208"/>
      <c r="AD194" s="208"/>
      <c r="AE194" s="208"/>
      <c r="AF194" s="208"/>
      <c r="AG194" s="209" t="str">
        <f>IFERROR(INDEX('Local Data Previous Year'!$F:$F, MATCH($D194, 'Local Data Previous Year'!$D:$D, 0)), "")</f>
        <v/>
      </c>
      <c r="AH194" s="209" t="str">
        <f>IFERROR(INDEX('Local Data Previous Year'!$G:$G, MATCH($D194, 'Local Data Previous Year'!$D:$D, 0)), "")</f>
        <v/>
      </c>
      <c r="AI194" s="209" t="str">
        <f>IFERROR(INDEX('Local Data Previous Year'!$H:$H, MATCH($D194, 'Local Data Previous Year'!$D:$D, 0)), "")</f>
        <v/>
      </c>
      <c r="AJ194" s="209" t="str">
        <f t="shared" si="29"/>
        <v/>
      </c>
      <c r="AK194" s="209" t="str">
        <f t="shared" si="30"/>
        <v/>
      </c>
      <c r="AL194" s="209" t="str">
        <f t="shared" si="31"/>
        <v/>
      </c>
      <c r="AM194" s="208" t="str">
        <f>IF($AN194="","",IFERROR(VLOOKUP(CONCATENATE(CTR1_Billing!$E$20,$AN194),'Local Data Previous Year'!$C$3:$D$50000,2,0),CTR1_Billing!$E$21&amp;"NEW"))</f>
        <v/>
      </c>
      <c r="AN194" s="209" t="str" cm="1">
        <f t="array" ref="AN194">IF(ISERROR(INDEX('Local Data Previous Year'!$E$3:$E$50000, SMALL(IF(CTR1_Billing!$E$21='Local Data Previous Year'!$A$3:$A$50000, ROW('Local Data Previous Year'!$A$3:$A$50000)-ROW('Local Data Previous Year'!$A$3)+1), ROW(162:162)))), "", INDEX('Local Data Previous Year'!$E$3:$E$50000, SMALL(IF(CTR1_Billing!$E$21='Local Data Previous Year'!$A$3:$A$50000, ROW('Local Data Previous Year'!$A$3:$A$50000)-ROW('Local Data Previous Year'!$A$3)+1), ROW(162:162))))</f>
        <v/>
      </c>
      <c r="AO194" s="209" t="str">
        <f t="shared" si="32"/>
        <v/>
      </c>
      <c r="AP194" s="208"/>
      <c r="AQ194" s="209" t="str">
        <f t="shared" si="33"/>
        <v/>
      </c>
      <c r="AR194" s="209" t="str">
        <f t="shared" si="34"/>
        <v/>
      </c>
      <c r="AS194" s="202" t="str">
        <f t="shared" si="35"/>
        <v/>
      </c>
      <c r="AT194" s="202" t="str">
        <f t="shared" si="36"/>
        <v/>
      </c>
      <c r="AU194" s="208"/>
      <c r="AV194" s="208"/>
      <c r="AW194" s="208"/>
      <c r="AX194" s="208"/>
      <c r="AY194" s="208"/>
      <c r="AZ194" s="208"/>
      <c r="BA194" s="208"/>
      <c r="BB194" s="208"/>
      <c r="BC194" s="208"/>
      <c r="BD194" s="208"/>
      <c r="BE194" s="208"/>
      <c r="BF194" s="208"/>
      <c r="BG194" s="28"/>
      <c r="BH194" s="28"/>
      <c r="BI194" s="28"/>
      <c r="BJ194" s="28"/>
    </row>
    <row r="195" spans="1:62" s="23" customFormat="1" ht="21" customHeight="1" thickBot="1" x14ac:dyDescent="0.25">
      <c r="A195" s="846" t="str">
        <f>IF($AN195="","",IFERROR(VLOOKUP(CONCATENATE(CTR1_Billing!$E$20,$AN195),'Local Data Previous Year'!$C$3:$D$20000,2,0),CTR1_Billing!$E$21&amp;"NEW"))</f>
        <v/>
      </c>
      <c r="B195" s="846" t="str">
        <f>IF($E195="","",IFERROR(VLOOKUP(CONCATENATE(CTR1_Billing!$E$20,CTR1_Local!$E195),'Local Data Previous Year'!$C$3:$D$20000,2,0),CTR1_Billing!$E$21&amp;"NEW"))</f>
        <v/>
      </c>
      <c r="C195" s="846">
        <v>163</v>
      </c>
      <c r="D195" s="755" t="str" cm="1">
        <f t="array" ref="D195">IF(ISERROR(INDEX('Local Data Previous Year'!$D$3:$D$20000,SMALL(IF(CTR1_Billing!$E$21='Local Data Previous Year'!$A$3:$A$20000,ROW('Local Data Previous Year'!$A$3:$A$20000)-ROW('Local Data Previous Year'!$A$3)+1),ROW(163:163)))),"",INDEX('Local Data Previous Year'!$D$3:$D$20000,SMALL(IF(CTR1_Billing!$E$21='Local Data Previous Year'!$A$3:$A$20000,ROW('Local Data Previous Year'!$A$3:$A$20000)-ROW('Local Data Previous Year'!$A$3)+1),ROW(163:163))))</f>
        <v/>
      </c>
      <c r="E195" s="755" t="str" cm="1">
        <f t="array" ref="E195">IF(ISERROR(INDEX('Local Data Previous Year'!$E$3:$E$20000,SMALL(IF(CTR1_Billing!$E$21='Local Data Previous Year'!$A$3:$A$20000,ROW('Local Data Previous Year'!$A$3:$A$20000)-ROW('Local Data Previous Year'!$A$3)+1),ROW(163:163)))),"",INDEX('Local Data Previous Year'!$E$3:$E$20000,SMALL(IF(CTR1_Billing!$E$21='Local Data Previous Year'!$A$3:$A$20000,ROW('Local Data Previous Year'!$A$3:$A$20000)-ROW('Local Data Previous Year'!$A$3)+1),ROW(163:163))))</f>
        <v/>
      </c>
      <c r="F195" s="756" t="str">
        <f>IF($D195="","",IF(ISNA(MATCH($D195,'Local Data Previous Year'!$D$3:$D$20000,0)),"New",IFERROR(VLOOKUP($B195,'Local Data Previous Year'!$D$3:$I$20000,6,0),"")))</f>
        <v/>
      </c>
      <c r="G195" s="757">
        <f t="shared" si="37"/>
        <v>0</v>
      </c>
      <c r="H195" s="758" t="str">
        <f>IFERROR(INDEX('Local Data Previous Year'!$F:$F, MATCH($D195, 'Local Data Previous Year'!$D:$D, 0)), "")</f>
        <v/>
      </c>
      <c r="I195" s="759">
        <f>IF(B195=CTR1_Billing!$E$21&amp;"NEW",1,0)</f>
        <v>0</v>
      </c>
      <c r="J195" s="760" t="str">
        <f>IFERROR(INDEX('Local Data Previous Year'!$G:$G, MATCH($D195, 'Local Data Previous Year'!$D:$D, 0)), "")</f>
        <v/>
      </c>
      <c r="K195" s="762"/>
      <c r="L195" s="760" t="str">
        <f>IFERROR(INDEX('Local Data Previous Year'!$H:$H, MATCH($D195, 'Local Data Previous Year'!$D:$D, 0)), "")</f>
        <v/>
      </c>
      <c r="M195" s="762"/>
      <c r="N195" s="763"/>
      <c r="O195" s="767"/>
      <c r="P195" s="765"/>
      <c r="Q195" s="767"/>
      <c r="R195" s="766" t="str">
        <f t="shared" si="38"/>
        <v/>
      </c>
      <c r="S195" s="754"/>
      <c r="T195" s="763"/>
      <c r="U195" s="754"/>
      <c r="V195" s="763"/>
      <c r="W195" s="763"/>
      <c r="X195" s="865" t="str">
        <f>VLOOKUP(CTR1_Billing!$E$21,Data!$C$6:$D$302,1,FALSE)</f>
        <v>EZZZZ</v>
      </c>
      <c r="Y195" s="205"/>
      <c r="Z195" s="205">
        <f t="shared" si="26"/>
        <v>0</v>
      </c>
      <c r="AA195" s="206" t="str">
        <f t="shared" si="27"/>
        <v/>
      </c>
      <c r="AB195" s="205">
        <f t="shared" si="28"/>
        <v>0</v>
      </c>
      <c r="AC195" s="208"/>
      <c r="AD195" s="208"/>
      <c r="AE195" s="208"/>
      <c r="AF195" s="208"/>
      <c r="AG195" s="209" t="str">
        <f>IFERROR(INDEX('Local Data Previous Year'!$F:$F, MATCH($D195, 'Local Data Previous Year'!$D:$D, 0)), "")</f>
        <v/>
      </c>
      <c r="AH195" s="209" t="str">
        <f>IFERROR(INDEX('Local Data Previous Year'!$G:$G, MATCH($D195, 'Local Data Previous Year'!$D:$D, 0)), "")</f>
        <v/>
      </c>
      <c r="AI195" s="209" t="str">
        <f>IFERROR(INDEX('Local Data Previous Year'!$H:$H, MATCH($D195, 'Local Data Previous Year'!$D:$D, 0)), "")</f>
        <v/>
      </c>
      <c r="AJ195" s="209" t="str">
        <f t="shared" si="29"/>
        <v/>
      </c>
      <c r="AK195" s="209" t="str">
        <f t="shared" si="30"/>
        <v/>
      </c>
      <c r="AL195" s="209" t="str">
        <f t="shared" si="31"/>
        <v/>
      </c>
      <c r="AM195" s="208" t="str">
        <f>IF($AN195="","",IFERROR(VLOOKUP(CONCATENATE(CTR1_Billing!$E$20,$AN195),'Local Data Previous Year'!$C$3:$D$50000,2,0),CTR1_Billing!$E$21&amp;"NEW"))</f>
        <v/>
      </c>
      <c r="AN195" s="209" t="str" cm="1">
        <f t="array" ref="AN195">IF(ISERROR(INDEX('Local Data Previous Year'!$E$3:$E$50000, SMALL(IF(CTR1_Billing!$E$21='Local Data Previous Year'!$A$3:$A$50000, ROW('Local Data Previous Year'!$A$3:$A$50000)-ROW('Local Data Previous Year'!$A$3)+1), ROW(163:163)))), "", INDEX('Local Data Previous Year'!$E$3:$E$50000, SMALL(IF(CTR1_Billing!$E$21='Local Data Previous Year'!$A$3:$A$50000, ROW('Local Data Previous Year'!$A$3:$A$50000)-ROW('Local Data Previous Year'!$A$3)+1), ROW(163:163))))</f>
        <v/>
      </c>
      <c r="AO195" s="209" t="str">
        <f t="shared" si="32"/>
        <v/>
      </c>
      <c r="AP195" s="208"/>
      <c r="AQ195" s="209" t="str">
        <f t="shared" si="33"/>
        <v/>
      </c>
      <c r="AR195" s="209" t="str">
        <f t="shared" si="34"/>
        <v/>
      </c>
      <c r="AS195" s="202" t="str">
        <f t="shared" si="35"/>
        <v/>
      </c>
      <c r="AT195" s="202" t="str">
        <f t="shared" si="36"/>
        <v/>
      </c>
      <c r="AU195" s="208"/>
      <c r="AV195" s="208"/>
      <c r="AW195" s="208"/>
      <c r="AX195" s="208"/>
      <c r="AY195" s="208"/>
      <c r="AZ195" s="208"/>
      <c r="BA195" s="208"/>
      <c r="BB195" s="208"/>
      <c r="BC195" s="208"/>
      <c r="BD195" s="208"/>
      <c r="BE195" s="208"/>
      <c r="BF195" s="208"/>
      <c r="BG195" s="28"/>
      <c r="BH195" s="28"/>
      <c r="BI195" s="28"/>
      <c r="BJ195" s="28"/>
    </row>
    <row r="196" spans="1:62" s="23" customFormat="1" ht="21" customHeight="1" thickBot="1" x14ac:dyDescent="0.25">
      <c r="A196" s="846" t="str">
        <f>IF($AN196="","",IFERROR(VLOOKUP(CONCATENATE(CTR1_Billing!$E$20,$AN196),'Local Data Previous Year'!$C$3:$D$20000,2,0),CTR1_Billing!$E$21&amp;"NEW"))</f>
        <v/>
      </c>
      <c r="B196" s="846" t="str">
        <f>IF($E196="","",IFERROR(VLOOKUP(CONCATENATE(CTR1_Billing!$E$20,CTR1_Local!$E196),'Local Data Previous Year'!$C$3:$D$20000,2,0),CTR1_Billing!$E$21&amp;"NEW"))</f>
        <v/>
      </c>
      <c r="C196" s="846">
        <v>164</v>
      </c>
      <c r="D196" s="755" t="str" cm="1">
        <f t="array" ref="D196">IF(ISERROR(INDEX('Local Data Previous Year'!$D$3:$D$20000,SMALL(IF(CTR1_Billing!$E$21='Local Data Previous Year'!$A$3:$A$20000,ROW('Local Data Previous Year'!$A$3:$A$20000)-ROW('Local Data Previous Year'!$A$3)+1),ROW(164:164)))),"",INDEX('Local Data Previous Year'!$D$3:$D$20000,SMALL(IF(CTR1_Billing!$E$21='Local Data Previous Year'!$A$3:$A$20000,ROW('Local Data Previous Year'!$A$3:$A$20000)-ROW('Local Data Previous Year'!$A$3)+1),ROW(164:164))))</f>
        <v/>
      </c>
      <c r="E196" s="755" t="str" cm="1">
        <f t="array" ref="E196">IF(ISERROR(INDEX('Local Data Previous Year'!$E$3:$E$20000,SMALL(IF(CTR1_Billing!$E$21='Local Data Previous Year'!$A$3:$A$20000,ROW('Local Data Previous Year'!$A$3:$A$20000)-ROW('Local Data Previous Year'!$A$3)+1),ROW(164:164)))),"",INDEX('Local Data Previous Year'!$E$3:$E$20000,SMALL(IF(CTR1_Billing!$E$21='Local Data Previous Year'!$A$3:$A$20000,ROW('Local Data Previous Year'!$A$3:$A$20000)-ROW('Local Data Previous Year'!$A$3)+1),ROW(164:164))))</f>
        <v/>
      </c>
      <c r="F196" s="756" t="str">
        <f>IF($D196="","",IF(ISNA(MATCH($D196,'Local Data Previous Year'!$D$3:$D$20000,0)),"New",IFERROR(VLOOKUP($B196,'Local Data Previous Year'!$D$3:$I$20000,6,0),"")))</f>
        <v/>
      </c>
      <c r="G196" s="757">
        <f t="shared" si="37"/>
        <v>0</v>
      </c>
      <c r="H196" s="758" t="str">
        <f>IFERROR(INDEX('Local Data Previous Year'!$F:$F, MATCH($D196, 'Local Data Previous Year'!$D:$D, 0)), "")</f>
        <v/>
      </c>
      <c r="I196" s="759">
        <f>IF(B196=CTR1_Billing!$E$21&amp;"NEW",1,0)</f>
        <v>0</v>
      </c>
      <c r="J196" s="760" t="str">
        <f>IFERROR(INDEX('Local Data Previous Year'!$G:$G, MATCH($D196, 'Local Data Previous Year'!$D:$D, 0)), "")</f>
        <v/>
      </c>
      <c r="K196" s="762"/>
      <c r="L196" s="760" t="str">
        <f>IFERROR(INDEX('Local Data Previous Year'!$H:$H, MATCH($D196, 'Local Data Previous Year'!$D:$D, 0)), "")</f>
        <v/>
      </c>
      <c r="M196" s="762"/>
      <c r="N196" s="763"/>
      <c r="O196" s="767"/>
      <c r="P196" s="765"/>
      <c r="Q196" s="767"/>
      <c r="R196" s="766" t="str">
        <f t="shared" si="38"/>
        <v/>
      </c>
      <c r="S196" s="754"/>
      <c r="T196" s="763"/>
      <c r="U196" s="754"/>
      <c r="V196" s="763"/>
      <c r="W196" s="763"/>
      <c r="X196" s="865" t="str">
        <f>VLOOKUP(CTR1_Billing!$E$21,Data!$C$6:$D$302,1,FALSE)</f>
        <v>EZZZZ</v>
      </c>
      <c r="Y196" s="205"/>
      <c r="Z196" s="205">
        <f t="shared" si="26"/>
        <v>0</v>
      </c>
      <c r="AA196" s="206" t="str">
        <f t="shared" si="27"/>
        <v/>
      </c>
      <c r="AB196" s="205">
        <f t="shared" si="28"/>
        <v>0</v>
      </c>
      <c r="AC196" s="208"/>
      <c r="AD196" s="208"/>
      <c r="AE196" s="208"/>
      <c r="AF196" s="208"/>
      <c r="AG196" s="209" t="str">
        <f>IFERROR(INDEX('Local Data Previous Year'!$F:$F, MATCH($D196, 'Local Data Previous Year'!$D:$D, 0)), "")</f>
        <v/>
      </c>
      <c r="AH196" s="209" t="str">
        <f>IFERROR(INDEX('Local Data Previous Year'!$G:$G, MATCH($D196, 'Local Data Previous Year'!$D:$D, 0)), "")</f>
        <v/>
      </c>
      <c r="AI196" s="209" t="str">
        <f>IFERROR(INDEX('Local Data Previous Year'!$H:$H, MATCH($D196, 'Local Data Previous Year'!$D:$D, 0)), "")</f>
        <v/>
      </c>
      <c r="AJ196" s="209" t="str">
        <f t="shared" si="29"/>
        <v/>
      </c>
      <c r="AK196" s="209" t="str">
        <f t="shared" si="30"/>
        <v/>
      </c>
      <c r="AL196" s="209" t="str">
        <f t="shared" si="31"/>
        <v/>
      </c>
      <c r="AM196" s="208" t="str">
        <f>IF($AN196="","",IFERROR(VLOOKUP(CONCATENATE(CTR1_Billing!$E$20,$AN196),'Local Data Previous Year'!$C$3:$D$50000,2,0),CTR1_Billing!$E$21&amp;"NEW"))</f>
        <v/>
      </c>
      <c r="AN196" s="209" t="str" cm="1">
        <f t="array" ref="AN196">IF(ISERROR(INDEX('Local Data Previous Year'!$E$3:$E$50000, SMALL(IF(CTR1_Billing!$E$21='Local Data Previous Year'!$A$3:$A$50000, ROW('Local Data Previous Year'!$A$3:$A$50000)-ROW('Local Data Previous Year'!$A$3)+1), ROW(164:164)))), "", INDEX('Local Data Previous Year'!$E$3:$E$50000, SMALL(IF(CTR1_Billing!$E$21='Local Data Previous Year'!$A$3:$A$50000, ROW('Local Data Previous Year'!$A$3:$A$50000)-ROW('Local Data Previous Year'!$A$3)+1), ROW(164:164))))</f>
        <v/>
      </c>
      <c r="AO196" s="209" t="str">
        <f t="shared" si="32"/>
        <v/>
      </c>
      <c r="AP196" s="208"/>
      <c r="AQ196" s="209" t="str">
        <f t="shared" si="33"/>
        <v/>
      </c>
      <c r="AR196" s="209" t="str">
        <f t="shared" si="34"/>
        <v/>
      </c>
      <c r="AS196" s="202" t="str">
        <f t="shared" si="35"/>
        <v/>
      </c>
      <c r="AT196" s="202" t="str">
        <f t="shared" si="36"/>
        <v/>
      </c>
      <c r="AU196" s="208"/>
      <c r="AV196" s="208"/>
      <c r="AW196" s="208"/>
      <c r="AX196" s="208"/>
      <c r="AY196" s="208"/>
      <c r="AZ196" s="208"/>
      <c r="BA196" s="208"/>
      <c r="BB196" s="208"/>
      <c r="BC196" s="208"/>
      <c r="BD196" s="208"/>
      <c r="BE196" s="208"/>
      <c r="BF196" s="208"/>
      <c r="BG196" s="28"/>
      <c r="BH196" s="28"/>
      <c r="BI196" s="28"/>
      <c r="BJ196" s="28"/>
    </row>
    <row r="197" spans="1:62" s="23" customFormat="1" ht="21" customHeight="1" thickBot="1" x14ac:dyDescent="0.25">
      <c r="A197" s="846" t="str">
        <f>IF($AN197="","",IFERROR(VLOOKUP(CONCATENATE(CTR1_Billing!$E$20,$AN197),'Local Data Previous Year'!$C$3:$D$20000,2,0),CTR1_Billing!$E$21&amp;"NEW"))</f>
        <v/>
      </c>
      <c r="B197" s="846" t="str">
        <f>IF($E197="","",IFERROR(VLOOKUP(CONCATENATE(CTR1_Billing!$E$20,CTR1_Local!$E197),'Local Data Previous Year'!$C$3:$D$20000,2,0),CTR1_Billing!$E$21&amp;"NEW"))</f>
        <v/>
      </c>
      <c r="C197" s="846">
        <v>165</v>
      </c>
      <c r="D197" s="755" t="str" cm="1">
        <f t="array" ref="D197">IF(ISERROR(INDEX('Local Data Previous Year'!$D$3:$D$20000,SMALL(IF(CTR1_Billing!$E$21='Local Data Previous Year'!$A$3:$A$20000,ROW('Local Data Previous Year'!$A$3:$A$20000)-ROW('Local Data Previous Year'!$A$3)+1),ROW(165:165)))),"",INDEX('Local Data Previous Year'!$D$3:$D$20000,SMALL(IF(CTR1_Billing!$E$21='Local Data Previous Year'!$A$3:$A$20000,ROW('Local Data Previous Year'!$A$3:$A$20000)-ROW('Local Data Previous Year'!$A$3)+1),ROW(165:165))))</f>
        <v/>
      </c>
      <c r="E197" s="755" t="str" cm="1">
        <f t="array" ref="E197">IF(ISERROR(INDEX('Local Data Previous Year'!$E$3:$E$20000,SMALL(IF(CTR1_Billing!$E$21='Local Data Previous Year'!$A$3:$A$20000,ROW('Local Data Previous Year'!$A$3:$A$20000)-ROW('Local Data Previous Year'!$A$3)+1),ROW(165:165)))),"",INDEX('Local Data Previous Year'!$E$3:$E$20000,SMALL(IF(CTR1_Billing!$E$21='Local Data Previous Year'!$A$3:$A$20000,ROW('Local Data Previous Year'!$A$3:$A$20000)-ROW('Local Data Previous Year'!$A$3)+1),ROW(165:165))))</f>
        <v/>
      </c>
      <c r="F197" s="756" t="str">
        <f>IF($D197="","",IF(ISNA(MATCH($D197,'Local Data Previous Year'!$D$3:$D$20000,0)),"New",IFERROR(VLOOKUP($B197,'Local Data Previous Year'!$D$3:$I$20000,6,0),"")))</f>
        <v/>
      </c>
      <c r="G197" s="757">
        <f t="shared" si="37"/>
        <v>0</v>
      </c>
      <c r="H197" s="758" t="str">
        <f>IFERROR(INDEX('Local Data Previous Year'!$F:$F, MATCH($D197, 'Local Data Previous Year'!$D:$D, 0)), "")</f>
        <v/>
      </c>
      <c r="I197" s="759">
        <f>IF(B197=CTR1_Billing!$E$21&amp;"NEW",1,0)</f>
        <v>0</v>
      </c>
      <c r="J197" s="760" t="str">
        <f>IFERROR(INDEX('Local Data Previous Year'!$G:$G, MATCH($D197, 'Local Data Previous Year'!$D:$D, 0)), "")</f>
        <v/>
      </c>
      <c r="K197" s="762"/>
      <c r="L197" s="760" t="str">
        <f>IFERROR(INDEX('Local Data Previous Year'!$H:$H, MATCH($D197, 'Local Data Previous Year'!$D:$D, 0)), "")</f>
        <v/>
      </c>
      <c r="M197" s="762"/>
      <c r="N197" s="763"/>
      <c r="O197" s="767"/>
      <c r="P197" s="765"/>
      <c r="Q197" s="767"/>
      <c r="R197" s="766" t="str">
        <f t="shared" si="38"/>
        <v/>
      </c>
      <c r="S197" s="754"/>
      <c r="T197" s="763"/>
      <c r="U197" s="754"/>
      <c r="V197" s="763"/>
      <c r="W197" s="763"/>
      <c r="X197" s="865" t="str">
        <f>VLOOKUP(CTR1_Billing!$E$21,Data!$C$6:$D$302,1,FALSE)</f>
        <v>EZZZZ</v>
      </c>
      <c r="Y197" s="205"/>
      <c r="Z197" s="205">
        <f t="shared" si="26"/>
        <v>0</v>
      </c>
      <c r="AA197" s="206" t="str">
        <f t="shared" si="27"/>
        <v/>
      </c>
      <c r="AB197" s="205">
        <f t="shared" si="28"/>
        <v>0</v>
      </c>
      <c r="AC197" s="208"/>
      <c r="AD197" s="208"/>
      <c r="AE197" s="208"/>
      <c r="AF197" s="208"/>
      <c r="AG197" s="209" t="str">
        <f>IFERROR(INDEX('Local Data Previous Year'!$F:$F, MATCH($D197, 'Local Data Previous Year'!$D:$D, 0)), "")</f>
        <v/>
      </c>
      <c r="AH197" s="209" t="str">
        <f>IFERROR(INDEX('Local Data Previous Year'!$G:$G, MATCH($D197, 'Local Data Previous Year'!$D:$D, 0)), "")</f>
        <v/>
      </c>
      <c r="AI197" s="209" t="str">
        <f>IFERROR(INDEX('Local Data Previous Year'!$H:$H, MATCH($D197, 'Local Data Previous Year'!$D:$D, 0)), "")</f>
        <v/>
      </c>
      <c r="AJ197" s="209" t="str">
        <f t="shared" si="29"/>
        <v/>
      </c>
      <c r="AK197" s="209" t="str">
        <f t="shared" si="30"/>
        <v/>
      </c>
      <c r="AL197" s="209" t="str">
        <f t="shared" si="31"/>
        <v/>
      </c>
      <c r="AM197" s="208" t="str">
        <f>IF($AN197="","",IFERROR(VLOOKUP(CONCATENATE(CTR1_Billing!$E$20,$AN197),'Local Data Previous Year'!$C$3:$D$50000,2,0),CTR1_Billing!$E$21&amp;"NEW"))</f>
        <v/>
      </c>
      <c r="AN197" s="209" t="str" cm="1">
        <f t="array" ref="AN197">IF(ISERROR(INDEX('Local Data Previous Year'!$E$3:$E$50000, SMALL(IF(CTR1_Billing!$E$21='Local Data Previous Year'!$A$3:$A$50000, ROW('Local Data Previous Year'!$A$3:$A$50000)-ROW('Local Data Previous Year'!$A$3)+1), ROW(165:165)))), "", INDEX('Local Data Previous Year'!$E$3:$E$50000, SMALL(IF(CTR1_Billing!$E$21='Local Data Previous Year'!$A$3:$A$50000, ROW('Local Data Previous Year'!$A$3:$A$50000)-ROW('Local Data Previous Year'!$A$3)+1), ROW(165:165))))</f>
        <v/>
      </c>
      <c r="AO197" s="209" t="str">
        <f t="shared" si="32"/>
        <v/>
      </c>
      <c r="AP197" s="208"/>
      <c r="AQ197" s="209" t="str">
        <f t="shared" si="33"/>
        <v/>
      </c>
      <c r="AR197" s="209" t="str">
        <f t="shared" si="34"/>
        <v/>
      </c>
      <c r="AS197" s="202" t="str">
        <f t="shared" si="35"/>
        <v/>
      </c>
      <c r="AT197" s="202" t="str">
        <f t="shared" si="36"/>
        <v/>
      </c>
      <c r="AU197" s="208"/>
      <c r="AV197" s="208"/>
      <c r="AW197" s="208"/>
      <c r="AX197" s="208"/>
      <c r="AY197" s="208"/>
      <c r="AZ197" s="208"/>
      <c r="BA197" s="208"/>
      <c r="BB197" s="208"/>
      <c r="BC197" s="208"/>
      <c r="BD197" s="208"/>
      <c r="BE197" s="208"/>
      <c r="BF197" s="208"/>
      <c r="BG197" s="28"/>
      <c r="BH197" s="28"/>
      <c r="BI197" s="28"/>
      <c r="BJ197" s="28"/>
    </row>
    <row r="198" spans="1:62" s="23" customFormat="1" ht="21" customHeight="1" thickBot="1" x14ac:dyDescent="0.25">
      <c r="A198" s="846" t="str">
        <f>IF($AN198="","",IFERROR(VLOOKUP(CONCATENATE(CTR1_Billing!$E$20,$AN198),'Local Data Previous Year'!$C$3:$D$20000,2,0),CTR1_Billing!$E$21&amp;"NEW"))</f>
        <v/>
      </c>
      <c r="B198" s="846" t="str">
        <f>IF($E198="","",IFERROR(VLOOKUP(CONCATENATE(CTR1_Billing!$E$20,CTR1_Local!$E198),'Local Data Previous Year'!$C$3:$D$20000,2,0),CTR1_Billing!$E$21&amp;"NEW"))</f>
        <v/>
      </c>
      <c r="C198" s="846">
        <v>166</v>
      </c>
      <c r="D198" s="755" t="str" cm="1">
        <f t="array" ref="D198">IF(ISERROR(INDEX('Local Data Previous Year'!$D$3:$D$20000,SMALL(IF(CTR1_Billing!$E$21='Local Data Previous Year'!$A$3:$A$20000,ROW('Local Data Previous Year'!$A$3:$A$20000)-ROW('Local Data Previous Year'!$A$3)+1),ROW(166:166)))),"",INDEX('Local Data Previous Year'!$D$3:$D$20000,SMALL(IF(CTR1_Billing!$E$21='Local Data Previous Year'!$A$3:$A$20000,ROW('Local Data Previous Year'!$A$3:$A$20000)-ROW('Local Data Previous Year'!$A$3)+1),ROW(166:166))))</f>
        <v/>
      </c>
      <c r="E198" s="755" t="str" cm="1">
        <f t="array" ref="E198">IF(ISERROR(INDEX('Local Data Previous Year'!$E$3:$E$20000,SMALL(IF(CTR1_Billing!$E$21='Local Data Previous Year'!$A$3:$A$20000,ROW('Local Data Previous Year'!$A$3:$A$20000)-ROW('Local Data Previous Year'!$A$3)+1),ROW(166:166)))),"",INDEX('Local Data Previous Year'!$E$3:$E$20000,SMALL(IF(CTR1_Billing!$E$21='Local Data Previous Year'!$A$3:$A$20000,ROW('Local Data Previous Year'!$A$3:$A$20000)-ROW('Local Data Previous Year'!$A$3)+1),ROW(166:166))))</f>
        <v/>
      </c>
      <c r="F198" s="756" t="str">
        <f>IF($D198="","",IF(ISNA(MATCH($D198,'Local Data Previous Year'!$D$3:$D$20000,0)),"New",IFERROR(VLOOKUP($B198,'Local Data Previous Year'!$D$3:$I$20000,6,0),"")))</f>
        <v/>
      </c>
      <c r="G198" s="757">
        <f t="shared" si="37"/>
        <v>0</v>
      </c>
      <c r="H198" s="758" t="str">
        <f>IFERROR(INDEX('Local Data Previous Year'!$F:$F, MATCH($D198, 'Local Data Previous Year'!$D:$D, 0)), "")</f>
        <v/>
      </c>
      <c r="I198" s="759">
        <f>IF(B198=CTR1_Billing!$E$21&amp;"NEW",1,0)</f>
        <v>0</v>
      </c>
      <c r="J198" s="760" t="str">
        <f>IFERROR(INDEX('Local Data Previous Year'!$G:$G, MATCH($D198, 'Local Data Previous Year'!$D:$D, 0)), "")</f>
        <v/>
      </c>
      <c r="K198" s="762"/>
      <c r="L198" s="760" t="str">
        <f>IFERROR(INDEX('Local Data Previous Year'!$H:$H, MATCH($D198, 'Local Data Previous Year'!$D:$D, 0)), "")</f>
        <v/>
      </c>
      <c r="M198" s="762"/>
      <c r="N198" s="763"/>
      <c r="O198" s="767"/>
      <c r="P198" s="765"/>
      <c r="Q198" s="767"/>
      <c r="R198" s="766" t="str">
        <f t="shared" si="38"/>
        <v/>
      </c>
      <c r="S198" s="754"/>
      <c r="T198" s="763"/>
      <c r="U198" s="754"/>
      <c r="V198" s="763"/>
      <c r="W198" s="763"/>
      <c r="X198" s="865" t="str">
        <f>VLOOKUP(CTR1_Billing!$E$21,Data!$C$6:$D$302,1,FALSE)</f>
        <v>EZZZZ</v>
      </c>
      <c r="Y198" s="205"/>
      <c r="Z198" s="205">
        <f t="shared" si="26"/>
        <v>0</v>
      </c>
      <c r="AA198" s="206" t="str">
        <f t="shared" si="27"/>
        <v/>
      </c>
      <c r="AB198" s="205">
        <f t="shared" si="28"/>
        <v>0</v>
      </c>
      <c r="AC198" s="208"/>
      <c r="AD198" s="208"/>
      <c r="AE198" s="208"/>
      <c r="AF198" s="208"/>
      <c r="AG198" s="209" t="str">
        <f>IFERROR(INDEX('Local Data Previous Year'!$F:$F, MATCH($D198, 'Local Data Previous Year'!$D:$D, 0)), "")</f>
        <v/>
      </c>
      <c r="AH198" s="209" t="str">
        <f>IFERROR(INDEX('Local Data Previous Year'!$G:$G, MATCH($D198, 'Local Data Previous Year'!$D:$D, 0)), "")</f>
        <v/>
      </c>
      <c r="AI198" s="209" t="str">
        <f>IFERROR(INDEX('Local Data Previous Year'!$H:$H, MATCH($D198, 'Local Data Previous Year'!$D:$D, 0)), "")</f>
        <v/>
      </c>
      <c r="AJ198" s="209" t="str">
        <f t="shared" si="29"/>
        <v/>
      </c>
      <c r="AK198" s="209" t="str">
        <f t="shared" si="30"/>
        <v/>
      </c>
      <c r="AL198" s="209" t="str">
        <f t="shared" si="31"/>
        <v/>
      </c>
      <c r="AM198" s="208" t="str">
        <f>IF($AN198="","",IFERROR(VLOOKUP(CONCATENATE(CTR1_Billing!$E$20,$AN198),'Local Data Previous Year'!$C$3:$D$50000,2,0),CTR1_Billing!$E$21&amp;"NEW"))</f>
        <v/>
      </c>
      <c r="AN198" s="209" t="str" cm="1">
        <f t="array" ref="AN198">IF(ISERROR(INDEX('Local Data Previous Year'!$E$3:$E$50000, SMALL(IF(CTR1_Billing!$E$21='Local Data Previous Year'!$A$3:$A$50000, ROW('Local Data Previous Year'!$A$3:$A$50000)-ROW('Local Data Previous Year'!$A$3)+1), ROW(166:166)))), "", INDEX('Local Data Previous Year'!$E$3:$E$50000, SMALL(IF(CTR1_Billing!$E$21='Local Data Previous Year'!$A$3:$A$50000, ROW('Local Data Previous Year'!$A$3:$A$50000)-ROW('Local Data Previous Year'!$A$3)+1), ROW(166:166))))</f>
        <v/>
      </c>
      <c r="AO198" s="209" t="str">
        <f t="shared" si="32"/>
        <v/>
      </c>
      <c r="AP198" s="208"/>
      <c r="AQ198" s="209" t="str">
        <f t="shared" si="33"/>
        <v/>
      </c>
      <c r="AR198" s="209" t="str">
        <f t="shared" si="34"/>
        <v/>
      </c>
      <c r="AS198" s="202" t="str">
        <f t="shared" si="35"/>
        <v/>
      </c>
      <c r="AT198" s="202" t="str">
        <f t="shared" si="36"/>
        <v/>
      </c>
      <c r="AU198" s="208"/>
      <c r="AV198" s="208"/>
      <c r="AW198" s="208"/>
      <c r="AX198" s="208"/>
      <c r="AY198" s="208"/>
      <c r="AZ198" s="208"/>
      <c r="BA198" s="208"/>
      <c r="BB198" s="208"/>
      <c r="BC198" s="208"/>
      <c r="BD198" s="208"/>
      <c r="BE198" s="208"/>
      <c r="BF198" s="208"/>
      <c r="BG198" s="28"/>
      <c r="BH198" s="28"/>
      <c r="BI198" s="28"/>
      <c r="BJ198" s="28"/>
    </row>
    <row r="199" spans="1:62" s="23" customFormat="1" ht="21" customHeight="1" thickBot="1" x14ac:dyDescent="0.25">
      <c r="A199" s="846" t="str">
        <f>IF($AN199="","",IFERROR(VLOOKUP(CONCATENATE(CTR1_Billing!$E$20,$AN199),'Local Data Previous Year'!$C$3:$D$20000,2,0),CTR1_Billing!$E$21&amp;"NEW"))</f>
        <v/>
      </c>
      <c r="B199" s="846" t="str">
        <f>IF($E199="","",IFERROR(VLOOKUP(CONCATENATE(CTR1_Billing!$E$20,CTR1_Local!$E199),'Local Data Previous Year'!$C$3:$D$20000,2,0),CTR1_Billing!$E$21&amp;"NEW"))</f>
        <v/>
      </c>
      <c r="C199" s="846">
        <v>167</v>
      </c>
      <c r="D199" s="755" t="str" cm="1">
        <f t="array" ref="D199">IF(ISERROR(INDEX('Local Data Previous Year'!$D$3:$D$20000,SMALL(IF(CTR1_Billing!$E$21='Local Data Previous Year'!$A$3:$A$20000,ROW('Local Data Previous Year'!$A$3:$A$20000)-ROW('Local Data Previous Year'!$A$3)+1),ROW(167:167)))),"",INDEX('Local Data Previous Year'!$D$3:$D$20000,SMALL(IF(CTR1_Billing!$E$21='Local Data Previous Year'!$A$3:$A$20000,ROW('Local Data Previous Year'!$A$3:$A$20000)-ROW('Local Data Previous Year'!$A$3)+1),ROW(167:167))))</f>
        <v/>
      </c>
      <c r="E199" s="755" t="str" cm="1">
        <f t="array" ref="E199">IF(ISERROR(INDEX('Local Data Previous Year'!$E$3:$E$20000,SMALL(IF(CTR1_Billing!$E$21='Local Data Previous Year'!$A$3:$A$20000,ROW('Local Data Previous Year'!$A$3:$A$20000)-ROW('Local Data Previous Year'!$A$3)+1),ROW(167:167)))),"",INDEX('Local Data Previous Year'!$E$3:$E$20000,SMALL(IF(CTR1_Billing!$E$21='Local Data Previous Year'!$A$3:$A$20000,ROW('Local Data Previous Year'!$A$3:$A$20000)-ROW('Local Data Previous Year'!$A$3)+1),ROW(167:167))))</f>
        <v/>
      </c>
      <c r="F199" s="756" t="str">
        <f>IF($D199="","",IF(ISNA(MATCH($D199,'Local Data Previous Year'!$D$3:$D$20000,0)),"New",IFERROR(VLOOKUP($B199,'Local Data Previous Year'!$D$3:$I$20000,6,0),"")))</f>
        <v/>
      </c>
      <c r="G199" s="757">
        <f t="shared" si="37"/>
        <v>0</v>
      </c>
      <c r="H199" s="758" t="str">
        <f>IFERROR(INDEX('Local Data Previous Year'!$F:$F, MATCH($D199, 'Local Data Previous Year'!$D:$D, 0)), "")</f>
        <v/>
      </c>
      <c r="I199" s="759">
        <f>IF(B199=CTR1_Billing!$E$21&amp;"NEW",1,0)</f>
        <v>0</v>
      </c>
      <c r="J199" s="760" t="str">
        <f>IFERROR(INDEX('Local Data Previous Year'!$G:$G, MATCH($D199, 'Local Data Previous Year'!$D:$D, 0)), "")</f>
        <v/>
      </c>
      <c r="K199" s="762"/>
      <c r="L199" s="760" t="str">
        <f>IFERROR(INDEX('Local Data Previous Year'!$H:$H, MATCH($D199, 'Local Data Previous Year'!$D:$D, 0)), "")</f>
        <v/>
      </c>
      <c r="M199" s="762"/>
      <c r="N199" s="763"/>
      <c r="O199" s="767"/>
      <c r="P199" s="765"/>
      <c r="Q199" s="767"/>
      <c r="R199" s="766" t="str">
        <f t="shared" si="38"/>
        <v/>
      </c>
      <c r="S199" s="754"/>
      <c r="T199" s="763"/>
      <c r="U199" s="754"/>
      <c r="V199" s="763"/>
      <c r="W199" s="763"/>
      <c r="X199" s="865" t="str">
        <f>VLOOKUP(CTR1_Billing!$E$21,Data!$C$6:$D$302,1,FALSE)</f>
        <v>EZZZZ</v>
      </c>
      <c r="Y199" s="205"/>
      <c r="Z199" s="205">
        <f t="shared" si="26"/>
        <v>0</v>
      </c>
      <c r="AA199" s="206" t="str">
        <f t="shared" si="27"/>
        <v/>
      </c>
      <c r="AB199" s="205">
        <f t="shared" si="28"/>
        <v>0</v>
      </c>
      <c r="AC199" s="208"/>
      <c r="AD199" s="208"/>
      <c r="AE199" s="208"/>
      <c r="AF199" s="208"/>
      <c r="AG199" s="209" t="str">
        <f>IFERROR(INDEX('Local Data Previous Year'!$F:$F, MATCH($D199, 'Local Data Previous Year'!$D:$D, 0)), "")</f>
        <v/>
      </c>
      <c r="AH199" s="209" t="str">
        <f>IFERROR(INDEX('Local Data Previous Year'!$G:$G, MATCH($D199, 'Local Data Previous Year'!$D:$D, 0)), "")</f>
        <v/>
      </c>
      <c r="AI199" s="209" t="str">
        <f>IFERROR(INDEX('Local Data Previous Year'!$H:$H, MATCH($D199, 'Local Data Previous Year'!$D:$D, 0)), "")</f>
        <v/>
      </c>
      <c r="AJ199" s="209" t="str">
        <f t="shared" si="29"/>
        <v/>
      </c>
      <c r="AK199" s="209" t="str">
        <f t="shared" si="30"/>
        <v/>
      </c>
      <c r="AL199" s="209" t="str">
        <f t="shared" si="31"/>
        <v/>
      </c>
      <c r="AM199" s="208" t="str">
        <f>IF($AN199="","",IFERROR(VLOOKUP(CONCATENATE(CTR1_Billing!$E$20,$AN199),'Local Data Previous Year'!$C$3:$D$50000,2,0),CTR1_Billing!$E$21&amp;"NEW"))</f>
        <v/>
      </c>
      <c r="AN199" s="209" t="str" cm="1">
        <f t="array" ref="AN199">IF(ISERROR(INDEX('Local Data Previous Year'!$E$3:$E$50000, SMALL(IF(CTR1_Billing!$E$21='Local Data Previous Year'!$A$3:$A$50000, ROW('Local Data Previous Year'!$A$3:$A$50000)-ROW('Local Data Previous Year'!$A$3)+1), ROW(167:167)))), "", INDEX('Local Data Previous Year'!$E$3:$E$50000, SMALL(IF(CTR1_Billing!$E$21='Local Data Previous Year'!$A$3:$A$50000, ROW('Local Data Previous Year'!$A$3:$A$50000)-ROW('Local Data Previous Year'!$A$3)+1), ROW(167:167))))</f>
        <v/>
      </c>
      <c r="AO199" s="209" t="str">
        <f t="shared" si="32"/>
        <v/>
      </c>
      <c r="AP199" s="208"/>
      <c r="AQ199" s="209" t="str">
        <f t="shared" si="33"/>
        <v/>
      </c>
      <c r="AR199" s="209" t="str">
        <f t="shared" si="34"/>
        <v/>
      </c>
      <c r="AS199" s="202" t="str">
        <f t="shared" si="35"/>
        <v/>
      </c>
      <c r="AT199" s="202" t="str">
        <f t="shared" si="36"/>
        <v/>
      </c>
      <c r="AU199" s="208"/>
      <c r="AV199" s="208"/>
      <c r="AW199" s="208"/>
      <c r="AX199" s="208"/>
      <c r="AY199" s="208"/>
      <c r="AZ199" s="208"/>
      <c r="BA199" s="208"/>
      <c r="BB199" s="208"/>
      <c r="BC199" s="208"/>
      <c r="BD199" s="208"/>
      <c r="BE199" s="208"/>
      <c r="BF199" s="208"/>
      <c r="BG199" s="28"/>
      <c r="BH199" s="28"/>
      <c r="BI199" s="28"/>
      <c r="BJ199" s="28"/>
    </row>
    <row r="200" spans="1:62" s="23" customFormat="1" ht="21" customHeight="1" thickBot="1" x14ac:dyDescent="0.25">
      <c r="A200" s="846" t="str">
        <f>IF($AN200="","",IFERROR(VLOOKUP(CONCATENATE(CTR1_Billing!$E$20,$AN200),'Local Data Previous Year'!$C$3:$D$20000,2,0),CTR1_Billing!$E$21&amp;"NEW"))</f>
        <v/>
      </c>
      <c r="B200" s="846" t="str">
        <f>IF($E200="","",IFERROR(VLOOKUP(CONCATENATE(CTR1_Billing!$E$20,CTR1_Local!$E200),'Local Data Previous Year'!$C$3:$D$20000,2,0),CTR1_Billing!$E$21&amp;"NEW"))</f>
        <v/>
      </c>
      <c r="C200" s="846">
        <v>168</v>
      </c>
      <c r="D200" s="755" t="str" cm="1">
        <f t="array" ref="D200">IF(ISERROR(INDEX('Local Data Previous Year'!$D$3:$D$20000,SMALL(IF(CTR1_Billing!$E$21='Local Data Previous Year'!$A$3:$A$20000,ROW('Local Data Previous Year'!$A$3:$A$20000)-ROW('Local Data Previous Year'!$A$3)+1),ROW(168:168)))),"",INDEX('Local Data Previous Year'!$D$3:$D$20000,SMALL(IF(CTR1_Billing!$E$21='Local Data Previous Year'!$A$3:$A$20000,ROW('Local Data Previous Year'!$A$3:$A$20000)-ROW('Local Data Previous Year'!$A$3)+1),ROW(168:168))))</f>
        <v/>
      </c>
      <c r="E200" s="755" t="str" cm="1">
        <f t="array" ref="E200">IF(ISERROR(INDEX('Local Data Previous Year'!$E$3:$E$20000,SMALL(IF(CTR1_Billing!$E$21='Local Data Previous Year'!$A$3:$A$20000,ROW('Local Data Previous Year'!$A$3:$A$20000)-ROW('Local Data Previous Year'!$A$3)+1),ROW(168:168)))),"",INDEX('Local Data Previous Year'!$E$3:$E$20000,SMALL(IF(CTR1_Billing!$E$21='Local Data Previous Year'!$A$3:$A$20000,ROW('Local Data Previous Year'!$A$3:$A$20000)-ROW('Local Data Previous Year'!$A$3)+1),ROW(168:168))))</f>
        <v/>
      </c>
      <c r="F200" s="756" t="str">
        <f>IF($D200="","",IF(ISNA(MATCH($D200,'Local Data Previous Year'!$D$3:$D$20000,0)),"New",IFERROR(VLOOKUP($B200,'Local Data Previous Year'!$D$3:$I$20000,6,0),"")))</f>
        <v/>
      </c>
      <c r="G200" s="757">
        <f t="shared" si="37"/>
        <v>0</v>
      </c>
      <c r="H200" s="758" t="str">
        <f>IFERROR(INDEX('Local Data Previous Year'!$F:$F, MATCH($D200, 'Local Data Previous Year'!$D:$D, 0)), "")</f>
        <v/>
      </c>
      <c r="I200" s="759">
        <f>IF(B200=CTR1_Billing!$E$21&amp;"NEW",1,0)</f>
        <v>0</v>
      </c>
      <c r="J200" s="760" t="str">
        <f>IFERROR(INDEX('Local Data Previous Year'!$G:$G, MATCH($D200, 'Local Data Previous Year'!$D:$D, 0)), "")</f>
        <v/>
      </c>
      <c r="K200" s="762"/>
      <c r="L200" s="760" t="str">
        <f>IFERROR(INDEX('Local Data Previous Year'!$H:$H, MATCH($D200, 'Local Data Previous Year'!$D:$D, 0)), "")</f>
        <v/>
      </c>
      <c r="M200" s="762"/>
      <c r="N200" s="763"/>
      <c r="O200" s="767"/>
      <c r="P200" s="765"/>
      <c r="Q200" s="767"/>
      <c r="R200" s="766" t="str">
        <f t="shared" si="38"/>
        <v/>
      </c>
      <c r="S200" s="754"/>
      <c r="T200" s="763"/>
      <c r="U200" s="754"/>
      <c r="V200" s="763"/>
      <c r="W200" s="763"/>
      <c r="X200" s="865" t="str">
        <f>VLOOKUP(CTR1_Billing!$E$21,Data!$C$6:$D$302,1,FALSE)</f>
        <v>EZZZZ</v>
      </c>
      <c r="Y200" s="205"/>
      <c r="Z200" s="205">
        <f t="shared" si="26"/>
        <v>0</v>
      </c>
      <c r="AA200" s="206" t="str">
        <f t="shared" si="27"/>
        <v/>
      </c>
      <c r="AB200" s="205">
        <f t="shared" si="28"/>
        <v>0</v>
      </c>
      <c r="AC200" s="208"/>
      <c r="AD200" s="208"/>
      <c r="AE200" s="208"/>
      <c r="AF200" s="208"/>
      <c r="AG200" s="209" t="str">
        <f>IFERROR(INDEX('Local Data Previous Year'!$F:$F, MATCH($D200, 'Local Data Previous Year'!$D:$D, 0)), "")</f>
        <v/>
      </c>
      <c r="AH200" s="209" t="str">
        <f>IFERROR(INDEX('Local Data Previous Year'!$G:$G, MATCH($D200, 'Local Data Previous Year'!$D:$D, 0)), "")</f>
        <v/>
      </c>
      <c r="AI200" s="209" t="str">
        <f>IFERROR(INDEX('Local Data Previous Year'!$H:$H, MATCH($D200, 'Local Data Previous Year'!$D:$D, 0)), "")</f>
        <v/>
      </c>
      <c r="AJ200" s="209" t="str">
        <f t="shared" si="29"/>
        <v/>
      </c>
      <c r="AK200" s="209" t="str">
        <f t="shared" si="30"/>
        <v/>
      </c>
      <c r="AL200" s="209" t="str">
        <f t="shared" si="31"/>
        <v/>
      </c>
      <c r="AM200" s="208" t="str">
        <f>IF($AN200="","",IFERROR(VLOOKUP(CONCATENATE(CTR1_Billing!$E$20,$AN200),'Local Data Previous Year'!$C$3:$D$50000,2,0),CTR1_Billing!$E$21&amp;"NEW"))</f>
        <v/>
      </c>
      <c r="AN200" s="209" t="str" cm="1">
        <f t="array" ref="AN200">IF(ISERROR(INDEX('Local Data Previous Year'!$E$3:$E$50000, SMALL(IF(CTR1_Billing!$E$21='Local Data Previous Year'!$A$3:$A$50000, ROW('Local Data Previous Year'!$A$3:$A$50000)-ROW('Local Data Previous Year'!$A$3)+1), ROW(168:168)))), "", INDEX('Local Data Previous Year'!$E$3:$E$50000, SMALL(IF(CTR1_Billing!$E$21='Local Data Previous Year'!$A$3:$A$50000, ROW('Local Data Previous Year'!$A$3:$A$50000)-ROW('Local Data Previous Year'!$A$3)+1), ROW(168:168))))</f>
        <v/>
      </c>
      <c r="AO200" s="209" t="str">
        <f t="shared" si="32"/>
        <v/>
      </c>
      <c r="AP200" s="208"/>
      <c r="AQ200" s="209" t="str">
        <f t="shared" si="33"/>
        <v/>
      </c>
      <c r="AR200" s="209" t="str">
        <f t="shared" si="34"/>
        <v/>
      </c>
      <c r="AS200" s="202" t="str">
        <f t="shared" si="35"/>
        <v/>
      </c>
      <c r="AT200" s="202" t="str">
        <f t="shared" si="36"/>
        <v/>
      </c>
      <c r="AU200" s="208"/>
      <c r="AV200" s="208"/>
      <c r="AW200" s="208"/>
      <c r="AX200" s="208"/>
      <c r="AY200" s="208"/>
      <c r="AZ200" s="208"/>
      <c r="BA200" s="208"/>
      <c r="BB200" s="208"/>
      <c r="BC200" s="208"/>
      <c r="BD200" s="208"/>
      <c r="BE200" s="208"/>
      <c r="BF200" s="208"/>
      <c r="BG200" s="28"/>
      <c r="BH200" s="28"/>
      <c r="BI200" s="28"/>
      <c r="BJ200" s="28"/>
    </row>
    <row r="201" spans="1:62" s="23" customFormat="1" ht="21" customHeight="1" thickBot="1" x14ac:dyDescent="0.25">
      <c r="A201" s="846" t="str">
        <f>IF($AN201="","",IFERROR(VLOOKUP(CONCATENATE(CTR1_Billing!$E$20,$AN201),'Local Data Previous Year'!$C$3:$D$20000,2,0),CTR1_Billing!$E$21&amp;"NEW"))</f>
        <v/>
      </c>
      <c r="B201" s="846" t="str">
        <f>IF($E201="","",IFERROR(VLOOKUP(CONCATENATE(CTR1_Billing!$E$20,CTR1_Local!$E201),'Local Data Previous Year'!$C$3:$D$20000,2,0),CTR1_Billing!$E$21&amp;"NEW"))</f>
        <v/>
      </c>
      <c r="C201" s="846">
        <v>169</v>
      </c>
      <c r="D201" s="755" t="str" cm="1">
        <f t="array" ref="D201">IF(ISERROR(INDEX('Local Data Previous Year'!$D$3:$D$20000,SMALL(IF(CTR1_Billing!$E$21='Local Data Previous Year'!$A$3:$A$20000,ROW('Local Data Previous Year'!$A$3:$A$20000)-ROW('Local Data Previous Year'!$A$3)+1),ROW(169:169)))),"",INDEX('Local Data Previous Year'!$D$3:$D$20000,SMALL(IF(CTR1_Billing!$E$21='Local Data Previous Year'!$A$3:$A$20000,ROW('Local Data Previous Year'!$A$3:$A$20000)-ROW('Local Data Previous Year'!$A$3)+1),ROW(169:169))))</f>
        <v/>
      </c>
      <c r="E201" s="755" t="str" cm="1">
        <f t="array" ref="E201">IF(ISERROR(INDEX('Local Data Previous Year'!$E$3:$E$20000,SMALL(IF(CTR1_Billing!$E$21='Local Data Previous Year'!$A$3:$A$20000,ROW('Local Data Previous Year'!$A$3:$A$20000)-ROW('Local Data Previous Year'!$A$3)+1),ROW(169:169)))),"",INDEX('Local Data Previous Year'!$E$3:$E$20000,SMALL(IF(CTR1_Billing!$E$21='Local Data Previous Year'!$A$3:$A$20000,ROW('Local Data Previous Year'!$A$3:$A$20000)-ROW('Local Data Previous Year'!$A$3)+1),ROW(169:169))))</f>
        <v/>
      </c>
      <c r="F201" s="756" t="str">
        <f>IF($D201="","",IF(ISNA(MATCH($D201,'Local Data Previous Year'!$D$3:$D$20000,0)),"New",IFERROR(VLOOKUP($B201,'Local Data Previous Year'!$D$3:$I$20000,6,0),"")))</f>
        <v/>
      </c>
      <c r="G201" s="757">
        <f t="shared" si="37"/>
        <v>0</v>
      </c>
      <c r="H201" s="758" t="str">
        <f>IFERROR(INDEX('Local Data Previous Year'!$F:$F, MATCH($D201, 'Local Data Previous Year'!$D:$D, 0)), "")</f>
        <v/>
      </c>
      <c r="I201" s="759">
        <f>IF(B201=CTR1_Billing!$E$21&amp;"NEW",1,0)</f>
        <v>0</v>
      </c>
      <c r="J201" s="760" t="str">
        <f>IFERROR(INDEX('Local Data Previous Year'!$G:$G, MATCH($D201, 'Local Data Previous Year'!$D:$D, 0)), "")</f>
        <v/>
      </c>
      <c r="K201" s="762"/>
      <c r="L201" s="760" t="str">
        <f>IFERROR(INDEX('Local Data Previous Year'!$H:$H, MATCH($D201, 'Local Data Previous Year'!$D:$D, 0)), "")</f>
        <v/>
      </c>
      <c r="M201" s="762"/>
      <c r="N201" s="763"/>
      <c r="O201" s="767"/>
      <c r="P201" s="765"/>
      <c r="Q201" s="767"/>
      <c r="R201" s="766" t="str">
        <f t="shared" si="38"/>
        <v/>
      </c>
      <c r="S201" s="754"/>
      <c r="T201" s="763"/>
      <c r="U201" s="754"/>
      <c r="V201" s="763"/>
      <c r="W201" s="763"/>
      <c r="X201" s="865" t="str">
        <f>VLOOKUP(CTR1_Billing!$E$21,Data!$C$6:$D$302,1,FALSE)</f>
        <v>EZZZZ</v>
      </c>
      <c r="Y201" s="205"/>
      <c r="Z201" s="205">
        <f t="shared" si="26"/>
        <v>0</v>
      </c>
      <c r="AA201" s="206" t="str">
        <f t="shared" si="27"/>
        <v/>
      </c>
      <c r="AB201" s="205">
        <f t="shared" si="28"/>
        <v>0</v>
      </c>
      <c r="AC201" s="208"/>
      <c r="AD201" s="208"/>
      <c r="AE201" s="208"/>
      <c r="AF201" s="208"/>
      <c r="AG201" s="209" t="str">
        <f>IFERROR(INDEX('Local Data Previous Year'!$F:$F, MATCH($D201, 'Local Data Previous Year'!$D:$D, 0)), "")</f>
        <v/>
      </c>
      <c r="AH201" s="209" t="str">
        <f>IFERROR(INDEX('Local Data Previous Year'!$G:$G, MATCH($D201, 'Local Data Previous Year'!$D:$D, 0)), "")</f>
        <v/>
      </c>
      <c r="AI201" s="209" t="str">
        <f>IFERROR(INDEX('Local Data Previous Year'!$H:$H, MATCH($D201, 'Local Data Previous Year'!$D:$D, 0)), "")</f>
        <v/>
      </c>
      <c r="AJ201" s="209" t="str">
        <f t="shared" si="29"/>
        <v/>
      </c>
      <c r="AK201" s="209" t="str">
        <f t="shared" si="30"/>
        <v/>
      </c>
      <c r="AL201" s="209" t="str">
        <f t="shared" si="31"/>
        <v/>
      </c>
      <c r="AM201" s="208" t="str">
        <f>IF($AN201="","",IFERROR(VLOOKUP(CONCATENATE(CTR1_Billing!$E$20,$AN201),'Local Data Previous Year'!$C$3:$D$50000,2,0),CTR1_Billing!$E$21&amp;"NEW"))</f>
        <v/>
      </c>
      <c r="AN201" s="209" t="str" cm="1">
        <f t="array" ref="AN201">IF(ISERROR(INDEX('Local Data Previous Year'!$E$3:$E$50000, SMALL(IF(CTR1_Billing!$E$21='Local Data Previous Year'!$A$3:$A$50000, ROW('Local Data Previous Year'!$A$3:$A$50000)-ROW('Local Data Previous Year'!$A$3)+1), ROW(169:169)))), "", INDEX('Local Data Previous Year'!$E$3:$E$50000, SMALL(IF(CTR1_Billing!$E$21='Local Data Previous Year'!$A$3:$A$50000, ROW('Local Data Previous Year'!$A$3:$A$50000)-ROW('Local Data Previous Year'!$A$3)+1), ROW(169:169))))</f>
        <v/>
      </c>
      <c r="AO201" s="209" t="str">
        <f t="shared" si="32"/>
        <v/>
      </c>
      <c r="AP201" s="208"/>
      <c r="AQ201" s="209" t="str">
        <f t="shared" si="33"/>
        <v/>
      </c>
      <c r="AR201" s="209" t="str">
        <f t="shared" si="34"/>
        <v/>
      </c>
      <c r="AS201" s="202" t="str">
        <f t="shared" si="35"/>
        <v/>
      </c>
      <c r="AT201" s="202" t="str">
        <f t="shared" si="36"/>
        <v/>
      </c>
      <c r="AU201" s="208"/>
      <c r="AV201" s="208"/>
      <c r="AW201" s="208"/>
      <c r="AX201" s="208"/>
      <c r="AY201" s="208"/>
      <c r="AZ201" s="208"/>
      <c r="BA201" s="208"/>
      <c r="BB201" s="208"/>
      <c r="BC201" s="208"/>
      <c r="BD201" s="208"/>
      <c r="BE201" s="208"/>
      <c r="BF201" s="208"/>
      <c r="BG201" s="28"/>
      <c r="BH201" s="28"/>
      <c r="BI201" s="28"/>
      <c r="BJ201" s="28"/>
    </row>
    <row r="202" spans="1:62" s="23" customFormat="1" ht="21" customHeight="1" thickBot="1" x14ac:dyDescent="0.25">
      <c r="A202" s="846" t="str">
        <f>IF($AN202="","",IFERROR(VLOOKUP(CONCATENATE(CTR1_Billing!$E$20,$AN202),'Local Data Previous Year'!$C$3:$D$20000,2,0),CTR1_Billing!$E$21&amp;"NEW"))</f>
        <v/>
      </c>
      <c r="B202" s="846" t="str">
        <f>IF($E202="","",IFERROR(VLOOKUP(CONCATENATE(CTR1_Billing!$E$20,CTR1_Local!$E202),'Local Data Previous Year'!$C$3:$D$20000,2,0),CTR1_Billing!$E$21&amp;"NEW"))</f>
        <v/>
      </c>
      <c r="C202" s="846">
        <v>170</v>
      </c>
      <c r="D202" s="755" t="str" cm="1">
        <f t="array" ref="D202">IF(ISERROR(INDEX('Local Data Previous Year'!$D$3:$D$20000,SMALL(IF(CTR1_Billing!$E$21='Local Data Previous Year'!$A$3:$A$20000,ROW('Local Data Previous Year'!$A$3:$A$20000)-ROW('Local Data Previous Year'!$A$3)+1),ROW(170:170)))),"",INDEX('Local Data Previous Year'!$D$3:$D$20000,SMALL(IF(CTR1_Billing!$E$21='Local Data Previous Year'!$A$3:$A$20000,ROW('Local Data Previous Year'!$A$3:$A$20000)-ROW('Local Data Previous Year'!$A$3)+1),ROW(170:170))))</f>
        <v/>
      </c>
      <c r="E202" s="755" t="str" cm="1">
        <f t="array" ref="E202">IF(ISERROR(INDEX('Local Data Previous Year'!$E$3:$E$20000,SMALL(IF(CTR1_Billing!$E$21='Local Data Previous Year'!$A$3:$A$20000,ROW('Local Data Previous Year'!$A$3:$A$20000)-ROW('Local Data Previous Year'!$A$3)+1),ROW(170:170)))),"",INDEX('Local Data Previous Year'!$E$3:$E$20000,SMALL(IF(CTR1_Billing!$E$21='Local Data Previous Year'!$A$3:$A$20000,ROW('Local Data Previous Year'!$A$3:$A$20000)-ROW('Local Data Previous Year'!$A$3)+1),ROW(170:170))))</f>
        <v/>
      </c>
      <c r="F202" s="756" t="str">
        <f>IF($D202="","",IF(ISNA(MATCH($D202,'Local Data Previous Year'!$D$3:$D$20000,0)),"New",IFERROR(VLOOKUP($B202,'Local Data Previous Year'!$D$3:$I$20000,6,0),"")))</f>
        <v/>
      </c>
      <c r="G202" s="757">
        <f t="shared" si="37"/>
        <v>0</v>
      </c>
      <c r="H202" s="758" t="str">
        <f>IFERROR(INDEX('Local Data Previous Year'!$F:$F, MATCH($D202, 'Local Data Previous Year'!$D:$D, 0)), "")</f>
        <v/>
      </c>
      <c r="I202" s="759">
        <f>IF(B202=CTR1_Billing!$E$21&amp;"NEW",1,0)</f>
        <v>0</v>
      </c>
      <c r="J202" s="760" t="str">
        <f>IFERROR(INDEX('Local Data Previous Year'!$G:$G, MATCH($D202, 'Local Data Previous Year'!$D:$D, 0)), "")</f>
        <v/>
      </c>
      <c r="K202" s="762"/>
      <c r="L202" s="760" t="str">
        <f>IFERROR(INDEX('Local Data Previous Year'!$H:$H, MATCH($D202, 'Local Data Previous Year'!$D:$D, 0)), "")</f>
        <v/>
      </c>
      <c r="M202" s="762"/>
      <c r="N202" s="763"/>
      <c r="O202" s="767"/>
      <c r="P202" s="765"/>
      <c r="Q202" s="767"/>
      <c r="R202" s="766" t="str">
        <f t="shared" si="38"/>
        <v/>
      </c>
      <c r="S202" s="754"/>
      <c r="T202" s="763"/>
      <c r="U202" s="754"/>
      <c r="V202" s="763"/>
      <c r="W202" s="763"/>
      <c r="X202" s="865" t="str">
        <f>VLOOKUP(CTR1_Billing!$E$21,Data!$C$6:$D$302,1,FALSE)</f>
        <v>EZZZZ</v>
      </c>
      <c r="Y202" s="205"/>
      <c r="Z202" s="205">
        <f t="shared" si="26"/>
        <v>0</v>
      </c>
      <c r="AA202" s="206" t="str">
        <f t="shared" si="27"/>
        <v/>
      </c>
      <c r="AB202" s="205">
        <f t="shared" si="28"/>
        <v>0</v>
      </c>
      <c r="AC202" s="208"/>
      <c r="AD202" s="208"/>
      <c r="AE202" s="208"/>
      <c r="AF202" s="208"/>
      <c r="AG202" s="209" t="str">
        <f>IFERROR(INDEX('Local Data Previous Year'!$F:$F, MATCH($D202, 'Local Data Previous Year'!$D:$D, 0)), "")</f>
        <v/>
      </c>
      <c r="AH202" s="209" t="str">
        <f>IFERROR(INDEX('Local Data Previous Year'!$G:$G, MATCH($D202, 'Local Data Previous Year'!$D:$D, 0)), "")</f>
        <v/>
      </c>
      <c r="AI202" s="209" t="str">
        <f>IFERROR(INDEX('Local Data Previous Year'!$H:$H, MATCH($D202, 'Local Data Previous Year'!$D:$D, 0)), "")</f>
        <v/>
      </c>
      <c r="AJ202" s="209" t="str">
        <f t="shared" si="29"/>
        <v/>
      </c>
      <c r="AK202" s="209" t="str">
        <f t="shared" si="30"/>
        <v/>
      </c>
      <c r="AL202" s="209" t="str">
        <f t="shared" si="31"/>
        <v/>
      </c>
      <c r="AM202" s="208" t="str">
        <f>IF($AN202="","",IFERROR(VLOOKUP(CONCATENATE(CTR1_Billing!$E$20,$AN202),'Local Data Previous Year'!$C$3:$D$50000,2,0),CTR1_Billing!$E$21&amp;"NEW"))</f>
        <v/>
      </c>
      <c r="AN202" s="209" t="str" cm="1">
        <f t="array" ref="AN202">IF(ISERROR(INDEX('Local Data Previous Year'!$E$3:$E$50000, SMALL(IF(CTR1_Billing!$E$21='Local Data Previous Year'!$A$3:$A$50000, ROW('Local Data Previous Year'!$A$3:$A$50000)-ROW('Local Data Previous Year'!$A$3)+1), ROW(170:170)))), "", INDEX('Local Data Previous Year'!$E$3:$E$50000, SMALL(IF(CTR1_Billing!$E$21='Local Data Previous Year'!$A$3:$A$50000, ROW('Local Data Previous Year'!$A$3:$A$50000)-ROW('Local Data Previous Year'!$A$3)+1), ROW(170:170))))</f>
        <v/>
      </c>
      <c r="AO202" s="209" t="str">
        <f t="shared" si="32"/>
        <v/>
      </c>
      <c r="AP202" s="208"/>
      <c r="AQ202" s="209" t="str">
        <f t="shared" si="33"/>
        <v/>
      </c>
      <c r="AR202" s="209" t="str">
        <f t="shared" si="34"/>
        <v/>
      </c>
      <c r="AS202" s="202" t="str">
        <f t="shared" si="35"/>
        <v/>
      </c>
      <c r="AT202" s="202" t="str">
        <f t="shared" si="36"/>
        <v/>
      </c>
      <c r="AU202" s="208"/>
      <c r="AV202" s="208"/>
      <c r="AW202" s="208"/>
      <c r="AX202" s="208"/>
      <c r="AY202" s="208"/>
      <c r="AZ202" s="208"/>
      <c r="BA202" s="208"/>
      <c r="BB202" s="208"/>
      <c r="BC202" s="208"/>
      <c r="BD202" s="208"/>
      <c r="BE202" s="208"/>
      <c r="BF202" s="208"/>
      <c r="BG202" s="28"/>
      <c r="BH202" s="28"/>
      <c r="BI202" s="28"/>
      <c r="BJ202" s="28"/>
    </row>
    <row r="203" spans="1:62" s="23" customFormat="1" ht="21" customHeight="1" thickBot="1" x14ac:dyDescent="0.25">
      <c r="A203" s="846" t="str">
        <f>IF($AN203="","",IFERROR(VLOOKUP(CONCATENATE(CTR1_Billing!$E$20,$AN203),'Local Data Previous Year'!$C$3:$D$20000,2,0),CTR1_Billing!$E$21&amp;"NEW"))</f>
        <v/>
      </c>
      <c r="B203" s="846" t="str">
        <f>IF($E203="","",IFERROR(VLOOKUP(CONCATENATE(CTR1_Billing!$E$20,CTR1_Local!$E203),'Local Data Previous Year'!$C$3:$D$20000,2,0),CTR1_Billing!$E$21&amp;"NEW"))</f>
        <v/>
      </c>
      <c r="C203" s="846">
        <v>171</v>
      </c>
      <c r="D203" s="755" t="str" cm="1">
        <f t="array" ref="D203">IF(ISERROR(INDEX('Local Data Previous Year'!$D$3:$D$20000,SMALL(IF(CTR1_Billing!$E$21='Local Data Previous Year'!$A$3:$A$20000,ROW('Local Data Previous Year'!$A$3:$A$20000)-ROW('Local Data Previous Year'!$A$3)+1),ROW(171:171)))),"",INDEX('Local Data Previous Year'!$D$3:$D$20000,SMALL(IF(CTR1_Billing!$E$21='Local Data Previous Year'!$A$3:$A$20000,ROW('Local Data Previous Year'!$A$3:$A$20000)-ROW('Local Data Previous Year'!$A$3)+1),ROW(171:171))))</f>
        <v/>
      </c>
      <c r="E203" s="755" t="str" cm="1">
        <f t="array" ref="E203">IF(ISERROR(INDEX('Local Data Previous Year'!$E$3:$E$20000,SMALL(IF(CTR1_Billing!$E$21='Local Data Previous Year'!$A$3:$A$20000,ROW('Local Data Previous Year'!$A$3:$A$20000)-ROW('Local Data Previous Year'!$A$3)+1),ROW(171:171)))),"",INDEX('Local Data Previous Year'!$E$3:$E$20000,SMALL(IF(CTR1_Billing!$E$21='Local Data Previous Year'!$A$3:$A$20000,ROW('Local Data Previous Year'!$A$3:$A$20000)-ROW('Local Data Previous Year'!$A$3)+1),ROW(171:171))))</f>
        <v/>
      </c>
      <c r="F203" s="756" t="str">
        <f>IF($D203="","",IF(ISNA(MATCH($D203,'Local Data Previous Year'!$D$3:$D$20000,0)),"New",IFERROR(VLOOKUP($B203,'Local Data Previous Year'!$D$3:$I$20000,6,0),"")))</f>
        <v/>
      </c>
      <c r="G203" s="757">
        <f t="shared" si="37"/>
        <v>0</v>
      </c>
      <c r="H203" s="758" t="str">
        <f>IFERROR(INDEX('Local Data Previous Year'!$F:$F, MATCH($D203, 'Local Data Previous Year'!$D:$D, 0)), "")</f>
        <v/>
      </c>
      <c r="I203" s="759">
        <f>IF(B203=CTR1_Billing!$E$21&amp;"NEW",1,0)</f>
        <v>0</v>
      </c>
      <c r="J203" s="760" t="str">
        <f>IFERROR(INDEX('Local Data Previous Year'!$G:$G, MATCH($D203, 'Local Data Previous Year'!$D:$D, 0)), "")</f>
        <v/>
      </c>
      <c r="K203" s="762"/>
      <c r="L203" s="760" t="str">
        <f>IFERROR(INDEX('Local Data Previous Year'!$H:$H, MATCH($D203, 'Local Data Previous Year'!$D:$D, 0)), "")</f>
        <v/>
      </c>
      <c r="M203" s="762"/>
      <c r="N203" s="763"/>
      <c r="O203" s="767"/>
      <c r="P203" s="765"/>
      <c r="Q203" s="767"/>
      <c r="R203" s="766" t="str">
        <f t="shared" si="38"/>
        <v/>
      </c>
      <c r="S203" s="754"/>
      <c r="T203" s="763"/>
      <c r="U203" s="754"/>
      <c r="V203" s="763"/>
      <c r="W203" s="763"/>
      <c r="X203" s="865" t="str">
        <f>VLOOKUP(CTR1_Billing!$E$21,Data!$C$6:$D$302,1,FALSE)</f>
        <v>EZZZZ</v>
      </c>
      <c r="Y203" s="205"/>
      <c r="Z203" s="205">
        <f t="shared" si="26"/>
        <v>0</v>
      </c>
      <c r="AA203" s="206" t="str">
        <f t="shared" si="27"/>
        <v/>
      </c>
      <c r="AB203" s="205">
        <f t="shared" si="28"/>
        <v>0</v>
      </c>
      <c r="AC203" s="208"/>
      <c r="AD203" s="208"/>
      <c r="AE203" s="208"/>
      <c r="AF203" s="208"/>
      <c r="AG203" s="209" t="str">
        <f>IFERROR(INDEX('Local Data Previous Year'!$F:$F, MATCH($D203, 'Local Data Previous Year'!$D:$D, 0)), "")</f>
        <v/>
      </c>
      <c r="AH203" s="209" t="str">
        <f>IFERROR(INDEX('Local Data Previous Year'!$G:$G, MATCH($D203, 'Local Data Previous Year'!$D:$D, 0)), "")</f>
        <v/>
      </c>
      <c r="AI203" s="209" t="str">
        <f>IFERROR(INDEX('Local Data Previous Year'!$H:$H, MATCH($D203, 'Local Data Previous Year'!$D:$D, 0)), "")</f>
        <v/>
      </c>
      <c r="AJ203" s="209" t="str">
        <f t="shared" si="29"/>
        <v/>
      </c>
      <c r="AK203" s="209" t="str">
        <f t="shared" si="30"/>
        <v/>
      </c>
      <c r="AL203" s="209" t="str">
        <f t="shared" si="31"/>
        <v/>
      </c>
      <c r="AM203" s="208" t="str">
        <f>IF($AN203="","",IFERROR(VLOOKUP(CONCATENATE(CTR1_Billing!$E$20,$AN203),'Local Data Previous Year'!$C$3:$D$50000,2,0),CTR1_Billing!$E$21&amp;"NEW"))</f>
        <v/>
      </c>
      <c r="AN203" s="209" t="str" cm="1">
        <f t="array" ref="AN203">IF(ISERROR(INDEX('Local Data Previous Year'!$E$3:$E$50000, SMALL(IF(CTR1_Billing!$E$21='Local Data Previous Year'!$A$3:$A$50000, ROW('Local Data Previous Year'!$A$3:$A$50000)-ROW('Local Data Previous Year'!$A$3)+1), ROW(171:171)))), "", INDEX('Local Data Previous Year'!$E$3:$E$50000, SMALL(IF(CTR1_Billing!$E$21='Local Data Previous Year'!$A$3:$A$50000, ROW('Local Data Previous Year'!$A$3:$A$50000)-ROW('Local Data Previous Year'!$A$3)+1), ROW(171:171))))</f>
        <v/>
      </c>
      <c r="AO203" s="209" t="str">
        <f t="shared" si="32"/>
        <v/>
      </c>
      <c r="AP203" s="208"/>
      <c r="AQ203" s="209" t="str">
        <f t="shared" si="33"/>
        <v/>
      </c>
      <c r="AR203" s="209" t="str">
        <f t="shared" si="34"/>
        <v/>
      </c>
      <c r="AS203" s="202" t="str">
        <f t="shared" si="35"/>
        <v/>
      </c>
      <c r="AT203" s="202" t="str">
        <f t="shared" si="36"/>
        <v/>
      </c>
      <c r="AU203" s="208"/>
      <c r="AV203" s="208"/>
      <c r="AW203" s="208"/>
      <c r="AX203" s="208"/>
      <c r="AY203" s="208"/>
      <c r="AZ203" s="208"/>
      <c r="BA203" s="208"/>
      <c r="BB203" s="208"/>
      <c r="BC203" s="208"/>
      <c r="BD203" s="208"/>
      <c r="BE203" s="208"/>
      <c r="BF203" s="208"/>
      <c r="BG203" s="28"/>
      <c r="BH203" s="28"/>
      <c r="BI203" s="28"/>
      <c r="BJ203" s="28"/>
    </row>
    <row r="204" spans="1:62" s="23" customFormat="1" ht="21" customHeight="1" thickBot="1" x14ac:dyDescent="0.25">
      <c r="A204" s="846" t="str">
        <f>IF($AN204="","",IFERROR(VLOOKUP(CONCATENATE(CTR1_Billing!$E$20,$AN204),'Local Data Previous Year'!$C$3:$D$20000,2,0),CTR1_Billing!$E$21&amp;"NEW"))</f>
        <v/>
      </c>
      <c r="B204" s="846" t="str">
        <f>IF($E204="","",IFERROR(VLOOKUP(CONCATENATE(CTR1_Billing!$E$20,CTR1_Local!$E204),'Local Data Previous Year'!$C$3:$D$20000,2,0),CTR1_Billing!$E$21&amp;"NEW"))</f>
        <v/>
      </c>
      <c r="C204" s="846">
        <v>172</v>
      </c>
      <c r="D204" s="755" t="str" cm="1">
        <f t="array" ref="D204">IF(ISERROR(INDEX('Local Data Previous Year'!$D$3:$D$20000,SMALL(IF(CTR1_Billing!$E$21='Local Data Previous Year'!$A$3:$A$20000,ROW('Local Data Previous Year'!$A$3:$A$20000)-ROW('Local Data Previous Year'!$A$3)+1),ROW(172:172)))),"",INDEX('Local Data Previous Year'!$D$3:$D$20000,SMALL(IF(CTR1_Billing!$E$21='Local Data Previous Year'!$A$3:$A$20000,ROW('Local Data Previous Year'!$A$3:$A$20000)-ROW('Local Data Previous Year'!$A$3)+1),ROW(172:172))))</f>
        <v/>
      </c>
      <c r="E204" s="755" t="str" cm="1">
        <f t="array" ref="E204">IF(ISERROR(INDEX('Local Data Previous Year'!$E$3:$E$20000,SMALL(IF(CTR1_Billing!$E$21='Local Data Previous Year'!$A$3:$A$20000,ROW('Local Data Previous Year'!$A$3:$A$20000)-ROW('Local Data Previous Year'!$A$3)+1),ROW(172:172)))),"",INDEX('Local Data Previous Year'!$E$3:$E$20000,SMALL(IF(CTR1_Billing!$E$21='Local Data Previous Year'!$A$3:$A$20000,ROW('Local Data Previous Year'!$A$3:$A$20000)-ROW('Local Data Previous Year'!$A$3)+1),ROW(172:172))))</f>
        <v/>
      </c>
      <c r="F204" s="756" t="str">
        <f>IF($D204="","",IF(ISNA(MATCH($D204,'Local Data Previous Year'!$D$3:$D$20000,0)),"New",IFERROR(VLOOKUP($B204,'Local Data Previous Year'!$D$3:$I$20000,6,0),"")))</f>
        <v/>
      </c>
      <c r="G204" s="757">
        <f t="shared" si="37"/>
        <v>0</v>
      </c>
      <c r="H204" s="758" t="str">
        <f>IFERROR(INDEX('Local Data Previous Year'!$F:$F, MATCH($D204, 'Local Data Previous Year'!$D:$D, 0)), "")</f>
        <v/>
      </c>
      <c r="I204" s="759">
        <f>IF(B204=CTR1_Billing!$E$21&amp;"NEW",1,0)</f>
        <v>0</v>
      </c>
      <c r="J204" s="760" t="str">
        <f>IFERROR(INDEX('Local Data Previous Year'!$G:$G, MATCH($D204, 'Local Data Previous Year'!$D:$D, 0)), "")</f>
        <v/>
      </c>
      <c r="K204" s="762"/>
      <c r="L204" s="760" t="str">
        <f>IFERROR(INDEX('Local Data Previous Year'!$H:$H, MATCH($D204, 'Local Data Previous Year'!$D:$D, 0)), "")</f>
        <v/>
      </c>
      <c r="M204" s="762"/>
      <c r="N204" s="763"/>
      <c r="O204" s="767"/>
      <c r="P204" s="765"/>
      <c r="Q204" s="767"/>
      <c r="R204" s="766" t="str">
        <f t="shared" si="38"/>
        <v/>
      </c>
      <c r="S204" s="754"/>
      <c r="T204" s="763"/>
      <c r="U204" s="754"/>
      <c r="V204" s="763"/>
      <c r="W204" s="763"/>
      <c r="X204" s="865" t="str">
        <f>VLOOKUP(CTR1_Billing!$E$21,Data!$C$6:$D$302,1,FALSE)</f>
        <v>EZZZZ</v>
      </c>
      <c r="Y204" s="205"/>
      <c r="Z204" s="205">
        <f t="shared" si="26"/>
        <v>0</v>
      </c>
      <c r="AA204" s="206" t="str">
        <f t="shared" si="27"/>
        <v/>
      </c>
      <c r="AB204" s="205">
        <f t="shared" si="28"/>
        <v>0</v>
      </c>
      <c r="AC204" s="208"/>
      <c r="AD204" s="208"/>
      <c r="AE204" s="208"/>
      <c r="AF204" s="208"/>
      <c r="AG204" s="209" t="str">
        <f>IFERROR(INDEX('Local Data Previous Year'!$F:$F, MATCH($D204, 'Local Data Previous Year'!$D:$D, 0)), "")</f>
        <v/>
      </c>
      <c r="AH204" s="209" t="str">
        <f>IFERROR(INDEX('Local Data Previous Year'!$G:$G, MATCH($D204, 'Local Data Previous Year'!$D:$D, 0)), "")</f>
        <v/>
      </c>
      <c r="AI204" s="209" t="str">
        <f>IFERROR(INDEX('Local Data Previous Year'!$H:$H, MATCH($D204, 'Local Data Previous Year'!$D:$D, 0)), "")</f>
        <v/>
      </c>
      <c r="AJ204" s="209" t="str">
        <f t="shared" si="29"/>
        <v/>
      </c>
      <c r="AK204" s="209" t="str">
        <f t="shared" si="30"/>
        <v/>
      </c>
      <c r="AL204" s="209" t="str">
        <f t="shared" si="31"/>
        <v/>
      </c>
      <c r="AM204" s="208" t="str">
        <f>IF($AN204="","",IFERROR(VLOOKUP(CONCATENATE(CTR1_Billing!$E$20,$AN204),'Local Data Previous Year'!$C$3:$D$50000,2,0),CTR1_Billing!$E$21&amp;"NEW"))</f>
        <v/>
      </c>
      <c r="AN204" s="209" t="str" cm="1">
        <f t="array" ref="AN204">IF(ISERROR(INDEX('Local Data Previous Year'!$E$3:$E$50000, SMALL(IF(CTR1_Billing!$E$21='Local Data Previous Year'!$A$3:$A$50000, ROW('Local Data Previous Year'!$A$3:$A$50000)-ROW('Local Data Previous Year'!$A$3)+1), ROW(172:172)))), "", INDEX('Local Data Previous Year'!$E$3:$E$50000, SMALL(IF(CTR1_Billing!$E$21='Local Data Previous Year'!$A$3:$A$50000, ROW('Local Data Previous Year'!$A$3:$A$50000)-ROW('Local Data Previous Year'!$A$3)+1), ROW(172:172))))</f>
        <v/>
      </c>
      <c r="AO204" s="209" t="str">
        <f t="shared" si="32"/>
        <v/>
      </c>
      <c r="AP204" s="208"/>
      <c r="AQ204" s="209" t="str">
        <f t="shared" si="33"/>
        <v/>
      </c>
      <c r="AR204" s="209" t="str">
        <f t="shared" si="34"/>
        <v/>
      </c>
      <c r="AS204" s="202" t="str">
        <f t="shared" si="35"/>
        <v/>
      </c>
      <c r="AT204" s="202" t="str">
        <f t="shared" si="36"/>
        <v/>
      </c>
      <c r="AU204" s="208"/>
      <c r="AV204" s="208"/>
      <c r="AW204" s="208"/>
      <c r="AX204" s="208"/>
      <c r="AY204" s="208"/>
      <c r="AZ204" s="208"/>
      <c r="BA204" s="208"/>
      <c r="BB204" s="208"/>
      <c r="BC204" s="208"/>
      <c r="BD204" s="208"/>
      <c r="BE204" s="208"/>
      <c r="BF204" s="208"/>
      <c r="BG204" s="28"/>
      <c r="BH204" s="28"/>
      <c r="BI204" s="28"/>
      <c r="BJ204" s="28"/>
    </row>
    <row r="205" spans="1:62" s="23" customFormat="1" ht="21" customHeight="1" thickBot="1" x14ac:dyDescent="0.25">
      <c r="A205" s="846" t="str">
        <f>IF($AN205="","",IFERROR(VLOOKUP(CONCATENATE(CTR1_Billing!$E$20,$AN205),'Local Data Previous Year'!$C$3:$D$20000,2,0),CTR1_Billing!$E$21&amp;"NEW"))</f>
        <v/>
      </c>
      <c r="B205" s="846" t="str">
        <f>IF($E205="","",IFERROR(VLOOKUP(CONCATENATE(CTR1_Billing!$E$20,CTR1_Local!$E205),'Local Data Previous Year'!$C$3:$D$20000,2,0),CTR1_Billing!$E$21&amp;"NEW"))</f>
        <v/>
      </c>
      <c r="C205" s="846">
        <v>173</v>
      </c>
      <c r="D205" s="755" t="str" cm="1">
        <f t="array" ref="D205">IF(ISERROR(INDEX('Local Data Previous Year'!$D$3:$D$20000,SMALL(IF(CTR1_Billing!$E$21='Local Data Previous Year'!$A$3:$A$20000,ROW('Local Data Previous Year'!$A$3:$A$20000)-ROW('Local Data Previous Year'!$A$3)+1),ROW(173:173)))),"",INDEX('Local Data Previous Year'!$D$3:$D$20000,SMALL(IF(CTR1_Billing!$E$21='Local Data Previous Year'!$A$3:$A$20000,ROW('Local Data Previous Year'!$A$3:$A$20000)-ROW('Local Data Previous Year'!$A$3)+1),ROW(173:173))))</f>
        <v/>
      </c>
      <c r="E205" s="755" t="str" cm="1">
        <f t="array" ref="E205">IF(ISERROR(INDEX('Local Data Previous Year'!$E$3:$E$20000,SMALL(IF(CTR1_Billing!$E$21='Local Data Previous Year'!$A$3:$A$20000,ROW('Local Data Previous Year'!$A$3:$A$20000)-ROW('Local Data Previous Year'!$A$3)+1),ROW(173:173)))),"",INDEX('Local Data Previous Year'!$E$3:$E$20000,SMALL(IF(CTR1_Billing!$E$21='Local Data Previous Year'!$A$3:$A$20000,ROW('Local Data Previous Year'!$A$3:$A$20000)-ROW('Local Data Previous Year'!$A$3)+1),ROW(173:173))))</f>
        <v/>
      </c>
      <c r="F205" s="756" t="str">
        <f>IF($D205="","",IF(ISNA(MATCH($D205,'Local Data Previous Year'!$D$3:$D$20000,0)),"New",IFERROR(VLOOKUP($B205,'Local Data Previous Year'!$D$3:$I$20000,6,0),"")))</f>
        <v/>
      </c>
      <c r="G205" s="757">
        <f t="shared" si="37"/>
        <v>0</v>
      </c>
      <c r="H205" s="758" t="str">
        <f>IFERROR(INDEX('Local Data Previous Year'!$F:$F, MATCH($D205, 'Local Data Previous Year'!$D:$D, 0)), "")</f>
        <v/>
      </c>
      <c r="I205" s="759">
        <f>IF(B205=CTR1_Billing!$E$21&amp;"NEW",1,0)</f>
        <v>0</v>
      </c>
      <c r="J205" s="760" t="str">
        <f>IFERROR(INDEX('Local Data Previous Year'!$G:$G, MATCH($D205, 'Local Data Previous Year'!$D:$D, 0)), "")</f>
        <v/>
      </c>
      <c r="K205" s="762"/>
      <c r="L205" s="760" t="str">
        <f>IFERROR(INDEX('Local Data Previous Year'!$H:$H, MATCH($D205, 'Local Data Previous Year'!$D:$D, 0)), "")</f>
        <v/>
      </c>
      <c r="M205" s="762"/>
      <c r="N205" s="763"/>
      <c r="O205" s="767"/>
      <c r="P205" s="765"/>
      <c r="Q205" s="767"/>
      <c r="R205" s="766" t="str">
        <f t="shared" si="38"/>
        <v/>
      </c>
      <c r="S205" s="754"/>
      <c r="T205" s="763"/>
      <c r="U205" s="754"/>
      <c r="V205" s="763"/>
      <c r="W205" s="763"/>
      <c r="X205" s="865" t="str">
        <f>VLOOKUP(CTR1_Billing!$E$21,Data!$C$6:$D$302,1,FALSE)</f>
        <v>EZZZZ</v>
      </c>
      <c r="Y205" s="205"/>
      <c r="Z205" s="205">
        <f t="shared" si="26"/>
        <v>0</v>
      </c>
      <c r="AA205" s="206" t="str">
        <f t="shared" si="27"/>
        <v/>
      </c>
      <c r="AB205" s="205">
        <f t="shared" si="28"/>
        <v>0</v>
      </c>
      <c r="AC205" s="208"/>
      <c r="AD205" s="208"/>
      <c r="AE205" s="208"/>
      <c r="AF205" s="208"/>
      <c r="AG205" s="209" t="str">
        <f>IFERROR(INDEX('Local Data Previous Year'!$F:$F, MATCH($D205, 'Local Data Previous Year'!$D:$D, 0)), "")</f>
        <v/>
      </c>
      <c r="AH205" s="209" t="str">
        <f>IFERROR(INDEX('Local Data Previous Year'!$G:$G, MATCH($D205, 'Local Data Previous Year'!$D:$D, 0)), "")</f>
        <v/>
      </c>
      <c r="AI205" s="209" t="str">
        <f>IFERROR(INDEX('Local Data Previous Year'!$H:$H, MATCH($D205, 'Local Data Previous Year'!$D:$D, 0)), "")</f>
        <v/>
      </c>
      <c r="AJ205" s="209" t="str">
        <f t="shared" si="29"/>
        <v/>
      </c>
      <c r="AK205" s="209" t="str">
        <f t="shared" si="30"/>
        <v/>
      </c>
      <c r="AL205" s="209" t="str">
        <f t="shared" si="31"/>
        <v/>
      </c>
      <c r="AM205" s="208" t="str">
        <f>IF($AN205="","",IFERROR(VLOOKUP(CONCATENATE(CTR1_Billing!$E$20,$AN205),'Local Data Previous Year'!$C$3:$D$50000,2,0),CTR1_Billing!$E$21&amp;"NEW"))</f>
        <v/>
      </c>
      <c r="AN205" s="209" t="str" cm="1">
        <f t="array" ref="AN205">IF(ISERROR(INDEX('Local Data Previous Year'!$E$3:$E$50000, SMALL(IF(CTR1_Billing!$E$21='Local Data Previous Year'!$A$3:$A$50000, ROW('Local Data Previous Year'!$A$3:$A$50000)-ROW('Local Data Previous Year'!$A$3)+1), ROW(173:173)))), "", INDEX('Local Data Previous Year'!$E$3:$E$50000, SMALL(IF(CTR1_Billing!$E$21='Local Data Previous Year'!$A$3:$A$50000, ROW('Local Data Previous Year'!$A$3:$A$50000)-ROW('Local Data Previous Year'!$A$3)+1), ROW(173:173))))</f>
        <v/>
      </c>
      <c r="AO205" s="209" t="str">
        <f t="shared" si="32"/>
        <v/>
      </c>
      <c r="AP205" s="208"/>
      <c r="AQ205" s="209" t="str">
        <f t="shared" si="33"/>
        <v/>
      </c>
      <c r="AR205" s="209" t="str">
        <f t="shared" si="34"/>
        <v/>
      </c>
      <c r="AS205" s="202" t="str">
        <f t="shared" si="35"/>
        <v/>
      </c>
      <c r="AT205" s="202" t="str">
        <f t="shared" si="36"/>
        <v/>
      </c>
      <c r="AU205" s="208"/>
      <c r="AV205" s="208"/>
      <c r="AW205" s="208"/>
      <c r="AX205" s="208"/>
      <c r="AY205" s="208"/>
      <c r="AZ205" s="208"/>
      <c r="BA205" s="208"/>
      <c r="BB205" s="208"/>
      <c r="BC205" s="208"/>
      <c r="BD205" s="208"/>
      <c r="BE205" s="208"/>
      <c r="BF205" s="208"/>
      <c r="BG205" s="28"/>
      <c r="BH205" s="28"/>
      <c r="BI205" s="28"/>
      <c r="BJ205" s="28"/>
    </row>
    <row r="206" spans="1:62" s="23" customFormat="1" ht="21" customHeight="1" thickBot="1" x14ac:dyDescent="0.25">
      <c r="A206" s="846" t="str">
        <f>IF($AN206="","",IFERROR(VLOOKUP(CONCATENATE(CTR1_Billing!$E$20,$AN206),'Local Data Previous Year'!$C$3:$D$20000,2,0),CTR1_Billing!$E$21&amp;"NEW"))</f>
        <v/>
      </c>
      <c r="B206" s="846" t="str">
        <f>IF($E206="","",IFERROR(VLOOKUP(CONCATENATE(CTR1_Billing!$E$20,CTR1_Local!$E206),'Local Data Previous Year'!$C$3:$D$20000,2,0),CTR1_Billing!$E$21&amp;"NEW"))</f>
        <v/>
      </c>
      <c r="C206" s="846">
        <v>174</v>
      </c>
      <c r="D206" s="755" t="str" cm="1">
        <f t="array" ref="D206">IF(ISERROR(INDEX('Local Data Previous Year'!$D$3:$D$20000,SMALL(IF(CTR1_Billing!$E$21='Local Data Previous Year'!$A$3:$A$20000,ROW('Local Data Previous Year'!$A$3:$A$20000)-ROW('Local Data Previous Year'!$A$3)+1),ROW(174:174)))),"",INDEX('Local Data Previous Year'!$D$3:$D$20000,SMALL(IF(CTR1_Billing!$E$21='Local Data Previous Year'!$A$3:$A$20000,ROW('Local Data Previous Year'!$A$3:$A$20000)-ROW('Local Data Previous Year'!$A$3)+1),ROW(174:174))))</f>
        <v/>
      </c>
      <c r="E206" s="755" t="str" cm="1">
        <f t="array" ref="E206">IF(ISERROR(INDEX('Local Data Previous Year'!$E$3:$E$20000,SMALL(IF(CTR1_Billing!$E$21='Local Data Previous Year'!$A$3:$A$20000,ROW('Local Data Previous Year'!$A$3:$A$20000)-ROW('Local Data Previous Year'!$A$3)+1),ROW(174:174)))),"",INDEX('Local Data Previous Year'!$E$3:$E$20000,SMALL(IF(CTR1_Billing!$E$21='Local Data Previous Year'!$A$3:$A$20000,ROW('Local Data Previous Year'!$A$3:$A$20000)-ROW('Local Data Previous Year'!$A$3)+1),ROW(174:174))))</f>
        <v/>
      </c>
      <c r="F206" s="756" t="str">
        <f>IF($D206="","",IF(ISNA(MATCH($D206,'Local Data Previous Year'!$D$3:$D$20000,0)),"New",IFERROR(VLOOKUP($B206,'Local Data Previous Year'!$D$3:$I$20000,6,0),"")))</f>
        <v/>
      </c>
      <c r="G206" s="757">
        <f t="shared" si="37"/>
        <v>0</v>
      </c>
      <c r="H206" s="758" t="str">
        <f>IFERROR(INDEX('Local Data Previous Year'!$F:$F, MATCH($D206, 'Local Data Previous Year'!$D:$D, 0)), "")</f>
        <v/>
      </c>
      <c r="I206" s="759">
        <f>IF(B206=CTR1_Billing!$E$21&amp;"NEW",1,0)</f>
        <v>0</v>
      </c>
      <c r="J206" s="760" t="str">
        <f>IFERROR(INDEX('Local Data Previous Year'!$G:$G, MATCH($D206, 'Local Data Previous Year'!$D:$D, 0)), "")</f>
        <v/>
      </c>
      <c r="K206" s="762"/>
      <c r="L206" s="760" t="str">
        <f>IFERROR(INDEX('Local Data Previous Year'!$H:$H, MATCH($D206, 'Local Data Previous Year'!$D:$D, 0)), "")</f>
        <v/>
      </c>
      <c r="M206" s="762"/>
      <c r="N206" s="763"/>
      <c r="O206" s="767"/>
      <c r="P206" s="765"/>
      <c r="Q206" s="767"/>
      <c r="R206" s="766" t="str">
        <f t="shared" si="38"/>
        <v/>
      </c>
      <c r="S206" s="754"/>
      <c r="T206" s="763"/>
      <c r="U206" s="754"/>
      <c r="V206" s="763"/>
      <c r="W206" s="763"/>
      <c r="X206" s="865" t="str">
        <f>VLOOKUP(CTR1_Billing!$E$21,Data!$C$6:$D$302,1,FALSE)</f>
        <v>EZZZZ</v>
      </c>
      <c r="Y206" s="205"/>
      <c r="Z206" s="205">
        <f t="shared" si="26"/>
        <v>0</v>
      </c>
      <c r="AA206" s="206" t="str">
        <f t="shared" si="27"/>
        <v/>
      </c>
      <c r="AB206" s="205">
        <f t="shared" si="28"/>
        <v>0</v>
      </c>
      <c r="AC206" s="208"/>
      <c r="AD206" s="208"/>
      <c r="AE206" s="208"/>
      <c r="AF206" s="208"/>
      <c r="AG206" s="209" t="str">
        <f>IFERROR(INDEX('Local Data Previous Year'!$F:$F, MATCH($D206, 'Local Data Previous Year'!$D:$D, 0)), "")</f>
        <v/>
      </c>
      <c r="AH206" s="209" t="str">
        <f>IFERROR(INDEX('Local Data Previous Year'!$G:$G, MATCH($D206, 'Local Data Previous Year'!$D:$D, 0)), "")</f>
        <v/>
      </c>
      <c r="AI206" s="209" t="str">
        <f>IFERROR(INDEX('Local Data Previous Year'!$H:$H, MATCH($D206, 'Local Data Previous Year'!$D:$D, 0)), "")</f>
        <v/>
      </c>
      <c r="AJ206" s="209" t="str">
        <f t="shared" si="29"/>
        <v/>
      </c>
      <c r="AK206" s="209" t="str">
        <f t="shared" si="30"/>
        <v/>
      </c>
      <c r="AL206" s="209" t="str">
        <f t="shared" si="31"/>
        <v/>
      </c>
      <c r="AM206" s="208" t="str">
        <f>IF($AN206="","",IFERROR(VLOOKUP(CONCATENATE(CTR1_Billing!$E$20,$AN206),'Local Data Previous Year'!$C$3:$D$50000,2,0),CTR1_Billing!$E$21&amp;"NEW"))</f>
        <v/>
      </c>
      <c r="AN206" s="209" t="str" cm="1">
        <f t="array" ref="AN206">IF(ISERROR(INDEX('Local Data Previous Year'!$E$3:$E$50000, SMALL(IF(CTR1_Billing!$E$21='Local Data Previous Year'!$A$3:$A$50000, ROW('Local Data Previous Year'!$A$3:$A$50000)-ROW('Local Data Previous Year'!$A$3)+1), ROW(174:174)))), "", INDEX('Local Data Previous Year'!$E$3:$E$50000, SMALL(IF(CTR1_Billing!$E$21='Local Data Previous Year'!$A$3:$A$50000, ROW('Local Data Previous Year'!$A$3:$A$50000)-ROW('Local Data Previous Year'!$A$3)+1), ROW(174:174))))</f>
        <v/>
      </c>
      <c r="AO206" s="209" t="str">
        <f t="shared" si="32"/>
        <v/>
      </c>
      <c r="AP206" s="208"/>
      <c r="AQ206" s="209" t="str">
        <f t="shared" si="33"/>
        <v/>
      </c>
      <c r="AR206" s="209" t="str">
        <f t="shared" si="34"/>
        <v/>
      </c>
      <c r="AS206" s="202" t="str">
        <f t="shared" si="35"/>
        <v/>
      </c>
      <c r="AT206" s="202" t="str">
        <f t="shared" si="36"/>
        <v/>
      </c>
      <c r="AU206" s="208"/>
      <c r="AV206" s="208"/>
      <c r="AW206" s="208"/>
      <c r="AX206" s="208"/>
      <c r="AY206" s="208"/>
      <c r="AZ206" s="208"/>
      <c r="BA206" s="208"/>
      <c r="BB206" s="208"/>
      <c r="BC206" s="208"/>
      <c r="BD206" s="208"/>
      <c r="BE206" s="208"/>
      <c r="BF206" s="208"/>
      <c r="BG206" s="28"/>
      <c r="BH206" s="28"/>
      <c r="BI206" s="28"/>
      <c r="BJ206" s="28"/>
    </row>
    <row r="207" spans="1:62" s="23" customFormat="1" ht="21" customHeight="1" thickBot="1" x14ac:dyDescent="0.25">
      <c r="A207" s="846" t="str">
        <f>IF($AN207="","",IFERROR(VLOOKUP(CONCATENATE(CTR1_Billing!$E$20,$AN207),'Local Data Previous Year'!$C$3:$D$20000,2,0),CTR1_Billing!$E$21&amp;"NEW"))</f>
        <v/>
      </c>
      <c r="B207" s="846" t="str">
        <f>IF($E207="","",IFERROR(VLOOKUP(CONCATENATE(CTR1_Billing!$E$20,CTR1_Local!$E207),'Local Data Previous Year'!$C$3:$D$20000,2,0),CTR1_Billing!$E$21&amp;"NEW"))</f>
        <v/>
      </c>
      <c r="C207" s="846">
        <v>175</v>
      </c>
      <c r="D207" s="755" t="str" cm="1">
        <f t="array" ref="D207">IF(ISERROR(INDEX('Local Data Previous Year'!$D$3:$D$20000,SMALL(IF(CTR1_Billing!$E$21='Local Data Previous Year'!$A$3:$A$20000,ROW('Local Data Previous Year'!$A$3:$A$20000)-ROW('Local Data Previous Year'!$A$3)+1),ROW(175:175)))),"",INDEX('Local Data Previous Year'!$D$3:$D$20000,SMALL(IF(CTR1_Billing!$E$21='Local Data Previous Year'!$A$3:$A$20000,ROW('Local Data Previous Year'!$A$3:$A$20000)-ROW('Local Data Previous Year'!$A$3)+1),ROW(175:175))))</f>
        <v/>
      </c>
      <c r="E207" s="755" t="str" cm="1">
        <f t="array" ref="E207">IF(ISERROR(INDEX('Local Data Previous Year'!$E$3:$E$20000,SMALL(IF(CTR1_Billing!$E$21='Local Data Previous Year'!$A$3:$A$20000,ROW('Local Data Previous Year'!$A$3:$A$20000)-ROW('Local Data Previous Year'!$A$3)+1),ROW(175:175)))),"",INDEX('Local Data Previous Year'!$E$3:$E$20000,SMALL(IF(CTR1_Billing!$E$21='Local Data Previous Year'!$A$3:$A$20000,ROW('Local Data Previous Year'!$A$3:$A$20000)-ROW('Local Data Previous Year'!$A$3)+1),ROW(175:175))))</f>
        <v/>
      </c>
      <c r="F207" s="756" t="str">
        <f>IF($D207="","",IF(ISNA(MATCH($D207,'Local Data Previous Year'!$D$3:$D$20000,0)),"New",IFERROR(VLOOKUP($B207,'Local Data Previous Year'!$D$3:$I$20000,6,0),"")))</f>
        <v/>
      </c>
      <c r="G207" s="757">
        <f t="shared" si="37"/>
        <v>0</v>
      </c>
      <c r="H207" s="758" t="str">
        <f>IFERROR(INDEX('Local Data Previous Year'!$F:$F, MATCH($D207, 'Local Data Previous Year'!$D:$D, 0)), "")</f>
        <v/>
      </c>
      <c r="I207" s="759">
        <f>IF(B207=CTR1_Billing!$E$21&amp;"NEW",1,0)</f>
        <v>0</v>
      </c>
      <c r="J207" s="760" t="str">
        <f>IFERROR(INDEX('Local Data Previous Year'!$G:$G, MATCH($D207, 'Local Data Previous Year'!$D:$D, 0)), "")</f>
        <v/>
      </c>
      <c r="K207" s="762"/>
      <c r="L207" s="760" t="str">
        <f>IFERROR(INDEX('Local Data Previous Year'!$H:$H, MATCH($D207, 'Local Data Previous Year'!$D:$D, 0)), "")</f>
        <v/>
      </c>
      <c r="M207" s="762"/>
      <c r="N207" s="763"/>
      <c r="O207" s="767"/>
      <c r="P207" s="765"/>
      <c r="Q207" s="767"/>
      <c r="R207" s="766" t="str">
        <f t="shared" si="38"/>
        <v/>
      </c>
      <c r="S207" s="754"/>
      <c r="T207" s="763"/>
      <c r="U207" s="754"/>
      <c r="V207" s="763"/>
      <c r="W207" s="763"/>
      <c r="X207" s="865" t="str">
        <f>VLOOKUP(CTR1_Billing!$E$21,Data!$C$6:$D$302,1,FALSE)</f>
        <v>EZZZZ</v>
      </c>
      <c r="Y207" s="205"/>
      <c r="Z207" s="205">
        <f t="shared" si="26"/>
        <v>0</v>
      </c>
      <c r="AA207" s="206" t="str">
        <f t="shared" si="27"/>
        <v/>
      </c>
      <c r="AB207" s="205">
        <f t="shared" si="28"/>
        <v>0</v>
      </c>
      <c r="AC207" s="208"/>
      <c r="AD207" s="208"/>
      <c r="AE207" s="208"/>
      <c r="AF207" s="208"/>
      <c r="AG207" s="209" t="str">
        <f>IFERROR(INDEX('Local Data Previous Year'!$F:$F, MATCH($D207, 'Local Data Previous Year'!$D:$D, 0)), "")</f>
        <v/>
      </c>
      <c r="AH207" s="209" t="str">
        <f>IFERROR(INDEX('Local Data Previous Year'!$G:$G, MATCH($D207, 'Local Data Previous Year'!$D:$D, 0)), "")</f>
        <v/>
      </c>
      <c r="AI207" s="209" t="str">
        <f>IFERROR(INDEX('Local Data Previous Year'!$H:$H, MATCH($D207, 'Local Data Previous Year'!$D:$D, 0)), "")</f>
        <v/>
      </c>
      <c r="AJ207" s="209" t="str">
        <f t="shared" si="29"/>
        <v/>
      </c>
      <c r="AK207" s="209" t="str">
        <f t="shared" si="30"/>
        <v/>
      </c>
      <c r="AL207" s="209" t="str">
        <f t="shared" si="31"/>
        <v/>
      </c>
      <c r="AM207" s="208" t="str">
        <f>IF($AN207="","",IFERROR(VLOOKUP(CONCATENATE(CTR1_Billing!$E$20,$AN207),'Local Data Previous Year'!$C$3:$D$50000,2,0),CTR1_Billing!$E$21&amp;"NEW"))</f>
        <v/>
      </c>
      <c r="AN207" s="209" t="str" cm="1">
        <f t="array" ref="AN207">IF(ISERROR(INDEX('Local Data Previous Year'!$E$3:$E$50000, SMALL(IF(CTR1_Billing!$E$21='Local Data Previous Year'!$A$3:$A$50000, ROW('Local Data Previous Year'!$A$3:$A$50000)-ROW('Local Data Previous Year'!$A$3)+1), ROW(175:175)))), "", INDEX('Local Data Previous Year'!$E$3:$E$50000, SMALL(IF(CTR1_Billing!$E$21='Local Data Previous Year'!$A$3:$A$50000, ROW('Local Data Previous Year'!$A$3:$A$50000)-ROW('Local Data Previous Year'!$A$3)+1), ROW(175:175))))</f>
        <v/>
      </c>
      <c r="AO207" s="209" t="str">
        <f t="shared" si="32"/>
        <v/>
      </c>
      <c r="AP207" s="208"/>
      <c r="AQ207" s="209" t="str">
        <f t="shared" si="33"/>
        <v/>
      </c>
      <c r="AR207" s="209" t="str">
        <f t="shared" si="34"/>
        <v/>
      </c>
      <c r="AS207" s="202" t="str">
        <f t="shared" si="35"/>
        <v/>
      </c>
      <c r="AT207" s="202" t="str">
        <f t="shared" si="36"/>
        <v/>
      </c>
      <c r="AU207" s="208"/>
      <c r="AV207" s="208"/>
      <c r="AW207" s="208"/>
      <c r="AX207" s="208"/>
      <c r="AY207" s="208"/>
      <c r="AZ207" s="208"/>
      <c r="BA207" s="208"/>
      <c r="BB207" s="208"/>
      <c r="BC207" s="208"/>
      <c r="BD207" s="208"/>
      <c r="BE207" s="208"/>
      <c r="BF207" s="208"/>
      <c r="BG207" s="28"/>
      <c r="BH207" s="28"/>
      <c r="BI207" s="28"/>
      <c r="BJ207" s="28"/>
    </row>
    <row r="208" spans="1:62" s="23" customFormat="1" ht="21" customHeight="1" thickBot="1" x14ac:dyDescent="0.25">
      <c r="A208" s="846" t="str">
        <f>IF($AN208="","",IFERROR(VLOOKUP(CONCATENATE(CTR1_Billing!$E$20,$AN208),'Local Data Previous Year'!$C$3:$D$20000,2,0),CTR1_Billing!$E$21&amp;"NEW"))</f>
        <v/>
      </c>
      <c r="B208" s="846" t="str">
        <f>IF($E208="","",IFERROR(VLOOKUP(CONCATENATE(CTR1_Billing!$E$20,CTR1_Local!$E208),'Local Data Previous Year'!$C$3:$D$20000,2,0),CTR1_Billing!$E$21&amp;"NEW"))</f>
        <v/>
      </c>
      <c r="C208" s="846">
        <v>176</v>
      </c>
      <c r="D208" s="755" t="str" cm="1">
        <f t="array" ref="D208">IF(ISERROR(INDEX('Local Data Previous Year'!$D$3:$D$20000,SMALL(IF(CTR1_Billing!$E$21='Local Data Previous Year'!$A$3:$A$20000,ROW('Local Data Previous Year'!$A$3:$A$20000)-ROW('Local Data Previous Year'!$A$3)+1),ROW(176:176)))),"",INDEX('Local Data Previous Year'!$D$3:$D$20000,SMALL(IF(CTR1_Billing!$E$21='Local Data Previous Year'!$A$3:$A$20000,ROW('Local Data Previous Year'!$A$3:$A$20000)-ROW('Local Data Previous Year'!$A$3)+1),ROW(176:176))))</f>
        <v/>
      </c>
      <c r="E208" s="755" t="str" cm="1">
        <f t="array" ref="E208">IF(ISERROR(INDEX('Local Data Previous Year'!$E$3:$E$20000,SMALL(IF(CTR1_Billing!$E$21='Local Data Previous Year'!$A$3:$A$20000,ROW('Local Data Previous Year'!$A$3:$A$20000)-ROW('Local Data Previous Year'!$A$3)+1),ROW(176:176)))),"",INDEX('Local Data Previous Year'!$E$3:$E$20000,SMALL(IF(CTR1_Billing!$E$21='Local Data Previous Year'!$A$3:$A$20000,ROW('Local Data Previous Year'!$A$3:$A$20000)-ROW('Local Data Previous Year'!$A$3)+1),ROW(176:176))))</f>
        <v/>
      </c>
      <c r="F208" s="756" t="str">
        <f>IF($D208="","",IF(ISNA(MATCH($D208,'Local Data Previous Year'!$D$3:$D$20000,0)),"New",IFERROR(VLOOKUP($B208,'Local Data Previous Year'!$D$3:$I$20000,6,0),"")))</f>
        <v/>
      </c>
      <c r="G208" s="757">
        <f t="shared" si="37"/>
        <v>0</v>
      </c>
      <c r="H208" s="758" t="str">
        <f>IFERROR(INDEX('Local Data Previous Year'!$F:$F, MATCH($D208, 'Local Data Previous Year'!$D:$D, 0)), "")</f>
        <v/>
      </c>
      <c r="I208" s="759">
        <f>IF(B208=CTR1_Billing!$E$21&amp;"NEW",1,0)</f>
        <v>0</v>
      </c>
      <c r="J208" s="760" t="str">
        <f>IFERROR(INDEX('Local Data Previous Year'!$G:$G, MATCH($D208, 'Local Data Previous Year'!$D:$D, 0)), "")</f>
        <v/>
      </c>
      <c r="K208" s="762"/>
      <c r="L208" s="760" t="str">
        <f>IFERROR(INDEX('Local Data Previous Year'!$H:$H, MATCH($D208, 'Local Data Previous Year'!$D:$D, 0)), "")</f>
        <v/>
      </c>
      <c r="M208" s="762"/>
      <c r="N208" s="763"/>
      <c r="O208" s="767"/>
      <c r="P208" s="765"/>
      <c r="Q208" s="767"/>
      <c r="R208" s="766" t="str">
        <f t="shared" si="38"/>
        <v/>
      </c>
      <c r="S208" s="754"/>
      <c r="T208" s="763"/>
      <c r="U208" s="754"/>
      <c r="V208" s="763"/>
      <c r="W208" s="763"/>
      <c r="X208" s="865" t="str">
        <f>VLOOKUP(CTR1_Billing!$E$21,Data!$C$6:$D$302,1,FALSE)</f>
        <v>EZZZZ</v>
      </c>
      <c r="Y208" s="205"/>
      <c r="Z208" s="205">
        <f t="shared" si="26"/>
        <v>0</v>
      </c>
      <c r="AA208" s="206" t="str">
        <f t="shared" si="27"/>
        <v/>
      </c>
      <c r="AB208" s="205">
        <f t="shared" si="28"/>
        <v>0</v>
      </c>
      <c r="AC208" s="208"/>
      <c r="AD208" s="208"/>
      <c r="AE208" s="208"/>
      <c r="AF208" s="208"/>
      <c r="AG208" s="209" t="str">
        <f>IFERROR(INDEX('Local Data Previous Year'!$F:$F, MATCH($D208, 'Local Data Previous Year'!$D:$D, 0)), "")</f>
        <v/>
      </c>
      <c r="AH208" s="209" t="str">
        <f>IFERROR(INDEX('Local Data Previous Year'!$G:$G, MATCH($D208, 'Local Data Previous Year'!$D:$D, 0)), "")</f>
        <v/>
      </c>
      <c r="AI208" s="209" t="str">
        <f>IFERROR(INDEX('Local Data Previous Year'!$H:$H, MATCH($D208, 'Local Data Previous Year'!$D:$D, 0)), "")</f>
        <v/>
      </c>
      <c r="AJ208" s="209" t="str">
        <f t="shared" si="29"/>
        <v/>
      </c>
      <c r="AK208" s="209" t="str">
        <f t="shared" si="30"/>
        <v/>
      </c>
      <c r="AL208" s="209" t="str">
        <f t="shared" si="31"/>
        <v/>
      </c>
      <c r="AM208" s="208" t="str">
        <f>IF($AN208="","",IFERROR(VLOOKUP(CONCATENATE(CTR1_Billing!$E$20,$AN208),'Local Data Previous Year'!$C$3:$D$50000,2,0),CTR1_Billing!$E$21&amp;"NEW"))</f>
        <v/>
      </c>
      <c r="AN208" s="209" t="str" cm="1">
        <f t="array" ref="AN208">IF(ISERROR(INDEX('Local Data Previous Year'!$E$3:$E$50000, SMALL(IF(CTR1_Billing!$E$21='Local Data Previous Year'!$A$3:$A$50000, ROW('Local Data Previous Year'!$A$3:$A$50000)-ROW('Local Data Previous Year'!$A$3)+1), ROW(176:176)))), "", INDEX('Local Data Previous Year'!$E$3:$E$50000, SMALL(IF(CTR1_Billing!$E$21='Local Data Previous Year'!$A$3:$A$50000, ROW('Local Data Previous Year'!$A$3:$A$50000)-ROW('Local Data Previous Year'!$A$3)+1), ROW(176:176))))</f>
        <v/>
      </c>
      <c r="AO208" s="209" t="str">
        <f t="shared" si="32"/>
        <v/>
      </c>
      <c r="AP208" s="208"/>
      <c r="AQ208" s="209" t="str">
        <f t="shared" si="33"/>
        <v/>
      </c>
      <c r="AR208" s="209" t="str">
        <f t="shared" si="34"/>
        <v/>
      </c>
      <c r="AS208" s="202" t="str">
        <f t="shared" si="35"/>
        <v/>
      </c>
      <c r="AT208" s="202" t="str">
        <f t="shared" si="36"/>
        <v/>
      </c>
      <c r="AU208" s="208"/>
      <c r="AV208" s="208"/>
      <c r="AW208" s="208"/>
      <c r="AX208" s="208"/>
      <c r="AY208" s="208"/>
      <c r="AZ208" s="208"/>
      <c r="BA208" s="208"/>
      <c r="BB208" s="208"/>
      <c r="BC208" s="208"/>
      <c r="BD208" s="208"/>
      <c r="BE208" s="208"/>
      <c r="BF208" s="208"/>
      <c r="BG208" s="28"/>
      <c r="BH208" s="28"/>
      <c r="BI208" s="28"/>
      <c r="BJ208" s="28"/>
    </row>
    <row r="209" spans="1:62" s="23" customFormat="1" ht="21" customHeight="1" thickBot="1" x14ac:dyDescent="0.25">
      <c r="A209" s="846" t="str">
        <f>IF($AN209="","",IFERROR(VLOOKUP(CONCATENATE(CTR1_Billing!$E$20,$AN209),'Local Data Previous Year'!$C$3:$D$20000,2,0),CTR1_Billing!$E$21&amp;"NEW"))</f>
        <v/>
      </c>
      <c r="B209" s="846" t="str">
        <f>IF($E209="","",IFERROR(VLOOKUP(CONCATENATE(CTR1_Billing!$E$20,CTR1_Local!$E209),'Local Data Previous Year'!$C$3:$D$20000,2,0),CTR1_Billing!$E$21&amp;"NEW"))</f>
        <v/>
      </c>
      <c r="C209" s="846">
        <v>177</v>
      </c>
      <c r="D209" s="755" t="str" cm="1">
        <f t="array" ref="D209">IF(ISERROR(INDEX('Local Data Previous Year'!$D$3:$D$20000,SMALL(IF(CTR1_Billing!$E$21='Local Data Previous Year'!$A$3:$A$20000,ROW('Local Data Previous Year'!$A$3:$A$20000)-ROW('Local Data Previous Year'!$A$3)+1),ROW(177:177)))),"",INDEX('Local Data Previous Year'!$D$3:$D$20000,SMALL(IF(CTR1_Billing!$E$21='Local Data Previous Year'!$A$3:$A$20000,ROW('Local Data Previous Year'!$A$3:$A$20000)-ROW('Local Data Previous Year'!$A$3)+1),ROW(177:177))))</f>
        <v/>
      </c>
      <c r="E209" s="755" t="str" cm="1">
        <f t="array" ref="E209">IF(ISERROR(INDEX('Local Data Previous Year'!$E$3:$E$20000,SMALL(IF(CTR1_Billing!$E$21='Local Data Previous Year'!$A$3:$A$20000,ROW('Local Data Previous Year'!$A$3:$A$20000)-ROW('Local Data Previous Year'!$A$3)+1),ROW(177:177)))),"",INDEX('Local Data Previous Year'!$E$3:$E$20000,SMALL(IF(CTR1_Billing!$E$21='Local Data Previous Year'!$A$3:$A$20000,ROW('Local Data Previous Year'!$A$3:$A$20000)-ROW('Local Data Previous Year'!$A$3)+1),ROW(177:177))))</f>
        <v/>
      </c>
      <c r="F209" s="756" t="str">
        <f>IF($D209="","",IF(ISNA(MATCH($D209,'Local Data Previous Year'!$D$3:$D$20000,0)),"New",IFERROR(VLOOKUP($B209,'Local Data Previous Year'!$D$3:$I$20000,6,0),"")))</f>
        <v/>
      </c>
      <c r="G209" s="757">
        <f t="shared" si="37"/>
        <v>0</v>
      </c>
      <c r="H209" s="758" t="str">
        <f>IFERROR(INDEX('Local Data Previous Year'!$F:$F, MATCH($D209, 'Local Data Previous Year'!$D:$D, 0)), "")</f>
        <v/>
      </c>
      <c r="I209" s="759">
        <f>IF(B209=CTR1_Billing!$E$21&amp;"NEW",1,0)</f>
        <v>0</v>
      </c>
      <c r="J209" s="760" t="str">
        <f>IFERROR(INDEX('Local Data Previous Year'!$G:$G, MATCH($D209, 'Local Data Previous Year'!$D:$D, 0)), "")</f>
        <v/>
      </c>
      <c r="K209" s="762"/>
      <c r="L209" s="760" t="str">
        <f>IFERROR(INDEX('Local Data Previous Year'!$H:$H, MATCH($D209, 'Local Data Previous Year'!$D:$D, 0)), "")</f>
        <v/>
      </c>
      <c r="M209" s="762"/>
      <c r="N209" s="763"/>
      <c r="O209" s="767"/>
      <c r="P209" s="765"/>
      <c r="Q209" s="767"/>
      <c r="R209" s="766" t="str">
        <f t="shared" si="38"/>
        <v/>
      </c>
      <c r="S209" s="754"/>
      <c r="T209" s="763"/>
      <c r="U209" s="754"/>
      <c r="V209" s="763"/>
      <c r="W209" s="763"/>
      <c r="X209" s="865" t="str">
        <f>VLOOKUP(CTR1_Billing!$E$21,Data!$C$6:$D$302,1,FALSE)</f>
        <v>EZZZZ</v>
      </c>
      <c r="Y209" s="205"/>
      <c r="Z209" s="205">
        <f t="shared" si="26"/>
        <v>0</v>
      </c>
      <c r="AA209" s="206" t="str">
        <f t="shared" si="27"/>
        <v/>
      </c>
      <c r="AB209" s="205">
        <f t="shared" si="28"/>
        <v>0</v>
      </c>
      <c r="AC209" s="208"/>
      <c r="AD209" s="208"/>
      <c r="AE209" s="208"/>
      <c r="AF209" s="208"/>
      <c r="AG209" s="209" t="str">
        <f>IFERROR(INDEX('Local Data Previous Year'!$F:$F, MATCH($D209, 'Local Data Previous Year'!$D:$D, 0)), "")</f>
        <v/>
      </c>
      <c r="AH209" s="209" t="str">
        <f>IFERROR(INDEX('Local Data Previous Year'!$G:$G, MATCH($D209, 'Local Data Previous Year'!$D:$D, 0)), "")</f>
        <v/>
      </c>
      <c r="AI209" s="209" t="str">
        <f>IFERROR(INDEX('Local Data Previous Year'!$H:$H, MATCH($D209, 'Local Data Previous Year'!$D:$D, 0)), "")</f>
        <v/>
      </c>
      <c r="AJ209" s="209" t="str">
        <f t="shared" si="29"/>
        <v/>
      </c>
      <c r="AK209" s="209" t="str">
        <f t="shared" si="30"/>
        <v/>
      </c>
      <c r="AL209" s="209" t="str">
        <f t="shared" si="31"/>
        <v/>
      </c>
      <c r="AM209" s="208" t="str">
        <f>IF($AN209="","",IFERROR(VLOOKUP(CONCATENATE(CTR1_Billing!$E$20,$AN209),'Local Data Previous Year'!$C$3:$D$50000,2,0),CTR1_Billing!$E$21&amp;"NEW"))</f>
        <v/>
      </c>
      <c r="AN209" s="209" t="str" cm="1">
        <f t="array" ref="AN209">IF(ISERROR(INDEX('Local Data Previous Year'!$E$3:$E$50000, SMALL(IF(CTR1_Billing!$E$21='Local Data Previous Year'!$A$3:$A$50000, ROW('Local Data Previous Year'!$A$3:$A$50000)-ROW('Local Data Previous Year'!$A$3)+1), ROW(177:177)))), "", INDEX('Local Data Previous Year'!$E$3:$E$50000, SMALL(IF(CTR1_Billing!$E$21='Local Data Previous Year'!$A$3:$A$50000, ROW('Local Data Previous Year'!$A$3:$A$50000)-ROW('Local Data Previous Year'!$A$3)+1), ROW(177:177))))</f>
        <v/>
      </c>
      <c r="AO209" s="209" t="str">
        <f t="shared" si="32"/>
        <v/>
      </c>
      <c r="AP209" s="208"/>
      <c r="AQ209" s="209" t="str">
        <f t="shared" si="33"/>
        <v/>
      </c>
      <c r="AR209" s="209" t="str">
        <f t="shared" si="34"/>
        <v/>
      </c>
      <c r="AS209" s="202" t="str">
        <f t="shared" si="35"/>
        <v/>
      </c>
      <c r="AT209" s="202" t="str">
        <f t="shared" si="36"/>
        <v/>
      </c>
      <c r="AU209" s="208"/>
      <c r="AV209" s="208"/>
      <c r="AW209" s="208"/>
      <c r="AX209" s="208"/>
      <c r="AY209" s="208"/>
      <c r="AZ209" s="208"/>
      <c r="BA209" s="208"/>
      <c r="BB209" s="208"/>
      <c r="BC209" s="208"/>
      <c r="BD209" s="208"/>
      <c r="BE209" s="208"/>
      <c r="BF209" s="208"/>
      <c r="BG209" s="28"/>
      <c r="BH209" s="28"/>
      <c r="BI209" s="28"/>
      <c r="BJ209" s="28"/>
    </row>
    <row r="210" spans="1:62" s="23" customFormat="1" ht="21" customHeight="1" thickBot="1" x14ac:dyDescent="0.25">
      <c r="A210" s="846" t="str">
        <f>IF($AN210="","",IFERROR(VLOOKUP(CONCATENATE(CTR1_Billing!$E$20,$AN210),'Local Data Previous Year'!$C$3:$D$20000,2,0),CTR1_Billing!$E$21&amp;"NEW"))</f>
        <v/>
      </c>
      <c r="B210" s="846" t="str">
        <f>IF($E210="","",IFERROR(VLOOKUP(CONCATENATE(CTR1_Billing!$E$20,CTR1_Local!$E210),'Local Data Previous Year'!$C$3:$D$20000,2,0),CTR1_Billing!$E$21&amp;"NEW"))</f>
        <v/>
      </c>
      <c r="C210" s="846">
        <v>178</v>
      </c>
      <c r="D210" s="755" t="str" cm="1">
        <f t="array" ref="D210">IF(ISERROR(INDEX('Local Data Previous Year'!$D$3:$D$20000,SMALL(IF(CTR1_Billing!$E$21='Local Data Previous Year'!$A$3:$A$20000,ROW('Local Data Previous Year'!$A$3:$A$20000)-ROW('Local Data Previous Year'!$A$3)+1),ROW(178:178)))),"",INDEX('Local Data Previous Year'!$D$3:$D$20000,SMALL(IF(CTR1_Billing!$E$21='Local Data Previous Year'!$A$3:$A$20000,ROW('Local Data Previous Year'!$A$3:$A$20000)-ROW('Local Data Previous Year'!$A$3)+1),ROW(178:178))))</f>
        <v/>
      </c>
      <c r="E210" s="755" t="str" cm="1">
        <f t="array" ref="E210">IF(ISERROR(INDEX('Local Data Previous Year'!$E$3:$E$20000,SMALL(IF(CTR1_Billing!$E$21='Local Data Previous Year'!$A$3:$A$20000,ROW('Local Data Previous Year'!$A$3:$A$20000)-ROW('Local Data Previous Year'!$A$3)+1),ROW(178:178)))),"",INDEX('Local Data Previous Year'!$E$3:$E$20000,SMALL(IF(CTR1_Billing!$E$21='Local Data Previous Year'!$A$3:$A$20000,ROW('Local Data Previous Year'!$A$3:$A$20000)-ROW('Local Data Previous Year'!$A$3)+1),ROW(178:178))))</f>
        <v/>
      </c>
      <c r="F210" s="756" t="str">
        <f>IF($D210="","",IF(ISNA(MATCH($D210,'Local Data Previous Year'!$D$3:$D$20000,0)),"New",IFERROR(VLOOKUP($B210,'Local Data Previous Year'!$D$3:$I$20000,6,0),"")))</f>
        <v/>
      </c>
      <c r="G210" s="757">
        <f t="shared" si="37"/>
        <v>0</v>
      </c>
      <c r="H210" s="758" t="str">
        <f>IFERROR(INDEX('Local Data Previous Year'!$F:$F, MATCH($D210, 'Local Data Previous Year'!$D:$D, 0)), "")</f>
        <v/>
      </c>
      <c r="I210" s="759">
        <f>IF(B210=CTR1_Billing!$E$21&amp;"NEW",1,0)</f>
        <v>0</v>
      </c>
      <c r="J210" s="760" t="str">
        <f>IFERROR(INDEX('Local Data Previous Year'!$G:$G, MATCH($D210, 'Local Data Previous Year'!$D:$D, 0)), "")</f>
        <v/>
      </c>
      <c r="K210" s="762"/>
      <c r="L210" s="760" t="str">
        <f>IFERROR(INDEX('Local Data Previous Year'!$H:$H, MATCH($D210, 'Local Data Previous Year'!$D:$D, 0)), "")</f>
        <v/>
      </c>
      <c r="M210" s="762"/>
      <c r="N210" s="763"/>
      <c r="O210" s="767"/>
      <c r="P210" s="765"/>
      <c r="Q210" s="767"/>
      <c r="R210" s="766" t="str">
        <f t="shared" si="38"/>
        <v/>
      </c>
      <c r="S210" s="754"/>
      <c r="T210" s="763"/>
      <c r="U210" s="754"/>
      <c r="V210" s="763"/>
      <c r="W210" s="763"/>
      <c r="X210" s="865" t="str">
        <f>VLOOKUP(CTR1_Billing!$E$21,Data!$C$6:$D$302,1,FALSE)</f>
        <v>EZZZZ</v>
      </c>
      <c r="Y210" s="205"/>
      <c r="Z210" s="205">
        <f t="shared" si="26"/>
        <v>0</v>
      </c>
      <c r="AA210" s="206" t="str">
        <f t="shared" si="27"/>
        <v/>
      </c>
      <c r="AB210" s="205">
        <f t="shared" si="28"/>
        <v>0</v>
      </c>
      <c r="AC210" s="208"/>
      <c r="AD210" s="208"/>
      <c r="AE210" s="208"/>
      <c r="AF210" s="208"/>
      <c r="AG210" s="209" t="str">
        <f>IFERROR(INDEX('Local Data Previous Year'!$F:$F, MATCH($D210, 'Local Data Previous Year'!$D:$D, 0)), "")</f>
        <v/>
      </c>
      <c r="AH210" s="209" t="str">
        <f>IFERROR(INDEX('Local Data Previous Year'!$G:$G, MATCH($D210, 'Local Data Previous Year'!$D:$D, 0)), "")</f>
        <v/>
      </c>
      <c r="AI210" s="209" t="str">
        <f>IFERROR(INDEX('Local Data Previous Year'!$H:$H, MATCH($D210, 'Local Data Previous Year'!$D:$D, 0)), "")</f>
        <v/>
      </c>
      <c r="AJ210" s="209" t="str">
        <f t="shared" si="29"/>
        <v/>
      </c>
      <c r="AK210" s="209" t="str">
        <f t="shared" si="30"/>
        <v/>
      </c>
      <c r="AL210" s="209" t="str">
        <f t="shared" si="31"/>
        <v/>
      </c>
      <c r="AM210" s="208" t="str">
        <f>IF($AN210="","",IFERROR(VLOOKUP(CONCATENATE(CTR1_Billing!$E$20,$AN210),'Local Data Previous Year'!$C$3:$D$50000,2,0),CTR1_Billing!$E$21&amp;"NEW"))</f>
        <v/>
      </c>
      <c r="AN210" s="209" t="str" cm="1">
        <f t="array" ref="AN210">IF(ISERROR(INDEX('Local Data Previous Year'!$E$3:$E$50000, SMALL(IF(CTR1_Billing!$E$21='Local Data Previous Year'!$A$3:$A$50000, ROW('Local Data Previous Year'!$A$3:$A$50000)-ROW('Local Data Previous Year'!$A$3)+1), ROW(178:178)))), "", INDEX('Local Data Previous Year'!$E$3:$E$50000, SMALL(IF(CTR1_Billing!$E$21='Local Data Previous Year'!$A$3:$A$50000, ROW('Local Data Previous Year'!$A$3:$A$50000)-ROW('Local Data Previous Year'!$A$3)+1), ROW(178:178))))</f>
        <v/>
      </c>
      <c r="AO210" s="209" t="str">
        <f t="shared" si="32"/>
        <v/>
      </c>
      <c r="AP210" s="208"/>
      <c r="AQ210" s="209" t="str">
        <f t="shared" si="33"/>
        <v/>
      </c>
      <c r="AR210" s="209" t="str">
        <f t="shared" si="34"/>
        <v/>
      </c>
      <c r="AS210" s="202" t="str">
        <f t="shared" si="35"/>
        <v/>
      </c>
      <c r="AT210" s="202" t="str">
        <f t="shared" si="36"/>
        <v/>
      </c>
      <c r="AU210" s="208"/>
      <c r="AV210" s="208"/>
      <c r="AW210" s="208"/>
      <c r="AX210" s="208"/>
      <c r="AY210" s="208"/>
      <c r="AZ210" s="208"/>
      <c r="BA210" s="208"/>
      <c r="BB210" s="208"/>
      <c r="BC210" s="208"/>
      <c r="BD210" s="208"/>
      <c r="BE210" s="208"/>
      <c r="BF210" s="208"/>
      <c r="BG210" s="28"/>
      <c r="BH210" s="28"/>
      <c r="BI210" s="28"/>
      <c r="BJ210" s="28"/>
    </row>
    <row r="211" spans="1:62" s="23" customFormat="1" ht="21" customHeight="1" thickBot="1" x14ac:dyDescent="0.25">
      <c r="A211" s="846" t="str">
        <f>IF($AN211="","",IFERROR(VLOOKUP(CONCATENATE(CTR1_Billing!$E$20,$AN211),'Local Data Previous Year'!$C$3:$D$20000,2,0),CTR1_Billing!$E$21&amp;"NEW"))</f>
        <v/>
      </c>
      <c r="B211" s="846" t="str">
        <f>IF($E211="","",IFERROR(VLOOKUP(CONCATENATE(CTR1_Billing!$E$20,CTR1_Local!$E211),'Local Data Previous Year'!$C$3:$D$20000,2,0),CTR1_Billing!$E$21&amp;"NEW"))</f>
        <v/>
      </c>
      <c r="C211" s="846">
        <v>179</v>
      </c>
      <c r="D211" s="755" t="str" cm="1">
        <f t="array" ref="D211">IF(ISERROR(INDEX('Local Data Previous Year'!$D$3:$D$20000,SMALL(IF(CTR1_Billing!$E$21='Local Data Previous Year'!$A$3:$A$20000,ROW('Local Data Previous Year'!$A$3:$A$20000)-ROW('Local Data Previous Year'!$A$3)+1),ROW(179:179)))),"",INDEX('Local Data Previous Year'!$D$3:$D$20000,SMALL(IF(CTR1_Billing!$E$21='Local Data Previous Year'!$A$3:$A$20000,ROW('Local Data Previous Year'!$A$3:$A$20000)-ROW('Local Data Previous Year'!$A$3)+1),ROW(179:179))))</f>
        <v/>
      </c>
      <c r="E211" s="755" t="str" cm="1">
        <f t="array" ref="E211">IF(ISERROR(INDEX('Local Data Previous Year'!$E$3:$E$20000,SMALL(IF(CTR1_Billing!$E$21='Local Data Previous Year'!$A$3:$A$20000,ROW('Local Data Previous Year'!$A$3:$A$20000)-ROW('Local Data Previous Year'!$A$3)+1),ROW(179:179)))),"",INDEX('Local Data Previous Year'!$E$3:$E$20000,SMALL(IF(CTR1_Billing!$E$21='Local Data Previous Year'!$A$3:$A$20000,ROW('Local Data Previous Year'!$A$3:$A$20000)-ROW('Local Data Previous Year'!$A$3)+1),ROW(179:179))))</f>
        <v/>
      </c>
      <c r="F211" s="756" t="str">
        <f>IF($D211="","",IF(ISNA(MATCH($D211,'Local Data Previous Year'!$D$3:$D$20000,0)),"New",IFERROR(VLOOKUP($B211,'Local Data Previous Year'!$D$3:$I$20000,6,0),"")))</f>
        <v/>
      </c>
      <c r="G211" s="757">
        <f t="shared" si="37"/>
        <v>0</v>
      </c>
      <c r="H211" s="758" t="str">
        <f>IFERROR(INDEX('Local Data Previous Year'!$F:$F, MATCH($D211, 'Local Data Previous Year'!$D:$D, 0)), "")</f>
        <v/>
      </c>
      <c r="I211" s="759">
        <f>IF(B211=CTR1_Billing!$E$21&amp;"NEW",1,0)</f>
        <v>0</v>
      </c>
      <c r="J211" s="760" t="str">
        <f>IFERROR(INDEX('Local Data Previous Year'!$G:$G, MATCH($D211, 'Local Data Previous Year'!$D:$D, 0)), "")</f>
        <v/>
      </c>
      <c r="K211" s="762"/>
      <c r="L211" s="760" t="str">
        <f>IFERROR(INDEX('Local Data Previous Year'!$H:$H, MATCH($D211, 'Local Data Previous Year'!$D:$D, 0)), "")</f>
        <v/>
      </c>
      <c r="M211" s="762"/>
      <c r="N211" s="763"/>
      <c r="O211" s="767"/>
      <c r="P211" s="765"/>
      <c r="Q211" s="767"/>
      <c r="R211" s="766" t="str">
        <f t="shared" si="38"/>
        <v/>
      </c>
      <c r="S211" s="754"/>
      <c r="T211" s="763"/>
      <c r="U211" s="754"/>
      <c r="V211" s="763"/>
      <c r="W211" s="763"/>
      <c r="X211" s="865" t="str">
        <f>VLOOKUP(CTR1_Billing!$E$21,Data!$C$6:$D$302,1,FALSE)</f>
        <v>EZZZZ</v>
      </c>
      <c r="Y211" s="205"/>
      <c r="Z211" s="205">
        <f t="shared" si="26"/>
        <v>0</v>
      </c>
      <c r="AA211" s="206" t="str">
        <f t="shared" si="27"/>
        <v/>
      </c>
      <c r="AB211" s="205">
        <f t="shared" si="28"/>
        <v>0</v>
      </c>
      <c r="AC211" s="208"/>
      <c r="AD211" s="208"/>
      <c r="AE211" s="208"/>
      <c r="AF211" s="208"/>
      <c r="AG211" s="209" t="str">
        <f>IFERROR(INDEX('Local Data Previous Year'!$F:$F, MATCH($D211, 'Local Data Previous Year'!$D:$D, 0)), "")</f>
        <v/>
      </c>
      <c r="AH211" s="209" t="str">
        <f>IFERROR(INDEX('Local Data Previous Year'!$G:$G, MATCH($D211, 'Local Data Previous Year'!$D:$D, 0)), "")</f>
        <v/>
      </c>
      <c r="AI211" s="209" t="str">
        <f>IFERROR(INDEX('Local Data Previous Year'!$H:$H, MATCH($D211, 'Local Data Previous Year'!$D:$D, 0)), "")</f>
        <v/>
      </c>
      <c r="AJ211" s="209" t="str">
        <f t="shared" si="29"/>
        <v/>
      </c>
      <c r="AK211" s="209" t="str">
        <f t="shared" si="30"/>
        <v/>
      </c>
      <c r="AL211" s="209" t="str">
        <f t="shared" si="31"/>
        <v/>
      </c>
      <c r="AM211" s="208" t="str">
        <f>IF($AN211="","",IFERROR(VLOOKUP(CONCATENATE(CTR1_Billing!$E$20,$AN211),'Local Data Previous Year'!$C$3:$D$50000,2,0),CTR1_Billing!$E$21&amp;"NEW"))</f>
        <v/>
      </c>
      <c r="AN211" s="209" t="str" cm="1">
        <f t="array" ref="AN211">IF(ISERROR(INDEX('Local Data Previous Year'!$E$3:$E$50000, SMALL(IF(CTR1_Billing!$E$21='Local Data Previous Year'!$A$3:$A$50000, ROW('Local Data Previous Year'!$A$3:$A$50000)-ROW('Local Data Previous Year'!$A$3)+1), ROW(179:179)))), "", INDEX('Local Data Previous Year'!$E$3:$E$50000, SMALL(IF(CTR1_Billing!$E$21='Local Data Previous Year'!$A$3:$A$50000, ROW('Local Data Previous Year'!$A$3:$A$50000)-ROW('Local Data Previous Year'!$A$3)+1), ROW(179:179))))</f>
        <v/>
      </c>
      <c r="AO211" s="209" t="str">
        <f t="shared" si="32"/>
        <v/>
      </c>
      <c r="AP211" s="208"/>
      <c r="AQ211" s="209" t="str">
        <f t="shared" si="33"/>
        <v/>
      </c>
      <c r="AR211" s="209" t="str">
        <f t="shared" si="34"/>
        <v/>
      </c>
      <c r="AS211" s="202" t="str">
        <f t="shared" si="35"/>
        <v/>
      </c>
      <c r="AT211" s="202" t="str">
        <f t="shared" si="36"/>
        <v/>
      </c>
      <c r="AU211" s="208"/>
      <c r="AV211" s="208"/>
      <c r="AW211" s="208"/>
      <c r="AX211" s="208"/>
      <c r="AY211" s="208"/>
      <c r="AZ211" s="208"/>
      <c r="BA211" s="208"/>
      <c r="BB211" s="208"/>
      <c r="BC211" s="208"/>
      <c r="BD211" s="208"/>
      <c r="BE211" s="208"/>
      <c r="BF211" s="208"/>
      <c r="BG211" s="28"/>
      <c r="BH211" s="28"/>
      <c r="BI211" s="28"/>
      <c r="BJ211" s="28"/>
    </row>
    <row r="212" spans="1:62" s="23" customFormat="1" ht="21" customHeight="1" thickBot="1" x14ac:dyDescent="0.25">
      <c r="A212" s="846" t="str">
        <f>IF($AN212="","",IFERROR(VLOOKUP(CONCATENATE(CTR1_Billing!$E$20,$AN212),'Local Data Previous Year'!$C$3:$D$20000,2,0),CTR1_Billing!$E$21&amp;"NEW"))</f>
        <v/>
      </c>
      <c r="B212" s="846" t="str">
        <f>IF($E212="","",IFERROR(VLOOKUP(CONCATENATE(CTR1_Billing!$E$20,CTR1_Local!$E212),'Local Data Previous Year'!$C$3:$D$20000,2,0),CTR1_Billing!$E$21&amp;"NEW"))</f>
        <v/>
      </c>
      <c r="C212" s="846">
        <v>180</v>
      </c>
      <c r="D212" s="755" t="str" cm="1">
        <f t="array" ref="D212">IF(ISERROR(INDEX('Local Data Previous Year'!$D$3:$D$20000,SMALL(IF(CTR1_Billing!$E$21='Local Data Previous Year'!$A$3:$A$20000,ROW('Local Data Previous Year'!$A$3:$A$20000)-ROW('Local Data Previous Year'!$A$3)+1),ROW(180:180)))),"",INDEX('Local Data Previous Year'!$D$3:$D$20000,SMALL(IF(CTR1_Billing!$E$21='Local Data Previous Year'!$A$3:$A$20000,ROW('Local Data Previous Year'!$A$3:$A$20000)-ROW('Local Data Previous Year'!$A$3)+1),ROW(180:180))))</f>
        <v/>
      </c>
      <c r="E212" s="755" t="str" cm="1">
        <f t="array" ref="E212">IF(ISERROR(INDEX('Local Data Previous Year'!$E$3:$E$20000,SMALL(IF(CTR1_Billing!$E$21='Local Data Previous Year'!$A$3:$A$20000,ROW('Local Data Previous Year'!$A$3:$A$20000)-ROW('Local Data Previous Year'!$A$3)+1),ROW(180:180)))),"",INDEX('Local Data Previous Year'!$E$3:$E$20000,SMALL(IF(CTR1_Billing!$E$21='Local Data Previous Year'!$A$3:$A$20000,ROW('Local Data Previous Year'!$A$3:$A$20000)-ROW('Local Data Previous Year'!$A$3)+1),ROW(180:180))))</f>
        <v/>
      </c>
      <c r="F212" s="756" t="str">
        <f>IF($D212="","",IF(ISNA(MATCH($D212,'Local Data Previous Year'!$D$3:$D$20000,0)),"New",IFERROR(VLOOKUP($B212,'Local Data Previous Year'!$D$3:$I$20000,6,0),"")))</f>
        <v/>
      </c>
      <c r="G212" s="757">
        <f t="shared" si="37"/>
        <v>0</v>
      </c>
      <c r="H212" s="758" t="str">
        <f>IFERROR(INDEX('Local Data Previous Year'!$F:$F, MATCH($D212, 'Local Data Previous Year'!$D:$D, 0)), "")</f>
        <v/>
      </c>
      <c r="I212" s="759">
        <f>IF(B212=CTR1_Billing!$E$21&amp;"NEW",1,0)</f>
        <v>0</v>
      </c>
      <c r="J212" s="760" t="str">
        <f>IFERROR(INDEX('Local Data Previous Year'!$G:$G, MATCH($D212, 'Local Data Previous Year'!$D:$D, 0)), "")</f>
        <v/>
      </c>
      <c r="K212" s="762"/>
      <c r="L212" s="760" t="str">
        <f>IFERROR(INDEX('Local Data Previous Year'!$H:$H, MATCH($D212, 'Local Data Previous Year'!$D:$D, 0)), "")</f>
        <v/>
      </c>
      <c r="M212" s="762"/>
      <c r="N212" s="763"/>
      <c r="O212" s="767"/>
      <c r="P212" s="765"/>
      <c r="Q212" s="767"/>
      <c r="R212" s="766" t="str">
        <f t="shared" si="38"/>
        <v/>
      </c>
      <c r="S212" s="754"/>
      <c r="T212" s="763"/>
      <c r="U212" s="754"/>
      <c r="V212" s="763"/>
      <c r="W212" s="763"/>
      <c r="X212" s="865" t="str">
        <f>VLOOKUP(CTR1_Billing!$E$21,Data!$C$6:$D$302,1,FALSE)</f>
        <v>EZZZZ</v>
      </c>
      <c r="Y212" s="205"/>
      <c r="Z212" s="205">
        <f t="shared" si="26"/>
        <v>0</v>
      </c>
      <c r="AA212" s="206" t="str">
        <f t="shared" si="27"/>
        <v/>
      </c>
      <c r="AB212" s="205">
        <f t="shared" si="28"/>
        <v>0</v>
      </c>
      <c r="AC212" s="208"/>
      <c r="AD212" s="208"/>
      <c r="AE212" s="208"/>
      <c r="AF212" s="208"/>
      <c r="AG212" s="209" t="str">
        <f>IFERROR(INDEX('Local Data Previous Year'!$F:$F, MATCH($D212, 'Local Data Previous Year'!$D:$D, 0)), "")</f>
        <v/>
      </c>
      <c r="AH212" s="209" t="str">
        <f>IFERROR(INDEX('Local Data Previous Year'!$G:$G, MATCH($D212, 'Local Data Previous Year'!$D:$D, 0)), "")</f>
        <v/>
      </c>
      <c r="AI212" s="209" t="str">
        <f>IFERROR(INDEX('Local Data Previous Year'!$H:$H, MATCH($D212, 'Local Data Previous Year'!$D:$D, 0)), "")</f>
        <v/>
      </c>
      <c r="AJ212" s="209" t="str">
        <f t="shared" si="29"/>
        <v/>
      </c>
      <c r="AK212" s="209" t="str">
        <f t="shared" si="30"/>
        <v/>
      </c>
      <c r="AL212" s="209" t="str">
        <f t="shared" si="31"/>
        <v/>
      </c>
      <c r="AM212" s="208" t="str">
        <f>IF($AN212="","",IFERROR(VLOOKUP(CONCATENATE(CTR1_Billing!$E$20,$AN212),'Local Data Previous Year'!$C$3:$D$50000,2,0),CTR1_Billing!$E$21&amp;"NEW"))</f>
        <v/>
      </c>
      <c r="AN212" s="209" t="str" cm="1">
        <f t="array" ref="AN212">IF(ISERROR(INDEX('Local Data Previous Year'!$E$3:$E$50000, SMALL(IF(CTR1_Billing!$E$21='Local Data Previous Year'!$A$3:$A$50000, ROW('Local Data Previous Year'!$A$3:$A$50000)-ROW('Local Data Previous Year'!$A$3)+1), ROW(180:180)))), "", INDEX('Local Data Previous Year'!$E$3:$E$50000, SMALL(IF(CTR1_Billing!$E$21='Local Data Previous Year'!$A$3:$A$50000, ROW('Local Data Previous Year'!$A$3:$A$50000)-ROW('Local Data Previous Year'!$A$3)+1), ROW(180:180))))</f>
        <v/>
      </c>
      <c r="AO212" s="209" t="str">
        <f t="shared" si="32"/>
        <v/>
      </c>
      <c r="AP212" s="208"/>
      <c r="AQ212" s="209" t="str">
        <f t="shared" si="33"/>
        <v/>
      </c>
      <c r="AR212" s="209" t="str">
        <f t="shared" si="34"/>
        <v/>
      </c>
      <c r="AS212" s="202" t="str">
        <f t="shared" si="35"/>
        <v/>
      </c>
      <c r="AT212" s="202" t="str">
        <f t="shared" si="36"/>
        <v/>
      </c>
      <c r="AU212" s="208"/>
      <c r="AV212" s="208"/>
      <c r="AW212" s="208"/>
      <c r="AX212" s="208"/>
      <c r="AY212" s="208"/>
      <c r="AZ212" s="208"/>
      <c r="BA212" s="208"/>
      <c r="BB212" s="208"/>
      <c r="BC212" s="208"/>
      <c r="BD212" s="208"/>
      <c r="BE212" s="208"/>
      <c r="BF212" s="208"/>
      <c r="BG212" s="28"/>
      <c r="BH212" s="28"/>
      <c r="BI212" s="28"/>
      <c r="BJ212" s="28"/>
    </row>
    <row r="213" spans="1:62" s="23" customFormat="1" ht="21" customHeight="1" thickBot="1" x14ac:dyDescent="0.25">
      <c r="A213" s="846" t="str">
        <f>IF($AN213="","",IFERROR(VLOOKUP(CONCATENATE(CTR1_Billing!$E$20,$AN213),'Local Data Previous Year'!$C$3:$D$20000,2,0),CTR1_Billing!$E$21&amp;"NEW"))</f>
        <v/>
      </c>
      <c r="B213" s="846" t="str">
        <f>IF($E213="","",IFERROR(VLOOKUP(CONCATENATE(CTR1_Billing!$E$20,CTR1_Local!$E213),'Local Data Previous Year'!$C$3:$D$20000,2,0),CTR1_Billing!$E$21&amp;"NEW"))</f>
        <v/>
      </c>
      <c r="C213" s="846">
        <v>181</v>
      </c>
      <c r="D213" s="755" t="str" cm="1">
        <f t="array" ref="D213">IF(ISERROR(INDEX('Local Data Previous Year'!$D$3:$D$20000,SMALL(IF(CTR1_Billing!$E$21='Local Data Previous Year'!$A$3:$A$20000,ROW('Local Data Previous Year'!$A$3:$A$20000)-ROW('Local Data Previous Year'!$A$3)+1),ROW(181:181)))),"",INDEX('Local Data Previous Year'!$D$3:$D$20000,SMALL(IF(CTR1_Billing!$E$21='Local Data Previous Year'!$A$3:$A$20000,ROW('Local Data Previous Year'!$A$3:$A$20000)-ROW('Local Data Previous Year'!$A$3)+1),ROW(181:181))))</f>
        <v/>
      </c>
      <c r="E213" s="755" t="str" cm="1">
        <f t="array" ref="E213">IF(ISERROR(INDEX('Local Data Previous Year'!$E$3:$E$20000,SMALL(IF(CTR1_Billing!$E$21='Local Data Previous Year'!$A$3:$A$20000,ROW('Local Data Previous Year'!$A$3:$A$20000)-ROW('Local Data Previous Year'!$A$3)+1),ROW(181:181)))),"",INDEX('Local Data Previous Year'!$E$3:$E$20000,SMALL(IF(CTR1_Billing!$E$21='Local Data Previous Year'!$A$3:$A$20000,ROW('Local Data Previous Year'!$A$3:$A$20000)-ROW('Local Data Previous Year'!$A$3)+1),ROW(181:181))))</f>
        <v/>
      </c>
      <c r="F213" s="756" t="str">
        <f>IF($D213="","",IF(ISNA(MATCH($D213,'Local Data Previous Year'!$D$3:$D$20000,0)),"New",IFERROR(VLOOKUP($B213,'Local Data Previous Year'!$D$3:$I$20000,6,0),"")))</f>
        <v/>
      </c>
      <c r="G213" s="757">
        <f t="shared" si="37"/>
        <v>0</v>
      </c>
      <c r="H213" s="758" t="str">
        <f>IFERROR(INDEX('Local Data Previous Year'!$F:$F, MATCH($D213, 'Local Data Previous Year'!$D:$D, 0)), "")</f>
        <v/>
      </c>
      <c r="I213" s="759">
        <f>IF(B213=CTR1_Billing!$E$21&amp;"NEW",1,0)</f>
        <v>0</v>
      </c>
      <c r="J213" s="760" t="str">
        <f>IFERROR(INDEX('Local Data Previous Year'!$G:$G, MATCH($D213, 'Local Data Previous Year'!$D:$D, 0)), "")</f>
        <v/>
      </c>
      <c r="K213" s="762"/>
      <c r="L213" s="760" t="str">
        <f>IFERROR(INDEX('Local Data Previous Year'!$H:$H, MATCH($D213, 'Local Data Previous Year'!$D:$D, 0)), "")</f>
        <v/>
      </c>
      <c r="M213" s="762"/>
      <c r="N213" s="763"/>
      <c r="O213" s="767"/>
      <c r="P213" s="765"/>
      <c r="Q213" s="767"/>
      <c r="R213" s="766" t="str">
        <f t="shared" si="38"/>
        <v/>
      </c>
      <c r="S213" s="754"/>
      <c r="T213" s="763"/>
      <c r="U213" s="754"/>
      <c r="V213" s="763"/>
      <c r="W213" s="763"/>
      <c r="X213" s="865" t="str">
        <f>VLOOKUP(CTR1_Billing!$E$21,Data!$C$6:$D$302,1,FALSE)</f>
        <v>EZZZZ</v>
      </c>
      <c r="Y213" s="205"/>
      <c r="Z213" s="205">
        <f t="shared" si="26"/>
        <v>0</v>
      </c>
      <c r="AA213" s="206" t="str">
        <f t="shared" si="27"/>
        <v/>
      </c>
      <c r="AB213" s="205">
        <f t="shared" si="28"/>
        <v>0</v>
      </c>
      <c r="AC213" s="208"/>
      <c r="AD213" s="208"/>
      <c r="AE213" s="208"/>
      <c r="AF213" s="208"/>
      <c r="AG213" s="209" t="str">
        <f>IFERROR(INDEX('Local Data Previous Year'!$F:$F, MATCH($D213, 'Local Data Previous Year'!$D:$D, 0)), "")</f>
        <v/>
      </c>
      <c r="AH213" s="209" t="str">
        <f>IFERROR(INDEX('Local Data Previous Year'!$G:$G, MATCH($D213, 'Local Data Previous Year'!$D:$D, 0)), "")</f>
        <v/>
      </c>
      <c r="AI213" s="209" t="str">
        <f>IFERROR(INDEX('Local Data Previous Year'!$H:$H, MATCH($D213, 'Local Data Previous Year'!$D:$D, 0)), "")</f>
        <v/>
      </c>
      <c r="AJ213" s="209" t="str">
        <f t="shared" si="29"/>
        <v/>
      </c>
      <c r="AK213" s="209" t="str">
        <f t="shared" si="30"/>
        <v/>
      </c>
      <c r="AL213" s="209" t="str">
        <f t="shared" si="31"/>
        <v/>
      </c>
      <c r="AM213" s="208" t="str">
        <f>IF($AN213="","",IFERROR(VLOOKUP(CONCATENATE(CTR1_Billing!$E$20,$AN213),'Local Data Previous Year'!$C$3:$D$50000,2,0),CTR1_Billing!$E$21&amp;"NEW"))</f>
        <v/>
      </c>
      <c r="AN213" s="209" t="str" cm="1">
        <f t="array" ref="AN213">IF(ISERROR(INDEX('Local Data Previous Year'!$E$3:$E$50000, SMALL(IF(CTR1_Billing!$E$21='Local Data Previous Year'!$A$3:$A$50000, ROW('Local Data Previous Year'!$A$3:$A$50000)-ROW('Local Data Previous Year'!$A$3)+1), ROW(181:181)))), "", INDEX('Local Data Previous Year'!$E$3:$E$50000, SMALL(IF(CTR1_Billing!$E$21='Local Data Previous Year'!$A$3:$A$50000, ROW('Local Data Previous Year'!$A$3:$A$50000)-ROW('Local Data Previous Year'!$A$3)+1), ROW(181:181))))</f>
        <v/>
      </c>
      <c r="AO213" s="209" t="str">
        <f t="shared" si="32"/>
        <v/>
      </c>
      <c r="AP213" s="208"/>
      <c r="AQ213" s="209" t="str">
        <f t="shared" si="33"/>
        <v/>
      </c>
      <c r="AR213" s="209" t="str">
        <f t="shared" si="34"/>
        <v/>
      </c>
      <c r="AS213" s="202" t="str">
        <f t="shared" si="35"/>
        <v/>
      </c>
      <c r="AT213" s="202" t="str">
        <f t="shared" si="36"/>
        <v/>
      </c>
      <c r="AU213" s="208"/>
      <c r="AV213" s="208"/>
      <c r="AW213" s="208"/>
      <c r="AX213" s="208"/>
      <c r="AY213" s="208"/>
      <c r="AZ213" s="208"/>
      <c r="BA213" s="208"/>
      <c r="BB213" s="208"/>
      <c r="BC213" s="208"/>
      <c r="BD213" s="208"/>
      <c r="BE213" s="208"/>
      <c r="BF213" s="208"/>
      <c r="BG213" s="28"/>
      <c r="BH213" s="28"/>
      <c r="BI213" s="28"/>
      <c r="BJ213" s="28"/>
    </row>
    <row r="214" spans="1:62" s="23" customFormat="1" ht="21" customHeight="1" thickBot="1" x14ac:dyDescent="0.25">
      <c r="A214" s="846" t="str">
        <f>IF($AN214="","",IFERROR(VLOOKUP(CONCATENATE(CTR1_Billing!$E$20,$AN214),'Local Data Previous Year'!$C$3:$D$20000,2,0),CTR1_Billing!$E$21&amp;"NEW"))</f>
        <v/>
      </c>
      <c r="B214" s="846" t="str">
        <f>IF($E214="","",IFERROR(VLOOKUP(CONCATENATE(CTR1_Billing!$E$20,CTR1_Local!$E214),'Local Data Previous Year'!$C$3:$D$20000,2,0),CTR1_Billing!$E$21&amp;"NEW"))</f>
        <v/>
      </c>
      <c r="C214" s="846">
        <v>182</v>
      </c>
      <c r="D214" s="755" t="str" cm="1">
        <f t="array" ref="D214">IF(ISERROR(INDEX('Local Data Previous Year'!$D$3:$D$20000,SMALL(IF(CTR1_Billing!$E$21='Local Data Previous Year'!$A$3:$A$20000,ROW('Local Data Previous Year'!$A$3:$A$20000)-ROW('Local Data Previous Year'!$A$3)+1),ROW(182:182)))),"",INDEX('Local Data Previous Year'!$D$3:$D$20000,SMALL(IF(CTR1_Billing!$E$21='Local Data Previous Year'!$A$3:$A$20000,ROW('Local Data Previous Year'!$A$3:$A$20000)-ROW('Local Data Previous Year'!$A$3)+1),ROW(182:182))))</f>
        <v/>
      </c>
      <c r="E214" s="755" t="str" cm="1">
        <f t="array" ref="E214">IF(ISERROR(INDEX('Local Data Previous Year'!$E$3:$E$20000,SMALL(IF(CTR1_Billing!$E$21='Local Data Previous Year'!$A$3:$A$20000,ROW('Local Data Previous Year'!$A$3:$A$20000)-ROW('Local Data Previous Year'!$A$3)+1),ROW(182:182)))),"",INDEX('Local Data Previous Year'!$E$3:$E$20000,SMALL(IF(CTR1_Billing!$E$21='Local Data Previous Year'!$A$3:$A$20000,ROW('Local Data Previous Year'!$A$3:$A$20000)-ROW('Local Data Previous Year'!$A$3)+1),ROW(182:182))))</f>
        <v/>
      </c>
      <c r="F214" s="756" t="str">
        <f>IF($D214="","",IF(ISNA(MATCH($D214,'Local Data Previous Year'!$D$3:$D$20000,0)),"New",IFERROR(VLOOKUP($B214,'Local Data Previous Year'!$D$3:$I$20000,6,0),"")))</f>
        <v/>
      </c>
      <c r="G214" s="757">
        <f t="shared" si="37"/>
        <v>0</v>
      </c>
      <c r="H214" s="758" t="str">
        <f>IFERROR(INDEX('Local Data Previous Year'!$F:$F, MATCH($D214, 'Local Data Previous Year'!$D:$D, 0)), "")</f>
        <v/>
      </c>
      <c r="I214" s="759">
        <f>IF(B214=CTR1_Billing!$E$21&amp;"NEW",1,0)</f>
        <v>0</v>
      </c>
      <c r="J214" s="760" t="str">
        <f>IFERROR(INDEX('Local Data Previous Year'!$G:$G, MATCH($D214, 'Local Data Previous Year'!$D:$D, 0)), "")</f>
        <v/>
      </c>
      <c r="K214" s="762"/>
      <c r="L214" s="760" t="str">
        <f>IFERROR(INDEX('Local Data Previous Year'!$H:$H, MATCH($D214, 'Local Data Previous Year'!$D:$D, 0)), "")</f>
        <v/>
      </c>
      <c r="M214" s="762"/>
      <c r="N214" s="763"/>
      <c r="O214" s="767"/>
      <c r="P214" s="765"/>
      <c r="Q214" s="767"/>
      <c r="R214" s="766" t="str">
        <f t="shared" si="38"/>
        <v/>
      </c>
      <c r="S214" s="754"/>
      <c r="T214" s="763"/>
      <c r="U214" s="754"/>
      <c r="V214" s="763"/>
      <c r="W214" s="763"/>
      <c r="X214" s="865" t="str">
        <f>VLOOKUP(CTR1_Billing!$E$21,Data!$C$6:$D$302,1,FALSE)</f>
        <v>EZZZZ</v>
      </c>
      <c r="Y214" s="205"/>
      <c r="Z214" s="205">
        <f t="shared" si="26"/>
        <v>0</v>
      </c>
      <c r="AA214" s="206" t="str">
        <f t="shared" si="27"/>
        <v/>
      </c>
      <c r="AB214" s="205">
        <f t="shared" si="28"/>
        <v>0</v>
      </c>
      <c r="AC214" s="208"/>
      <c r="AD214" s="208"/>
      <c r="AE214" s="208"/>
      <c r="AF214" s="208"/>
      <c r="AG214" s="209" t="str">
        <f>IFERROR(INDEX('Local Data Previous Year'!$F:$F, MATCH($D214, 'Local Data Previous Year'!$D:$D, 0)), "")</f>
        <v/>
      </c>
      <c r="AH214" s="209" t="str">
        <f>IFERROR(INDEX('Local Data Previous Year'!$G:$G, MATCH($D214, 'Local Data Previous Year'!$D:$D, 0)), "")</f>
        <v/>
      </c>
      <c r="AI214" s="209" t="str">
        <f>IFERROR(INDEX('Local Data Previous Year'!$H:$H, MATCH($D214, 'Local Data Previous Year'!$D:$D, 0)), "")</f>
        <v/>
      </c>
      <c r="AJ214" s="209" t="str">
        <f t="shared" si="29"/>
        <v/>
      </c>
      <c r="AK214" s="209" t="str">
        <f t="shared" si="30"/>
        <v/>
      </c>
      <c r="AL214" s="209" t="str">
        <f t="shared" si="31"/>
        <v/>
      </c>
      <c r="AM214" s="208" t="str">
        <f>IF($AN214="","",IFERROR(VLOOKUP(CONCATENATE(CTR1_Billing!$E$20,$AN214),'Local Data Previous Year'!$C$3:$D$50000,2,0),CTR1_Billing!$E$21&amp;"NEW"))</f>
        <v/>
      </c>
      <c r="AN214" s="209" t="str" cm="1">
        <f t="array" ref="AN214">IF(ISERROR(INDEX('Local Data Previous Year'!$E$3:$E$50000, SMALL(IF(CTR1_Billing!$E$21='Local Data Previous Year'!$A$3:$A$50000, ROW('Local Data Previous Year'!$A$3:$A$50000)-ROW('Local Data Previous Year'!$A$3)+1), ROW(182:182)))), "", INDEX('Local Data Previous Year'!$E$3:$E$50000, SMALL(IF(CTR1_Billing!$E$21='Local Data Previous Year'!$A$3:$A$50000, ROW('Local Data Previous Year'!$A$3:$A$50000)-ROW('Local Data Previous Year'!$A$3)+1), ROW(182:182))))</f>
        <v/>
      </c>
      <c r="AO214" s="209" t="str">
        <f t="shared" si="32"/>
        <v/>
      </c>
      <c r="AP214" s="208"/>
      <c r="AQ214" s="209" t="str">
        <f t="shared" si="33"/>
        <v/>
      </c>
      <c r="AR214" s="209" t="str">
        <f t="shared" si="34"/>
        <v/>
      </c>
      <c r="AS214" s="202" t="str">
        <f t="shared" si="35"/>
        <v/>
      </c>
      <c r="AT214" s="202" t="str">
        <f t="shared" si="36"/>
        <v/>
      </c>
      <c r="AU214" s="208"/>
      <c r="AV214" s="208"/>
      <c r="AW214" s="208"/>
      <c r="AX214" s="208"/>
      <c r="AY214" s="208"/>
      <c r="AZ214" s="208"/>
      <c r="BA214" s="208"/>
      <c r="BB214" s="208"/>
      <c r="BC214" s="208"/>
      <c r="BD214" s="208"/>
      <c r="BE214" s="208"/>
      <c r="BF214" s="208"/>
      <c r="BG214" s="28"/>
      <c r="BH214" s="28"/>
      <c r="BI214" s="28"/>
      <c r="BJ214" s="28"/>
    </row>
    <row r="215" spans="1:62" s="23" customFormat="1" ht="21" customHeight="1" thickBot="1" x14ac:dyDescent="0.25">
      <c r="A215" s="846" t="str">
        <f>IF($AN215="","",IFERROR(VLOOKUP(CONCATENATE(CTR1_Billing!$E$20,$AN215),'Local Data Previous Year'!$C$3:$D$20000,2,0),CTR1_Billing!$E$21&amp;"NEW"))</f>
        <v/>
      </c>
      <c r="B215" s="846" t="str">
        <f>IF($E215="","",IFERROR(VLOOKUP(CONCATENATE(CTR1_Billing!$E$20,CTR1_Local!$E215),'Local Data Previous Year'!$C$3:$D$20000,2,0),CTR1_Billing!$E$21&amp;"NEW"))</f>
        <v/>
      </c>
      <c r="C215" s="846">
        <v>183</v>
      </c>
      <c r="D215" s="755" t="str" cm="1">
        <f t="array" ref="D215">IF(ISERROR(INDEX('Local Data Previous Year'!$D$3:$D$20000,SMALL(IF(CTR1_Billing!$E$21='Local Data Previous Year'!$A$3:$A$20000,ROW('Local Data Previous Year'!$A$3:$A$20000)-ROW('Local Data Previous Year'!$A$3)+1),ROW(183:183)))),"",INDEX('Local Data Previous Year'!$D$3:$D$20000,SMALL(IF(CTR1_Billing!$E$21='Local Data Previous Year'!$A$3:$A$20000,ROW('Local Data Previous Year'!$A$3:$A$20000)-ROW('Local Data Previous Year'!$A$3)+1),ROW(183:183))))</f>
        <v/>
      </c>
      <c r="E215" s="755" t="str" cm="1">
        <f t="array" ref="E215">IF(ISERROR(INDEX('Local Data Previous Year'!$E$3:$E$20000,SMALL(IF(CTR1_Billing!$E$21='Local Data Previous Year'!$A$3:$A$20000,ROW('Local Data Previous Year'!$A$3:$A$20000)-ROW('Local Data Previous Year'!$A$3)+1),ROW(183:183)))),"",INDEX('Local Data Previous Year'!$E$3:$E$20000,SMALL(IF(CTR1_Billing!$E$21='Local Data Previous Year'!$A$3:$A$20000,ROW('Local Data Previous Year'!$A$3:$A$20000)-ROW('Local Data Previous Year'!$A$3)+1),ROW(183:183))))</f>
        <v/>
      </c>
      <c r="F215" s="756" t="str">
        <f>IF($D215="","",IF(ISNA(MATCH($D215,'Local Data Previous Year'!$D$3:$D$20000,0)),"New",IFERROR(VLOOKUP($B215,'Local Data Previous Year'!$D$3:$I$20000,6,0),"")))</f>
        <v/>
      </c>
      <c r="G215" s="757">
        <f t="shared" si="37"/>
        <v>0</v>
      </c>
      <c r="H215" s="758" t="str">
        <f>IFERROR(INDEX('Local Data Previous Year'!$F:$F, MATCH($D215, 'Local Data Previous Year'!$D:$D, 0)), "")</f>
        <v/>
      </c>
      <c r="I215" s="759">
        <f>IF(B215=CTR1_Billing!$E$21&amp;"NEW",1,0)</f>
        <v>0</v>
      </c>
      <c r="J215" s="760" t="str">
        <f>IFERROR(INDEX('Local Data Previous Year'!$G:$G, MATCH($D215, 'Local Data Previous Year'!$D:$D, 0)), "")</f>
        <v/>
      </c>
      <c r="K215" s="762"/>
      <c r="L215" s="760" t="str">
        <f>IFERROR(INDEX('Local Data Previous Year'!$H:$H, MATCH($D215, 'Local Data Previous Year'!$D:$D, 0)), "")</f>
        <v/>
      </c>
      <c r="M215" s="762"/>
      <c r="N215" s="763"/>
      <c r="O215" s="767"/>
      <c r="P215" s="765"/>
      <c r="Q215" s="767"/>
      <c r="R215" s="766" t="str">
        <f t="shared" si="38"/>
        <v/>
      </c>
      <c r="S215" s="754"/>
      <c r="T215" s="763"/>
      <c r="U215" s="754"/>
      <c r="V215" s="763"/>
      <c r="W215" s="763"/>
      <c r="X215" s="865" t="str">
        <f>VLOOKUP(CTR1_Billing!$E$21,Data!$C$6:$D$302,1,FALSE)</f>
        <v>EZZZZ</v>
      </c>
      <c r="Y215" s="205"/>
      <c r="Z215" s="205">
        <f t="shared" si="26"/>
        <v>0</v>
      </c>
      <c r="AA215" s="206" t="str">
        <f t="shared" si="27"/>
        <v/>
      </c>
      <c r="AB215" s="205">
        <f t="shared" si="28"/>
        <v>0</v>
      </c>
      <c r="AC215" s="208"/>
      <c r="AD215" s="208"/>
      <c r="AE215" s="208"/>
      <c r="AF215" s="208"/>
      <c r="AG215" s="209" t="str">
        <f>IFERROR(INDEX('Local Data Previous Year'!$F:$F, MATCH($D215, 'Local Data Previous Year'!$D:$D, 0)), "")</f>
        <v/>
      </c>
      <c r="AH215" s="209" t="str">
        <f>IFERROR(INDEX('Local Data Previous Year'!$G:$G, MATCH($D215, 'Local Data Previous Year'!$D:$D, 0)), "")</f>
        <v/>
      </c>
      <c r="AI215" s="209" t="str">
        <f>IFERROR(INDEX('Local Data Previous Year'!$H:$H, MATCH($D215, 'Local Data Previous Year'!$D:$D, 0)), "")</f>
        <v/>
      </c>
      <c r="AJ215" s="209" t="str">
        <f t="shared" si="29"/>
        <v/>
      </c>
      <c r="AK215" s="209" t="str">
        <f t="shared" si="30"/>
        <v/>
      </c>
      <c r="AL215" s="209" t="str">
        <f t="shared" si="31"/>
        <v/>
      </c>
      <c r="AM215" s="208" t="str">
        <f>IF($AN215="","",IFERROR(VLOOKUP(CONCATENATE(CTR1_Billing!$E$20,$AN215),'Local Data Previous Year'!$C$3:$D$50000,2,0),CTR1_Billing!$E$21&amp;"NEW"))</f>
        <v/>
      </c>
      <c r="AN215" s="209" t="str" cm="1">
        <f t="array" ref="AN215">IF(ISERROR(INDEX('Local Data Previous Year'!$E$3:$E$50000, SMALL(IF(CTR1_Billing!$E$21='Local Data Previous Year'!$A$3:$A$50000, ROW('Local Data Previous Year'!$A$3:$A$50000)-ROW('Local Data Previous Year'!$A$3)+1), ROW(183:183)))), "", INDEX('Local Data Previous Year'!$E$3:$E$50000, SMALL(IF(CTR1_Billing!$E$21='Local Data Previous Year'!$A$3:$A$50000, ROW('Local Data Previous Year'!$A$3:$A$50000)-ROW('Local Data Previous Year'!$A$3)+1), ROW(183:183))))</f>
        <v/>
      </c>
      <c r="AO215" s="209" t="str">
        <f t="shared" si="32"/>
        <v/>
      </c>
      <c r="AP215" s="208"/>
      <c r="AQ215" s="209" t="str">
        <f t="shared" si="33"/>
        <v/>
      </c>
      <c r="AR215" s="209" t="str">
        <f t="shared" si="34"/>
        <v/>
      </c>
      <c r="AS215" s="202" t="str">
        <f t="shared" si="35"/>
        <v/>
      </c>
      <c r="AT215" s="202" t="str">
        <f t="shared" si="36"/>
        <v/>
      </c>
      <c r="AU215" s="208"/>
      <c r="AV215" s="208"/>
      <c r="AW215" s="208"/>
      <c r="AX215" s="208"/>
      <c r="AY215" s="208"/>
      <c r="AZ215" s="208"/>
      <c r="BA215" s="208"/>
      <c r="BB215" s="208"/>
      <c r="BC215" s="208"/>
      <c r="BD215" s="208"/>
      <c r="BE215" s="208"/>
      <c r="BF215" s="208"/>
      <c r="BG215" s="28"/>
      <c r="BH215" s="28"/>
      <c r="BI215" s="28"/>
      <c r="BJ215" s="28"/>
    </row>
    <row r="216" spans="1:62" s="23" customFormat="1" ht="21" customHeight="1" thickBot="1" x14ac:dyDescent="0.25">
      <c r="A216" s="846" t="str">
        <f>IF($AN216="","",IFERROR(VLOOKUP(CONCATENATE(CTR1_Billing!$E$20,$AN216),'Local Data Previous Year'!$C$3:$D$20000,2,0),CTR1_Billing!$E$21&amp;"NEW"))</f>
        <v/>
      </c>
      <c r="B216" s="846" t="str">
        <f>IF($E216="","",IFERROR(VLOOKUP(CONCATENATE(CTR1_Billing!$E$20,CTR1_Local!$E216),'Local Data Previous Year'!$C$3:$D$20000,2,0),CTR1_Billing!$E$21&amp;"NEW"))</f>
        <v/>
      </c>
      <c r="C216" s="846">
        <v>184</v>
      </c>
      <c r="D216" s="755" t="str" cm="1">
        <f t="array" ref="D216">IF(ISERROR(INDEX('Local Data Previous Year'!$D$3:$D$20000,SMALL(IF(CTR1_Billing!$E$21='Local Data Previous Year'!$A$3:$A$20000,ROW('Local Data Previous Year'!$A$3:$A$20000)-ROW('Local Data Previous Year'!$A$3)+1),ROW(184:184)))),"",INDEX('Local Data Previous Year'!$D$3:$D$20000,SMALL(IF(CTR1_Billing!$E$21='Local Data Previous Year'!$A$3:$A$20000,ROW('Local Data Previous Year'!$A$3:$A$20000)-ROW('Local Data Previous Year'!$A$3)+1),ROW(184:184))))</f>
        <v/>
      </c>
      <c r="E216" s="755" t="str" cm="1">
        <f t="array" ref="E216">IF(ISERROR(INDEX('Local Data Previous Year'!$E$3:$E$20000,SMALL(IF(CTR1_Billing!$E$21='Local Data Previous Year'!$A$3:$A$20000,ROW('Local Data Previous Year'!$A$3:$A$20000)-ROW('Local Data Previous Year'!$A$3)+1),ROW(184:184)))),"",INDEX('Local Data Previous Year'!$E$3:$E$20000,SMALL(IF(CTR1_Billing!$E$21='Local Data Previous Year'!$A$3:$A$20000,ROW('Local Data Previous Year'!$A$3:$A$20000)-ROW('Local Data Previous Year'!$A$3)+1),ROW(184:184))))</f>
        <v/>
      </c>
      <c r="F216" s="756" t="str">
        <f>IF($D216="","",IF(ISNA(MATCH($D216,'Local Data Previous Year'!$D$3:$D$20000,0)),"New",IFERROR(VLOOKUP($B216,'Local Data Previous Year'!$D$3:$I$20000,6,0),"")))</f>
        <v/>
      </c>
      <c r="G216" s="757">
        <f t="shared" si="37"/>
        <v>0</v>
      </c>
      <c r="H216" s="758" t="str">
        <f>IFERROR(INDEX('Local Data Previous Year'!$F:$F, MATCH($D216, 'Local Data Previous Year'!$D:$D, 0)), "")</f>
        <v/>
      </c>
      <c r="I216" s="759">
        <f>IF(B216=CTR1_Billing!$E$21&amp;"NEW",1,0)</f>
        <v>0</v>
      </c>
      <c r="J216" s="760" t="str">
        <f>IFERROR(INDEX('Local Data Previous Year'!$G:$G, MATCH($D216, 'Local Data Previous Year'!$D:$D, 0)), "")</f>
        <v/>
      </c>
      <c r="K216" s="762"/>
      <c r="L216" s="760" t="str">
        <f>IFERROR(INDEX('Local Data Previous Year'!$H:$H, MATCH($D216, 'Local Data Previous Year'!$D:$D, 0)), "")</f>
        <v/>
      </c>
      <c r="M216" s="762"/>
      <c r="N216" s="763"/>
      <c r="O216" s="767"/>
      <c r="P216" s="765"/>
      <c r="Q216" s="767"/>
      <c r="R216" s="766" t="str">
        <f t="shared" si="38"/>
        <v/>
      </c>
      <c r="S216" s="754"/>
      <c r="T216" s="763"/>
      <c r="U216" s="754"/>
      <c r="V216" s="763"/>
      <c r="W216" s="763"/>
      <c r="X216" s="865" t="str">
        <f>VLOOKUP(CTR1_Billing!$E$21,Data!$C$6:$D$302,1,FALSE)</f>
        <v>EZZZZ</v>
      </c>
      <c r="Y216" s="205"/>
      <c r="Z216" s="205">
        <f t="shared" si="26"/>
        <v>0</v>
      </c>
      <c r="AA216" s="206" t="str">
        <f t="shared" si="27"/>
        <v/>
      </c>
      <c r="AB216" s="205">
        <f t="shared" si="28"/>
        <v>0</v>
      </c>
      <c r="AC216" s="208"/>
      <c r="AD216" s="208"/>
      <c r="AE216" s="208"/>
      <c r="AF216" s="208"/>
      <c r="AG216" s="209" t="str">
        <f>IFERROR(INDEX('Local Data Previous Year'!$F:$F, MATCH($D216, 'Local Data Previous Year'!$D:$D, 0)), "")</f>
        <v/>
      </c>
      <c r="AH216" s="209" t="str">
        <f>IFERROR(INDEX('Local Data Previous Year'!$G:$G, MATCH($D216, 'Local Data Previous Year'!$D:$D, 0)), "")</f>
        <v/>
      </c>
      <c r="AI216" s="209" t="str">
        <f>IFERROR(INDEX('Local Data Previous Year'!$H:$H, MATCH($D216, 'Local Data Previous Year'!$D:$D, 0)), "")</f>
        <v/>
      </c>
      <c r="AJ216" s="209" t="str">
        <f t="shared" si="29"/>
        <v/>
      </c>
      <c r="AK216" s="209" t="str">
        <f t="shared" si="30"/>
        <v/>
      </c>
      <c r="AL216" s="209" t="str">
        <f t="shared" si="31"/>
        <v/>
      </c>
      <c r="AM216" s="208" t="str">
        <f>IF($AN216="","",IFERROR(VLOOKUP(CONCATENATE(CTR1_Billing!$E$20,$AN216),'Local Data Previous Year'!$C$3:$D$50000,2,0),CTR1_Billing!$E$21&amp;"NEW"))</f>
        <v/>
      </c>
      <c r="AN216" s="209" t="str" cm="1">
        <f t="array" ref="AN216">IF(ISERROR(INDEX('Local Data Previous Year'!$E$3:$E$50000, SMALL(IF(CTR1_Billing!$E$21='Local Data Previous Year'!$A$3:$A$50000, ROW('Local Data Previous Year'!$A$3:$A$50000)-ROW('Local Data Previous Year'!$A$3)+1), ROW(184:184)))), "", INDEX('Local Data Previous Year'!$E$3:$E$50000, SMALL(IF(CTR1_Billing!$E$21='Local Data Previous Year'!$A$3:$A$50000, ROW('Local Data Previous Year'!$A$3:$A$50000)-ROW('Local Data Previous Year'!$A$3)+1), ROW(184:184))))</f>
        <v/>
      </c>
      <c r="AO216" s="209" t="str">
        <f t="shared" si="32"/>
        <v/>
      </c>
      <c r="AP216" s="208"/>
      <c r="AQ216" s="209" t="str">
        <f t="shared" si="33"/>
        <v/>
      </c>
      <c r="AR216" s="209" t="str">
        <f t="shared" si="34"/>
        <v/>
      </c>
      <c r="AS216" s="202" t="str">
        <f t="shared" si="35"/>
        <v/>
      </c>
      <c r="AT216" s="202" t="str">
        <f t="shared" si="36"/>
        <v/>
      </c>
      <c r="AU216" s="208"/>
      <c r="AV216" s="208"/>
      <c r="AW216" s="208"/>
      <c r="AX216" s="208"/>
      <c r="AY216" s="208"/>
      <c r="AZ216" s="208"/>
      <c r="BA216" s="208"/>
      <c r="BB216" s="208"/>
      <c r="BC216" s="208"/>
      <c r="BD216" s="208"/>
      <c r="BE216" s="208"/>
      <c r="BF216" s="208"/>
      <c r="BG216" s="28"/>
      <c r="BH216" s="28"/>
      <c r="BI216" s="28"/>
      <c r="BJ216" s="28"/>
    </row>
    <row r="217" spans="1:62" s="23" customFormat="1" ht="21" customHeight="1" thickBot="1" x14ac:dyDescent="0.25">
      <c r="A217" s="846" t="str">
        <f>IF($AN217="","",IFERROR(VLOOKUP(CONCATENATE(CTR1_Billing!$E$20,$AN217),'Local Data Previous Year'!$C$3:$D$20000,2,0),CTR1_Billing!$E$21&amp;"NEW"))</f>
        <v/>
      </c>
      <c r="B217" s="846" t="str">
        <f>IF($E217="","",IFERROR(VLOOKUP(CONCATENATE(CTR1_Billing!$E$20,CTR1_Local!$E217),'Local Data Previous Year'!$C$3:$D$20000,2,0),CTR1_Billing!$E$21&amp;"NEW"))</f>
        <v/>
      </c>
      <c r="C217" s="846">
        <v>185</v>
      </c>
      <c r="D217" s="755" t="str" cm="1">
        <f t="array" ref="D217">IF(ISERROR(INDEX('Local Data Previous Year'!$D$3:$D$20000,SMALL(IF(CTR1_Billing!$E$21='Local Data Previous Year'!$A$3:$A$20000,ROW('Local Data Previous Year'!$A$3:$A$20000)-ROW('Local Data Previous Year'!$A$3)+1),ROW(185:185)))),"",INDEX('Local Data Previous Year'!$D$3:$D$20000,SMALL(IF(CTR1_Billing!$E$21='Local Data Previous Year'!$A$3:$A$20000,ROW('Local Data Previous Year'!$A$3:$A$20000)-ROW('Local Data Previous Year'!$A$3)+1),ROW(185:185))))</f>
        <v/>
      </c>
      <c r="E217" s="755" t="str" cm="1">
        <f t="array" ref="E217">IF(ISERROR(INDEX('Local Data Previous Year'!$E$3:$E$20000,SMALL(IF(CTR1_Billing!$E$21='Local Data Previous Year'!$A$3:$A$20000,ROW('Local Data Previous Year'!$A$3:$A$20000)-ROW('Local Data Previous Year'!$A$3)+1),ROW(185:185)))),"",INDEX('Local Data Previous Year'!$E$3:$E$20000,SMALL(IF(CTR1_Billing!$E$21='Local Data Previous Year'!$A$3:$A$20000,ROW('Local Data Previous Year'!$A$3:$A$20000)-ROW('Local Data Previous Year'!$A$3)+1),ROW(185:185))))</f>
        <v/>
      </c>
      <c r="F217" s="756" t="str">
        <f>IF($D217="","",IF(ISNA(MATCH($D217,'Local Data Previous Year'!$D$3:$D$20000,0)),"New",IFERROR(VLOOKUP($B217,'Local Data Previous Year'!$D$3:$I$20000,6,0),"")))</f>
        <v/>
      </c>
      <c r="G217" s="757">
        <f t="shared" si="37"/>
        <v>0</v>
      </c>
      <c r="H217" s="758" t="str">
        <f>IFERROR(INDEX('Local Data Previous Year'!$F:$F, MATCH($D217, 'Local Data Previous Year'!$D:$D, 0)), "")</f>
        <v/>
      </c>
      <c r="I217" s="759">
        <f>IF(B217=CTR1_Billing!$E$21&amp;"NEW",1,0)</f>
        <v>0</v>
      </c>
      <c r="J217" s="760" t="str">
        <f>IFERROR(INDEX('Local Data Previous Year'!$G:$G, MATCH($D217, 'Local Data Previous Year'!$D:$D, 0)), "")</f>
        <v/>
      </c>
      <c r="K217" s="762"/>
      <c r="L217" s="760" t="str">
        <f>IFERROR(INDEX('Local Data Previous Year'!$H:$H, MATCH($D217, 'Local Data Previous Year'!$D:$D, 0)), "")</f>
        <v/>
      </c>
      <c r="M217" s="762"/>
      <c r="N217" s="763"/>
      <c r="O217" s="767"/>
      <c r="P217" s="765"/>
      <c r="Q217" s="767"/>
      <c r="R217" s="766" t="str">
        <f t="shared" si="38"/>
        <v/>
      </c>
      <c r="S217" s="754"/>
      <c r="T217" s="763"/>
      <c r="U217" s="754"/>
      <c r="V217" s="763"/>
      <c r="W217" s="763"/>
      <c r="X217" s="865" t="str">
        <f>VLOOKUP(CTR1_Billing!$E$21,Data!$C$6:$D$302,1,FALSE)</f>
        <v>EZZZZ</v>
      </c>
      <c r="Y217" s="205"/>
      <c r="Z217" s="205">
        <f t="shared" si="26"/>
        <v>0</v>
      </c>
      <c r="AA217" s="206" t="str">
        <f t="shared" si="27"/>
        <v/>
      </c>
      <c r="AB217" s="205">
        <f t="shared" si="28"/>
        <v>0</v>
      </c>
      <c r="AC217" s="208"/>
      <c r="AD217" s="208"/>
      <c r="AE217" s="208"/>
      <c r="AF217" s="208"/>
      <c r="AG217" s="209" t="str">
        <f>IFERROR(INDEX('Local Data Previous Year'!$F:$F, MATCH($D217, 'Local Data Previous Year'!$D:$D, 0)), "")</f>
        <v/>
      </c>
      <c r="AH217" s="209" t="str">
        <f>IFERROR(INDEX('Local Data Previous Year'!$G:$G, MATCH($D217, 'Local Data Previous Year'!$D:$D, 0)), "")</f>
        <v/>
      </c>
      <c r="AI217" s="209" t="str">
        <f>IFERROR(INDEX('Local Data Previous Year'!$H:$H, MATCH($D217, 'Local Data Previous Year'!$D:$D, 0)), "")</f>
        <v/>
      </c>
      <c r="AJ217" s="209" t="str">
        <f t="shared" si="29"/>
        <v/>
      </c>
      <c r="AK217" s="209" t="str">
        <f t="shared" si="30"/>
        <v/>
      </c>
      <c r="AL217" s="209" t="str">
        <f t="shared" si="31"/>
        <v/>
      </c>
      <c r="AM217" s="208" t="str">
        <f>IF($AN217="","",IFERROR(VLOOKUP(CONCATENATE(CTR1_Billing!$E$20,$AN217),'Local Data Previous Year'!$C$3:$D$50000,2,0),CTR1_Billing!$E$21&amp;"NEW"))</f>
        <v/>
      </c>
      <c r="AN217" s="209" t="str" cm="1">
        <f t="array" ref="AN217">IF(ISERROR(INDEX('Local Data Previous Year'!$E$3:$E$50000, SMALL(IF(CTR1_Billing!$E$21='Local Data Previous Year'!$A$3:$A$50000, ROW('Local Data Previous Year'!$A$3:$A$50000)-ROW('Local Data Previous Year'!$A$3)+1), ROW(185:185)))), "", INDEX('Local Data Previous Year'!$E$3:$E$50000, SMALL(IF(CTR1_Billing!$E$21='Local Data Previous Year'!$A$3:$A$50000, ROW('Local Data Previous Year'!$A$3:$A$50000)-ROW('Local Data Previous Year'!$A$3)+1), ROW(185:185))))</f>
        <v/>
      </c>
      <c r="AO217" s="209" t="str">
        <f t="shared" si="32"/>
        <v/>
      </c>
      <c r="AP217" s="208"/>
      <c r="AQ217" s="209" t="str">
        <f t="shared" si="33"/>
        <v/>
      </c>
      <c r="AR217" s="209" t="str">
        <f t="shared" si="34"/>
        <v/>
      </c>
      <c r="AS217" s="202" t="str">
        <f t="shared" si="35"/>
        <v/>
      </c>
      <c r="AT217" s="202" t="str">
        <f t="shared" si="36"/>
        <v/>
      </c>
      <c r="AU217" s="208"/>
      <c r="AV217" s="208"/>
      <c r="AW217" s="208"/>
      <c r="AX217" s="208"/>
      <c r="AY217" s="208"/>
      <c r="AZ217" s="208"/>
      <c r="BA217" s="208"/>
      <c r="BB217" s="208"/>
      <c r="BC217" s="208"/>
      <c r="BD217" s="208"/>
      <c r="BE217" s="208"/>
      <c r="BF217" s="208"/>
      <c r="BG217" s="28"/>
      <c r="BH217" s="28"/>
      <c r="BI217" s="28"/>
      <c r="BJ217" s="28"/>
    </row>
    <row r="218" spans="1:62" s="23" customFormat="1" ht="21" customHeight="1" thickBot="1" x14ac:dyDescent="0.25">
      <c r="A218" s="846" t="str">
        <f>IF($AN218="","",IFERROR(VLOOKUP(CONCATENATE(CTR1_Billing!$E$20,$AN218),'Local Data Previous Year'!$C$3:$D$20000,2,0),CTR1_Billing!$E$21&amp;"NEW"))</f>
        <v/>
      </c>
      <c r="B218" s="846" t="str">
        <f>IF($E218="","",IFERROR(VLOOKUP(CONCATENATE(CTR1_Billing!$E$20,CTR1_Local!$E218),'Local Data Previous Year'!$C$3:$D$20000,2,0),CTR1_Billing!$E$21&amp;"NEW"))</f>
        <v/>
      </c>
      <c r="C218" s="846">
        <v>186</v>
      </c>
      <c r="D218" s="755" t="str" cm="1">
        <f t="array" ref="D218">IF(ISERROR(INDEX('Local Data Previous Year'!$D$3:$D$20000,SMALL(IF(CTR1_Billing!$E$21='Local Data Previous Year'!$A$3:$A$20000,ROW('Local Data Previous Year'!$A$3:$A$20000)-ROW('Local Data Previous Year'!$A$3)+1),ROW(186:186)))),"",INDEX('Local Data Previous Year'!$D$3:$D$20000,SMALL(IF(CTR1_Billing!$E$21='Local Data Previous Year'!$A$3:$A$20000,ROW('Local Data Previous Year'!$A$3:$A$20000)-ROW('Local Data Previous Year'!$A$3)+1),ROW(186:186))))</f>
        <v/>
      </c>
      <c r="E218" s="755" t="str" cm="1">
        <f t="array" ref="E218">IF(ISERROR(INDEX('Local Data Previous Year'!$E$3:$E$20000,SMALL(IF(CTR1_Billing!$E$21='Local Data Previous Year'!$A$3:$A$20000,ROW('Local Data Previous Year'!$A$3:$A$20000)-ROW('Local Data Previous Year'!$A$3)+1),ROW(186:186)))),"",INDEX('Local Data Previous Year'!$E$3:$E$20000,SMALL(IF(CTR1_Billing!$E$21='Local Data Previous Year'!$A$3:$A$20000,ROW('Local Data Previous Year'!$A$3:$A$20000)-ROW('Local Data Previous Year'!$A$3)+1),ROW(186:186))))</f>
        <v/>
      </c>
      <c r="F218" s="756" t="str">
        <f>IF($D218="","",IF(ISNA(MATCH($D218,'Local Data Previous Year'!$D$3:$D$20000,0)),"New",IFERROR(VLOOKUP($B218,'Local Data Previous Year'!$D$3:$I$20000,6,0),"")))</f>
        <v/>
      </c>
      <c r="G218" s="757">
        <f t="shared" si="37"/>
        <v>0</v>
      </c>
      <c r="H218" s="758" t="str">
        <f>IFERROR(INDEX('Local Data Previous Year'!$F:$F, MATCH($D218, 'Local Data Previous Year'!$D:$D, 0)), "")</f>
        <v/>
      </c>
      <c r="I218" s="759">
        <f>IF(B218=CTR1_Billing!$E$21&amp;"NEW",1,0)</f>
        <v>0</v>
      </c>
      <c r="J218" s="760" t="str">
        <f>IFERROR(INDEX('Local Data Previous Year'!$G:$G, MATCH($D218, 'Local Data Previous Year'!$D:$D, 0)), "")</f>
        <v/>
      </c>
      <c r="K218" s="762"/>
      <c r="L218" s="760" t="str">
        <f>IFERROR(INDEX('Local Data Previous Year'!$H:$H, MATCH($D218, 'Local Data Previous Year'!$D:$D, 0)), "")</f>
        <v/>
      </c>
      <c r="M218" s="762"/>
      <c r="N218" s="763"/>
      <c r="O218" s="767"/>
      <c r="P218" s="765"/>
      <c r="Q218" s="767"/>
      <c r="R218" s="766" t="str">
        <f t="shared" si="38"/>
        <v/>
      </c>
      <c r="S218" s="754"/>
      <c r="T218" s="763"/>
      <c r="U218" s="754"/>
      <c r="V218" s="763"/>
      <c r="W218" s="763"/>
      <c r="X218" s="865" t="str">
        <f>VLOOKUP(CTR1_Billing!$E$21,Data!$C$6:$D$302,1,FALSE)</f>
        <v>EZZZZ</v>
      </c>
      <c r="Y218" s="205"/>
      <c r="Z218" s="205">
        <f t="shared" si="26"/>
        <v>0</v>
      </c>
      <c r="AA218" s="206" t="str">
        <f t="shared" si="27"/>
        <v/>
      </c>
      <c r="AB218" s="205">
        <f t="shared" si="28"/>
        <v>0</v>
      </c>
      <c r="AC218" s="208"/>
      <c r="AD218" s="208"/>
      <c r="AE218" s="208"/>
      <c r="AF218" s="208"/>
      <c r="AG218" s="209" t="str">
        <f>IFERROR(INDEX('Local Data Previous Year'!$F:$F, MATCH($D218, 'Local Data Previous Year'!$D:$D, 0)), "")</f>
        <v/>
      </c>
      <c r="AH218" s="209" t="str">
        <f>IFERROR(INDEX('Local Data Previous Year'!$G:$G, MATCH($D218, 'Local Data Previous Year'!$D:$D, 0)), "")</f>
        <v/>
      </c>
      <c r="AI218" s="209" t="str">
        <f>IFERROR(INDEX('Local Data Previous Year'!$H:$H, MATCH($D218, 'Local Data Previous Year'!$D:$D, 0)), "")</f>
        <v/>
      </c>
      <c r="AJ218" s="209" t="str">
        <f t="shared" si="29"/>
        <v/>
      </c>
      <c r="AK218" s="209" t="str">
        <f t="shared" si="30"/>
        <v/>
      </c>
      <c r="AL218" s="209" t="str">
        <f t="shared" si="31"/>
        <v/>
      </c>
      <c r="AM218" s="208" t="str">
        <f>IF($AN218="","",IFERROR(VLOOKUP(CONCATENATE(CTR1_Billing!$E$20,$AN218),'Local Data Previous Year'!$C$3:$D$50000,2,0),CTR1_Billing!$E$21&amp;"NEW"))</f>
        <v/>
      </c>
      <c r="AN218" s="209" t="str" cm="1">
        <f t="array" ref="AN218">IF(ISERROR(INDEX('Local Data Previous Year'!$E$3:$E$50000, SMALL(IF(CTR1_Billing!$E$21='Local Data Previous Year'!$A$3:$A$50000, ROW('Local Data Previous Year'!$A$3:$A$50000)-ROW('Local Data Previous Year'!$A$3)+1), ROW(186:186)))), "", INDEX('Local Data Previous Year'!$E$3:$E$50000, SMALL(IF(CTR1_Billing!$E$21='Local Data Previous Year'!$A$3:$A$50000, ROW('Local Data Previous Year'!$A$3:$A$50000)-ROW('Local Data Previous Year'!$A$3)+1), ROW(186:186))))</f>
        <v/>
      </c>
      <c r="AO218" s="209" t="str">
        <f t="shared" si="32"/>
        <v/>
      </c>
      <c r="AP218" s="208"/>
      <c r="AQ218" s="209" t="str">
        <f t="shared" si="33"/>
        <v/>
      </c>
      <c r="AR218" s="209" t="str">
        <f t="shared" si="34"/>
        <v/>
      </c>
      <c r="AS218" s="202" t="str">
        <f t="shared" si="35"/>
        <v/>
      </c>
      <c r="AT218" s="202" t="str">
        <f t="shared" si="36"/>
        <v/>
      </c>
      <c r="AU218" s="208"/>
      <c r="AV218" s="208"/>
      <c r="AW218" s="208"/>
      <c r="AX218" s="208"/>
      <c r="AY218" s="208"/>
      <c r="AZ218" s="208"/>
      <c r="BA218" s="208"/>
      <c r="BB218" s="208"/>
      <c r="BC218" s="208"/>
      <c r="BD218" s="208"/>
      <c r="BE218" s="208"/>
      <c r="BF218" s="208"/>
      <c r="BG218" s="28"/>
      <c r="BH218" s="28"/>
      <c r="BI218" s="28"/>
      <c r="BJ218" s="28"/>
    </row>
    <row r="219" spans="1:62" s="23" customFormat="1" ht="21" customHeight="1" thickBot="1" x14ac:dyDescent="0.25">
      <c r="A219" s="846" t="str">
        <f>IF($AN219="","",IFERROR(VLOOKUP(CONCATENATE(CTR1_Billing!$E$20,$AN219),'Local Data Previous Year'!$C$3:$D$20000,2,0),CTR1_Billing!$E$21&amp;"NEW"))</f>
        <v/>
      </c>
      <c r="B219" s="846" t="str">
        <f>IF($E219="","",IFERROR(VLOOKUP(CONCATENATE(CTR1_Billing!$E$20,CTR1_Local!$E219),'Local Data Previous Year'!$C$3:$D$20000,2,0),CTR1_Billing!$E$21&amp;"NEW"))</f>
        <v/>
      </c>
      <c r="C219" s="846">
        <v>187</v>
      </c>
      <c r="D219" s="755" t="str" cm="1">
        <f t="array" ref="D219">IF(ISERROR(INDEX('Local Data Previous Year'!$D$3:$D$20000,SMALL(IF(CTR1_Billing!$E$21='Local Data Previous Year'!$A$3:$A$20000,ROW('Local Data Previous Year'!$A$3:$A$20000)-ROW('Local Data Previous Year'!$A$3)+1),ROW(187:187)))),"",INDEX('Local Data Previous Year'!$D$3:$D$20000,SMALL(IF(CTR1_Billing!$E$21='Local Data Previous Year'!$A$3:$A$20000,ROW('Local Data Previous Year'!$A$3:$A$20000)-ROW('Local Data Previous Year'!$A$3)+1),ROW(187:187))))</f>
        <v/>
      </c>
      <c r="E219" s="755" t="str" cm="1">
        <f t="array" ref="E219">IF(ISERROR(INDEX('Local Data Previous Year'!$E$3:$E$20000,SMALL(IF(CTR1_Billing!$E$21='Local Data Previous Year'!$A$3:$A$20000,ROW('Local Data Previous Year'!$A$3:$A$20000)-ROW('Local Data Previous Year'!$A$3)+1),ROW(187:187)))),"",INDEX('Local Data Previous Year'!$E$3:$E$20000,SMALL(IF(CTR1_Billing!$E$21='Local Data Previous Year'!$A$3:$A$20000,ROW('Local Data Previous Year'!$A$3:$A$20000)-ROW('Local Data Previous Year'!$A$3)+1),ROW(187:187))))</f>
        <v/>
      </c>
      <c r="F219" s="756" t="str">
        <f>IF($D219="","",IF(ISNA(MATCH($D219,'Local Data Previous Year'!$D$3:$D$20000,0)),"New",IFERROR(VLOOKUP($B219,'Local Data Previous Year'!$D$3:$I$20000,6,0),"")))</f>
        <v/>
      </c>
      <c r="G219" s="757">
        <f t="shared" si="37"/>
        <v>0</v>
      </c>
      <c r="H219" s="758" t="str">
        <f>IFERROR(INDEX('Local Data Previous Year'!$F:$F, MATCH($D219, 'Local Data Previous Year'!$D:$D, 0)), "")</f>
        <v/>
      </c>
      <c r="I219" s="759">
        <f>IF(B219=CTR1_Billing!$E$21&amp;"NEW",1,0)</f>
        <v>0</v>
      </c>
      <c r="J219" s="760" t="str">
        <f>IFERROR(INDEX('Local Data Previous Year'!$G:$G, MATCH($D219, 'Local Data Previous Year'!$D:$D, 0)), "")</f>
        <v/>
      </c>
      <c r="K219" s="762"/>
      <c r="L219" s="760" t="str">
        <f>IFERROR(INDEX('Local Data Previous Year'!$H:$H, MATCH($D219, 'Local Data Previous Year'!$D:$D, 0)), "")</f>
        <v/>
      </c>
      <c r="M219" s="762"/>
      <c r="N219" s="763"/>
      <c r="O219" s="767"/>
      <c r="P219" s="765"/>
      <c r="Q219" s="767"/>
      <c r="R219" s="766" t="str">
        <f t="shared" si="38"/>
        <v/>
      </c>
      <c r="S219" s="754"/>
      <c r="T219" s="763"/>
      <c r="U219" s="754"/>
      <c r="V219" s="763"/>
      <c r="W219" s="763"/>
      <c r="X219" s="865" t="str">
        <f>VLOOKUP(CTR1_Billing!$E$21,Data!$C$6:$D$302,1,FALSE)</f>
        <v>EZZZZ</v>
      </c>
      <c r="Y219" s="205"/>
      <c r="Z219" s="205">
        <f t="shared" si="26"/>
        <v>0</v>
      </c>
      <c r="AA219" s="206" t="str">
        <f t="shared" si="27"/>
        <v/>
      </c>
      <c r="AB219" s="205">
        <f t="shared" si="28"/>
        <v>0</v>
      </c>
      <c r="AC219" s="208"/>
      <c r="AD219" s="208"/>
      <c r="AE219" s="208"/>
      <c r="AF219" s="208"/>
      <c r="AG219" s="209" t="str">
        <f>IFERROR(INDEX('Local Data Previous Year'!$F:$F, MATCH($D219, 'Local Data Previous Year'!$D:$D, 0)), "")</f>
        <v/>
      </c>
      <c r="AH219" s="209" t="str">
        <f>IFERROR(INDEX('Local Data Previous Year'!$G:$G, MATCH($D219, 'Local Data Previous Year'!$D:$D, 0)), "")</f>
        <v/>
      </c>
      <c r="AI219" s="209" t="str">
        <f>IFERROR(INDEX('Local Data Previous Year'!$H:$H, MATCH($D219, 'Local Data Previous Year'!$D:$D, 0)), "")</f>
        <v/>
      </c>
      <c r="AJ219" s="209" t="str">
        <f t="shared" si="29"/>
        <v/>
      </c>
      <c r="AK219" s="209" t="str">
        <f t="shared" si="30"/>
        <v/>
      </c>
      <c r="AL219" s="209" t="str">
        <f t="shared" si="31"/>
        <v/>
      </c>
      <c r="AM219" s="208" t="str">
        <f>IF($AN219="","",IFERROR(VLOOKUP(CONCATENATE(CTR1_Billing!$E$20,$AN219),'Local Data Previous Year'!$C$3:$D$50000,2,0),CTR1_Billing!$E$21&amp;"NEW"))</f>
        <v/>
      </c>
      <c r="AN219" s="209" t="str" cm="1">
        <f t="array" ref="AN219">IF(ISERROR(INDEX('Local Data Previous Year'!$E$3:$E$50000, SMALL(IF(CTR1_Billing!$E$21='Local Data Previous Year'!$A$3:$A$50000, ROW('Local Data Previous Year'!$A$3:$A$50000)-ROW('Local Data Previous Year'!$A$3)+1), ROW(187:187)))), "", INDEX('Local Data Previous Year'!$E$3:$E$50000, SMALL(IF(CTR1_Billing!$E$21='Local Data Previous Year'!$A$3:$A$50000, ROW('Local Data Previous Year'!$A$3:$A$50000)-ROW('Local Data Previous Year'!$A$3)+1), ROW(187:187))))</f>
        <v/>
      </c>
      <c r="AO219" s="209" t="str">
        <f t="shared" si="32"/>
        <v/>
      </c>
      <c r="AP219" s="208"/>
      <c r="AQ219" s="209" t="str">
        <f t="shared" si="33"/>
        <v/>
      </c>
      <c r="AR219" s="209" t="str">
        <f t="shared" si="34"/>
        <v/>
      </c>
      <c r="AS219" s="202" t="str">
        <f t="shared" si="35"/>
        <v/>
      </c>
      <c r="AT219" s="202" t="str">
        <f t="shared" si="36"/>
        <v/>
      </c>
      <c r="AU219" s="208"/>
      <c r="AV219" s="208"/>
      <c r="AW219" s="208"/>
      <c r="AX219" s="208"/>
      <c r="AY219" s="208"/>
      <c r="AZ219" s="208"/>
      <c r="BA219" s="208"/>
      <c r="BB219" s="208"/>
      <c r="BC219" s="208"/>
      <c r="BD219" s="208"/>
      <c r="BE219" s="208"/>
      <c r="BF219" s="208"/>
      <c r="BG219" s="28"/>
      <c r="BH219" s="28"/>
      <c r="BI219" s="28"/>
      <c r="BJ219" s="28"/>
    </row>
    <row r="220" spans="1:62" s="23" customFormat="1" ht="21" customHeight="1" thickBot="1" x14ac:dyDescent="0.25">
      <c r="A220" s="846" t="str">
        <f>IF($AN220="","",IFERROR(VLOOKUP(CONCATENATE(CTR1_Billing!$E$20,$AN220),'Local Data Previous Year'!$C$3:$D$20000,2,0),CTR1_Billing!$E$21&amp;"NEW"))</f>
        <v/>
      </c>
      <c r="B220" s="846" t="str">
        <f>IF($E220="","",IFERROR(VLOOKUP(CONCATENATE(CTR1_Billing!$E$20,CTR1_Local!$E220),'Local Data Previous Year'!$C$3:$D$20000,2,0),CTR1_Billing!$E$21&amp;"NEW"))</f>
        <v/>
      </c>
      <c r="C220" s="846">
        <v>188</v>
      </c>
      <c r="D220" s="755" t="str" cm="1">
        <f t="array" ref="D220">IF(ISERROR(INDEX('Local Data Previous Year'!$D$3:$D$20000,SMALL(IF(CTR1_Billing!$E$21='Local Data Previous Year'!$A$3:$A$20000,ROW('Local Data Previous Year'!$A$3:$A$20000)-ROW('Local Data Previous Year'!$A$3)+1),ROW(188:188)))),"",INDEX('Local Data Previous Year'!$D$3:$D$20000,SMALL(IF(CTR1_Billing!$E$21='Local Data Previous Year'!$A$3:$A$20000,ROW('Local Data Previous Year'!$A$3:$A$20000)-ROW('Local Data Previous Year'!$A$3)+1),ROW(188:188))))</f>
        <v/>
      </c>
      <c r="E220" s="755" t="str" cm="1">
        <f t="array" ref="E220">IF(ISERROR(INDEX('Local Data Previous Year'!$E$3:$E$20000,SMALL(IF(CTR1_Billing!$E$21='Local Data Previous Year'!$A$3:$A$20000,ROW('Local Data Previous Year'!$A$3:$A$20000)-ROW('Local Data Previous Year'!$A$3)+1),ROW(188:188)))),"",INDEX('Local Data Previous Year'!$E$3:$E$20000,SMALL(IF(CTR1_Billing!$E$21='Local Data Previous Year'!$A$3:$A$20000,ROW('Local Data Previous Year'!$A$3:$A$20000)-ROW('Local Data Previous Year'!$A$3)+1),ROW(188:188))))</f>
        <v/>
      </c>
      <c r="F220" s="756" t="str">
        <f>IF($D220="","",IF(ISNA(MATCH($D220,'Local Data Previous Year'!$D$3:$D$20000,0)),"New",IFERROR(VLOOKUP($B220,'Local Data Previous Year'!$D$3:$I$20000,6,0),"")))</f>
        <v/>
      </c>
      <c r="G220" s="757">
        <f t="shared" si="37"/>
        <v>0</v>
      </c>
      <c r="H220" s="758" t="str">
        <f>IFERROR(INDEX('Local Data Previous Year'!$F:$F, MATCH($D220, 'Local Data Previous Year'!$D:$D, 0)), "")</f>
        <v/>
      </c>
      <c r="I220" s="759">
        <f>IF(B220=CTR1_Billing!$E$21&amp;"NEW",1,0)</f>
        <v>0</v>
      </c>
      <c r="J220" s="760" t="str">
        <f>IFERROR(INDEX('Local Data Previous Year'!$G:$G, MATCH($D220, 'Local Data Previous Year'!$D:$D, 0)), "")</f>
        <v/>
      </c>
      <c r="K220" s="762"/>
      <c r="L220" s="760" t="str">
        <f>IFERROR(INDEX('Local Data Previous Year'!$H:$H, MATCH($D220, 'Local Data Previous Year'!$D:$D, 0)), "")</f>
        <v/>
      </c>
      <c r="M220" s="762"/>
      <c r="N220" s="763"/>
      <c r="O220" s="767"/>
      <c r="P220" s="765"/>
      <c r="Q220" s="767"/>
      <c r="R220" s="766" t="str">
        <f t="shared" si="38"/>
        <v/>
      </c>
      <c r="S220" s="754"/>
      <c r="T220" s="763"/>
      <c r="U220" s="754"/>
      <c r="V220" s="763"/>
      <c r="W220" s="763"/>
      <c r="X220" s="865" t="str">
        <f>VLOOKUP(CTR1_Billing!$E$21,Data!$C$6:$D$302,1,FALSE)</f>
        <v>EZZZZ</v>
      </c>
      <c r="Y220" s="205"/>
      <c r="Z220" s="205">
        <f t="shared" si="26"/>
        <v>0</v>
      </c>
      <c r="AA220" s="206" t="str">
        <f t="shared" si="27"/>
        <v/>
      </c>
      <c r="AB220" s="205">
        <f t="shared" si="28"/>
        <v>0</v>
      </c>
      <c r="AC220" s="208"/>
      <c r="AD220" s="208"/>
      <c r="AE220" s="208"/>
      <c r="AF220" s="208"/>
      <c r="AG220" s="209" t="str">
        <f>IFERROR(INDEX('Local Data Previous Year'!$F:$F, MATCH($D220, 'Local Data Previous Year'!$D:$D, 0)), "")</f>
        <v/>
      </c>
      <c r="AH220" s="209" t="str">
        <f>IFERROR(INDEX('Local Data Previous Year'!$G:$G, MATCH($D220, 'Local Data Previous Year'!$D:$D, 0)), "")</f>
        <v/>
      </c>
      <c r="AI220" s="209" t="str">
        <f>IFERROR(INDEX('Local Data Previous Year'!$H:$H, MATCH($D220, 'Local Data Previous Year'!$D:$D, 0)), "")</f>
        <v/>
      </c>
      <c r="AJ220" s="209" t="str">
        <f t="shared" si="29"/>
        <v/>
      </c>
      <c r="AK220" s="209" t="str">
        <f t="shared" si="30"/>
        <v/>
      </c>
      <c r="AL220" s="209" t="str">
        <f t="shared" si="31"/>
        <v/>
      </c>
      <c r="AM220" s="208" t="str">
        <f>IF($AN220="","",IFERROR(VLOOKUP(CONCATENATE(CTR1_Billing!$E$20,$AN220),'Local Data Previous Year'!$C$3:$D$50000,2,0),CTR1_Billing!$E$21&amp;"NEW"))</f>
        <v/>
      </c>
      <c r="AN220" s="209" t="str" cm="1">
        <f t="array" ref="AN220">IF(ISERROR(INDEX('Local Data Previous Year'!$E$3:$E$50000, SMALL(IF(CTR1_Billing!$E$21='Local Data Previous Year'!$A$3:$A$50000, ROW('Local Data Previous Year'!$A$3:$A$50000)-ROW('Local Data Previous Year'!$A$3)+1), ROW(188:188)))), "", INDEX('Local Data Previous Year'!$E$3:$E$50000, SMALL(IF(CTR1_Billing!$E$21='Local Data Previous Year'!$A$3:$A$50000, ROW('Local Data Previous Year'!$A$3:$A$50000)-ROW('Local Data Previous Year'!$A$3)+1), ROW(188:188))))</f>
        <v/>
      </c>
      <c r="AO220" s="209" t="str">
        <f t="shared" si="32"/>
        <v/>
      </c>
      <c r="AP220" s="208"/>
      <c r="AQ220" s="209" t="str">
        <f t="shared" si="33"/>
        <v/>
      </c>
      <c r="AR220" s="209" t="str">
        <f t="shared" si="34"/>
        <v/>
      </c>
      <c r="AS220" s="202" t="str">
        <f t="shared" si="35"/>
        <v/>
      </c>
      <c r="AT220" s="202" t="str">
        <f t="shared" si="36"/>
        <v/>
      </c>
      <c r="AU220" s="208"/>
      <c r="AV220" s="208"/>
      <c r="AW220" s="208"/>
      <c r="AX220" s="208"/>
      <c r="AY220" s="208"/>
      <c r="AZ220" s="208"/>
      <c r="BA220" s="208"/>
      <c r="BB220" s="208"/>
      <c r="BC220" s="208"/>
      <c r="BD220" s="208"/>
      <c r="BE220" s="208"/>
      <c r="BF220" s="208"/>
      <c r="BG220" s="28"/>
      <c r="BH220" s="28"/>
      <c r="BI220" s="28"/>
      <c r="BJ220" s="28"/>
    </row>
    <row r="221" spans="1:62" s="23" customFormat="1" ht="21" customHeight="1" thickBot="1" x14ac:dyDescent="0.25">
      <c r="A221" s="846" t="str">
        <f>IF($AN221="","",IFERROR(VLOOKUP(CONCATENATE(CTR1_Billing!$E$20,$AN221),'Local Data Previous Year'!$C$3:$D$20000,2,0),CTR1_Billing!$E$21&amp;"NEW"))</f>
        <v/>
      </c>
      <c r="B221" s="846" t="str">
        <f>IF($E221="","",IFERROR(VLOOKUP(CONCATENATE(CTR1_Billing!$E$20,CTR1_Local!$E221),'Local Data Previous Year'!$C$3:$D$20000,2,0),CTR1_Billing!$E$21&amp;"NEW"))</f>
        <v/>
      </c>
      <c r="C221" s="846">
        <v>189</v>
      </c>
      <c r="D221" s="755" t="str" cm="1">
        <f t="array" ref="D221">IF(ISERROR(INDEX('Local Data Previous Year'!$D$3:$D$20000,SMALL(IF(CTR1_Billing!$E$21='Local Data Previous Year'!$A$3:$A$20000,ROW('Local Data Previous Year'!$A$3:$A$20000)-ROW('Local Data Previous Year'!$A$3)+1),ROW(189:189)))),"",INDEX('Local Data Previous Year'!$D$3:$D$20000,SMALL(IF(CTR1_Billing!$E$21='Local Data Previous Year'!$A$3:$A$20000,ROW('Local Data Previous Year'!$A$3:$A$20000)-ROW('Local Data Previous Year'!$A$3)+1),ROW(189:189))))</f>
        <v/>
      </c>
      <c r="E221" s="755" t="str" cm="1">
        <f t="array" ref="E221">IF(ISERROR(INDEX('Local Data Previous Year'!$E$3:$E$20000,SMALL(IF(CTR1_Billing!$E$21='Local Data Previous Year'!$A$3:$A$20000,ROW('Local Data Previous Year'!$A$3:$A$20000)-ROW('Local Data Previous Year'!$A$3)+1),ROW(189:189)))),"",INDEX('Local Data Previous Year'!$E$3:$E$20000,SMALL(IF(CTR1_Billing!$E$21='Local Data Previous Year'!$A$3:$A$20000,ROW('Local Data Previous Year'!$A$3:$A$20000)-ROW('Local Data Previous Year'!$A$3)+1),ROW(189:189))))</f>
        <v/>
      </c>
      <c r="F221" s="756" t="str">
        <f>IF($D221="","",IF(ISNA(MATCH($D221,'Local Data Previous Year'!$D$3:$D$20000,0)),"New",IFERROR(VLOOKUP($B221,'Local Data Previous Year'!$D$3:$I$20000,6,0),"")))</f>
        <v/>
      </c>
      <c r="G221" s="757">
        <f t="shared" si="37"/>
        <v>0</v>
      </c>
      <c r="H221" s="758" t="str">
        <f>IFERROR(INDEX('Local Data Previous Year'!$F:$F, MATCH($D221, 'Local Data Previous Year'!$D:$D, 0)), "")</f>
        <v/>
      </c>
      <c r="I221" s="759">
        <f>IF(B221=CTR1_Billing!$E$21&amp;"NEW",1,0)</f>
        <v>0</v>
      </c>
      <c r="J221" s="760" t="str">
        <f>IFERROR(INDEX('Local Data Previous Year'!$G:$G, MATCH($D221, 'Local Data Previous Year'!$D:$D, 0)), "")</f>
        <v/>
      </c>
      <c r="K221" s="762"/>
      <c r="L221" s="760" t="str">
        <f>IFERROR(INDEX('Local Data Previous Year'!$H:$H, MATCH($D221, 'Local Data Previous Year'!$D:$D, 0)), "")</f>
        <v/>
      </c>
      <c r="M221" s="762"/>
      <c r="N221" s="763"/>
      <c r="O221" s="767"/>
      <c r="P221" s="765"/>
      <c r="Q221" s="767"/>
      <c r="R221" s="766" t="str">
        <f t="shared" si="38"/>
        <v/>
      </c>
      <c r="S221" s="754"/>
      <c r="T221" s="763"/>
      <c r="U221" s="754"/>
      <c r="V221" s="763"/>
      <c r="W221" s="763"/>
      <c r="X221" s="865" t="str">
        <f>VLOOKUP(CTR1_Billing!$E$21,Data!$C$6:$D$302,1,FALSE)</f>
        <v>EZZZZ</v>
      </c>
      <c r="Y221" s="205"/>
      <c r="Z221" s="205">
        <f t="shared" si="26"/>
        <v>0</v>
      </c>
      <c r="AA221" s="206" t="str">
        <f t="shared" si="27"/>
        <v/>
      </c>
      <c r="AB221" s="205">
        <f t="shared" si="28"/>
        <v>0</v>
      </c>
      <c r="AC221" s="208"/>
      <c r="AD221" s="208"/>
      <c r="AE221" s="208"/>
      <c r="AF221" s="208"/>
      <c r="AG221" s="209" t="str">
        <f>IFERROR(INDEX('Local Data Previous Year'!$F:$F, MATCH($D221, 'Local Data Previous Year'!$D:$D, 0)), "")</f>
        <v/>
      </c>
      <c r="AH221" s="209" t="str">
        <f>IFERROR(INDEX('Local Data Previous Year'!$G:$G, MATCH($D221, 'Local Data Previous Year'!$D:$D, 0)), "")</f>
        <v/>
      </c>
      <c r="AI221" s="209" t="str">
        <f>IFERROR(INDEX('Local Data Previous Year'!$H:$H, MATCH($D221, 'Local Data Previous Year'!$D:$D, 0)), "")</f>
        <v/>
      </c>
      <c r="AJ221" s="209" t="str">
        <f t="shared" si="29"/>
        <v/>
      </c>
      <c r="AK221" s="209" t="str">
        <f t="shared" si="30"/>
        <v/>
      </c>
      <c r="AL221" s="209" t="str">
        <f t="shared" si="31"/>
        <v/>
      </c>
      <c r="AM221" s="208" t="str">
        <f>IF($AN221="","",IFERROR(VLOOKUP(CONCATENATE(CTR1_Billing!$E$20,$AN221),'Local Data Previous Year'!$C$3:$D$50000,2,0),CTR1_Billing!$E$21&amp;"NEW"))</f>
        <v/>
      </c>
      <c r="AN221" s="209" t="str" cm="1">
        <f t="array" ref="AN221">IF(ISERROR(INDEX('Local Data Previous Year'!$E$3:$E$50000, SMALL(IF(CTR1_Billing!$E$21='Local Data Previous Year'!$A$3:$A$50000, ROW('Local Data Previous Year'!$A$3:$A$50000)-ROW('Local Data Previous Year'!$A$3)+1), ROW(189:189)))), "", INDEX('Local Data Previous Year'!$E$3:$E$50000, SMALL(IF(CTR1_Billing!$E$21='Local Data Previous Year'!$A$3:$A$50000, ROW('Local Data Previous Year'!$A$3:$A$50000)-ROW('Local Data Previous Year'!$A$3)+1), ROW(189:189))))</f>
        <v/>
      </c>
      <c r="AO221" s="209" t="str">
        <f t="shared" si="32"/>
        <v/>
      </c>
      <c r="AP221" s="208"/>
      <c r="AQ221" s="209" t="str">
        <f t="shared" si="33"/>
        <v/>
      </c>
      <c r="AR221" s="209" t="str">
        <f t="shared" si="34"/>
        <v/>
      </c>
      <c r="AS221" s="202" t="str">
        <f t="shared" si="35"/>
        <v/>
      </c>
      <c r="AT221" s="202" t="str">
        <f t="shared" si="36"/>
        <v/>
      </c>
      <c r="AU221" s="208"/>
      <c r="AV221" s="208"/>
      <c r="AW221" s="208"/>
      <c r="AX221" s="208"/>
      <c r="AY221" s="208"/>
      <c r="AZ221" s="208"/>
      <c r="BA221" s="208"/>
      <c r="BB221" s="208"/>
      <c r="BC221" s="208"/>
      <c r="BD221" s="208"/>
      <c r="BE221" s="208"/>
      <c r="BF221" s="208"/>
      <c r="BG221" s="28"/>
      <c r="BH221" s="28"/>
      <c r="BI221" s="28"/>
      <c r="BJ221" s="28"/>
    </row>
    <row r="222" spans="1:62" s="23" customFormat="1" ht="21" customHeight="1" thickBot="1" x14ac:dyDescent="0.25">
      <c r="A222" s="846" t="str">
        <f>IF($AN222="","",IFERROR(VLOOKUP(CONCATENATE(CTR1_Billing!$E$20,$AN222),'Local Data Previous Year'!$C$3:$D$20000,2,0),CTR1_Billing!$E$21&amp;"NEW"))</f>
        <v/>
      </c>
      <c r="B222" s="846" t="str">
        <f>IF($E222="","",IFERROR(VLOOKUP(CONCATENATE(CTR1_Billing!$E$20,CTR1_Local!$E222),'Local Data Previous Year'!$C$3:$D$20000,2,0),CTR1_Billing!$E$21&amp;"NEW"))</f>
        <v/>
      </c>
      <c r="C222" s="846">
        <v>190</v>
      </c>
      <c r="D222" s="755" t="str" cm="1">
        <f t="array" ref="D222">IF(ISERROR(INDEX('Local Data Previous Year'!$D$3:$D$20000,SMALL(IF(CTR1_Billing!$E$21='Local Data Previous Year'!$A$3:$A$20000,ROW('Local Data Previous Year'!$A$3:$A$20000)-ROW('Local Data Previous Year'!$A$3)+1),ROW(190:190)))),"",INDEX('Local Data Previous Year'!$D$3:$D$20000,SMALL(IF(CTR1_Billing!$E$21='Local Data Previous Year'!$A$3:$A$20000,ROW('Local Data Previous Year'!$A$3:$A$20000)-ROW('Local Data Previous Year'!$A$3)+1),ROW(190:190))))</f>
        <v/>
      </c>
      <c r="E222" s="755" t="str" cm="1">
        <f t="array" ref="E222">IF(ISERROR(INDEX('Local Data Previous Year'!$E$3:$E$20000,SMALL(IF(CTR1_Billing!$E$21='Local Data Previous Year'!$A$3:$A$20000,ROW('Local Data Previous Year'!$A$3:$A$20000)-ROW('Local Data Previous Year'!$A$3)+1),ROW(190:190)))),"",INDEX('Local Data Previous Year'!$E$3:$E$20000,SMALL(IF(CTR1_Billing!$E$21='Local Data Previous Year'!$A$3:$A$20000,ROW('Local Data Previous Year'!$A$3:$A$20000)-ROW('Local Data Previous Year'!$A$3)+1),ROW(190:190))))</f>
        <v/>
      </c>
      <c r="F222" s="756" t="str">
        <f>IF($D222="","",IF(ISNA(MATCH($D222,'Local Data Previous Year'!$D$3:$D$20000,0)),"New",IFERROR(VLOOKUP($B222,'Local Data Previous Year'!$D$3:$I$20000,6,0),"")))</f>
        <v/>
      </c>
      <c r="G222" s="757">
        <f t="shared" si="37"/>
        <v>0</v>
      </c>
      <c r="H222" s="758" t="str">
        <f>IFERROR(INDEX('Local Data Previous Year'!$F:$F, MATCH($D222, 'Local Data Previous Year'!$D:$D, 0)), "")</f>
        <v/>
      </c>
      <c r="I222" s="759">
        <f>IF(B222=CTR1_Billing!$E$21&amp;"NEW",1,0)</f>
        <v>0</v>
      </c>
      <c r="J222" s="760" t="str">
        <f>IFERROR(INDEX('Local Data Previous Year'!$G:$G, MATCH($D222, 'Local Data Previous Year'!$D:$D, 0)), "")</f>
        <v/>
      </c>
      <c r="K222" s="762"/>
      <c r="L222" s="760" t="str">
        <f>IFERROR(INDEX('Local Data Previous Year'!$H:$H, MATCH($D222, 'Local Data Previous Year'!$D:$D, 0)), "")</f>
        <v/>
      </c>
      <c r="M222" s="762"/>
      <c r="N222" s="763"/>
      <c r="O222" s="767"/>
      <c r="P222" s="765"/>
      <c r="Q222" s="767"/>
      <c r="R222" s="766" t="str">
        <f t="shared" si="38"/>
        <v/>
      </c>
      <c r="S222" s="754"/>
      <c r="T222" s="763"/>
      <c r="U222" s="754"/>
      <c r="V222" s="763"/>
      <c r="W222" s="763"/>
      <c r="X222" s="865" t="str">
        <f>VLOOKUP(CTR1_Billing!$E$21,Data!$C$6:$D$302,1,FALSE)</f>
        <v>EZZZZ</v>
      </c>
      <c r="Y222" s="205"/>
      <c r="Z222" s="205">
        <f t="shared" si="26"/>
        <v>0</v>
      </c>
      <c r="AA222" s="206" t="str">
        <f t="shared" si="27"/>
        <v/>
      </c>
      <c r="AB222" s="205">
        <f t="shared" si="28"/>
        <v>0</v>
      </c>
      <c r="AC222" s="208"/>
      <c r="AD222" s="208"/>
      <c r="AE222" s="208"/>
      <c r="AF222" s="208"/>
      <c r="AG222" s="209" t="str">
        <f>IFERROR(INDEX('Local Data Previous Year'!$F:$F, MATCH($D222, 'Local Data Previous Year'!$D:$D, 0)), "")</f>
        <v/>
      </c>
      <c r="AH222" s="209" t="str">
        <f>IFERROR(INDEX('Local Data Previous Year'!$G:$G, MATCH($D222, 'Local Data Previous Year'!$D:$D, 0)), "")</f>
        <v/>
      </c>
      <c r="AI222" s="209" t="str">
        <f>IFERROR(INDEX('Local Data Previous Year'!$H:$H, MATCH($D222, 'Local Data Previous Year'!$D:$D, 0)), "")</f>
        <v/>
      </c>
      <c r="AJ222" s="209" t="str">
        <f t="shared" si="29"/>
        <v/>
      </c>
      <c r="AK222" s="209" t="str">
        <f t="shared" si="30"/>
        <v/>
      </c>
      <c r="AL222" s="209" t="str">
        <f t="shared" si="31"/>
        <v/>
      </c>
      <c r="AM222" s="208" t="str">
        <f>IF($AN222="","",IFERROR(VLOOKUP(CONCATENATE(CTR1_Billing!$E$20,$AN222),'Local Data Previous Year'!$C$3:$D$50000,2,0),CTR1_Billing!$E$21&amp;"NEW"))</f>
        <v/>
      </c>
      <c r="AN222" s="209" t="str" cm="1">
        <f t="array" ref="AN222">IF(ISERROR(INDEX('Local Data Previous Year'!$E$3:$E$50000, SMALL(IF(CTR1_Billing!$E$21='Local Data Previous Year'!$A$3:$A$50000, ROW('Local Data Previous Year'!$A$3:$A$50000)-ROW('Local Data Previous Year'!$A$3)+1), ROW(190:190)))), "", INDEX('Local Data Previous Year'!$E$3:$E$50000, SMALL(IF(CTR1_Billing!$E$21='Local Data Previous Year'!$A$3:$A$50000, ROW('Local Data Previous Year'!$A$3:$A$50000)-ROW('Local Data Previous Year'!$A$3)+1), ROW(190:190))))</f>
        <v/>
      </c>
      <c r="AO222" s="209" t="str">
        <f t="shared" si="32"/>
        <v/>
      </c>
      <c r="AP222" s="208"/>
      <c r="AQ222" s="209" t="str">
        <f t="shared" si="33"/>
        <v/>
      </c>
      <c r="AR222" s="209" t="str">
        <f t="shared" si="34"/>
        <v/>
      </c>
      <c r="AS222" s="202" t="str">
        <f t="shared" si="35"/>
        <v/>
      </c>
      <c r="AT222" s="202" t="str">
        <f t="shared" si="36"/>
        <v/>
      </c>
      <c r="AU222" s="208"/>
      <c r="AV222" s="208"/>
      <c r="AW222" s="208"/>
      <c r="AX222" s="208"/>
      <c r="AY222" s="208"/>
      <c r="AZ222" s="208"/>
      <c r="BA222" s="208"/>
      <c r="BB222" s="208"/>
      <c r="BC222" s="208"/>
      <c r="BD222" s="208"/>
      <c r="BE222" s="208"/>
      <c r="BF222" s="208"/>
      <c r="BG222" s="28"/>
      <c r="BH222" s="28"/>
      <c r="BI222" s="28"/>
      <c r="BJ222" s="28"/>
    </row>
    <row r="223" spans="1:62" s="23" customFormat="1" ht="21" customHeight="1" thickBot="1" x14ac:dyDescent="0.25">
      <c r="A223" s="846" t="str">
        <f>IF($AN223="","",IFERROR(VLOOKUP(CONCATENATE(CTR1_Billing!$E$20,$AN223),'Local Data Previous Year'!$C$3:$D$20000,2,0),CTR1_Billing!$E$21&amp;"NEW"))</f>
        <v/>
      </c>
      <c r="B223" s="846" t="str">
        <f>IF($E223="","",IFERROR(VLOOKUP(CONCATENATE(CTR1_Billing!$E$20,CTR1_Local!$E223),'Local Data Previous Year'!$C$3:$D$20000,2,0),CTR1_Billing!$E$21&amp;"NEW"))</f>
        <v/>
      </c>
      <c r="C223" s="846">
        <v>191</v>
      </c>
      <c r="D223" s="755" t="str" cm="1">
        <f t="array" ref="D223">IF(ISERROR(INDEX('Local Data Previous Year'!$D$3:$D$20000,SMALL(IF(CTR1_Billing!$E$21='Local Data Previous Year'!$A$3:$A$20000,ROW('Local Data Previous Year'!$A$3:$A$20000)-ROW('Local Data Previous Year'!$A$3)+1),ROW(191:191)))),"",INDEX('Local Data Previous Year'!$D$3:$D$20000,SMALL(IF(CTR1_Billing!$E$21='Local Data Previous Year'!$A$3:$A$20000,ROW('Local Data Previous Year'!$A$3:$A$20000)-ROW('Local Data Previous Year'!$A$3)+1),ROW(191:191))))</f>
        <v/>
      </c>
      <c r="E223" s="755" t="str" cm="1">
        <f t="array" ref="E223">IF(ISERROR(INDEX('Local Data Previous Year'!$E$3:$E$20000,SMALL(IF(CTR1_Billing!$E$21='Local Data Previous Year'!$A$3:$A$20000,ROW('Local Data Previous Year'!$A$3:$A$20000)-ROW('Local Data Previous Year'!$A$3)+1),ROW(191:191)))),"",INDEX('Local Data Previous Year'!$E$3:$E$20000,SMALL(IF(CTR1_Billing!$E$21='Local Data Previous Year'!$A$3:$A$20000,ROW('Local Data Previous Year'!$A$3:$A$20000)-ROW('Local Data Previous Year'!$A$3)+1),ROW(191:191))))</f>
        <v/>
      </c>
      <c r="F223" s="756" t="str">
        <f>IF($D223="","",IF(ISNA(MATCH($D223,'Local Data Previous Year'!$D$3:$D$20000,0)),"New",IFERROR(VLOOKUP($B223,'Local Data Previous Year'!$D$3:$I$20000,6,0),"")))</f>
        <v/>
      </c>
      <c r="G223" s="757">
        <f t="shared" si="37"/>
        <v>0</v>
      </c>
      <c r="H223" s="758" t="str">
        <f>IFERROR(INDEX('Local Data Previous Year'!$F:$F, MATCH($D223, 'Local Data Previous Year'!$D:$D, 0)), "")</f>
        <v/>
      </c>
      <c r="I223" s="759">
        <f>IF(B223=CTR1_Billing!$E$21&amp;"NEW",1,0)</f>
        <v>0</v>
      </c>
      <c r="J223" s="760" t="str">
        <f>IFERROR(INDEX('Local Data Previous Year'!$G:$G, MATCH($D223, 'Local Data Previous Year'!$D:$D, 0)), "")</f>
        <v/>
      </c>
      <c r="K223" s="762"/>
      <c r="L223" s="760" t="str">
        <f>IFERROR(INDEX('Local Data Previous Year'!$H:$H, MATCH($D223, 'Local Data Previous Year'!$D:$D, 0)), "")</f>
        <v/>
      </c>
      <c r="M223" s="762"/>
      <c r="N223" s="763"/>
      <c r="O223" s="767"/>
      <c r="P223" s="765"/>
      <c r="Q223" s="767"/>
      <c r="R223" s="766" t="str">
        <f t="shared" si="38"/>
        <v/>
      </c>
      <c r="S223" s="754"/>
      <c r="T223" s="763"/>
      <c r="U223" s="754"/>
      <c r="V223" s="763"/>
      <c r="W223" s="763"/>
      <c r="X223" s="865" t="str">
        <f>VLOOKUP(CTR1_Billing!$E$21,Data!$C$6:$D$302,1,FALSE)</f>
        <v>EZZZZ</v>
      </c>
      <c r="Y223" s="205"/>
      <c r="Z223" s="205">
        <f t="shared" si="26"/>
        <v>0</v>
      </c>
      <c r="AA223" s="206" t="str">
        <f t="shared" si="27"/>
        <v/>
      </c>
      <c r="AB223" s="205">
        <f t="shared" si="28"/>
        <v>0</v>
      </c>
      <c r="AC223" s="208"/>
      <c r="AD223" s="208"/>
      <c r="AE223" s="208"/>
      <c r="AF223" s="208"/>
      <c r="AG223" s="209" t="str">
        <f>IFERROR(INDEX('Local Data Previous Year'!$F:$F, MATCH($D223, 'Local Data Previous Year'!$D:$D, 0)), "")</f>
        <v/>
      </c>
      <c r="AH223" s="209" t="str">
        <f>IFERROR(INDEX('Local Data Previous Year'!$G:$G, MATCH($D223, 'Local Data Previous Year'!$D:$D, 0)), "")</f>
        <v/>
      </c>
      <c r="AI223" s="209" t="str">
        <f>IFERROR(INDEX('Local Data Previous Year'!$H:$H, MATCH($D223, 'Local Data Previous Year'!$D:$D, 0)), "")</f>
        <v/>
      </c>
      <c r="AJ223" s="209" t="str">
        <f t="shared" si="29"/>
        <v/>
      </c>
      <c r="AK223" s="209" t="str">
        <f t="shared" si="30"/>
        <v/>
      </c>
      <c r="AL223" s="209" t="str">
        <f t="shared" si="31"/>
        <v/>
      </c>
      <c r="AM223" s="208" t="str">
        <f>IF($AN223="","",IFERROR(VLOOKUP(CONCATENATE(CTR1_Billing!$E$20,$AN223),'Local Data Previous Year'!$C$3:$D$50000,2,0),CTR1_Billing!$E$21&amp;"NEW"))</f>
        <v/>
      </c>
      <c r="AN223" s="209" t="str" cm="1">
        <f t="array" ref="AN223">IF(ISERROR(INDEX('Local Data Previous Year'!$E$3:$E$50000, SMALL(IF(CTR1_Billing!$E$21='Local Data Previous Year'!$A$3:$A$50000, ROW('Local Data Previous Year'!$A$3:$A$50000)-ROW('Local Data Previous Year'!$A$3)+1), ROW(191:191)))), "", INDEX('Local Data Previous Year'!$E$3:$E$50000, SMALL(IF(CTR1_Billing!$E$21='Local Data Previous Year'!$A$3:$A$50000, ROW('Local Data Previous Year'!$A$3:$A$50000)-ROW('Local Data Previous Year'!$A$3)+1), ROW(191:191))))</f>
        <v/>
      </c>
      <c r="AO223" s="209" t="str">
        <f t="shared" si="32"/>
        <v/>
      </c>
      <c r="AP223" s="208"/>
      <c r="AQ223" s="209" t="str">
        <f t="shared" si="33"/>
        <v/>
      </c>
      <c r="AR223" s="209" t="str">
        <f t="shared" si="34"/>
        <v/>
      </c>
      <c r="AS223" s="202" t="str">
        <f t="shared" si="35"/>
        <v/>
      </c>
      <c r="AT223" s="202" t="str">
        <f t="shared" si="36"/>
        <v/>
      </c>
      <c r="AU223" s="208"/>
      <c r="AV223" s="208"/>
      <c r="AW223" s="208"/>
      <c r="AX223" s="208"/>
      <c r="AY223" s="208"/>
      <c r="AZ223" s="208"/>
      <c r="BA223" s="208"/>
      <c r="BB223" s="208"/>
      <c r="BC223" s="208"/>
      <c r="BD223" s="208"/>
      <c r="BE223" s="208"/>
      <c r="BF223" s="208"/>
      <c r="BG223" s="28"/>
      <c r="BH223" s="28"/>
      <c r="BI223" s="28"/>
      <c r="BJ223" s="28"/>
    </row>
    <row r="224" spans="1:62" s="23" customFormat="1" ht="21" customHeight="1" thickBot="1" x14ac:dyDescent="0.25">
      <c r="A224" s="846" t="str">
        <f>IF($AN224="","",IFERROR(VLOOKUP(CONCATENATE(CTR1_Billing!$E$20,$AN224),'Local Data Previous Year'!$C$3:$D$20000,2,0),CTR1_Billing!$E$21&amp;"NEW"))</f>
        <v/>
      </c>
      <c r="B224" s="846" t="str">
        <f>IF($E224="","",IFERROR(VLOOKUP(CONCATENATE(CTR1_Billing!$E$20,CTR1_Local!$E224),'Local Data Previous Year'!$C$3:$D$20000,2,0),CTR1_Billing!$E$21&amp;"NEW"))</f>
        <v/>
      </c>
      <c r="C224" s="846">
        <v>192</v>
      </c>
      <c r="D224" s="755" t="str" cm="1">
        <f t="array" ref="D224">IF(ISERROR(INDEX('Local Data Previous Year'!$D$3:$D$20000,SMALL(IF(CTR1_Billing!$E$21='Local Data Previous Year'!$A$3:$A$20000,ROW('Local Data Previous Year'!$A$3:$A$20000)-ROW('Local Data Previous Year'!$A$3)+1),ROW(192:192)))),"",INDEX('Local Data Previous Year'!$D$3:$D$20000,SMALL(IF(CTR1_Billing!$E$21='Local Data Previous Year'!$A$3:$A$20000,ROW('Local Data Previous Year'!$A$3:$A$20000)-ROW('Local Data Previous Year'!$A$3)+1),ROW(192:192))))</f>
        <v/>
      </c>
      <c r="E224" s="755" t="str" cm="1">
        <f t="array" ref="E224">IF(ISERROR(INDEX('Local Data Previous Year'!$E$3:$E$20000,SMALL(IF(CTR1_Billing!$E$21='Local Data Previous Year'!$A$3:$A$20000,ROW('Local Data Previous Year'!$A$3:$A$20000)-ROW('Local Data Previous Year'!$A$3)+1),ROW(192:192)))),"",INDEX('Local Data Previous Year'!$E$3:$E$20000,SMALL(IF(CTR1_Billing!$E$21='Local Data Previous Year'!$A$3:$A$20000,ROW('Local Data Previous Year'!$A$3:$A$20000)-ROW('Local Data Previous Year'!$A$3)+1),ROW(192:192))))</f>
        <v/>
      </c>
      <c r="F224" s="756" t="str">
        <f>IF($D224="","",IF(ISNA(MATCH($D224,'Local Data Previous Year'!$D$3:$D$20000,0)),"New",IFERROR(VLOOKUP($B224,'Local Data Previous Year'!$D$3:$I$20000,6,0),"")))</f>
        <v/>
      </c>
      <c r="G224" s="757">
        <f t="shared" si="37"/>
        <v>0</v>
      </c>
      <c r="H224" s="758" t="str">
        <f>IFERROR(INDEX('Local Data Previous Year'!$F:$F, MATCH($D224, 'Local Data Previous Year'!$D:$D, 0)), "")</f>
        <v/>
      </c>
      <c r="I224" s="759">
        <f>IF(B224=CTR1_Billing!$E$21&amp;"NEW",1,0)</f>
        <v>0</v>
      </c>
      <c r="J224" s="760" t="str">
        <f>IFERROR(INDEX('Local Data Previous Year'!$G:$G, MATCH($D224, 'Local Data Previous Year'!$D:$D, 0)), "")</f>
        <v/>
      </c>
      <c r="K224" s="762"/>
      <c r="L224" s="760" t="str">
        <f>IFERROR(INDEX('Local Data Previous Year'!$H:$H, MATCH($D224, 'Local Data Previous Year'!$D:$D, 0)), "")</f>
        <v/>
      </c>
      <c r="M224" s="762"/>
      <c r="N224" s="763"/>
      <c r="O224" s="767"/>
      <c r="P224" s="765"/>
      <c r="Q224" s="767"/>
      <c r="R224" s="766" t="str">
        <f t="shared" si="38"/>
        <v/>
      </c>
      <c r="S224" s="754"/>
      <c r="T224" s="763"/>
      <c r="U224" s="754"/>
      <c r="V224" s="763"/>
      <c r="W224" s="763"/>
      <c r="X224" s="865" t="str">
        <f>VLOOKUP(CTR1_Billing!$E$21,Data!$C$6:$D$302,1,FALSE)</f>
        <v>EZZZZ</v>
      </c>
      <c r="Y224" s="205"/>
      <c r="Z224" s="205">
        <f t="shared" si="26"/>
        <v>0</v>
      </c>
      <c r="AA224" s="206" t="str">
        <f t="shared" si="27"/>
        <v/>
      </c>
      <c r="AB224" s="205">
        <f t="shared" si="28"/>
        <v>0</v>
      </c>
      <c r="AC224" s="208"/>
      <c r="AD224" s="208"/>
      <c r="AE224" s="208"/>
      <c r="AF224" s="208"/>
      <c r="AG224" s="209" t="str">
        <f>IFERROR(INDEX('Local Data Previous Year'!$F:$F, MATCH($D224, 'Local Data Previous Year'!$D:$D, 0)), "")</f>
        <v/>
      </c>
      <c r="AH224" s="209" t="str">
        <f>IFERROR(INDEX('Local Data Previous Year'!$G:$G, MATCH($D224, 'Local Data Previous Year'!$D:$D, 0)), "")</f>
        <v/>
      </c>
      <c r="AI224" s="209" t="str">
        <f>IFERROR(INDEX('Local Data Previous Year'!$H:$H, MATCH($D224, 'Local Data Previous Year'!$D:$D, 0)), "")</f>
        <v/>
      </c>
      <c r="AJ224" s="209" t="str">
        <f t="shared" si="29"/>
        <v/>
      </c>
      <c r="AK224" s="209" t="str">
        <f t="shared" si="30"/>
        <v/>
      </c>
      <c r="AL224" s="209" t="str">
        <f t="shared" si="31"/>
        <v/>
      </c>
      <c r="AM224" s="208" t="str">
        <f>IF($AN224="","",IFERROR(VLOOKUP(CONCATENATE(CTR1_Billing!$E$20,$AN224),'Local Data Previous Year'!$C$3:$D$50000,2,0),CTR1_Billing!$E$21&amp;"NEW"))</f>
        <v/>
      </c>
      <c r="AN224" s="209" t="str" cm="1">
        <f t="array" ref="AN224">IF(ISERROR(INDEX('Local Data Previous Year'!$E$3:$E$50000, SMALL(IF(CTR1_Billing!$E$21='Local Data Previous Year'!$A$3:$A$50000, ROW('Local Data Previous Year'!$A$3:$A$50000)-ROW('Local Data Previous Year'!$A$3)+1), ROW(192:192)))), "", INDEX('Local Data Previous Year'!$E$3:$E$50000, SMALL(IF(CTR1_Billing!$E$21='Local Data Previous Year'!$A$3:$A$50000, ROW('Local Data Previous Year'!$A$3:$A$50000)-ROW('Local Data Previous Year'!$A$3)+1), ROW(192:192))))</f>
        <v/>
      </c>
      <c r="AO224" s="209" t="str">
        <f t="shared" si="32"/>
        <v/>
      </c>
      <c r="AP224" s="208"/>
      <c r="AQ224" s="209" t="str">
        <f t="shared" si="33"/>
        <v/>
      </c>
      <c r="AR224" s="209" t="str">
        <f t="shared" si="34"/>
        <v/>
      </c>
      <c r="AS224" s="202" t="str">
        <f t="shared" si="35"/>
        <v/>
      </c>
      <c r="AT224" s="202" t="str">
        <f t="shared" si="36"/>
        <v/>
      </c>
      <c r="AU224" s="208"/>
      <c r="AV224" s="208"/>
      <c r="AW224" s="208"/>
      <c r="AX224" s="208"/>
      <c r="AY224" s="208"/>
      <c r="AZ224" s="208"/>
      <c r="BA224" s="208"/>
      <c r="BB224" s="208"/>
      <c r="BC224" s="208"/>
      <c r="BD224" s="208"/>
      <c r="BE224" s="208"/>
      <c r="BF224" s="208"/>
      <c r="BG224" s="28"/>
      <c r="BH224" s="28"/>
      <c r="BI224" s="28"/>
      <c r="BJ224" s="28"/>
    </row>
    <row r="225" spans="1:62" s="23" customFormat="1" ht="21" customHeight="1" thickBot="1" x14ac:dyDescent="0.25">
      <c r="A225" s="846" t="str">
        <f>IF($AN225="","",IFERROR(VLOOKUP(CONCATENATE(CTR1_Billing!$E$20,$AN225),'Local Data Previous Year'!$C$3:$D$20000,2,0),CTR1_Billing!$E$21&amp;"NEW"))</f>
        <v/>
      </c>
      <c r="B225" s="846" t="str">
        <f>IF($E225="","",IFERROR(VLOOKUP(CONCATENATE(CTR1_Billing!$E$20,CTR1_Local!$E225),'Local Data Previous Year'!$C$3:$D$20000,2,0),CTR1_Billing!$E$21&amp;"NEW"))</f>
        <v/>
      </c>
      <c r="C225" s="846">
        <v>193</v>
      </c>
      <c r="D225" s="755" t="str" cm="1">
        <f t="array" ref="D225">IF(ISERROR(INDEX('Local Data Previous Year'!$D$3:$D$20000,SMALL(IF(CTR1_Billing!$E$21='Local Data Previous Year'!$A$3:$A$20000,ROW('Local Data Previous Year'!$A$3:$A$20000)-ROW('Local Data Previous Year'!$A$3)+1),ROW(193:193)))),"",INDEX('Local Data Previous Year'!$D$3:$D$20000,SMALL(IF(CTR1_Billing!$E$21='Local Data Previous Year'!$A$3:$A$20000,ROW('Local Data Previous Year'!$A$3:$A$20000)-ROW('Local Data Previous Year'!$A$3)+1),ROW(193:193))))</f>
        <v/>
      </c>
      <c r="E225" s="755" t="str" cm="1">
        <f t="array" ref="E225">IF(ISERROR(INDEX('Local Data Previous Year'!$E$3:$E$20000,SMALL(IF(CTR1_Billing!$E$21='Local Data Previous Year'!$A$3:$A$20000,ROW('Local Data Previous Year'!$A$3:$A$20000)-ROW('Local Data Previous Year'!$A$3)+1),ROW(193:193)))),"",INDEX('Local Data Previous Year'!$E$3:$E$20000,SMALL(IF(CTR1_Billing!$E$21='Local Data Previous Year'!$A$3:$A$20000,ROW('Local Data Previous Year'!$A$3:$A$20000)-ROW('Local Data Previous Year'!$A$3)+1),ROW(193:193))))</f>
        <v/>
      </c>
      <c r="F225" s="756" t="str">
        <f>IF($D225="","",IF(ISNA(MATCH($D225,'Local Data Previous Year'!$D$3:$D$20000,0)),"New",IFERROR(VLOOKUP($B225,'Local Data Previous Year'!$D$3:$I$20000,6,0),"")))</f>
        <v/>
      </c>
      <c r="G225" s="757">
        <f t="shared" si="37"/>
        <v>0</v>
      </c>
      <c r="H225" s="758" t="str">
        <f>IFERROR(INDEX('Local Data Previous Year'!$F:$F, MATCH($D225, 'Local Data Previous Year'!$D:$D, 0)), "")</f>
        <v/>
      </c>
      <c r="I225" s="759">
        <f>IF(B225=CTR1_Billing!$E$21&amp;"NEW",1,0)</f>
        <v>0</v>
      </c>
      <c r="J225" s="760" t="str">
        <f>IFERROR(INDEX('Local Data Previous Year'!$G:$G, MATCH($D225, 'Local Data Previous Year'!$D:$D, 0)), "")</f>
        <v/>
      </c>
      <c r="K225" s="762"/>
      <c r="L225" s="760" t="str">
        <f>IFERROR(INDEX('Local Data Previous Year'!$H:$H, MATCH($D225, 'Local Data Previous Year'!$D:$D, 0)), "")</f>
        <v/>
      </c>
      <c r="M225" s="762"/>
      <c r="N225" s="763"/>
      <c r="O225" s="767"/>
      <c r="P225" s="765"/>
      <c r="Q225" s="767"/>
      <c r="R225" s="766" t="str">
        <f t="shared" si="38"/>
        <v/>
      </c>
      <c r="S225" s="754"/>
      <c r="T225" s="763"/>
      <c r="U225" s="754"/>
      <c r="V225" s="763"/>
      <c r="W225" s="763"/>
      <c r="X225" s="865" t="str">
        <f>VLOOKUP(CTR1_Billing!$E$21,Data!$C$6:$D$302,1,FALSE)</f>
        <v>EZZZZ</v>
      </c>
      <c r="Y225" s="205"/>
      <c r="Z225" s="205">
        <f t="shared" ref="Z225:Z288" si="39">IF(OR(P225&gt;AQ225,P225&lt;AR225),1,0)</f>
        <v>0</v>
      </c>
      <c r="AA225" s="206" t="str">
        <f t="shared" ref="AA225:AA477" si="40">IF(R225="","",IF(R225=0,"ok",IF(R225&lt;&gt;(N225/P225),"error","ok")))</f>
        <v/>
      </c>
      <c r="AB225" s="205">
        <f t="shared" ref="AB225:AB288" si="41">IF(OR(R225&gt;AS225,R225&lt;AT225),1,0)</f>
        <v>0</v>
      </c>
      <c r="AC225" s="208"/>
      <c r="AD225" s="208"/>
      <c r="AE225" s="208"/>
      <c r="AF225" s="208"/>
      <c r="AG225" s="209" t="str">
        <f>IFERROR(INDEX('Local Data Previous Year'!$F:$F, MATCH($D225, 'Local Data Previous Year'!$D:$D, 0)), "")</f>
        <v/>
      </c>
      <c r="AH225" s="209" t="str">
        <f>IFERROR(INDEX('Local Data Previous Year'!$G:$G, MATCH($D225, 'Local Data Previous Year'!$D:$D, 0)), "")</f>
        <v/>
      </c>
      <c r="AI225" s="209" t="str">
        <f>IFERROR(INDEX('Local Data Previous Year'!$H:$H, MATCH($D225, 'Local Data Previous Year'!$D:$D, 0)), "")</f>
        <v/>
      </c>
      <c r="AJ225" s="209" t="str">
        <f t="shared" ref="AJ225:AJ288" si="42">IF(AG225=H225,"","change")</f>
        <v/>
      </c>
      <c r="AK225" s="209" t="str">
        <f t="shared" ref="AK225:AK288" si="43">IF(AH225=J225,"","change")</f>
        <v/>
      </c>
      <c r="AL225" s="209" t="str">
        <f t="shared" ref="AL225:AL288" si="44">IF(AI225=L225,"","change")</f>
        <v/>
      </c>
      <c r="AM225" s="208" t="str">
        <f>IF($AN225="","",IFERROR(VLOOKUP(CONCATENATE(CTR1_Billing!$E$20,$AN225),'Local Data Previous Year'!$C$3:$D$50000,2,0),CTR1_Billing!$E$21&amp;"NEW"))</f>
        <v/>
      </c>
      <c r="AN225" s="209" t="str" cm="1">
        <f t="array" ref="AN225">IF(ISERROR(INDEX('Local Data Previous Year'!$E$3:$E$50000, SMALL(IF(CTR1_Billing!$E$21='Local Data Previous Year'!$A$3:$A$50000, ROW('Local Data Previous Year'!$A$3:$A$50000)-ROW('Local Data Previous Year'!$A$3)+1), ROW(193:193)))), "", INDEX('Local Data Previous Year'!$E$3:$E$50000, SMALL(IF(CTR1_Billing!$E$21='Local Data Previous Year'!$A$3:$A$50000, ROW('Local Data Previous Year'!$A$3:$A$50000)-ROW('Local Data Previous Year'!$A$3)+1), ROW(193:193))))</f>
        <v/>
      </c>
      <c r="AO225" s="209" t="str">
        <f t="shared" ref="AO225:AO288" si="45">IF(AN225=E225,"","change")</f>
        <v/>
      </c>
      <c r="AP225" s="208"/>
      <c r="AQ225" s="209" t="str">
        <f t="shared" ref="AQ225:AQ288" si="46">IFERROR(J225*1.1,"")</f>
        <v/>
      </c>
      <c r="AR225" s="209" t="str">
        <f t="shared" ref="AR225:AR288" si="47">IFERROR(J225*0.9,"")</f>
        <v/>
      </c>
      <c r="AS225" s="202" t="str">
        <f t="shared" ref="AS225:AS288" si="48">IFERROR(L225+20,"")</f>
        <v/>
      </c>
      <c r="AT225" s="202" t="str">
        <f t="shared" ref="AT225:AT288" si="49">IFERROR(L225-20,"")</f>
        <v/>
      </c>
      <c r="AU225" s="208"/>
      <c r="AV225" s="208"/>
      <c r="AW225" s="208"/>
      <c r="AX225" s="208"/>
      <c r="AY225" s="208"/>
      <c r="AZ225" s="208"/>
      <c r="BA225" s="208"/>
      <c r="BB225" s="208"/>
      <c r="BC225" s="208"/>
      <c r="BD225" s="208"/>
      <c r="BE225" s="208"/>
      <c r="BF225" s="208"/>
      <c r="BG225" s="28"/>
      <c r="BH225" s="28"/>
      <c r="BI225" s="28"/>
      <c r="BJ225" s="28"/>
    </row>
    <row r="226" spans="1:62" s="23" customFormat="1" ht="21" customHeight="1" thickBot="1" x14ac:dyDescent="0.25">
      <c r="A226" s="846" t="str">
        <f>IF($AN226="","",IFERROR(VLOOKUP(CONCATENATE(CTR1_Billing!$E$20,$AN226),'Local Data Previous Year'!$C$3:$D$20000,2,0),CTR1_Billing!$E$21&amp;"NEW"))</f>
        <v/>
      </c>
      <c r="B226" s="846" t="str">
        <f>IF($E226="","",IFERROR(VLOOKUP(CONCATENATE(CTR1_Billing!$E$20,CTR1_Local!$E226),'Local Data Previous Year'!$C$3:$D$20000,2,0),CTR1_Billing!$E$21&amp;"NEW"))</f>
        <v/>
      </c>
      <c r="C226" s="846">
        <v>194</v>
      </c>
      <c r="D226" s="755" t="str" cm="1">
        <f t="array" ref="D226">IF(ISERROR(INDEX('Local Data Previous Year'!$D$3:$D$20000,SMALL(IF(CTR1_Billing!$E$21='Local Data Previous Year'!$A$3:$A$20000,ROW('Local Data Previous Year'!$A$3:$A$20000)-ROW('Local Data Previous Year'!$A$3)+1),ROW(194:194)))),"",INDEX('Local Data Previous Year'!$D$3:$D$20000,SMALL(IF(CTR1_Billing!$E$21='Local Data Previous Year'!$A$3:$A$20000,ROW('Local Data Previous Year'!$A$3:$A$20000)-ROW('Local Data Previous Year'!$A$3)+1),ROW(194:194))))</f>
        <v/>
      </c>
      <c r="E226" s="755" t="str" cm="1">
        <f t="array" ref="E226">IF(ISERROR(INDEX('Local Data Previous Year'!$E$3:$E$20000,SMALL(IF(CTR1_Billing!$E$21='Local Data Previous Year'!$A$3:$A$20000,ROW('Local Data Previous Year'!$A$3:$A$20000)-ROW('Local Data Previous Year'!$A$3)+1),ROW(194:194)))),"",INDEX('Local Data Previous Year'!$E$3:$E$20000,SMALL(IF(CTR1_Billing!$E$21='Local Data Previous Year'!$A$3:$A$20000,ROW('Local Data Previous Year'!$A$3:$A$20000)-ROW('Local Data Previous Year'!$A$3)+1),ROW(194:194))))</f>
        <v/>
      </c>
      <c r="F226" s="756" t="str">
        <f>IF($D226="","",IF(ISNA(MATCH($D226,'Local Data Previous Year'!$D$3:$D$20000,0)),"New",IFERROR(VLOOKUP($B226,'Local Data Previous Year'!$D$3:$I$20000,6,0),"")))</f>
        <v/>
      </c>
      <c r="G226" s="757">
        <f t="shared" ref="G226:G289" si="50">IF(F226="Charter Trustee",1,0)</f>
        <v>0</v>
      </c>
      <c r="H226" s="758" t="str">
        <f>IFERROR(INDEX('Local Data Previous Year'!$F:$F, MATCH($D226, 'Local Data Previous Year'!$D:$D, 0)), "")</f>
        <v/>
      </c>
      <c r="I226" s="759">
        <f>IF(B226=CTR1_Billing!$E$21&amp;"NEW",1,0)</f>
        <v>0</v>
      </c>
      <c r="J226" s="760" t="str">
        <f>IFERROR(INDEX('Local Data Previous Year'!$G:$G, MATCH($D226, 'Local Data Previous Year'!$D:$D, 0)), "")</f>
        <v/>
      </c>
      <c r="K226" s="762"/>
      <c r="L226" s="760" t="str">
        <f>IFERROR(INDEX('Local Data Previous Year'!$H:$H, MATCH($D226, 'Local Data Previous Year'!$D:$D, 0)), "")</f>
        <v/>
      </c>
      <c r="M226" s="762"/>
      <c r="N226" s="763"/>
      <c r="O226" s="767"/>
      <c r="P226" s="765"/>
      <c r="Q226" s="767"/>
      <c r="R226" s="766" t="str">
        <f t="shared" si="38"/>
        <v/>
      </c>
      <c r="S226" s="754"/>
      <c r="T226" s="763"/>
      <c r="U226" s="754"/>
      <c r="V226" s="763"/>
      <c r="W226" s="763"/>
      <c r="X226" s="865" t="str">
        <f>VLOOKUP(CTR1_Billing!$E$21,Data!$C$6:$D$302,1,FALSE)</f>
        <v>EZZZZ</v>
      </c>
      <c r="Y226" s="205"/>
      <c r="Z226" s="205">
        <f t="shared" si="39"/>
        <v>0</v>
      </c>
      <c r="AA226" s="206" t="str">
        <f t="shared" si="40"/>
        <v/>
      </c>
      <c r="AB226" s="205">
        <f t="shared" si="41"/>
        <v>0</v>
      </c>
      <c r="AC226" s="208"/>
      <c r="AD226" s="208"/>
      <c r="AE226" s="208"/>
      <c r="AF226" s="208"/>
      <c r="AG226" s="209" t="str">
        <f>IFERROR(INDEX('Local Data Previous Year'!$F:$F, MATCH($D226, 'Local Data Previous Year'!$D:$D, 0)), "")</f>
        <v/>
      </c>
      <c r="AH226" s="209" t="str">
        <f>IFERROR(INDEX('Local Data Previous Year'!$G:$G, MATCH($D226, 'Local Data Previous Year'!$D:$D, 0)), "")</f>
        <v/>
      </c>
      <c r="AI226" s="209" t="str">
        <f>IFERROR(INDEX('Local Data Previous Year'!$H:$H, MATCH($D226, 'Local Data Previous Year'!$D:$D, 0)), "")</f>
        <v/>
      </c>
      <c r="AJ226" s="209" t="str">
        <f t="shared" si="42"/>
        <v/>
      </c>
      <c r="AK226" s="209" t="str">
        <f t="shared" si="43"/>
        <v/>
      </c>
      <c r="AL226" s="209" t="str">
        <f t="shared" si="44"/>
        <v/>
      </c>
      <c r="AM226" s="208" t="str">
        <f>IF($AN226="","",IFERROR(VLOOKUP(CONCATENATE(CTR1_Billing!$E$20,$AN226),'Local Data Previous Year'!$C$3:$D$50000,2,0),CTR1_Billing!$E$21&amp;"NEW"))</f>
        <v/>
      </c>
      <c r="AN226" s="209" t="str" cm="1">
        <f t="array" ref="AN226">IF(ISERROR(INDEX('Local Data Previous Year'!$E$3:$E$50000, SMALL(IF(CTR1_Billing!$E$21='Local Data Previous Year'!$A$3:$A$50000, ROW('Local Data Previous Year'!$A$3:$A$50000)-ROW('Local Data Previous Year'!$A$3)+1), ROW(194:194)))), "", INDEX('Local Data Previous Year'!$E$3:$E$50000, SMALL(IF(CTR1_Billing!$E$21='Local Data Previous Year'!$A$3:$A$50000, ROW('Local Data Previous Year'!$A$3:$A$50000)-ROW('Local Data Previous Year'!$A$3)+1), ROW(194:194))))</f>
        <v/>
      </c>
      <c r="AO226" s="209" t="str">
        <f t="shared" si="45"/>
        <v/>
      </c>
      <c r="AP226" s="208"/>
      <c r="AQ226" s="209" t="str">
        <f t="shared" si="46"/>
        <v/>
      </c>
      <c r="AR226" s="209" t="str">
        <f t="shared" si="47"/>
        <v/>
      </c>
      <c r="AS226" s="202" t="str">
        <f t="shared" si="48"/>
        <v/>
      </c>
      <c r="AT226" s="202" t="str">
        <f t="shared" si="49"/>
        <v/>
      </c>
      <c r="AU226" s="208"/>
      <c r="AV226" s="208"/>
      <c r="AW226" s="208"/>
      <c r="AX226" s="208"/>
      <c r="AY226" s="208"/>
      <c r="AZ226" s="208"/>
      <c r="BA226" s="208"/>
      <c r="BB226" s="208"/>
      <c r="BC226" s="208"/>
      <c r="BD226" s="208"/>
      <c r="BE226" s="208"/>
      <c r="BF226" s="208"/>
      <c r="BG226" s="28"/>
      <c r="BH226" s="28"/>
      <c r="BI226" s="28"/>
      <c r="BJ226" s="28"/>
    </row>
    <row r="227" spans="1:62" s="23" customFormat="1" ht="21" customHeight="1" thickBot="1" x14ac:dyDescent="0.25">
      <c r="A227" s="846" t="str">
        <f>IF($AN227="","",IFERROR(VLOOKUP(CONCATENATE(CTR1_Billing!$E$20,$AN227),'Local Data Previous Year'!$C$3:$D$20000,2,0),CTR1_Billing!$E$21&amp;"NEW"))</f>
        <v/>
      </c>
      <c r="B227" s="846" t="str">
        <f>IF($E227="","",IFERROR(VLOOKUP(CONCATENATE(CTR1_Billing!$E$20,CTR1_Local!$E227),'Local Data Previous Year'!$C$3:$D$20000,2,0),CTR1_Billing!$E$21&amp;"NEW"))</f>
        <v/>
      </c>
      <c r="C227" s="846">
        <v>195</v>
      </c>
      <c r="D227" s="755" t="str" cm="1">
        <f t="array" ref="D227">IF(ISERROR(INDEX('Local Data Previous Year'!$D$3:$D$20000,SMALL(IF(CTR1_Billing!$E$21='Local Data Previous Year'!$A$3:$A$20000,ROW('Local Data Previous Year'!$A$3:$A$20000)-ROW('Local Data Previous Year'!$A$3)+1),ROW(195:195)))),"",INDEX('Local Data Previous Year'!$D$3:$D$20000,SMALL(IF(CTR1_Billing!$E$21='Local Data Previous Year'!$A$3:$A$20000,ROW('Local Data Previous Year'!$A$3:$A$20000)-ROW('Local Data Previous Year'!$A$3)+1),ROW(195:195))))</f>
        <v/>
      </c>
      <c r="E227" s="755" t="str" cm="1">
        <f t="array" ref="E227">IF(ISERROR(INDEX('Local Data Previous Year'!$E$3:$E$20000,SMALL(IF(CTR1_Billing!$E$21='Local Data Previous Year'!$A$3:$A$20000,ROW('Local Data Previous Year'!$A$3:$A$20000)-ROW('Local Data Previous Year'!$A$3)+1),ROW(195:195)))),"",INDEX('Local Data Previous Year'!$E$3:$E$20000,SMALL(IF(CTR1_Billing!$E$21='Local Data Previous Year'!$A$3:$A$20000,ROW('Local Data Previous Year'!$A$3:$A$20000)-ROW('Local Data Previous Year'!$A$3)+1),ROW(195:195))))</f>
        <v/>
      </c>
      <c r="F227" s="756" t="str">
        <f>IF($D227="","",IF(ISNA(MATCH($D227,'Local Data Previous Year'!$D$3:$D$20000,0)),"New",IFERROR(VLOOKUP($B227,'Local Data Previous Year'!$D$3:$I$20000,6,0),"")))</f>
        <v/>
      </c>
      <c r="G227" s="757">
        <f t="shared" si="50"/>
        <v>0</v>
      </c>
      <c r="H227" s="758" t="str">
        <f>IFERROR(INDEX('Local Data Previous Year'!$F:$F, MATCH($D227, 'Local Data Previous Year'!$D:$D, 0)), "")</f>
        <v/>
      </c>
      <c r="I227" s="759">
        <f>IF(B227=CTR1_Billing!$E$21&amp;"NEW",1,0)</f>
        <v>0</v>
      </c>
      <c r="J227" s="760" t="str">
        <f>IFERROR(INDEX('Local Data Previous Year'!$G:$G, MATCH($D227, 'Local Data Previous Year'!$D:$D, 0)), "")</f>
        <v/>
      </c>
      <c r="K227" s="762"/>
      <c r="L227" s="760" t="str">
        <f>IFERROR(INDEX('Local Data Previous Year'!$H:$H, MATCH($D227, 'Local Data Previous Year'!$D:$D, 0)), "")</f>
        <v/>
      </c>
      <c r="M227" s="762"/>
      <c r="N227" s="763"/>
      <c r="O227" s="767"/>
      <c r="P227" s="765"/>
      <c r="Q227" s="767"/>
      <c r="R227" s="766" t="str">
        <f t="shared" ref="R227:R290" si="51">+IF(N227="","",IF(N227+P227=0,0,+N227/P227))</f>
        <v/>
      </c>
      <c r="S227" s="754"/>
      <c r="T227" s="763"/>
      <c r="U227" s="754"/>
      <c r="V227" s="763"/>
      <c r="W227" s="763"/>
      <c r="X227" s="865" t="str">
        <f>VLOOKUP(CTR1_Billing!$E$21,Data!$C$6:$D$302,1,FALSE)</f>
        <v>EZZZZ</v>
      </c>
      <c r="Y227" s="205"/>
      <c r="Z227" s="205">
        <f t="shared" si="39"/>
        <v>0</v>
      </c>
      <c r="AA227" s="206" t="str">
        <f t="shared" si="40"/>
        <v/>
      </c>
      <c r="AB227" s="205">
        <f t="shared" si="41"/>
        <v>0</v>
      </c>
      <c r="AC227" s="208"/>
      <c r="AD227" s="208"/>
      <c r="AE227" s="208"/>
      <c r="AF227" s="208"/>
      <c r="AG227" s="209" t="str">
        <f>IFERROR(INDEX('Local Data Previous Year'!$F:$F, MATCH($D227, 'Local Data Previous Year'!$D:$D, 0)), "")</f>
        <v/>
      </c>
      <c r="AH227" s="209" t="str">
        <f>IFERROR(INDEX('Local Data Previous Year'!$G:$G, MATCH($D227, 'Local Data Previous Year'!$D:$D, 0)), "")</f>
        <v/>
      </c>
      <c r="AI227" s="209" t="str">
        <f>IFERROR(INDEX('Local Data Previous Year'!$H:$H, MATCH($D227, 'Local Data Previous Year'!$D:$D, 0)), "")</f>
        <v/>
      </c>
      <c r="AJ227" s="209" t="str">
        <f t="shared" si="42"/>
        <v/>
      </c>
      <c r="AK227" s="209" t="str">
        <f t="shared" si="43"/>
        <v/>
      </c>
      <c r="AL227" s="209" t="str">
        <f t="shared" si="44"/>
        <v/>
      </c>
      <c r="AM227" s="208" t="str">
        <f>IF($AN227="","",IFERROR(VLOOKUP(CONCATENATE(CTR1_Billing!$E$20,$AN227),'Local Data Previous Year'!$C$3:$D$50000,2,0),CTR1_Billing!$E$21&amp;"NEW"))</f>
        <v/>
      </c>
      <c r="AN227" s="209" t="str" cm="1">
        <f t="array" ref="AN227">IF(ISERROR(INDEX('Local Data Previous Year'!$E$3:$E$50000, SMALL(IF(CTR1_Billing!$E$21='Local Data Previous Year'!$A$3:$A$50000, ROW('Local Data Previous Year'!$A$3:$A$50000)-ROW('Local Data Previous Year'!$A$3)+1), ROW(195:195)))), "", INDEX('Local Data Previous Year'!$E$3:$E$50000, SMALL(IF(CTR1_Billing!$E$21='Local Data Previous Year'!$A$3:$A$50000, ROW('Local Data Previous Year'!$A$3:$A$50000)-ROW('Local Data Previous Year'!$A$3)+1), ROW(195:195))))</f>
        <v/>
      </c>
      <c r="AO227" s="209" t="str">
        <f t="shared" si="45"/>
        <v/>
      </c>
      <c r="AP227" s="208"/>
      <c r="AQ227" s="209" t="str">
        <f t="shared" si="46"/>
        <v/>
      </c>
      <c r="AR227" s="209" t="str">
        <f t="shared" si="47"/>
        <v/>
      </c>
      <c r="AS227" s="202" t="str">
        <f t="shared" si="48"/>
        <v/>
      </c>
      <c r="AT227" s="202" t="str">
        <f t="shared" si="49"/>
        <v/>
      </c>
      <c r="AU227" s="208"/>
      <c r="AV227" s="208"/>
      <c r="AW227" s="208"/>
      <c r="AX227" s="208"/>
      <c r="AY227" s="208"/>
      <c r="AZ227" s="208"/>
      <c r="BA227" s="208"/>
      <c r="BB227" s="208"/>
      <c r="BC227" s="208"/>
      <c r="BD227" s="208"/>
      <c r="BE227" s="208"/>
      <c r="BF227" s="208"/>
      <c r="BG227" s="28"/>
      <c r="BH227" s="28"/>
      <c r="BI227" s="28"/>
      <c r="BJ227" s="28"/>
    </row>
    <row r="228" spans="1:62" s="23" customFormat="1" ht="21" customHeight="1" thickBot="1" x14ac:dyDescent="0.25">
      <c r="A228" s="846" t="str">
        <f>IF($AN228="","",IFERROR(VLOOKUP(CONCATENATE(CTR1_Billing!$E$20,$AN228),'Local Data Previous Year'!$C$3:$D$20000,2,0),CTR1_Billing!$E$21&amp;"NEW"))</f>
        <v/>
      </c>
      <c r="B228" s="846" t="str">
        <f>IF($E228="","",IFERROR(VLOOKUP(CONCATENATE(CTR1_Billing!$E$20,CTR1_Local!$E228),'Local Data Previous Year'!$C$3:$D$20000,2,0),CTR1_Billing!$E$21&amp;"NEW"))</f>
        <v/>
      </c>
      <c r="C228" s="846">
        <v>196</v>
      </c>
      <c r="D228" s="755" t="str" cm="1">
        <f t="array" ref="D228">IF(ISERROR(INDEX('Local Data Previous Year'!$D$3:$D$20000,SMALL(IF(CTR1_Billing!$E$21='Local Data Previous Year'!$A$3:$A$20000,ROW('Local Data Previous Year'!$A$3:$A$20000)-ROW('Local Data Previous Year'!$A$3)+1),ROW(196:196)))),"",INDEX('Local Data Previous Year'!$D$3:$D$20000,SMALL(IF(CTR1_Billing!$E$21='Local Data Previous Year'!$A$3:$A$20000,ROW('Local Data Previous Year'!$A$3:$A$20000)-ROW('Local Data Previous Year'!$A$3)+1),ROW(196:196))))</f>
        <v/>
      </c>
      <c r="E228" s="755" t="str" cm="1">
        <f t="array" ref="E228">IF(ISERROR(INDEX('Local Data Previous Year'!$E$3:$E$20000,SMALL(IF(CTR1_Billing!$E$21='Local Data Previous Year'!$A$3:$A$20000,ROW('Local Data Previous Year'!$A$3:$A$20000)-ROW('Local Data Previous Year'!$A$3)+1),ROW(196:196)))),"",INDEX('Local Data Previous Year'!$E$3:$E$20000,SMALL(IF(CTR1_Billing!$E$21='Local Data Previous Year'!$A$3:$A$20000,ROW('Local Data Previous Year'!$A$3:$A$20000)-ROW('Local Data Previous Year'!$A$3)+1),ROW(196:196))))</f>
        <v/>
      </c>
      <c r="F228" s="756" t="str">
        <f>IF($D228="","",IF(ISNA(MATCH($D228,'Local Data Previous Year'!$D$3:$D$20000,0)),"New",IFERROR(VLOOKUP($B228,'Local Data Previous Year'!$D$3:$I$20000,6,0),"")))</f>
        <v/>
      </c>
      <c r="G228" s="757">
        <f t="shared" si="50"/>
        <v>0</v>
      </c>
      <c r="H228" s="758" t="str">
        <f>IFERROR(INDEX('Local Data Previous Year'!$F:$F, MATCH($D228, 'Local Data Previous Year'!$D:$D, 0)), "")</f>
        <v/>
      </c>
      <c r="I228" s="759">
        <f>IF(B228=CTR1_Billing!$E$21&amp;"NEW",1,0)</f>
        <v>0</v>
      </c>
      <c r="J228" s="760" t="str">
        <f>IFERROR(INDEX('Local Data Previous Year'!$G:$G, MATCH($D228, 'Local Data Previous Year'!$D:$D, 0)), "")</f>
        <v/>
      </c>
      <c r="K228" s="762"/>
      <c r="L228" s="760" t="str">
        <f>IFERROR(INDEX('Local Data Previous Year'!$H:$H, MATCH($D228, 'Local Data Previous Year'!$D:$D, 0)), "")</f>
        <v/>
      </c>
      <c r="M228" s="762"/>
      <c r="N228" s="763"/>
      <c r="O228" s="767"/>
      <c r="P228" s="765"/>
      <c r="Q228" s="767"/>
      <c r="R228" s="766" t="str">
        <f t="shared" si="51"/>
        <v/>
      </c>
      <c r="S228" s="754"/>
      <c r="T228" s="763"/>
      <c r="U228" s="754"/>
      <c r="V228" s="763"/>
      <c r="W228" s="763"/>
      <c r="X228" s="865" t="str">
        <f>VLOOKUP(CTR1_Billing!$E$21,Data!$C$6:$D$302,1,FALSE)</f>
        <v>EZZZZ</v>
      </c>
      <c r="Y228" s="205"/>
      <c r="Z228" s="205">
        <f t="shared" si="39"/>
        <v>0</v>
      </c>
      <c r="AA228" s="206" t="str">
        <f t="shared" si="40"/>
        <v/>
      </c>
      <c r="AB228" s="205">
        <f t="shared" si="41"/>
        <v>0</v>
      </c>
      <c r="AC228" s="208"/>
      <c r="AD228" s="208"/>
      <c r="AE228" s="208"/>
      <c r="AF228" s="208"/>
      <c r="AG228" s="209" t="str">
        <f>IFERROR(INDEX('Local Data Previous Year'!$F:$F, MATCH($D228, 'Local Data Previous Year'!$D:$D, 0)), "")</f>
        <v/>
      </c>
      <c r="AH228" s="209" t="str">
        <f>IFERROR(INDEX('Local Data Previous Year'!$G:$G, MATCH($D228, 'Local Data Previous Year'!$D:$D, 0)), "")</f>
        <v/>
      </c>
      <c r="AI228" s="209" t="str">
        <f>IFERROR(INDEX('Local Data Previous Year'!$H:$H, MATCH($D228, 'Local Data Previous Year'!$D:$D, 0)), "")</f>
        <v/>
      </c>
      <c r="AJ228" s="209" t="str">
        <f t="shared" si="42"/>
        <v/>
      </c>
      <c r="AK228" s="209" t="str">
        <f t="shared" si="43"/>
        <v/>
      </c>
      <c r="AL228" s="209" t="str">
        <f t="shared" si="44"/>
        <v/>
      </c>
      <c r="AM228" s="208" t="str">
        <f>IF($AN228="","",IFERROR(VLOOKUP(CONCATENATE(CTR1_Billing!$E$20,$AN228),'Local Data Previous Year'!$C$3:$D$50000,2,0),CTR1_Billing!$E$21&amp;"NEW"))</f>
        <v/>
      </c>
      <c r="AN228" s="209" t="str" cm="1">
        <f t="array" ref="AN228">IF(ISERROR(INDEX('Local Data Previous Year'!$E$3:$E$50000, SMALL(IF(CTR1_Billing!$E$21='Local Data Previous Year'!$A$3:$A$50000, ROW('Local Data Previous Year'!$A$3:$A$50000)-ROW('Local Data Previous Year'!$A$3)+1), ROW(196:196)))), "", INDEX('Local Data Previous Year'!$E$3:$E$50000, SMALL(IF(CTR1_Billing!$E$21='Local Data Previous Year'!$A$3:$A$50000, ROW('Local Data Previous Year'!$A$3:$A$50000)-ROW('Local Data Previous Year'!$A$3)+1), ROW(196:196))))</f>
        <v/>
      </c>
      <c r="AO228" s="209" t="str">
        <f t="shared" si="45"/>
        <v/>
      </c>
      <c r="AP228" s="208"/>
      <c r="AQ228" s="209" t="str">
        <f t="shared" si="46"/>
        <v/>
      </c>
      <c r="AR228" s="209" t="str">
        <f t="shared" si="47"/>
        <v/>
      </c>
      <c r="AS228" s="202" t="str">
        <f t="shared" si="48"/>
        <v/>
      </c>
      <c r="AT228" s="202" t="str">
        <f t="shared" si="49"/>
        <v/>
      </c>
      <c r="AU228" s="208"/>
      <c r="AV228" s="208"/>
      <c r="AW228" s="208"/>
      <c r="AX228" s="208"/>
      <c r="AY228" s="208"/>
      <c r="AZ228" s="208"/>
      <c r="BA228" s="208"/>
      <c r="BB228" s="208"/>
      <c r="BC228" s="208"/>
      <c r="BD228" s="208"/>
      <c r="BE228" s="208"/>
      <c r="BF228" s="208"/>
      <c r="BG228" s="28"/>
      <c r="BH228" s="28"/>
      <c r="BI228" s="28"/>
      <c r="BJ228" s="28"/>
    </row>
    <row r="229" spans="1:62" s="23" customFormat="1" ht="21" customHeight="1" thickBot="1" x14ac:dyDescent="0.25">
      <c r="A229" s="846" t="str">
        <f>IF($AN229="","",IFERROR(VLOOKUP(CONCATENATE(CTR1_Billing!$E$20,$AN229),'Local Data Previous Year'!$C$3:$D$20000,2,0),CTR1_Billing!$E$21&amp;"NEW"))</f>
        <v/>
      </c>
      <c r="B229" s="846" t="str">
        <f>IF($E229="","",IFERROR(VLOOKUP(CONCATENATE(CTR1_Billing!$E$20,CTR1_Local!$E229),'Local Data Previous Year'!$C$3:$D$20000,2,0),CTR1_Billing!$E$21&amp;"NEW"))</f>
        <v/>
      </c>
      <c r="C229" s="846">
        <v>197</v>
      </c>
      <c r="D229" s="755" t="str" cm="1">
        <f t="array" ref="D229">IF(ISERROR(INDEX('Local Data Previous Year'!$D$3:$D$20000,SMALL(IF(CTR1_Billing!$E$21='Local Data Previous Year'!$A$3:$A$20000,ROW('Local Data Previous Year'!$A$3:$A$20000)-ROW('Local Data Previous Year'!$A$3)+1),ROW(197:197)))),"",INDEX('Local Data Previous Year'!$D$3:$D$20000,SMALL(IF(CTR1_Billing!$E$21='Local Data Previous Year'!$A$3:$A$20000,ROW('Local Data Previous Year'!$A$3:$A$20000)-ROW('Local Data Previous Year'!$A$3)+1),ROW(197:197))))</f>
        <v/>
      </c>
      <c r="E229" s="755" t="str" cm="1">
        <f t="array" ref="E229">IF(ISERROR(INDEX('Local Data Previous Year'!$E$3:$E$20000,SMALL(IF(CTR1_Billing!$E$21='Local Data Previous Year'!$A$3:$A$20000,ROW('Local Data Previous Year'!$A$3:$A$20000)-ROW('Local Data Previous Year'!$A$3)+1),ROW(197:197)))),"",INDEX('Local Data Previous Year'!$E$3:$E$20000,SMALL(IF(CTR1_Billing!$E$21='Local Data Previous Year'!$A$3:$A$20000,ROW('Local Data Previous Year'!$A$3:$A$20000)-ROW('Local Data Previous Year'!$A$3)+1),ROW(197:197))))</f>
        <v/>
      </c>
      <c r="F229" s="756" t="str">
        <f>IF($D229="","",IF(ISNA(MATCH($D229,'Local Data Previous Year'!$D$3:$D$20000,0)),"New",IFERROR(VLOOKUP($B229,'Local Data Previous Year'!$D$3:$I$20000,6,0),"")))</f>
        <v/>
      </c>
      <c r="G229" s="757">
        <f t="shared" si="50"/>
        <v>0</v>
      </c>
      <c r="H229" s="758" t="str">
        <f>IFERROR(INDEX('Local Data Previous Year'!$F:$F, MATCH($D229, 'Local Data Previous Year'!$D:$D, 0)), "")</f>
        <v/>
      </c>
      <c r="I229" s="759">
        <f>IF(B229=CTR1_Billing!$E$21&amp;"NEW",1,0)</f>
        <v>0</v>
      </c>
      <c r="J229" s="760" t="str">
        <f>IFERROR(INDEX('Local Data Previous Year'!$G:$G, MATCH($D229, 'Local Data Previous Year'!$D:$D, 0)), "")</f>
        <v/>
      </c>
      <c r="K229" s="762"/>
      <c r="L229" s="760" t="str">
        <f>IFERROR(INDEX('Local Data Previous Year'!$H:$H, MATCH($D229, 'Local Data Previous Year'!$D:$D, 0)), "")</f>
        <v/>
      </c>
      <c r="M229" s="762"/>
      <c r="N229" s="763"/>
      <c r="O229" s="767"/>
      <c r="P229" s="765"/>
      <c r="Q229" s="767"/>
      <c r="R229" s="766" t="str">
        <f t="shared" si="51"/>
        <v/>
      </c>
      <c r="S229" s="754"/>
      <c r="T229" s="763"/>
      <c r="U229" s="754"/>
      <c r="V229" s="763"/>
      <c r="W229" s="763"/>
      <c r="X229" s="865" t="str">
        <f>VLOOKUP(CTR1_Billing!$E$21,Data!$C$6:$D$302,1,FALSE)</f>
        <v>EZZZZ</v>
      </c>
      <c r="Y229" s="205"/>
      <c r="Z229" s="205">
        <f t="shared" si="39"/>
        <v>0</v>
      </c>
      <c r="AA229" s="206" t="str">
        <f t="shared" si="40"/>
        <v/>
      </c>
      <c r="AB229" s="205">
        <f t="shared" si="41"/>
        <v>0</v>
      </c>
      <c r="AC229" s="208"/>
      <c r="AD229" s="208"/>
      <c r="AE229" s="208"/>
      <c r="AF229" s="208"/>
      <c r="AG229" s="209" t="str">
        <f>IFERROR(INDEX('Local Data Previous Year'!$F:$F, MATCH($D229, 'Local Data Previous Year'!$D:$D, 0)), "")</f>
        <v/>
      </c>
      <c r="AH229" s="209" t="str">
        <f>IFERROR(INDEX('Local Data Previous Year'!$G:$G, MATCH($D229, 'Local Data Previous Year'!$D:$D, 0)), "")</f>
        <v/>
      </c>
      <c r="AI229" s="209" t="str">
        <f>IFERROR(INDEX('Local Data Previous Year'!$H:$H, MATCH($D229, 'Local Data Previous Year'!$D:$D, 0)), "")</f>
        <v/>
      </c>
      <c r="AJ229" s="209" t="str">
        <f t="shared" si="42"/>
        <v/>
      </c>
      <c r="AK229" s="209" t="str">
        <f t="shared" si="43"/>
        <v/>
      </c>
      <c r="AL229" s="209" t="str">
        <f t="shared" si="44"/>
        <v/>
      </c>
      <c r="AM229" s="208" t="str">
        <f>IF($AN229="","",IFERROR(VLOOKUP(CONCATENATE(CTR1_Billing!$E$20,$AN229),'Local Data Previous Year'!$C$3:$D$50000,2,0),CTR1_Billing!$E$21&amp;"NEW"))</f>
        <v/>
      </c>
      <c r="AN229" s="209" t="str" cm="1">
        <f t="array" ref="AN229">IF(ISERROR(INDEX('Local Data Previous Year'!$E$3:$E$50000, SMALL(IF(CTR1_Billing!$E$21='Local Data Previous Year'!$A$3:$A$50000, ROW('Local Data Previous Year'!$A$3:$A$50000)-ROW('Local Data Previous Year'!$A$3)+1), ROW(197:197)))), "", INDEX('Local Data Previous Year'!$E$3:$E$50000, SMALL(IF(CTR1_Billing!$E$21='Local Data Previous Year'!$A$3:$A$50000, ROW('Local Data Previous Year'!$A$3:$A$50000)-ROW('Local Data Previous Year'!$A$3)+1), ROW(197:197))))</f>
        <v/>
      </c>
      <c r="AO229" s="209" t="str">
        <f t="shared" si="45"/>
        <v/>
      </c>
      <c r="AP229" s="208"/>
      <c r="AQ229" s="209" t="str">
        <f t="shared" si="46"/>
        <v/>
      </c>
      <c r="AR229" s="209" t="str">
        <f t="shared" si="47"/>
        <v/>
      </c>
      <c r="AS229" s="202" t="str">
        <f t="shared" si="48"/>
        <v/>
      </c>
      <c r="AT229" s="202" t="str">
        <f t="shared" si="49"/>
        <v/>
      </c>
      <c r="AU229" s="208"/>
      <c r="AV229" s="208"/>
      <c r="AW229" s="208"/>
      <c r="AX229" s="208"/>
      <c r="AY229" s="208"/>
      <c r="AZ229" s="208"/>
      <c r="BA229" s="208"/>
      <c r="BB229" s="208"/>
      <c r="BC229" s="208"/>
      <c r="BD229" s="208"/>
      <c r="BE229" s="208"/>
      <c r="BF229" s="208"/>
      <c r="BG229" s="28"/>
      <c r="BH229" s="28"/>
      <c r="BI229" s="28"/>
      <c r="BJ229" s="28"/>
    </row>
    <row r="230" spans="1:62" s="23" customFormat="1" ht="21" customHeight="1" thickBot="1" x14ac:dyDescent="0.25">
      <c r="A230" s="846" t="str">
        <f>IF($AN230="","",IFERROR(VLOOKUP(CONCATENATE(CTR1_Billing!$E$20,$AN230),'Local Data Previous Year'!$C$3:$D$20000,2,0),CTR1_Billing!$E$21&amp;"NEW"))</f>
        <v/>
      </c>
      <c r="B230" s="846" t="str">
        <f>IF($E230="","",IFERROR(VLOOKUP(CONCATENATE(CTR1_Billing!$E$20,CTR1_Local!$E230),'Local Data Previous Year'!$C$3:$D$20000,2,0),CTR1_Billing!$E$21&amp;"NEW"))</f>
        <v/>
      </c>
      <c r="C230" s="846">
        <v>198</v>
      </c>
      <c r="D230" s="755" t="str" cm="1">
        <f t="array" ref="D230">IF(ISERROR(INDEX('Local Data Previous Year'!$D$3:$D$20000,SMALL(IF(CTR1_Billing!$E$21='Local Data Previous Year'!$A$3:$A$20000,ROW('Local Data Previous Year'!$A$3:$A$20000)-ROW('Local Data Previous Year'!$A$3)+1),ROW(198:198)))),"",INDEX('Local Data Previous Year'!$D$3:$D$20000,SMALL(IF(CTR1_Billing!$E$21='Local Data Previous Year'!$A$3:$A$20000,ROW('Local Data Previous Year'!$A$3:$A$20000)-ROW('Local Data Previous Year'!$A$3)+1),ROW(198:198))))</f>
        <v/>
      </c>
      <c r="E230" s="755" t="str" cm="1">
        <f t="array" ref="E230">IF(ISERROR(INDEX('Local Data Previous Year'!$E$3:$E$20000,SMALL(IF(CTR1_Billing!$E$21='Local Data Previous Year'!$A$3:$A$20000,ROW('Local Data Previous Year'!$A$3:$A$20000)-ROW('Local Data Previous Year'!$A$3)+1),ROW(198:198)))),"",INDEX('Local Data Previous Year'!$E$3:$E$20000,SMALL(IF(CTR1_Billing!$E$21='Local Data Previous Year'!$A$3:$A$20000,ROW('Local Data Previous Year'!$A$3:$A$20000)-ROW('Local Data Previous Year'!$A$3)+1),ROW(198:198))))</f>
        <v/>
      </c>
      <c r="F230" s="756" t="str">
        <f>IF($D230="","",IF(ISNA(MATCH($D230,'Local Data Previous Year'!$D$3:$D$20000,0)),"New",IFERROR(VLOOKUP($B230,'Local Data Previous Year'!$D$3:$I$20000,6,0),"")))</f>
        <v/>
      </c>
      <c r="G230" s="757">
        <f t="shared" si="50"/>
        <v>0</v>
      </c>
      <c r="H230" s="758" t="str">
        <f>IFERROR(INDEX('Local Data Previous Year'!$F:$F, MATCH($D230, 'Local Data Previous Year'!$D:$D, 0)), "")</f>
        <v/>
      </c>
      <c r="I230" s="759">
        <f>IF(B230=CTR1_Billing!$E$21&amp;"NEW",1,0)</f>
        <v>0</v>
      </c>
      <c r="J230" s="760" t="str">
        <f>IFERROR(INDEX('Local Data Previous Year'!$G:$G, MATCH($D230, 'Local Data Previous Year'!$D:$D, 0)), "")</f>
        <v/>
      </c>
      <c r="K230" s="762"/>
      <c r="L230" s="760" t="str">
        <f>IFERROR(INDEX('Local Data Previous Year'!$H:$H, MATCH($D230, 'Local Data Previous Year'!$D:$D, 0)), "")</f>
        <v/>
      </c>
      <c r="M230" s="762"/>
      <c r="N230" s="763"/>
      <c r="O230" s="767"/>
      <c r="P230" s="765"/>
      <c r="Q230" s="767"/>
      <c r="R230" s="766" t="str">
        <f t="shared" si="51"/>
        <v/>
      </c>
      <c r="S230" s="754"/>
      <c r="T230" s="763"/>
      <c r="U230" s="754"/>
      <c r="V230" s="763"/>
      <c r="W230" s="763"/>
      <c r="X230" s="865" t="str">
        <f>VLOOKUP(CTR1_Billing!$E$21,Data!$C$6:$D$302,1,FALSE)</f>
        <v>EZZZZ</v>
      </c>
      <c r="Y230" s="205"/>
      <c r="Z230" s="205">
        <f t="shared" si="39"/>
        <v>0</v>
      </c>
      <c r="AA230" s="206" t="str">
        <f t="shared" si="40"/>
        <v/>
      </c>
      <c r="AB230" s="205">
        <f t="shared" si="41"/>
        <v>0</v>
      </c>
      <c r="AC230" s="208"/>
      <c r="AD230" s="208"/>
      <c r="AE230" s="208"/>
      <c r="AF230" s="208"/>
      <c r="AG230" s="209" t="str">
        <f>IFERROR(INDEX('Local Data Previous Year'!$F:$F, MATCH($D230, 'Local Data Previous Year'!$D:$D, 0)), "")</f>
        <v/>
      </c>
      <c r="AH230" s="209" t="str">
        <f>IFERROR(INDEX('Local Data Previous Year'!$G:$G, MATCH($D230, 'Local Data Previous Year'!$D:$D, 0)), "")</f>
        <v/>
      </c>
      <c r="AI230" s="209" t="str">
        <f>IFERROR(INDEX('Local Data Previous Year'!$H:$H, MATCH($D230, 'Local Data Previous Year'!$D:$D, 0)), "")</f>
        <v/>
      </c>
      <c r="AJ230" s="209" t="str">
        <f t="shared" si="42"/>
        <v/>
      </c>
      <c r="AK230" s="209" t="str">
        <f t="shared" si="43"/>
        <v/>
      </c>
      <c r="AL230" s="209" t="str">
        <f t="shared" si="44"/>
        <v/>
      </c>
      <c r="AM230" s="208" t="str">
        <f>IF($AN230="","",IFERROR(VLOOKUP(CONCATENATE(CTR1_Billing!$E$20,$AN230),'Local Data Previous Year'!$C$3:$D$50000,2,0),CTR1_Billing!$E$21&amp;"NEW"))</f>
        <v/>
      </c>
      <c r="AN230" s="209" t="str" cm="1">
        <f t="array" ref="AN230">IF(ISERROR(INDEX('Local Data Previous Year'!$E$3:$E$50000, SMALL(IF(CTR1_Billing!$E$21='Local Data Previous Year'!$A$3:$A$50000, ROW('Local Data Previous Year'!$A$3:$A$50000)-ROW('Local Data Previous Year'!$A$3)+1), ROW(198:198)))), "", INDEX('Local Data Previous Year'!$E$3:$E$50000, SMALL(IF(CTR1_Billing!$E$21='Local Data Previous Year'!$A$3:$A$50000, ROW('Local Data Previous Year'!$A$3:$A$50000)-ROW('Local Data Previous Year'!$A$3)+1), ROW(198:198))))</f>
        <v/>
      </c>
      <c r="AO230" s="209" t="str">
        <f t="shared" si="45"/>
        <v/>
      </c>
      <c r="AP230" s="208"/>
      <c r="AQ230" s="209" t="str">
        <f t="shared" si="46"/>
        <v/>
      </c>
      <c r="AR230" s="209" t="str">
        <f t="shared" si="47"/>
        <v/>
      </c>
      <c r="AS230" s="202" t="str">
        <f t="shared" si="48"/>
        <v/>
      </c>
      <c r="AT230" s="202" t="str">
        <f t="shared" si="49"/>
        <v/>
      </c>
      <c r="AU230" s="208"/>
      <c r="AV230" s="208"/>
      <c r="AW230" s="208"/>
      <c r="AX230" s="208"/>
      <c r="AY230" s="208"/>
      <c r="AZ230" s="208"/>
      <c r="BA230" s="208"/>
      <c r="BB230" s="208"/>
      <c r="BC230" s="208"/>
      <c r="BD230" s="208"/>
      <c r="BE230" s="208"/>
      <c r="BF230" s="208"/>
      <c r="BG230" s="28"/>
      <c r="BH230" s="28"/>
      <c r="BI230" s="28"/>
      <c r="BJ230" s="28"/>
    </row>
    <row r="231" spans="1:62" s="23" customFormat="1" ht="21" customHeight="1" thickBot="1" x14ac:dyDescent="0.25">
      <c r="A231" s="846" t="str">
        <f>IF($AN231="","",IFERROR(VLOOKUP(CONCATENATE(CTR1_Billing!$E$20,$AN231),'Local Data Previous Year'!$C$3:$D$20000,2,0),CTR1_Billing!$E$21&amp;"NEW"))</f>
        <v/>
      </c>
      <c r="B231" s="846" t="str">
        <f>IF($E231="","",IFERROR(VLOOKUP(CONCATENATE(CTR1_Billing!$E$20,CTR1_Local!$E231),'Local Data Previous Year'!$C$3:$D$20000,2,0),CTR1_Billing!$E$21&amp;"NEW"))</f>
        <v/>
      </c>
      <c r="C231" s="846">
        <v>199</v>
      </c>
      <c r="D231" s="755" t="str" cm="1">
        <f t="array" ref="D231">IF(ISERROR(INDEX('Local Data Previous Year'!$D$3:$D$20000,SMALL(IF(CTR1_Billing!$E$21='Local Data Previous Year'!$A$3:$A$20000,ROW('Local Data Previous Year'!$A$3:$A$20000)-ROW('Local Data Previous Year'!$A$3)+1),ROW(199:199)))),"",INDEX('Local Data Previous Year'!$D$3:$D$20000,SMALL(IF(CTR1_Billing!$E$21='Local Data Previous Year'!$A$3:$A$20000,ROW('Local Data Previous Year'!$A$3:$A$20000)-ROW('Local Data Previous Year'!$A$3)+1),ROW(199:199))))</f>
        <v/>
      </c>
      <c r="E231" s="755" t="str" cm="1">
        <f t="array" ref="E231">IF(ISERROR(INDEX('Local Data Previous Year'!$E$3:$E$20000,SMALL(IF(CTR1_Billing!$E$21='Local Data Previous Year'!$A$3:$A$20000,ROW('Local Data Previous Year'!$A$3:$A$20000)-ROW('Local Data Previous Year'!$A$3)+1),ROW(199:199)))),"",INDEX('Local Data Previous Year'!$E$3:$E$20000,SMALL(IF(CTR1_Billing!$E$21='Local Data Previous Year'!$A$3:$A$20000,ROW('Local Data Previous Year'!$A$3:$A$20000)-ROW('Local Data Previous Year'!$A$3)+1),ROW(199:199))))</f>
        <v/>
      </c>
      <c r="F231" s="756" t="str">
        <f>IF($D231="","",IF(ISNA(MATCH($D231,'Local Data Previous Year'!$D$3:$D$20000,0)),"New",IFERROR(VLOOKUP($B231,'Local Data Previous Year'!$D$3:$I$20000,6,0),"")))</f>
        <v/>
      </c>
      <c r="G231" s="757">
        <f t="shared" si="50"/>
        <v>0</v>
      </c>
      <c r="H231" s="758" t="str">
        <f>IFERROR(INDEX('Local Data Previous Year'!$F:$F, MATCH($D231, 'Local Data Previous Year'!$D:$D, 0)), "")</f>
        <v/>
      </c>
      <c r="I231" s="759">
        <f>IF(B231=CTR1_Billing!$E$21&amp;"NEW",1,0)</f>
        <v>0</v>
      </c>
      <c r="J231" s="760" t="str">
        <f>IFERROR(INDEX('Local Data Previous Year'!$G:$G, MATCH($D231, 'Local Data Previous Year'!$D:$D, 0)), "")</f>
        <v/>
      </c>
      <c r="K231" s="762"/>
      <c r="L231" s="760" t="str">
        <f>IFERROR(INDEX('Local Data Previous Year'!$H:$H, MATCH($D231, 'Local Data Previous Year'!$D:$D, 0)), "")</f>
        <v/>
      </c>
      <c r="M231" s="762"/>
      <c r="N231" s="763"/>
      <c r="O231" s="767"/>
      <c r="P231" s="765"/>
      <c r="Q231" s="767"/>
      <c r="R231" s="766" t="str">
        <f t="shared" si="51"/>
        <v/>
      </c>
      <c r="S231" s="754"/>
      <c r="T231" s="763"/>
      <c r="U231" s="754"/>
      <c r="V231" s="763"/>
      <c r="W231" s="763"/>
      <c r="X231" s="865" t="str">
        <f>VLOOKUP(CTR1_Billing!$E$21,Data!$C$6:$D$302,1,FALSE)</f>
        <v>EZZZZ</v>
      </c>
      <c r="Y231" s="205"/>
      <c r="Z231" s="205">
        <f t="shared" si="39"/>
        <v>0</v>
      </c>
      <c r="AA231" s="206" t="str">
        <f t="shared" si="40"/>
        <v/>
      </c>
      <c r="AB231" s="205">
        <f t="shared" si="41"/>
        <v>0</v>
      </c>
      <c r="AC231" s="208"/>
      <c r="AD231" s="208"/>
      <c r="AE231" s="208"/>
      <c r="AF231" s="208"/>
      <c r="AG231" s="209" t="str">
        <f>IFERROR(INDEX('Local Data Previous Year'!$F:$F, MATCH($D231, 'Local Data Previous Year'!$D:$D, 0)), "")</f>
        <v/>
      </c>
      <c r="AH231" s="209" t="str">
        <f>IFERROR(INDEX('Local Data Previous Year'!$G:$G, MATCH($D231, 'Local Data Previous Year'!$D:$D, 0)), "")</f>
        <v/>
      </c>
      <c r="AI231" s="209" t="str">
        <f>IFERROR(INDEX('Local Data Previous Year'!$H:$H, MATCH($D231, 'Local Data Previous Year'!$D:$D, 0)), "")</f>
        <v/>
      </c>
      <c r="AJ231" s="209" t="str">
        <f t="shared" si="42"/>
        <v/>
      </c>
      <c r="AK231" s="209" t="str">
        <f t="shared" si="43"/>
        <v/>
      </c>
      <c r="AL231" s="209" t="str">
        <f t="shared" si="44"/>
        <v/>
      </c>
      <c r="AM231" s="208" t="str">
        <f>IF($AN231="","",IFERROR(VLOOKUP(CONCATENATE(CTR1_Billing!$E$20,$AN231),'Local Data Previous Year'!$C$3:$D$50000,2,0),CTR1_Billing!$E$21&amp;"NEW"))</f>
        <v/>
      </c>
      <c r="AN231" s="209" t="str" cm="1">
        <f t="array" ref="AN231">IF(ISERROR(INDEX('Local Data Previous Year'!$E$3:$E$50000, SMALL(IF(CTR1_Billing!$E$21='Local Data Previous Year'!$A$3:$A$50000, ROW('Local Data Previous Year'!$A$3:$A$50000)-ROW('Local Data Previous Year'!$A$3)+1), ROW(199:199)))), "", INDEX('Local Data Previous Year'!$E$3:$E$50000, SMALL(IF(CTR1_Billing!$E$21='Local Data Previous Year'!$A$3:$A$50000, ROW('Local Data Previous Year'!$A$3:$A$50000)-ROW('Local Data Previous Year'!$A$3)+1), ROW(199:199))))</f>
        <v/>
      </c>
      <c r="AO231" s="209" t="str">
        <f t="shared" si="45"/>
        <v/>
      </c>
      <c r="AP231" s="208"/>
      <c r="AQ231" s="209" t="str">
        <f t="shared" si="46"/>
        <v/>
      </c>
      <c r="AR231" s="209" t="str">
        <f t="shared" si="47"/>
        <v/>
      </c>
      <c r="AS231" s="202" t="str">
        <f t="shared" si="48"/>
        <v/>
      </c>
      <c r="AT231" s="202" t="str">
        <f t="shared" si="49"/>
        <v/>
      </c>
      <c r="AU231" s="208"/>
      <c r="AV231" s="208"/>
      <c r="AW231" s="208"/>
      <c r="AX231" s="208"/>
      <c r="AY231" s="208"/>
      <c r="AZ231" s="208"/>
      <c r="BA231" s="208"/>
      <c r="BB231" s="208"/>
      <c r="BC231" s="208"/>
      <c r="BD231" s="208"/>
      <c r="BE231" s="208"/>
      <c r="BF231" s="208"/>
      <c r="BG231" s="28"/>
      <c r="BH231" s="28"/>
      <c r="BI231" s="28"/>
      <c r="BJ231" s="28"/>
    </row>
    <row r="232" spans="1:62" s="23" customFormat="1" ht="21" customHeight="1" thickBot="1" x14ac:dyDescent="0.25">
      <c r="A232" s="846" t="str">
        <f>IF($AN232="","",IFERROR(VLOOKUP(CONCATENATE(CTR1_Billing!$E$20,$AN232),'Local Data Previous Year'!$C$3:$D$20000,2,0),CTR1_Billing!$E$21&amp;"NEW"))</f>
        <v/>
      </c>
      <c r="B232" s="846" t="str">
        <f>IF($E232="","",IFERROR(VLOOKUP(CONCATENATE(CTR1_Billing!$E$20,CTR1_Local!$E232),'Local Data Previous Year'!$C$3:$D$20000,2,0),CTR1_Billing!$E$21&amp;"NEW"))</f>
        <v/>
      </c>
      <c r="C232" s="846">
        <v>200</v>
      </c>
      <c r="D232" s="755" t="str" cm="1">
        <f t="array" ref="D232">IF(ISERROR(INDEX('Local Data Previous Year'!$D$3:$D$20000,SMALL(IF(CTR1_Billing!$E$21='Local Data Previous Year'!$A$3:$A$20000,ROW('Local Data Previous Year'!$A$3:$A$20000)-ROW('Local Data Previous Year'!$A$3)+1),ROW(200:200)))),"",INDEX('Local Data Previous Year'!$D$3:$D$20000,SMALL(IF(CTR1_Billing!$E$21='Local Data Previous Year'!$A$3:$A$20000,ROW('Local Data Previous Year'!$A$3:$A$20000)-ROW('Local Data Previous Year'!$A$3)+1),ROW(200:200))))</f>
        <v/>
      </c>
      <c r="E232" s="755" t="str" cm="1">
        <f t="array" ref="E232">IF(ISERROR(INDEX('Local Data Previous Year'!$E$3:$E$20000,SMALL(IF(CTR1_Billing!$E$21='Local Data Previous Year'!$A$3:$A$20000,ROW('Local Data Previous Year'!$A$3:$A$20000)-ROW('Local Data Previous Year'!$A$3)+1),ROW(200:200)))),"",INDEX('Local Data Previous Year'!$E$3:$E$20000,SMALL(IF(CTR1_Billing!$E$21='Local Data Previous Year'!$A$3:$A$20000,ROW('Local Data Previous Year'!$A$3:$A$20000)-ROW('Local Data Previous Year'!$A$3)+1),ROW(200:200))))</f>
        <v/>
      </c>
      <c r="F232" s="756" t="str">
        <f>IF($D232="","",IF(ISNA(MATCH($D232,'Local Data Previous Year'!$D$3:$D$20000,0)),"New",IFERROR(VLOOKUP($B232,'Local Data Previous Year'!$D$3:$I$20000,6,0),"")))</f>
        <v/>
      </c>
      <c r="G232" s="757">
        <f t="shared" si="50"/>
        <v>0</v>
      </c>
      <c r="H232" s="758" t="str">
        <f>IFERROR(INDEX('Local Data Previous Year'!$F:$F, MATCH($D232, 'Local Data Previous Year'!$D:$D, 0)), "")</f>
        <v/>
      </c>
      <c r="I232" s="759">
        <f>IF(B232=CTR1_Billing!$E$21&amp;"NEW",1,0)</f>
        <v>0</v>
      </c>
      <c r="J232" s="760" t="str">
        <f>IFERROR(INDEX('Local Data Previous Year'!$G:$G, MATCH($D232, 'Local Data Previous Year'!$D:$D, 0)), "")</f>
        <v/>
      </c>
      <c r="K232" s="762"/>
      <c r="L232" s="760" t="str">
        <f>IFERROR(INDEX('Local Data Previous Year'!$H:$H, MATCH($D232, 'Local Data Previous Year'!$D:$D, 0)), "")</f>
        <v/>
      </c>
      <c r="M232" s="762"/>
      <c r="N232" s="763"/>
      <c r="O232" s="767"/>
      <c r="P232" s="765"/>
      <c r="Q232" s="767"/>
      <c r="R232" s="766" t="str">
        <f t="shared" si="51"/>
        <v/>
      </c>
      <c r="S232" s="754"/>
      <c r="T232" s="763"/>
      <c r="U232" s="754"/>
      <c r="V232" s="763"/>
      <c r="W232" s="763"/>
      <c r="X232" s="865" t="str">
        <f>VLOOKUP(CTR1_Billing!$E$21,Data!$C$6:$D$302,1,FALSE)</f>
        <v>EZZZZ</v>
      </c>
      <c r="Y232" s="205"/>
      <c r="Z232" s="205">
        <f t="shared" si="39"/>
        <v>0</v>
      </c>
      <c r="AA232" s="206" t="str">
        <f t="shared" si="40"/>
        <v/>
      </c>
      <c r="AB232" s="205">
        <f t="shared" si="41"/>
        <v>0</v>
      </c>
      <c r="AC232" s="208"/>
      <c r="AD232" s="208"/>
      <c r="AE232" s="208"/>
      <c r="AF232" s="208"/>
      <c r="AG232" s="209" t="str">
        <f>IFERROR(INDEX('Local Data Previous Year'!$F:$F, MATCH($D232, 'Local Data Previous Year'!$D:$D, 0)), "")</f>
        <v/>
      </c>
      <c r="AH232" s="209" t="str">
        <f>IFERROR(INDEX('Local Data Previous Year'!$G:$G, MATCH($D232, 'Local Data Previous Year'!$D:$D, 0)), "")</f>
        <v/>
      </c>
      <c r="AI232" s="209" t="str">
        <f>IFERROR(INDEX('Local Data Previous Year'!$H:$H, MATCH($D232, 'Local Data Previous Year'!$D:$D, 0)), "")</f>
        <v/>
      </c>
      <c r="AJ232" s="209" t="str">
        <f t="shared" si="42"/>
        <v/>
      </c>
      <c r="AK232" s="209" t="str">
        <f t="shared" si="43"/>
        <v/>
      </c>
      <c r="AL232" s="209" t="str">
        <f t="shared" si="44"/>
        <v/>
      </c>
      <c r="AM232" s="208" t="str">
        <f>IF($AN232="","",IFERROR(VLOOKUP(CONCATENATE(CTR1_Billing!$E$20,$AN232),'Local Data Previous Year'!$C$3:$D$50000,2,0),CTR1_Billing!$E$21&amp;"NEW"))</f>
        <v/>
      </c>
      <c r="AN232" s="209" t="str" cm="1">
        <f t="array" ref="AN232">IF(ISERROR(INDEX('Local Data Previous Year'!$E$3:$E$50000, SMALL(IF(CTR1_Billing!$E$21='Local Data Previous Year'!$A$3:$A$50000, ROW('Local Data Previous Year'!$A$3:$A$50000)-ROW('Local Data Previous Year'!$A$3)+1), ROW(200:200)))), "", INDEX('Local Data Previous Year'!$E$3:$E$50000, SMALL(IF(CTR1_Billing!$E$21='Local Data Previous Year'!$A$3:$A$50000, ROW('Local Data Previous Year'!$A$3:$A$50000)-ROW('Local Data Previous Year'!$A$3)+1), ROW(200:200))))</f>
        <v/>
      </c>
      <c r="AO232" s="209" t="str">
        <f t="shared" si="45"/>
        <v/>
      </c>
      <c r="AP232" s="208"/>
      <c r="AQ232" s="209" t="str">
        <f t="shared" si="46"/>
        <v/>
      </c>
      <c r="AR232" s="209" t="str">
        <f t="shared" si="47"/>
        <v/>
      </c>
      <c r="AS232" s="202" t="str">
        <f t="shared" si="48"/>
        <v/>
      </c>
      <c r="AT232" s="202" t="str">
        <f t="shared" si="49"/>
        <v/>
      </c>
      <c r="AU232" s="208"/>
      <c r="AV232" s="208"/>
      <c r="AW232" s="208"/>
      <c r="AX232" s="208"/>
      <c r="AY232" s="208"/>
      <c r="AZ232" s="208"/>
      <c r="BA232" s="208"/>
      <c r="BB232" s="208"/>
      <c r="BC232" s="208"/>
      <c r="BD232" s="208"/>
      <c r="BE232" s="208"/>
      <c r="BF232" s="208"/>
      <c r="BG232" s="28"/>
      <c r="BH232" s="28"/>
      <c r="BI232" s="28"/>
      <c r="BJ232" s="28"/>
    </row>
    <row r="233" spans="1:62" s="23" customFormat="1" ht="21" customHeight="1" thickBot="1" x14ac:dyDescent="0.25">
      <c r="A233" s="846" t="str">
        <f>IF($AN233="","",IFERROR(VLOOKUP(CONCATENATE(CTR1_Billing!$E$20,$AN233),'Local Data Previous Year'!$C$3:$D$20000,2,0),CTR1_Billing!$E$21&amp;"NEW"))</f>
        <v/>
      </c>
      <c r="B233" s="846" t="str">
        <f>IF($E233="","",IFERROR(VLOOKUP(CONCATENATE(CTR1_Billing!$E$20,CTR1_Local!$E233),'Local Data Previous Year'!$C$3:$D$20000,2,0),CTR1_Billing!$E$21&amp;"NEW"))</f>
        <v/>
      </c>
      <c r="C233" s="846">
        <v>201</v>
      </c>
      <c r="D233" s="755" t="str" cm="1">
        <f t="array" ref="D233">IF(ISERROR(INDEX('Local Data Previous Year'!$D$3:$D$20000,SMALL(IF(CTR1_Billing!$E$21='Local Data Previous Year'!$A$3:$A$20000,ROW('Local Data Previous Year'!$A$3:$A$20000)-ROW('Local Data Previous Year'!$A$3)+1),ROW(201:201)))),"",INDEX('Local Data Previous Year'!$D$3:$D$20000,SMALL(IF(CTR1_Billing!$E$21='Local Data Previous Year'!$A$3:$A$20000,ROW('Local Data Previous Year'!$A$3:$A$20000)-ROW('Local Data Previous Year'!$A$3)+1),ROW(201:201))))</f>
        <v/>
      </c>
      <c r="E233" s="755" t="str" cm="1">
        <f t="array" ref="E233">IF(ISERROR(INDEX('Local Data Previous Year'!$E$3:$E$20000,SMALL(IF(CTR1_Billing!$E$21='Local Data Previous Year'!$A$3:$A$20000,ROW('Local Data Previous Year'!$A$3:$A$20000)-ROW('Local Data Previous Year'!$A$3)+1),ROW(201:201)))),"",INDEX('Local Data Previous Year'!$E$3:$E$20000,SMALL(IF(CTR1_Billing!$E$21='Local Data Previous Year'!$A$3:$A$20000,ROW('Local Data Previous Year'!$A$3:$A$20000)-ROW('Local Data Previous Year'!$A$3)+1),ROW(201:201))))</f>
        <v/>
      </c>
      <c r="F233" s="756" t="str">
        <f>IF($D233="","",IF(ISNA(MATCH($D233,'Local Data Previous Year'!$D$3:$D$20000,0)),"New",IFERROR(VLOOKUP($B233,'Local Data Previous Year'!$D$3:$I$20000,6,0),"")))</f>
        <v/>
      </c>
      <c r="G233" s="757">
        <f t="shared" si="50"/>
        <v>0</v>
      </c>
      <c r="H233" s="758" t="str">
        <f>IFERROR(INDEX('Local Data Previous Year'!$F:$F, MATCH($D233, 'Local Data Previous Year'!$D:$D, 0)), "")</f>
        <v/>
      </c>
      <c r="I233" s="759">
        <f>IF(B233=CTR1_Billing!$E$21&amp;"NEW",1,0)</f>
        <v>0</v>
      </c>
      <c r="J233" s="760" t="str">
        <f>IFERROR(INDEX('Local Data Previous Year'!$G:$G, MATCH($D233, 'Local Data Previous Year'!$D:$D, 0)), "")</f>
        <v/>
      </c>
      <c r="K233" s="762"/>
      <c r="L233" s="760" t="str">
        <f>IFERROR(INDEX('Local Data Previous Year'!$H:$H, MATCH($D233, 'Local Data Previous Year'!$D:$D, 0)), "")</f>
        <v/>
      </c>
      <c r="M233" s="762"/>
      <c r="N233" s="763"/>
      <c r="O233" s="767"/>
      <c r="P233" s="765"/>
      <c r="Q233" s="767"/>
      <c r="R233" s="766" t="str">
        <f t="shared" si="51"/>
        <v/>
      </c>
      <c r="S233" s="754"/>
      <c r="T233" s="763"/>
      <c r="U233" s="754"/>
      <c r="V233" s="763"/>
      <c r="W233" s="763"/>
      <c r="X233" s="865" t="str">
        <f>VLOOKUP(CTR1_Billing!$E$21,Data!$C$6:$D$302,1,FALSE)</f>
        <v>EZZZZ</v>
      </c>
      <c r="Y233" s="205"/>
      <c r="Z233" s="205">
        <f t="shared" si="39"/>
        <v>0</v>
      </c>
      <c r="AA233" s="206" t="str">
        <f t="shared" si="40"/>
        <v/>
      </c>
      <c r="AB233" s="205">
        <f t="shared" si="41"/>
        <v>0</v>
      </c>
      <c r="AC233" s="208"/>
      <c r="AD233" s="208"/>
      <c r="AE233" s="208"/>
      <c r="AF233" s="208"/>
      <c r="AG233" s="209" t="str">
        <f>IFERROR(INDEX('Local Data Previous Year'!$F:$F, MATCH($D233, 'Local Data Previous Year'!$D:$D, 0)), "")</f>
        <v/>
      </c>
      <c r="AH233" s="209" t="str">
        <f>IFERROR(INDEX('Local Data Previous Year'!$G:$G, MATCH($D233, 'Local Data Previous Year'!$D:$D, 0)), "")</f>
        <v/>
      </c>
      <c r="AI233" s="209" t="str">
        <f>IFERROR(INDEX('Local Data Previous Year'!$H:$H, MATCH($D233, 'Local Data Previous Year'!$D:$D, 0)), "")</f>
        <v/>
      </c>
      <c r="AJ233" s="209" t="str">
        <f t="shared" si="42"/>
        <v/>
      </c>
      <c r="AK233" s="209" t="str">
        <f t="shared" si="43"/>
        <v/>
      </c>
      <c r="AL233" s="209" t="str">
        <f t="shared" si="44"/>
        <v/>
      </c>
      <c r="AM233" s="208" t="str">
        <f>IF($AN233="","",IFERROR(VLOOKUP(CONCATENATE(CTR1_Billing!$E$20,$AN233),'Local Data Previous Year'!$C$3:$D$50000,2,0),CTR1_Billing!$E$21&amp;"NEW"))</f>
        <v/>
      </c>
      <c r="AN233" s="209" t="str" cm="1">
        <f t="array" ref="AN233">IF(ISERROR(INDEX('Local Data Previous Year'!$E$3:$E$50000, SMALL(IF(CTR1_Billing!$E$21='Local Data Previous Year'!$A$3:$A$50000, ROW('Local Data Previous Year'!$A$3:$A$50000)-ROW('Local Data Previous Year'!$A$3)+1), ROW(201:201)))), "", INDEX('Local Data Previous Year'!$E$3:$E$50000, SMALL(IF(CTR1_Billing!$E$21='Local Data Previous Year'!$A$3:$A$50000, ROW('Local Data Previous Year'!$A$3:$A$50000)-ROW('Local Data Previous Year'!$A$3)+1), ROW(201:201))))</f>
        <v/>
      </c>
      <c r="AO233" s="209" t="str">
        <f t="shared" si="45"/>
        <v/>
      </c>
      <c r="AP233" s="208"/>
      <c r="AQ233" s="209" t="str">
        <f t="shared" si="46"/>
        <v/>
      </c>
      <c r="AR233" s="209" t="str">
        <f t="shared" si="47"/>
        <v/>
      </c>
      <c r="AS233" s="202" t="str">
        <f t="shared" si="48"/>
        <v/>
      </c>
      <c r="AT233" s="202" t="str">
        <f t="shared" si="49"/>
        <v/>
      </c>
      <c r="AU233" s="208"/>
      <c r="AV233" s="208"/>
      <c r="AW233" s="208"/>
      <c r="AX233" s="208"/>
      <c r="AY233" s="208"/>
      <c r="AZ233" s="208"/>
      <c r="BA233" s="208"/>
      <c r="BB233" s="208"/>
      <c r="BC233" s="208"/>
      <c r="BD233" s="208"/>
      <c r="BE233" s="208"/>
      <c r="BF233" s="208"/>
      <c r="BG233" s="28"/>
      <c r="BH233" s="28"/>
      <c r="BI233" s="28"/>
      <c r="BJ233" s="28"/>
    </row>
    <row r="234" spans="1:62" s="23" customFormat="1" ht="21" customHeight="1" thickBot="1" x14ac:dyDescent="0.25">
      <c r="A234" s="846" t="str">
        <f>IF($AN234="","",IFERROR(VLOOKUP(CONCATENATE(CTR1_Billing!$E$20,$AN234),'Local Data Previous Year'!$C$3:$D$20000,2,0),CTR1_Billing!$E$21&amp;"NEW"))</f>
        <v/>
      </c>
      <c r="B234" s="846" t="str">
        <f>IF($E234="","",IFERROR(VLOOKUP(CONCATENATE(CTR1_Billing!$E$20,CTR1_Local!$E234),'Local Data Previous Year'!$C$3:$D$20000,2,0),CTR1_Billing!$E$21&amp;"NEW"))</f>
        <v/>
      </c>
      <c r="C234" s="846">
        <v>202</v>
      </c>
      <c r="D234" s="755" t="str" cm="1">
        <f t="array" ref="D234">IF(ISERROR(INDEX('Local Data Previous Year'!$D$3:$D$20000,SMALL(IF(CTR1_Billing!$E$21='Local Data Previous Year'!$A$3:$A$20000,ROW('Local Data Previous Year'!$A$3:$A$20000)-ROW('Local Data Previous Year'!$A$3)+1),ROW(202:202)))),"",INDEX('Local Data Previous Year'!$D$3:$D$20000,SMALL(IF(CTR1_Billing!$E$21='Local Data Previous Year'!$A$3:$A$20000,ROW('Local Data Previous Year'!$A$3:$A$20000)-ROW('Local Data Previous Year'!$A$3)+1),ROW(202:202))))</f>
        <v/>
      </c>
      <c r="E234" s="755" t="str" cm="1">
        <f t="array" ref="E234">IF(ISERROR(INDEX('Local Data Previous Year'!$E$3:$E$20000,SMALL(IF(CTR1_Billing!$E$21='Local Data Previous Year'!$A$3:$A$20000,ROW('Local Data Previous Year'!$A$3:$A$20000)-ROW('Local Data Previous Year'!$A$3)+1),ROW(202:202)))),"",INDEX('Local Data Previous Year'!$E$3:$E$20000,SMALL(IF(CTR1_Billing!$E$21='Local Data Previous Year'!$A$3:$A$20000,ROW('Local Data Previous Year'!$A$3:$A$20000)-ROW('Local Data Previous Year'!$A$3)+1),ROW(202:202))))</f>
        <v/>
      </c>
      <c r="F234" s="756" t="str">
        <f>IF($D234="","",IF(ISNA(MATCH($D234,'Local Data Previous Year'!$D$3:$D$20000,0)),"New",IFERROR(VLOOKUP($B234,'Local Data Previous Year'!$D$3:$I$20000,6,0),"")))</f>
        <v/>
      </c>
      <c r="G234" s="757">
        <f t="shared" si="50"/>
        <v>0</v>
      </c>
      <c r="H234" s="758" t="str">
        <f>IFERROR(INDEX('Local Data Previous Year'!$F:$F, MATCH($D234, 'Local Data Previous Year'!$D:$D, 0)), "")</f>
        <v/>
      </c>
      <c r="I234" s="759">
        <f>IF(B234=CTR1_Billing!$E$21&amp;"NEW",1,0)</f>
        <v>0</v>
      </c>
      <c r="J234" s="760" t="str">
        <f>IFERROR(INDEX('Local Data Previous Year'!$G:$G, MATCH($D234, 'Local Data Previous Year'!$D:$D, 0)), "")</f>
        <v/>
      </c>
      <c r="K234" s="762"/>
      <c r="L234" s="760" t="str">
        <f>IFERROR(INDEX('Local Data Previous Year'!$H:$H, MATCH($D234, 'Local Data Previous Year'!$D:$D, 0)), "")</f>
        <v/>
      </c>
      <c r="M234" s="762"/>
      <c r="N234" s="763"/>
      <c r="O234" s="767"/>
      <c r="P234" s="765"/>
      <c r="Q234" s="767"/>
      <c r="R234" s="766" t="str">
        <f t="shared" si="51"/>
        <v/>
      </c>
      <c r="S234" s="754"/>
      <c r="T234" s="763"/>
      <c r="U234" s="754"/>
      <c r="V234" s="763"/>
      <c r="W234" s="763"/>
      <c r="X234" s="865" t="str">
        <f>VLOOKUP(CTR1_Billing!$E$21,Data!$C$6:$D$302,1,FALSE)</f>
        <v>EZZZZ</v>
      </c>
      <c r="Y234" s="205"/>
      <c r="Z234" s="205">
        <f t="shared" si="39"/>
        <v>0</v>
      </c>
      <c r="AA234" s="206" t="str">
        <f t="shared" si="40"/>
        <v/>
      </c>
      <c r="AB234" s="205">
        <f t="shared" si="41"/>
        <v>0</v>
      </c>
      <c r="AC234" s="208"/>
      <c r="AD234" s="208"/>
      <c r="AE234" s="208"/>
      <c r="AF234" s="208"/>
      <c r="AG234" s="209" t="str">
        <f>IFERROR(INDEX('Local Data Previous Year'!$F:$F, MATCH($D234, 'Local Data Previous Year'!$D:$D, 0)), "")</f>
        <v/>
      </c>
      <c r="AH234" s="209" t="str">
        <f>IFERROR(INDEX('Local Data Previous Year'!$G:$G, MATCH($D234, 'Local Data Previous Year'!$D:$D, 0)), "")</f>
        <v/>
      </c>
      <c r="AI234" s="209" t="str">
        <f>IFERROR(INDEX('Local Data Previous Year'!$H:$H, MATCH($D234, 'Local Data Previous Year'!$D:$D, 0)), "")</f>
        <v/>
      </c>
      <c r="AJ234" s="209" t="str">
        <f t="shared" si="42"/>
        <v/>
      </c>
      <c r="AK234" s="209" t="str">
        <f t="shared" si="43"/>
        <v/>
      </c>
      <c r="AL234" s="209" t="str">
        <f t="shared" si="44"/>
        <v/>
      </c>
      <c r="AM234" s="208" t="str">
        <f>IF($AN234="","",IFERROR(VLOOKUP(CONCATENATE(CTR1_Billing!$E$20,$AN234),'Local Data Previous Year'!$C$3:$D$50000,2,0),CTR1_Billing!$E$21&amp;"NEW"))</f>
        <v/>
      </c>
      <c r="AN234" s="209" t="str" cm="1">
        <f t="array" ref="AN234">IF(ISERROR(INDEX('Local Data Previous Year'!$E$3:$E$50000, SMALL(IF(CTR1_Billing!$E$21='Local Data Previous Year'!$A$3:$A$50000, ROW('Local Data Previous Year'!$A$3:$A$50000)-ROW('Local Data Previous Year'!$A$3)+1), ROW(202:202)))), "", INDEX('Local Data Previous Year'!$E$3:$E$50000, SMALL(IF(CTR1_Billing!$E$21='Local Data Previous Year'!$A$3:$A$50000, ROW('Local Data Previous Year'!$A$3:$A$50000)-ROW('Local Data Previous Year'!$A$3)+1), ROW(202:202))))</f>
        <v/>
      </c>
      <c r="AO234" s="209" t="str">
        <f t="shared" si="45"/>
        <v/>
      </c>
      <c r="AP234" s="208"/>
      <c r="AQ234" s="209" t="str">
        <f t="shared" si="46"/>
        <v/>
      </c>
      <c r="AR234" s="209" t="str">
        <f t="shared" si="47"/>
        <v/>
      </c>
      <c r="AS234" s="202" t="str">
        <f t="shared" si="48"/>
        <v/>
      </c>
      <c r="AT234" s="202" t="str">
        <f t="shared" si="49"/>
        <v/>
      </c>
      <c r="AU234" s="208"/>
      <c r="AV234" s="208"/>
      <c r="AW234" s="208"/>
      <c r="AX234" s="208"/>
      <c r="AY234" s="208"/>
      <c r="AZ234" s="208"/>
      <c r="BA234" s="208"/>
      <c r="BB234" s="208"/>
      <c r="BC234" s="208"/>
      <c r="BD234" s="208"/>
      <c r="BE234" s="208"/>
      <c r="BF234" s="208"/>
      <c r="BG234" s="28"/>
      <c r="BH234" s="28"/>
      <c r="BI234" s="28"/>
      <c r="BJ234" s="28"/>
    </row>
    <row r="235" spans="1:62" s="23" customFormat="1" ht="21" customHeight="1" thickBot="1" x14ac:dyDescent="0.25">
      <c r="A235" s="846" t="str">
        <f>IF($AN235="","",IFERROR(VLOOKUP(CONCATENATE(CTR1_Billing!$E$20,$AN235),'Local Data Previous Year'!$C$3:$D$20000,2,0),CTR1_Billing!$E$21&amp;"NEW"))</f>
        <v/>
      </c>
      <c r="B235" s="846" t="str">
        <f>IF($E235="","",IFERROR(VLOOKUP(CONCATENATE(CTR1_Billing!$E$20,CTR1_Local!$E235),'Local Data Previous Year'!$C$3:$D$20000,2,0),CTR1_Billing!$E$21&amp;"NEW"))</f>
        <v/>
      </c>
      <c r="C235" s="846">
        <v>203</v>
      </c>
      <c r="D235" s="755" t="str" cm="1">
        <f t="array" ref="D235">IF(ISERROR(INDEX('Local Data Previous Year'!$D$3:$D$20000,SMALL(IF(CTR1_Billing!$E$21='Local Data Previous Year'!$A$3:$A$20000,ROW('Local Data Previous Year'!$A$3:$A$20000)-ROW('Local Data Previous Year'!$A$3)+1),ROW(203:203)))),"",INDEX('Local Data Previous Year'!$D$3:$D$20000,SMALL(IF(CTR1_Billing!$E$21='Local Data Previous Year'!$A$3:$A$20000,ROW('Local Data Previous Year'!$A$3:$A$20000)-ROW('Local Data Previous Year'!$A$3)+1),ROW(203:203))))</f>
        <v/>
      </c>
      <c r="E235" s="755" t="str" cm="1">
        <f t="array" ref="E235">IF(ISERROR(INDEX('Local Data Previous Year'!$E$3:$E$20000,SMALL(IF(CTR1_Billing!$E$21='Local Data Previous Year'!$A$3:$A$20000,ROW('Local Data Previous Year'!$A$3:$A$20000)-ROW('Local Data Previous Year'!$A$3)+1),ROW(203:203)))),"",INDEX('Local Data Previous Year'!$E$3:$E$20000,SMALL(IF(CTR1_Billing!$E$21='Local Data Previous Year'!$A$3:$A$20000,ROW('Local Data Previous Year'!$A$3:$A$20000)-ROW('Local Data Previous Year'!$A$3)+1),ROW(203:203))))</f>
        <v/>
      </c>
      <c r="F235" s="756" t="str">
        <f>IF($D235="","",IF(ISNA(MATCH($D235,'Local Data Previous Year'!$D$3:$D$20000,0)),"New",IFERROR(VLOOKUP($B235,'Local Data Previous Year'!$D$3:$I$20000,6,0),"")))</f>
        <v/>
      </c>
      <c r="G235" s="757">
        <f t="shared" si="50"/>
        <v>0</v>
      </c>
      <c r="H235" s="758" t="str">
        <f>IFERROR(INDEX('Local Data Previous Year'!$F:$F, MATCH($D235, 'Local Data Previous Year'!$D:$D, 0)), "")</f>
        <v/>
      </c>
      <c r="I235" s="759">
        <f>IF(B235=CTR1_Billing!$E$21&amp;"NEW",1,0)</f>
        <v>0</v>
      </c>
      <c r="J235" s="760" t="str">
        <f>IFERROR(INDEX('Local Data Previous Year'!$G:$G, MATCH($D235, 'Local Data Previous Year'!$D:$D, 0)), "")</f>
        <v/>
      </c>
      <c r="K235" s="762"/>
      <c r="L235" s="760" t="str">
        <f>IFERROR(INDEX('Local Data Previous Year'!$H:$H, MATCH($D235, 'Local Data Previous Year'!$D:$D, 0)), "")</f>
        <v/>
      </c>
      <c r="M235" s="762"/>
      <c r="N235" s="763"/>
      <c r="O235" s="767"/>
      <c r="P235" s="765"/>
      <c r="Q235" s="767"/>
      <c r="R235" s="766" t="str">
        <f t="shared" si="51"/>
        <v/>
      </c>
      <c r="S235" s="754"/>
      <c r="T235" s="763"/>
      <c r="U235" s="754"/>
      <c r="V235" s="763"/>
      <c r="W235" s="763"/>
      <c r="X235" s="865" t="str">
        <f>VLOOKUP(CTR1_Billing!$E$21,Data!$C$6:$D$302,1,FALSE)</f>
        <v>EZZZZ</v>
      </c>
      <c r="Y235" s="205"/>
      <c r="Z235" s="205">
        <f t="shared" si="39"/>
        <v>0</v>
      </c>
      <c r="AA235" s="206" t="str">
        <f t="shared" si="40"/>
        <v/>
      </c>
      <c r="AB235" s="205">
        <f t="shared" si="41"/>
        <v>0</v>
      </c>
      <c r="AC235" s="208"/>
      <c r="AD235" s="208"/>
      <c r="AE235" s="208"/>
      <c r="AF235" s="208"/>
      <c r="AG235" s="209" t="str">
        <f>IFERROR(INDEX('Local Data Previous Year'!$F:$F, MATCH($D235, 'Local Data Previous Year'!$D:$D, 0)), "")</f>
        <v/>
      </c>
      <c r="AH235" s="209" t="str">
        <f>IFERROR(INDEX('Local Data Previous Year'!$G:$G, MATCH($D235, 'Local Data Previous Year'!$D:$D, 0)), "")</f>
        <v/>
      </c>
      <c r="AI235" s="209" t="str">
        <f>IFERROR(INDEX('Local Data Previous Year'!$H:$H, MATCH($D235, 'Local Data Previous Year'!$D:$D, 0)), "")</f>
        <v/>
      </c>
      <c r="AJ235" s="209" t="str">
        <f t="shared" si="42"/>
        <v/>
      </c>
      <c r="AK235" s="209" t="str">
        <f t="shared" si="43"/>
        <v/>
      </c>
      <c r="AL235" s="209" t="str">
        <f t="shared" si="44"/>
        <v/>
      </c>
      <c r="AM235" s="208" t="str">
        <f>IF($AN235="","",IFERROR(VLOOKUP(CONCATENATE(CTR1_Billing!$E$20,$AN235),'Local Data Previous Year'!$C$3:$D$50000,2,0),CTR1_Billing!$E$21&amp;"NEW"))</f>
        <v/>
      </c>
      <c r="AN235" s="209" t="str" cm="1">
        <f t="array" ref="AN235">IF(ISERROR(INDEX('Local Data Previous Year'!$E$3:$E$50000, SMALL(IF(CTR1_Billing!$E$21='Local Data Previous Year'!$A$3:$A$50000, ROW('Local Data Previous Year'!$A$3:$A$50000)-ROW('Local Data Previous Year'!$A$3)+1), ROW(203:203)))), "", INDEX('Local Data Previous Year'!$E$3:$E$50000, SMALL(IF(CTR1_Billing!$E$21='Local Data Previous Year'!$A$3:$A$50000, ROW('Local Data Previous Year'!$A$3:$A$50000)-ROW('Local Data Previous Year'!$A$3)+1), ROW(203:203))))</f>
        <v/>
      </c>
      <c r="AO235" s="209" t="str">
        <f t="shared" si="45"/>
        <v/>
      </c>
      <c r="AP235" s="208"/>
      <c r="AQ235" s="209" t="str">
        <f t="shared" si="46"/>
        <v/>
      </c>
      <c r="AR235" s="209" t="str">
        <f t="shared" si="47"/>
        <v/>
      </c>
      <c r="AS235" s="202" t="str">
        <f t="shared" si="48"/>
        <v/>
      </c>
      <c r="AT235" s="202" t="str">
        <f t="shared" si="49"/>
        <v/>
      </c>
      <c r="AU235" s="208"/>
      <c r="AV235" s="208"/>
      <c r="AW235" s="208"/>
      <c r="AX235" s="208"/>
      <c r="AY235" s="208"/>
      <c r="AZ235" s="208"/>
      <c r="BA235" s="208"/>
      <c r="BB235" s="208"/>
      <c r="BC235" s="208"/>
      <c r="BD235" s="208"/>
      <c r="BE235" s="208"/>
      <c r="BF235" s="208"/>
      <c r="BG235" s="28"/>
      <c r="BH235" s="28"/>
      <c r="BI235" s="28"/>
      <c r="BJ235" s="28"/>
    </row>
    <row r="236" spans="1:62" s="23" customFormat="1" ht="21" customHeight="1" thickBot="1" x14ac:dyDescent="0.25">
      <c r="A236" s="846" t="str">
        <f>IF($AN236="","",IFERROR(VLOOKUP(CONCATENATE(CTR1_Billing!$E$20,$AN236),'Local Data Previous Year'!$C$3:$D$20000,2,0),CTR1_Billing!$E$21&amp;"NEW"))</f>
        <v/>
      </c>
      <c r="B236" s="846" t="str">
        <f>IF($E236="","",IFERROR(VLOOKUP(CONCATENATE(CTR1_Billing!$E$20,CTR1_Local!$E236),'Local Data Previous Year'!$C$3:$D$20000,2,0),CTR1_Billing!$E$21&amp;"NEW"))</f>
        <v/>
      </c>
      <c r="C236" s="846">
        <v>204</v>
      </c>
      <c r="D236" s="755" t="str" cm="1">
        <f t="array" ref="D236">IF(ISERROR(INDEX('Local Data Previous Year'!$D$3:$D$20000,SMALL(IF(CTR1_Billing!$E$21='Local Data Previous Year'!$A$3:$A$20000,ROW('Local Data Previous Year'!$A$3:$A$20000)-ROW('Local Data Previous Year'!$A$3)+1),ROW(204:204)))),"",INDEX('Local Data Previous Year'!$D$3:$D$20000,SMALL(IF(CTR1_Billing!$E$21='Local Data Previous Year'!$A$3:$A$20000,ROW('Local Data Previous Year'!$A$3:$A$20000)-ROW('Local Data Previous Year'!$A$3)+1),ROW(204:204))))</f>
        <v/>
      </c>
      <c r="E236" s="755" t="str" cm="1">
        <f t="array" ref="E236">IF(ISERROR(INDEX('Local Data Previous Year'!$E$3:$E$20000,SMALL(IF(CTR1_Billing!$E$21='Local Data Previous Year'!$A$3:$A$20000,ROW('Local Data Previous Year'!$A$3:$A$20000)-ROW('Local Data Previous Year'!$A$3)+1),ROW(204:204)))),"",INDEX('Local Data Previous Year'!$E$3:$E$20000,SMALL(IF(CTR1_Billing!$E$21='Local Data Previous Year'!$A$3:$A$20000,ROW('Local Data Previous Year'!$A$3:$A$20000)-ROW('Local Data Previous Year'!$A$3)+1),ROW(204:204))))</f>
        <v/>
      </c>
      <c r="F236" s="756" t="str">
        <f>IF($D236="","",IF(ISNA(MATCH($D236,'Local Data Previous Year'!$D$3:$D$20000,0)),"New",IFERROR(VLOOKUP($B236,'Local Data Previous Year'!$D$3:$I$20000,6,0),"")))</f>
        <v/>
      </c>
      <c r="G236" s="757">
        <f t="shared" si="50"/>
        <v>0</v>
      </c>
      <c r="H236" s="758" t="str">
        <f>IFERROR(INDEX('Local Data Previous Year'!$F:$F, MATCH($D236, 'Local Data Previous Year'!$D:$D, 0)), "")</f>
        <v/>
      </c>
      <c r="I236" s="759">
        <f>IF(B236=CTR1_Billing!$E$21&amp;"NEW",1,0)</f>
        <v>0</v>
      </c>
      <c r="J236" s="760" t="str">
        <f>IFERROR(INDEX('Local Data Previous Year'!$G:$G, MATCH($D236, 'Local Data Previous Year'!$D:$D, 0)), "")</f>
        <v/>
      </c>
      <c r="K236" s="762"/>
      <c r="L236" s="760" t="str">
        <f>IFERROR(INDEX('Local Data Previous Year'!$H:$H, MATCH($D236, 'Local Data Previous Year'!$D:$D, 0)), "")</f>
        <v/>
      </c>
      <c r="M236" s="762"/>
      <c r="N236" s="763"/>
      <c r="O236" s="767"/>
      <c r="P236" s="765"/>
      <c r="Q236" s="767"/>
      <c r="R236" s="766" t="str">
        <f t="shared" si="51"/>
        <v/>
      </c>
      <c r="S236" s="754"/>
      <c r="T236" s="763"/>
      <c r="U236" s="754"/>
      <c r="V236" s="763"/>
      <c r="W236" s="763"/>
      <c r="X236" s="865" t="str">
        <f>VLOOKUP(CTR1_Billing!$E$21,Data!$C$6:$D$302,1,FALSE)</f>
        <v>EZZZZ</v>
      </c>
      <c r="Y236" s="205"/>
      <c r="Z236" s="205">
        <f t="shared" si="39"/>
        <v>0</v>
      </c>
      <c r="AA236" s="206" t="str">
        <f t="shared" si="40"/>
        <v/>
      </c>
      <c r="AB236" s="205">
        <f t="shared" si="41"/>
        <v>0</v>
      </c>
      <c r="AC236" s="208"/>
      <c r="AD236" s="208"/>
      <c r="AE236" s="208"/>
      <c r="AF236" s="208"/>
      <c r="AG236" s="209" t="str">
        <f>IFERROR(INDEX('Local Data Previous Year'!$F:$F, MATCH($D236, 'Local Data Previous Year'!$D:$D, 0)), "")</f>
        <v/>
      </c>
      <c r="AH236" s="209" t="str">
        <f>IFERROR(INDEX('Local Data Previous Year'!$G:$G, MATCH($D236, 'Local Data Previous Year'!$D:$D, 0)), "")</f>
        <v/>
      </c>
      <c r="AI236" s="209" t="str">
        <f>IFERROR(INDEX('Local Data Previous Year'!$H:$H, MATCH($D236, 'Local Data Previous Year'!$D:$D, 0)), "")</f>
        <v/>
      </c>
      <c r="AJ236" s="209" t="str">
        <f t="shared" si="42"/>
        <v/>
      </c>
      <c r="AK236" s="209" t="str">
        <f t="shared" si="43"/>
        <v/>
      </c>
      <c r="AL236" s="209" t="str">
        <f t="shared" si="44"/>
        <v/>
      </c>
      <c r="AM236" s="208" t="str">
        <f>IF($AN236="","",IFERROR(VLOOKUP(CONCATENATE(CTR1_Billing!$E$20,$AN236),'Local Data Previous Year'!$C$3:$D$50000,2,0),CTR1_Billing!$E$21&amp;"NEW"))</f>
        <v/>
      </c>
      <c r="AN236" s="209" t="str" cm="1">
        <f t="array" ref="AN236">IF(ISERROR(INDEX('Local Data Previous Year'!$E$3:$E$50000, SMALL(IF(CTR1_Billing!$E$21='Local Data Previous Year'!$A$3:$A$50000, ROW('Local Data Previous Year'!$A$3:$A$50000)-ROW('Local Data Previous Year'!$A$3)+1), ROW(204:204)))), "", INDEX('Local Data Previous Year'!$E$3:$E$50000, SMALL(IF(CTR1_Billing!$E$21='Local Data Previous Year'!$A$3:$A$50000, ROW('Local Data Previous Year'!$A$3:$A$50000)-ROW('Local Data Previous Year'!$A$3)+1), ROW(204:204))))</f>
        <v/>
      </c>
      <c r="AO236" s="209" t="str">
        <f t="shared" si="45"/>
        <v/>
      </c>
      <c r="AP236" s="208"/>
      <c r="AQ236" s="209" t="str">
        <f t="shared" si="46"/>
        <v/>
      </c>
      <c r="AR236" s="209" t="str">
        <f t="shared" si="47"/>
        <v/>
      </c>
      <c r="AS236" s="202" t="str">
        <f t="shared" si="48"/>
        <v/>
      </c>
      <c r="AT236" s="202" t="str">
        <f t="shared" si="49"/>
        <v/>
      </c>
      <c r="AU236" s="208"/>
      <c r="AV236" s="208"/>
      <c r="AW236" s="208"/>
      <c r="AX236" s="208"/>
      <c r="AY236" s="208"/>
      <c r="AZ236" s="208"/>
      <c r="BA236" s="208"/>
      <c r="BB236" s="208"/>
      <c r="BC236" s="208"/>
      <c r="BD236" s="208"/>
      <c r="BE236" s="208"/>
      <c r="BF236" s="208"/>
      <c r="BG236" s="28"/>
      <c r="BH236" s="28"/>
      <c r="BI236" s="28"/>
      <c r="BJ236" s="28"/>
    </row>
    <row r="237" spans="1:62" s="23" customFormat="1" ht="21" customHeight="1" thickBot="1" x14ac:dyDescent="0.25">
      <c r="A237" s="846" t="str">
        <f>IF($AN237="","",IFERROR(VLOOKUP(CONCATENATE(CTR1_Billing!$E$20,$AN237),'Local Data Previous Year'!$C$3:$D$20000,2,0),CTR1_Billing!$E$21&amp;"NEW"))</f>
        <v/>
      </c>
      <c r="B237" s="846" t="str">
        <f>IF($E237="","",IFERROR(VLOOKUP(CONCATENATE(CTR1_Billing!$E$20,CTR1_Local!$E237),'Local Data Previous Year'!$C$3:$D$20000,2,0),CTR1_Billing!$E$21&amp;"NEW"))</f>
        <v/>
      </c>
      <c r="C237" s="846">
        <v>205</v>
      </c>
      <c r="D237" s="755" t="str" cm="1">
        <f t="array" ref="D237">IF(ISERROR(INDEX('Local Data Previous Year'!$D$3:$D$20000,SMALL(IF(CTR1_Billing!$E$21='Local Data Previous Year'!$A$3:$A$20000,ROW('Local Data Previous Year'!$A$3:$A$20000)-ROW('Local Data Previous Year'!$A$3)+1),ROW(205:205)))),"",INDEX('Local Data Previous Year'!$D$3:$D$20000,SMALL(IF(CTR1_Billing!$E$21='Local Data Previous Year'!$A$3:$A$20000,ROW('Local Data Previous Year'!$A$3:$A$20000)-ROW('Local Data Previous Year'!$A$3)+1),ROW(205:205))))</f>
        <v/>
      </c>
      <c r="E237" s="755" t="str" cm="1">
        <f t="array" ref="E237">IF(ISERROR(INDEX('Local Data Previous Year'!$E$3:$E$20000,SMALL(IF(CTR1_Billing!$E$21='Local Data Previous Year'!$A$3:$A$20000,ROW('Local Data Previous Year'!$A$3:$A$20000)-ROW('Local Data Previous Year'!$A$3)+1),ROW(205:205)))),"",INDEX('Local Data Previous Year'!$E$3:$E$20000,SMALL(IF(CTR1_Billing!$E$21='Local Data Previous Year'!$A$3:$A$20000,ROW('Local Data Previous Year'!$A$3:$A$20000)-ROW('Local Data Previous Year'!$A$3)+1),ROW(205:205))))</f>
        <v/>
      </c>
      <c r="F237" s="756" t="str">
        <f>IF($D237="","",IF(ISNA(MATCH($D237,'Local Data Previous Year'!$D$3:$D$20000,0)),"New",IFERROR(VLOOKUP($B237,'Local Data Previous Year'!$D$3:$I$20000,6,0),"")))</f>
        <v/>
      </c>
      <c r="G237" s="757">
        <f t="shared" si="50"/>
        <v>0</v>
      </c>
      <c r="H237" s="758" t="str">
        <f>IFERROR(INDEX('Local Data Previous Year'!$F:$F, MATCH($D237, 'Local Data Previous Year'!$D:$D, 0)), "")</f>
        <v/>
      </c>
      <c r="I237" s="759">
        <f>IF(B237=CTR1_Billing!$E$21&amp;"NEW",1,0)</f>
        <v>0</v>
      </c>
      <c r="J237" s="760" t="str">
        <f>IFERROR(INDEX('Local Data Previous Year'!$G:$G, MATCH($D237, 'Local Data Previous Year'!$D:$D, 0)), "")</f>
        <v/>
      </c>
      <c r="K237" s="762"/>
      <c r="L237" s="760" t="str">
        <f>IFERROR(INDEX('Local Data Previous Year'!$H:$H, MATCH($D237, 'Local Data Previous Year'!$D:$D, 0)), "")</f>
        <v/>
      </c>
      <c r="M237" s="762"/>
      <c r="N237" s="763"/>
      <c r="O237" s="767"/>
      <c r="P237" s="765"/>
      <c r="Q237" s="767"/>
      <c r="R237" s="766" t="str">
        <f t="shared" si="51"/>
        <v/>
      </c>
      <c r="S237" s="754"/>
      <c r="T237" s="763"/>
      <c r="U237" s="754"/>
      <c r="V237" s="763"/>
      <c r="W237" s="763"/>
      <c r="X237" s="865" t="str">
        <f>VLOOKUP(CTR1_Billing!$E$21,Data!$C$6:$D$302,1,FALSE)</f>
        <v>EZZZZ</v>
      </c>
      <c r="Y237" s="205"/>
      <c r="Z237" s="205">
        <f t="shared" si="39"/>
        <v>0</v>
      </c>
      <c r="AA237" s="206" t="str">
        <f t="shared" si="40"/>
        <v/>
      </c>
      <c r="AB237" s="205">
        <f t="shared" si="41"/>
        <v>0</v>
      </c>
      <c r="AC237" s="208"/>
      <c r="AD237" s="208"/>
      <c r="AE237" s="208"/>
      <c r="AF237" s="208"/>
      <c r="AG237" s="209" t="str">
        <f>IFERROR(INDEX('Local Data Previous Year'!$F:$F, MATCH($D237, 'Local Data Previous Year'!$D:$D, 0)), "")</f>
        <v/>
      </c>
      <c r="AH237" s="209" t="str">
        <f>IFERROR(INDEX('Local Data Previous Year'!$G:$G, MATCH($D237, 'Local Data Previous Year'!$D:$D, 0)), "")</f>
        <v/>
      </c>
      <c r="AI237" s="209" t="str">
        <f>IFERROR(INDEX('Local Data Previous Year'!$H:$H, MATCH($D237, 'Local Data Previous Year'!$D:$D, 0)), "")</f>
        <v/>
      </c>
      <c r="AJ237" s="209" t="str">
        <f t="shared" si="42"/>
        <v/>
      </c>
      <c r="AK237" s="209" t="str">
        <f t="shared" si="43"/>
        <v/>
      </c>
      <c r="AL237" s="209" t="str">
        <f t="shared" si="44"/>
        <v/>
      </c>
      <c r="AM237" s="208" t="str">
        <f>IF($AN237="","",IFERROR(VLOOKUP(CONCATENATE(CTR1_Billing!$E$20,$AN237),'Local Data Previous Year'!$C$3:$D$50000,2,0),CTR1_Billing!$E$21&amp;"NEW"))</f>
        <v/>
      </c>
      <c r="AN237" s="209" t="str" cm="1">
        <f t="array" ref="AN237">IF(ISERROR(INDEX('Local Data Previous Year'!$E$3:$E$50000, SMALL(IF(CTR1_Billing!$E$21='Local Data Previous Year'!$A$3:$A$50000, ROW('Local Data Previous Year'!$A$3:$A$50000)-ROW('Local Data Previous Year'!$A$3)+1), ROW(205:205)))), "", INDEX('Local Data Previous Year'!$E$3:$E$50000, SMALL(IF(CTR1_Billing!$E$21='Local Data Previous Year'!$A$3:$A$50000, ROW('Local Data Previous Year'!$A$3:$A$50000)-ROW('Local Data Previous Year'!$A$3)+1), ROW(205:205))))</f>
        <v/>
      </c>
      <c r="AO237" s="209" t="str">
        <f t="shared" si="45"/>
        <v/>
      </c>
      <c r="AP237" s="208"/>
      <c r="AQ237" s="209" t="str">
        <f t="shared" si="46"/>
        <v/>
      </c>
      <c r="AR237" s="209" t="str">
        <f t="shared" si="47"/>
        <v/>
      </c>
      <c r="AS237" s="202" t="str">
        <f t="shared" si="48"/>
        <v/>
      </c>
      <c r="AT237" s="202" t="str">
        <f t="shared" si="49"/>
        <v/>
      </c>
      <c r="AU237" s="208"/>
      <c r="AV237" s="208"/>
      <c r="AW237" s="208"/>
      <c r="AX237" s="208"/>
      <c r="AY237" s="208"/>
      <c r="AZ237" s="208"/>
      <c r="BA237" s="208"/>
      <c r="BB237" s="208"/>
      <c r="BC237" s="208"/>
      <c r="BD237" s="208"/>
      <c r="BE237" s="208"/>
      <c r="BF237" s="208"/>
      <c r="BG237" s="28"/>
      <c r="BH237" s="28"/>
      <c r="BI237" s="28"/>
      <c r="BJ237" s="28"/>
    </row>
    <row r="238" spans="1:62" s="23" customFormat="1" ht="21" customHeight="1" thickBot="1" x14ac:dyDescent="0.25">
      <c r="A238" s="846" t="str">
        <f>IF($AN238="","",IFERROR(VLOOKUP(CONCATENATE(CTR1_Billing!$E$20,$AN238),'Local Data Previous Year'!$C$3:$D$20000,2,0),CTR1_Billing!$E$21&amp;"NEW"))</f>
        <v/>
      </c>
      <c r="B238" s="846" t="str">
        <f>IF($E238="","",IFERROR(VLOOKUP(CONCATENATE(CTR1_Billing!$E$20,CTR1_Local!$E238),'Local Data Previous Year'!$C$3:$D$20000,2,0),CTR1_Billing!$E$21&amp;"NEW"))</f>
        <v/>
      </c>
      <c r="C238" s="846">
        <v>206</v>
      </c>
      <c r="D238" s="755" t="str" cm="1">
        <f t="array" ref="D238">IF(ISERROR(INDEX('Local Data Previous Year'!$D$3:$D$20000,SMALL(IF(CTR1_Billing!$E$21='Local Data Previous Year'!$A$3:$A$20000,ROW('Local Data Previous Year'!$A$3:$A$20000)-ROW('Local Data Previous Year'!$A$3)+1),ROW(206:206)))),"",INDEX('Local Data Previous Year'!$D$3:$D$20000,SMALL(IF(CTR1_Billing!$E$21='Local Data Previous Year'!$A$3:$A$20000,ROW('Local Data Previous Year'!$A$3:$A$20000)-ROW('Local Data Previous Year'!$A$3)+1),ROW(206:206))))</f>
        <v/>
      </c>
      <c r="E238" s="755" t="str" cm="1">
        <f t="array" ref="E238">IF(ISERROR(INDEX('Local Data Previous Year'!$E$3:$E$20000,SMALL(IF(CTR1_Billing!$E$21='Local Data Previous Year'!$A$3:$A$20000,ROW('Local Data Previous Year'!$A$3:$A$20000)-ROW('Local Data Previous Year'!$A$3)+1),ROW(206:206)))),"",INDEX('Local Data Previous Year'!$E$3:$E$20000,SMALL(IF(CTR1_Billing!$E$21='Local Data Previous Year'!$A$3:$A$20000,ROW('Local Data Previous Year'!$A$3:$A$20000)-ROW('Local Data Previous Year'!$A$3)+1),ROW(206:206))))</f>
        <v/>
      </c>
      <c r="F238" s="756" t="str">
        <f>IF($D238="","",IF(ISNA(MATCH($D238,'Local Data Previous Year'!$D$3:$D$20000,0)),"New",IFERROR(VLOOKUP($B238,'Local Data Previous Year'!$D$3:$I$20000,6,0),"")))</f>
        <v/>
      </c>
      <c r="G238" s="757">
        <f t="shared" si="50"/>
        <v>0</v>
      </c>
      <c r="H238" s="758" t="str">
        <f>IFERROR(INDEX('Local Data Previous Year'!$F:$F, MATCH($D238, 'Local Data Previous Year'!$D:$D, 0)), "")</f>
        <v/>
      </c>
      <c r="I238" s="759">
        <f>IF(B238=CTR1_Billing!$E$21&amp;"NEW",1,0)</f>
        <v>0</v>
      </c>
      <c r="J238" s="760" t="str">
        <f>IFERROR(INDEX('Local Data Previous Year'!$G:$G, MATCH($D238, 'Local Data Previous Year'!$D:$D, 0)), "")</f>
        <v/>
      </c>
      <c r="K238" s="762"/>
      <c r="L238" s="760" t="str">
        <f>IFERROR(INDEX('Local Data Previous Year'!$H:$H, MATCH($D238, 'Local Data Previous Year'!$D:$D, 0)), "")</f>
        <v/>
      </c>
      <c r="M238" s="762"/>
      <c r="N238" s="763"/>
      <c r="O238" s="767"/>
      <c r="P238" s="765"/>
      <c r="Q238" s="767"/>
      <c r="R238" s="766" t="str">
        <f t="shared" si="51"/>
        <v/>
      </c>
      <c r="S238" s="754"/>
      <c r="T238" s="763"/>
      <c r="U238" s="754"/>
      <c r="V238" s="763"/>
      <c r="W238" s="763"/>
      <c r="X238" s="865" t="str">
        <f>VLOOKUP(CTR1_Billing!$E$21,Data!$C$6:$D$302,1,FALSE)</f>
        <v>EZZZZ</v>
      </c>
      <c r="Y238" s="205"/>
      <c r="Z238" s="205">
        <f t="shared" si="39"/>
        <v>0</v>
      </c>
      <c r="AA238" s="206" t="str">
        <f t="shared" si="40"/>
        <v/>
      </c>
      <c r="AB238" s="205">
        <f t="shared" si="41"/>
        <v>0</v>
      </c>
      <c r="AC238" s="208"/>
      <c r="AD238" s="208"/>
      <c r="AE238" s="208"/>
      <c r="AF238" s="208"/>
      <c r="AG238" s="209" t="str">
        <f>IFERROR(INDEX('Local Data Previous Year'!$F:$F, MATCH($D238, 'Local Data Previous Year'!$D:$D, 0)), "")</f>
        <v/>
      </c>
      <c r="AH238" s="209" t="str">
        <f>IFERROR(INDEX('Local Data Previous Year'!$G:$G, MATCH($D238, 'Local Data Previous Year'!$D:$D, 0)), "")</f>
        <v/>
      </c>
      <c r="AI238" s="209" t="str">
        <f>IFERROR(INDEX('Local Data Previous Year'!$H:$H, MATCH($D238, 'Local Data Previous Year'!$D:$D, 0)), "")</f>
        <v/>
      </c>
      <c r="AJ238" s="209" t="str">
        <f t="shared" si="42"/>
        <v/>
      </c>
      <c r="AK238" s="209" t="str">
        <f t="shared" si="43"/>
        <v/>
      </c>
      <c r="AL238" s="209" t="str">
        <f t="shared" si="44"/>
        <v/>
      </c>
      <c r="AM238" s="208" t="str">
        <f>IF($AN238="","",IFERROR(VLOOKUP(CONCATENATE(CTR1_Billing!$E$20,$AN238),'Local Data Previous Year'!$C$3:$D$50000,2,0),CTR1_Billing!$E$21&amp;"NEW"))</f>
        <v/>
      </c>
      <c r="AN238" s="209" t="str" cm="1">
        <f t="array" ref="AN238">IF(ISERROR(INDEX('Local Data Previous Year'!$E$3:$E$50000, SMALL(IF(CTR1_Billing!$E$21='Local Data Previous Year'!$A$3:$A$50000, ROW('Local Data Previous Year'!$A$3:$A$50000)-ROW('Local Data Previous Year'!$A$3)+1), ROW(206:206)))), "", INDEX('Local Data Previous Year'!$E$3:$E$50000, SMALL(IF(CTR1_Billing!$E$21='Local Data Previous Year'!$A$3:$A$50000, ROW('Local Data Previous Year'!$A$3:$A$50000)-ROW('Local Data Previous Year'!$A$3)+1), ROW(206:206))))</f>
        <v/>
      </c>
      <c r="AO238" s="209" t="str">
        <f t="shared" si="45"/>
        <v/>
      </c>
      <c r="AP238" s="208"/>
      <c r="AQ238" s="209" t="str">
        <f t="shared" si="46"/>
        <v/>
      </c>
      <c r="AR238" s="209" t="str">
        <f t="shared" si="47"/>
        <v/>
      </c>
      <c r="AS238" s="202" t="str">
        <f t="shared" si="48"/>
        <v/>
      </c>
      <c r="AT238" s="202" t="str">
        <f t="shared" si="49"/>
        <v/>
      </c>
      <c r="AU238" s="208"/>
      <c r="AV238" s="208"/>
      <c r="AW238" s="208"/>
      <c r="AX238" s="208"/>
      <c r="AY238" s="208"/>
      <c r="AZ238" s="208"/>
      <c r="BA238" s="208"/>
      <c r="BB238" s="208"/>
      <c r="BC238" s="208"/>
      <c r="BD238" s="208"/>
      <c r="BE238" s="208"/>
      <c r="BF238" s="208"/>
      <c r="BG238" s="28"/>
      <c r="BH238" s="28"/>
      <c r="BI238" s="28"/>
      <c r="BJ238" s="28"/>
    </row>
    <row r="239" spans="1:62" s="23" customFormat="1" ht="21" customHeight="1" thickBot="1" x14ac:dyDescent="0.25">
      <c r="A239" s="846" t="str">
        <f>IF($AN239="","",IFERROR(VLOOKUP(CONCATENATE(CTR1_Billing!$E$20,$AN239),'Local Data Previous Year'!$C$3:$D$20000,2,0),CTR1_Billing!$E$21&amp;"NEW"))</f>
        <v/>
      </c>
      <c r="B239" s="846" t="str">
        <f>IF($E239="","",IFERROR(VLOOKUP(CONCATENATE(CTR1_Billing!$E$20,CTR1_Local!$E239),'Local Data Previous Year'!$C$3:$D$20000,2,0),CTR1_Billing!$E$21&amp;"NEW"))</f>
        <v/>
      </c>
      <c r="C239" s="846">
        <v>207</v>
      </c>
      <c r="D239" s="755" t="str" cm="1">
        <f t="array" ref="D239">IF(ISERROR(INDEX('Local Data Previous Year'!$D$3:$D$20000,SMALL(IF(CTR1_Billing!$E$21='Local Data Previous Year'!$A$3:$A$20000,ROW('Local Data Previous Year'!$A$3:$A$20000)-ROW('Local Data Previous Year'!$A$3)+1),ROW(207:207)))),"",INDEX('Local Data Previous Year'!$D$3:$D$20000,SMALL(IF(CTR1_Billing!$E$21='Local Data Previous Year'!$A$3:$A$20000,ROW('Local Data Previous Year'!$A$3:$A$20000)-ROW('Local Data Previous Year'!$A$3)+1),ROW(207:207))))</f>
        <v/>
      </c>
      <c r="E239" s="755" t="str" cm="1">
        <f t="array" ref="E239">IF(ISERROR(INDEX('Local Data Previous Year'!$E$3:$E$20000,SMALL(IF(CTR1_Billing!$E$21='Local Data Previous Year'!$A$3:$A$20000,ROW('Local Data Previous Year'!$A$3:$A$20000)-ROW('Local Data Previous Year'!$A$3)+1),ROW(207:207)))),"",INDEX('Local Data Previous Year'!$E$3:$E$20000,SMALL(IF(CTR1_Billing!$E$21='Local Data Previous Year'!$A$3:$A$20000,ROW('Local Data Previous Year'!$A$3:$A$20000)-ROW('Local Data Previous Year'!$A$3)+1),ROW(207:207))))</f>
        <v/>
      </c>
      <c r="F239" s="756" t="str">
        <f>IF($D239="","",IF(ISNA(MATCH($D239,'Local Data Previous Year'!$D$3:$D$20000,0)),"New",IFERROR(VLOOKUP($B239,'Local Data Previous Year'!$D$3:$I$20000,6,0),"")))</f>
        <v/>
      </c>
      <c r="G239" s="757">
        <f t="shared" si="50"/>
        <v>0</v>
      </c>
      <c r="H239" s="758" t="str">
        <f>IFERROR(INDEX('Local Data Previous Year'!$F:$F, MATCH($D239, 'Local Data Previous Year'!$D:$D, 0)), "")</f>
        <v/>
      </c>
      <c r="I239" s="759">
        <f>IF(B239=CTR1_Billing!$E$21&amp;"NEW",1,0)</f>
        <v>0</v>
      </c>
      <c r="J239" s="760" t="str">
        <f>IFERROR(INDEX('Local Data Previous Year'!$G:$G, MATCH($D239, 'Local Data Previous Year'!$D:$D, 0)), "")</f>
        <v/>
      </c>
      <c r="K239" s="762"/>
      <c r="L239" s="760" t="str">
        <f>IFERROR(INDEX('Local Data Previous Year'!$H:$H, MATCH($D239, 'Local Data Previous Year'!$D:$D, 0)), "")</f>
        <v/>
      </c>
      <c r="M239" s="762"/>
      <c r="N239" s="763"/>
      <c r="O239" s="767"/>
      <c r="P239" s="765"/>
      <c r="Q239" s="767"/>
      <c r="R239" s="766" t="str">
        <f t="shared" si="51"/>
        <v/>
      </c>
      <c r="S239" s="754"/>
      <c r="T239" s="763"/>
      <c r="U239" s="754"/>
      <c r="V239" s="763"/>
      <c r="W239" s="763"/>
      <c r="X239" s="865" t="str">
        <f>VLOOKUP(CTR1_Billing!$E$21,Data!$C$6:$D$302,1,FALSE)</f>
        <v>EZZZZ</v>
      </c>
      <c r="Y239" s="205"/>
      <c r="Z239" s="205">
        <f t="shared" si="39"/>
        <v>0</v>
      </c>
      <c r="AA239" s="206" t="str">
        <f t="shared" si="40"/>
        <v/>
      </c>
      <c r="AB239" s="205">
        <f t="shared" si="41"/>
        <v>0</v>
      </c>
      <c r="AC239" s="208"/>
      <c r="AD239" s="208"/>
      <c r="AE239" s="208"/>
      <c r="AF239" s="208"/>
      <c r="AG239" s="209" t="str">
        <f>IFERROR(INDEX('Local Data Previous Year'!$F:$F, MATCH($D239, 'Local Data Previous Year'!$D:$D, 0)), "")</f>
        <v/>
      </c>
      <c r="AH239" s="209" t="str">
        <f>IFERROR(INDEX('Local Data Previous Year'!$G:$G, MATCH($D239, 'Local Data Previous Year'!$D:$D, 0)), "")</f>
        <v/>
      </c>
      <c r="AI239" s="209" t="str">
        <f>IFERROR(INDEX('Local Data Previous Year'!$H:$H, MATCH($D239, 'Local Data Previous Year'!$D:$D, 0)), "")</f>
        <v/>
      </c>
      <c r="AJ239" s="209" t="str">
        <f t="shared" si="42"/>
        <v/>
      </c>
      <c r="AK239" s="209" t="str">
        <f t="shared" si="43"/>
        <v/>
      </c>
      <c r="AL239" s="209" t="str">
        <f t="shared" si="44"/>
        <v/>
      </c>
      <c r="AM239" s="208" t="str">
        <f>IF($AN239="","",IFERROR(VLOOKUP(CONCATENATE(CTR1_Billing!$E$20,$AN239),'Local Data Previous Year'!$C$3:$D$50000,2,0),CTR1_Billing!$E$21&amp;"NEW"))</f>
        <v/>
      </c>
      <c r="AN239" s="209" t="str" cm="1">
        <f t="array" ref="AN239">IF(ISERROR(INDEX('Local Data Previous Year'!$E$3:$E$50000, SMALL(IF(CTR1_Billing!$E$21='Local Data Previous Year'!$A$3:$A$50000, ROW('Local Data Previous Year'!$A$3:$A$50000)-ROW('Local Data Previous Year'!$A$3)+1), ROW(207:207)))), "", INDEX('Local Data Previous Year'!$E$3:$E$50000, SMALL(IF(CTR1_Billing!$E$21='Local Data Previous Year'!$A$3:$A$50000, ROW('Local Data Previous Year'!$A$3:$A$50000)-ROW('Local Data Previous Year'!$A$3)+1), ROW(207:207))))</f>
        <v/>
      </c>
      <c r="AO239" s="209" t="str">
        <f t="shared" si="45"/>
        <v/>
      </c>
      <c r="AP239" s="208"/>
      <c r="AQ239" s="209" t="str">
        <f t="shared" si="46"/>
        <v/>
      </c>
      <c r="AR239" s="209" t="str">
        <f t="shared" si="47"/>
        <v/>
      </c>
      <c r="AS239" s="202" t="str">
        <f t="shared" si="48"/>
        <v/>
      </c>
      <c r="AT239" s="202" t="str">
        <f t="shared" si="49"/>
        <v/>
      </c>
      <c r="AU239" s="208"/>
      <c r="AV239" s="208"/>
      <c r="AW239" s="208"/>
      <c r="AX239" s="208"/>
      <c r="AY239" s="208"/>
      <c r="AZ239" s="208"/>
      <c r="BA239" s="208"/>
      <c r="BB239" s="208"/>
      <c r="BC239" s="208"/>
      <c r="BD239" s="208"/>
      <c r="BE239" s="208"/>
      <c r="BF239" s="208"/>
      <c r="BG239" s="28"/>
      <c r="BH239" s="28"/>
      <c r="BI239" s="28"/>
      <c r="BJ239" s="28"/>
    </row>
    <row r="240" spans="1:62" s="23" customFormat="1" ht="21" customHeight="1" thickBot="1" x14ac:dyDescent="0.25">
      <c r="A240" s="846" t="str">
        <f>IF($AN240="","",IFERROR(VLOOKUP(CONCATENATE(CTR1_Billing!$E$20,$AN240),'Local Data Previous Year'!$C$3:$D$20000,2,0),CTR1_Billing!$E$21&amp;"NEW"))</f>
        <v/>
      </c>
      <c r="B240" s="846" t="str">
        <f>IF($E240="","",IFERROR(VLOOKUP(CONCATENATE(CTR1_Billing!$E$20,CTR1_Local!$E240),'Local Data Previous Year'!$C$3:$D$20000,2,0),CTR1_Billing!$E$21&amp;"NEW"))</f>
        <v/>
      </c>
      <c r="C240" s="846">
        <v>208</v>
      </c>
      <c r="D240" s="755" t="str" cm="1">
        <f t="array" ref="D240">IF(ISERROR(INDEX('Local Data Previous Year'!$D$3:$D$20000,SMALL(IF(CTR1_Billing!$E$21='Local Data Previous Year'!$A$3:$A$20000,ROW('Local Data Previous Year'!$A$3:$A$20000)-ROW('Local Data Previous Year'!$A$3)+1),ROW(208:208)))),"",INDEX('Local Data Previous Year'!$D$3:$D$20000,SMALL(IF(CTR1_Billing!$E$21='Local Data Previous Year'!$A$3:$A$20000,ROW('Local Data Previous Year'!$A$3:$A$20000)-ROW('Local Data Previous Year'!$A$3)+1),ROW(208:208))))</f>
        <v/>
      </c>
      <c r="E240" s="755" t="str" cm="1">
        <f t="array" ref="E240">IF(ISERROR(INDEX('Local Data Previous Year'!$E$3:$E$20000,SMALL(IF(CTR1_Billing!$E$21='Local Data Previous Year'!$A$3:$A$20000,ROW('Local Data Previous Year'!$A$3:$A$20000)-ROW('Local Data Previous Year'!$A$3)+1),ROW(208:208)))),"",INDEX('Local Data Previous Year'!$E$3:$E$20000,SMALL(IF(CTR1_Billing!$E$21='Local Data Previous Year'!$A$3:$A$20000,ROW('Local Data Previous Year'!$A$3:$A$20000)-ROW('Local Data Previous Year'!$A$3)+1),ROW(208:208))))</f>
        <v/>
      </c>
      <c r="F240" s="756" t="str">
        <f>IF($D240="","",IF(ISNA(MATCH($D240,'Local Data Previous Year'!$D$3:$D$20000,0)),"New",IFERROR(VLOOKUP($B240,'Local Data Previous Year'!$D$3:$I$20000,6,0),"")))</f>
        <v/>
      </c>
      <c r="G240" s="757">
        <f t="shared" si="50"/>
        <v>0</v>
      </c>
      <c r="H240" s="758" t="str">
        <f>IFERROR(INDEX('Local Data Previous Year'!$F:$F, MATCH($D240, 'Local Data Previous Year'!$D:$D, 0)), "")</f>
        <v/>
      </c>
      <c r="I240" s="759">
        <f>IF(B240=CTR1_Billing!$E$21&amp;"NEW",1,0)</f>
        <v>0</v>
      </c>
      <c r="J240" s="760" t="str">
        <f>IFERROR(INDEX('Local Data Previous Year'!$G:$G, MATCH($D240, 'Local Data Previous Year'!$D:$D, 0)), "")</f>
        <v/>
      </c>
      <c r="K240" s="762"/>
      <c r="L240" s="760" t="str">
        <f>IFERROR(INDEX('Local Data Previous Year'!$H:$H, MATCH($D240, 'Local Data Previous Year'!$D:$D, 0)), "")</f>
        <v/>
      </c>
      <c r="M240" s="762"/>
      <c r="N240" s="763"/>
      <c r="O240" s="767"/>
      <c r="P240" s="765"/>
      <c r="Q240" s="767"/>
      <c r="R240" s="766" t="str">
        <f t="shared" si="51"/>
        <v/>
      </c>
      <c r="S240" s="754"/>
      <c r="T240" s="763"/>
      <c r="U240" s="754"/>
      <c r="V240" s="763"/>
      <c r="W240" s="763"/>
      <c r="X240" s="865" t="str">
        <f>VLOOKUP(CTR1_Billing!$E$21,Data!$C$6:$D$302,1,FALSE)</f>
        <v>EZZZZ</v>
      </c>
      <c r="Y240" s="205"/>
      <c r="Z240" s="205">
        <f t="shared" si="39"/>
        <v>0</v>
      </c>
      <c r="AA240" s="206" t="str">
        <f t="shared" si="40"/>
        <v/>
      </c>
      <c r="AB240" s="205">
        <f t="shared" si="41"/>
        <v>0</v>
      </c>
      <c r="AC240" s="208"/>
      <c r="AD240" s="208"/>
      <c r="AE240" s="208"/>
      <c r="AF240" s="208"/>
      <c r="AG240" s="209" t="str">
        <f>IFERROR(INDEX('Local Data Previous Year'!$F:$F, MATCH($D240, 'Local Data Previous Year'!$D:$D, 0)), "")</f>
        <v/>
      </c>
      <c r="AH240" s="209" t="str">
        <f>IFERROR(INDEX('Local Data Previous Year'!$G:$G, MATCH($D240, 'Local Data Previous Year'!$D:$D, 0)), "")</f>
        <v/>
      </c>
      <c r="AI240" s="209" t="str">
        <f>IFERROR(INDEX('Local Data Previous Year'!$H:$H, MATCH($D240, 'Local Data Previous Year'!$D:$D, 0)), "")</f>
        <v/>
      </c>
      <c r="AJ240" s="209" t="str">
        <f t="shared" si="42"/>
        <v/>
      </c>
      <c r="AK240" s="209" t="str">
        <f t="shared" si="43"/>
        <v/>
      </c>
      <c r="AL240" s="209" t="str">
        <f t="shared" si="44"/>
        <v/>
      </c>
      <c r="AM240" s="208" t="str">
        <f>IF($AN240="","",IFERROR(VLOOKUP(CONCATENATE(CTR1_Billing!$E$20,$AN240),'Local Data Previous Year'!$C$3:$D$50000,2,0),CTR1_Billing!$E$21&amp;"NEW"))</f>
        <v/>
      </c>
      <c r="AN240" s="209" t="str" cm="1">
        <f t="array" ref="AN240">IF(ISERROR(INDEX('Local Data Previous Year'!$E$3:$E$50000, SMALL(IF(CTR1_Billing!$E$21='Local Data Previous Year'!$A$3:$A$50000, ROW('Local Data Previous Year'!$A$3:$A$50000)-ROW('Local Data Previous Year'!$A$3)+1), ROW(208:208)))), "", INDEX('Local Data Previous Year'!$E$3:$E$50000, SMALL(IF(CTR1_Billing!$E$21='Local Data Previous Year'!$A$3:$A$50000, ROW('Local Data Previous Year'!$A$3:$A$50000)-ROW('Local Data Previous Year'!$A$3)+1), ROW(208:208))))</f>
        <v/>
      </c>
      <c r="AO240" s="209" t="str">
        <f t="shared" si="45"/>
        <v/>
      </c>
      <c r="AP240" s="208"/>
      <c r="AQ240" s="209" t="str">
        <f t="shared" si="46"/>
        <v/>
      </c>
      <c r="AR240" s="209" t="str">
        <f t="shared" si="47"/>
        <v/>
      </c>
      <c r="AS240" s="202" t="str">
        <f t="shared" si="48"/>
        <v/>
      </c>
      <c r="AT240" s="202" t="str">
        <f t="shared" si="49"/>
        <v/>
      </c>
      <c r="AU240" s="208"/>
      <c r="AV240" s="208"/>
      <c r="AW240" s="208"/>
      <c r="AX240" s="208"/>
      <c r="AY240" s="208"/>
      <c r="AZ240" s="208"/>
      <c r="BA240" s="208"/>
      <c r="BB240" s="208"/>
      <c r="BC240" s="208"/>
      <c r="BD240" s="208"/>
      <c r="BE240" s="208"/>
      <c r="BF240" s="208"/>
      <c r="BG240" s="28"/>
      <c r="BH240" s="28"/>
      <c r="BI240" s="28"/>
      <c r="BJ240" s="28"/>
    </row>
    <row r="241" spans="1:62" s="23" customFormat="1" ht="21" customHeight="1" thickBot="1" x14ac:dyDescent="0.25">
      <c r="A241" s="846" t="str">
        <f>IF($AN241="","",IFERROR(VLOOKUP(CONCATENATE(CTR1_Billing!$E$20,$AN241),'Local Data Previous Year'!$C$3:$D$20000,2,0),CTR1_Billing!$E$21&amp;"NEW"))</f>
        <v/>
      </c>
      <c r="B241" s="846" t="str">
        <f>IF($E241="","",IFERROR(VLOOKUP(CONCATENATE(CTR1_Billing!$E$20,CTR1_Local!$E241),'Local Data Previous Year'!$C$3:$D$20000,2,0),CTR1_Billing!$E$21&amp;"NEW"))</f>
        <v/>
      </c>
      <c r="C241" s="846">
        <v>209</v>
      </c>
      <c r="D241" s="755" t="str" cm="1">
        <f t="array" ref="D241">IF(ISERROR(INDEX('Local Data Previous Year'!$D$3:$D$20000,SMALL(IF(CTR1_Billing!$E$21='Local Data Previous Year'!$A$3:$A$20000,ROW('Local Data Previous Year'!$A$3:$A$20000)-ROW('Local Data Previous Year'!$A$3)+1),ROW(209:209)))),"",INDEX('Local Data Previous Year'!$D$3:$D$20000,SMALL(IF(CTR1_Billing!$E$21='Local Data Previous Year'!$A$3:$A$20000,ROW('Local Data Previous Year'!$A$3:$A$20000)-ROW('Local Data Previous Year'!$A$3)+1),ROW(209:209))))</f>
        <v/>
      </c>
      <c r="E241" s="755" t="str" cm="1">
        <f t="array" ref="E241">IF(ISERROR(INDEX('Local Data Previous Year'!$E$3:$E$20000,SMALL(IF(CTR1_Billing!$E$21='Local Data Previous Year'!$A$3:$A$20000,ROW('Local Data Previous Year'!$A$3:$A$20000)-ROW('Local Data Previous Year'!$A$3)+1),ROW(209:209)))),"",INDEX('Local Data Previous Year'!$E$3:$E$20000,SMALL(IF(CTR1_Billing!$E$21='Local Data Previous Year'!$A$3:$A$20000,ROW('Local Data Previous Year'!$A$3:$A$20000)-ROW('Local Data Previous Year'!$A$3)+1),ROW(209:209))))</f>
        <v/>
      </c>
      <c r="F241" s="756" t="str">
        <f>IF($D241="","",IF(ISNA(MATCH($D241,'Local Data Previous Year'!$D$3:$D$20000,0)),"New",IFERROR(VLOOKUP($B241,'Local Data Previous Year'!$D$3:$I$20000,6,0),"")))</f>
        <v/>
      </c>
      <c r="G241" s="757">
        <f t="shared" si="50"/>
        <v>0</v>
      </c>
      <c r="H241" s="758" t="str">
        <f>IFERROR(INDEX('Local Data Previous Year'!$F:$F, MATCH($D241, 'Local Data Previous Year'!$D:$D, 0)), "")</f>
        <v/>
      </c>
      <c r="I241" s="759">
        <f>IF(B241=CTR1_Billing!$E$21&amp;"NEW",1,0)</f>
        <v>0</v>
      </c>
      <c r="J241" s="760" t="str">
        <f>IFERROR(INDEX('Local Data Previous Year'!$G:$G, MATCH($D241, 'Local Data Previous Year'!$D:$D, 0)), "")</f>
        <v/>
      </c>
      <c r="K241" s="762"/>
      <c r="L241" s="760" t="str">
        <f>IFERROR(INDEX('Local Data Previous Year'!$H:$H, MATCH($D241, 'Local Data Previous Year'!$D:$D, 0)), "")</f>
        <v/>
      </c>
      <c r="M241" s="762"/>
      <c r="N241" s="763"/>
      <c r="O241" s="767"/>
      <c r="P241" s="765"/>
      <c r="Q241" s="767"/>
      <c r="R241" s="766" t="str">
        <f t="shared" si="51"/>
        <v/>
      </c>
      <c r="S241" s="754"/>
      <c r="T241" s="763"/>
      <c r="U241" s="754"/>
      <c r="V241" s="763"/>
      <c r="W241" s="763"/>
      <c r="X241" s="865" t="str">
        <f>VLOOKUP(CTR1_Billing!$E$21,Data!$C$6:$D$302,1,FALSE)</f>
        <v>EZZZZ</v>
      </c>
      <c r="Y241" s="205"/>
      <c r="Z241" s="205">
        <f t="shared" si="39"/>
        <v>0</v>
      </c>
      <c r="AA241" s="206" t="str">
        <f t="shared" si="40"/>
        <v/>
      </c>
      <c r="AB241" s="205">
        <f t="shared" si="41"/>
        <v>0</v>
      </c>
      <c r="AC241" s="208"/>
      <c r="AD241" s="208"/>
      <c r="AE241" s="208"/>
      <c r="AF241" s="208"/>
      <c r="AG241" s="209" t="str">
        <f>IFERROR(INDEX('Local Data Previous Year'!$F:$F, MATCH($D241, 'Local Data Previous Year'!$D:$D, 0)), "")</f>
        <v/>
      </c>
      <c r="AH241" s="209" t="str">
        <f>IFERROR(INDEX('Local Data Previous Year'!$G:$G, MATCH($D241, 'Local Data Previous Year'!$D:$D, 0)), "")</f>
        <v/>
      </c>
      <c r="AI241" s="209" t="str">
        <f>IFERROR(INDEX('Local Data Previous Year'!$H:$H, MATCH($D241, 'Local Data Previous Year'!$D:$D, 0)), "")</f>
        <v/>
      </c>
      <c r="AJ241" s="209" t="str">
        <f t="shared" si="42"/>
        <v/>
      </c>
      <c r="AK241" s="209" t="str">
        <f t="shared" si="43"/>
        <v/>
      </c>
      <c r="AL241" s="209" t="str">
        <f t="shared" si="44"/>
        <v/>
      </c>
      <c r="AM241" s="208" t="str">
        <f>IF($AN241="","",IFERROR(VLOOKUP(CONCATENATE(CTR1_Billing!$E$20,$AN241),'Local Data Previous Year'!$C$3:$D$50000,2,0),CTR1_Billing!$E$21&amp;"NEW"))</f>
        <v/>
      </c>
      <c r="AN241" s="209" t="str" cm="1">
        <f t="array" ref="AN241">IF(ISERROR(INDEX('Local Data Previous Year'!$E$3:$E$50000, SMALL(IF(CTR1_Billing!$E$21='Local Data Previous Year'!$A$3:$A$50000, ROW('Local Data Previous Year'!$A$3:$A$50000)-ROW('Local Data Previous Year'!$A$3)+1), ROW(209:209)))), "", INDEX('Local Data Previous Year'!$E$3:$E$50000, SMALL(IF(CTR1_Billing!$E$21='Local Data Previous Year'!$A$3:$A$50000, ROW('Local Data Previous Year'!$A$3:$A$50000)-ROW('Local Data Previous Year'!$A$3)+1), ROW(209:209))))</f>
        <v/>
      </c>
      <c r="AO241" s="209" t="str">
        <f t="shared" si="45"/>
        <v/>
      </c>
      <c r="AP241" s="208"/>
      <c r="AQ241" s="209" t="str">
        <f t="shared" si="46"/>
        <v/>
      </c>
      <c r="AR241" s="209" t="str">
        <f t="shared" si="47"/>
        <v/>
      </c>
      <c r="AS241" s="202" t="str">
        <f t="shared" si="48"/>
        <v/>
      </c>
      <c r="AT241" s="202" t="str">
        <f t="shared" si="49"/>
        <v/>
      </c>
      <c r="AU241" s="208"/>
      <c r="AV241" s="208"/>
      <c r="AW241" s="208"/>
      <c r="AX241" s="208"/>
      <c r="AY241" s="208"/>
      <c r="AZ241" s="208"/>
      <c r="BA241" s="208"/>
      <c r="BB241" s="208"/>
      <c r="BC241" s="208"/>
      <c r="BD241" s="208"/>
      <c r="BE241" s="208"/>
      <c r="BF241" s="208"/>
      <c r="BG241" s="28"/>
      <c r="BH241" s="28"/>
      <c r="BI241" s="28"/>
      <c r="BJ241" s="28"/>
    </row>
    <row r="242" spans="1:62" s="23" customFormat="1" ht="21" customHeight="1" thickBot="1" x14ac:dyDescent="0.25">
      <c r="A242" s="846" t="str">
        <f>IF($AN242="","",IFERROR(VLOOKUP(CONCATENATE(CTR1_Billing!$E$20,$AN242),'Local Data Previous Year'!$C$3:$D$20000,2,0),CTR1_Billing!$E$21&amp;"NEW"))</f>
        <v/>
      </c>
      <c r="B242" s="846" t="str">
        <f>IF($E242="","",IFERROR(VLOOKUP(CONCATENATE(CTR1_Billing!$E$20,CTR1_Local!$E242),'Local Data Previous Year'!$C$3:$D$20000,2,0),CTR1_Billing!$E$21&amp;"NEW"))</f>
        <v/>
      </c>
      <c r="C242" s="846">
        <v>210</v>
      </c>
      <c r="D242" s="755" t="str" cm="1">
        <f t="array" ref="D242">IF(ISERROR(INDEX('Local Data Previous Year'!$D$3:$D$20000,SMALL(IF(CTR1_Billing!$E$21='Local Data Previous Year'!$A$3:$A$20000,ROW('Local Data Previous Year'!$A$3:$A$20000)-ROW('Local Data Previous Year'!$A$3)+1),ROW(210:210)))),"",INDEX('Local Data Previous Year'!$D$3:$D$20000,SMALL(IF(CTR1_Billing!$E$21='Local Data Previous Year'!$A$3:$A$20000,ROW('Local Data Previous Year'!$A$3:$A$20000)-ROW('Local Data Previous Year'!$A$3)+1),ROW(210:210))))</f>
        <v/>
      </c>
      <c r="E242" s="755" t="str" cm="1">
        <f t="array" ref="E242">IF(ISERROR(INDEX('Local Data Previous Year'!$E$3:$E$20000,SMALL(IF(CTR1_Billing!$E$21='Local Data Previous Year'!$A$3:$A$20000,ROW('Local Data Previous Year'!$A$3:$A$20000)-ROW('Local Data Previous Year'!$A$3)+1),ROW(210:210)))),"",INDEX('Local Data Previous Year'!$E$3:$E$20000,SMALL(IF(CTR1_Billing!$E$21='Local Data Previous Year'!$A$3:$A$20000,ROW('Local Data Previous Year'!$A$3:$A$20000)-ROW('Local Data Previous Year'!$A$3)+1),ROW(210:210))))</f>
        <v/>
      </c>
      <c r="F242" s="756" t="str">
        <f>IF($D242="","",IF(ISNA(MATCH($D242,'Local Data Previous Year'!$D$3:$D$20000,0)),"New",IFERROR(VLOOKUP($B242,'Local Data Previous Year'!$D$3:$I$20000,6,0),"")))</f>
        <v/>
      </c>
      <c r="G242" s="757">
        <f t="shared" si="50"/>
        <v>0</v>
      </c>
      <c r="H242" s="758" t="str">
        <f>IFERROR(INDEX('Local Data Previous Year'!$F:$F, MATCH($D242, 'Local Data Previous Year'!$D:$D, 0)), "")</f>
        <v/>
      </c>
      <c r="I242" s="759">
        <f>IF(B242=CTR1_Billing!$E$21&amp;"NEW",1,0)</f>
        <v>0</v>
      </c>
      <c r="J242" s="760" t="str">
        <f>IFERROR(INDEX('Local Data Previous Year'!$G:$G, MATCH($D242, 'Local Data Previous Year'!$D:$D, 0)), "")</f>
        <v/>
      </c>
      <c r="K242" s="762"/>
      <c r="L242" s="760" t="str">
        <f>IFERROR(INDEX('Local Data Previous Year'!$H:$H, MATCH($D242, 'Local Data Previous Year'!$D:$D, 0)), "")</f>
        <v/>
      </c>
      <c r="M242" s="762"/>
      <c r="N242" s="763"/>
      <c r="O242" s="767"/>
      <c r="P242" s="765"/>
      <c r="Q242" s="767"/>
      <c r="R242" s="766" t="str">
        <f t="shared" si="51"/>
        <v/>
      </c>
      <c r="S242" s="754"/>
      <c r="T242" s="763"/>
      <c r="U242" s="754"/>
      <c r="V242" s="763"/>
      <c r="W242" s="763"/>
      <c r="X242" s="865" t="str">
        <f>VLOOKUP(CTR1_Billing!$E$21,Data!$C$6:$D$302,1,FALSE)</f>
        <v>EZZZZ</v>
      </c>
      <c r="Y242" s="205"/>
      <c r="Z242" s="205">
        <f t="shared" si="39"/>
        <v>0</v>
      </c>
      <c r="AA242" s="206" t="str">
        <f t="shared" si="40"/>
        <v/>
      </c>
      <c r="AB242" s="205">
        <f t="shared" si="41"/>
        <v>0</v>
      </c>
      <c r="AC242" s="208"/>
      <c r="AD242" s="208"/>
      <c r="AE242" s="208"/>
      <c r="AF242" s="208"/>
      <c r="AG242" s="209" t="str">
        <f>IFERROR(INDEX('Local Data Previous Year'!$F:$F, MATCH($D242, 'Local Data Previous Year'!$D:$D, 0)), "")</f>
        <v/>
      </c>
      <c r="AH242" s="209" t="str">
        <f>IFERROR(INDEX('Local Data Previous Year'!$G:$G, MATCH($D242, 'Local Data Previous Year'!$D:$D, 0)), "")</f>
        <v/>
      </c>
      <c r="AI242" s="209" t="str">
        <f>IFERROR(INDEX('Local Data Previous Year'!$H:$H, MATCH($D242, 'Local Data Previous Year'!$D:$D, 0)), "")</f>
        <v/>
      </c>
      <c r="AJ242" s="209" t="str">
        <f t="shared" si="42"/>
        <v/>
      </c>
      <c r="AK242" s="209" t="str">
        <f t="shared" si="43"/>
        <v/>
      </c>
      <c r="AL242" s="209" t="str">
        <f t="shared" si="44"/>
        <v/>
      </c>
      <c r="AM242" s="208" t="str">
        <f>IF($AN242="","",IFERROR(VLOOKUP(CONCATENATE(CTR1_Billing!$E$20,$AN242),'Local Data Previous Year'!$C$3:$D$50000,2,0),CTR1_Billing!$E$21&amp;"NEW"))</f>
        <v/>
      </c>
      <c r="AN242" s="209" t="str" cm="1">
        <f t="array" ref="AN242">IF(ISERROR(INDEX('Local Data Previous Year'!$E$3:$E$50000, SMALL(IF(CTR1_Billing!$E$21='Local Data Previous Year'!$A$3:$A$50000, ROW('Local Data Previous Year'!$A$3:$A$50000)-ROW('Local Data Previous Year'!$A$3)+1), ROW(210:210)))), "", INDEX('Local Data Previous Year'!$E$3:$E$50000, SMALL(IF(CTR1_Billing!$E$21='Local Data Previous Year'!$A$3:$A$50000, ROW('Local Data Previous Year'!$A$3:$A$50000)-ROW('Local Data Previous Year'!$A$3)+1), ROW(210:210))))</f>
        <v/>
      </c>
      <c r="AO242" s="209" t="str">
        <f t="shared" si="45"/>
        <v/>
      </c>
      <c r="AP242" s="208"/>
      <c r="AQ242" s="209" t="str">
        <f t="shared" si="46"/>
        <v/>
      </c>
      <c r="AR242" s="209" t="str">
        <f t="shared" si="47"/>
        <v/>
      </c>
      <c r="AS242" s="202" t="str">
        <f t="shared" si="48"/>
        <v/>
      </c>
      <c r="AT242" s="202" t="str">
        <f t="shared" si="49"/>
        <v/>
      </c>
      <c r="AU242" s="208"/>
      <c r="AV242" s="208"/>
      <c r="AW242" s="208"/>
      <c r="AX242" s="208"/>
      <c r="AY242" s="208"/>
      <c r="AZ242" s="208"/>
      <c r="BA242" s="208"/>
      <c r="BB242" s="208"/>
      <c r="BC242" s="208"/>
      <c r="BD242" s="208"/>
      <c r="BE242" s="208"/>
      <c r="BF242" s="208"/>
      <c r="BG242" s="28"/>
      <c r="BH242" s="28"/>
      <c r="BI242" s="28"/>
      <c r="BJ242" s="28"/>
    </row>
    <row r="243" spans="1:62" s="23" customFormat="1" ht="21" customHeight="1" thickBot="1" x14ac:dyDescent="0.25">
      <c r="A243" s="846" t="str">
        <f>IF($AN243="","",IFERROR(VLOOKUP(CONCATENATE(CTR1_Billing!$E$20,$AN243),'Local Data Previous Year'!$C$3:$D$20000,2,0),CTR1_Billing!$E$21&amp;"NEW"))</f>
        <v/>
      </c>
      <c r="B243" s="846" t="str">
        <f>IF($E243="","",IFERROR(VLOOKUP(CONCATENATE(CTR1_Billing!$E$20,CTR1_Local!$E243),'Local Data Previous Year'!$C$3:$D$20000,2,0),CTR1_Billing!$E$21&amp;"NEW"))</f>
        <v/>
      </c>
      <c r="C243" s="846">
        <v>211</v>
      </c>
      <c r="D243" s="755" t="str" cm="1">
        <f t="array" ref="D243">IF(ISERROR(INDEX('Local Data Previous Year'!$D$3:$D$20000,SMALL(IF(CTR1_Billing!$E$21='Local Data Previous Year'!$A$3:$A$20000,ROW('Local Data Previous Year'!$A$3:$A$20000)-ROW('Local Data Previous Year'!$A$3)+1),ROW(211:211)))),"",INDEX('Local Data Previous Year'!$D$3:$D$20000,SMALL(IF(CTR1_Billing!$E$21='Local Data Previous Year'!$A$3:$A$20000,ROW('Local Data Previous Year'!$A$3:$A$20000)-ROW('Local Data Previous Year'!$A$3)+1),ROW(211:211))))</f>
        <v/>
      </c>
      <c r="E243" s="755" t="str" cm="1">
        <f t="array" ref="E243">IF(ISERROR(INDEX('Local Data Previous Year'!$E$3:$E$20000,SMALL(IF(CTR1_Billing!$E$21='Local Data Previous Year'!$A$3:$A$20000,ROW('Local Data Previous Year'!$A$3:$A$20000)-ROW('Local Data Previous Year'!$A$3)+1),ROW(211:211)))),"",INDEX('Local Data Previous Year'!$E$3:$E$20000,SMALL(IF(CTR1_Billing!$E$21='Local Data Previous Year'!$A$3:$A$20000,ROW('Local Data Previous Year'!$A$3:$A$20000)-ROW('Local Data Previous Year'!$A$3)+1),ROW(211:211))))</f>
        <v/>
      </c>
      <c r="F243" s="756" t="str">
        <f>IF($D243="","",IF(ISNA(MATCH($D243,'Local Data Previous Year'!$D$3:$D$20000,0)),"New",IFERROR(VLOOKUP($B243,'Local Data Previous Year'!$D$3:$I$20000,6,0),"")))</f>
        <v/>
      </c>
      <c r="G243" s="757">
        <f t="shared" si="50"/>
        <v>0</v>
      </c>
      <c r="H243" s="758" t="str">
        <f>IFERROR(INDEX('Local Data Previous Year'!$F:$F, MATCH($D243, 'Local Data Previous Year'!$D:$D, 0)), "")</f>
        <v/>
      </c>
      <c r="I243" s="759">
        <f>IF(B243=CTR1_Billing!$E$21&amp;"NEW",1,0)</f>
        <v>0</v>
      </c>
      <c r="J243" s="760" t="str">
        <f>IFERROR(INDEX('Local Data Previous Year'!$G:$G, MATCH($D243, 'Local Data Previous Year'!$D:$D, 0)), "")</f>
        <v/>
      </c>
      <c r="K243" s="762"/>
      <c r="L243" s="760" t="str">
        <f>IFERROR(INDEX('Local Data Previous Year'!$H:$H, MATCH($D243, 'Local Data Previous Year'!$D:$D, 0)), "")</f>
        <v/>
      </c>
      <c r="M243" s="762"/>
      <c r="N243" s="763"/>
      <c r="O243" s="767"/>
      <c r="P243" s="765"/>
      <c r="Q243" s="767"/>
      <c r="R243" s="766" t="str">
        <f t="shared" si="51"/>
        <v/>
      </c>
      <c r="S243" s="754"/>
      <c r="T243" s="763"/>
      <c r="U243" s="754"/>
      <c r="V243" s="763"/>
      <c r="W243" s="763"/>
      <c r="X243" s="865" t="str">
        <f>VLOOKUP(CTR1_Billing!$E$21,Data!$C$6:$D$302,1,FALSE)</f>
        <v>EZZZZ</v>
      </c>
      <c r="Y243" s="205"/>
      <c r="Z243" s="205">
        <f t="shared" si="39"/>
        <v>0</v>
      </c>
      <c r="AA243" s="206" t="str">
        <f t="shared" si="40"/>
        <v/>
      </c>
      <c r="AB243" s="205">
        <f t="shared" si="41"/>
        <v>0</v>
      </c>
      <c r="AC243" s="208"/>
      <c r="AD243" s="208"/>
      <c r="AE243" s="208"/>
      <c r="AF243" s="208"/>
      <c r="AG243" s="209" t="str">
        <f>IFERROR(INDEX('Local Data Previous Year'!$F:$F, MATCH($D243, 'Local Data Previous Year'!$D:$D, 0)), "")</f>
        <v/>
      </c>
      <c r="AH243" s="209" t="str">
        <f>IFERROR(INDEX('Local Data Previous Year'!$G:$G, MATCH($D243, 'Local Data Previous Year'!$D:$D, 0)), "")</f>
        <v/>
      </c>
      <c r="AI243" s="209" t="str">
        <f>IFERROR(INDEX('Local Data Previous Year'!$H:$H, MATCH($D243, 'Local Data Previous Year'!$D:$D, 0)), "")</f>
        <v/>
      </c>
      <c r="AJ243" s="209" t="str">
        <f t="shared" si="42"/>
        <v/>
      </c>
      <c r="AK243" s="209" t="str">
        <f t="shared" si="43"/>
        <v/>
      </c>
      <c r="AL243" s="209" t="str">
        <f t="shared" si="44"/>
        <v/>
      </c>
      <c r="AM243" s="208" t="str">
        <f>IF($AN243="","",IFERROR(VLOOKUP(CONCATENATE(CTR1_Billing!$E$20,$AN243),'Local Data Previous Year'!$C$3:$D$50000,2,0),CTR1_Billing!$E$21&amp;"NEW"))</f>
        <v/>
      </c>
      <c r="AN243" s="209" t="str" cm="1">
        <f t="array" ref="AN243">IF(ISERROR(INDEX('Local Data Previous Year'!$E$3:$E$50000, SMALL(IF(CTR1_Billing!$E$21='Local Data Previous Year'!$A$3:$A$50000, ROW('Local Data Previous Year'!$A$3:$A$50000)-ROW('Local Data Previous Year'!$A$3)+1), ROW(211:211)))), "", INDEX('Local Data Previous Year'!$E$3:$E$50000, SMALL(IF(CTR1_Billing!$E$21='Local Data Previous Year'!$A$3:$A$50000, ROW('Local Data Previous Year'!$A$3:$A$50000)-ROW('Local Data Previous Year'!$A$3)+1), ROW(211:211))))</f>
        <v/>
      </c>
      <c r="AO243" s="209" t="str">
        <f t="shared" si="45"/>
        <v/>
      </c>
      <c r="AP243" s="208"/>
      <c r="AQ243" s="209" t="str">
        <f t="shared" si="46"/>
        <v/>
      </c>
      <c r="AR243" s="209" t="str">
        <f t="shared" si="47"/>
        <v/>
      </c>
      <c r="AS243" s="202" t="str">
        <f t="shared" si="48"/>
        <v/>
      </c>
      <c r="AT243" s="202" t="str">
        <f t="shared" si="49"/>
        <v/>
      </c>
      <c r="AU243" s="208"/>
      <c r="AV243" s="208"/>
      <c r="AW243" s="208"/>
      <c r="AX243" s="208"/>
      <c r="AY243" s="208"/>
      <c r="AZ243" s="208"/>
      <c r="BA243" s="208"/>
      <c r="BB243" s="208"/>
      <c r="BC243" s="208"/>
      <c r="BD243" s="208"/>
      <c r="BE243" s="208"/>
      <c r="BF243" s="208"/>
      <c r="BG243" s="28"/>
      <c r="BH243" s="28"/>
      <c r="BI243" s="28"/>
      <c r="BJ243" s="28"/>
    </row>
    <row r="244" spans="1:62" s="23" customFormat="1" ht="21" customHeight="1" thickBot="1" x14ac:dyDescent="0.25">
      <c r="A244" s="846" t="str">
        <f>IF($AN244="","",IFERROR(VLOOKUP(CONCATENATE(CTR1_Billing!$E$20,$AN244),'Local Data Previous Year'!$C$3:$D$20000,2,0),CTR1_Billing!$E$21&amp;"NEW"))</f>
        <v/>
      </c>
      <c r="B244" s="846" t="str">
        <f>IF($E244="","",IFERROR(VLOOKUP(CONCATENATE(CTR1_Billing!$E$20,CTR1_Local!$E244),'Local Data Previous Year'!$C$3:$D$20000,2,0),CTR1_Billing!$E$21&amp;"NEW"))</f>
        <v/>
      </c>
      <c r="C244" s="846">
        <v>212</v>
      </c>
      <c r="D244" s="755" t="str" cm="1">
        <f t="array" ref="D244">IF(ISERROR(INDEX('Local Data Previous Year'!$D$3:$D$20000,SMALL(IF(CTR1_Billing!$E$21='Local Data Previous Year'!$A$3:$A$20000,ROW('Local Data Previous Year'!$A$3:$A$20000)-ROW('Local Data Previous Year'!$A$3)+1),ROW(212:212)))),"",INDEX('Local Data Previous Year'!$D$3:$D$20000,SMALL(IF(CTR1_Billing!$E$21='Local Data Previous Year'!$A$3:$A$20000,ROW('Local Data Previous Year'!$A$3:$A$20000)-ROW('Local Data Previous Year'!$A$3)+1),ROW(212:212))))</f>
        <v/>
      </c>
      <c r="E244" s="755" t="str" cm="1">
        <f t="array" ref="E244">IF(ISERROR(INDEX('Local Data Previous Year'!$E$3:$E$20000,SMALL(IF(CTR1_Billing!$E$21='Local Data Previous Year'!$A$3:$A$20000,ROW('Local Data Previous Year'!$A$3:$A$20000)-ROW('Local Data Previous Year'!$A$3)+1),ROW(212:212)))),"",INDEX('Local Data Previous Year'!$E$3:$E$20000,SMALL(IF(CTR1_Billing!$E$21='Local Data Previous Year'!$A$3:$A$20000,ROW('Local Data Previous Year'!$A$3:$A$20000)-ROW('Local Data Previous Year'!$A$3)+1),ROW(212:212))))</f>
        <v/>
      </c>
      <c r="F244" s="756" t="str">
        <f>IF($D244="","",IF(ISNA(MATCH($D244,'Local Data Previous Year'!$D$3:$D$20000,0)),"New",IFERROR(VLOOKUP($B244,'Local Data Previous Year'!$D$3:$I$20000,6,0),"")))</f>
        <v/>
      </c>
      <c r="G244" s="757">
        <f t="shared" si="50"/>
        <v>0</v>
      </c>
      <c r="H244" s="758" t="str">
        <f>IFERROR(INDEX('Local Data Previous Year'!$F:$F, MATCH($D244, 'Local Data Previous Year'!$D:$D, 0)), "")</f>
        <v/>
      </c>
      <c r="I244" s="759">
        <f>IF(B244=CTR1_Billing!$E$21&amp;"NEW",1,0)</f>
        <v>0</v>
      </c>
      <c r="J244" s="760" t="str">
        <f>IFERROR(INDEX('Local Data Previous Year'!$G:$G, MATCH($D244, 'Local Data Previous Year'!$D:$D, 0)), "")</f>
        <v/>
      </c>
      <c r="K244" s="762"/>
      <c r="L244" s="760" t="str">
        <f>IFERROR(INDEX('Local Data Previous Year'!$H:$H, MATCH($D244, 'Local Data Previous Year'!$D:$D, 0)), "")</f>
        <v/>
      </c>
      <c r="M244" s="762"/>
      <c r="N244" s="763"/>
      <c r="O244" s="767"/>
      <c r="P244" s="765"/>
      <c r="Q244" s="767"/>
      <c r="R244" s="766" t="str">
        <f t="shared" si="51"/>
        <v/>
      </c>
      <c r="S244" s="754"/>
      <c r="T244" s="763"/>
      <c r="U244" s="754"/>
      <c r="V244" s="763"/>
      <c r="W244" s="763"/>
      <c r="X244" s="865" t="str">
        <f>VLOOKUP(CTR1_Billing!$E$21,Data!$C$6:$D$302,1,FALSE)</f>
        <v>EZZZZ</v>
      </c>
      <c r="Y244" s="205"/>
      <c r="Z244" s="205">
        <f t="shared" si="39"/>
        <v>0</v>
      </c>
      <c r="AA244" s="206" t="str">
        <f t="shared" si="40"/>
        <v/>
      </c>
      <c r="AB244" s="205">
        <f t="shared" si="41"/>
        <v>0</v>
      </c>
      <c r="AC244" s="208"/>
      <c r="AD244" s="208"/>
      <c r="AE244" s="208"/>
      <c r="AF244" s="208"/>
      <c r="AG244" s="209" t="str">
        <f>IFERROR(INDEX('Local Data Previous Year'!$F:$F, MATCH($D244, 'Local Data Previous Year'!$D:$D, 0)), "")</f>
        <v/>
      </c>
      <c r="AH244" s="209" t="str">
        <f>IFERROR(INDEX('Local Data Previous Year'!$G:$G, MATCH($D244, 'Local Data Previous Year'!$D:$D, 0)), "")</f>
        <v/>
      </c>
      <c r="AI244" s="209" t="str">
        <f>IFERROR(INDEX('Local Data Previous Year'!$H:$H, MATCH($D244, 'Local Data Previous Year'!$D:$D, 0)), "")</f>
        <v/>
      </c>
      <c r="AJ244" s="209" t="str">
        <f t="shared" si="42"/>
        <v/>
      </c>
      <c r="AK244" s="209" t="str">
        <f t="shared" si="43"/>
        <v/>
      </c>
      <c r="AL244" s="209" t="str">
        <f t="shared" si="44"/>
        <v/>
      </c>
      <c r="AM244" s="208" t="str">
        <f>IF($AN244="","",IFERROR(VLOOKUP(CONCATENATE(CTR1_Billing!$E$20,$AN244),'Local Data Previous Year'!$C$3:$D$50000,2,0),CTR1_Billing!$E$21&amp;"NEW"))</f>
        <v/>
      </c>
      <c r="AN244" s="209" t="str" cm="1">
        <f t="array" ref="AN244">IF(ISERROR(INDEX('Local Data Previous Year'!$E$3:$E$50000, SMALL(IF(CTR1_Billing!$E$21='Local Data Previous Year'!$A$3:$A$50000, ROW('Local Data Previous Year'!$A$3:$A$50000)-ROW('Local Data Previous Year'!$A$3)+1), ROW(212:212)))), "", INDEX('Local Data Previous Year'!$E$3:$E$50000, SMALL(IF(CTR1_Billing!$E$21='Local Data Previous Year'!$A$3:$A$50000, ROW('Local Data Previous Year'!$A$3:$A$50000)-ROW('Local Data Previous Year'!$A$3)+1), ROW(212:212))))</f>
        <v/>
      </c>
      <c r="AO244" s="209" t="str">
        <f t="shared" si="45"/>
        <v/>
      </c>
      <c r="AP244" s="208"/>
      <c r="AQ244" s="209" t="str">
        <f t="shared" si="46"/>
        <v/>
      </c>
      <c r="AR244" s="209" t="str">
        <f t="shared" si="47"/>
        <v/>
      </c>
      <c r="AS244" s="202" t="str">
        <f t="shared" si="48"/>
        <v/>
      </c>
      <c r="AT244" s="202" t="str">
        <f t="shared" si="49"/>
        <v/>
      </c>
      <c r="AU244" s="208"/>
      <c r="AV244" s="208"/>
      <c r="AW244" s="208"/>
      <c r="AX244" s="208"/>
      <c r="AY244" s="208"/>
      <c r="AZ244" s="208"/>
      <c r="BA244" s="208"/>
      <c r="BB244" s="208"/>
      <c r="BC244" s="208"/>
      <c r="BD244" s="208"/>
      <c r="BE244" s="208"/>
      <c r="BF244" s="208"/>
      <c r="BG244" s="28"/>
      <c r="BH244" s="28"/>
      <c r="BI244" s="28"/>
      <c r="BJ244" s="28"/>
    </row>
    <row r="245" spans="1:62" s="23" customFormat="1" ht="21" customHeight="1" thickBot="1" x14ac:dyDescent="0.25">
      <c r="A245" s="846" t="str">
        <f>IF($AN245="","",IFERROR(VLOOKUP(CONCATENATE(CTR1_Billing!$E$20,$AN245),'Local Data Previous Year'!$C$3:$D$20000,2,0),CTR1_Billing!$E$21&amp;"NEW"))</f>
        <v/>
      </c>
      <c r="B245" s="846" t="str">
        <f>IF($E245="","",IFERROR(VLOOKUP(CONCATENATE(CTR1_Billing!$E$20,CTR1_Local!$E245),'Local Data Previous Year'!$C$3:$D$20000,2,0),CTR1_Billing!$E$21&amp;"NEW"))</f>
        <v/>
      </c>
      <c r="C245" s="846">
        <v>213</v>
      </c>
      <c r="D245" s="755" t="str" cm="1">
        <f t="array" ref="D245">IF(ISERROR(INDEX('Local Data Previous Year'!$D$3:$D$20000,SMALL(IF(CTR1_Billing!$E$21='Local Data Previous Year'!$A$3:$A$20000,ROW('Local Data Previous Year'!$A$3:$A$20000)-ROW('Local Data Previous Year'!$A$3)+1),ROW(213:213)))),"",INDEX('Local Data Previous Year'!$D$3:$D$20000,SMALL(IF(CTR1_Billing!$E$21='Local Data Previous Year'!$A$3:$A$20000,ROW('Local Data Previous Year'!$A$3:$A$20000)-ROW('Local Data Previous Year'!$A$3)+1),ROW(213:213))))</f>
        <v/>
      </c>
      <c r="E245" s="755" t="str" cm="1">
        <f t="array" ref="E245">IF(ISERROR(INDEX('Local Data Previous Year'!$E$3:$E$20000,SMALL(IF(CTR1_Billing!$E$21='Local Data Previous Year'!$A$3:$A$20000,ROW('Local Data Previous Year'!$A$3:$A$20000)-ROW('Local Data Previous Year'!$A$3)+1),ROW(213:213)))),"",INDEX('Local Data Previous Year'!$E$3:$E$20000,SMALL(IF(CTR1_Billing!$E$21='Local Data Previous Year'!$A$3:$A$20000,ROW('Local Data Previous Year'!$A$3:$A$20000)-ROW('Local Data Previous Year'!$A$3)+1),ROW(213:213))))</f>
        <v/>
      </c>
      <c r="F245" s="756" t="str">
        <f>IF($D245="","",IF(ISNA(MATCH($D245,'Local Data Previous Year'!$D$3:$D$20000,0)),"New",IFERROR(VLOOKUP($B245,'Local Data Previous Year'!$D$3:$I$20000,6,0),"")))</f>
        <v/>
      </c>
      <c r="G245" s="757">
        <f t="shared" si="50"/>
        <v>0</v>
      </c>
      <c r="H245" s="758" t="str">
        <f>IFERROR(INDEX('Local Data Previous Year'!$F:$F, MATCH($D245, 'Local Data Previous Year'!$D:$D, 0)), "")</f>
        <v/>
      </c>
      <c r="I245" s="759">
        <f>IF(B245=CTR1_Billing!$E$21&amp;"NEW",1,0)</f>
        <v>0</v>
      </c>
      <c r="J245" s="760" t="str">
        <f>IFERROR(INDEX('Local Data Previous Year'!$G:$G, MATCH($D245, 'Local Data Previous Year'!$D:$D, 0)), "")</f>
        <v/>
      </c>
      <c r="K245" s="762"/>
      <c r="L245" s="760" t="str">
        <f>IFERROR(INDEX('Local Data Previous Year'!$H:$H, MATCH($D245, 'Local Data Previous Year'!$D:$D, 0)), "")</f>
        <v/>
      </c>
      <c r="M245" s="762"/>
      <c r="N245" s="763"/>
      <c r="O245" s="767"/>
      <c r="P245" s="765"/>
      <c r="Q245" s="767"/>
      <c r="R245" s="766" t="str">
        <f t="shared" si="51"/>
        <v/>
      </c>
      <c r="S245" s="754"/>
      <c r="T245" s="763"/>
      <c r="U245" s="754"/>
      <c r="V245" s="763"/>
      <c r="W245" s="763"/>
      <c r="X245" s="865" t="str">
        <f>VLOOKUP(CTR1_Billing!$E$21,Data!$C$6:$D$302,1,FALSE)</f>
        <v>EZZZZ</v>
      </c>
      <c r="Y245" s="205"/>
      <c r="Z245" s="205">
        <f t="shared" si="39"/>
        <v>0</v>
      </c>
      <c r="AA245" s="206" t="str">
        <f t="shared" si="40"/>
        <v/>
      </c>
      <c r="AB245" s="205">
        <f t="shared" si="41"/>
        <v>0</v>
      </c>
      <c r="AC245" s="208"/>
      <c r="AD245" s="208"/>
      <c r="AE245" s="208"/>
      <c r="AF245" s="208"/>
      <c r="AG245" s="209" t="str">
        <f>IFERROR(INDEX('Local Data Previous Year'!$F:$F, MATCH($D245, 'Local Data Previous Year'!$D:$D, 0)), "")</f>
        <v/>
      </c>
      <c r="AH245" s="209" t="str">
        <f>IFERROR(INDEX('Local Data Previous Year'!$G:$G, MATCH($D245, 'Local Data Previous Year'!$D:$D, 0)), "")</f>
        <v/>
      </c>
      <c r="AI245" s="209" t="str">
        <f>IFERROR(INDEX('Local Data Previous Year'!$H:$H, MATCH($D245, 'Local Data Previous Year'!$D:$D, 0)), "")</f>
        <v/>
      </c>
      <c r="AJ245" s="209" t="str">
        <f t="shared" si="42"/>
        <v/>
      </c>
      <c r="AK245" s="209" t="str">
        <f t="shared" si="43"/>
        <v/>
      </c>
      <c r="AL245" s="209" t="str">
        <f t="shared" si="44"/>
        <v/>
      </c>
      <c r="AM245" s="208" t="str">
        <f>IF($AN245="","",IFERROR(VLOOKUP(CONCATENATE(CTR1_Billing!$E$20,$AN245),'Local Data Previous Year'!$C$3:$D$50000,2,0),CTR1_Billing!$E$21&amp;"NEW"))</f>
        <v/>
      </c>
      <c r="AN245" s="209" t="str" cm="1">
        <f t="array" ref="AN245">IF(ISERROR(INDEX('Local Data Previous Year'!$E$3:$E$50000, SMALL(IF(CTR1_Billing!$E$21='Local Data Previous Year'!$A$3:$A$50000, ROW('Local Data Previous Year'!$A$3:$A$50000)-ROW('Local Data Previous Year'!$A$3)+1), ROW(213:213)))), "", INDEX('Local Data Previous Year'!$E$3:$E$50000, SMALL(IF(CTR1_Billing!$E$21='Local Data Previous Year'!$A$3:$A$50000, ROW('Local Data Previous Year'!$A$3:$A$50000)-ROW('Local Data Previous Year'!$A$3)+1), ROW(213:213))))</f>
        <v/>
      </c>
      <c r="AO245" s="209" t="str">
        <f t="shared" si="45"/>
        <v/>
      </c>
      <c r="AP245" s="208"/>
      <c r="AQ245" s="209" t="str">
        <f t="shared" si="46"/>
        <v/>
      </c>
      <c r="AR245" s="209" t="str">
        <f t="shared" si="47"/>
        <v/>
      </c>
      <c r="AS245" s="202" t="str">
        <f t="shared" si="48"/>
        <v/>
      </c>
      <c r="AT245" s="202" t="str">
        <f t="shared" si="49"/>
        <v/>
      </c>
      <c r="AU245" s="208"/>
      <c r="AV245" s="208"/>
      <c r="AW245" s="208"/>
      <c r="AX245" s="208"/>
      <c r="AY245" s="208"/>
      <c r="AZ245" s="208"/>
      <c r="BA245" s="208"/>
      <c r="BB245" s="208"/>
      <c r="BC245" s="208"/>
      <c r="BD245" s="208"/>
      <c r="BE245" s="208"/>
      <c r="BF245" s="208"/>
      <c r="BG245" s="28"/>
      <c r="BH245" s="28"/>
      <c r="BI245" s="28"/>
      <c r="BJ245" s="28"/>
    </row>
    <row r="246" spans="1:62" s="23" customFormat="1" ht="21" customHeight="1" thickBot="1" x14ac:dyDescent="0.25">
      <c r="A246" s="846" t="str">
        <f>IF($AN246="","",IFERROR(VLOOKUP(CONCATENATE(CTR1_Billing!$E$20,$AN246),'Local Data Previous Year'!$C$3:$D$20000,2,0),CTR1_Billing!$E$21&amp;"NEW"))</f>
        <v/>
      </c>
      <c r="B246" s="846" t="str">
        <f>IF($E246="","",IFERROR(VLOOKUP(CONCATENATE(CTR1_Billing!$E$20,CTR1_Local!$E246),'Local Data Previous Year'!$C$3:$D$20000,2,0),CTR1_Billing!$E$21&amp;"NEW"))</f>
        <v/>
      </c>
      <c r="C246" s="846">
        <v>214</v>
      </c>
      <c r="D246" s="755" t="str" cm="1">
        <f t="array" ref="D246">IF(ISERROR(INDEX('Local Data Previous Year'!$D$3:$D$20000,SMALL(IF(CTR1_Billing!$E$21='Local Data Previous Year'!$A$3:$A$20000,ROW('Local Data Previous Year'!$A$3:$A$20000)-ROW('Local Data Previous Year'!$A$3)+1),ROW(214:214)))),"",INDEX('Local Data Previous Year'!$D$3:$D$20000,SMALL(IF(CTR1_Billing!$E$21='Local Data Previous Year'!$A$3:$A$20000,ROW('Local Data Previous Year'!$A$3:$A$20000)-ROW('Local Data Previous Year'!$A$3)+1),ROW(214:214))))</f>
        <v/>
      </c>
      <c r="E246" s="755" t="str" cm="1">
        <f t="array" ref="E246">IF(ISERROR(INDEX('Local Data Previous Year'!$E$3:$E$20000,SMALL(IF(CTR1_Billing!$E$21='Local Data Previous Year'!$A$3:$A$20000,ROW('Local Data Previous Year'!$A$3:$A$20000)-ROW('Local Data Previous Year'!$A$3)+1),ROW(214:214)))),"",INDEX('Local Data Previous Year'!$E$3:$E$20000,SMALL(IF(CTR1_Billing!$E$21='Local Data Previous Year'!$A$3:$A$20000,ROW('Local Data Previous Year'!$A$3:$A$20000)-ROW('Local Data Previous Year'!$A$3)+1),ROW(214:214))))</f>
        <v/>
      </c>
      <c r="F246" s="756" t="str">
        <f>IF($D246="","",IF(ISNA(MATCH($D246,'Local Data Previous Year'!$D$3:$D$20000,0)),"New",IFERROR(VLOOKUP($B246,'Local Data Previous Year'!$D$3:$I$20000,6,0),"")))</f>
        <v/>
      </c>
      <c r="G246" s="757">
        <f t="shared" si="50"/>
        <v>0</v>
      </c>
      <c r="H246" s="758" t="str">
        <f>IFERROR(INDEX('Local Data Previous Year'!$F:$F, MATCH($D246, 'Local Data Previous Year'!$D:$D, 0)), "")</f>
        <v/>
      </c>
      <c r="I246" s="759">
        <f>IF(B246=CTR1_Billing!$E$21&amp;"NEW",1,0)</f>
        <v>0</v>
      </c>
      <c r="J246" s="760" t="str">
        <f>IFERROR(INDEX('Local Data Previous Year'!$G:$G, MATCH($D246, 'Local Data Previous Year'!$D:$D, 0)), "")</f>
        <v/>
      </c>
      <c r="K246" s="762"/>
      <c r="L246" s="760" t="str">
        <f>IFERROR(INDEX('Local Data Previous Year'!$H:$H, MATCH($D246, 'Local Data Previous Year'!$D:$D, 0)), "")</f>
        <v/>
      </c>
      <c r="M246" s="762"/>
      <c r="N246" s="763"/>
      <c r="O246" s="767"/>
      <c r="P246" s="765"/>
      <c r="Q246" s="767"/>
      <c r="R246" s="766" t="str">
        <f t="shared" si="51"/>
        <v/>
      </c>
      <c r="S246" s="754"/>
      <c r="T246" s="763"/>
      <c r="U246" s="754"/>
      <c r="V246" s="763"/>
      <c r="W246" s="763"/>
      <c r="X246" s="865" t="str">
        <f>VLOOKUP(CTR1_Billing!$E$21,Data!$C$6:$D$302,1,FALSE)</f>
        <v>EZZZZ</v>
      </c>
      <c r="Y246" s="205"/>
      <c r="Z246" s="205">
        <f t="shared" si="39"/>
        <v>0</v>
      </c>
      <c r="AA246" s="206" t="str">
        <f t="shared" si="40"/>
        <v/>
      </c>
      <c r="AB246" s="205">
        <f t="shared" si="41"/>
        <v>0</v>
      </c>
      <c r="AC246" s="208"/>
      <c r="AD246" s="208"/>
      <c r="AE246" s="208"/>
      <c r="AF246" s="208"/>
      <c r="AG246" s="209" t="str">
        <f>IFERROR(INDEX('Local Data Previous Year'!$F:$F, MATCH($D246, 'Local Data Previous Year'!$D:$D, 0)), "")</f>
        <v/>
      </c>
      <c r="AH246" s="209" t="str">
        <f>IFERROR(INDEX('Local Data Previous Year'!$G:$G, MATCH($D246, 'Local Data Previous Year'!$D:$D, 0)), "")</f>
        <v/>
      </c>
      <c r="AI246" s="209" t="str">
        <f>IFERROR(INDEX('Local Data Previous Year'!$H:$H, MATCH($D246, 'Local Data Previous Year'!$D:$D, 0)), "")</f>
        <v/>
      </c>
      <c r="AJ246" s="209" t="str">
        <f t="shared" si="42"/>
        <v/>
      </c>
      <c r="AK246" s="209" t="str">
        <f t="shared" si="43"/>
        <v/>
      </c>
      <c r="AL246" s="209" t="str">
        <f t="shared" si="44"/>
        <v/>
      </c>
      <c r="AM246" s="208" t="str">
        <f>IF($AN246="","",IFERROR(VLOOKUP(CONCATENATE(CTR1_Billing!$E$20,$AN246),'Local Data Previous Year'!$C$3:$D$50000,2,0),CTR1_Billing!$E$21&amp;"NEW"))</f>
        <v/>
      </c>
      <c r="AN246" s="209" t="str" cm="1">
        <f t="array" ref="AN246">IF(ISERROR(INDEX('Local Data Previous Year'!$E$3:$E$50000, SMALL(IF(CTR1_Billing!$E$21='Local Data Previous Year'!$A$3:$A$50000, ROW('Local Data Previous Year'!$A$3:$A$50000)-ROW('Local Data Previous Year'!$A$3)+1), ROW(214:214)))), "", INDEX('Local Data Previous Year'!$E$3:$E$50000, SMALL(IF(CTR1_Billing!$E$21='Local Data Previous Year'!$A$3:$A$50000, ROW('Local Data Previous Year'!$A$3:$A$50000)-ROW('Local Data Previous Year'!$A$3)+1), ROW(214:214))))</f>
        <v/>
      </c>
      <c r="AO246" s="209" t="str">
        <f t="shared" si="45"/>
        <v/>
      </c>
      <c r="AP246" s="208"/>
      <c r="AQ246" s="209" t="str">
        <f t="shared" si="46"/>
        <v/>
      </c>
      <c r="AR246" s="209" t="str">
        <f t="shared" si="47"/>
        <v/>
      </c>
      <c r="AS246" s="202" t="str">
        <f t="shared" si="48"/>
        <v/>
      </c>
      <c r="AT246" s="202" t="str">
        <f t="shared" si="49"/>
        <v/>
      </c>
      <c r="AU246" s="208"/>
      <c r="AV246" s="208"/>
      <c r="AW246" s="208"/>
      <c r="AX246" s="208"/>
      <c r="AY246" s="208"/>
      <c r="AZ246" s="208"/>
      <c r="BA246" s="208"/>
      <c r="BB246" s="208"/>
      <c r="BC246" s="208"/>
      <c r="BD246" s="208"/>
      <c r="BE246" s="208"/>
      <c r="BF246" s="208"/>
      <c r="BG246" s="28"/>
      <c r="BH246" s="28"/>
      <c r="BI246" s="28"/>
      <c r="BJ246" s="28"/>
    </row>
    <row r="247" spans="1:62" s="23" customFormat="1" ht="21" customHeight="1" thickBot="1" x14ac:dyDescent="0.25">
      <c r="A247" s="846" t="str">
        <f>IF($AN247="","",IFERROR(VLOOKUP(CONCATENATE(CTR1_Billing!$E$20,$AN247),'Local Data Previous Year'!$C$3:$D$20000,2,0),CTR1_Billing!$E$21&amp;"NEW"))</f>
        <v/>
      </c>
      <c r="B247" s="846" t="str">
        <f>IF($E247="","",IFERROR(VLOOKUP(CONCATENATE(CTR1_Billing!$E$20,CTR1_Local!$E247),'Local Data Previous Year'!$C$3:$D$20000,2,0),CTR1_Billing!$E$21&amp;"NEW"))</f>
        <v/>
      </c>
      <c r="C247" s="846">
        <v>215</v>
      </c>
      <c r="D247" s="755" t="str" cm="1">
        <f t="array" ref="D247">IF(ISERROR(INDEX('Local Data Previous Year'!$D$3:$D$20000,SMALL(IF(CTR1_Billing!$E$21='Local Data Previous Year'!$A$3:$A$20000,ROW('Local Data Previous Year'!$A$3:$A$20000)-ROW('Local Data Previous Year'!$A$3)+1),ROW(215:215)))),"",INDEX('Local Data Previous Year'!$D$3:$D$20000,SMALL(IF(CTR1_Billing!$E$21='Local Data Previous Year'!$A$3:$A$20000,ROW('Local Data Previous Year'!$A$3:$A$20000)-ROW('Local Data Previous Year'!$A$3)+1),ROW(215:215))))</f>
        <v/>
      </c>
      <c r="E247" s="755" t="str" cm="1">
        <f t="array" ref="E247">IF(ISERROR(INDEX('Local Data Previous Year'!$E$3:$E$20000,SMALL(IF(CTR1_Billing!$E$21='Local Data Previous Year'!$A$3:$A$20000,ROW('Local Data Previous Year'!$A$3:$A$20000)-ROW('Local Data Previous Year'!$A$3)+1),ROW(215:215)))),"",INDEX('Local Data Previous Year'!$E$3:$E$20000,SMALL(IF(CTR1_Billing!$E$21='Local Data Previous Year'!$A$3:$A$20000,ROW('Local Data Previous Year'!$A$3:$A$20000)-ROW('Local Data Previous Year'!$A$3)+1),ROW(215:215))))</f>
        <v/>
      </c>
      <c r="F247" s="756" t="str">
        <f>IF($D247="","",IF(ISNA(MATCH($D247,'Local Data Previous Year'!$D$3:$D$20000,0)),"New",IFERROR(VLOOKUP($B247,'Local Data Previous Year'!$D$3:$I$20000,6,0),"")))</f>
        <v/>
      </c>
      <c r="G247" s="757">
        <f t="shared" si="50"/>
        <v>0</v>
      </c>
      <c r="H247" s="758" t="str">
        <f>IFERROR(INDEX('Local Data Previous Year'!$F:$F, MATCH($D247, 'Local Data Previous Year'!$D:$D, 0)), "")</f>
        <v/>
      </c>
      <c r="I247" s="759">
        <f>IF(B247=CTR1_Billing!$E$21&amp;"NEW",1,0)</f>
        <v>0</v>
      </c>
      <c r="J247" s="760" t="str">
        <f>IFERROR(INDEX('Local Data Previous Year'!$G:$G, MATCH($D247, 'Local Data Previous Year'!$D:$D, 0)), "")</f>
        <v/>
      </c>
      <c r="K247" s="762"/>
      <c r="L247" s="760" t="str">
        <f>IFERROR(INDEX('Local Data Previous Year'!$H:$H, MATCH($D247, 'Local Data Previous Year'!$D:$D, 0)), "")</f>
        <v/>
      </c>
      <c r="M247" s="762"/>
      <c r="N247" s="763"/>
      <c r="O247" s="767"/>
      <c r="P247" s="765"/>
      <c r="Q247" s="767"/>
      <c r="R247" s="766" t="str">
        <f t="shared" si="51"/>
        <v/>
      </c>
      <c r="S247" s="754"/>
      <c r="T247" s="763"/>
      <c r="U247" s="754"/>
      <c r="V247" s="763"/>
      <c r="W247" s="763"/>
      <c r="X247" s="865" t="str">
        <f>VLOOKUP(CTR1_Billing!$E$21,Data!$C$6:$D$302,1,FALSE)</f>
        <v>EZZZZ</v>
      </c>
      <c r="Y247" s="205"/>
      <c r="Z247" s="205">
        <f t="shared" si="39"/>
        <v>0</v>
      </c>
      <c r="AA247" s="206" t="str">
        <f t="shared" si="40"/>
        <v/>
      </c>
      <c r="AB247" s="205">
        <f t="shared" si="41"/>
        <v>0</v>
      </c>
      <c r="AC247" s="208"/>
      <c r="AD247" s="208"/>
      <c r="AE247" s="208"/>
      <c r="AF247" s="208"/>
      <c r="AG247" s="209" t="str">
        <f>IFERROR(INDEX('Local Data Previous Year'!$F:$F, MATCH($D247, 'Local Data Previous Year'!$D:$D, 0)), "")</f>
        <v/>
      </c>
      <c r="AH247" s="209" t="str">
        <f>IFERROR(INDEX('Local Data Previous Year'!$G:$G, MATCH($D247, 'Local Data Previous Year'!$D:$D, 0)), "")</f>
        <v/>
      </c>
      <c r="AI247" s="209" t="str">
        <f>IFERROR(INDEX('Local Data Previous Year'!$H:$H, MATCH($D247, 'Local Data Previous Year'!$D:$D, 0)), "")</f>
        <v/>
      </c>
      <c r="AJ247" s="209" t="str">
        <f t="shared" si="42"/>
        <v/>
      </c>
      <c r="AK247" s="209" t="str">
        <f t="shared" si="43"/>
        <v/>
      </c>
      <c r="AL247" s="209" t="str">
        <f t="shared" si="44"/>
        <v/>
      </c>
      <c r="AM247" s="208" t="str">
        <f>IF($AN247="","",IFERROR(VLOOKUP(CONCATENATE(CTR1_Billing!$E$20,$AN247),'Local Data Previous Year'!$C$3:$D$50000,2,0),CTR1_Billing!$E$21&amp;"NEW"))</f>
        <v/>
      </c>
      <c r="AN247" s="209" t="str" cm="1">
        <f t="array" ref="AN247">IF(ISERROR(INDEX('Local Data Previous Year'!$E$3:$E$50000, SMALL(IF(CTR1_Billing!$E$21='Local Data Previous Year'!$A$3:$A$50000, ROW('Local Data Previous Year'!$A$3:$A$50000)-ROW('Local Data Previous Year'!$A$3)+1), ROW(215:215)))), "", INDEX('Local Data Previous Year'!$E$3:$E$50000, SMALL(IF(CTR1_Billing!$E$21='Local Data Previous Year'!$A$3:$A$50000, ROW('Local Data Previous Year'!$A$3:$A$50000)-ROW('Local Data Previous Year'!$A$3)+1), ROW(215:215))))</f>
        <v/>
      </c>
      <c r="AO247" s="209" t="str">
        <f t="shared" si="45"/>
        <v/>
      </c>
      <c r="AP247" s="208"/>
      <c r="AQ247" s="209" t="str">
        <f t="shared" si="46"/>
        <v/>
      </c>
      <c r="AR247" s="209" t="str">
        <f t="shared" si="47"/>
        <v/>
      </c>
      <c r="AS247" s="202" t="str">
        <f t="shared" si="48"/>
        <v/>
      </c>
      <c r="AT247" s="202" t="str">
        <f t="shared" si="49"/>
        <v/>
      </c>
      <c r="AU247" s="208"/>
      <c r="AV247" s="208"/>
      <c r="AW247" s="208"/>
      <c r="AX247" s="208"/>
      <c r="AY247" s="208"/>
      <c r="AZ247" s="208"/>
      <c r="BA247" s="208"/>
      <c r="BB247" s="208"/>
      <c r="BC247" s="208"/>
      <c r="BD247" s="208"/>
      <c r="BE247" s="208"/>
      <c r="BF247" s="208"/>
      <c r="BG247" s="28"/>
      <c r="BH247" s="28"/>
      <c r="BI247" s="28"/>
      <c r="BJ247" s="28"/>
    </row>
    <row r="248" spans="1:62" s="23" customFormat="1" ht="21" customHeight="1" thickBot="1" x14ac:dyDescent="0.25">
      <c r="A248" s="846" t="str">
        <f>IF($AN248="","",IFERROR(VLOOKUP(CONCATENATE(CTR1_Billing!$E$20,$AN248),'Local Data Previous Year'!$C$3:$D$20000,2,0),CTR1_Billing!$E$21&amp;"NEW"))</f>
        <v/>
      </c>
      <c r="B248" s="846" t="str">
        <f>IF($E248="","",IFERROR(VLOOKUP(CONCATENATE(CTR1_Billing!$E$20,CTR1_Local!$E248),'Local Data Previous Year'!$C$3:$D$20000,2,0),CTR1_Billing!$E$21&amp;"NEW"))</f>
        <v/>
      </c>
      <c r="C248" s="846">
        <v>216</v>
      </c>
      <c r="D248" s="755" t="str" cm="1">
        <f t="array" ref="D248">IF(ISERROR(INDEX('Local Data Previous Year'!$D$3:$D$20000,SMALL(IF(CTR1_Billing!$E$21='Local Data Previous Year'!$A$3:$A$20000,ROW('Local Data Previous Year'!$A$3:$A$20000)-ROW('Local Data Previous Year'!$A$3)+1),ROW(216:216)))),"",INDEX('Local Data Previous Year'!$D$3:$D$20000,SMALL(IF(CTR1_Billing!$E$21='Local Data Previous Year'!$A$3:$A$20000,ROW('Local Data Previous Year'!$A$3:$A$20000)-ROW('Local Data Previous Year'!$A$3)+1),ROW(216:216))))</f>
        <v/>
      </c>
      <c r="E248" s="755" t="str" cm="1">
        <f t="array" ref="E248">IF(ISERROR(INDEX('Local Data Previous Year'!$E$3:$E$20000,SMALL(IF(CTR1_Billing!$E$21='Local Data Previous Year'!$A$3:$A$20000,ROW('Local Data Previous Year'!$A$3:$A$20000)-ROW('Local Data Previous Year'!$A$3)+1),ROW(216:216)))),"",INDEX('Local Data Previous Year'!$E$3:$E$20000,SMALL(IF(CTR1_Billing!$E$21='Local Data Previous Year'!$A$3:$A$20000,ROW('Local Data Previous Year'!$A$3:$A$20000)-ROW('Local Data Previous Year'!$A$3)+1),ROW(216:216))))</f>
        <v/>
      </c>
      <c r="F248" s="756" t="str">
        <f>IF($D248="","",IF(ISNA(MATCH($D248,'Local Data Previous Year'!$D$3:$D$20000,0)),"New",IFERROR(VLOOKUP($B248,'Local Data Previous Year'!$D$3:$I$20000,6,0),"")))</f>
        <v/>
      </c>
      <c r="G248" s="757">
        <f t="shared" si="50"/>
        <v>0</v>
      </c>
      <c r="H248" s="758" t="str">
        <f>IFERROR(INDEX('Local Data Previous Year'!$F:$F, MATCH($D248, 'Local Data Previous Year'!$D:$D, 0)), "")</f>
        <v/>
      </c>
      <c r="I248" s="759">
        <f>IF(B248=CTR1_Billing!$E$21&amp;"NEW",1,0)</f>
        <v>0</v>
      </c>
      <c r="J248" s="760" t="str">
        <f>IFERROR(INDEX('Local Data Previous Year'!$G:$G, MATCH($D248, 'Local Data Previous Year'!$D:$D, 0)), "")</f>
        <v/>
      </c>
      <c r="K248" s="762"/>
      <c r="L248" s="760" t="str">
        <f>IFERROR(INDEX('Local Data Previous Year'!$H:$H, MATCH($D248, 'Local Data Previous Year'!$D:$D, 0)), "")</f>
        <v/>
      </c>
      <c r="M248" s="762"/>
      <c r="N248" s="763"/>
      <c r="O248" s="767"/>
      <c r="P248" s="765"/>
      <c r="Q248" s="767"/>
      <c r="R248" s="766" t="str">
        <f t="shared" si="51"/>
        <v/>
      </c>
      <c r="S248" s="754"/>
      <c r="T248" s="763"/>
      <c r="U248" s="754"/>
      <c r="V248" s="763"/>
      <c r="W248" s="763"/>
      <c r="X248" s="865" t="str">
        <f>VLOOKUP(CTR1_Billing!$E$21,Data!$C$6:$D$302,1,FALSE)</f>
        <v>EZZZZ</v>
      </c>
      <c r="Y248" s="205"/>
      <c r="Z248" s="205">
        <f t="shared" si="39"/>
        <v>0</v>
      </c>
      <c r="AA248" s="206" t="str">
        <f t="shared" si="40"/>
        <v/>
      </c>
      <c r="AB248" s="205">
        <f t="shared" si="41"/>
        <v>0</v>
      </c>
      <c r="AC248" s="208"/>
      <c r="AD248" s="208"/>
      <c r="AE248" s="208"/>
      <c r="AF248" s="208"/>
      <c r="AG248" s="209" t="str">
        <f>IFERROR(INDEX('Local Data Previous Year'!$F:$F, MATCH($D248, 'Local Data Previous Year'!$D:$D, 0)), "")</f>
        <v/>
      </c>
      <c r="AH248" s="209" t="str">
        <f>IFERROR(INDEX('Local Data Previous Year'!$G:$G, MATCH($D248, 'Local Data Previous Year'!$D:$D, 0)), "")</f>
        <v/>
      </c>
      <c r="AI248" s="209" t="str">
        <f>IFERROR(INDEX('Local Data Previous Year'!$H:$H, MATCH($D248, 'Local Data Previous Year'!$D:$D, 0)), "")</f>
        <v/>
      </c>
      <c r="AJ248" s="209" t="str">
        <f t="shared" si="42"/>
        <v/>
      </c>
      <c r="AK248" s="209" t="str">
        <f t="shared" si="43"/>
        <v/>
      </c>
      <c r="AL248" s="209" t="str">
        <f t="shared" si="44"/>
        <v/>
      </c>
      <c r="AM248" s="208" t="str">
        <f>IF($AN248="","",IFERROR(VLOOKUP(CONCATENATE(CTR1_Billing!$E$20,$AN248),'Local Data Previous Year'!$C$3:$D$50000,2,0),CTR1_Billing!$E$21&amp;"NEW"))</f>
        <v/>
      </c>
      <c r="AN248" s="209" t="str" cm="1">
        <f t="array" ref="AN248">IF(ISERROR(INDEX('Local Data Previous Year'!$E$3:$E$50000, SMALL(IF(CTR1_Billing!$E$21='Local Data Previous Year'!$A$3:$A$50000, ROW('Local Data Previous Year'!$A$3:$A$50000)-ROW('Local Data Previous Year'!$A$3)+1), ROW(216:216)))), "", INDEX('Local Data Previous Year'!$E$3:$E$50000, SMALL(IF(CTR1_Billing!$E$21='Local Data Previous Year'!$A$3:$A$50000, ROW('Local Data Previous Year'!$A$3:$A$50000)-ROW('Local Data Previous Year'!$A$3)+1), ROW(216:216))))</f>
        <v/>
      </c>
      <c r="AO248" s="209" t="str">
        <f t="shared" si="45"/>
        <v/>
      </c>
      <c r="AP248" s="208"/>
      <c r="AQ248" s="209" t="str">
        <f t="shared" si="46"/>
        <v/>
      </c>
      <c r="AR248" s="209" t="str">
        <f t="shared" si="47"/>
        <v/>
      </c>
      <c r="AS248" s="202" t="str">
        <f t="shared" si="48"/>
        <v/>
      </c>
      <c r="AT248" s="202" t="str">
        <f t="shared" si="49"/>
        <v/>
      </c>
      <c r="AU248" s="208"/>
      <c r="AV248" s="208"/>
      <c r="AW248" s="208"/>
      <c r="AX248" s="208"/>
      <c r="AY248" s="208"/>
      <c r="AZ248" s="208"/>
      <c r="BA248" s="208"/>
      <c r="BB248" s="208"/>
      <c r="BC248" s="208"/>
      <c r="BD248" s="208"/>
      <c r="BE248" s="208"/>
      <c r="BF248" s="208"/>
      <c r="BG248" s="28"/>
      <c r="BH248" s="28"/>
      <c r="BI248" s="28"/>
      <c r="BJ248" s="28"/>
    </row>
    <row r="249" spans="1:62" s="23" customFormat="1" ht="21" customHeight="1" thickBot="1" x14ac:dyDescent="0.25">
      <c r="A249" s="846" t="str">
        <f>IF($AN249="","",IFERROR(VLOOKUP(CONCATENATE(CTR1_Billing!$E$20,$AN249),'Local Data Previous Year'!$C$3:$D$20000,2,0),CTR1_Billing!$E$21&amp;"NEW"))</f>
        <v/>
      </c>
      <c r="B249" s="846" t="str">
        <f>IF($E249="","",IFERROR(VLOOKUP(CONCATENATE(CTR1_Billing!$E$20,CTR1_Local!$E249),'Local Data Previous Year'!$C$3:$D$20000,2,0),CTR1_Billing!$E$21&amp;"NEW"))</f>
        <v/>
      </c>
      <c r="C249" s="846">
        <v>217</v>
      </c>
      <c r="D249" s="755" t="str" cm="1">
        <f t="array" ref="D249">IF(ISERROR(INDEX('Local Data Previous Year'!$D$3:$D$20000,SMALL(IF(CTR1_Billing!$E$21='Local Data Previous Year'!$A$3:$A$20000,ROW('Local Data Previous Year'!$A$3:$A$20000)-ROW('Local Data Previous Year'!$A$3)+1),ROW(217:217)))),"",INDEX('Local Data Previous Year'!$D$3:$D$20000,SMALL(IF(CTR1_Billing!$E$21='Local Data Previous Year'!$A$3:$A$20000,ROW('Local Data Previous Year'!$A$3:$A$20000)-ROW('Local Data Previous Year'!$A$3)+1),ROW(217:217))))</f>
        <v/>
      </c>
      <c r="E249" s="755" t="str" cm="1">
        <f t="array" ref="E249">IF(ISERROR(INDEX('Local Data Previous Year'!$E$3:$E$20000,SMALL(IF(CTR1_Billing!$E$21='Local Data Previous Year'!$A$3:$A$20000,ROW('Local Data Previous Year'!$A$3:$A$20000)-ROW('Local Data Previous Year'!$A$3)+1),ROW(217:217)))),"",INDEX('Local Data Previous Year'!$E$3:$E$20000,SMALL(IF(CTR1_Billing!$E$21='Local Data Previous Year'!$A$3:$A$20000,ROW('Local Data Previous Year'!$A$3:$A$20000)-ROW('Local Data Previous Year'!$A$3)+1),ROW(217:217))))</f>
        <v/>
      </c>
      <c r="F249" s="756" t="str">
        <f>IF($D249="","",IF(ISNA(MATCH($D249,'Local Data Previous Year'!$D$3:$D$20000,0)),"New",IFERROR(VLOOKUP($B249,'Local Data Previous Year'!$D$3:$I$20000,6,0),"")))</f>
        <v/>
      </c>
      <c r="G249" s="757">
        <f t="shared" si="50"/>
        <v>0</v>
      </c>
      <c r="H249" s="758" t="str">
        <f>IFERROR(INDEX('Local Data Previous Year'!$F:$F, MATCH($D249, 'Local Data Previous Year'!$D:$D, 0)), "")</f>
        <v/>
      </c>
      <c r="I249" s="759">
        <f>IF(B249=CTR1_Billing!$E$21&amp;"NEW",1,0)</f>
        <v>0</v>
      </c>
      <c r="J249" s="760" t="str">
        <f>IFERROR(INDEX('Local Data Previous Year'!$G:$G, MATCH($D249, 'Local Data Previous Year'!$D:$D, 0)), "")</f>
        <v/>
      </c>
      <c r="K249" s="762"/>
      <c r="L249" s="760" t="str">
        <f>IFERROR(INDEX('Local Data Previous Year'!$H:$H, MATCH($D249, 'Local Data Previous Year'!$D:$D, 0)), "")</f>
        <v/>
      </c>
      <c r="M249" s="762"/>
      <c r="N249" s="763"/>
      <c r="O249" s="767"/>
      <c r="P249" s="765"/>
      <c r="Q249" s="767"/>
      <c r="R249" s="766" t="str">
        <f t="shared" si="51"/>
        <v/>
      </c>
      <c r="S249" s="754"/>
      <c r="T249" s="763"/>
      <c r="U249" s="754"/>
      <c r="V249" s="763"/>
      <c r="W249" s="763"/>
      <c r="X249" s="865" t="str">
        <f>VLOOKUP(CTR1_Billing!$E$21,Data!$C$6:$D$302,1,FALSE)</f>
        <v>EZZZZ</v>
      </c>
      <c r="Y249" s="205"/>
      <c r="Z249" s="205">
        <f t="shared" si="39"/>
        <v>0</v>
      </c>
      <c r="AA249" s="206" t="str">
        <f t="shared" si="40"/>
        <v/>
      </c>
      <c r="AB249" s="205">
        <f t="shared" si="41"/>
        <v>0</v>
      </c>
      <c r="AC249" s="208"/>
      <c r="AD249" s="208"/>
      <c r="AE249" s="208"/>
      <c r="AF249" s="208"/>
      <c r="AG249" s="209" t="str">
        <f>IFERROR(INDEX('Local Data Previous Year'!$F:$F, MATCH($D249, 'Local Data Previous Year'!$D:$D, 0)), "")</f>
        <v/>
      </c>
      <c r="AH249" s="209" t="str">
        <f>IFERROR(INDEX('Local Data Previous Year'!$G:$G, MATCH($D249, 'Local Data Previous Year'!$D:$D, 0)), "")</f>
        <v/>
      </c>
      <c r="AI249" s="209" t="str">
        <f>IFERROR(INDEX('Local Data Previous Year'!$H:$H, MATCH($D249, 'Local Data Previous Year'!$D:$D, 0)), "")</f>
        <v/>
      </c>
      <c r="AJ249" s="209" t="str">
        <f t="shared" si="42"/>
        <v/>
      </c>
      <c r="AK249" s="209" t="str">
        <f t="shared" si="43"/>
        <v/>
      </c>
      <c r="AL249" s="209" t="str">
        <f t="shared" si="44"/>
        <v/>
      </c>
      <c r="AM249" s="208" t="str">
        <f>IF($AN249="","",IFERROR(VLOOKUP(CONCATENATE(CTR1_Billing!$E$20,$AN249),'Local Data Previous Year'!$C$3:$D$50000,2,0),CTR1_Billing!$E$21&amp;"NEW"))</f>
        <v/>
      </c>
      <c r="AN249" s="209" t="str" cm="1">
        <f t="array" ref="AN249">IF(ISERROR(INDEX('Local Data Previous Year'!$E$3:$E$50000, SMALL(IF(CTR1_Billing!$E$21='Local Data Previous Year'!$A$3:$A$50000, ROW('Local Data Previous Year'!$A$3:$A$50000)-ROW('Local Data Previous Year'!$A$3)+1), ROW(217:217)))), "", INDEX('Local Data Previous Year'!$E$3:$E$50000, SMALL(IF(CTR1_Billing!$E$21='Local Data Previous Year'!$A$3:$A$50000, ROW('Local Data Previous Year'!$A$3:$A$50000)-ROW('Local Data Previous Year'!$A$3)+1), ROW(217:217))))</f>
        <v/>
      </c>
      <c r="AO249" s="209" t="str">
        <f t="shared" si="45"/>
        <v/>
      </c>
      <c r="AP249" s="208"/>
      <c r="AQ249" s="209" t="str">
        <f t="shared" si="46"/>
        <v/>
      </c>
      <c r="AR249" s="209" t="str">
        <f t="shared" si="47"/>
        <v/>
      </c>
      <c r="AS249" s="202" t="str">
        <f t="shared" si="48"/>
        <v/>
      </c>
      <c r="AT249" s="202" t="str">
        <f t="shared" si="49"/>
        <v/>
      </c>
      <c r="AU249" s="208"/>
      <c r="AV249" s="208"/>
      <c r="AW249" s="208"/>
      <c r="AX249" s="208"/>
      <c r="AY249" s="208"/>
      <c r="AZ249" s="208"/>
      <c r="BA249" s="208"/>
      <c r="BB249" s="208"/>
      <c r="BC249" s="208"/>
      <c r="BD249" s="208"/>
      <c r="BE249" s="208"/>
      <c r="BF249" s="208"/>
      <c r="BG249" s="28"/>
      <c r="BH249" s="28"/>
      <c r="BI249" s="28"/>
      <c r="BJ249" s="28"/>
    </row>
    <row r="250" spans="1:62" s="23" customFormat="1" ht="21" customHeight="1" thickBot="1" x14ac:dyDescent="0.25">
      <c r="A250" s="846" t="str">
        <f>IF($AN250="","",IFERROR(VLOOKUP(CONCATENATE(CTR1_Billing!$E$20,$AN250),'Local Data Previous Year'!$C$3:$D$20000,2,0),CTR1_Billing!$E$21&amp;"NEW"))</f>
        <v/>
      </c>
      <c r="B250" s="846" t="str">
        <f>IF($E250="","",IFERROR(VLOOKUP(CONCATENATE(CTR1_Billing!$E$20,CTR1_Local!$E250),'Local Data Previous Year'!$C$3:$D$20000,2,0),CTR1_Billing!$E$21&amp;"NEW"))</f>
        <v/>
      </c>
      <c r="C250" s="846">
        <v>218</v>
      </c>
      <c r="D250" s="755" t="str" cm="1">
        <f t="array" ref="D250">IF(ISERROR(INDEX('Local Data Previous Year'!$D$3:$D$20000,SMALL(IF(CTR1_Billing!$E$21='Local Data Previous Year'!$A$3:$A$20000,ROW('Local Data Previous Year'!$A$3:$A$20000)-ROW('Local Data Previous Year'!$A$3)+1),ROW(218:218)))),"",INDEX('Local Data Previous Year'!$D$3:$D$20000,SMALL(IF(CTR1_Billing!$E$21='Local Data Previous Year'!$A$3:$A$20000,ROW('Local Data Previous Year'!$A$3:$A$20000)-ROW('Local Data Previous Year'!$A$3)+1),ROW(218:218))))</f>
        <v/>
      </c>
      <c r="E250" s="755" t="str" cm="1">
        <f t="array" ref="E250">IF(ISERROR(INDEX('Local Data Previous Year'!$E$3:$E$20000,SMALL(IF(CTR1_Billing!$E$21='Local Data Previous Year'!$A$3:$A$20000,ROW('Local Data Previous Year'!$A$3:$A$20000)-ROW('Local Data Previous Year'!$A$3)+1),ROW(218:218)))),"",INDEX('Local Data Previous Year'!$E$3:$E$20000,SMALL(IF(CTR1_Billing!$E$21='Local Data Previous Year'!$A$3:$A$20000,ROW('Local Data Previous Year'!$A$3:$A$20000)-ROW('Local Data Previous Year'!$A$3)+1),ROW(218:218))))</f>
        <v/>
      </c>
      <c r="F250" s="756" t="str">
        <f>IF($D250="","",IF(ISNA(MATCH($D250,'Local Data Previous Year'!$D$3:$D$20000,0)),"New",IFERROR(VLOOKUP($B250,'Local Data Previous Year'!$D$3:$I$20000,6,0),"")))</f>
        <v/>
      </c>
      <c r="G250" s="757">
        <f t="shared" si="50"/>
        <v>0</v>
      </c>
      <c r="H250" s="758" t="str">
        <f>IFERROR(INDEX('Local Data Previous Year'!$F:$F, MATCH($D250, 'Local Data Previous Year'!$D:$D, 0)), "")</f>
        <v/>
      </c>
      <c r="I250" s="759">
        <f>IF(B250=CTR1_Billing!$E$21&amp;"NEW",1,0)</f>
        <v>0</v>
      </c>
      <c r="J250" s="760" t="str">
        <f>IFERROR(INDEX('Local Data Previous Year'!$G:$G, MATCH($D250, 'Local Data Previous Year'!$D:$D, 0)), "")</f>
        <v/>
      </c>
      <c r="K250" s="762"/>
      <c r="L250" s="760" t="str">
        <f>IFERROR(INDEX('Local Data Previous Year'!$H:$H, MATCH($D250, 'Local Data Previous Year'!$D:$D, 0)), "")</f>
        <v/>
      </c>
      <c r="M250" s="762"/>
      <c r="N250" s="763"/>
      <c r="O250" s="767"/>
      <c r="P250" s="765"/>
      <c r="Q250" s="767"/>
      <c r="R250" s="766" t="str">
        <f t="shared" si="51"/>
        <v/>
      </c>
      <c r="S250" s="754"/>
      <c r="T250" s="763"/>
      <c r="U250" s="754"/>
      <c r="V250" s="763"/>
      <c r="W250" s="763"/>
      <c r="X250" s="865" t="str">
        <f>VLOOKUP(CTR1_Billing!$E$21,Data!$C$6:$D$302,1,FALSE)</f>
        <v>EZZZZ</v>
      </c>
      <c r="Y250" s="205"/>
      <c r="Z250" s="205">
        <f t="shared" si="39"/>
        <v>0</v>
      </c>
      <c r="AA250" s="206" t="str">
        <f t="shared" si="40"/>
        <v/>
      </c>
      <c r="AB250" s="205">
        <f t="shared" si="41"/>
        <v>0</v>
      </c>
      <c r="AC250" s="208"/>
      <c r="AD250" s="208"/>
      <c r="AE250" s="208"/>
      <c r="AF250" s="208"/>
      <c r="AG250" s="209" t="str">
        <f>IFERROR(INDEX('Local Data Previous Year'!$F:$F, MATCH($D250, 'Local Data Previous Year'!$D:$D, 0)), "")</f>
        <v/>
      </c>
      <c r="AH250" s="209" t="str">
        <f>IFERROR(INDEX('Local Data Previous Year'!$G:$G, MATCH($D250, 'Local Data Previous Year'!$D:$D, 0)), "")</f>
        <v/>
      </c>
      <c r="AI250" s="209" t="str">
        <f>IFERROR(INDEX('Local Data Previous Year'!$H:$H, MATCH($D250, 'Local Data Previous Year'!$D:$D, 0)), "")</f>
        <v/>
      </c>
      <c r="AJ250" s="209" t="str">
        <f t="shared" si="42"/>
        <v/>
      </c>
      <c r="AK250" s="209" t="str">
        <f t="shared" si="43"/>
        <v/>
      </c>
      <c r="AL250" s="209" t="str">
        <f t="shared" si="44"/>
        <v/>
      </c>
      <c r="AM250" s="208" t="str">
        <f>IF($AN250="","",IFERROR(VLOOKUP(CONCATENATE(CTR1_Billing!$E$20,$AN250),'Local Data Previous Year'!$C$3:$D$50000,2,0),CTR1_Billing!$E$21&amp;"NEW"))</f>
        <v/>
      </c>
      <c r="AN250" s="209" t="str" cm="1">
        <f t="array" ref="AN250">IF(ISERROR(INDEX('Local Data Previous Year'!$E$3:$E$50000, SMALL(IF(CTR1_Billing!$E$21='Local Data Previous Year'!$A$3:$A$50000, ROW('Local Data Previous Year'!$A$3:$A$50000)-ROW('Local Data Previous Year'!$A$3)+1), ROW(218:218)))), "", INDEX('Local Data Previous Year'!$E$3:$E$50000, SMALL(IF(CTR1_Billing!$E$21='Local Data Previous Year'!$A$3:$A$50000, ROW('Local Data Previous Year'!$A$3:$A$50000)-ROW('Local Data Previous Year'!$A$3)+1), ROW(218:218))))</f>
        <v/>
      </c>
      <c r="AO250" s="209" t="str">
        <f t="shared" si="45"/>
        <v/>
      </c>
      <c r="AP250" s="208"/>
      <c r="AQ250" s="209" t="str">
        <f t="shared" si="46"/>
        <v/>
      </c>
      <c r="AR250" s="209" t="str">
        <f t="shared" si="47"/>
        <v/>
      </c>
      <c r="AS250" s="202" t="str">
        <f t="shared" si="48"/>
        <v/>
      </c>
      <c r="AT250" s="202" t="str">
        <f t="shared" si="49"/>
        <v/>
      </c>
      <c r="AU250" s="208"/>
      <c r="AV250" s="208"/>
      <c r="AW250" s="208"/>
      <c r="AX250" s="208"/>
      <c r="AY250" s="208"/>
      <c r="AZ250" s="208"/>
      <c r="BA250" s="208"/>
      <c r="BB250" s="208"/>
      <c r="BC250" s="208"/>
      <c r="BD250" s="208"/>
      <c r="BE250" s="208"/>
      <c r="BF250" s="208"/>
      <c r="BG250" s="28"/>
      <c r="BH250" s="28"/>
      <c r="BI250" s="28"/>
      <c r="BJ250" s="28"/>
    </row>
    <row r="251" spans="1:62" s="23" customFormat="1" ht="21" customHeight="1" thickBot="1" x14ac:dyDescent="0.25">
      <c r="A251" s="846" t="str">
        <f>IF($AN251="","",IFERROR(VLOOKUP(CONCATENATE(CTR1_Billing!$E$20,$AN251),'Local Data Previous Year'!$C$3:$D$20000,2,0),CTR1_Billing!$E$21&amp;"NEW"))</f>
        <v/>
      </c>
      <c r="B251" s="846" t="str">
        <f>IF($E251="","",IFERROR(VLOOKUP(CONCATENATE(CTR1_Billing!$E$20,CTR1_Local!$E251),'Local Data Previous Year'!$C$3:$D$20000,2,0),CTR1_Billing!$E$21&amp;"NEW"))</f>
        <v/>
      </c>
      <c r="C251" s="846">
        <v>219</v>
      </c>
      <c r="D251" s="755" t="str" cm="1">
        <f t="array" ref="D251">IF(ISERROR(INDEX('Local Data Previous Year'!$D$3:$D$20000,SMALL(IF(CTR1_Billing!$E$21='Local Data Previous Year'!$A$3:$A$20000,ROW('Local Data Previous Year'!$A$3:$A$20000)-ROW('Local Data Previous Year'!$A$3)+1),ROW(219:219)))),"",INDEX('Local Data Previous Year'!$D$3:$D$20000,SMALL(IF(CTR1_Billing!$E$21='Local Data Previous Year'!$A$3:$A$20000,ROW('Local Data Previous Year'!$A$3:$A$20000)-ROW('Local Data Previous Year'!$A$3)+1),ROW(219:219))))</f>
        <v/>
      </c>
      <c r="E251" s="755" t="str" cm="1">
        <f t="array" ref="E251">IF(ISERROR(INDEX('Local Data Previous Year'!$E$3:$E$20000,SMALL(IF(CTR1_Billing!$E$21='Local Data Previous Year'!$A$3:$A$20000,ROW('Local Data Previous Year'!$A$3:$A$20000)-ROW('Local Data Previous Year'!$A$3)+1),ROW(219:219)))),"",INDEX('Local Data Previous Year'!$E$3:$E$20000,SMALL(IF(CTR1_Billing!$E$21='Local Data Previous Year'!$A$3:$A$20000,ROW('Local Data Previous Year'!$A$3:$A$20000)-ROW('Local Data Previous Year'!$A$3)+1),ROW(219:219))))</f>
        <v/>
      </c>
      <c r="F251" s="756" t="str">
        <f>IF($D251="","",IF(ISNA(MATCH($D251,'Local Data Previous Year'!$D$3:$D$20000,0)),"New",IFERROR(VLOOKUP($B251,'Local Data Previous Year'!$D$3:$I$20000,6,0),"")))</f>
        <v/>
      </c>
      <c r="G251" s="757">
        <f t="shared" si="50"/>
        <v>0</v>
      </c>
      <c r="H251" s="758" t="str">
        <f>IFERROR(INDEX('Local Data Previous Year'!$F:$F, MATCH($D251, 'Local Data Previous Year'!$D:$D, 0)), "")</f>
        <v/>
      </c>
      <c r="I251" s="759">
        <f>IF(B251=CTR1_Billing!$E$21&amp;"NEW",1,0)</f>
        <v>0</v>
      </c>
      <c r="J251" s="760" t="str">
        <f>IFERROR(INDEX('Local Data Previous Year'!$G:$G, MATCH($D251, 'Local Data Previous Year'!$D:$D, 0)), "")</f>
        <v/>
      </c>
      <c r="K251" s="762"/>
      <c r="L251" s="760" t="str">
        <f>IFERROR(INDEX('Local Data Previous Year'!$H:$H, MATCH($D251, 'Local Data Previous Year'!$D:$D, 0)), "")</f>
        <v/>
      </c>
      <c r="M251" s="762"/>
      <c r="N251" s="763"/>
      <c r="O251" s="767"/>
      <c r="P251" s="765"/>
      <c r="Q251" s="767"/>
      <c r="R251" s="766" t="str">
        <f t="shared" si="51"/>
        <v/>
      </c>
      <c r="S251" s="754"/>
      <c r="T251" s="763"/>
      <c r="U251" s="754"/>
      <c r="V251" s="763"/>
      <c r="W251" s="763"/>
      <c r="X251" s="865" t="str">
        <f>VLOOKUP(CTR1_Billing!$E$21,Data!$C$6:$D$302,1,FALSE)</f>
        <v>EZZZZ</v>
      </c>
      <c r="Y251" s="205"/>
      <c r="Z251" s="205">
        <f t="shared" si="39"/>
        <v>0</v>
      </c>
      <c r="AA251" s="206" t="str">
        <f t="shared" si="40"/>
        <v/>
      </c>
      <c r="AB251" s="205">
        <f t="shared" si="41"/>
        <v>0</v>
      </c>
      <c r="AC251" s="208"/>
      <c r="AD251" s="208"/>
      <c r="AE251" s="208"/>
      <c r="AF251" s="208"/>
      <c r="AG251" s="209" t="str">
        <f>IFERROR(INDEX('Local Data Previous Year'!$F:$F, MATCH($D251, 'Local Data Previous Year'!$D:$D, 0)), "")</f>
        <v/>
      </c>
      <c r="AH251" s="209" t="str">
        <f>IFERROR(INDEX('Local Data Previous Year'!$G:$G, MATCH($D251, 'Local Data Previous Year'!$D:$D, 0)), "")</f>
        <v/>
      </c>
      <c r="AI251" s="209" t="str">
        <f>IFERROR(INDEX('Local Data Previous Year'!$H:$H, MATCH($D251, 'Local Data Previous Year'!$D:$D, 0)), "")</f>
        <v/>
      </c>
      <c r="AJ251" s="209" t="str">
        <f t="shared" si="42"/>
        <v/>
      </c>
      <c r="AK251" s="209" t="str">
        <f t="shared" si="43"/>
        <v/>
      </c>
      <c r="AL251" s="209" t="str">
        <f t="shared" si="44"/>
        <v/>
      </c>
      <c r="AM251" s="208" t="str">
        <f>IF($AN251="","",IFERROR(VLOOKUP(CONCATENATE(CTR1_Billing!$E$20,$AN251),'Local Data Previous Year'!$C$3:$D$50000,2,0),CTR1_Billing!$E$21&amp;"NEW"))</f>
        <v/>
      </c>
      <c r="AN251" s="209" t="str" cm="1">
        <f t="array" ref="AN251">IF(ISERROR(INDEX('Local Data Previous Year'!$E$3:$E$50000, SMALL(IF(CTR1_Billing!$E$21='Local Data Previous Year'!$A$3:$A$50000, ROW('Local Data Previous Year'!$A$3:$A$50000)-ROW('Local Data Previous Year'!$A$3)+1), ROW(219:219)))), "", INDEX('Local Data Previous Year'!$E$3:$E$50000, SMALL(IF(CTR1_Billing!$E$21='Local Data Previous Year'!$A$3:$A$50000, ROW('Local Data Previous Year'!$A$3:$A$50000)-ROW('Local Data Previous Year'!$A$3)+1), ROW(219:219))))</f>
        <v/>
      </c>
      <c r="AO251" s="209" t="str">
        <f t="shared" si="45"/>
        <v/>
      </c>
      <c r="AP251" s="208"/>
      <c r="AQ251" s="209" t="str">
        <f t="shared" si="46"/>
        <v/>
      </c>
      <c r="AR251" s="209" t="str">
        <f t="shared" si="47"/>
        <v/>
      </c>
      <c r="AS251" s="202" t="str">
        <f t="shared" si="48"/>
        <v/>
      </c>
      <c r="AT251" s="202" t="str">
        <f t="shared" si="49"/>
        <v/>
      </c>
      <c r="AU251" s="208"/>
      <c r="AV251" s="208"/>
      <c r="AW251" s="208"/>
      <c r="AX251" s="208"/>
      <c r="AY251" s="208"/>
      <c r="AZ251" s="208"/>
      <c r="BA251" s="208"/>
      <c r="BB251" s="208"/>
      <c r="BC251" s="208"/>
      <c r="BD251" s="208"/>
      <c r="BE251" s="208"/>
      <c r="BF251" s="208"/>
      <c r="BG251" s="28"/>
      <c r="BH251" s="28"/>
      <c r="BI251" s="28"/>
      <c r="BJ251" s="28"/>
    </row>
    <row r="252" spans="1:62" s="23" customFormat="1" ht="21" customHeight="1" thickBot="1" x14ac:dyDescent="0.25">
      <c r="A252" s="846" t="str">
        <f>IF($AN252="","",IFERROR(VLOOKUP(CONCATENATE(CTR1_Billing!$E$20,$AN252),'Local Data Previous Year'!$C$3:$D$20000,2,0),CTR1_Billing!$E$21&amp;"NEW"))</f>
        <v/>
      </c>
      <c r="B252" s="846" t="str">
        <f>IF($E252="","",IFERROR(VLOOKUP(CONCATENATE(CTR1_Billing!$E$20,CTR1_Local!$E252),'Local Data Previous Year'!$C$3:$D$20000,2,0),CTR1_Billing!$E$21&amp;"NEW"))</f>
        <v/>
      </c>
      <c r="C252" s="846">
        <v>220</v>
      </c>
      <c r="D252" s="755" t="str" cm="1">
        <f t="array" ref="D252">IF(ISERROR(INDEX('Local Data Previous Year'!$D$3:$D$20000,SMALL(IF(CTR1_Billing!$E$21='Local Data Previous Year'!$A$3:$A$20000,ROW('Local Data Previous Year'!$A$3:$A$20000)-ROW('Local Data Previous Year'!$A$3)+1),ROW(220:220)))),"",INDEX('Local Data Previous Year'!$D$3:$D$20000,SMALL(IF(CTR1_Billing!$E$21='Local Data Previous Year'!$A$3:$A$20000,ROW('Local Data Previous Year'!$A$3:$A$20000)-ROW('Local Data Previous Year'!$A$3)+1),ROW(220:220))))</f>
        <v/>
      </c>
      <c r="E252" s="755" t="str" cm="1">
        <f t="array" ref="E252">IF(ISERROR(INDEX('Local Data Previous Year'!$E$3:$E$20000,SMALL(IF(CTR1_Billing!$E$21='Local Data Previous Year'!$A$3:$A$20000,ROW('Local Data Previous Year'!$A$3:$A$20000)-ROW('Local Data Previous Year'!$A$3)+1),ROW(220:220)))),"",INDEX('Local Data Previous Year'!$E$3:$E$20000,SMALL(IF(CTR1_Billing!$E$21='Local Data Previous Year'!$A$3:$A$20000,ROW('Local Data Previous Year'!$A$3:$A$20000)-ROW('Local Data Previous Year'!$A$3)+1),ROW(220:220))))</f>
        <v/>
      </c>
      <c r="F252" s="756" t="str">
        <f>IF($D252="","",IF(ISNA(MATCH($D252,'Local Data Previous Year'!$D$3:$D$20000,0)),"New",IFERROR(VLOOKUP($B252,'Local Data Previous Year'!$D$3:$I$20000,6,0),"")))</f>
        <v/>
      </c>
      <c r="G252" s="757">
        <f t="shared" si="50"/>
        <v>0</v>
      </c>
      <c r="H252" s="758" t="str">
        <f>IFERROR(INDEX('Local Data Previous Year'!$F:$F, MATCH($D252, 'Local Data Previous Year'!$D:$D, 0)), "")</f>
        <v/>
      </c>
      <c r="I252" s="759">
        <f>IF(B252=CTR1_Billing!$E$21&amp;"NEW",1,0)</f>
        <v>0</v>
      </c>
      <c r="J252" s="760" t="str">
        <f>IFERROR(INDEX('Local Data Previous Year'!$G:$G, MATCH($D252, 'Local Data Previous Year'!$D:$D, 0)), "")</f>
        <v/>
      </c>
      <c r="K252" s="762"/>
      <c r="L252" s="760" t="str">
        <f>IFERROR(INDEX('Local Data Previous Year'!$H:$H, MATCH($D252, 'Local Data Previous Year'!$D:$D, 0)), "")</f>
        <v/>
      </c>
      <c r="M252" s="762"/>
      <c r="N252" s="763"/>
      <c r="O252" s="767"/>
      <c r="P252" s="765"/>
      <c r="Q252" s="767"/>
      <c r="R252" s="766" t="str">
        <f t="shared" si="51"/>
        <v/>
      </c>
      <c r="S252" s="754"/>
      <c r="T252" s="763"/>
      <c r="U252" s="754"/>
      <c r="V252" s="763"/>
      <c r="W252" s="763"/>
      <c r="X252" s="865" t="str">
        <f>VLOOKUP(CTR1_Billing!$E$21,Data!$C$6:$D$302,1,FALSE)</f>
        <v>EZZZZ</v>
      </c>
      <c r="Y252" s="205"/>
      <c r="Z252" s="205">
        <f t="shared" si="39"/>
        <v>0</v>
      </c>
      <c r="AA252" s="206" t="str">
        <f t="shared" si="40"/>
        <v/>
      </c>
      <c r="AB252" s="205">
        <f t="shared" si="41"/>
        <v>0</v>
      </c>
      <c r="AC252" s="208"/>
      <c r="AD252" s="208"/>
      <c r="AE252" s="208"/>
      <c r="AF252" s="208"/>
      <c r="AG252" s="209" t="str">
        <f>IFERROR(INDEX('Local Data Previous Year'!$F:$F, MATCH($D252, 'Local Data Previous Year'!$D:$D, 0)), "")</f>
        <v/>
      </c>
      <c r="AH252" s="209" t="str">
        <f>IFERROR(INDEX('Local Data Previous Year'!$G:$G, MATCH($D252, 'Local Data Previous Year'!$D:$D, 0)), "")</f>
        <v/>
      </c>
      <c r="AI252" s="209" t="str">
        <f>IFERROR(INDEX('Local Data Previous Year'!$H:$H, MATCH($D252, 'Local Data Previous Year'!$D:$D, 0)), "")</f>
        <v/>
      </c>
      <c r="AJ252" s="209" t="str">
        <f t="shared" si="42"/>
        <v/>
      </c>
      <c r="AK252" s="209" t="str">
        <f t="shared" si="43"/>
        <v/>
      </c>
      <c r="AL252" s="209" t="str">
        <f t="shared" si="44"/>
        <v/>
      </c>
      <c r="AM252" s="208" t="str">
        <f>IF($AN252="","",IFERROR(VLOOKUP(CONCATENATE(CTR1_Billing!$E$20,$AN252),'Local Data Previous Year'!$C$3:$D$50000,2,0),CTR1_Billing!$E$21&amp;"NEW"))</f>
        <v/>
      </c>
      <c r="AN252" s="209" t="str" cm="1">
        <f t="array" ref="AN252">IF(ISERROR(INDEX('Local Data Previous Year'!$E$3:$E$50000, SMALL(IF(CTR1_Billing!$E$21='Local Data Previous Year'!$A$3:$A$50000, ROW('Local Data Previous Year'!$A$3:$A$50000)-ROW('Local Data Previous Year'!$A$3)+1), ROW(220:220)))), "", INDEX('Local Data Previous Year'!$E$3:$E$50000, SMALL(IF(CTR1_Billing!$E$21='Local Data Previous Year'!$A$3:$A$50000, ROW('Local Data Previous Year'!$A$3:$A$50000)-ROW('Local Data Previous Year'!$A$3)+1), ROW(220:220))))</f>
        <v/>
      </c>
      <c r="AO252" s="209" t="str">
        <f t="shared" si="45"/>
        <v/>
      </c>
      <c r="AP252" s="208"/>
      <c r="AQ252" s="209" t="str">
        <f t="shared" si="46"/>
        <v/>
      </c>
      <c r="AR252" s="209" t="str">
        <f t="shared" si="47"/>
        <v/>
      </c>
      <c r="AS252" s="202" t="str">
        <f t="shared" si="48"/>
        <v/>
      </c>
      <c r="AT252" s="202" t="str">
        <f t="shared" si="49"/>
        <v/>
      </c>
      <c r="AU252" s="208"/>
      <c r="AV252" s="208"/>
      <c r="AW252" s="208"/>
      <c r="AX252" s="208"/>
      <c r="AY252" s="208"/>
      <c r="AZ252" s="208"/>
      <c r="BA252" s="208"/>
      <c r="BB252" s="208"/>
      <c r="BC252" s="208"/>
      <c r="BD252" s="208"/>
      <c r="BE252" s="208"/>
      <c r="BF252" s="208"/>
      <c r="BG252" s="28"/>
      <c r="BH252" s="28"/>
      <c r="BI252" s="28"/>
      <c r="BJ252" s="28"/>
    </row>
    <row r="253" spans="1:62" s="23" customFormat="1" ht="21" customHeight="1" thickBot="1" x14ac:dyDescent="0.25">
      <c r="A253" s="846" t="str">
        <f>IF($AN253="","",IFERROR(VLOOKUP(CONCATENATE(CTR1_Billing!$E$20,$AN253),'Local Data Previous Year'!$C$3:$D$20000,2,0),CTR1_Billing!$E$21&amp;"NEW"))</f>
        <v/>
      </c>
      <c r="B253" s="846" t="str">
        <f>IF($E253="","",IFERROR(VLOOKUP(CONCATENATE(CTR1_Billing!$E$20,CTR1_Local!$E253),'Local Data Previous Year'!$C$3:$D$20000,2,0),CTR1_Billing!$E$21&amp;"NEW"))</f>
        <v/>
      </c>
      <c r="C253" s="846">
        <v>221</v>
      </c>
      <c r="D253" s="755" t="str" cm="1">
        <f t="array" ref="D253">IF(ISERROR(INDEX('Local Data Previous Year'!$D$3:$D$20000,SMALL(IF(CTR1_Billing!$E$21='Local Data Previous Year'!$A$3:$A$20000,ROW('Local Data Previous Year'!$A$3:$A$20000)-ROW('Local Data Previous Year'!$A$3)+1),ROW(221:221)))),"",INDEX('Local Data Previous Year'!$D$3:$D$20000,SMALL(IF(CTR1_Billing!$E$21='Local Data Previous Year'!$A$3:$A$20000,ROW('Local Data Previous Year'!$A$3:$A$20000)-ROW('Local Data Previous Year'!$A$3)+1),ROW(221:221))))</f>
        <v/>
      </c>
      <c r="E253" s="755" t="str" cm="1">
        <f t="array" ref="E253">IF(ISERROR(INDEX('Local Data Previous Year'!$E$3:$E$20000,SMALL(IF(CTR1_Billing!$E$21='Local Data Previous Year'!$A$3:$A$20000,ROW('Local Data Previous Year'!$A$3:$A$20000)-ROW('Local Data Previous Year'!$A$3)+1),ROW(221:221)))),"",INDEX('Local Data Previous Year'!$E$3:$E$20000,SMALL(IF(CTR1_Billing!$E$21='Local Data Previous Year'!$A$3:$A$20000,ROW('Local Data Previous Year'!$A$3:$A$20000)-ROW('Local Data Previous Year'!$A$3)+1),ROW(221:221))))</f>
        <v/>
      </c>
      <c r="F253" s="756" t="str">
        <f>IF($D253="","",IF(ISNA(MATCH($D253,'Local Data Previous Year'!$D$3:$D$20000,0)),"New",IFERROR(VLOOKUP($B253,'Local Data Previous Year'!$D$3:$I$20000,6,0),"")))</f>
        <v/>
      </c>
      <c r="G253" s="757">
        <f t="shared" si="50"/>
        <v>0</v>
      </c>
      <c r="H253" s="758" t="str">
        <f>IFERROR(INDEX('Local Data Previous Year'!$F:$F, MATCH($D253, 'Local Data Previous Year'!$D:$D, 0)), "")</f>
        <v/>
      </c>
      <c r="I253" s="759">
        <f>IF(B253=CTR1_Billing!$E$21&amp;"NEW",1,0)</f>
        <v>0</v>
      </c>
      <c r="J253" s="760" t="str">
        <f>IFERROR(INDEX('Local Data Previous Year'!$G:$G, MATCH($D253, 'Local Data Previous Year'!$D:$D, 0)), "")</f>
        <v/>
      </c>
      <c r="K253" s="762"/>
      <c r="L253" s="760" t="str">
        <f>IFERROR(INDEX('Local Data Previous Year'!$H:$H, MATCH($D253, 'Local Data Previous Year'!$D:$D, 0)), "")</f>
        <v/>
      </c>
      <c r="M253" s="762"/>
      <c r="N253" s="763"/>
      <c r="O253" s="767"/>
      <c r="P253" s="765"/>
      <c r="Q253" s="767"/>
      <c r="R253" s="766" t="str">
        <f t="shared" si="51"/>
        <v/>
      </c>
      <c r="S253" s="754"/>
      <c r="T253" s="763"/>
      <c r="U253" s="754"/>
      <c r="V253" s="763"/>
      <c r="W253" s="763"/>
      <c r="X253" s="865" t="str">
        <f>VLOOKUP(CTR1_Billing!$E$21,Data!$C$6:$D$302,1,FALSE)</f>
        <v>EZZZZ</v>
      </c>
      <c r="Y253" s="205"/>
      <c r="Z253" s="205">
        <f t="shared" si="39"/>
        <v>0</v>
      </c>
      <c r="AA253" s="206" t="str">
        <f t="shared" si="40"/>
        <v/>
      </c>
      <c r="AB253" s="205">
        <f t="shared" si="41"/>
        <v>0</v>
      </c>
      <c r="AC253" s="208"/>
      <c r="AD253" s="208"/>
      <c r="AE253" s="208"/>
      <c r="AF253" s="208"/>
      <c r="AG253" s="209" t="str">
        <f>IFERROR(INDEX('Local Data Previous Year'!$F:$F, MATCH($D253, 'Local Data Previous Year'!$D:$D, 0)), "")</f>
        <v/>
      </c>
      <c r="AH253" s="209" t="str">
        <f>IFERROR(INDEX('Local Data Previous Year'!$G:$G, MATCH($D253, 'Local Data Previous Year'!$D:$D, 0)), "")</f>
        <v/>
      </c>
      <c r="AI253" s="209" t="str">
        <f>IFERROR(INDEX('Local Data Previous Year'!$H:$H, MATCH($D253, 'Local Data Previous Year'!$D:$D, 0)), "")</f>
        <v/>
      </c>
      <c r="AJ253" s="209" t="str">
        <f t="shared" si="42"/>
        <v/>
      </c>
      <c r="AK253" s="209" t="str">
        <f t="shared" si="43"/>
        <v/>
      </c>
      <c r="AL253" s="209" t="str">
        <f t="shared" si="44"/>
        <v/>
      </c>
      <c r="AM253" s="208" t="str">
        <f>IF($AN253="","",IFERROR(VLOOKUP(CONCATENATE(CTR1_Billing!$E$20,$AN253),'Local Data Previous Year'!$C$3:$D$50000,2,0),CTR1_Billing!$E$21&amp;"NEW"))</f>
        <v/>
      </c>
      <c r="AN253" s="209" t="str" cm="1">
        <f t="array" ref="AN253">IF(ISERROR(INDEX('Local Data Previous Year'!$E$3:$E$50000, SMALL(IF(CTR1_Billing!$E$21='Local Data Previous Year'!$A$3:$A$50000, ROW('Local Data Previous Year'!$A$3:$A$50000)-ROW('Local Data Previous Year'!$A$3)+1), ROW(221:221)))), "", INDEX('Local Data Previous Year'!$E$3:$E$50000, SMALL(IF(CTR1_Billing!$E$21='Local Data Previous Year'!$A$3:$A$50000, ROW('Local Data Previous Year'!$A$3:$A$50000)-ROW('Local Data Previous Year'!$A$3)+1), ROW(221:221))))</f>
        <v/>
      </c>
      <c r="AO253" s="209" t="str">
        <f t="shared" si="45"/>
        <v/>
      </c>
      <c r="AP253" s="208"/>
      <c r="AQ253" s="209" t="str">
        <f t="shared" si="46"/>
        <v/>
      </c>
      <c r="AR253" s="209" t="str">
        <f t="shared" si="47"/>
        <v/>
      </c>
      <c r="AS253" s="202" t="str">
        <f t="shared" si="48"/>
        <v/>
      </c>
      <c r="AT253" s="202" t="str">
        <f t="shared" si="49"/>
        <v/>
      </c>
      <c r="AU253" s="208"/>
      <c r="AV253" s="208"/>
      <c r="AW253" s="208"/>
      <c r="AX253" s="208"/>
      <c r="AY253" s="208"/>
      <c r="AZ253" s="208"/>
      <c r="BA253" s="208"/>
      <c r="BB253" s="208"/>
      <c r="BC253" s="208"/>
      <c r="BD253" s="208"/>
      <c r="BE253" s="208"/>
      <c r="BF253" s="208"/>
      <c r="BG253" s="28"/>
      <c r="BH253" s="28"/>
      <c r="BI253" s="28"/>
      <c r="BJ253" s="28"/>
    </row>
    <row r="254" spans="1:62" s="23" customFormat="1" ht="21" customHeight="1" thickBot="1" x14ac:dyDescent="0.25">
      <c r="A254" s="846" t="str">
        <f>IF($AN254="","",IFERROR(VLOOKUP(CONCATENATE(CTR1_Billing!$E$20,$AN254),'Local Data Previous Year'!$C$3:$D$20000,2,0),CTR1_Billing!$E$21&amp;"NEW"))</f>
        <v/>
      </c>
      <c r="B254" s="846" t="str">
        <f>IF($E254="","",IFERROR(VLOOKUP(CONCATENATE(CTR1_Billing!$E$20,CTR1_Local!$E254),'Local Data Previous Year'!$C$3:$D$20000,2,0),CTR1_Billing!$E$21&amp;"NEW"))</f>
        <v/>
      </c>
      <c r="C254" s="846">
        <v>222</v>
      </c>
      <c r="D254" s="755" t="str" cm="1">
        <f t="array" ref="D254">IF(ISERROR(INDEX('Local Data Previous Year'!$D$3:$D$20000,SMALL(IF(CTR1_Billing!$E$21='Local Data Previous Year'!$A$3:$A$20000,ROW('Local Data Previous Year'!$A$3:$A$20000)-ROW('Local Data Previous Year'!$A$3)+1),ROW(222:222)))),"",INDEX('Local Data Previous Year'!$D$3:$D$20000,SMALL(IF(CTR1_Billing!$E$21='Local Data Previous Year'!$A$3:$A$20000,ROW('Local Data Previous Year'!$A$3:$A$20000)-ROW('Local Data Previous Year'!$A$3)+1),ROW(222:222))))</f>
        <v/>
      </c>
      <c r="E254" s="755" t="str" cm="1">
        <f t="array" ref="E254">IF(ISERROR(INDEX('Local Data Previous Year'!$E$3:$E$20000,SMALL(IF(CTR1_Billing!$E$21='Local Data Previous Year'!$A$3:$A$20000,ROW('Local Data Previous Year'!$A$3:$A$20000)-ROW('Local Data Previous Year'!$A$3)+1),ROW(222:222)))),"",INDEX('Local Data Previous Year'!$E$3:$E$20000,SMALL(IF(CTR1_Billing!$E$21='Local Data Previous Year'!$A$3:$A$20000,ROW('Local Data Previous Year'!$A$3:$A$20000)-ROW('Local Data Previous Year'!$A$3)+1),ROW(222:222))))</f>
        <v/>
      </c>
      <c r="F254" s="756" t="str">
        <f>IF($D254="","",IF(ISNA(MATCH($D254,'Local Data Previous Year'!$D$3:$D$20000,0)),"New",IFERROR(VLOOKUP($B254,'Local Data Previous Year'!$D$3:$I$20000,6,0),"")))</f>
        <v/>
      </c>
      <c r="G254" s="757">
        <f t="shared" si="50"/>
        <v>0</v>
      </c>
      <c r="H254" s="758" t="str">
        <f>IFERROR(INDEX('Local Data Previous Year'!$F:$F, MATCH($D254, 'Local Data Previous Year'!$D:$D, 0)), "")</f>
        <v/>
      </c>
      <c r="I254" s="759">
        <f>IF(B254=CTR1_Billing!$E$21&amp;"NEW",1,0)</f>
        <v>0</v>
      </c>
      <c r="J254" s="760" t="str">
        <f>IFERROR(INDEX('Local Data Previous Year'!$G:$G, MATCH($D254, 'Local Data Previous Year'!$D:$D, 0)), "")</f>
        <v/>
      </c>
      <c r="K254" s="762"/>
      <c r="L254" s="760" t="str">
        <f>IFERROR(INDEX('Local Data Previous Year'!$H:$H, MATCH($D254, 'Local Data Previous Year'!$D:$D, 0)), "")</f>
        <v/>
      </c>
      <c r="M254" s="762"/>
      <c r="N254" s="763"/>
      <c r="O254" s="767"/>
      <c r="P254" s="765"/>
      <c r="Q254" s="767"/>
      <c r="R254" s="766" t="str">
        <f t="shared" si="51"/>
        <v/>
      </c>
      <c r="S254" s="754"/>
      <c r="T254" s="763"/>
      <c r="U254" s="754"/>
      <c r="V254" s="763"/>
      <c r="W254" s="763"/>
      <c r="X254" s="865" t="str">
        <f>VLOOKUP(CTR1_Billing!$E$21,Data!$C$6:$D$302,1,FALSE)</f>
        <v>EZZZZ</v>
      </c>
      <c r="Y254" s="205"/>
      <c r="Z254" s="205">
        <f t="shared" si="39"/>
        <v>0</v>
      </c>
      <c r="AA254" s="206" t="str">
        <f t="shared" si="40"/>
        <v/>
      </c>
      <c r="AB254" s="205">
        <f t="shared" si="41"/>
        <v>0</v>
      </c>
      <c r="AC254" s="208"/>
      <c r="AD254" s="208"/>
      <c r="AE254" s="208"/>
      <c r="AF254" s="208"/>
      <c r="AG254" s="209" t="str">
        <f>IFERROR(INDEX('Local Data Previous Year'!$F:$F, MATCH($D254, 'Local Data Previous Year'!$D:$D, 0)), "")</f>
        <v/>
      </c>
      <c r="AH254" s="209" t="str">
        <f>IFERROR(INDEX('Local Data Previous Year'!$G:$G, MATCH($D254, 'Local Data Previous Year'!$D:$D, 0)), "")</f>
        <v/>
      </c>
      <c r="AI254" s="209" t="str">
        <f>IFERROR(INDEX('Local Data Previous Year'!$H:$H, MATCH($D254, 'Local Data Previous Year'!$D:$D, 0)), "")</f>
        <v/>
      </c>
      <c r="AJ254" s="209" t="str">
        <f t="shared" si="42"/>
        <v/>
      </c>
      <c r="AK254" s="209" t="str">
        <f t="shared" si="43"/>
        <v/>
      </c>
      <c r="AL254" s="209" t="str">
        <f t="shared" si="44"/>
        <v/>
      </c>
      <c r="AM254" s="208" t="str">
        <f>IF($AN254="","",IFERROR(VLOOKUP(CONCATENATE(CTR1_Billing!$E$20,$AN254),'Local Data Previous Year'!$C$3:$D$50000,2,0),CTR1_Billing!$E$21&amp;"NEW"))</f>
        <v/>
      </c>
      <c r="AN254" s="209" t="str" cm="1">
        <f t="array" ref="AN254">IF(ISERROR(INDEX('Local Data Previous Year'!$E$3:$E$50000, SMALL(IF(CTR1_Billing!$E$21='Local Data Previous Year'!$A$3:$A$50000, ROW('Local Data Previous Year'!$A$3:$A$50000)-ROW('Local Data Previous Year'!$A$3)+1), ROW(222:222)))), "", INDEX('Local Data Previous Year'!$E$3:$E$50000, SMALL(IF(CTR1_Billing!$E$21='Local Data Previous Year'!$A$3:$A$50000, ROW('Local Data Previous Year'!$A$3:$A$50000)-ROW('Local Data Previous Year'!$A$3)+1), ROW(222:222))))</f>
        <v/>
      </c>
      <c r="AO254" s="209" t="str">
        <f t="shared" si="45"/>
        <v/>
      </c>
      <c r="AP254" s="208"/>
      <c r="AQ254" s="209" t="str">
        <f t="shared" si="46"/>
        <v/>
      </c>
      <c r="AR254" s="209" t="str">
        <f t="shared" si="47"/>
        <v/>
      </c>
      <c r="AS254" s="202" t="str">
        <f t="shared" si="48"/>
        <v/>
      </c>
      <c r="AT254" s="202" t="str">
        <f t="shared" si="49"/>
        <v/>
      </c>
      <c r="AU254" s="208"/>
      <c r="AV254" s="208"/>
      <c r="AW254" s="208"/>
      <c r="AX254" s="208"/>
      <c r="AY254" s="208"/>
      <c r="AZ254" s="208"/>
      <c r="BA254" s="208"/>
      <c r="BB254" s="208"/>
      <c r="BC254" s="208"/>
      <c r="BD254" s="208"/>
      <c r="BE254" s="208"/>
      <c r="BF254" s="208"/>
      <c r="BG254" s="28"/>
      <c r="BH254" s="28"/>
      <c r="BI254" s="28"/>
      <c r="BJ254" s="28"/>
    </row>
    <row r="255" spans="1:62" s="23" customFormat="1" ht="21" customHeight="1" thickBot="1" x14ac:dyDescent="0.25">
      <c r="A255" s="846" t="str">
        <f>IF($AN255="","",IFERROR(VLOOKUP(CONCATENATE(CTR1_Billing!$E$20,$AN255),'Local Data Previous Year'!$C$3:$D$20000,2,0),CTR1_Billing!$E$21&amp;"NEW"))</f>
        <v/>
      </c>
      <c r="B255" s="846" t="str">
        <f>IF($E255="","",IFERROR(VLOOKUP(CONCATENATE(CTR1_Billing!$E$20,CTR1_Local!$E255),'Local Data Previous Year'!$C$3:$D$20000,2,0),CTR1_Billing!$E$21&amp;"NEW"))</f>
        <v/>
      </c>
      <c r="C255" s="846">
        <v>223</v>
      </c>
      <c r="D255" s="755" t="str" cm="1">
        <f t="array" ref="D255">IF(ISERROR(INDEX('Local Data Previous Year'!$D$3:$D$20000,SMALL(IF(CTR1_Billing!$E$21='Local Data Previous Year'!$A$3:$A$20000,ROW('Local Data Previous Year'!$A$3:$A$20000)-ROW('Local Data Previous Year'!$A$3)+1),ROW(223:223)))),"",INDEX('Local Data Previous Year'!$D$3:$D$20000,SMALL(IF(CTR1_Billing!$E$21='Local Data Previous Year'!$A$3:$A$20000,ROW('Local Data Previous Year'!$A$3:$A$20000)-ROW('Local Data Previous Year'!$A$3)+1),ROW(223:223))))</f>
        <v/>
      </c>
      <c r="E255" s="755" t="str" cm="1">
        <f t="array" ref="E255">IF(ISERROR(INDEX('Local Data Previous Year'!$E$3:$E$20000,SMALL(IF(CTR1_Billing!$E$21='Local Data Previous Year'!$A$3:$A$20000,ROW('Local Data Previous Year'!$A$3:$A$20000)-ROW('Local Data Previous Year'!$A$3)+1),ROW(223:223)))),"",INDEX('Local Data Previous Year'!$E$3:$E$20000,SMALL(IF(CTR1_Billing!$E$21='Local Data Previous Year'!$A$3:$A$20000,ROW('Local Data Previous Year'!$A$3:$A$20000)-ROW('Local Data Previous Year'!$A$3)+1),ROW(223:223))))</f>
        <v/>
      </c>
      <c r="F255" s="756" t="str">
        <f>IF($D255="","",IF(ISNA(MATCH($D255,'Local Data Previous Year'!$D$3:$D$20000,0)),"New",IFERROR(VLOOKUP($B255,'Local Data Previous Year'!$D$3:$I$20000,6,0),"")))</f>
        <v/>
      </c>
      <c r="G255" s="757">
        <f t="shared" si="50"/>
        <v>0</v>
      </c>
      <c r="H255" s="758" t="str">
        <f>IFERROR(INDEX('Local Data Previous Year'!$F:$F, MATCH($D255, 'Local Data Previous Year'!$D:$D, 0)), "")</f>
        <v/>
      </c>
      <c r="I255" s="759">
        <f>IF(B255=CTR1_Billing!$E$21&amp;"NEW",1,0)</f>
        <v>0</v>
      </c>
      <c r="J255" s="760" t="str">
        <f>IFERROR(INDEX('Local Data Previous Year'!$G:$G, MATCH($D255, 'Local Data Previous Year'!$D:$D, 0)), "")</f>
        <v/>
      </c>
      <c r="K255" s="762"/>
      <c r="L255" s="760" t="str">
        <f>IFERROR(INDEX('Local Data Previous Year'!$H:$H, MATCH($D255, 'Local Data Previous Year'!$D:$D, 0)), "")</f>
        <v/>
      </c>
      <c r="M255" s="762"/>
      <c r="N255" s="763"/>
      <c r="O255" s="767"/>
      <c r="P255" s="765"/>
      <c r="Q255" s="767"/>
      <c r="R255" s="766" t="str">
        <f t="shared" si="51"/>
        <v/>
      </c>
      <c r="S255" s="754"/>
      <c r="T255" s="763"/>
      <c r="U255" s="754"/>
      <c r="V255" s="763"/>
      <c r="W255" s="763"/>
      <c r="X255" s="865" t="str">
        <f>VLOOKUP(CTR1_Billing!$E$21,Data!$C$6:$D$302,1,FALSE)</f>
        <v>EZZZZ</v>
      </c>
      <c r="Y255" s="205"/>
      <c r="Z255" s="205">
        <f t="shared" si="39"/>
        <v>0</v>
      </c>
      <c r="AA255" s="206" t="str">
        <f t="shared" si="40"/>
        <v/>
      </c>
      <c r="AB255" s="205">
        <f t="shared" si="41"/>
        <v>0</v>
      </c>
      <c r="AC255" s="208"/>
      <c r="AD255" s="208"/>
      <c r="AE255" s="208"/>
      <c r="AF255" s="208"/>
      <c r="AG255" s="209" t="str">
        <f>IFERROR(INDEX('Local Data Previous Year'!$F:$F, MATCH($D255, 'Local Data Previous Year'!$D:$D, 0)), "")</f>
        <v/>
      </c>
      <c r="AH255" s="209" t="str">
        <f>IFERROR(INDEX('Local Data Previous Year'!$G:$G, MATCH($D255, 'Local Data Previous Year'!$D:$D, 0)), "")</f>
        <v/>
      </c>
      <c r="AI255" s="209" t="str">
        <f>IFERROR(INDEX('Local Data Previous Year'!$H:$H, MATCH($D255, 'Local Data Previous Year'!$D:$D, 0)), "")</f>
        <v/>
      </c>
      <c r="AJ255" s="209" t="str">
        <f t="shared" si="42"/>
        <v/>
      </c>
      <c r="AK255" s="209" t="str">
        <f t="shared" si="43"/>
        <v/>
      </c>
      <c r="AL255" s="209" t="str">
        <f t="shared" si="44"/>
        <v/>
      </c>
      <c r="AM255" s="208" t="str">
        <f>IF($AN255="","",IFERROR(VLOOKUP(CONCATENATE(CTR1_Billing!$E$20,$AN255),'Local Data Previous Year'!$C$3:$D$50000,2,0),CTR1_Billing!$E$21&amp;"NEW"))</f>
        <v/>
      </c>
      <c r="AN255" s="209" t="str" cm="1">
        <f t="array" ref="AN255">IF(ISERROR(INDEX('Local Data Previous Year'!$E$3:$E$50000, SMALL(IF(CTR1_Billing!$E$21='Local Data Previous Year'!$A$3:$A$50000, ROW('Local Data Previous Year'!$A$3:$A$50000)-ROW('Local Data Previous Year'!$A$3)+1), ROW(223:223)))), "", INDEX('Local Data Previous Year'!$E$3:$E$50000, SMALL(IF(CTR1_Billing!$E$21='Local Data Previous Year'!$A$3:$A$50000, ROW('Local Data Previous Year'!$A$3:$A$50000)-ROW('Local Data Previous Year'!$A$3)+1), ROW(223:223))))</f>
        <v/>
      </c>
      <c r="AO255" s="209" t="str">
        <f t="shared" si="45"/>
        <v/>
      </c>
      <c r="AP255" s="208"/>
      <c r="AQ255" s="209" t="str">
        <f t="shared" si="46"/>
        <v/>
      </c>
      <c r="AR255" s="209" t="str">
        <f t="shared" si="47"/>
        <v/>
      </c>
      <c r="AS255" s="202" t="str">
        <f t="shared" si="48"/>
        <v/>
      </c>
      <c r="AT255" s="202" t="str">
        <f t="shared" si="49"/>
        <v/>
      </c>
      <c r="AU255" s="208"/>
      <c r="AV255" s="208"/>
      <c r="AW255" s="208"/>
      <c r="AX255" s="208"/>
      <c r="AY255" s="208"/>
      <c r="AZ255" s="208"/>
      <c r="BA255" s="208"/>
      <c r="BB255" s="208"/>
      <c r="BC255" s="208"/>
      <c r="BD255" s="208"/>
      <c r="BE255" s="208"/>
      <c r="BF255" s="208"/>
      <c r="BG255" s="28"/>
      <c r="BH255" s="28"/>
      <c r="BI255" s="28"/>
      <c r="BJ255" s="28"/>
    </row>
    <row r="256" spans="1:62" s="23" customFormat="1" ht="21" customHeight="1" thickBot="1" x14ac:dyDescent="0.25">
      <c r="A256" s="846" t="str">
        <f>IF($AN256="","",IFERROR(VLOOKUP(CONCATENATE(CTR1_Billing!$E$20,$AN256),'Local Data Previous Year'!$C$3:$D$20000,2,0),CTR1_Billing!$E$21&amp;"NEW"))</f>
        <v/>
      </c>
      <c r="B256" s="846" t="str">
        <f>IF($E256="","",IFERROR(VLOOKUP(CONCATENATE(CTR1_Billing!$E$20,CTR1_Local!$E256),'Local Data Previous Year'!$C$3:$D$20000,2,0),CTR1_Billing!$E$21&amp;"NEW"))</f>
        <v/>
      </c>
      <c r="C256" s="846">
        <v>224</v>
      </c>
      <c r="D256" s="755" t="str" cm="1">
        <f t="array" ref="D256">IF(ISERROR(INDEX('Local Data Previous Year'!$D$3:$D$20000,SMALL(IF(CTR1_Billing!$E$21='Local Data Previous Year'!$A$3:$A$20000,ROW('Local Data Previous Year'!$A$3:$A$20000)-ROW('Local Data Previous Year'!$A$3)+1),ROW(224:224)))),"",INDEX('Local Data Previous Year'!$D$3:$D$20000,SMALL(IF(CTR1_Billing!$E$21='Local Data Previous Year'!$A$3:$A$20000,ROW('Local Data Previous Year'!$A$3:$A$20000)-ROW('Local Data Previous Year'!$A$3)+1),ROW(224:224))))</f>
        <v/>
      </c>
      <c r="E256" s="755" t="str" cm="1">
        <f t="array" ref="E256">IF(ISERROR(INDEX('Local Data Previous Year'!$E$3:$E$20000,SMALL(IF(CTR1_Billing!$E$21='Local Data Previous Year'!$A$3:$A$20000,ROW('Local Data Previous Year'!$A$3:$A$20000)-ROW('Local Data Previous Year'!$A$3)+1),ROW(224:224)))),"",INDEX('Local Data Previous Year'!$E$3:$E$20000,SMALL(IF(CTR1_Billing!$E$21='Local Data Previous Year'!$A$3:$A$20000,ROW('Local Data Previous Year'!$A$3:$A$20000)-ROW('Local Data Previous Year'!$A$3)+1),ROW(224:224))))</f>
        <v/>
      </c>
      <c r="F256" s="756" t="str">
        <f>IF($D256="","",IF(ISNA(MATCH($D256,'Local Data Previous Year'!$D$3:$D$20000,0)),"New",IFERROR(VLOOKUP($B256,'Local Data Previous Year'!$D$3:$I$20000,6,0),"")))</f>
        <v/>
      </c>
      <c r="G256" s="757">
        <f t="shared" si="50"/>
        <v>0</v>
      </c>
      <c r="H256" s="758" t="str">
        <f>IFERROR(INDEX('Local Data Previous Year'!$F:$F, MATCH($D256, 'Local Data Previous Year'!$D:$D, 0)), "")</f>
        <v/>
      </c>
      <c r="I256" s="759">
        <f>IF(B256=CTR1_Billing!$E$21&amp;"NEW",1,0)</f>
        <v>0</v>
      </c>
      <c r="J256" s="760" t="str">
        <f>IFERROR(INDEX('Local Data Previous Year'!$G:$G, MATCH($D256, 'Local Data Previous Year'!$D:$D, 0)), "")</f>
        <v/>
      </c>
      <c r="K256" s="762"/>
      <c r="L256" s="760" t="str">
        <f>IFERROR(INDEX('Local Data Previous Year'!$H:$H, MATCH($D256, 'Local Data Previous Year'!$D:$D, 0)), "")</f>
        <v/>
      </c>
      <c r="M256" s="762"/>
      <c r="N256" s="763"/>
      <c r="O256" s="767"/>
      <c r="P256" s="765"/>
      <c r="Q256" s="767"/>
      <c r="R256" s="766" t="str">
        <f t="shared" si="51"/>
        <v/>
      </c>
      <c r="S256" s="754"/>
      <c r="T256" s="763"/>
      <c r="U256" s="754"/>
      <c r="V256" s="763"/>
      <c r="W256" s="763"/>
      <c r="X256" s="865" t="str">
        <f>VLOOKUP(CTR1_Billing!$E$21,Data!$C$6:$D$302,1,FALSE)</f>
        <v>EZZZZ</v>
      </c>
      <c r="Y256" s="205"/>
      <c r="Z256" s="205">
        <f t="shared" si="39"/>
        <v>0</v>
      </c>
      <c r="AA256" s="206" t="str">
        <f t="shared" si="40"/>
        <v/>
      </c>
      <c r="AB256" s="205">
        <f t="shared" si="41"/>
        <v>0</v>
      </c>
      <c r="AC256" s="208"/>
      <c r="AD256" s="208"/>
      <c r="AE256" s="208"/>
      <c r="AF256" s="208"/>
      <c r="AG256" s="209" t="str">
        <f>IFERROR(INDEX('Local Data Previous Year'!$F:$F, MATCH($D256, 'Local Data Previous Year'!$D:$D, 0)), "")</f>
        <v/>
      </c>
      <c r="AH256" s="209" t="str">
        <f>IFERROR(INDEX('Local Data Previous Year'!$G:$G, MATCH($D256, 'Local Data Previous Year'!$D:$D, 0)), "")</f>
        <v/>
      </c>
      <c r="AI256" s="209" t="str">
        <f>IFERROR(INDEX('Local Data Previous Year'!$H:$H, MATCH($D256, 'Local Data Previous Year'!$D:$D, 0)), "")</f>
        <v/>
      </c>
      <c r="AJ256" s="209" t="str">
        <f t="shared" si="42"/>
        <v/>
      </c>
      <c r="AK256" s="209" t="str">
        <f t="shared" si="43"/>
        <v/>
      </c>
      <c r="AL256" s="209" t="str">
        <f t="shared" si="44"/>
        <v/>
      </c>
      <c r="AM256" s="208" t="str">
        <f>IF($AN256="","",IFERROR(VLOOKUP(CONCATENATE(CTR1_Billing!$E$20,$AN256),'Local Data Previous Year'!$C$3:$D$50000,2,0),CTR1_Billing!$E$21&amp;"NEW"))</f>
        <v/>
      </c>
      <c r="AN256" s="209" t="str" cm="1">
        <f t="array" ref="AN256">IF(ISERROR(INDEX('Local Data Previous Year'!$E$3:$E$50000, SMALL(IF(CTR1_Billing!$E$21='Local Data Previous Year'!$A$3:$A$50000, ROW('Local Data Previous Year'!$A$3:$A$50000)-ROW('Local Data Previous Year'!$A$3)+1), ROW(224:224)))), "", INDEX('Local Data Previous Year'!$E$3:$E$50000, SMALL(IF(CTR1_Billing!$E$21='Local Data Previous Year'!$A$3:$A$50000, ROW('Local Data Previous Year'!$A$3:$A$50000)-ROW('Local Data Previous Year'!$A$3)+1), ROW(224:224))))</f>
        <v/>
      </c>
      <c r="AO256" s="209" t="str">
        <f t="shared" si="45"/>
        <v/>
      </c>
      <c r="AP256" s="208"/>
      <c r="AQ256" s="209" t="str">
        <f t="shared" si="46"/>
        <v/>
      </c>
      <c r="AR256" s="209" t="str">
        <f t="shared" si="47"/>
        <v/>
      </c>
      <c r="AS256" s="202" t="str">
        <f t="shared" si="48"/>
        <v/>
      </c>
      <c r="AT256" s="202" t="str">
        <f t="shared" si="49"/>
        <v/>
      </c>
      <c r="AU256" s="208"/>
      <c r="AV256" s="208"/>
      <c r="AW256" s="208"/>
      <c r="AX256" s="208"/>
      <c r="AY256" s="208"/>
      <c r="AZ256" s="208"/>
      <c r="BA256" s="208"/>
      <c r="BB256" s="208"/>
      <c r="BC256" s="208"/>
      <c r="BD256" s="208"/>
      <c r="BE256" s="208"/>
      <c r="BF256" s="208"/>
      <c r="BG256" s="28"/>
      <c r="BH256" s="28"/>
      <c r="BI256" s="28"/>
      <c r="BJ256" s="28"/>
    </row>
    <row r="257" spans="1:62" s="23" customFormat="1" ht="21" customHeight="1" thickBot="1" x14ac:dyDescent="0.25">
      <c r="A257" s="846" t="str">
        <f>IF($AN257="","",IFERROR(VLOOKUP(CONCATENATE(CTR1_Billing!$E$20,$AN257),'Local Data Previous Year'!$C$3:$D$20000,2,0),CTR1_Billing!$E$21&amp;"NEW"))</f>
        <v/>
      </c>
      <c r="B257" s="846" t="str">
        <f>IF($E257="","",IFERROR(VLOOKUP(CONCATENATE(CTR1_Billing!$E$20,CTR1_Local!$E257),'Local Data Previous Year'!$C$3:$D$20000,2,0),CTR1_Billing!$E$21&amp;"NEW"))</f>
        <v/>
      </c>
      <c r="C257" s="846">
        <v>225</v>
      </c>
      <c r="D257" s="755" t="str" cm="1">
        <f t="array" ref="D257">IF(ISERROR(INDEX('Local Data Previous Year'!$D$3:$D$20000,SMALL(IF(CTR1_Billing!$E$21='Local Data Previous Year'!$A$3:$A$20000,ROW('Local Data Previous Year'!$A$3:$A$20000)-ROW('Local Data Previous Year'!$A$3)+1),ROW(225:225)))),"",INDEX('Local Data Previous Year'!$D$3:$D$20000,SMALL(IF(CTR1_Billing!$E$21='Local Data Previous Year'!$A$3:$A$20000,ROW('Local Data Previous Year'!$A$3:$A$20000)-ROW('Local Data Previous Year'!$A$3)+1),ROW(225:225))))</f>
        <v/>
      </c>
      <c r="E257" s="755" t="str" cm="1">
        <f t="array" ref="E257">IF(ISERROR(INDEX('Local Data Previous Year'!$E$3:$E$20000,SMALL(IF(CTR1_Billing!$E$21='Local Data Previous Year'!$A$3:$A$20000,ROW('Local Data Previous Year'!$A$3:$A$20000)-ROW('Local Data Previous Year'!$A$3)+1),ROW(225:225)))),"",INDEX('Local Data Previous Year'!$E$3:$E$20000,SMALL(IF(CTR1_Billing!$E$21='Local Data Previous Year'!$A$3:$A$20000,ROW('Local Data Previous Year'!$A$3:$A$20000)-ROW('Local Data Previous Year'!$A$3)+1),ROW(225:225))))</f>
        <v/>
      </c>
      <c r="F257" s="756" t="str">
        <f>IF($D257="","",IF(ISNA(MATCH($D257,'Local Data Previous Year'!$D$3:$D$20000,0)),"New",IFERROR(VLOOKUP($B257,'Local Data Previous Year'!$D$3:$I$20000,6,0),"")))</f>
        <v/>
      </c>
      <c r="G257" s="757">
        <f t="shared" si="50"/>
        <v>0</v>
      </c>
      <c r="H257" s="758" t="str">
        <f>IFERROR(INDEX('Local Data Previous Year'!$F:$F, MATCH($D257, 'Local Data Previous Year'!$D:$D, 0)), "")</f>
        <v/>
      </c>
      <c r="I257" s="759">
        <f>IF(B257=CTR1_Billing!$E$21&amp;"NEW",1,0)</f>
        <v>0</v>
      </c>
      <c r="J257" s="760" t="str">
        <f>IFERROR(INDEX('Local Data Previous Year'!$G:$G, MATCH($D257, 'Local Data Previous Year'!$D:$D, 0)), "")</f>
        <v/>
      </c>
      <c r="K257" s="762"/>
      <c r="L257" s="760" t="str">
        <f>IFERROR(INDEX('Local Data Previous Year'!$H:$H, MATCH($D257, 'Local Data Previous Year'!$D:$D, 0)), "")</f>
        <v/>
      </c>
      <c r="M257" s="762"/>
      <c r="N257" s="763"/>
      <c r="O257" s="767"/>
      <c r="P257" s="765"/>
      <c r="Q257" s="767"/>
      <c r="R257" s="766" t="str">
        <f t="shared" si="51"/>
        <v/>
      </c>
      <c r="S257" s="754"/>
      <c r="T257" s="763"/>
      <c r="U257" s="754"/>
      <c r="V257" s="763"/>
      <c r="W257" s="763"/>
      <c r="X257" s="865" t="str">
        <f>VLOOKUP(CTR1_Billing!$E$21,Data!$C$6:$D$302,1,FALSE)</f>
        <v>EZZZZ</v>
      </c>
      <c r="Y257" s="205"/>
      <c r="Z257" s="205">
        <f t="shared" si="39"/>
        <v>0</v>
      </c>
      <c r="AA257" s="206" t="str">
        <f t="shared" si="40"/>
        <v/>
      </c>
      <c r="AB257" s="205">
        <f t="shared" si="41"/>
        <v>0</v>
      </c>
      <c r="AC257" s="208"/>
      <c r="AD257" s="208"/>
      <c r="AE257" s="208"/>
      <c r="AF257" s="208"/>
      <c r="AG257" s="209" t="str">
        <f>IFERROR(INDEX('Local Data Previous Year'!$F:$F, MATCH($D257, 'Local Data Previous Year'!$D:$D, 0)), "")</f>
        <v/>
      </c>
      <c r="AH257" s="209" t="str">
        <f>IFERROR(INDEX('Local Data Previous Year'!$G:$G, MATCH($D257, 'Local Data Previous Year'!$D:$D, 0)), "")</f>
        <v/>
      </c>
      <c r="AI257" s="209" t="str">
        <f>IFERROR(INDEX('Local Data Previous Year'!$H:$H, MATCH($D257, 'Local Data Previous Year'!$D:$D, 0)), "")</f>
        <v/>
      </c>
      <c r="AJ257" s="209" t="str">
        <f t="shared" si="42"/>
        <v/>
      </c>
      <c r="AK257" s="209" t="str">
        <f t="shared" si="43"/>
        <v/>
      </c>
      <c r="AL257" s="209" t="str">
        <f t="shared" si="44"/>
        <v/>
      </c>
      <c r="AM257" s="208" t="str">
        <f>IF($AN257="","",IFERROR(VLOOKUP(CONCATENATE(CTR1_Billing!$E$20,$AN257),'Local Data Previous Year'!$C$3:$D$50000,2,0),CTR1_Billing!$E$21&amp;"NEW"))</f>
        <v/>
      </c>
      <c r="AN257" s="209" t="str" cm="1">
        <f t="array" ref="AN257">IF(ISERROR(INDEX('Local Data Previous Year'!$E$3:$E$50000, SMALL(IF(CTR1_Billing!$E$21='Local Data Previous Year'!$A$3:$A$50000, ROW('Local Data Previous Year'!$A$3:$A$50000)-ROW('Local Data Previous Year'!$A$3)+1), ROW(225:225)))), "", INDEX('Local Data Previous Year'!$E$3:$E$50000, SMALL(IF(CTR1_Billing!$E$21='Local Data Previous Year'!$A$3:$A$50000, ROW('Local Data Previous Year'!$A$3:$A$50000)-ROW('Local Data Previous Year'!$A$3)+1), ROW(225:225))))</f>
        <v/>
      </c>
      <c r="AO257" s="209" t="str">
        <f t="shared" si="45"/>
        <v/>
      </c>
      <c r="AP257" s="208"/>
      <c r="AQ257" s="209" t="str">
        <f t="shared" si="46"/>
        <v/>
      </c>
      <c r="AR257" s="209" t="str">
        <f t="shared" si="47"/>
        <v/>
      </c>
      <c r="AS257" s="202" t="str">
        <f t="shared" si="48"/>
        <v/>
      </c>
      <c r="AT257" s="202" t="str">
        <f t="shared" si="49"/>
        <v/>
      </c>
      <c r="AU257" s="208"/>
      <c r="AV257" s="208"/>
      <c r="AW257" s="208"/>
      <c r="AX257" s="208"/>
      <c r="AY257" s="208"/>
      <c r="AZ257" s="208"/>
      <c r="BA257" s="208"/>
      <c r="BB257" s="208"/>
      <c r="BC257" s="208"/>
      <c r="BD257" s="208"/>
      <c r="BE257" s="208"/>
      <c r="BF257" s="208"/>
      <c r="BG257" s="28"/>
      <c r="BH257" s="28"/>
      <c r="BI257" s="28"/>
      <c r="BJ257" s="28"/>
    </row>
    <row r="258" spans="1:62" s="23" customFormat="1" ht="21" customHeight="1" thickBot="1" x14ac:dyDescent="0.25">
      <c r="A258" s="846" t="str">
        <f>IF($AN258="","",IFERROR(VLOOKUP(CONCATENATE(CTR1_Billing!$E$20,$AN258),'Local Data Previous Year'!$C$3:$D$20000,2,0),CTR1_Billing!$E$21&amp;"NEW"))</f>
        <v/>
      </c>
      <c r="B258" s="846" t="str">
        <f>IF($E258="","",IFERROR(VLOOKUP(CONCATENATE(CTR1_Billing!$E$20,CTR1_Local!$E258),'Local Data Previous Year'!$C$3:$D$20000,2,0),CTR1_Billing!$E$21&amp;"NEW"))</f>
        <v/>
      </c>
      <c r="C258" s="846">
        <v>226</v>
      </c>
      <c r="D258" s="755" t="str" cm="1">
        <f t="array" ref="D258">IF(ISERROR(INDEX('Local Data Previous Year'!$D$3:$D$20000,SMALL(IF(CTR1_Billing!$E$21='Local Data Previous Year'!$A$3:$A$20000,ROW('Local Data Previous Year'!$A$3:$A$20000)-ROW('Local Data Previous Year'!$A$3)+1),ROW(226:226)))),"",INDEX('Local Data Previous Year'!$D$3:$D$20000,SMALL(IF(CTR1_Billing!$E$21='Local Data Previous Year'!$A$3:$A$20000,ROW('Local Data Previous Year'!$A$3:$A$20000)-ROW('Local Data Previous Year'!$A$3)+1),ROW(226:226))))</f>
        <v/>
      </c>
      <c r="E258" s="755" t="str" cm="1">
        <f t="array" ref="E258">IF(ISERROR(INDEX('Local Data Previous Year'!$E$3:$E$20000,SMALL(IF(CTR1_Billing!$E$21='Local Data Previous Year'!$A$3:$A$20000,ROW('Local Data Previous Year'!$A$3:$A$20000)-ROW('Local Data Previous Year'!$A$3)+1),ROW(226:226)))),"",INDEX('Local Data Previous Year'!$E$3:$E$20000,SMALL(IF(CTR1_Billing!$E$21='Local Data Previous Year'!$A$3:$A$20000,ROW('Local Data Previous Year'!$A$3:$A$20000)-ROW('Local Data Previous Year'!$A$3)+1),ROW(226:226))))</f>
        <v/>
      </c>
      <c r="F258" s="756" t="str">
        <f>IF($D258="","",IF(ISNA(MATCH($D258,'Local Data Previous Year'!$D$3:$D$20000,0)),"New",IFERROR(VLOOKUP($B258,'Local Data Previous Year'!$D$3:$I$20000,6,0),"")))</f>
        <v/>
      </c>
      <c r="G258" s="757">
        <f t="shared" si="50"/>
        <v>0</v>
      </c>
      <c r="H258" s="758" t="str">
        <f>IFERROR(INDEX('Local Data Previous Year'!$F:$F, MATCH($D258, 'Local Data Previous Year'!$D:$D, 0)), "")</f>
        <v/>
      </c>
      <c r="I258" s="759">
        <f>IF(B258=CTR1_Billing!$E$21&amp;"NEW",1,0)</f>
        <v>0</v>
      </c>
      <c r="J258" s="760" t="str">
        <f>IFERROR(INDEX('Local Data Previous Year'!$G:$G, MATCH($D258, 'Local Data Previous Year'!$D:$D, 0)), "")</f>
        <v/>
      </c>
      <c r="K258" s="762"/>
      <c r="L258" s="760" t="str">
        <f>IFERROR(INDEX('Local Data Previous Year'!$H:$H, MATCH($D258, 'Local Data Previous Year'!$D:$D, 0)), "")</f>
        <v/>
      </c>
      <c r="M258" s="762"/>
      <c r="N258" s="763"/>
      <c r="O258" s="767"/>
      <c r="P258" s="765"/>
      <c r="Q258" s="767"/>
      <c r="R258" s="766" t="str">
        <f t="shared" si="51"/>
        <v/>
      </c>
      <c r="S258" s="754"/>
      <c r="T258" s="763"/>
      <c r="U258" s="754"/>
      <c r="V258" s="763"/>
      <c r="W258" s="763"/>
      <c r="X258" s="865" t="str">
        <f>VLOOKUP(CTR1_Billing!$E$21,Data!$C$6:$D$302,1,FALSE)</f>
        <v>EZZZZ</v>
      </c>
      <c r="Y258" s="205"/>
      <c r="Z258" s="205">
        <f t="shared" si="39"/>
        <v>0</v>
      </c>
      <c r="AA258" s="206" t="str">
        <f t="shared" si="40"/>
        <v/>
      </c>
      <c r="AB258" s="205">
        <f t="shared" si="41"/>
        <v>0</v>
      </c>
      <c r="AC258" s="208"/>
      <c r="AD258" s="208"/>
      <c r="AE258" s="208"/>
      <c r="AF258" s="208"/>
      <c r="AG258" s="209" t="str">
        <f>IFERROR(INDEX('Local Data Previous Year'!$F:$F, MATCH($D258, 'Local Data Previous Year'!$D:$D, 0)), "")</f>
        <v/>
      </c>
      <c r="AH258" s="209" t="str">
        <f>IFERROR(INDEX('Local Data Previous Year'!$G:$G, MATCH($D258, 'Local Data Previous Year'!$D:$D, 0)), "")</f>
        <v/>
      </c>
      <c r="AI258" s="209" t="str">
        <f>IFERROR(INDEX('Local Data Previous Year'!$H:$H, MATCH($D258, 'Local Data Previous Year'!$D:$D, 0)), "")</f>
        <v/>
      </c>
      <c r="AJ258" s="209" t="str">
        <f t="shared" si="42"/>
        <v/>
      </c>
      <c r="AK258" s="209" t="str">
        <f t="shared" si="43"/>
        <v/>
      </c>
      <c r="AL258" s="209" t="str">
        <f t="shared" si="44"/>
        <v/>
      </c>
      <c r="AM258" s="208" t="str">
        <f>IF($AN258="","",IFERROR(VLOOKUP(CONCATENATE(CTR1_Billing!$E$20,$AN258),'Local Data Previous Year'!$C$3:$D$50000,2,0),CTR1_Billing!$E$21&amp;"NEW"))</f>
        <v/>
      </c>
      <c r="AN258" s="209" t="str" cm="1">
        <f t="array" ref="AN258">IF(ISERROR(INDEX('Local Data Previous Year'!$E$3:$E$50000, SMALL(IF(CTR1_Billing!$E$21='Local Data Previous Year'!$A$3:$A$50000, ROW('Local Data Previous Year'!$A$3:$A$50000)-ROW('Local Data Previous Year'!$A$3)+1), ROW(226:226)))), "", INDEX('Local Data Previous Year'!$E$3:$E$50000, SMALL(IF(CTR1_Billing!$E$21='Local Data Previous Year'!$A$3:$A$50000, ROW('Local Data Previous Year'!$A$3:$A$50000)-ROW('Local Data Previous Year'!$A$3)+1), ROW(226:226))))</f>
        <v/>
      </c>
      <c r="AO258" s="209" t="str">
        <f t="shared" si="45"/>
        <v/>
      </c>
      <c r="AP258" s="208"/>
      <c r="AQ258" s="209" t="str">
        <f t="shared" si="46"/>
        <v/>
      </c>
      <c r="AR258" s="209" t="str">
        <f t="shared" si="47"/>
        <v/>
      </c>
      <c r="AS258" s="202" t="str">
        <f t="shared" si="48"/>
        <v/>
      </c>
      <c r="AT258" s="202" t="str">
        <f t="shared" si="49"/>
        <v/>
      </c>
      <c r="AU258" s="208"/>
      <c r="AV258" s="208"/>
      <c r="AW258" s="208"/>
      <c r="AX258" s="208"/>
      <c r="AY258" s="208"/>
      <c r="AZ258" s="208"/>
      <c r="BA258" s="208"/>
      <c r="BB258" s="208"/>
      <c r="BC258" s="208"/>
      <c r="BD258" s="208"/>
      <c r="BE258" s="208"/>
      <c r="BF258" s="208"/>
      <c r="BG258" s="28"/>
      <c r="BH258" s="28"/>
      <c r="BI258" s="28"/>
      <c r="BJ258" s="28"/>
    </row>
    <row r="259" spans="1:62" s="23" customFormat="1" ht="21" customHeight="1" thickBot="1" x14ac:dyDescent="0.25">
      <c r="A259" s="846" t="str">
        <f>IF($AN259="","",IFERROR(VLOOKUP(CONCATENATE(CTR1_Billing!$E$20,$AN259),'Local Data Previous Year'!$C$3:$D$20000,2,0),CTR1_Billing!$E$21&amp;"NEW"))</f>
        <v/>
      </c>
      <c r="B259" s="846" t="str">
        <f>IF($E259="","",IFERROR(VLOOKUP(CONCATENATE(CTR1_Billing!$E$20,CTR1_Local!$E259),'Local Data Previous Year'!$C$3:$D$20000,2,0),CTR1_Billing!$E$21&amp;"NEW"))</f>
        <v/>
      </c>
      <c r="C259" s="846">
        <v>227</v>
      </c>
      <c r="D259" s="755" t="str" cm="1">
        <f t="array" ref="D259">IF(ISERROR(INDEX('Local Data Previous Year'!$D$3:$D$20000,SMALL(IF(CTR1_Billing!$E$21='Local Data Previous Year'!$A$3:$A$20000,ROW('Local Data Previous Year'!$A$3:$A$20000)-ROW('Local Data Previous Year'!$A$3)+1),ROW(227:227)))),"",INDEX('Local Data Previous Year'!$D$3:$D$20000,SMALL(IF(CTR1_Billing!$E$21='Local Data Previous Year'!$A$3:$A$20000,ROW('Local Data Previous Year'!$A$3:$A$20000)-ROW('Local Data Previous Year'!$A$3)+1),ROW(227:227))))</f>
        <v/>
      </c>
      <c r="E259" s="755" t="str" cm="1">
        <f t="array" ref="E259">IF(ISERROR(INDEX('Local Data Previous Year'!$E$3:$E$20000,SMALL(IF(CTR1_Billing!$E$21='Local Data Previous Year'!$A$3:$A$20000,ROW('Local Data Previous Year'!$A$3:$A$20000)-ROW('Local Data Previous Year'!$A$3)+1),ROW(227:227)))),"",INDEX('Local Data Previous Year'!$E$3:$E$20000,SMALL(IF(CTR1_Billing!$E$21='Local Data Previous Year'!$A$3:$A$20000,ROW('Local Data Previous Year'!$A$3:$A$20000)-ROW('Local Data Previous Year'!$A$3)+1),ROW(227:227))))</f>
        <v/>
      </c>
      <c r="F259" s="756" t="str">
        <f>IF($D259="","",IF(ISNA(MATCH($D259,'Local Data Previous Year'!$D$3:$D$20000,0)),"New",IFERROR(VLOOKUP($B259,'Local Data Previous Year'!$D$3:$I$20000,6,0),"")))</f>
        <v/>
      </c>
      <c r="G259" s="757">
        <f t="shared" si="50"/>
        <v>0</v>
      </c>
      <c r="H259" s="758" t="str">
        <f>IFERROR(INDEX('Local Data Previous Year'!$F:$F, MATCH($D259, 'Local Data Previous Year'!$D:$D, 0)), "")</f>
        <v/>
      </c>
      <c r="I259" s="759">
        <f>IF(B259=CTR1_Billing!$E$21&amp;"NEW",1,0)</f>
        <v>0</v>
      </c>
      <c r="J259" s="760" t="str">
        <f>IFERROR(INDEX('Local Data Previous Year'!$G:$G, MATCH($D259, 'Local Data Previous Year'!$D:$D, 0)), "")</f>
        <v/>
      </c>
      <c r="K259" s="762"/>
      <c r="L259" s="760" t="str">
        <f>IFERROR(INDEX('Local Data Previous Year'!$H:$H, MATCH($D259, 'Local Data Previous Year'!$D:$D, 0)), "")</f>
        <v/>
      </c>
      <c r="M259" s="762"/>
      <c r="N259" s="763"/>
      <c r="O259" s="767"/>
      <c r="P259" s="765"/>
      <c r="Q259" s="767"/>
      <c r="R259" s="766" t="str">
        <f t="shared" si="51"/>
        <v/>
      </c>
      <c r="S259" s="754"/>
      <c r="T259" s="763"/>
      <c r="U259" s="754"/>
      <c r="V259" s="763"/>
      <c r="W259" s="763"/>
      <c r="X259" s="865" t="str">
        <f>VLOOKUP(CTR1_Billing!$E$21,Data!$C$6:$D$302,1,FALSE)</f>
        <v>EZZZZ</v>
      </c>
      <c r="Y259" s="205"/>
      <c r="Z259" s="205">
        <f t="shared" si="39"/>
        <v>0</v>
      </c>
      <c r="AA259" s="206" t="str">
        <f t="shared" si="40"/>
        <v/>
      </c>
      <c r="AB259" s="205">
        <f t="shared" si="41"/>
        <v>0</v>
      </c>
      <c r="AC259" s="208"/>
      <c r="AD259" s="208"/>
      <c r="AE259" s="208"/>
      <c r="AF259" s="208"/>
      <c r="AG259" s="209" t="str">
        <f>IFERROR(INDEX('Local Data Previous Year'!$F:$F, MATCH($D259, 'Local Data Previous Year'!$D:$D, 0)), "")</f>
        <v/>
      </c>
      <c r="AH259" s="209" t="str">
        <f>IFERROR(INDEX('Local Data Previous Year'!$G:$G, MATCH($D259, 'Local Data Previous Year'!$D:$D, 0)), "")</f>
        <v/>
      </c>
      <c r="AI259" s="209" t="str">
        <f>IFERROR(INDEX('Local Data Previous Year'!$H:$H, MATCH($D259, 'Local Data Previous Year'!$D:$D, 0)), "")</f>
        <v/>
      </c>
      <c r="AJ259" s="209" t="str">
        <f t="shared" si="42"/>
        <v/>
      </c>
      <c r="AK259" s="209" t="str">
        <f t="shared" si="43"/>
        <v/>
      </c>
      <c r="AL259" s="209" t="str">
        <f t="shared" si="44"/>
        <v/>
      </c>
      <c r="AM259" s="208" t="str">
        <f>IF($AN259="","",IFERROR(VLOOKUP(CONCATENATE(CTR1_Billing!$E$20,$AN259),'Local Data Previous Year'!$C$3:$D$50000,2,0),CTR1_Billing!$E$21&amp;"NEW"))</f>
        <v/>
      </c>
      <c r="AN259" s="209" t="str" cm="1">
        <f t="array" ref="AN259">IF(ISERROR(INDEX('Local Data Previous Year'!$E$3:$E$50000, SMALL(IF(CTR1_Billing!$E$21='Local Data Previous Year'!$A$3:$A$50000, ROW('Local Data Previous Year'!$A$3:$A$50000)-ROW('Local Data Previous Year'!$A$3)+1), ROW(227:227)))), "", INDEX('Local Data Previous Year'!$E$3:$E$50000, SMALL(IF(CTR1_Billing!$E$21='Local Data Previous Year'!$A$3:$A$50000, ROW('Local Data Previous Year'!$A$3:$A$50000)-ROW('Local Data Previous Year'!$A$3)+1), ROW(227:227))))</f>
        <v/>
      </c>
      <c r="AO259" s="209" t="str">
        <f t="shared" si="45"/>
        <v/>
      </c>
      <c r="AP259" s="208"/>
      <c r="AQ259" s="209" t="str">
        <f t="shared" si="46"/>
        <v/>
      </c>
      <c r="AR259" s="209" t="str">
        <f t="shared" si="47"/>
        <v/>
      </c>
      <c r="AS259" s="202" t="str">
        <f t="shared" si="48"/>
        <v/>
      </c>
      <c r="AT259" s="202" t="str">
        <f t="shared" si="49"/>
        <v/>
      </c>
      <c r="AU259" s="208"/>
      <c r="AV259" s="208"/>
      <c r="AW259" s="208"/>
      <c r="AX259" s="208"/>
      <c r="AY259" s="208"/>
      <c r="AZ259" s="208"/>
      <c r="BA259" s="208"/>
      <c r="BB259" s="208"/>
      <c r="BC259" s="208"/>
      <c r="BD259" s="208"/>
      <c r="BE259" s="208"/>
      <c r="BF259" s="208"/>
      <c r="BG259" s="28"/>
      <c r="BH259" s="28"/>
      <c r="BI259" s="28"/>
      <c r="BJ259" s="28"/>
    </row>
    <row r="260" spans="1:62" s="23" customFormat="1" ht="21" customHeight="1" thickBot="1" x14ac:dyDescent="0.25">
      <c r="A260" s="846" t="str">
        <f>IF($AN260="","",IFERROR(VLOOKUP(CONCATENATE(CTR1_Billing!$E$20,$AN260),'Local Data Previous Year'!$C$3:$D$20000,2,0),CTR1_Billing!$E$21&amp;"NEW"))</f>
        <v/>
      </c>
      <c r="B260" s="846" t="str">
        <f>IF($E260="","",IFERROR(VLOOKUP(CONCATENATE(CTR1_Billing!$E$20,CTR1_Local!$E260),'Local Data Previous Year'!$C$3:$D$20000,2,0),CTR1_Billing!$E$21&amp;"NEW"))</f>
        <v/>
      </c>
      <c r="C260" s="846">
        <v>228</v>
      </c>
      <c r="D260" s="755" t="str" cm="1">
        <f t="array" ref="D260">IF(ISERROR(INDEX('Local Data Previous Year'!$D$3:$D$20000,SMALL(IF(CTR1_Billing!$E$21='Local Data Previous Year'!$A$3:$A$20000,ROW('Local Data Previous Year'!$A$3:$A$20000)-ROW('Local Data Previous Year'!$A$3)+1),ROW(228:228)))),"",INDEX('Local Data Previous Year'!$D$3:$D$20000,SMALL(IF(CTR1_Billing!$E$21='Local Data Previous Year'!$A$3:$A$20000,ROW('Local Data Previous Year'!$A$3:$A$20000)-ROW('Local Data Previous Year'!$A$3)+1),ROW(228:228))))</f>
        <v/>
      </c>
      <c r="E260" s="755" t="str" cm="1">
        <f t="array" ref="E260">IF(ISERROR(INDEX('Local Data Previous Year'!$E$3:$E$20000,SMALL(IF(CTR1_Billing!$E$21='Local Data Previous Year'!$A$3:$A$20000,ROW('Local Data Previous Year'!$A$3:$A$20000)-ROW('Local Data Previous Year'!$A$3)+1),ROW(228:228)))),"",INDEX('Local Data Previous Year'!$E$3:$E$20000,SMALL(IF(CTR1_Billing!$E$21='Local Data Previous Year'!$A$3:$A$20000,ROW('Local Data Previous Year'!$A$3:$A$20000)-ROW('Local Data Previous Year'!$A$3)+1),ROW(228:228))))</f>
        <v/>
      </c>
      <c r="F260" s="756" t="str">
        <f>IF($D260="","",IF(ISNA(MATCH($D260,'Local Data Previous Year'!$D$3:$D$20000,0)),"New",IFERROR(VLOOKUP($B260,'Local Data Previous Year'!$D$3:$I$20000,6,0),"")))</f>
        <v/>
      </c>
      <c r="G260" s="757">
        <f t="shared" si="50"/>
        <v>0</v>
      </c>
      <c r="H260" s="758" t="str">
        <f>IFERROR(INDEX('Local Data Previous Year'!$F:$F, MATCH($D260, 'Local Data Previous Year'!$D:$D, 0)), "")</f>
        <v/>
      </c>
      <c r="I260" s="759">
        <f>IF(B260=CTR1_Billing!$E$21&amp;"NEW",1,0)</f>
        <v>0</v>
      </c>
      <c r="J260" s="760" t="str">
        <f>IFERROR(INDEX('Local Data Previous Year'!$G:$G, MATCH($D260, 'Local Data Previous Year'!$D:$D, 0)), "")</f>
        <v/>
      </c>
      <c r="K260" s="762"/>
      <c r="L260" s="760" t="str">
        <f>IFERROR(INDEX('Local Data Previous Year'!$H:$H, MATCH($D260, 'Local Data Previous Year'!$D:$D, 0)), "")</f>
        <v/>
      </c>
      <c r="M260" s="762"/>
      <c r="N260" s="763"/>
      <c r="O260" s="767"/>
      <c r="P260" s="765"/>
      <c r="Q260" s="767"/>
      <c r="R260" s="766" t="str">
        <f t="shared" si="51"/>
        <v/>
      </c>
      <c r="S260" s="754"/>
      <c r="T260" s="763"/>
      <c r="U260" s="754"/>
      <c r="V260" s="763"/>
      <c r="W260" s="763"/>
      <c r="X260" s="865" t="str">
        <f>VLOOKUP(CTR1_Billing!$E$21,Data!$C$6:$D$302,1,FALSE)</f>
        <v>EZZZZ</v>
      </c>
      <c r="Y260" s="205"/>
      <c r="Z260" s="205">
        <f t="shared" si="39"/>
        <v>0</v>
      </c>
      <c r="AA260" s="206" t="str">
        <f t="shared" si="40"/>
        <v/>
      </c>
      <c r="AB260" s="205">
        <f t="shared" si="41"/>
        <v>0</v>
      </c>
      <c r="AC260" s="208"/>
      <c r="AD260" s="208"/>
      <c r="AE260" s="208"/>
      <c r="AF260" s="208"/>
      <c r="AG260" s="209" t="str">
        <f>IFERROR(INDEX('Local Data Previous Year'!$F:$F, MATCH($D260, 'Local Data Previous Year'!$D:$D, 0)), "")</f>
        <v/>
      </c>
      <c r="AH260" s="209" t="str">
        <f>IFERROR(INDEX('Local Data Previous Year'!$G:$G, MATCH($D260, 'Local Data Previous Year'!$D:$D, 0)), "")</f>
        <v/>
      </c>
      <c r="AI260" s="209" t="str">
        <f>IFERROR(INDEX('Local Data Previous Year'!$H:$H, MATCH($D260, 'Local Data Previous Year'!$D:$D, 0)), "")</f>
        <v/>
      </c>
      <c r="AJ260" s="209" t="str">
        <f t="shared" si="42"/>
        <v/>
      </c>
      <c r="AK260" s="209" t="str">
        <f t="shared" si="43"/>
        <v/>
      </c>
      <c r="AL260" s="209" t="str">
        <f t="shared" si="44"/>
        <v/>
      </c>
      <c r="AM260" s="208" t="str">
        <f>IF($AN260="","",IFERROR(VLOOKUP(CONCATENATE(CTR1_Billing!$E$20,$AN260),'Local Data Previous Year'!$C$3:$D$50000,2,0),CTR1_Billing!$E$21&amp;"NEW"))</f>
        <v/>
      </c>
      <c r="AN260" s="209" t="str" cm="1">
        <f t="array" ref="AN260">IF(ISERROR(INDEX('Local Data Previous Year'!$E$3:$E$50000, SMALL(IF(CTR1_Billing!$E$21='Local Data Previous Year'!$A$3:$A$50000, ROW('Local Data Previous Year'!$A$3:$A$50000)-ROW('Local Data Previous Year'!$A$3)+1), ROW(228:228)))), "", INDEX('Local Data Previous Year'!$E$3:$E$50000, SMALL(IF(CTR1_Billing!$E$21='Local Data Previous Year'!$A$3:$A$50000, ROW('Local Data Previous Year'!$A$3:$A$50000)-ROW('Local Data Previous Year'!$A$3)+1), ROW(228:228))))</f>
        <v/>
      </c>
      <c r="AO260" s="209" t="str">
        <f t="shared" si="45"/>
        <v/>
      </c>
      <c r="AP260" s="208"/>
      <c r="AQ260" s="209" t="str">
        <f t="shared" si="46"/>
        <v/>
      </c>
      <c r="AR260" s="209" t="str">
        <f t="shared" si="47"/>
        <v/>
      </c>
      <c r="AS260" s="202" t="str">
        <f t="shared" si="48"/>
        <v/>
      </c>
      <c r="AT260" s="202" t="str">
        <f t="shared" si="49"/>
        <v/>
      </c>
      <c r="AU260" s="208"/>
      <c r="AV260" s="208"/>
      <c r="AW260" s="208"/>
      <c r="AX260" s="208"/>
      <c r="AY260" s="208"/>
      <c r="AZ260" s="208"/>
      <c r="BA260" s="208"/>
      <c r="BB260" s="208"/>
      <c r="BC260" s="208"/>
      <c r="BD260" s="208"/>
      <c r="BE260" s="208"/>
      <c r="BF260" s="208"/>
      <c r="BG260" s="28"/>
      <c r="BH260" s="28"/>
      <c r="BI260" s="28"/>
      <c r="BJ260" s="28"/>
    </row>
    <row r="261" spans="1:62" s="23" customFormat="1" ht="21" customHeight="1" thickBot="1" x14ac:dyDescent="0.25">
      <c r="A261" s="846" t="str">
        <f>IF($AN261="","",IFERROR(VLOOKUP(CONCATENATE(CTR1_Billing!$E$20,$AN261),'Local Data Previous Year'!$C$3:$D$20000,2,0),CTR1_Billing!$E$21&amp;"NEW"))</f>
        <v/>
      </c>
      <c r="B261" s="846" t="str">
        <f>IF($E261="","",IFERROR(VLOOKUP(CONCATENATE(CTR1_Billing!$E$20,CTR1_Local!$E261),'Local Data Previous Year'!$C$3:$D$20000,2,0),CTR1_Billing!$E$21&amp;"NEW"))</f>
        <v/>
      </c>
      <c r="C261" s="846">
        <v>229</v>
      </c>
      <c r="D261" s="755" t="str" cm="1">
        <f t="array" ref="D261">IF(ISERROR(INDEX('Local Data Previous Year'!$D$3:$D$20000,SMALL(IF(CTR1_Billing!$E$21='Local Data Previous Year'!$A$3:$A$20000,ROW('Local Data Previous Year'!$A$3:$A$20000)-ROW('Local Data Previous Year'!$A$3)+1),ROW(229:229)))),"",INDEX('Local Data Previous Year'!$D$3:$D$20000,SMALL(IF(CTR1_Billing!$E$21='Local Data Previous Year'!$A$3:$A$20000,ROW('Local Data Previous Year'!$A$3:$A$20000)-ROW('Local Data Previous Year'!$A$3)+1),ROW(229:229))))</f>
        <v/>
      </c>
      <c r="E261" s="755" t="str" cm="1">
        <f t="array" ref="E261">IF(ISERROR(INDEX('Local Data Previous Year'!$E$3:$E$20000,SMALL(IF(CTR1_Billing!$E$21='Local Data Previous Year'!$A$3:$A$20000,ROW('Local Data Previous Year'!$A$3:$A$20000)-ROW('Local Data Previous Year'!$A$3)+1),ROW(229:229)))),"",INDEX('Local Data Previous Year'!$E$3:$E$20000,SMALL(IF(CTR1_Billing!$E$21='Local Data Previous Year'!$A$3:$A$20000,ROW('Local Data Previous Year'!$A$3:$A$20000)-ROW('Local Data Previous Year'!$A$3)+1),ROW(229:229))))</f>
        <v/>
      </c>
      <c r="F261" s="756" t="str">
        <f>IF($D261="","",IF(ISNA(MATCH($D261,'Local Data Previous Year'!$D$3:$D$20000,0)),"New",IFERROR(VLOOKUP($B261,'Local Data Previous Year'!$D$3:$I$20000,6,0),"")))</f>
        <v/>
      </c>
      <c r="G261" s="757">
        <f t="shared" si="50"/>
        <v>0</v>
      </c>
      <c r="H261" s="758" t="str">
        <f>IFERROR(INDEX('Local Data Previous Year'!$F:$F, MATCH($D261, 'Local Data Previous Year'!$D:$D, 0)), "")</f>
        <v/>
      </c>
      <c r="I261" s="759">
        <f>IF(B261=CTR1_Billing!$E$21&amp;"NEW",1,0)</f>
        <v>0</v>
      </c>
      <c r="J261" s="760" t="str">
        <f>IFERROR(INDEX('Local Data Previous Year'!$G:$G, MATCH($D261, 'Local Data Previous Year'!$D:$D, 0)), "")</f>
        <v/>
      </c>
      <c r="K261" s="762"/>
      <c r="L261" s="760" t="str">
        <f>IFERROR(INDEX('Local Data Previous Year'!$H:$H, MATCH($D261, 'Local Data Previous Year'!$D:$D, 0)), "")</f>
        <v/>
      </c>
      <c r="M261" s="762"/>
      <c r="N261" s="763"/>
      <c r="O261" s="767"/>
      <c r="P261" s="765"/>
      <c r="Q261" s="767"/>
      <c r="R261" s="766" t="str">
        <f t="shared" si="51"/>
        <v/>
      </c>
      <c r="S261" s="754"/>
      <c r="T261" s="763"/>
      <c r="U261" s="754"/>
      <c r="V261" s="763"/>
      <c r="W261" s="763"/>
      <c r="X261" s="865" t="str">
        <f>VLOOKUP(CTR1_Billing!$E$21,Data!$C$6:$D$302,1,FALSE)</f>
        <v>EZZZZ</v>
      </c>
      <c r="Y261" s="205"/>
      <c r="Z261" s="205">
        <f t="shared" si="39"/>
        <v>0</v>
      </c>
      <c r="AA261" s="206" t="str">
        <f t="shared" si="40"/>
        <v/>
      </c>
      <c r="AB261" s="205">
        <f t="shared" si="41"/>
        <v>0</v>
      </c>
      <c r="AC261" s="208"/>
      <c r="AD261" s="208"/>
      <c r="AE261" s="208"/>
      <c r="AF261" s="208"/>
      <c r="AG261" s="209" t="str">
        <f>IFERROR(INDEX('Local Data Previous Year'!$F:$F, MATCH($D261, 'Local Data Previous Year'!$D:$D, 0)), "")</f>
        <v/>
      </c>
      <c r="AH261" s="209" t="str">
        <f>IFERROR(INDEX('Local Data Previous Year'!$G:$G, MATCH($D261, 'Local Data Previous Year'!$D:$D, 0)), "")</f>
        <v/>
      </c>
      <c r="AI261" s="209" t="str">
        <f>IFERROR(INDEX('Local Data Previous Year'!$H:$H, MATCH($D261, 'Local Data Previous Year'!$D:$D, 0)), "")</f>
        <v/>
      </c>
      <c r="AJ261" s="209" t="str">
        <f t="shared" si="42"/>
        <v/>
      </c>
      <c r="AK261" s="209" t="str">
        <f t="shared" si="43"/>
        <v/>
      </c>
      <c r="AL261" s="209" t="str">
        <f t="shared" si="44"/>
        <v/>
      </c>
      <c r="AM261" s="208" t="str">
        <f>IF($AN261="","",IFERROR(VLOOKUP(CONCATENATE(CTR1_Billing!$E$20,$AN261),'Local Data Previous Year'!$C$3:$D$50000,2,0),CTR1_Billing!$E$21&amp;"NEW"))</f>
        <v/>
      </c>
      <c r="AN261" s="209" t="str" cm="1">
        <f t="array" ref="AN261">IF(ISERROR(INDEX('Local Data Previous Year'!$E$3:$E$50000, SMALL(IF(CTR1_Billing!$E$21='Local Data Previous Year'!$A$3:$A$50000, ROW('Local Data Previous Year'!$A$3:$A$50000)-ROW('Local Data Previous Year'!$A$3)+1), ROW(229:229)))), "", INDEX('Local Data Previous Year'!$E$3:$E$50000, SMALL(IF(CTR1_Billing!$E$21='Local Data Previous Year'!$A$3:$A$50000, ROW('Local Data Previous Year'!$A$3:$A$50000)-ROW('Local Data Previous Year'!$A$3)+1), ROW(229:229))))</f>
        <v/>
      </c>
      <c r="AO261" s="209" t="str">
        <f t="shared" si="45"/>
        <v/>
      </c>
      <c r="AP261" s="208"/>
      <c r="AQ261" s="209" t="str">
        <f t="shared" si="46"/>
        <v/>
      </c>
      <c r="AR261" s="209" t="str">
        <f t="shared" si="47"/>
        <v/>
      </c>
      <c r="AS261" s="202" t="str">
        <f t="shared" si="48"/>
        <v/>
      </c>
      <c r="AT261" s="202" t="str">
        <f t="shared" si="49"/>
        <v/>
      </c>
      <c r="AU261" s="208"/>
      <c r="AV261" s="208"/>
      <c r="AW261" s="208"/>
      <c r="AX261" s="208"/>
      <c r="AY261" s="208"/>
      <c r="AZ261" s="208"/>
      <c r="BA261" s="208"/>
      <c r="BB261" s="208"/>
      <c r="BC261" s="208"/>
      <c r="BD261" s="208"/>
      <c r="BE261" s="208"/>
      <c r="BF261" s="208"/>
      <c r="BG261" s="28"/>
      <c r="BH261" s="28"/>
      <c r="BI261" s="28"/>
      <c r="BJ261" s="28"/>
    </row>
    <row r="262" spans="1:62" s="23" customFormat="1" ht="21" customHeight="1" thickBot="1" x14ac:dyDescent="0.25">
      <c r="A262" s="846" t="str">
        <f>IF($AN262="","",IFERROR(VLOOKUP(CONCATENATE(CTR1_Billing!$E$20,$AN262),'Local Data Previous Year'!$C$3:$D$20000,2,0),CTR1_Billing!$E$21&amp;"NEW"))</f>
        <v/>
      </c>
      <c r="B262" s="846" t="str">
        <f>IF($E262="","",IFERROR(VLOOKUP(CONCATENATE(CTR1_Billing!$E$20,CTR1_Local!$E262),'Local Data Previous Year'!$C$3:$D$20000,2,0),CTR1_Billing!$E$21&amp;"NEW"))</f>
        <v/>
      </c>
      <c r="C262" s="846">
        <v>230</v>
      </c>
      <c r="D262" s="755" t="str" cm="1">
        <f t="array" ref="D262">IF(ISERROR(INDEX('Local Data Previous Year'!$D$3:$D$20000,SMALL(IF(CTR1_Billing!$E$21='Local Data Previous Year'!$A$3:$A$20000,ROW('Local Data Previous Year'!$A$3:$A$20000)-ROW('Local Data Previous Year'!$A$3)+1),ROW(230:230)))),"",INDEX('Local Data Previous Year'!$D$3:$D$20000,SMALL(IF(CTR1_Billing!$E$21='Local Data Previous Year'!$A$3:$A$20000,ROW('Local Data Previous Year'!$A$3:$A$20000)-ROW('Local Data Previous Year'!$A$3)+1),ROW(230:230))))</f>
        <v/>
      </c>
      <c r="E262" s="755" t="str" cm="1">
        <f t="array" ref="E262">IF(ISERROR(INDEX('Local Data Previous Year'!$E$3:$E$20000,SMALL(IF(CTR1_Billing!$E$21='Local Data Previous Year'!$A$3:$A$20000,ROW('Local Data Previous Year'!$A$3:$A$20000)-ROW('Local Data Previous Year'!$A$3)+1),ROW(230:230)))),"",INDEX('Local Data Previous Year'!$E$3:$E$20000,SMALL(IF(CTR1_Billing!$E$21='Local Data Previous Year'!$A$3:$A$20000,ROW('Local Data Previous Year'!$A$3:$A$20000)-ROW('Local Data Previous Year'!$A$3)+1),ROW(230:230))))</f>
        <v/>
      </c>
      <c r="F262" s="756" t="str">
        <f>IF($D262="","",IF(ISNA(MATCH($D262,'Local Data Previous Year'!$D$3:$D$20000,0)),"New",IFERROR(VLOOKUP($B262,'Local Data Previous Year'!$D$3:$I$20000,6,0),"")))</f>
        <v/>
      </c>
      <c r="G262" s="757">
        <f t="shared" si="50"/>
        <v>0</v>
      </c>
      <c r="H262" s="758" t="str">
        <f>IFERROR(INDEX('Local Data Previous Year'!$F:$F, MATCH($D262, 'Local Data Previous Year'!$D:$D, 0)), "")</f>
        <v/>
      </c>
      <c r="I262" s="759">
        <f>IF(B262=CTR1_Billing!$E$21&amp;"NEW",1,0)</f>
        <v>0</v>
      </c>
      <c r="J262" s="760" t="str">
        <f>IFERROR(INDEX('Local Data Previous Year'!$G:$G, MATCH($D262, 'Local Data Previous Year'!$D:$D, 0)), "")</f>
        <v/>
      </c>
      <c r="K262" s="762"/>
      <c r="L262" s="760" t="str">
        <f>IFERROR(INDEX('Local Data Previous Year'!$H:$H, MATCH($D262, 'Local Data Previous Year'!$D:$D, 0)), "")</f>
        <v/>
      </c>
      <c r="M262" s="762"/>
      <c r="N262" s="763"/>
      <c r="O262" s="767"/>
      <c r="P262" s="765"/>
      <c r="Q262" s="767"/>
      <c r="R262" s="766" t="str">
        <f t="shared" si="51"/>
        <v/>
      </c>
      <c r="S262" s="754"/>
      <c r="T262" s="763"/>
      <c r="U262" s="754"/>
      <c r="V262" s="763"/>
      <c r="W262" s="763"/>
      <c r="X262" s="865" t="str">
        <f>VLOOKUP(CTR1_Billing!$E$21,Data!$C$6:$D$302,1,FALSE)</f>
        <v>EZZZZ</v>
      </c>
      <c r="Y262" s="205"/>
      <c r="Z262" s="205">
        <f t="shared" si="39"/>
        <v>0</v>
      </c>
      <c r="AA262" s="206" t="str">
        <f t="shared" si="40"/>
        <v/>
      </c>
      <c r="AB262" s="205">
        <f t="shared" si="41"/>
        <v>0</v>
      </c>
      <c r="AC262" s="208"/>
      <c r="AD262" s="208"/>
      <c r="AE262" s="208"/>
      <c r="AF262" s="208"/>
      <c r="AG262" s="209" t="str">
        <f>IFERROR(INDEX('Local Data Previous Year'!$F:$F, MATCH($D262, 'Local Data Previous Year'!$D:$D, 0)), "")</f>
        <v/>
      </c>
      <c r="AH262" s="209" t="str">
        <f>IFERROR(INDEX('Local Data Previous Year'!$G:$G, MATCH($D262, 'Local Data Previous Year'!$D:$D, 0)), "")</f>
        <v/>
      </c>
      <c r="AI262" s="209" t="str">
        <f>IFERROR(INDEX('Local Data Previous Year'!$H:$H, MATCH($D262, 'Local Data Previous Year'!$D:$D, 0)), "")</f>
        <v/>
      </c>
      <c r="AJ262" s="209" t="str">
        <f t="shared" si="42"/>
        <v/>
      </c>
      <c r="AK262" s="209" t="str">
        <f t="shared" si="43"/>
        <v/>
      </c>
      <c r="AL262" s="209" t="str">
        <f t="shared" si="44"/>
        <v/>
      </c>
      <c r="AM262" s="208" t="str">
        <f>IF($AN262="","",IFERROR(VLOOKUP(CONCATENATE(CTR1_Billing!$E$20,$AN262),'Local Data Previous Year'!$C$3:$D$50000,2,0),CTR1_Billing!$E$21&amp;"NEW"))</f>
        <v/>
      </c>
      <c r="AN262" s="209" t="str" cm="1">
        <f t="array" ref="AN262">IF(ISERROR(INDEX('Local Data Previous Year'!$E$3:$E$50000, SMALL(IF(CTR1_Billing!$E$21='Local Data Previous Year'!$A$3:$A$50000, ROW('Local Data Previous Year'!$A$3:$A$50000)-ROW('Local Data Previous Year'!$A$3)+1), ROW(230:230)))), "", INDEX('Local Data Previous Year'!$E$3:$E$50000, SMALL(IF(CTR1_Billing!$E$21='Local Data Previous Year'!$A$3:$A$50000, ROW('Local Data Previous Year'!$A$3:$A$50000)-ROW('Local Data Previous Year'!$A$3)+1), ROW(230:230))))</f>
        <v/>
      </c>
      <c r="AO262" s="209" t="str">
        <f t="shared" si="45"/>
        <v/>
      </c>
      <c r="AP262" s="208"/>
      <c r="AQ262" s="209" t="str">
        <f t="shared" si="46"/>
        <v/>
      </c>
      <c r="AR262" s="209" t="str">
        <f t="shared" si="47"/>
        <v/>
      </c>
      <c r="AS262" s="202" t="str">
        <f t="shared" si="48"/>
        <v/>
      </c>
      <c r="AT262" s="202" t="str">
        <f t="shared" si="49"/>
        <v/>
      </c>
      <c r="AU262" s="208"/>
      <c r="AV262" s="208"/>
      <c r="AW262" s="208"/>
      <c r="AX262" s="208"/>
      <c r="AY262" s="208"/>
      <c r="AZ262" s="208"/>
      <c r="BA262" s="208"/>
      <c r="BB262" s="208"/>
      <c r="BC262" s="208"/>
      <c r="BD262" s="208"/>
      <c r="BE262" s="208"/>
      <c r="BF262" s="208"/>
      <c r="BG262" s="28"/>
      <c r="BH262" s="28"/>
      <c r="BI262" s="28"/>
      <c r="BJ262" s="28"/>
    </row>
    <row r="263" spans="1:62" s="23" customFormat="1" ht="21" customHeight="1" thickBot="1" x14ac:dyDescent="0.25">
      <c r="A263" s="846" t="str">
        <f>IF($AN263="","",IFERROR(VLOOKUP(CONCATENATE(CTR1_Billing!$E$20,$AN263),'Local Data Previous Year'!$C$3:$D$20000,2,0),CTR1_Billing!$E$21&amp;"NEW"))</f>
        <v/>
      </c>
      <c r="B263" s="846" t="str">
        <f>IF($E263="","",IFERROR(VLOOKUP(CONCATENATE(CTR1_Billing!$E$20,CTR1_Local!$E263),'Local Data Previous Year'!$C$3:$D$20000,2,0),CTR1_Billing!$E$21&amp;"NEW"))</f>
        <v/>
      </c>
      <c r="C263" s="846">
        <v>231</v>
      </c>
      <c r="D263" s="755" t="str" cm="1">
        <f t="array" ref="D263">IF(ISERROR(INDEX('Local Data Previous Year'!$D$3:$D$20000,SMALL(IF(CTR1_Billing!$E$21='Local Data Previous Year'!$A$3:$A$20000,ROW('Local Data Previous Year'!$A$3:$A$20000)-ROW('Local Data Previous Year'!$A$3)+1),ROW(231:231)))),"",INDEX('Local Data Previous Year'!$D$3:$D$20000,SMALL(IF(CTR1_Billing!$E$21='Local Data Previous Year'!$A$3:$A$20000,ROW('Local Data Previous Year'!$A$3:$A$20000)-ROW('Local Data Previous Year'!$A$3)+1),ROW(231:231))))</f>
        <v/>
      </c>
      <c r="E263" s="755" t="str" cm="1">
        <f t="array" ref="E263">IF(ISERROR(INDEX('Local Data Previous Year'!$E$3:$E$20000,SMALL(IF(CTR1_Billing!$E$21='Local Data Previous Year'!$A$3:$A$20000,ROW('Local Data Previous Year'!$A$3:$A$20000)-ROW('Local Data Previous Year'!$A$3)+1),ROW(231:231)))),"",INDEX('Local Data Previous Year'!$E$3:$E$20000,SMALL(IF(CTR1_Billing!$E$21='Local Data Previous Year'!$A$3:$A$20000,ROW('Local Data Previous Year'!$A$3:$A$20000)-ROW('Local Data Previous Year'!$A$3)+1),ROW(231:231))))</f>
        <v/>
      </c>
      <c r="F263" s="756" t="str">
        <f>IF($D263="","",IF(ISNA(MATCH($D263,'Local Data Previous Year'!$D$3:$D$20000,0)),"New",IFERROR(VLOOKUP($B263,'Local Data Previous Year'!$D$3:$I$20000,6,0),"")))</f>
        <v/>
      </c>
      <c r="G263" s="757">
        <f t="shared" si="50"/>
        <v>0</v>
      </c>
      <c r="H263" s="758" t="str">
        <f>IFERROR(INDEX('Local Data Previous Year'!$F:$F, MATCH($D263, 'Local Data Previous Year'!$D:$D, 0)), "")</f>
        <v/>
      </c>
      <c r="I263" s="759">
        <f>IF(B263=CTR1_Billing!$E$21&amp;"NEW",1,0)</f>
        <v>0</v>
      </c>
      <c r="J263" s="760" t="str">
        <f>IFERROR(INDEX('Local Data Previous Year'!$G:$G, MATCH($D263, 'Local Data Previous Year'!$D:$D, 0)), "")</f>
        <v/>
      </c>
      <c r="K263" s="762"/>
      <c r="L263" s="760" t="str">
        <f>IFERROR(INDEX('Local Data Previous Year'!$H:$H, MATCH($D263, 'Local Data Previous Year'!$D:$D, 0)), "")</f>
        <v/>
      </c>
      <c r="M263" s="762"/>
      <c r="N263" s="763"/>
      <c r="O263" s="767"/>
      <c r="P263" s="765"/>
      <c r="Q263" s="767"/>
      <c r="R263" s="766" t="str">
        <f t="shared" si="51"/>
        <v/>
      </c>
      <c r="S263" s="754"/>
      <c r="T263" s="763"/>
      <c r="U263" s="754"/>
      <c r="V263" s="763"/>
      <c r="W263" s="763"/>
      <c r="X263" s="865" t="str">
        <f>VLOOKUP(CTR1_Billing!$E$21,Data!$C$6:$D$302,1,FALSE)</f>
        <v>EZZZZ</v>
      </c>
      <c r="Y263" s="205"/>
      <c r="Z263" s="205">
        <f t="shared" si="39"/>
        <v>0</v>
      </c>
      <c r="AA263" s="206" t="str">
        <f t="shared" si="40"/>
        <v/>
      </c>
      <c r="AB263" s="205">
        <f t="shared" si="41"/>
        <v>0</v>
      </c>
      <c r="AC263" s="208"/>
      <c r="AD263" s="208"/>
      <c r="AE263" s="208"/>
      <c r="AF263" s="208"/>
      <c r="AG263" s="209" t="str">
        <f>IFERROR(INDEX('Local Data Previous Year'!$F:$F, MATCH($D263, 'Local Data Previous Year'!$D:$D, 0)), "")</f>
        <v/>
      </c>
      <c r="AH263" s="209" t="str">
        <f>IFERROR(INDEX('Local Data Previous Year'!$G:$G, MATCH($D263, 'Local Data Previous Year'!$D:$D, 0)), "")</f>
        <v/>
      </c>
      <c r="AI263" s="209" t="str">
        <f>IFERROR(INDEX('Local Data Previous Year'!$H:$H, MATCH($D263, 'Local Data Previous Year'!$D:$D, 0)), "")</f>
        <v/>
      </c>
      <c r="AJ263" s="209" t="str">
        <f t="shared" si="42"/>
        <v/>
      </c>
      <c r="AK263" s="209" t="str">
        <f t="shared" si="43"/>
        <v/>
      </c>
      <c r="AL263" s="209" t="str">
        <f t="shared" si="44"/>
        <v/>
      </c>
      <c r="AM263" s="208" t="str">
        <f>IF($AN263="","",IFERROR(VLOOKUP(CONCATENATE(CTR1_Billing!$E$20,$AN263),'Local Data Previous Year'!$C$3:$D$50000,2,0),CTR1_Billing!$E$21&amp;"NEW"))</f>
        <v/>
      </c>
      <c r="AN263" s="209" t="str" cm="1">
        <f t="array" ref="AN263">IF(ISERROR(INDEX('Local Data Previous Year'!$E$3:$E$50000, SMALL(IF(CTR1_Billing!$E$21='Local Data Previous Year'!$A$3:$A$50000, ROW('Local Data Previous Year'!$A$3:$A$50000)-ROW('Local Data Previous Year'!$A$3)+1), ROW(231:231)))), "", INDEX('Local Data Previous Year'!$E$3:$E$50000, SMALL(IF(CTR1_Billing!$E$21='Local Data Previous Year'!$A$3:$A$50000, ROW('Local Data Previous Year'!$A$3:$A$50000)-ROW('Local Data Previous Year'!$A$3)+1), ROW(231:231))))</f>
        <v/>
      </c>
      <c r="AO263" s="209" t="str">
        <f t="shared" si="45"/>
        <v/>
      </c>
      <c r="AP263" s="208"/>
      <c r="AQ263" s="209" t="str">
        <f t="shared" si="46"/>
        <v/>
      </c>
      <c r="AR263" s="209" t="str">
        <f t="shared" si="47"/>
        <v/>
      </c>
      <c r="AS263" s="202" t="str">
        <f t="shared" si="48"/>
        <v/>
      </c>
      <c r="AT263" s="202" t="str">
        <f t="shared" si="49"/>
        <v/>
      </c>
      <c r="AU263" s="208"/>
      <c r="AV263" s="208"/>
      <c r="AW263" s="208"/>
      <c r="AX263" s="208"/>
      <c r="AY263" s="208"/>
      <c r="AZ263" s="208"/>
      <c r="BA263" s="208"/>
      <c r="BB263" s="208"/>
      <c r="BC263" s="208"/>
      <c r="BD263" s="208"/>
      <c r="BE263" s="208"/>
      <c r="BF263" s="208"/>
      <c r="BG263" s="28"/>
      <c r="BH263" s="28"/>
      <c r="BI263" s="28"/>
      <c r="BJ263" s="28"/>
    </row>
    <row r="264" spans="1:62" s="23" customFormat="1" ht="21" customHeight="1" thickBot="1" x14ac:dyDescent="0.25">
      <c r="A264" s="846" t="str">
        <f>IF($AN264="","",IFERROR(VLOOKUP(CONCATENATE(CTR1_Billing!$E$20,$AN264),'Local Data Previous Year'!$C$3:$D$20000,2,0),CTR1_Billing!$E$21&amp;"NEW"))</f>
        <v/>
      </c>
      <c r="B264" s="846" t="str">
        <f>IF($E264="","",IFERROR(VLOOKUP(CONCATENATE(CTR1_Billing!$E$20,CTR1_Local!$E264),'Local Data Previous Year'!$C$3:$D$20000,2,0),CTR1_Billing!$E$21&amp;"NEW"))</f>
        <v/>
      </c>
      <c r="C264" s="846">
        <v>232</v>
      </c>
      <c r="D264" s="755" t="str" cm="1">
        <f t="array" ref="D264">IF(ISERROR(INDEX('Local Data Previous Year'!$D$3:$D$20000,SMALL(IF(CTR1_Billing!$E$21='Local Data Previous Year'!$A$3:$A$20000,ROW('Local Data Previous Year'!$A$3:$A$20000)-ROW('Local Data Previous Year'!$A$3)+1),ROW(232:232)))),"",INDEX('Local Data Previous Year'!$D$3:$D$20000,SMALL(IF(CTR1_Billing!$E$21='Local Data Previous Year'!$A$3:$A$20000,ROW('Local Data Previous Year'!$A$3:$A$20000)-ROW('Local Data Previous Year'!$A$3)+1),ROW(232:232))))</f>
        <v/>
      </c>
      <c r="E264" s="755" t="str" cm="1">
        <f t="array" ref="E264">IF(ISERROR(INDEX('Local Data Previous Year'!$E$3:$E$20000,SMALL(IF(CTR1_Billing!$E$21='Local Data Previous Year'!$A$3:$A$20000,ROW('Local Data Previous Year'!$A$3:$A$20000)-ROW('Local Data Previous Year'!$A$3)+1),ROW(232:232)))),"",INDEX('Local Data Previous Year'!$E$3:$E$20000,SMALL(IF(CTR1_Billing!$E$21='Local Data Previous Year'!$A$3:$A$20000,ROW('Local Data Previous Year'!$A$3:$A$20000)-ROW('Local Data Previous Year'!$A$3)+1),ROW(232:232))))</f>
        <v/>
      </c>
      <c r="F264" s="756" t="str">
        <f>IF($D264="","",IF(ISNA(MATCH($D264,'Local Data Previous Year'!$D$3:$D$20000,0)),"New",IFERROR(VLOOKUP($B264,'Local Data Previous Year'!$D$3:$I$20000,6,0),"")))</f>
        <v/>
      </c>
      <c r="G264" s="757">
        <f t="shared" si="50"/>
        <v>0</v>
      </c>
      <c r="H264" s="758" t="str">
        <f>IFERROR(INDEX('Local Data Previous Year'!$F:$F, MATCH($D264, 'Local Data Previous Year'!$D:$D, 0)), "")</f>
        <v/>
      </c>
      <c r="I264" s="759">
        <f>IF(B264=CTR1_Billing!$E$21&amp;"NEW",1,0)</f>
        <v>0</v>
      </c>
      <c r="J264" s="760" t="str">
        <f>IFERROR(INDEX('Local Data Previous Year'!$G:$G, MATCH($D264, 'Local Data Previous Year'!$D:$D, 0)), "")</f>
        <v/>
      </c>
      <c r="K264" s="762"/>
      <c r="L264" s="760" t="str">
        <f>IFERROR(INDEX('Local Data Previous Year'!$H:$H, MATCH($D264, 'Local Data Previous Year'!$D:$D, 0)), "")</f>
        <v/>
      </c>
      <c r="M264" s="762"/>
      <c r="N264" s="763"/>
      <c r="O264" s="767"/>
      <c r="P264" s="765"/>
      <c r="Q264" s="767"/>
      <c r="R264" s="766" t="str">
        <f t="shared" si="51"/>
        <v/>
      </c>
      <c r="S264" s="754"/>
      <c r="T264" s="763"/>
      <c r="U264" s="754"/>
      <c r="V264" s="763"/>
      <c r="W264" s="763"/>
      <c r="X264" s="865" t="str">
        <f>VLOOKUP(CTR1_Billing!$E$21,Data!$C$6:$D$302,1,FALSE)</f>
        <v>EZZZZ</v>
      </c>
      <c r="Y264" s="205"/>
      <c r="Z264" s="205">
        <f t="shared" si="39"/>
        <v>0</v>
      </c>
      <c r="AA264" s="206" t="str">
        <f t="shared" si="40"/>
        <v/>
      </c>
      <c r="AB264" s="205">
        <f t="shared" si="41"/>
        <v>0</v>
      </c>
      <c r="AC264" s="208"/>
      <c r="AD264" s="208"/>
      <c r="AE264" s="208"/>
      <c r="AF264" s="208"/>
      <c r="AG264" s="209" t="str">
        <f>IFERROR(INDEX('Local Data Previous Year'!$F:$F, MATCH($D264, 'Local Data Previous Year'!$D:$D, 0)), "")</f>
        <v/>
      </c>
      <c r="AH264" s="209" t="str">
        <f>IFERROR(INDEX('Local Data Previous Year'!$G:$G, MATCH($D264, 'Local Data Previous Year'!$D:$D, 0)), "")</f>
        <v/>
      </c>
      <c r="AI264" s="209" t="str">
        <f>IFERROR(INDEX('Local Data Previous Year'!$H:$H, MATCH($D264, 'Local Data Previous Year'!$D:$D, 0)), "")</f>
        <v/>
      </c>
      <c r="AJ264" s="209" t="str">
        <f t="shared" si="42"/>
        <v/>
      </c>
      <c r="AK264" s="209" t="str">
        <f t="shared" si="43"/>
        <v/>
      </c>
      <c r="AL264" s="209" t="str">
        <f t="shared" si="44"/>
        <v/>
      </c>
      <c r="AM264" s="208" t="str">
        <f>IF($AN264="","",IFERROR(VLOOKUP(CONCATENATE(CTR1_Billing!$E$20,$AN264),'Local Data Previous Year'!$C$3:$D$50000,2,0),CTR1_Billing!$E$21&amp;"NEW"))</f>
        <v/>
      </c>
      <c r="AN264" s="209" t="str" cm="1">
        <f t="array" ref="AN264">IF(ISERROR(INDEX('Local Data Previous Year'!$E$3:$E$50000, SMALL(IF(CTR1_Billing!$E$21='Local Data Previous Year'!$A$3:$A$50000, ROW('Local Data Previous Year'!$A$3:$A$50000)-ROW('Local Data Previous Year'!$A$3)+1), ROW(232:232)))), "", INDEX('Local Data Previous Year'!$E$3:$E$50000, SMALL(IF(CTR1_Billing!$E$21='Local Data Previous Year'!$A$3:$A$50000, ROW('Local Data Previous Year'!$A$3:$A$50000)-ROW('Local Data Previous Year'!$A$3)+1), ROW(232:232))))</f>
        <v/>
      </c>
      <c r="AO264" s="209" t="str">
        <f t="shared" si="45"/>
        <v/>
      </c>
      <c r="AP264" s="208"/>
      <c r="AQ264" s="209" t="str">
        <f t="shared" si="46"/>
        <v/>
      </c>
      <c r="AR264" s="209" t="str">
        <f t="shared" si="47"/>
        <v/>
      </c>
      <c r="AS264" s="202" t="str">
        <f t="shared" si="48"/>
        <v/>
      </c>
      <c r="AT264" s="202" t="str">
        <f t="shared" si="49"/>
        <v/>
      </c>
      <c r="AU264" s="208"/>
      <c r="AV264" s="208"/>
      <c r="AW264" s="208"/>
      <c r="AX264" s="208"/>
      <c r="AY264" s="208"/>
      <c r="AZ264" s="208"/>
      <c r="BA264" s="208"/>
      <c r="BB264" s="208"/>
      <c r="BC264" s="208"/>
      <c r="BD264" s="208"/>
      <c r="BE264" s="208"/>
      <c r="BF264" s="208"/>
      <c r="BG264" s="28"/>
      <c r="BH264" s="28"/>
      <c r="BI264" s="28"/>
      <c r="BJ264" s="28"/>
    </row>
    <row r="265" spans="1:62" s="23" customFormat="1" ht="21" customHeight="1" thickBot="1" x14ac:dyDescent="0.25">
      <c r="A265" s="846" t="str">
        <f>IF($AN265="","",IFERROR(VLOOKUP(CONCATENATE(CTR1_Billing!$E$20,$AN265),'Local Data Previous Year'!$C$3:$D$20000,2,0),CTR1_Billing!$E$21&amp;"NEW"))</f>
        <v/>
      </c>
      <c r="B265" s="846" t="str">
        <f>IF($E265="","",IFERROR(VLOOKUP(CONCATENATE(CTR1_Billing!$E$20,CTR1_Local!$E265),'Local Data Previous Year'!$C$3:$D$20000,2,0),CTR1_Billing!$E$21&amp;"NEW"))</f>
        <v/>
      </c>
      <c r="C265" s="846">
        <v>233</v>
      </c>
      <c r="D265" s="755" t="str" cm="1">
        <f t="array" ref="D265">IF(ISERROR(INDEX('Local Data Previous Year'!$D$3:$D$20000,SMALL(IF(CTR1_Billing!$E$21='Local Data Previous Year'!$A$3:$A$20000,ROW('Local Data Previous Year'!$A$3:$A$20000)-ROW('Local Data Previous Year'!$A$3)+1),ROW(233:233)))),"",INDEX('Local Data Previous Year'!$D$3:$D$20000,SMALL(IF(CTR1_Billing!$E$21='Local Data Previous Year'!$A$3:$A$20000,ROW('Local Data Previous Year'!$A$3:$A$20000)-ROW('Local Data Previous Year'!$A$3)+1),ROW(233:233))))</f>
        <v/>
      </c>
      <c r="E265" s="755" t="str" cm="1">
        <f t="array" ref="E265">IF(ISERROR(INDEX('Local Data Previous Year'!$E$3:$E$20000,SMALL(IF(CTR1_Billing!$E$21='Local Data Previous Year'!$A$3:$A$20000,ROW('Local Data Previous Year'!$A$3:$A$20000)-ROW('Local Data Previous Year'!$A$3)+1),ROW(233:233)))),"",INDEX('Local Data Previous Year'!$E$3:$E$20000,SMALL(IF(CTR1_Billing!$E$21='Local Data Previous Year'!$A$3:$A$20000,ROW('Local Data Previous Year'!$A$3:$A$20000)-ROW('Local Data Previous Year'!$A$3)+1),ROW(233:233))))</f>
        <v/>
      </c>
      <c r="F265" s="756" t="str">
        <f>IF($D265="","",IF(ISNA(MATCH($D265,'Local Data Previous Year'!$D$3:$D$20000,0)),"New",IFERROR(VLOOKUP($B265,'Local Data Previous Year'!$D$3:$I$20000,6,0),"")))</f>
        <v/>
      </c>
      <c r="G265" s="757">
        <f t="shared" si="50"/>
        <v>0</v>
      </c>
      <c r="H265" s="758" t="str">
        <f>IFERROR(INDEX('Local Data Previous Year'!$F:$F, MATCH($D265, 'Local Data Previous Year'!$D:$D, 0)), "")</f>
        <v/>
      </c>
      <c r="I265" s="759">
        <f>IF(B265=CTR1_Billing!$E$21&amp;"NEW",1,0)</f>
        <v>0</v>
      </c>
      <c r="J265" s="760" t="str">
        <f>IFERROR(INDEX('Local Data Previous Year'!$G:$G, MATCH($D265, 'Local Data Previous Year'!$D:$D, 0)), "")</f>
        <v/>
      </c>
      <c r="K265" s="762"/>
      <c r="L265" s="760" t="str">
        <f>IFERROR(INDEX('Local Data Previous Year'!$H:$H, MATCH($D265, 'Local Data Previous Year'!$D:$D, 0)), "")</f>
        <v/>
      </c>
      <c r="M265" s="762"/>
      <c r="N265" s="763"/>
      <c r="O265" s="767"/>
      <c r="P265" s="765"/>
      <c r="Q265" s="767"/>
      <c r="R265" s="766" t="str">
        <f t="shared" si="51"/>
        <v/>
      </c>
      <c r="S265" s="754"/>
      <c r="T265" s="763"/>
      <c r="U265" s="754"/>
      <c r="V265" s="763"/>
      <c r="W265" s="763"/>
      <c r="X265" s="865" t="str">
        <f>VLOOKUP(CTR1_Billing!$E$21,Data!$C$6:$D$302,1,FALSE)</f>
        <v>EZZZZ</v>
      </c>
      <c r="Y265" s="205"/>
      <c r="Z265" s="205">
        <f t="shared" si="39"/>
        <v>0</v>
      </c>
      <c r="AA265" s="206" t="str">
        <f t="shared" si="40"/>
        <v/>
      </c>
      <c r="AB265" s="205">
        <f t="shared" si="41"/>
        <v>0</v>
      </c>
      <c r="AC265" s="208"/>
      <c r="AD265" s="208"/>
      <c r="AE265" s="208"/>
      <c r="AF265" s="208"/>
      <c r="AG265" s="209" t="str">
        <f>IFERROR(INDEX('Local Data Previous Year'!$F:$F, MATCH($D265, 'Local Data Previous Year'!$D:$D, 0)), "")</f>
        <v/>
      </c>
      <c r="AH265" s="209" t="str">
        <f>IFERROR(INDEX('Local Data Previous Year'!$G:$G, MATCH($D265, 'Local Data Previous Year'!$D:$D, 0)), "")</f>
        <v/>
      </c>
      <c r="AI265" s="209" t="str">
        <f>IFERROR(INDEX('Local Data Previous Year'!$H:$H, MATCH($D265, 'Local Data Previous Year'!$D:$D, 0)), "")</f>
        <v/>
      </c>
      <c r="AJ265" s="209" t="str">
        <f t="shared" si="42"/>
        <v/>
      </c>
      <c r="AK265" s="209" t="str">
        <f t="shared" si="43"/>
        <v/>
      </c>
      <c r="AL265" s="209" t="str">
        <f t="shared" si="44"/>
        <v/>
      </c>
      <c r="AM265" s="208" t="str">
        <f>IF($AN265="","",IFERROR(VLOOKUP(CONCATENATE(CTR1_Billing!$E$20,$AN265),'Local Data Previous Year'!$C$3:$D$50000,2,0),CTR1_Billing!$E$21&amp;"NEW"))</f>
        <v/>
      </c>
      <c r="AN265" s="209" t="str" cm="1">
        <f t="array" ref="AN265">IF(ISERROR(INDEX('Local Data Previous Year'!$E$3:$E$50000, SMALL(IF(CTR1_Billing!$E$21='Local Data Previous Year'!$A$3:$A$50000, ROW('Local Data Previous Year'!$A$3:$A$50000)-ROW('Local Data Previous Year'!$A$3)+1), ROW(233:233)))), "", INDEX('Local Data Previous Year'!$E$3:$E$50000, SMALL(IF(CTR1_Billing!$E$21='Local Data Previous Year'!$A$3:$A$50000, ROW('Local Data Previous Year'!$A$3:$A$50000)-ROW('Local Data Previous Year'!$A$3)+1), ROW(233:233))))</f>
        <v/>
      </c>
      <c r="AO265" s="209" t="str">
        <f t="shared" si="45"/>
        <v/>
      </c>
      <c r="AP265" s="208"/>
      <c r="AQ265" s="209" t="str">
        <f t="shared" si="46"/>
        <v/>
      </c>
      <c r="AR265" s="209" t="str">
        <f t="shared" si="47"/>
        <v/>
      </c>
      <c r="AS265" s="202" t="str">
        <f t="shared" si="48"/>
        <v/>
      </c>
      <c r="AT265" s="202" t="str">
        <f t="shared" si="49"/>
        <v/>
      </c>
      <c r="AU265" s="208"/>
      <c r="AV265" s="208"/>
      <c r="AW265" s="208"/>
      <c r="AX265" s="208"/>
      <c r="AY265" s="208"/>
      <c r="AZ265" s="208"/>
      <c r="BA265" s="208"/>
      <c r="BB265" s="208"/>
      <c r="BC265" s="208"/>
      <c r="BD265" s="208"/>
      <c r="BE265" s="208"/>
      <c r="BF265" s="208"/>
      <c r="BG265" s="28"/>
      <c r="BH265" s="28"/>
      <c r="BI265" s="28"/>
      <c r="BJ265" s="28"/>
    </row>
    <row r="266" spans="1:62" s="23" customFormat="1" ht="21" customHeight="1" thickBot="1" x14ac:dyDescent="0.25">
      <c r="A266" s="846" t="str">
        <f>IF($AN266="","",IFERROR(VLOOKUP(CONCATENATE(CTR1_Billing!$E$20,$AN266),'Local Data Previous Year'!$C$3:$D$20000,2,0),CTR1_Billing!$E$21&amp;"NEW"))</f>
        <v/>
      </c>
      <c r="B266" s="846" t="str">
        <f>IF($E266="","",IFERROR(VLOOKUP(CONCATENATE(CTR1_Billing!$E$20,CTR1_Local!$E266),'Local Data Previous Year'!$C$3:$D$20000,2,0),CTR1_Billing!$E$21&amp;"NEW"))</f>
        <v/>
      </c>
      <c r="C266" s="846">
        <v>234</v>
      </c>
      <c r="D266" s="755" t="str" cm="1">
        <f t="array" ref="D266">IF(ISERROR(INDEX('Local Data Previous Year'!$D$3:$D$20000,SMALL(IF(CTR1_Billing!$E$21='Local Data Previous Year'!$A$3:$A$20000,ROW('Local Data Previous Year'!$A$3:$A$20000)-ROW('Local Data Previous Year'!$A$3)+1),ROW(234:234)))),"",INDEX('Local Data Previous Year'!$D$3:$D$20000,SMALL(IF(CTR1_Billing!$E$21='Local Data Previous Year'!$A$3:$A$20000,ROW('Local Data Previous Year'!$A$3:$A$20000)-ROW('Local Data Previous Year'!$A$3)+1),ROW(234:234))))</f>
        <v/>
      </c>
      <c r="E266" s="755" t="str" cm="1">
        <f t="array" ref="E266">IF(ISERROR(INDEX('Local Data Previous Year'!$E$3:$E$20000,SMALL(IF(CTR1_Billing!$E$21='Local Data Previous Year'!$A$3:$A$20000,ROW('Local Data Previous Year'!$A$3:$A$20000)-ROW('Local Data Previous Year'!$A$3)+1),ROW(234:234)))),"",INDEX('Local Data Previous Year'!$E$3:$E$20000,SMALL(IF(CTR1_Billing!$E$21='Local Data Previous Year'!$A$3:$A$20000,ROW('Local Data Previous Year'!$A$3:$A$20000)-ROW('Local Data Previous Year'!$A$3)+1),ROW(234:234))))</f>
        <v/>
      </c>
      <c r="F266" s="756" t="str">
        <f>IF($D266="","",IF(ISNA(MATCH($D266,'Local Data Previous Year'!$D$3:$D$20000,0)),"New",IFERROR(VLOOKUP($B266,'Local Data Previous Year'!$D$3:$I$20000,6,0),"")))</f>
        <v/>
      </c>
      <c r="G266" s="757">
        <f t="shared" si="50"/>
        <v>0</v>
      </c>
      <c r="H266" s="758" t="str">
        <f>IFERROR(INDEX('Local Data Previous Year'!$F:$F, MATCH($D266, 'Local Data Previous Year'!$D:$D, 0)), "")</f>
        <v/>
      </c>
      <c r="I266" s="759">
        <f>IF(B266=CTR1_Billing!$E$21&amp;"NEW",1,0)</f>
        <v>0</v>
      </c>
      <c r="J266" s="760" t="str">
        <f>IFERROR(INDEX('Local Data Previous Year'!$G:$G, MATCH($D266, 'Local Data Previous Year'!$D:$D, 0)), "")</f>
        <v/>
      </c>
      <c r="K266" s="762"/>
      <c r="L266" s="760" t="str">
        <f>IFERROR(INDEX('Local Data Previous Year'!$H:$H, MATCH($D266, 'Local Data Previous Year'!$D:$D, 0)), "")</f>
        <v/>
      </c>
      <c r="M266" s="762"/>
      <c r="N266" s="763"/>
      <c r="O266" s="767"/>
      <c r="P266" s="765"/>
      <c r="Q266" s="767"/>
      <c r="R266" s="766" t="str">
        <f t="shared" si="51"/>
        <v/>
      </c>
      <c r="S266" s="754"/>
      <c r="T266" s="763"/>
      <c r="U266" s="754"/>
      <c r="V266" s="763"/>
      <c r="W266" s="763"/>
      <c r="X266" s="865" t="str">
        <f>VLOOKUP(CTR1_Billing!$E$21,Data!$C$6:$D$302,1,FALSE)</f>
        <v>EZZZZ</v>
      </c>
      <c r="Y266" s="205"/>
      <c r="Z266" s="205">
        <f t="shared" si="39"/>
        <v>0</v>
      </c>
      <c r="AA266" s="206" t="str">
        <f t="shared" si="40"/>
        <v/>
      </c>
      <c r="AB266" s="205">
        <f t="shared" si="41"/>
        <v>0</v>
      </c>
      <c r="AC266" s="208"/>
      <c r="AD266" s="208"/>
      <c r="AE266" s="208"/>
      <c r="AF266" s="208"/>
      <c r="AG266" s="209" t="str">
        <f>IFERROR(INDEX('Local Data Previous Year'!$F:$F, MATCH($D266, 'Local Data Previous Year'!$D:$D, 0)), "")</f>
        <v/>
      </c>
      <c r="AH266" s="209" t="str">
        <f>IFERROR(INDEX('Local Data Previous Year'!$G:$G, MATCH($D266, 'Local Data Previous Year'!$D:$D, 0)), "")</f>
        <v/>
      </c>
      <c r="AI266" s="209" t="str">
        <f>IFERROR(INDEX('Local Data Previous Year'!$H:$H, MATCH($D266, 'Local Data Previous Year'!$D:$D, 0)), "")</f>
        <v/>
      </c>
      <c r="AJ266" s="209" t="str">
        <f t="shared" si="42"/>
        <v/>
      </c>
      <c r="AK266" s="209" t="str">
        <f t="shared" si="43"/>
        <v/>
      </c>
      <c r="AL266" s="209" t="str">
        <f t="shared" si="44"/>
        <v/>
      </c>
      <c r="AM266" s="208" t="str">
        <f>IF($AN266="","",IFERROR(VLOOKUP(CONCATENATE(CTR1_Billing!$E$20,$AN266),'Local Data Previous Year'!$C$3:$D$50000,2,0),CTR1_Billing!$E$21&amp;"NEW"))</f>
        <v/>
      </c>
      <c r="AN266" s="209" t="str" cm="1">
        <f t="array" ref="AN266">IF(ISERROR(INDEX('Local Data Previous Year'!$E$3:$E$50000, SMALL(IF(CTR1_Billing!$E$21='Local Data Previous Year'!$A$3:$A$50000, ROW('Local Data Previous Year'!$A$3:$A$50000)-ROW('Local Data Previous Year'!$A$3)+1), ROW(234:234)))), "", INDEX('Local Data Previous Year'!$E$3:$E$50000, SMALL(IF(CTR1_Billing!$E$21='Local Data Previous Year'!$A$3:$A$50000, ROW('Local Data Previous Year'!$A$3:$A$50000)-ROW('Local Data Previous Year'!$A$3)+1), ROW(234:234))))</f>
        <v/>
      </c>
      <c r="AO266" s="209" t="str">
        <f t="shared" si="45"/>
        <v/>
      </c>
      <c r="AP266" s="208"/>
      <c r="AQ266" s="209" t="str">
        <f t="shared" si="46"/>
        <v/>
      </c>
      <c r="AR266" s="209" t="str">
        <f t="shared" si="47"/>
        <v/>
      </c>
      <c r="AS266" s="202" t="str">
        <f t="shared" si="48"/>
        <v/>
      </c>
      <c r="AT266" s="202" t="str">
        <f t="shared" si="49"/>
        <v/>
      </c>
      <c r="AU266" s="208"/>
      <c r="AV266" s="208"/>
      <c r="AW266" s="208"/>
      <c r="AX266" s="208"/>
      <c r="AY266" s="208"/>
      <c r="AZ266" s="208"/>
      <c r="BA266" s="208"/>
      <c r="BB266" s="208"/>
      <c r="BC266" s="208"/>
      <c r="BD266" s="208"/>
      <c r="BE266" s="208"/>
      <c r="BF266" s="208"/>
      <c r="BG266" s="28"/>
      <c r="BH266" s="28"/>
      <c r="BI266" s="28"/>
      <c r="BJ266" s="28"/>
    </row>
    <row r="267" spans="1:62" s="23" customFormat="1" ht="21" customHeight="1" thickBot="1" x14ac:dyDescent="0.25">
      <c r="A267" s="846" t="str">
        <f>IF($AN267="","",IFERROR(VLOOKUP(CONCATENATE(CTR1_Billing!$E$20,$AN267),'Local Data Previous Year'!$C$3:$D$20000,2,0),CTR1_Billing!$E$21&amp;"NEW"))</f>
        <v/>
      </c>
      <c r="B267" s="846" t="str">
        <f>IF($E267="","",IFERROR(VLOOKUP(CONCATENATE(CTR1_Billing!$E$20,CTR1_Local!$E267),'Local Data Previous Year'!$C$3:$D$20000,2,0),CTR1_Billing!$E$21&amp;"NEW"))</f>
        <v/>
      </c>
      <c r="C267" s="846">
        <v>235</v>
      </c>
      <c r="D267" s="755" t="str" cm="1">
        <f t="array" ref="D267">IF(ISERROR(INDEX('Local Data Previous Year'!$D$3:$D$20000,SMALL(IF(CTR1_Billing!$E$21='Local Data Previous Year'!$A$3:$A$20000,ROW('Local Data Previous Year'!$A$3:$A$20000)-ROW('Local Data Previous Year'!$A$3)+1),ROW(235:235)))),"",INDEX('Local Data Previous Year'!$D$3:$D$20000,SMALL(IF(CTR1_Billing!$E$21='Local Data Previous Year'!$A$3:$A$20000,ROW('Local Data Previous Year'!$A$3:$A$20000)-ROW('Local Data Previous Year'!$A$3)+1),ROW(235:235))))</f>
        <v/>
      </c>
      <c r="E267" s="755" t="str" cm="1">
        <f t="array" ref="E267">IF(ISERROR(INDEX('Local Data Previous Year'!$E$3:$E$20000,SMALL(IF(CTR1_Billing!$E$21='Local Data Previous Year'!$A$3:$A$20000,ROW('Local Data Previous Year'!$A$3:$A$20000)-ROW('Local Data Previous Year'!$A$3)+1),ROW(235:235)))),"",INDEX('Local Data Previous Year'!$E$3:$E$20000,SMALL(IF(CTR1_Billing!$E$21='Local Data Previous Year'!$A$3:$A$20000,ROW('Local Data Previous Year'!$A$3:$A$20000)-ROW('Local Data Previous Year'!$A$3)+1),ROW(235:235))))</f>
        <v/>
      </c>
      <c r="F267" s="756" t="str">
        <f>IF($D267="","",IF(ISNA(MATCH($D267,'Local Data Previous Year'!$D$3:$D$20000,0)),"New",IFERROR(VLOOKUP($B267,'Local Data Previous Year'!$D$3:$I$20000,6,0),"")))</f>
        <v/>
      </c>
      <c r="G267" s="757">
        <f t="shared" si="50"/>
        <v>0</v>
      </c>
      <c r="H267" s="758" t="str">
        <f>IFERROR(INDEX('Local Data Previous Year'!$F:$F, MATCH($D267, 'Local Data Previous Year'!$D:$D, 0)), "")</f>
        <v/>
      </c>
      <c r="I267" s="759">
        <f>IF(B267=CTR1_Billing!$E$21&amp;"NEW",1,0)</f>
        <v>0</v>
      </c>
      <c r="J267" s="760" t="str">
        <f>IFERROR(INDEX('Local Data Previous Year'!$G:$G, MATCH($D267, 'Local Data Previous Year'!$D:$D, 0)), "")</f>
        <v/>
      </c>
      <c r="K267" s="762"/>
      <c r="L267" s="760" t="str">
        <f>IFERROR(INDEX('Local Data Previous Year'!$H:$H, MATCH($D267, 'Local Data Previous Year'!$D:$D, 0)), "")</f>
        <v/>
      </c>
      <c r="M267" s="762"/>
      <c r="N267" s="763"/>
      <c r="O267" s="767"/>
      <c r="P267" s="765"/>
      <c r="Q267" s="767"/>
      <c r="R267" s="766" t="str">
        <f t="shared" si="51"/>
        <v/>
      </c>
      <c r="S267" s="754"/>
      <c r="T267" s="763"/>
      <c r="U267" s="754"/>
      <c r="V267" s="763"/>
      <c r="W267" s="763"/>
      <c r="X267" s="865" t="str">
        <f>VLOOKUP(CTR1_Billing!$E$21,Data!$C$6:$D$302,1,FALSE)</f>
        <v>EZZZZ</v>
      </c>
      <c r="Y267" s="205"/>
      <c r="Z267" s="205">
        <f t="shared" si="39"/>
        <v>0</v>
      </c>
      <c r="AA267" s="206" t="str">
        <f t="shared" si="40"/>
        <v/>
      </c>
      <c r="AB267" s="205">
        <f t="shared" si="41"/>
        <v>0</v>
      </c>
      <c r="AC267" s="208"/>
      <c r="AD267" s="208"/>
      <c r="AE267" s="208"/>
      <c r="AF267" s="208"/>
      <c r="AG267" s="209" t="str">
        <f>IFERROR(INDEX('Local Data Previous Year'!$F:$F, MATCH($D267, 'Local Data Previous Year'!$D:$D, 0)), "")</f>
        <v/>
      </c>
      <c r="AH267" s="209" t="str">
        <f>IFERROR(INDEX('Local Data Previous Year'!$G:$G, MATCH($D267, 'Local Data Previous Year'!$D:$D, 0)), "")</f>
        <v/>
      </c>
      <c r="AI267" s="209" t="str">
        <f>IFERROR(INDEX('Local Data Previous Year'!$H:$H, MATCH($D267, 'Local Data Previous Year'!$D:$D, 0)), "")</f>
        <v/>
      </c>
      <c r="AJ267" s="209" t="str">
        <f t="shared" si="42"/>
        <v/>
      </c>
      <c r="AK267" s="209" t="str">
        <f t="shared" si="43"/>
        <v/>
      </c>
      <c r="AL267" s="209" t="str">
        <f t="shared" si="44"/>
        <v/>
      </c>
      <c r="AM267" s="208" t="str">
        <f>IF($AN267="","",IFERROR(VLOOKUP(CONCATENATE(CTR1_Billing!$E$20,$AN267),'Local Data Previous Year'!$C$3:$D$50000,2,0),CTR1_Billing!$E$21&amp;"NEW"))</f>
        <v/>
      </c>
      <c r="AN267" s="209" t="str" cm="1">
        <f t="array" ref="AN267">IF(ISERROR(INDEX('Local Data Previous Year'!$E$3:$E$50000, SMALL(IF(CTR1_Billing!$E$21='Local Data Previous Year'!$A$3:$A$50000, ROW('Local Data Previous Year'!$A$3:$A$50000)-ROW('Local Data Previous Year'!$A$3)+1), ROW(235:235)))), "", INDEX('Local Data Previous Year'!$E$3:$E$50000, SMALL(IF(CTR1_Billing!$E$21='Local Data Previous Year'!$A$3:$A$50000, ROW('Local Data Previous Year'!$A$3:$A$50000)-ROW('Local Data Previous Year'!$A$3)+1), ROW(235:235))))</f>
        <v/>
      </c>
      <c r="AO267" s="209" t="str">
        <f t="shared" si="45"/>
        <v/>
      </c>
      <c r="AP267" s="208"/>
      <c r="AQ267" s="209" t="str">
        <f t="shared" si="46"/>
        <v/>
      </c>
      <c r="AR267" s="209" t="str">
        <f t="shared" si="47"/>
        <v/>
      </c>
      <c r="AS267" s="202" t="str">
        <f t="shared" si="48"/>
        <v/>
      </c>
      <c r="AT267" s="202" t="str">
        <f t="shared" si="49"/>
        <v/>
      </c>
      <c r="AU267" s="208"/>
      <c r="AV267" s="208"/>
      <c r="AW267" s="208"/>
      <c r="AX267" s="208"/>
      <c r="AY267" s="208"/>
      <c r="AZ267" s="208"/>
      <c r="BA267" s="208"/>
      <c r="BB267" s="208"/>
      <c r="BC267" s="208"/>
      <c r="BD267" s="208"/>
      <c r="BE267" s="208"/>
      <c r="BF267" s="208"/>
      <c r="BG267" s="28"/>
      <c r="BH267" s="28"/>
      <c r="BI267" s="28"/>
      <c r="BJ267" s="28"/>
    </row>
    <row r="268" spans="1:62" s="23" customFormat="1" ht="21" customHeight="1" thickBot="1" x14ac:dyDescent="0.25">
      <c r="A268" s="846" t="str">
        <f>IF($AN268="","",IFERROR(VLOOKUP(CONCATENATE(CTR1_Billing!$E$20,$AN268),'Local Data Previous Year'!$C$3:$D$20000,2,0),CTR1_Billing!$E$21&amp;"NEW"))</f>
        <v/>
      </c>
      <c r="B268" s="846" t="str">
        <f>IF($E268="","",IFERROR(VLOOKUP(CONCATENATE(CTR1_Billing!$E$20,CTR1_Local!$E268),'Local Data Previous Year'!$C$3:$D$20000,2,0),CTR1_Billing!$E$21&amp;"NEW"))</f>
        <v/>
      </c>
      <c r="C268" s="846">
        <v>236</v>
      </c>
      <c r="D268" s="755" t="str" cm="1">
        <f t="array" ref="D268">IF(ISERROR(INDEX('Local Data Previous Year'!$D$3:$D$20000,SMALL(IF(CTR1_Billing!$E$21='Local Data Previous Year'!$A$3:$A$20000,ROW('Local Data Previous Year'!$A$3:$A$20000)-ROW('Local Data Previous Year'!$A$3)+1),ROW(236:236)))),"",INDEX('Local Data Previous Year'!$D$3:$D$20000,SMALL(IF(CTR1_Billing!$E$21='Local Data Previous Year'!$A$3:$A$20000,ROW('Local Data Previous Year'!$A$3:$A$20000)-ROW('Local Data Previous Year'!$A$3)+1),ROW(236:236))))</f>
        <v/>
      </c>
      <c r="E268" s="755" t="str" cm="1">
        <f t="array" ref="E268">IF(ISERROR(INDEX('Local Data Previous Year'!$E$3:$E$20000,SMALL(IF(CTR1_Billing!$E$21='Local Data Previous Year'!$A$3:$A$20000,ROW('Local Data Previous Year'!$A$3:$A$20000)-ROW('Local Data Previous Year'!$A$3)+1),ROW(236:236)))),"",INDEX('Local Data Previous Year'!$E$3:$E$20000,SMALL(IF(CTR1_Billing!$E$21='Local Data Previous Year'!$A$3:$A$20000,ROW('Local Data Previous Year'!$A$3:$A$20000)-ROW('Local Data Previous Year'!$A$3)+1),ROW(236:236))))</f>
        <v/>
      </c>
      <c r="F268" s="756" t="str">
        <f>IF($D268="","",IF(ISNA(MATCH($D268,'Local Data Previous Year'!$D$3:$D$20000,0)),"New",IFERROR(VLOOKUP($B268,'Local Data Previous Year'!$D$3:$I$20000,6,0),"")))</f>
        <v/>
      </c>
      <c r="G268" s="757">
        <f t="shared" si="50"/>
        <v>0</v>
      </c>
      <c r="H268" s="758" t="str">
        <f>IFERROR(INDEX('Local Data Previous Year'!$F:$F, MATCH($D268, 'Local Data Previous Year'!$D:$D, 0)), "")</f>
        <v/>
      </c>
      <c r="I268" s="759">
        <f>IF(B268=CTR1_Billing!$E$21&amp;"NEW",1,0)</f>
        <v>0</v>
      </c>
      <c r="J268" s="760" t="str">
        <f>IFERROR(INDEX('Local Data Previous Year'!$G:$G, MATCH($D268, 'Local Data Previous Year'!$D:$D, 0)), "")</f>
        <v/>
      </c>
      <c r="K268" s="762"/>
      <c r="L268" s="760" t="str">
        <f>IFERROR(INDEX('Local Data Previous Year'!$H:$H, MATCH($D268, 'Local Data Previous Year'!$D:$D, 0)), "")</f>
        <v/>
      </c>
      <c r="M268" s="762"/>
      <c r="N268" s="763"/>
      <c r="O268" s="767"/>
      <c r="P268" s="765"/>
      <c r="Q268" s="767"/>
      <c r="R268" s="766" t="str">
        <f t="shared" si="51"/>
        <v/>
      </c>
      <c r="S268" s="754"/>
      <c r="T268" s="763"/>
      <c r="U268" s="754"/>
      <c r="V268" s="763"/>
      <c r="W268" s="763"/>
      <c r="X268" s="865" t="str">
        <f>VLOOKUP(CTR1_Billing!$E$21,Data!$C$6:$D$302,1,FALSE)</f>
        <v>EZZZZ</v>
      </c>
      <c r="Y268" s="205"/>
      <c r="Z268" s="205">
        <f t="shared" si="39"/>
        <v>0</v>
      </c>
      <c r="AA268" s="206" t="str">
        <f t="shared" si="40"/>
        <v/>
      </c>
      <c r="AB268" s="205">
        <f t="shared" si="41"/>
        <v>0</v>
      </c>
      <c r="AC268" s="208"/>
      <c r="AD268" s="208"/>
      <c r="AE268" s="208"/>
      <c r="AF268" s="208"/>
      <c r="AG268" s="209" t="str">
        <f>IFERROR(INDEX('Local Data Previous Year'!$F:$F, MATCH($D268, 'Local Data Previous Year'!$D:$D, 0)), "")</f>
        <v/>
      </c>
      <c r="AH268" s="209" t="str">
        <f>IFERROR(INDEX('Local Data Previous Year'!$G:$G, MATCH($D268, 'Local Data Previous Year'!$D:$D, 0)), "")</f>
        <v/>
      </c>
      <c r="AI268" s="209" t="str">
        <f>IFERROR(INDEX('Local Data Previous Year'!$H:$H, MATCH($D268, 'Local Data Previous Year'!$D:$D, 0)), "")</f>
        <v/>
      </c>
      <c r="AJ268" s="209" t="str">
        <f t="shared" si="42"/>
        <v/>
      </c>
      <c r="AK268" s="209" t="str">
        <f t="shared" si="43"/>
        <v/>
      </c>
      <c r="AL268" s="209" t="str">
        <f t="shared" si="44"/>
        <v/>
      </c>
      <c r="AM268" s="208" t="str">
        <f>IF($AN268="","",IFERROR(VLOOKUP(CONCATENATE(CTR1_Billing!$E$20,$AN268),'Local Data Previous Year'!$C$3:$D$50000,2,0),CTR1_Billing!$E$21&amp;"NEW"))</f>
        <v/>
      </c>
      <c r="AN268" s="209" t="str" cm="1">
        <f t="array" ref="AN268">IF(ISERROR(INDEX('Local Data Previous Year'!$E$3:$E$50000, SMALL(IF(CTR1_Billing!$E$21='Local Data Previous Year'!$A$3:$A$50000, ROW('Local Data Previous Year'!$A$3:$A$50000)-ROW('Local Data Previous Year'!$A$3)+1), ROW(236:236)))), "", INDEX('Local Data Previous Year'!$E$3:$E$50000, SMALL(IF(CTR1_Billing!$E$21='Local Data Previous Year'!$A$3:$A$50000, ROW('Local Data Previous Year'!$A$3:$A$50000)-ROW('Local Data Previous Year'!$A$3)+1), ROW(236:236))))</f>
        <v/>
      </c>
      <c r="AO268" s="209" t="str">
        <f t="shared" si="45"/>
        <v/>
      </c>
      <c r="AP268" s="208"/>
      <c r="AQ268" s="209" t="str">
        <f t="shared" si="46"/>
        <v/>
      </c>
      <c r="AR268" s="209" t="str">
        <f t="shared" si="47"/>
        <v/>
      </c>
      <c r="AS268" s="202" t="str">
        <f t="shared" si="48"/>
        <v/>
      </c>
      <c r="AT268" s="202" t="str">
        <f t="shared" si="49"/>
        <v/>
      </c>
      <c r="AU268" s="208"/>
      <c r="AV268" s="208"/>
      <c r="AW268" s="208"/>
      <c r="AX268" s="208"/>
      <c r="AY268" s="208"/>
      <c r="AZ268" s="208"/>
      <c r="BA268" s="208"/>
      <c r="BB268" s="208"/>
      <c r="BC268" s="208"/>
      <c r="BD268" s="208"/>
      <c r="BE268" s="208"/>
      <c r="BF268" s="208"/>
      <c r="BG268" s="28"/>
      <c r="BH268" s="28"/>
      <c r="BI268" s="28"/>
      <c r="BJ268" s="28"/>
    </row>
    <row r="269" spans="1:62" s="23" customFormat="1" ht="21" customHeight="1" thickBot="1" x14ac:dyDescent="0.25">
      <c r="A269" s="846" t="str">
        <f>IF($AN269="","",IFERROR(VLOOKUP(CONCATENATE(CTR1_Billing!$E$20,$AN269),'Local Data Previous Year'!$C$3:$D$20000,2,0),CTR1_Billing!$E$21&amp;"NEW"))</f>
        <v/>
      </c>
      <c r="B269" s="846" t="str">
        <f>IF($E269="","",IFERROR(VLOOKUP(CONCATENATE(CTR1_Billing!$E$20,CTR1_Local!$E269),'Local Data Previous Year'!$C$3:$D$20000,2,0),CTR1_Billing!$E$21&amp;"NEW"))</f>
        <v/>
      </c>
      <c r="C269" s="846">
        <v>237</v>
      </c>
      <c r="D269" s="755" t="str" cm="1">
        <f t="array" ref="D269">IF(ISERROR(INDEX('Local Data Previous Year'!$D$3:$D$20000,SMALL(IF(CTR1_Billing!$E$21='Local Data Previous Year'!$A$3:$A$20000,ROW('Local Data Previous Year'!$A$3:$A$20000)-ROW('Local Data Previous Year'!$A$3)+1),ROW(237:237)))),"",INDEX('Local Data Previous Year'!$D$3:$D$20000,SMALL(IF(CTR1_Billing!$E$21='Local Data Previous Year'!$A$3:$A$20000,ROW('Local Data Previous Year'!$A$3:$A$20000)-ROW('Local Data Previous Year'!$A$3)+1),ROW(237:237))))</f>
        <v/>
      </c>
      <c r="E269" s="755" t="str" cm="1">
        <f t="array" ref="E269">IF(ISERROR(INDEX('Local Data Previous Year'!$E$3:$E$20000,SMALL(IF(CTR1_Billing!$E$21='Local Data Previous Year'!$A$3:$A$20000,ROW('Local Data Previous Year'!$A$3:$A$20000)-ROW('Local Data Previous Year'!$A$3)+1),ROW(237:237)))),"",INDEX('Local Data Previous Year'!$E$3:$E$20000,SMALL(IF(CTR1_Billing!$E$21='Local Data Previous Year'!$A$3:$A$20000,ROW('Local Data Previous Year'!$A$3:$A$20000)-ROW('Local Data Previous Year'!$A$3)+1),ROW(237:237))))</f>
        <v/>
      </c>
      <c r="F269" s="756" t="str">
        <f>IF($D269="","",IF(ISNA(MATCH($D269,'Local Data Previous Year'!$D$3:$D$20000,0)),"New",IFERROR(VLOOKUP($B269,'Local Data Previous Year'!$D$3:$I$20000,6,0),"")))</f>
        <v/>
      </c>
      <c r="G269" s="757">
        <f t="shared" si="50"/>
        <v>0</v>
      </c>
      <c r="H269" s="758" t="str">
        <f>IFERROR(INDEX('Local Data Previous Year'!$F:$F, MATCH($D269, 'Local Data Previous Year'!$D:$D, 0)), "")</f>
        <v/>
      </c>
      <c r="I269" s="759">
        <f>IF(B269=CTR1_Billing!$E$21&amp;"NEW",1,0)</f>
        <v>0</v>
      </c>
      <c r="J269" s="760" t="str">
        <f>IFERROR(INDEX('Local Data Previous Year'!$G:$G, MATCH($D269, 'Local Data Previous Year'!$D:$D, 0)), "")</f>
        <v/>
      </c>
      <c r="K269" s="762"/>
      <c r="L269" s="760" t="str">
        <f>IFERROR(INDEX('Local Data Previous Year'!$H:$H, MATCH($D269, 'Local Data Previous Year'!$D:$D, 0)), "")</f>
        <v/>
      </c>
      <c r="M269" s="762"/>
      <c r="N269" s="763"/>
      <c r="O269" s="767"/>
      <c r="P269" s="765"/>
      <c r="Q269" s="767"/>
      <c r="R269" s="766" t="str">
        <f t="shared" si="51"/>
        <v/>
      </c>
      <c r="S269" s="754"/>
      <c r="T269" s="763"/>
      <c r="U269" s="754"/>
      <c r="V269" s="763"/>
      <c r="W269" s="763"/>
      <c r="X269" s="865" t="str">
        <f>VLOOKUP(CTR1_Billing!$E$21,Data!$C$6:$D$302,1,FALSE)</f>
        <v>EZZZZ</v>
      </c>
      <c r="Y269" s="205"/>
      <c r="Z269" s="205">
        <f t="shared" si="39"/>
        <v>0</v>
      </c>
      <c r="AA269" s="206" t="str">
        <f t="shared" si="40"/>
        <v/>
      </c>
      <c r="AB269" s="205">
        <f t="shared" si="41"/>
        <v>0</v>
      </c>
      <c r="AC269" s="208"/>
      <c r="AD269" s="208"/>
      <c r="AE269" s="208"/>
      <c r="AF269" s="208"/>
      <c r="AG269" s="209" t="str">
        <f>IFERROR(INDEX('Local Data Previous Year'!$F:$F, MATCH($D269, 'Local Data Previous Year'!$D:$D, 0)), "")</f>
        <v/>
      </c>
      <c r="AH269" s="209" t="str">
        <f>IFERROR(INDEX('Local Data Previous Year'!$G:$G, MATCH($D269, 'Local Data Previous Year'!$D:$D, 0)), "")</f>
        <v/>
      </c>
      <c r="AI269" s="209" t="str">
        <f>IFERROR(INDEX('Local Data Previous Year'!$H:$H, MATCH($D269, 'Local Data Previous Year'!$D:$D, 0)), "")</f>
        <v/>
      </c>
      <c r="AJ269" s="209" t="str">
        <f t="shared" si="42"/>
        <v/>
      </c>
      <c r="AK269" s="209" t="str">
        <f t="shared" si="43"/>
        <v/>
      </c>
      <c r="AL269" s="209" t="str">
        <f t="shared" si="44"/>
        <v/>
      </c>
      <c r="AM269" s="208" t="str">
        <f>IF($AN269="","",IFERROR(VLOOKUP(CONCATENATE(CTR1_Billing!$E$20,$AN269),'Local Data Previous Year'!$C$3:$D$50000,2,0),CTR1_Billing!$E$21&amp;"NEW"))</f>
        <v/>
      </c>
      <c r="AN269" s="209" t="str" cm="1">
        <f t="array" ref="AN269">IF(ISERROR(INDEX('Local Data Previous Year'!$E$3:$E$50000, SMALL(IF(CTR1_Billing!$E$21='Local Data Previous Year'!$A$3:$A$50000, ROW('Local Data Previous Year'!$A$3:$A$50000)-ROW('Local Data Previous Year'!$A$3)+1), ROW(237:237)))), "", INDEX('Local Data Previous Year'!$E$3:$E$50000, SMALL(IF(CTR1_Billing!$E$21='Local Data Previous Year'!$A$3:$A$50000, ROW('Local Data Previous Year'!$A$3:$A$50000)-ROW('Local Data Previous Year'!$A$3)+1), ROW(237:237))))</f>
        <v/>
      </c>
      <c r="AO269" s="209" t="str">
        <f t="shared" si="45"/>
        <v/>
      </c>
      <c r="AP269" s="208"/>
      <c r="AQ269" s="209" t="str">
        <f t="shared" si="46"/>
        <v/>
      </c>
      <c r="AR269" s="209" t="str">
        <f t="shared" si="47"/>
        <v/>
      </c>
      <c r="AS269" s="202" t="str">
        <f t="shared" si="48"/>
        <v/>
      </c>
      <c r="AT269" s="202" t="str">
        <f t="shared" si="49"/>
        <v/>
      </c>
      <c r="AU269" s="208"/>
      <c r="AV269" s="208"/>
      <c r="AW269" s="208"/>
      <c r="AX269" s="208"/>
      <c r="AY269" s="208"/>
      <c r="AZ269" s="208"/>
      <c r="BA269" s="208"/>
      <c r="BB269" s="208"/>
      <c r="BC269" s="208"/>
      <c r="BD269" s="208"/>
      <c r="BE269" s="208"/>
      <c r="BF269" s="208"/>
      <c r="BG269" s="28"/>
      <c r="BH269" s="28"/>
      <c r="BI269" s="28"/>
      <c r="BJ269" s="28"/>
    </row>
    <row r="270" spans="1:62" s="23" customFormat="1" ht="21" customHeight="1" thickBot="1" x14ac:dyDescent="0.25">
      <c r="A270" s="846" t="str">
        <f>IF($AN270="","",IFERROR(VLOOKUP(CONCATENATE(CTR1_Billing!$E$20,$AN270),'Local Data Previous Year'!$C$3:$D$20000,2,0),CTR1_Billing!$E$21&amp;"NEW"))</f>
        <v/>
      </c>
      <c r="B270" s="846" t="str">
        <f>IF($E270="","",IFERROR(VLOOKUP(CONCATENATE(CTR1_Billing!$E$20,CTR1_Local!$E270),'Local Data Previous Year'!$C$3:$D$20000,2,0),CTR1_Billing!$E$21&amp;"NEW"))</f>
        <v/>
      </c>
      <c r="C270" s="846">
        <v>238</v>
      </c>
      <c r="D270" s="755" t="str" cm="1">
        <f t="array" ref="D270">IF(ISERROR(INDEX('Local Data Previous Year'!$D$3:$D$20000,SMALL(IF(CTR1_Billing!$E$21='Local Data Previous Year'!$A$3:$A$20000,ROW('Local Data Previous Year'!$A$3:$A$20000)-ROW('Local Data Previous Year'!$A$3)+1),ROW(238:238)))),"",INDEX('Local Data Previous Year'!$D$3:$D$20000,SMALL(IF(CTR1_Billing!$E$21='Local Data Previous Year'!$A$3:$A$20000,ROW('Local Data Previous Year'!$A$3:$A$20000)-ROW('Local Data Previous Year'!$A$3)+1),ROW(238:238))))</f>
        <v/>
      </c>
      <c r="E270" s="755" t="str" cm="1">
        <f t="array" ref="E270">IF(ISERROR(INDEX('Local Data Previous Year'!$E$3:$E$20000,SMALL(IF(CTR1_Billing!$E$21='Local Data Previous Year'!$A$3:$A$20000,ROW('Local Data Previous Year'!$A$3:$A$20000)-ROW('Local Data Previous Year'!$A$3)+1),ROW(238:238)))),"",INDEX('Local Data Previous Year'!$E$3:$E$20000,SMALL(IF(CTR1_Billing!$E$21='Local Data Previous Year'!$A$3:$A$20000,ROW('Local Data Previous Year'!$A$3:$A$20000)-ROW('Local Data Previous Year'!$A$3)+1),ROW(238:238))))</f>
        <v/>
      </c>
      <c r="F270" s="756" t="str">
        <f>IF($D270="","",IF(ISNA(MATCH($D270,'Local Data Previous Year'!$D$3:$D$20000,0)),"New",IFERROR(VLOOKUP($B270,'Local Data Previous Year'!$D$3:$I$20000,6,0),"")))</f>
        <v/>
      </c>
      <c r="G270" s="757">
        <f t="shared" si="50"/>
        <v>0</v>
      </c>
      <c r="H270" s="758" t="str">
        <f>IFERROR(INDEX('Local Data Previous Year'!$F:$F, MATCH($D270, 'Local Data Previous Year'!$D:$D, 0)), "")</f>
        <v/>
      </c>
      <c r="I270" s="759">
        <f>IF(B270=CTR1_Billing!$E$21&amp;"NEW",1,0)</f>
        <v>0</v>
      </c>
      <c r="J270" s="760" t="str">
        <f>IFERROR(INDEX('Local Data Previous Year'!$G:$G, MATCH($D270, 'Local Data Previous Year'!$D:$D, 0)), "")</f>
        <v/>
      </c>
      <c r="K270" s="762"/>
      <c r="L270" s="760" t="str">
        <f>IFERROR(INDEX('Local Data Previous Year'!$H:$H, MATCH($D270, 'Local Data Previous Year'!$D:$D, 0)), "")</f>
        <v/>
      </c>
      <c r="M270" s="762"/>
      <c r="N270" s="763"/>
      <c r="O270" s="767"/>
      <c r="P270" s="765"/>
      <c r="Q270" s="767"/>
      <c r="R270" s="766" t="str">
        <f t="shared" si="51"/>
        <v/>
      </c>
      <c r="S270" s="754"/>
      <c r="T270" s="763"/>
      <c r="U270" s="754"/>
      <c r="V270" s="763"/>
      <c r="W270" s="763"/>
      <c r="X270" s="865" t="str">
        <f>VLOOKUP(CTR1_Billing!$E$21,Data!$C$6:$D$302,1,FALSE)</f>
        <v>EZZZZ</v>
      </c>
      <c r="Y270" s="205"/>
      <c r="Z270" s="205">
        <f t="shared" si="39"/>
        <v>0</v>
      </c>
      <c r="AA270" s="206" t="str">
        <f t="shared" si="40"/>
        <v/>
      </c>
      <c r="AB270" s="205">
        <f t="shared" si="41"/>
        <v>0</v>
      </c>
      <c r="AC270" s="208"/>
      <c r="AD270" s="208"/>
      <c r="AE270" s="208"/>
      <c r="AF270" s="208"/>
      <c r="AG270" s="209" t="str">
        <f>IFERROR(INDEX('Local Data Previous Year'!$F:$F, MATCH($D270, 'Local Data Previous Year'!$D:$D, 0)), "")</f>
        <v/>
      </c>
      <c r="AH270" s="209" t="str">
        <f>IFERROR(INDEX('Local Data Previous Year'!$G:$G, MATCH($D270, 'Local Data Previous Year'!$D:$D, 0)), "")</f>
        <v/>
      </c>
      <c r="AI270" s="209" t="str">
        <f>IFERROR(INDEX('Local Data Previous Year'!$H:$H, MATCH($D270, 'Local Data Previous Year'!$D:$D, 0)), "")</f>
        <v/>
      </c>
      <c r="AJ270" s="209" t="str">
        <f t="shared" si="42"/>
        <v/>
      </c>
      <c r="AK270" s="209" t="str">
        <f t="shared" si="43"/>
        <v/>
      </c>
      <c r="AL270" s="209" t="str">
        <f t="shared" si="44"/>
        <v/>
      </c>
      <c r="AM270" s="208" t="str">
        <f>IF($AN270="","",IFERROR(VLOOKUP(CONCATENATE(CTR1_Billing!$E$20,$AN270),'Local Data Previous Year'!$C$3:$D$50000,2,0),CTR1_Billing!$E$21&amp;"NEW"))</f>
        <v/>
      </c>
      <c r="AN270" s="209" t="str" cm="1">
        <f t="array" ref="AN270">IF(ISERROR(INDEX('Local Data Previous Year'!$E$3:$E$50000, SMALL(IF(CTR1_Billing!$E$21='Local Data Previous Year'!$A$3:$A$50000, ROW('Local Data Previous Year'!$A$3:$A$50000)-ROW('Local Data Previous Year'!$A$3)+1), ROW(238:238)))), "", INDEX('Local Data Previous Year'!$E$3:$E$50000, SMALL(IF(CTR1_Billing!$E$21='Local Data Previous Year'!$A$3:$A$50000, ROW('Local Data Previous Year'!$A$3:$A$50000)-ROW('Local Data Previous Year'!$A$3)+1), ROW(238:238))))</f>
        <v/>
      </c>
      <c r="AO270" s="209" t="str">
        <f t="shared" si="45"/>
        <v/>
      </c>
      <c r="AP270" s="208"/>
      <c r="AQ270" s="209" t="str">
        <f t="shared" si="46"/>
        <v/>
      </c>
      <c r="AR270" s="209" t="str">
        <f t="shared" si="47"/>
        <v/>
      </c>
      <c r="AS270" s="202" t="str">
        <f t="shared" si="48"/>
        <v/>
      </c>
      <c r="AT270" s="202" t="str">
        <f t="shared" si="49"/>
        <v/>
      </c>
      <c r="AU270" s="208"/>
      <c r="AV270" s="208"/>
      <c r="AW270" s="208"/>
      <c r="AX270" s="208"/>
      <c r="AY270" s="208"/>
      <c r="AZ270" s="208"/>
      <c r="BA270" s="208"/>
      <c r="BB270" s="208"/>
      <c r="BC270" s="208"/>
      <c r="BD270" s="208"/>
      <c r="BE270" s="208"/>
      <c r="BF270" s="208"/>
      <c r="BG270" s="28"/>
      <c r="BH270" s="28"/>
      <c r="BI270" s="28"/>
      <c r="BJ270" s="28"/>
    </row>
    <row r="271" spans="1:62" s="23" customFormat="1" ht="21" customHeight="1" thickBot="1" x14ac:dyDescent="0.25">
      <c r="A271" s="846" t="str">
        <f>IF($AN271="","",IFERROR(VLOOKUP(CONCATENATE(CTR1_Billing!$E$20,$AN271),'Local Data Previous Year'!$C$3:$D$20000,2,0),CTR1_Billing!$E$21&amp;"NEW"))</f>
        <v/>
      </c>
      <c r="B271" s="846" t="str">
        <f>IF($E271="","",IFERROR(VLOOKUP(CONCATENATE(CTR1_Billing!$E$20,CTR1_Local!$E271),'Local Data Previous Year'!$C$3:$D$20000,2,0),CTR1_Billing!$E$21&amp;"NEW"))</f>
        <v/>
      </c>
      <c r="C271" s="846">
        <v>239</v>
      </c>
      <c r="D271" s="755" t="str" cm="1">
        <f t="array" ref="D271">IF(ISERROR(INDEX('Local Data Previous Year'!$D$3:$D$20000,SMALL(IF(CTR1_Billing!$E$21='Local Data Previous Year'!$A$3:$A$20000,ROW('Local Data Previous Year'!$A$3:$A$20000)-ROW('Local Data Previous Year'!$A$3)+1),ROW(239:239)))),"",INDEX('Local Data Previous Year'!$D$3:$D$20000,SMALL(IF(CTR1_Billing!$E$21='Local Data Previous Year'!$A$3:$A$20000,ROW('Local Data Previous Year'!$A$3:$A$20000)-ROW('Local Data Previous Year'!$A$3)+1),ROW(239:239))))</f>
        <v/>
      </c>
      <c r="E271" s="755" t="str" cm="1">
        <f t="array" ref="E271">IF(ISERROR(INDEX('Local Data Previous Year'!$E$3:$E$20000,SMALL(IF(CTR1_Billing!$E$21='Local Data Previous Year'!$A$3:$A$20000,ROW('Local Data Previous Year'!$A$3:$A$20000)-ROW('Local Data Previous Year'!$A$3)+1),ROW(239:239)))),"",INDEX('Local Data Previous Year'!$E$3:$E$20000,SMALL(IF(CTR1_Billing!$E$21='Local Data Previous Year'!$A$3:$A$20000,ROW('Local Data Previous Year'!$A$3:$A$20000)-ROW('Local Data Previous Year'!$A$3)+1),ROW(239:239))))</f>
        <v/>
      </c>
      <c r="F271" s="756" t="str">
        <f>IF($D271="","",IF(ISNA(MATCH($D271,'Local Data Previous Year'!$D$3:$D$20000,0)),"New",IFERROR(VLOOKUP($B271,'Local Data Previous Year'!$D$3:$I$20000,6,0),"")))</f>
        <v/>
      </c>
      <c r="G271" s="757">
        <f t="shared" si="50"/>
        <v>0</v>
      </c>
      <c r="H271" s="758" t="str">
        <f>IFERROR(INDEX('Local Data Previous Year'!$F:$F, MATCH($D271, 'Local Data Previous Year'!$D:$D, 0)), "")</f>
        <v/>
      </c>
      <c r="I271" s="759">
        <f>IF(B271=CTR1_Billing!$E$21&amp;"NEW",1,0)</f>
        <v>0</v>
      </c>
      <c r="J271" s="760" t="str">
        <f>IFERROR(INDEX('Local Data Previous Year'!$G:$G, MATCH($D271, 'Local Data Previous Year'!$D:$D, 0)), "")</f>
        <v/>
      </c>
      <c r="K271" s="762"/>
      <c r="L271" s="760" t="str">
        <f>IFERROR(INDEX('Local Data Previous Year'!$H:$H, MATCH($D271, 'Local Data Previous Year'!$D:$D, 0)), "")</f>
        <v/>
      </c>
      <c r="M271" s="762"/>
      <c r="N271" s="763"/>
      <c r="O271" s="767"/>
      <c r="P271" s="765"/>
      <c r="Q271" s="767"/>
      <c r="R271" s="766" t="str">
        <f t="shared" si="51"/>
        <v/>
      </c>
      <c r="S271" s="754"/>
      <c r="T271" s="763"/>
      <c r="U271" s="754"/>
      <c r="V271" s="763"/>
      <c r="W271" s="763"/>
      <c r="X271" s="865" t="str">
        <f>VLOOKUP(CTR1_Billing!$E$21,Data!$C$6:$D$302,1,FALSE)</f>
        <v>EZZZZ</v>
      </c>
      <c r="Y271" s="205"/>
      <c r="Z271" s="205">
        <f t="shared" si="39"/>
        <v>0</v>
      </c>
      <c r="AA271" s="206" t="str">
        <f t="shared" si="40"/>
        <v/>
      </c>
      <c r="AB271" s="205">
        <f t="shared" si="41"/>
        <v>0</v>
      </c>
      <c r="AC271" s="208"/>
      <c r="AD271" s="208"/>
      <c r="AE271" s="208"/>
      <c r="AF271" s="208"/>
      <c r="AG271" s="209" t="str">
        <f>IFERROR(INDEX('Local Data Previous Year'!$F:$F, MATCH($D271, 'Local Data Previous Year'!$D:$D, 0)), "")</f>
        <v/>
      </c>
      <c r="AH271" s="209" t="str">
        <f>IFERROR(INDEX('Local Data Previous Year'!$G:$G, MATCH($D271, 'Local Data Previous Year'!$D:$D, 0)), "")</f>
        <v/>
      </c>
      <c r="AI271" s="209" t="str">
        <f>IFERROR(INDEX('Local Data Previous Year'!$H:$H, MATCH($D271, 'Local Data Previous Year'!$D:$D, 0)), "")</f>
        <v/>
      </c>
      <c r="AJ271" s="209" t="str">
        <f t="shared" si="42"/>
        <v/>
      </c>
      <c r="AK271" s="209" t="str">
        <f t="shared" si="43"/>
        <v/>
      </c>
      <c r="AL271" s="209" t="str">
        <f t="shared" si="44"/>
        <v/>
      </c>
      <c r="AM271" s="208" t="str">
        <f>IF($AN271="","",IFERROR(VLOOKUP(CONCATENATE(CTR1_Billing!$E$20,$AN271),'Local Data Previous Year'!$C$3:$D$50000,2,0),CTR1_Billing!$E$21&amp;"NEW"))</f>
        <v/>
      </c>
      <c r="AN271" s="209" t="str" cm="1">
        <f t="array" ref="AN271">IF(ISERROR(INDEX('Local Data Previous Year'!$E$3:$E$50000, SMALL(IF(CTR1_Billing!$E$21='Local Data Previous Year'!$A$3:$A$50000, ROW('Local Data Previous Year'!$A$3:$A$50000)-ROW('Local Data Previous Year'!$A$3)+1), ROW(239:239)))), "", INDEX('Local Data Previous Year'!$E$3:$E$50000, SMALL(IF(CTR1_Billing!$E$21='Local Data Previous Year'!$A$3:$A$50000, ROW('Local Data Previous Year'!$A$3:$A$50000)-ROW('Local Data Previous Year'!$A$3)+1), ROW(239:239))))</f>
        <v/>
      </c>
      <c r="AO271" s="209" t="str">
        <f t="shared" si="45"/>
        <v/>
      </c>
      <c r="AP271" s="208"/>
      <c r="AQ271" s="209" t="str">
        <f t="shared" si="46"/>
        <v/>
      </c>
      <c r="AR271" s="209" t="str">
        <f t="shared" si="47"/>
        <v/>
      </c>
      <c r="AS271" s="202" t="str">
        <f t="shared" si="48"/>
        <v/>
      </c>
      <c r="AT271" s="202" t="str">
        <f t="shared" si="49"/>
        <v/>
      </c>
      <c r="AU271" s="208"/>
      <c r="AV271" s="208"/>
      <c r="AW271" s="208"/>
      <c r="AX271" s="208"/>
      <c r="AY271" s="208"/>
      <c r="AZ271" s="208"/>
      <c r="BA271" s="208"/>
      <c r="BB271" s="208"/>
      <c r="BC271" s="208"/>
      <c r="BD271" s="208"/>
      <c r="BE271" s="208"/>
      <c r="BF271" s="208"/>
      <c r="BG271" s="28"/>
      <c r="BH271" s="28"/>
      <c r="BI271" s="28"/>
      <c r="BJ271" s="28"/>
    </row>
    <row r="272" spans="1:62" s="23" customFormat="1" ht="21" customHeight="1" thickBot="1" x14ac:dyDescent="0.25">
      <c r="A272" s="846" t="str">
        <f>IF($AN272="","",IFERROR(VLOOKUP(CONCATENATE(CTR1_Billing!$E$20,$AN272),'Local Data Previous Year'!$C$3:$D$20000,2,0),CTR1_Billing!$E$21&amp;"NEW"))</f>
        <v/>
      </c>
      <c r="B272" s="846" t="str">
        <f>IF($E272="","",IFERROR(VLOOKUP(CONCATENATE(CTR1_Billing!$E$20,CTR1_Local!$E272),'Local Data Previous Year'!$C$3:$D$20000,2,0),CTR1_Billing!$E$21&amp;"NEW"))</f>
        <v/>
      </c>
      <c r="C272" s="846">
        <v>240</v>
      </c>
      <c r="D272" s="755" t="str" cm="1">
        <f t="array" ref="D272">IF(ISERROR(INDEX('Local Data Previous Year'!$D$3:$D$20000,SMALL(IF(CTR1_Billing!$E$21='Local Data Previous Year'!$A$3:$A$20000,ROW('Local Data Previous Year'!$A$3:$A$20000)-ROW('Local Data Previous Year'!$A$3)+1),ROW(240:240)))),"",INDEX('Local Data Previous Year'!$D$3:$D$20000,SMALL(IF(CTR1_Billing!$E$21='Local Data Previous Year'!$A$3:$A$20000,ROW('Local Data Previous Year'!$A$3:$A$20000)-ROW('Local Data Previous Year'!$A$3)+1),ROW(240:240))))</f>
        <v/>
      </c>
      <c r="E272" s="755" t="str" cm="1">
        <f t="array" ref="E272">IF(ISERROR(INDEX('Local Data Previous Year'!$E$3:$E$20000,SMALL(IF(CTR1_Billing!$E$21='Local Data Previous Year'!$A$3:$A$20000,ROW('Local Data Previous Year'!$A$3:$A$20000)-ROW('Local Data Previous Year'!$A$3)+1),ROW(240:240)))),"",INDEX('Local Data Previous Year'!$E$3:$E$20000,SMALL(IF(CTR1_Billing!$E$21='Local Data Previous Year'!$A$3:$A$20000,ROW('Local Data Previous Year'!$A$3:$A$20000)-ROW('Local Data Previous Year'!$A$3)+1),ROW(240:240))))</f>
        <v/>
      </c>
      <c r="F272" s="756" t="str">
        <f>IF($D272="","",IF(ISNA(MATCH($D272,'Local Data Previous Year'!$D$3:$D$20000,0)),"New",IFERROR(VLOOKUP($B272,'Local Data Previous Year'!$D$3:$I$20000,6,0),"")))</f>
        <v/>
      </c>
      <c r="G272" s="757">
        <f t="shared" si="50"/>
        <v>0</v>
      </c>
      <c r="H272" s="758" t="str">
        <f>IFERROR(INDEX('Local Data Previous Year'!$F:$F, MATCH($D272, 'Local Data Previous Year'!$D:$D, 0)), "")</f>
        <v/>
      </c>
      <c r="I272" s="759">
        <f>IF(B272=CTR1_Billing!$E$21&amp;"NEW",1,0)</f>
        <v>0</v>
      </c>
      <c r="J272" s="760" t="str">
        <f>IFERROR(INDEX('Local Data Previous Year'!$G:$G, MATCH($D272, 'Local Data Previous Year'!$D:$D, 0)), "")</f>
        <v/>
      </c>
      <c r="K272" s="762"/>
      <c r="L272" s="760" t="str">
        <f>IFERROR(INDEX('Local Data Previous Year'!$H:$H, MATCH($D272, 'Local Data Previous Year'!$D:$D, 0)), "")</f>
        <v/>
      </c>
      <c r="M272" s="762"/>
      <c r="N272" s="763"/>
      <c r="O272" s="767"/>
      <c r="P272" s="765"/>
      <c r="Q272" s="767"/>
      <c r="R272" s="766" t="str">
        <f t="shared" si="51"/>
        <v/>
      </c>
      <c r="S272" s="754"/>
      <c r="T272" s="763"/>
      <c r="U272" s="754"/>
      <c r="V272" s="763"/>
      <c r="W272" s="763"/>
      <c r="X272" s="865" t="str">
        <f>VLOOKUP(CTR1_Billing!$E$21,Data!$C$6:$D$302,1,FALSE)</f>
        <v>EZZZZ</v>
      </c>
      <c r="Y272" s="205"/>
      <c r="Z272" s="205">
        <f t="shared" si="39"/>
        <v>0</v>
      </c>
      <c r="AA272" s="206" t="str">
        <f t="shared" si="40"/>
        <v/>
      </c>
      <c r="AB272" s="205">
        <f t="shared" si="41"/>
        <v>0</v>
      </c>
      <c r="AC272" s="208"/>
      <c r="AD272" s="208"/>
      <c r="AE272" s="208"/>
      <c r="AF272" s="208"/>
      <c r="AG272" s="209" t="str">
        <f>IFERROR(INDEX('Local Data Previous Year'!$F:$F, MATCH($D272, 'Local Data Previous Year'!$D:$D, 0)), "")</f>
        <v/>
      </c>
      <c r="AH272" s="209" t="str">
        <f>IFERROR(INDEX('Local Data Previous Year'!$G:$G, MATCH($D272, 'Local Data Previous Year'!$D:$D, 0)), "")</f>
        <v/>
      </c>
      <c r="AI272" s="209" t="str">
        <f>IFERROR(INDEX('Local Data Previous Year'!$H:$H, MATCH($D272, 'Local Data Previous Year'!$D:$D, 0)), "")</f>
        <v/>
      </c>
      <c r="AJ272" s="209" t="str">
        <f t="shared" si="42"/>
        <v/>
      </c>
      <c r="AK272" s="209" t="str">
        <f t="shared" si="43"/>
        <v/>
      </c>
      <c r="AL272" s="209" t="str">
        <f t="shared" si="44"/>
        <v/>
      </c>
      <c r="AM272" s="208" t="str">
        <f>IF($AN272="","",IFERROR(VLOOKUP(CONCATENATE(CTR1_Billing!$E$20,$AN272),'Local Data Previous Year'!$C$3:$D$50000,2,0),CTR1_Billing!$E$21&amp;"NEW"))</f>
        <v/>
      </c>
      <c r="AN272" s="209" t="str" cm="1">
        <f t="array" ref="AN272">IF(ISERROR(INDEX('Local Data Previous Year'!$E$3:$E$50000, SMALL(IF(CTR1_Billing!$E$21='Local Data Previous Year'!$A$3:$A$50000, ROW('Local Data Previous Year'!$A$3:$A$50000)-ROW('Local Data Previous Year'!$A$3)+1), ROW(240:240)))), "", INDEX('Local Data Previous Year'!$E$3:$E$50000, SMALL(IF(CTR1_Billing!$E$21='Local Data Previous Year'!$A$3:$A$50000, ROW('Local Data Previous Year'!$A$3:$A$50000)-ROW('Local Data Previous Year'!$A$3)+1), ROW(240:240))))</f>
        <v/>
      </c>
      <c r="AO272" s="209" t="str">
        <f t="shared" si="45"/>
        <v/>
      </c>
      <c r="AP272" s="208"/>
      <c r="AQ272" s="209" t="str">
        <f t="shared" si="46"/>
        <v/>
      </c>
      <c r="AR272" s="209" t="str">
        <f t="shared" si="47"/>
        <v/>
      </c>
      <c r="AS272" s="202" t="str">
        <f t="shared" si="48"/>
        <v/>
      </c>
      <c r="AT272" s="202" t="str">
        <f t="shared" si="49"/>
        <v/>
      </c>
      <c r="AU272" s="208"/>
      <c r="AV272" s="208"/>
      <c r="AW272" s="208"/>
      <c r="AX272" s="208"/>
      <c r="AY272" s="208"/>
      <c r="AZ272" s="208"/>
      <c r="BA272" s="208"/>
      <c r="BB272" s="208"/>
      <c r="BC272" s="208"/>
      <c r="BD272" s="208"/>
      <c r="BE272" s="208"/>
      <c r="BF272" s="208"/>
      <c r="BG272" s="28"/>
      <c r="BH272" s="28"/>
      <c r="BI272" s="28"/>
      <c r="BJ272" s="28"/>
    </row>
    <row r="273" spans="1:62" s="23" customFormat="1" ht="21" customHeight="1" thickBot="1" x14ac:dyDescent="0.25">
      <c r="A273" s="846" t="str">
        <f>IF($AN273="","",IFERROR(VLOOKUP(CONCATENATE(CTR1_Billing!$E$20,$AN273),'Local Data Previous Year'!$C$3:$D$20000,2,0),CTR1_Billing!$E$21&amp;"NEW"))</f>
        <v/>
      </c>
      <c r="B273" s="846" t="str">
        <f>IF($E273="","",IFERROR(VLOOKUP(CONCATENATE(CTR1_Billing!$E$20,CTR1_Local!$E273),'Local Data Previous Year'!$C$3:$D$20000,2,0),CTR1_Billing!$E$21&amp;"NEW"))</f>
        <v/>
      </c>
      <c r="C273" s="846">
        <v>241</v>
      </c>
      <c r="D273" s="755" t="str" cm="1">
        <f t="array" ref="D273">IF(ISERROR(INDEX('Local Data Previous Year'!$D$3:$D$20000,SMALL(IF(CTR1_Billing!$E$21='Local Data Previous Year'!$A$3:$A$20000,ROW('Local Data Previous Year'!$A$3:$A$20000)-ROW('Local Data Previous Year'!$A$3)+1),ROW(241:241)))),"",INDEX('Local Data Previous Year'!$D$3:$D$20000,SMALL(IF(CTR1_Billing!$E$21='Local Data Previous Year'!$A$3:$A$20000,ROW('Local Data Previous Year'!$A$3:$A$20000)-ROW('Local Data Previous Year'!$A$3)+1),ROW(241:241))))</f>
        <v/>
      </c>
      <c r="E273" s="755" t="str" cm="1">
        <f t="array" ref="E273">IF(ISERROR(INDEX('Local Data Previous Year'!$E$3:$E$20000,SMALL(IF(CTR1_Billing!$E$21='Local Data Previous Year'!$A$3:$A$20000,ROW('Local Data Previous Year'!$A$3:$A$20000)-ROW('Local Data Previous Year'!$A$3)+1),ROW(241:241)))),"",INDEX('Local Data Previous Year'!$E$3:$E$20000,SMALL(IF(CTR1_Billing!$E$21='Local Data Previous Year'!$A$3:$A$20000,ROW('Local Data Previous Year'!$A$3:$A$20000)-ROW('Local Data Previous Year'!$A$3)+1),ROW(241:241))))</f>
        <v/>
      </c>
      <c r="F273" s="756" t="str">
        <f>IF($D273="","",IF(ISNA(MATCH($D273,'Local Data Previous Year'!$D$3:$D$20000,0)),"New",IFERROR(VLOOKUP($B273,'Local Data Previous Year'!$D$3:$I$20000,6,0),"")))</f>
        <v/>
      </c>
      <c r="G273" s="757">
        <f t="shared" si="50"/>
        <v>0</v>
      </c>
      <c r="H273" s="758" t="str">
        <f>IFERROR(INDEX('Local Data Previous Year'!$F:$F, MATCH($D273, 'Local Data Previous Year'!$D:$D, 0)), "")</f>
        <v/>
      </c>
      <c r="I273" s="759">
        <f>IF(B273=CTR1_Billing!$E$21&amp;"NEW",1,0)</f>
        <v>0</v>
      </c>
      <c r="J273" s="760" t="str">
        <f>IFERROR(INDEX('Local Data Previous Year'!$G:$G, MATCH($D273, 'Local Data Previous Year'!$D:$D, 0)), "")</f>
        <v/>
      </c>
      <c r="K273" s="762"/>
      <c r="L273" s="760" t="str">
        <f>IFERROR(INDEX('Local Data Previous Year'!$H:$H, MATCH($D273, 'Local Data Previous Year'!$D:$D, 0)), "")</f>
        <v/>
      </c>
      <c r="M273" s="762"/>
      <c r="N273" s="763"/>
      <c r="O273" s="767"/>
      <c r="P273" s="765"/>
      <c r="Q273" s="767"/>
      <c r="R273" s="766" t="str">
        <f t="shared" si="51"/>
        <v/>
      </c>
      <c r="S273" s="754"/>
      <c r="T273" s="763"/>
      <c r="U273" s="754"/>
      <c r="V273" s="763"/>
      <c r="W273" s="763"/>
      <c r="X273" s="865" t="str">
        <f>VLOOKUP(CTR1_Billing!$E$21,Data!$C$6:$D$302,1,FALSE)</f>
        <v>EZZZZ</v>
      </c>
      <c r="Y273" s="205"/>
      <c r="Z273" s="205">
        <f t="shared" si="39"/>
        <v>0</v>
      </c>
      <c r="AA273" s="206" t="str">
        <f t="shared" si="40"/>
        <v/>
      </c>
      <c r="AB273" s="205">
        <f t="shared" si="41"/>
        <v>0</v>
      </c>
      <c r="AC273" s="208"/>
      <c r="AD273" s="208"/>
      <c r="AE273" s="208"/>
      <c r="AF273" s="208"/>
      <c r="AG273" s="209" t="str">
        <f>IFERROR(INDEX('Local Data Previous Year'!$F:$F, MATCH($D273, 'Local Data Previous Year'!$D:$D, 0)), "")</f>
        <v/>
      </c>
      <c r="AH273" s="209" t="str">
        <f>IFERROR(INDEX('Local Data Previous Year'!$G:$G, MATCH($D273, 'Local Data Previous Year'!$D:$D, 0)), "")</f>
        <v/>
      </c>
      <c r="AI273" s="209" t="str">
        <f>IFERROR(INDEX('Local Data Previous Year'!$H:$H, MATCH($D273, 'Local Data Previous Year'!$D:$D, 0)), "")</f>
        <v/>
      </c>
      <c r="AJ273" s="209" t="str">
        <f t="shared" si="42"/>
        <v/>
      </c>
      <c r="AK273" s="209" t="str">
        <f t="shared" si="43"/>
        <v/>
      </c>
      <c r="AL273" s="209" t="str">
        <f t="shared" si="44"/>
        <v/>
      </c>
      <c r="AM273" s="208" t="str">
        <f>IF($AN273="","",IFERROR(VLOOKUP(CONCATENATE(CTR1_Billing!$E$20,$AN273),'Local Data Previous Year'!$C$3:$D$50000,2,0),CTR1_Billing!$E$21&amp;"NEW"))</f>
        <v/>
      </c>
      <c r="AN273" s="209" t="str" cm="1">
        <f t="array" ref="AN273">IF(ISERROR(INDEX('Local Data Previous Year'!$E$3:$E$50000, SMALL(IF(CTR1_Billing!$E$21='Local Data Previous Year'!$A$3:$A$50000, ROW('Local Data Previous Year'!$A$3:$A$50000)-ROW('Local Data Previous Year'!$A$3)+1), ROW(241:241)))), "", INDEX('Local Data Previous Year'!$E$3:$E$50000, SMALL(IF(CTR1_Billing!$E$21='Local Data Previous Year'!$A$3:$A$50000, ROW('Local Data Previous Year'!$A$3:$A$50000)-ROW('Local Data Previous Year'!$A$3)+1), ROW(241:241))))</f>
        <v/>
      </c>
      <c r="AO273" s="209" t="str">
        <f t="shared" si="45"/>
        <v/>
      </c>
      <c r="AP273" s="208"/>
      <c r="AQ273" s="209" t="str">
        <f t="shared" si="46"/>
        <v/>
      </c>
      <c r="AR273" s="209" t="str">
        <f t="shared" si="47"/>
        <v/>
      </c>
      <c r="AS273" s="202" t="str">
        <f t="shared" si="48"/>
        <v/>
      </c>
      <c r="AT273" s="202" t="str">
        <f t="shared" si="49"/>
        <v/>
      </c>
      <c r="AU273" s="208"/>
      <c r="AV273" s="208"/>
      <c r="AW273" s="208"/>
      <c r="AX273" s="208"/>
      <c r="AY273" s="208"/>
      <c r="AZ273" s="208"/>
      <c r="BA273" s="208"/>
      <c r="BB273" s="208"/>
      <c r="BC273" s="208"/>
      <c r="BD273" s="208"/>
      <c r="BE273" s="208"/>
      <c r="BF273" s="208"/>
      <c r="BG273" s="28"/>
      <c r="BH273" s="28"/>
      <c r="BI273" s="28"/>
      <c r="BJ273" s="28"/>
    </row>
    <row r="274" spans="1:62" s="23" customFormat="1" ht="21" customHeight="1" thickBot="1" x14ac:dyDescent="0.25">
      <c r="A274" s="846" t="str">
        <f>IF($AN274="","",IFERROR(VLOOKUP(CONCATENATE(CTR1_Billing!$E$20,$AN274),'Local Data Previous Year'!$C$3:$D$20000,2,0),CTR1_Billing!$E$21&amp;"NEW"))</f>
        <v/>
      </c>
      <c r="B274" s="846" t="str">
        <f>IF($E274="","",IFERROR(VLOOKUP(CONCATENATE(CTR1_Billing!$E$20,CTR1_Local!$E274),'Local Data Previous Year'!$C$3:$D$20000,2,0),CTR1_Billing!$E$21&amp;"NEW"))</f>
        <v/>
      </c>
      <c r="C274" s="846">
        <v>242</v>
      </c>
      <c r="D274" s="755" t="str" cm="1">
        <f t="array" ref="D274">IF(ISERROR(INDEX('Local Data Previous Year'!$D$3:$D$20000,SMALL(IF(CTR1_Billing!$E$21='Local Data Previous Year'!$A$3:$A$20000,ROW('Local Data Previous Year'!$A$3:$A$20000)-ROW('Local Data Previous Year'!$A$3)+1),ROW(242:242)))),"",INDEX('Local Data Previous Year'!$D$3:$D$20000,SMALL(IF(CTR1_Billing!$E$21='Local Data Previous Year'!$A$3:$A$20000,ROW('Local Data Previous Year'!$A$3:$A$20000)-ROW('Local Data Previous Year'!$A$3)+1),ROW(242:242))))</f>
        <v/>
      </c>
      <c r="E274" s="755" t="str" cm="1">
        <f t="array" ref="E274">IF(ISERROR(INDEX('Local Data Previous Year'!$E$3:$E$20000,SMALL(IF(CTR1_Billing!$E$21='Local Data Previous Year'!$A$3:$A$20000,ROW('Local Data Previous Year'!$A$3:$A$20000)-ROW('Local Data Previous Year'!$A$3)+1),ROW(242:242)))),"",INDEX('Local Data Previous Year'!$E$3:$E$20000,SMALL(IF(CTR1_Billing!$E$21='Local Data Previous Year'!$A$3:$A$20000,ROW('Local Data Previous Year'!$A$3:$A$20000)-ROW('Local Data Previous Year'!$A$3)+1),ROW(242:242))))</f>
        <v/>
      </c>
      <c r="F274" s="756" t="str">
        <f>IF($D274="","",IF(ISNA(MATCH($D274,'Local Data Previous Year'!$D$3:$D$20000,0)),"New",IFERROR(VLOOKUP($B274,'Local Data Previous Year'!$D$3:$I$20000,6,0),"")))</f>
        <v/>
      </c>
      <c r="G274" s="757">
        <f t="shared" si="50"/>
        <v>0</v>
      </c>
      <c r="H274" s="758" t="str">
        <f>IFERROR(INDEX('Local Data Previous Year'!$F:$F, MATCH($D274, 'Local Data Previous Year'!$D:$D, 0)), "")</f>
        <v/>
      </c>
      <c r="I274" s="759">
        <f>IF(B274=CTR1_Billing!$E$21&amp;"NEW",1,0)</f>
        <v>0</v>
      </c>
      <c r="J274" s="760" t="str">
        <f>IFERROR(INDEX('Local Data Previous Year'!$G:$G, MATCH($D274, 'Local Data Previous Year'!$D:$D, 0)), "")</f>
        <v/>
      </c>
      <c r="K274" s="762"/>
      <c r="L274" s="760" t="str">
        <f>IFERROR(INDEX('Local Data Previous Year'!$H:$H, MATCH($D274, 'Local Data Previous Year'!$D:$D, 0)), "")</f>
        <v/>
      </c>
      <c r="M274" s="762"/>
      <c r="N274" s="763"/>
      <c r="O274" s="767"/>
      <c r="P274" s="765"/>
      <c r="Q274" s="767"/>
      <c r="R274" s="766" t="str">
        <f t="shared" si="51"/>
        <v/>
      </c>
      <c r="S274" s="754"/>
      <c r="T274" s="763"/>
      <c r="U274" s="754"/>
      <c r="V274" s="763"/>
      <c r="W274" s="763"/>
      <c r="X274" s="865" t="str">
        <f>VLOOKUP(CTR1_Billing!$E$21,Data!$C$6:$D$302,1,FALSE)</f>
        <v>EZZZZ</v>
      </c>
      <c r="Y274" s="205"/>
      <c r="Z274" s="205">
        <f t="shared" si="39"/>
        <v>0</v>
      </c>
      <c r="AA274" s="206" t="str">
        <f t="shared" si="40"/>
        <v/>
      </c>
      <c r="AB274" s="205">
        <f t="shared" si="41"/>
        <v>0</v>
      </c>
      <c r="AC274" s="208"/>
      <c r="AD274" s="208"/>
      <c r="AE274" s="208"/>
      <c r="AF274" s="208"/>
      <c r="AG274" s="209" t="str">
        <f>IFERROR(INDEX('Local Data Previous Year'!$F:$F, MATCH($D274, 'Local Data Previous Year'!$D:$D, 0)), "")</f>
        <v/>
      </c>
      <c r="AH274" s="209" t="str">
        <f>IFERROR(INDEX('Local Data Previous Year'!$G:$G, MATCH($D274, 'Local Data Previous Year'!$D:$D, 0)), "")</f>
        <v/>
      </c>
      <c r="AI274" s="209" t="str">
        <f>IFERROR(INDEX('Local Data Previous Year'!$H:$H, MATCH($D274, 'Local Data Previous Year'!$D:$D, 0)), "")</f>
        <v/>
      </c>
      <c r="AJ274" s="209" t="str">
        <f t="shared" si="42"/>
        <v/>
      </c>
      <c r="AK274" s="209" t="str">
        <f t="shared" si="43"/>
        <v/>
      </c>
      <c r="AL274" s="209" t="str">
        <f t="shared" si="44"/>
        <v/>
      </c>
      <c r="AM274" s="208" t="str">
        <f>IF($AN274="","",IFERROR(VLOOKUP(CONCATENATE(CTR1_Billing!$E$20,$AN274),'Local Data Previous Year'!$C$3:$D$50000,2,0),CTR1_Billing!$E$21&amp;"NEW"))</f>
        <v/>
      </c>
      <c r="AN274" s="209" t="str" cm="1">
        <f t="array" ref="AN274">IF(ISERROR(INDEX('Local Data Previous Year'!$E$3:$E$50000, SMALL(IF(CTR1_Billing!$E$21='Local Data Previous Year'!$A$3:$A$50000, ROW('Local Data Previous Year'!$A$3:$A$50000)-ROW('Local Data Previous Year'!$A$3)+1), ROW(242:242)))), "", INDEX('Local Data Previous Year'!$E$3:$E$50000, SMALL(IF(CTR1_Billing!$E$21='Local Data Previous Year'!$A$3:$A$50000, ROW('Local Data Previous Year'!$A$3:$A$50000)-ROW('Local Data Previous Year'!$A$3)+1), ROW(242:242))))</f>
        <v/>
      </c>
      <c r="AO274" s="209" t="str">
        <f t="shared" si="45"/>
        <v/>
      </c>
      <c r="AP274" s="208"/>
      <c r="AQ274" s="209" t="str">
        <f t="shared" si="46"/>
        <v/>
      </c>
      <c r="AR274" s="209" t="str">
        <f t="shared" si="47"/>
        <v/>
      </c>
      <c r="AS274" s="202" t="str">
        <f t="shared" si="48"/>
        <v/>
      </c>
      <c r="AT274" s="202" t="str">
        <f t="shared" si="49"/>
        <v/>
      </c>
      <c r="AU274" s="208"/>
      <c r="AV274" s="208"/>
      <c r="AW274" s="208"/>
      <c r="AX274" s="208"/>
      <c r="AY274" s="208"/>
      <c r="AZ274" s="208"/>
      <c r="BA274" s="208"/>
      <c r="BB274" s="208"/>
      <c r="BC274" s="208"/>
      <c r="BD274" s="208"/>
      <c r="BE274" s="208"/>
      <c r="BF274" s="208"/>
      <c r="BG274" s="28"/>
      <c r="BH274" s="28"/>
      <c r="BI274" s="28"/>
      <c r="BJ274" s="28"/>
    </row>
    <row r="275" spans="1:62" s="23" customFormat="1" ht="21" customHeight="1" thickBot="1" x14ac:dyDescent="0.25">
      <c r="A275" s="846" t="str">
        <f>IF($AN275="","",IFERROR(VLOOKUP(CONCATENATE(CTR1_Billing!$E$20,$AN275),'Local Data Previous Year'!$C$3:$D$20000,2,0),CTR1_Billing!$E$21&amp;"NEW"))</f>
        <v/>
      </c>
      <c r="B275" s="846" t="str">
        <f>IF($E275="","",IFERROR(VLOOKUP(CONCATENATE(CTR1_Billing!$E$20,CTR1_Local!$E275),'Local Data Previous Year'!$C$3:$D$20000,2,0),CTR1_Billing!$E$21&amp;"NEW"))</f>
        <v/>
      </c>
      <c r="C275" s="846">
        <v>243</v>
      </c>
      <c r="D275" s="755" t="str" cm="1">
        <f t="array" ref="D275">IF(ISERROR(INDEX('Local Data Previous Year'!$D$3:$D$20000,SMALL(IF(CTR1_Billing!$E$21='Local Data Previous Year'!$A$3:$A$20000,ROW('Local Data Previous Year'!$A$3:$A$20000)-ROW('Local Data Previous Year'!$A$3)+1),ROW(243:243)))),"",INDEX('Local Data Previous Year'!$D$3:$D$20000,SMALL(IF(CTR1_Billing!$E$21='Local Data Previous Year'!$A$3:$A$20000,ROW('Local Data Previous Year'!$A$3:$A$20000)-ROW('Local Data Previous Year'!$A$3)+1),ROW(243:243))))</f>
        <v/>
      </c>
      <c r="E275" s="755" t="str" cm="1">
        <f t="array" ref="E275">IF(ISERROR(INDEX('Local Data Previous Year'!$E$3:$E$20000,SMALL(IF(CTR1_Billing!$E$21='Local Data Previous Year'!$A$3:$A$20000,ROW('Local Data Previous Year'!$A$3:$A$20000)-ROW('Local Data Previous Year'!$A$3)+1),ROW(243:243)))),"",INDEX('Local Data Previous Year'!$E$3:$E$20000,SMALL(IF(CTR1_Billing!$E$21='Local Data Previous Year'!$A$3:$A$20000,ROW('Local Data Previous Year'!$A$3:$A$20000)-ROW('Local Data Previous Year'!$A$3)+1),ROW(243:243))))</f>
        <v/>
      </c>
      <c r="F275" s="756" t="str">
        <f>IF($D275="","",IF(ISNA(MATCH($D275,'Local Data Previous Year'!$D$3:$D$20000,0)),"New",IFERROR(VLOOKUP($B275,'Local Data Previous Year'!$D$3:$I$20000,6,0),"")))</f>
        <v/>
      </c>
      <c r="G275" s="757">
        <f t="shared" si="50"/>
        <v>0</v>
      </c>
      <c r="H275" s="758" t="str">
        <f>IFERROR(INDEX('Local Data Previous Year'!$F:$F, MATCH($D275, 'Local Data Previous Year'!$D:$D, 0)), "")</f>
        <v/>
      </c>
      <c r="I275" s="759">
        <f>IF(B275=CTR1_Billing!$E$21&amp;"NEW",1,0)</f>
        <v>0</v>
      </c>
      <c r="J275" s="760" t="str">
        <f>IFERROR(INDEX('Local Data Previous Year'!$G:$G, MATCH($D275, 'Local Data Previous Year'!$D:$D, 0)), "")</f>
        <v/>
      </c>
      <c r="K275" s="762"/>
      <c r="L275" s="760" t="str">
        <f>IFERROR(INDEX('Local Data Previous Year'!$H:$H, MATCH($D275, 'Local Data Previous Year'!$D:$D, 0)), "")</f>
        <v/>
      </c>
      <c r="M275" s="762"/>
      <c r="N275" s="763"/>
      <c r="O275" s="767"/>
      <c r="P275" s="765"/>
      <c r="Q275" s="767"/>
      <c r="R275" s="766" t="str">
        <f t="shared" si="51"/>
        <v/>
      </c>
      <c r="S275" s="754"/>
      <c r="T275" s="763"/>
      <c r="U275" s="754"/>
      <c r="V275" s="763"/>
      <c r="W275" s="763"/>
      <c r="X275" s="865" t="str">
        <f>VLOOKUP(CTR1_Billing!$E$21,Data!$C$6:$D$302,1,FALSE)</f>
        <v>EZZZZ</v>
      </c>
      <c r="Y275" s="205"/>
      <c r="Z275" s="205">
        <f t="shared" si="39"/>
        <v>0</v>
      </c>
      <c r="AA275" s="206" t="str">
        <f t="shared" si="40"/>
        <v/>
      </c>
      <c r="AB275" s="205">
        <f t="shared" si="41"/>
        <v>0</v>
      </c>
      <c r="AC275" s="208"/>
      <c r="AD275" s="208"/>
      <c r="AE275" s="208"/>
      <c r="AF275" s="208"/>
      <c r="AG275" s="209" t="str">
        <f>IFERROR(INDEX('Local Data Previous Year'!$F:$F, MATCH($D275, 'Local Data Previous Year'!$D:$D, 0)), "")</f>
        <v/>
      </c>
      <c r="AH275" s="209" t="str">
        <f>IFERROR(INDEX('Local Data Previous Year'!$G:$G, MATCH($D275, 'Local Data Previous Year'!$D:$D, 0)), "")</f>
        <v/>
      </c>
      <c r="AI275" s="209" t="str">
        <f>IFERROR(INDEX('Local Data Previous Year'!$H:$H, MATCH($D275, 'Local Data Previous Year'!$D:$D, 0)), "")</f>
        <v/>
      </c>
      <c r="AJ275" s="209" t="str">
        <f t="shared" si="42"/>
        <v/>
      </c>
      <c r="AK275" s="209" t="str">
        <f t="shared" si="43"/>
        <v/>
      </c>
      <c r="AL275" s="209" t="str">
        <f t="shared" si="44"/>
        <v/>
      </c>
      <c r="AM275" s="208" t="str">
        <f>IF($AN275="","",IFERROR(VLOOKUP(CONCATENATE(CTR1_Billing!$E$20,$AN275),'Local Data Previous Year'!$C$3:$D$50000,2,0),CTR1_Billing!$E$21&amp;"NEW"))</f>
        <v/>
      </c>
      <c r="AN275" s="209" t="str" cm="1">
        <f t="array" ref="AN275">IF(ISERROR(INDEX('Local Data Previous Year'!$E$3:$E$50000, SMALL(IF(CTR1_Billing!$E$21='Local Data Previous Year'!$A$3:$A$50000, ROW('Local Data Previous Year'!$A$3:$A$50000)-ROW('Local Data Previous Year'!$A$3)+1), ROW(243:243)))), "", INDEX('Local Data Previous Year'!$E$3:$E$50000, SMALL(IF(CTR1_Billing!$E$21='Local Data Previous Year'!$A$3:$A$50000, ROW('Local Data Previous Year'!$A$3:$A$50000)-ROW('Local Data Previous Year'!$A$3)+1), ROW(243:243))))</f>
        <v/>
      </c>
      <c r="AO275" s="209" t="str">
        <f t="shared" si="45"/>
        <v/>
      </c>
      <c r="AP275" s="208"/>
      <c r="AQ275" s="209" t="str">
        <f t="shared" si="46"/>
        <v/>
      </c>
      <c r="AR275" s="209" t="str">
        <f t="shared" si="47"/>
        <v/>
      </c>
      <c r="AS275" s="202" t="str">
        <f t="shared" si="48"/>
        <v/>
      </c>
      <c r="AT275" s="202" t="str">
        <f t="shared" si="49"/>
        <v/>
      </c>
      <c r="AU275" s="208"/>
      <c r="AV275" s="208"/>
      <c r="AW275" s="208"/>
      <c r="AX275" s="208"/>
      <c r="AY275" s="208"/>
      <c r="AZ275" s="208"/>
      <c r="BA275" s="208"/>
      <c r="BB275" s="208"/>
      <c r="BC275" s="208"/>
      <c r="BD275" s="208"/>
      <c r="BE275" s="208"/>
      <c r="BF275" s="208"/>
      <c r="BG275" s="28"/>
      <c r="BH275" s="28"/>
      <c r="BI275" s="28"/>
      <c r="BJ275" s="28"/>
    </row>
    <row r="276" spans="1:62" s="23" customFormat="1" ht="21" customHeight="1" thickBot="1" x14ac:dyDescent="0.25">
      <c r="A276" s="846" t="str">
        <f>IF($AN276="","",IFERROR(VLOOKUP(CONCATENATE(CTR1_Billing!$E$20,$AN276),'Local Data Previous Year'!$C$3:$D$20000,2,0),CTR1_Billing!$E$21&amp;"NEW"))</f>
        <v/>
      </c>
      <c r="B276" s="846" t="str">
        <f>IF($E276="","",IFERROR(VLOOKUP(CONCATENATE(CTR1_Billing!$E$20,CTR1_Local!$E276),'Local Data Previous Year'!$C$3:$D$20000,2,0),CTR1_Billing!$E$21&amp;"NEW"))</f>
        <v/>
      </c>
      <c r="C276" s="846">
        <v>244</v>
      </c>
      <c r="D276" s="755" t="str" cm="1">
        <f t="array" ref="D276">IF(ISERROR(INDEX('Local Data Previous Year'!$D$3:$D$20000,SMALL(IF(CTR1_Billing!$E$21='Local Data Previous Year'!$A$3:$A$20000,ROW('Local Data Previous Year'!$A$3:$A$20000)-ROW('Local Data Previous Year'!$A$3)+1),ROW(244:244)))),"",INDEX('Local Data Previous Year'!$D$3:$D$20000,SMALL(IF(CTR1_Billing!$E$21='Local Data Previous Year'!$A$3:$A$20000,ROW('Local Data Previous Year'!$A$3:$A$20000)-ROW('Local Data Previous Year'!$A$3)+1),ROW(244:244))))</f>
        <v/>
      </c>
      <c r="E276" s="755" t="str" cm="1">
        <f t="array" ref="E276">IF(ISERROR(INDEX('Local Data Previous Year'!$E$3:$E$20000,SMALL(IF(CTR1_Billing!$E$21='Local Data Previous Year'!$A$3:$A$20000,ROW('Local Data Previous Year'!$A$3:$A$20000)-ROW('Local Data Previous Year'!$A$3)+1),ROW(244:244)))),"",INDEX('Local Data Previous Year'!$E$3:$E$20000,SMALL(IF(CTR1_Billing!$E$21='Local Data Previous Year'!$A$3:$A$20000,ROW('Local Data Previous Year'!$A$3:$A$20000)-ROW('Local Data Previous Year'!$A$3)+1),ROW(244:244))))</f>
        <v/>
      </c>
      <c r="F276" s="756" t="str">
        <f>IF($D276="","",IF(ISNA(MATCH($D276,'Local Data Previous Year'!$D$3:$D$20000,0)),"New",IFERROR(VLOOKUP($B276,'Local Data Previous Year'!$D$3:$I$20000,6,0),"")))</f>
        <v/>
      </c>
      <c r="G276" s="757">
        <f t="shared" si="50"/>
        <v>0</v>
      </c>
      <c r="H276" s="758" t="str">
        <f>IFERROR(INDEX('Local Data Previous Year'!$F:$F, MATCH($D276, 'Local Data Previous Year'!$D:$D, 0)), "")</f>
        <v/>
      </c>
      <c r="I276" s="759">
        <f>IF(B276=CTR1_Billing!$E$21&amp;"NEW",1,0)</f>
        <v>0</v>
      </c>
      <c r="J276" s="760" t="str">
        <f>IFERROR(INDEX('Local Data Previous Year'!$G:$G, MATCH($D276, 'Local Data Previous Year'!$D:$D, 0)), "")</f>
        <v/>
      </c>
      <c r="K276" s="762"/>
      <c r="L276" s="760" t="str">
        <f>IFERROR(INDEX('Local Data Previous Year'!$H:$H, MATCH($D276, 'Local Data Previous Year'!$D:$D, 0)), "")</f>
        <v/>
      </c>
      <c r="M276" s="762"/>
      <c r="N276" s="763"/>
      <c r="O276" s="767"/>
      <c r="P276" s="765"/>
      <c r="Q276" s="767"/>
      <c r="R276" s="766" t="str">
        <f t="shared" si="51"/>
        <v/>
      </c>
      <c r="S276" s="754"/>
      <c r="T276" s="763"/>
      <c r="U276" s="754"/>
      <c r="V276" s="763"/>
      <c r="W276" s="763"/>
      <c r="X276" s="865" t="str">
        <f>VLOOKUP(CTR1_Billing!$E$21,Data!$C$6:$D$302,1,FALSE)</f>
        <v>EZZZZ</v>
      </c>
      <c r="Y276" s="205"/>
      <c r="Z276" s="205">
        <f t="shared" si="39"/>
        <v>0</v>
      </c>
      <c r="AA276" s="206" t="str">
        <f t="shared" si="40"/>
        <v/>
      </c>
      <c r="AB276" s="205">
        <f t="shared" si="41"/>
        <v>0</v>
      </c>
      <c r="AC276" s="208"/>
      <c r="AD276" s="208"/>
      <c r="AE276" s="208"/>
      <c r="AF276" s="208"/>
      <c r="AG276" s="209" t="str">
        <f>IFERROR(INDEX('Local Data Previous Year'!$F:$F, MATCH($D276, 'Local Data Previous Year'!$D:$D, 0)), "")</f>
        <v/>
      </c>
      <c r="AH276" s="209" t="str">
        <f>IFERROR(INDEX('Local Data Previous Year'!$G:$G, MATCH($D276, 'Local Data Previous Year'!$D:$D, 0)), "")</f>
        <v/>
      </c>
      <c r="AI276" s="209" t="str">
        <f>IFERROR(INDEX('Local Data Previous Year'!$H:$H, MATCH($D276, 'Local Data Previous Year'!$D:$D, 0)), "")</f>
        <v/>
      </c>
      <c r="AJ276" s="209" t="str">
        <f t="shared" si="42"/>
        <v/>
      </c>
      <c r="AK276" s="209" t="str">
        <f t="shared" si="43"/>
        <v/>
      </c>
      <c r="AL276" s="209" t="str">
        <f t="shared" si="44"/>
        <v/>
      </c>
      <c r="AM276" s="208" t="str">
        <f>IF($AN276="","",IFERROR(VLOOKUP(CONCATENATE(CTR1_Billing!$E$20,$AN276),'Local Data Previous Year'!$C$3:$D$50000,2,0),CTR1_Billing!$E$21&amp;"NEW"))</f>
        <v/>
      </c>
      <c r="AN276" s="209" t="str" cm="1">
        <f t="array" ref="AN276">IF(ISERROR(INDEX('Local Data Previous Year'!$E$3:$E$50000, SMALL(IF(CTR1_Billing!$E$21='Local Data Previous Year'!$A$3:$A$50000, ROW('Local Data Previous Year'!$A$3:$A$50000)-ROW('Local Data Previous Year'!$A$3)+1), ROW(244:244)))), "", INDEX('Local Data Previous Year'!$E$3:$E$50000, SMALL(IF(CTR1_Billing!$E$21='Local Data Previous Year'!$A$3:$A$50000, ROW('Local Data Previous Year'!$A$3:$A$50000)-ROW('Local Data Previous Year'!$A$3)+1), ROW(244:244))))</f>
        <v/>
      </c>
      <c r="AO276" s="209" t="str">
        <f t="shared" si="45"/>
        <v/>
      </c>
      <c r="AP276" s="208"/>
      <c r="AQ276" s="209" t="str">
        <f t="shared" si="46"/>
        <v/>
      </c>
      <c r="AR276" s="209" t="str">
        <f t="shared" si="47"/>
        <v/>
      </c>
      <c r="AS276" s="202" t="str">
        <f t="shared" si="48"/>
        <v/>
      </c>
      <c r="AT276" s="202" t="str">
        <f t="shared" si="49"/>
        <v/>
      </c>
      <c r="AU276" s="208"/>
      <c r="AV276" s="208"/>
      <c r="AW276" s="208"/>
      <c r="AX276" s="208"/>
      <c r="AY276" s="208"/>
      <c r="AZ276" s="208"/>
      <c r="BA276" s="208"/>
      <c r="BB276" s="208"/>
      <c r="BC276" s="208"/>
      <c r="BD276" s="208"/>
      <c r="BE276" s="208"/>
      <c r="BF276" s="208"/>
      <c r="BG276" s="28"/>
      <c r="BH276" s="28"/>
      <c r="BI276" s="28"/>
      <c r="BJ276" s="28"/>
    </row>
    <row r="277" spans="1:62" s="23" customFormat="1" ht="21" customHeight="1" thickBot="1" x14ac:dyDescent="0.25">
      <c r="A277" s="846" t="str">
        <f>IF($AN277="","",IFERROR(VLOOKUP(CONCATENATE(CTR1_Billing!$E$20,$AN277),'Local Data Previous Year'!$C$3:$D$20000,2,0),CTR1_Billing!$E$21&amp;"NEW"))</f>
        <v/>
      </c>
      <c r="B277" s="846" t="str">
        <f>IF($E277="","",IFERROR(VLOOKUP(CONCATENATE(CTR1_Billing!$E$20,CTR1_Local!$E277),'Local Data Previous Year'!$C$3:$D$20000,2,0),CTR1_Billing!$E$21&amp;"NEW"))</f>
        <v/>
      </c>
      <c r="C277" s="846">
        <v>245</v>
      </c>
      <c r="D277" s="755" t="str" cm="1">
        <f t="array" ref="D277">IF(ISERROR(INDEX('Local Data Previous Year'!$D$3:$D$20000,SMALL(IF(CTR1_Billing!$E$21='Local Data Previous Year'!$A$3:$A$20000,ROW('Local Data Previous Year'!$A$3:$A$20000)-ROW('Local Data Previous Year'!$A$3)+1),ROW(245:245)))),"",INDEX('Local Data Previous Year'!$D$3:$D$20000,SMALL(IF(CTR1_Billing!$E$21='Local Data Previous Year'!$A$3:$A$20000,ROW('Local Data Previous Year'!$A$3:$A$20000)-ROW('Local Data Previous Year'!$A$3)+1),ROW(245:245))))</f>
        <v/>
      </c>
      <c r="E277" s="755" t="str" cm="1">
        <f t="array" ref="E277">IF(ISERROR(INDEX('Local Data Previous Year'!$E$3:$E$20000,SMALL(IF(CTR1_Billing!$E$21='Local Data Previous Year'!$A$3:$A$20000,ROW('Local Data Previous Year'!$A$3:$A$20000)-ROW('Local Data Previous Year'!$A$3)+1),ROW(245:245)))),"",INDEX('Local Data Previous Year'!$E$3:$E$20000,SMALL(IF(CTR1_Billing!$E$21='Local Data Previous Year'!$A$3:$A$20000,ROW('Local Data Previous Year'!$A$3:$A$20000)-ROW('Local Data Previous Year'!$A$3)+1),ROW(245:245))))</f>
        <v/>
      </c>
      <c r="F277" s="756" t="str">
        <f>IF($D277="","",IF(ISNA(MATCH($D277,'Local Data Previous Year'!$D$3:$D$20000,0)),"New",IFERROR(VLOOKUP($B277,'Local Data Previous Year'!$D$3:$I$20000,6,0),"")))</f>
        <v/>
      </c>
      <c r="G277" s="757">
        <f t="shared" si="50"/>
        <v>0</v>
      </c>
      <c r="H277" s="758" t="str">
        <f>IFERROR(INDEX('Local Data Previous Year'!$F:$F, MATCH($D277, 'Local Data Previous Year'!$D:$D, 0)), "")</f>
        <v/>
      </c>
      <c r="I277" s="759">
        <f>IF(B277=CTR1_Billing!$E$21&amp;"NEW",1,0)</f>
        <v>0</v>
      </c>
      <c r="J277" s="760" t="str">
        <f>IFERROR(INDEX('Local Data Previous Year'!$G:$G, MATCH($D277, 'Local Data Previous Year'!$D:$D, 0)), "")</f>
        <v/>
      </c>
      <c r="K277" s="762"/>
      <c r="L277" s="760" t="str">
        <f>IFERROR(INDEX('Local Data Previous Year'!$H:$H, MATCH($D277, 'Local Data Previous Year'!$D:$D, 0)), "")</f>
        <v/>
      </c>
      <c r="M277" s="762"/>
      <c r="N277" s="763"/>
      <c r="O277" s="767"/>
      <c r="P277" s="765"/>
      <c r="Q277" s="767"/>
      <c r="R277" s="766" t="str">
        <f t="shared" si="51"/>
        <v/>
      </c>
      <c r="S277" s="754"/>
      <c r="T277" s="763"/>
      <c r="U277" s="754"/>
      <c r="V277" s="763"/>
      <c r="W277" s="763"/>
      <c r="X277" s="865" t="str">
        <f>VLOOKUP(CTR1_Billing!$E$21,Data!$C$6:$D$302,1,FALSE)</f>
        <v>EZZZZ</v>
      </c>
      <c r="Y277" s="205"/>
      <c r="Z277" s="205">
        <f t="shared" si="39"/>
        <v>0</v>
      </c>
      <c r="AA277" s="206" t="str">
        <f t="shared" si="40"/>
        <v/>
      </c>
      <c r="AB277" s="205">
        <f t="shared" si="41"/>
        <v>0</v>
      </c>
      <c r="AC277" s="208"/>
      <c r="AD277" s="208"/>
      <c r="AE277" s="208"/>
      <c r="AF277" s="208"/>
      <c r="AG277" s="209" t="str">
        <f>IFERROR(INDEX('Local Data Previous Year'!$F:$F, MATCH($D277, 'Local Data Previous Year'!$D:$D, 0)), "")</f>
        <v/>
      </c>
      <c r="AH277" s="209" t="str">
        <f>IFERROR(INDEX('Local Data Previous Year'!$G:$G, MATCH($D277, 'Local Data Previous Year'!$D:$D, 0)), "")</f>
        <v/>
      </c>
      <c r="AI277" s="209" t="str">
        <f>IFERROR(INDEX('Local Data Previous Year'!$H:$H, MATCH($D277, 'Local Data Previous Year'!$D:$D, 0)), "")</f>
        <v/>
      </c>
      <c r="AJ277" s="209" t="str">
        <f t="shared" si="42"/>
        <v/>
      </c>
      <c r="AK277" s="209" t="str">
        <f t="shared" si="43"/>
        <v/>
      </c>
      <c r="AL277" s="209" t="str">
        <f t="shared" si="44"/>
        <v/>
      </c>
      <c r="AM277" s="208" t="str">
        <f>IF($AN277="","",IFERROR(VLOOKUP(CONCATENATE(CTR1_Billing!$E$20,$AN277),'Local Data Previous Year'!$C$3:$D$50000,2,0),CTR1_Billing!$E$21&amp;"NEW"))</f>
        <v/>
      </c>
      <c r="AN277" s="209" t="str" cm="1">
        <f t="array" ref="AN277">IF(ISERROR(INDEX('Local Data Previous Year'!$E$3:$E$50000, SMALL(IF(CTR1_Billing!$E$21='Local Data Previous Year'!$A$3:$A$50000, ROW('Local Data Previous Year'!$A$3:$A$50000)-ROW('Local Data Previous Year'!$A$3)+1), ROW(245:245)))), "", INDEX('Local Data Previous Year'!$E$3:$E$50000, SMALL(IF(CTR1_Billing!$E$21='Local Data Previous Year'!$A$3:$A$50000, ROW('Local Data Previous Year'!$A$3:$A$50000)-ROW('Local Data Previous Year'!$A$3)+1), ROW(245:245))))</f>
        <v/>
      </c>
      <c r="AO277" s="209" t="str">
        <f t="shared" si="45"/>
        <v/>
      </c>
      <c r="AP277" s="208"/>
      <c r="AQ277" s="209" t="str">
        <f t="shared" si="46"/>
        <v/>
      </c>
      <c r="AR277" s="209" t="str">
        <f t="shared" si="47"/>
        <v/>
      </c>
      <c r="AS277" s="202" t="str">
        <f t="shared" si="48"/>
        <v/>
      </c>
      <c r="AT277" s="202" t="str">
        <f t="shared" si="49"/>
        <v/>
      </c>
      <c r="AU277" s="208"/>
      <c r="AV277" s="208"/>
      <c r="AW277" s="208"/>
      <c r="AX277" s="208"/>
      <c r="AY277" s="208"/>
      <c r="AZ277" s="208"/>
      <c r="BA277" s="208"/>
      <c r="BB277" s="208"/>
      <c r="BC277" s="208"/>
      <c r="BD277" s="208"/>
      <c r="BE277" s="208"/>
      <c r="BF277" s="208"/>
      <c r="BG277" s="28"/>
      <c r="BH277" s="28"/>
      <c r="BI277" s="28"/>
      <c r="BJ277" s="28"/>
    </row>
    <row r="278" spans="1:62" s="23" customFormat="1" ht="21" customHeight="1" thickBot="1" x14ac:dyDescent="0.25">
      <c r="A278" s="846" t="str">
        <f>IF($AN278="","",IFERROR(VLOOKUP(CONCATENATE(CTR1_Billing!$E$20,$AN278),'Local Data Previous Year'!$C$3:$D$20000,2,0),CTR1_Billing!$E$21&amp;"NEW"))</f>
        <v/>
      </c>
      <c r="B278" s="846" t="str">
        <f>IF($E278="","",IFERROR(VLOOKUP(CONCATENATE(CTR1_Billing!$E$20,CTR1_Local!$E278),'Local Data Previous Year'!$C$3:$D$20000,2,0),CTR1_Billing!$E$21&amp;"NEW"))</f>
        <v/>
      </c>
      <c r="C278" s="846">
        <v>246</v>
      </c>
      <c r="D278" s="755" t="str" cm="1">
        <f t="array" ref="D278">IF(ISERROR(INDEX('Local Data Previous Year'!$D$3:$D$20000,SMALL(IF(CTR1_Billing!$E$21='Local Data Previous Year'!$A$3:$A$20000,ROW('Local Data Previous Year'!$A$3:$A$20000)-ROW('Local Data Previous Year'!$A$3)+1),ROW(246:246)))),"",INDEX('Local Data Previous Year'!$D$3:$D$20000,SMALL(IF(CTR1_Billing!$E$21='Local Data Previous Year'!$A$3:$A$20000,ROW('Local Data Previous Year'!$A$3:$A$20000)-ROW('Local Data Previous Year'!$A$3)+1),ROW(246:246))))</f>
        <v/>
      </c>
      <c r="E278" s="755" t="str" cm="1">
        <f t="array" ref="E278">IF(ISERROR(INDEX('Local Data Previous Year'!$E$3:$E$20000,SMALL(IF(CTR1_Billing!$E$21='Local Data Previous Year'!$A$3:$A$20000,ROW('Local Data Previous Year'!$A$3:$A$20000)-ROW('Local Data Previous Year'!$A$3)+1),ROW(246:246)))),"",INDEX('Local Data Previous Year'!$E$3:$E$20000,SMALL(IF(CTR1_Billing!$E$21='Local Data Previous Year'!$A$3:$A$20000,ROW('Local Data Previous Year'!$A$3:$A$20000)-ROW('Local Data Previous Year'!$A$3)+1),ROW(246:246))))</f>
        <v/>
      </c>
      <c r="F278" s="756" t="str">
        <f>IF($D278="","",IF(ISNA(MATCH($D278,'Local Data Previous Year'!$D$3:$D$20000,0)),"New",IFERROR(VLOOKUP($B278,'Local Data Previous Year'!$D$3:$I$20000,6,0),"")))</f>
        <v/>
      </c>
      <c r="G278" s="757">
        <f t="shared" si="50"/>
        <v>0</v>
      </c>
      <c r="H278" s="758" t="str">
        <f>IFERROR(INDEX('Local Data Previous Year'!$F:$F, MATCH($D278, 'Local Data Previous Year'!$D:$D, 0)), "")</f>
        <v/>
      </c>
      <c r="I278" s="759">
        <f>IF(B278=CTR1_Billing!$E$21&amp;"NEW",1,0)</f>
        <v>0</v>
      </c>
      <c r="J278" s="760" t="str">
        <f>IFERROR(INDEX('Local Data Previous Year'!$G:$G, MATCH($D278, 'Local Data Previous Year'!$D:$D, 0)), "")</f>
        <v/>
      </c>
      <c r="K278" s="762"/>
      <c r="L278" s="760" t="str">
        <f>IFERROR(INDEX('Local Data Previous Year'!$H:$H, MATCH($D278, 'Local Data Previous Year'!$D:$D, 0)), "")</f>
        <v/>
      </c>
      <c r="M278" s="762"/>
      <c r="N278" s="763"/>
      <c r="O278" s="767"/>
      <c r="P278" s="765"/>
      <c r="Q278" s="767"/>
      <c r="R278" s="766" t="str">
        <f t="shared" si="51"/>
        <v/>
      </c>
      <c r="S278" s="754"/>
      <c r="T278" s="763"/>
      <c r="U278" s="754"/>
      <c r="V278" s="763"/>
      <c r="W278" s="763"/>
      <c r="X278" s="865" t="str">
        <f>VLOOKUP(CTR1_Billing!$E$21,Data!$C$6:$D$302,1,FALSE)</f>
        <v>EZZZZ</v>
      </c>
      <c r="Y278" s="205"/>
      <c r="Z278" s="205">
        <f t="shared" si="39"/>
        <v>0</v>
      </c>
      <c r="AA278" s="206" t="str">
        <f t="shared" si="40"/>
        <v/>
      </c>
      <c r="AB278" s="205">
        <f t="shared" si="41"/>
        <v>0</v>
      </c>
      <c r="AC278" s="208"/>
      <c r="AD278" s="208"/>
      <c r="AE278" s="208"/>
      <c r="AF278" s="208"/>
      <c r="AG278" s="209" t="str">
        <f>IFERROR(INDEX('Local Data Previous Year'!$F:$F, MATCH($D278, 'Local Data Previous Year'!$D:$D, 0)), "")</f>
        <v/>
      </c>
      <c r="AH278" s="209" t="str">
        <f>IFERROR(INDEX('Local Data Previous Year'!$G:$G, MATCH($D278, 'Local Data Previous Year'!$D:$D, 0)), "")</f>
        <v/>
      </c>
      <c r="AI278" s="209" t="str">
        <f>IFERROR(INDEX('Local Data Previous Year'!$H:$H, MATCH($D278, 'Local Data Previous Year'!$D:$D, 0)), "")</f>
        <v/>
      </c>
      <c r="AJ278" s="209" t="str">
        <f t="shared" si="42"/>
        <v/>
      </c>
      <c r="AK278" s="209" t="str">
        <f t="shared" si="43"/>
        <v/>
      </c>
      <c r="AL278" s="209" t="str">
        <f t="shared" si="44"/>
        <v/>
      </c>
      <c r="AM278" s="208" t="str">
        <f>IF($AN278="","",IFERROR(VLOOKUP(CONCATENATE(CTR1_Billing!$E$20,$AN278),'Local Data Previous Year'!$C$3:$D$50000,2,0),CTR1_Billing!$E$21&amp;"NEW"))</f>
        <v/>
      </c>
      <c r="AN278" s="209" t="str" cm="1">
        <f t="array" ref="AN278">IF(ISERROR(INDEX('Local Data Previous Year'!$E$3:$E$50000, SMALL(IF(CTR1_Billing!$E$21='Local Data Previous Year'!$A$3:$A$50000, ROW('Local Data Previous Year'!$A$3:$A$50000)-ROW('Local Data Previous Year'!$A$3)+1), ROW(246:246)))), "", INDEX('Local Data Previous Year'!$E$3:$E$50000, SMALL(IF(CTR1_Billing!$E$21='Local Data Previous Year'!$A$3:$A$50000, ROW('Local Data Previous Year'!$A$3:$A$50000)-ROW('Local Data Previous Year'!$A$3)+1), ROW(246:246))))</f>
        <v/>
      </c>
      <c r="AO278" s="209" t="str">
        <f t="shared" si="45"/>
        <v/>
      </c>
      <c r="AP278" s="208"/>
      <c r="AQ278" s="209" t="str">
        <f t="shared" si="46"/>
        <v/>
      </c>
      <c r="AR278" s="209" t="str">
        <f t="shared" si="47"/>
        <v/>
      </c>
      <c r="AS278" s="202" t="str">
        <f t="shared" si="48"/>
        <v/>
      </c>
      <c r="AT278" s="202" t="str">
        <f t="shared" si="49"/>
        <v/>
      </c>
      <c r="AU278" s="208"/>
      <c r="AV278" s="208"/>
      <c r="AW278" s="208"/>
      <c r="AX278" s="208"/>
      <c r="AY278" s="208"/>
      <c r="AZ278" s="208"/>
      <c r="BA278" s="208"/>
      <c r="BB278" s="208"/>
      <c r="BC278" s="208"/>
      <c r="BD278" s="208"/>
      <c r="BE278" s="208"/>
      <c r="BF278" s="208"/>
      <c r="BG278" s="28"/>
      <c r="BH278" s="28"/>
      <c r="BI278" s="28"/>
      <c r="BJ278" s="28"/>
    </row>
    <row r="279" spans="1:62" s="23" customFormat="1" ht="21" customHeight="1" thickBot="1" x14ac:dyDescent="0.25">
      <c r="A279" s="846" t="str">
        <f>IF($AN279="","",IFERROR(VLOOKUP(CONCATENATE(CTR1_Billing!$E$20,$AN279),'Local Data Previous Year'!$C$3:$D$20000,2,0),CTR1_Billing!$E$21&amp;"NEW"))</f>
        <v/>
      </c>
      <c r="B279" s="846" t="str">
        <f>IF($E279="","",IFERROR(VLOOKUP(CONCATENATE(CTR1_Billing!$E$20,CTR1_Local!$E279),'Local Data Previous Year'!$C$3:$D$20000,2,0),CTR1_Billing!$E$21&amp;"NEW"))</f>
        <v/>
      </c>
      <c r="C279" s="846">
        <v>247</v>
      </c>
      <c r="D279" s="755" t="str" cm="1">
        <f t="array" ref="D279">IF(ISERROR(INDEX('Local Data Previous Year'!$D$3:$D$20000,SMALL(IF(CTR1_Billing!$E$21='Local Data Previous Year'!$A$3:$A$20000,ROW('Local Data Previous Year'!$A$3:$A$20000)-ROW('Local Data Previous Year'!$A$3)+1),ROW(247:247)))),"",INDEX('Local Data Previous Year'!$D$3:$D$20000,SMALL(IF(CTR1_Billing!$E$21='Local Data Previous Year'!$A$3:$A$20000,ROW('Local Data Previous Year'!$A$3:$A$20000)-ROW('Local Data Previous Year'!$A$3)+1),ROW(247:247))))</f>
        <v/>
      </c>
      <c r="E279" s="755" t="str" cm="1">
        <f t="array" ref="E279">IF(ISERROR(INDEX('Local Data Previous Year'!$E$3:$E$20000,SMALL(IF(CTR1_Billing!$E$21='Local Data Previous Year'!$A$3:$A$20000,ROW('Local Data Previous Year'!$A$3:$A$20000)-ROW('Local Data Previous Year'!$A$3)+1),ROW(247:247)))),"",INDEX('Local Data Previous Year'!$E$3:$E$20000,SMALL(IF(CTR1_Billing!$E$21='Local Data Previous Year'!$A$3:$A$20000,ROW('Local Data Previous Year'!$A$3:$A$20000)-ROW('Local Data Previous Year'!$A$3)+1),ROW(247:247))))</f>
        <v/>
      </c>
      <c r="F279" s="756" t="str">
        <f>IF($D279="","",IF(ISNA(MATCH($D279,'Local Data Previous Year'!$D$3:$D$20000,0)),"New",IFERROR(VLOOKUP($B279,'Local Data Previous Year'!$D$3:$I$20000,6,0),"")))</f>
        <v/>
      </c>
      <c r="G279" s="757">
        <f t="shared" si="50"/>
        <v>0</v>
      </c>
      <c r="H279" s="758" t="str">
        <f>IFERROR(INDEX('Local Data Previous Year'!$F:$F, MATCH($D279, 'Local Data Previous Year'!$D:$D, 0)), "")</f>
        <v/>
      </c>
      <c r="I279" s="759">
        <f>IF(B279=CTR1_Billing!$E$21&amp;"NEW",1,0)</f>
        <v>0</v>
      </c>
      <c r="J279" s="760" t="str">
        <f>IFERROR(INDEX('Local Data Previous Year'!$G:$G, MATCH($D279, 'Local Data Previous Year'!$D:$D, 0)), "")</f>
        <v/>
      </c>
      <c r="K279" s="762"/>
      <c r="L279" s="760" t="str">
        <f>IFERROR(INDEX('Local Data Previous Year'!$H:$H, MATCH($D279, 'Local Data Previous Year'!$D:$D, 0)), "")</f>
        <v/>
      </c>
      <c r="M279" s="762"/>
      <c r="N279" s="763"/>
      <c r="O279" s="767"/>
      <c r="P279" s="765"/>
      <c r="Q279" s="767"/>
      <c r="R279" s="766" t="str">
        <f t="shared" si="51"/>
        <v/>
      </c>
      <c r="S279" s="754"/>
      <c r="T279" s="763"/>
      <c r="U279" s="754"/>
      <c r="V279" s="763"/>
      <c r="W279" s="763"/>
      <c r="X279" s="865" t="str">
        <f>VLOOKUP(CTR1_Billing!$E$21,Data!$C$6:$D$302,1,FALSE)</f>
        <v>EZZZZ</v>
      </c>
      <c r="Y279" s="205"/>
      <c r="Z279" s="205">
        <f t="shared" si="39"/>
        <v>0</v>
      </c>
      <c r="AA279" s="206" t="str">
        <f t="shared" si="40"/>
        <v/>
      </c>
      <c r="AB279" s="205">
        <f t="shared" si="41"/>
        <v>0</v>
      </c>
      <c r="AC279" s="208"/>
      <c r="AD279" s="208"/>
      <c r="AE279" s="208"/>
      <c r="AF279" s="208"/>
      <c r="AG279" s="209" t="str">
        <f>IFERROR(INDEX('Local Data Previous Year'!$F:$F, MATCH($D279, 'Local Data Previous Year'!$D:$D, 0)), "")</f>
        <v/>
      </c>
      <c r="AH279" s="209" t="str">
        <f>IFERROR(INDEX('Local Data Previous Year'!$G:$G, MATCH($D279, 'Local Data Previous Year'!$D:$D, 0)), "")</f>
        <v/>
      </c>
      <c r="AI279" s="209" t="str">
        <f>IFERROR(INDEX('Local Data Previous Year'!$H:$H, MATCH($D279, 'Local Data Previous Year'!$D:$D, 0)), "")</f>
        <v/>
      </c>
      <c r="AJ279" s="209" t="str">
        <f t="shared" si="42"/>
        <v/>
      </c>
      <c r="AK279" s="209" t="str">
        <f t="shared" si="43"/>
        <v/>
      </c>
      <c r="AL279" s="209" t="str">
        <f t="shared" si="44"/>
        <v/>
      </c>
      <c r="AM279" s="208" t="str">
        <f>IF($AN279="","",IFERROR(VLOOKUP(CONCATENATE(CTR1_Billing!$E$20,$AN279),'Local Data Previous Year'!$C$3:$D$50000,2,0),CTR1_Billing!$E$21&amp;"NEW"))</f>
        <v/>
      </c>
      <c r="AN279" s="209" t="str" cm="1">
        <f t="array" ref="AN279">IF(ISERROR(INDEX('Local Data Previous Year'!$E$3:$E$50000, SMALL(IF(CTR1_Billing!$E$21='Local Data Previous Year'!$A$3:$A$50000, ROW('Local Data Previous Year'!$A$3:$A$50000)-ROW('Local Data Previous Year'!$A$3)+1), ROW(247:247)))), "", INDEX('Local Data Previous Year'!$E$3:$E$50000, SMALL(IF(CTR1_Billing!$E$21='Local Data Previous Year'!$A$3:$A$50000, ROW('Local Data Previous Year'!$A$3:$A$50000)-ROW('Local Data Previous Year'!$A$3)+1), ROW(247:247))))</f>
        <v/>
      </c>
      <c r="AO279" s="209" t="str">
        <f t="shared" si="45"/>
        <v/>
      </c>
      <c r="AP279" s="208"/>
      <c r="AQ279" s="209" t="str">
        <f t="shared" si="46"/>
        <v/>
      </c>
      <c r="AR279" s="209" t="str">
        <f t="shared" si="47"/>
        <v/>
      </c>
      <c r="AS279" s="202" t="str">
        <f t="shared" si="48"/>
        <v/>
      </c>
      <c r="AT279" s="202" t="str">
        <f t="shared" si="49"/>
        <v/>
      </c>
      <c r="AU279" s="208"/>
      <c r="AV279" s="208"/>
      <c r="AW279" s="208"/>
      <c r="AX279" s="208"/>
      <c r="AY279" s="208"/>
      <c r="AZ279" s="208"/>
      <c r="BA279" s="208"/>
      <c r="BB279" s="208"/>
      <c r="BC279" s="208"/>
      <c r="BD279" s="208"/>
      <c r="BE279" s="208"/>
      <c r="BF279" s="208"/>
      <c r="BG279" s="28"/>
      <c r="BH279" s="28"/>
      <c r="BI279" s="28"/>
      <c r="BJ279" s="28"/>
    </row>
    <row r="280" spans="1:62" s="23" customFormat="1" ht="21" customHeight="1" thickBot="1" x14ac:dyDescent="0.25">
      <c r="A280" s="846" t="str">
        <f>IF($AN280="","",IFERROR(VLOOKUP(CONCATENATE(CTR1_Billing!$E$20,$AN280),'Local Data Previous Year'!$C$3:$D$20000,2,0),CTR1_Billing!$E$21&amp;"NEW"))</f>
        <v/>
      </c>
      <c r="B280" s="846" t="str">
        <f>IF($E280="","",IFERROR(VLOOKUP(CONCATENATE(CTR1_Billing!$E$20,CTR1_Local!$E280),'Local Data Previous Year'!$C$3:$D$20000,2,0),CTR1_Billing!$E$21&amp;"NEW"))</f>
        <v/>
      </c>
      <c r="C280" s="846">
        <v>248</v>
      </c>
      <c r="D280" s="755" t="str" cm="1">
        <f t="array" ref="D280">IF(ISERROR(INDEX('Local Data Previous Year'!$D$3:$D$20000,SMALL(IF(CTR1_Billing!$E$21='Local Data Previous Year'!$A$3:$A$20000,ROW('Local Data Previous Year'!$A$3:$A$20000)-ROW('Local Data Previous Year'!$A$3)+1),ROW(248:248)))),"",INDEX('Local Data Previous Year'!$D$3:$D$20000,SMALL(IF(CTR1_Billing!$E$21='Local Data Previous Year'!$A$3:$A$20000,ROW('Local Data Previous Year'!$A$3:$A$20000)-ROW('Local Data Previous Year'!$A$3)+1),ROW(248:248))))</f>
        <v/>
      </c>
      <c r="E280" s="755" t="str" cm="1">
        <f t="array" ref="E280">IF(ISERROR(INDEX('Local Data Previous Year'!$E$3:$E$20000,SMALL(IF(CTR1_Billing!$E$21='Local Data Previous Year'!$A$3:$A$20000,ROW('Local Data Previous Year'!$A$3:$A$20000)-ROW('Local Data Previous Year'!$A$3)+1),ROW(248:248)))),"",INDEX('Local Data Previous Year'!$E$3:$E$20000,SMALL(IF(CTR1_Billing!$E$21='Local Data Previous Year'!$A$3:$A$20000,ROW('Local Data Previous Year'!$A$3:$A$20000)-ROW('Local Data Previous Year'!$A$3)+1),ROW(248:248))))</f>
        <v/>
      </c>
      <c r="F280" s="756" t="str">
        <f>IF($D280="","",IF(ISNA(MATCH($D280,'Local Data Previous Year'!$D$3:$D$20000,0)),"New",IFERROR(VLOOKUP($B280,'Local Data Previous Year'!$D$3:$I$20000,6,0),"")))</f>
        <v/>
      </c>
      <c r="G280" s="757">
        <f t="shared" si="50"/>
        <v>0</v>
      </c>
      <c r="H280" s="758" t="str">
        <f>IFERROR(INDEX('Local Data Previous Year'!$F:$F, MATCH($D280, 'Local Data Previous Year'!$D:$D, 0)), "")</f>
        <v/>
      </c>
      <c r="I280" s="759">
        <f>IF(B280=CTR1_Billing!$E$21&amp;"NEW",1,0)</f>
        <v>0</v>
      </c>
      <c r="J280" s="760" t="str">
        <f>IFERROR(INDEX('Local Data Previous Year'!$G:$G, MATCH($D280, 'Local Data Previous Year'!$D:$D, 0)), "")</f>
        <v/>
      </c>
      <c r="K280" s="762"/>
      <c r="L280" s="760" t="str">
        <f>IFERROR(INDEX('Local Data Previous Year'!$H:$H, MATCH($D280, 'Local Data Previous Year'!$D:$D, 0)), "")</f>
        <v/>
      </c>
      <c r="M280" s="762"/>
      <c r="N280" s="763"/>
      <c r="O280" s="767"/>
      <c r="P280" s="765"/>
      <c r="Q280" s="767"/>
      <c r="R280" s="766" t="str">
        <f t="shared" si="51"/>
        <v/>
      </c>
      <c r="S280" s="754"/>
      <c r="T280" s="763"/>
      <c r="U280" s="754"/>
      <c r="V280" s="763"/>
      <c r="W280" s="763"/>
      <c r="X280" s="865" t="str">
        <f>VLOOKUP(CTR1_Billing!$E$21,Data!$C$6:$D$302,1,FALSE)</f>
        <v>EZZZZ</v>
      </c>
      <c r="Y280" s="205"/>
      <c r="Z280" s="205">
        <f t="shared" si="39"/>
        <v>0</v>
      </c>
      <c r="AA280" s="206" t="str">
        <f t="shared" si="40"/>
        <v/>
      </c>
      <c r="AB280" s="205">
        <f t="shared" si="41"/>
        <v>0</v>
      </c>
      <c r="AC280" s="208"/>
      <c r="AD280" s="208"/>
      <c r="AE280" s="208"/>
      <c r="AF280" s="208"/>
      <c r="AG280" s="209" t="str">
        <f>IFERROR(INDEX('Local Data Previous Year'!$F:$F, MATCH($D280, 'Local Data Previous Year'!$D:$D, 0)), "")</f>
        <v/>
      </c>
      <c r="AH280" s="209" t="str">
        <f>IFERROR(INDEX('Local Data Previous Year'!$G:$G, MATCH($D280, 'Local Data Previous Year'!$D:$D, 0)), "")</f>
        <v/>
      </c>
      <c r="AI280" s="209" t="str">
        <f>IFERROR(INDEX('Local Data Previous Year'!$H:$H, MATCH($D280, 'Local Data Previous Year'!$D:$D, 0)), "")</f>
        <v/>
      </c>
      <c r="AJ280" s="209" t="str">
        <f t="shared" si="42"/>
        <v/>
      </c>
      <c r="AK280" s="209" t="str">
        <f t="shared" si="43"/>
        <v/>
      </c>
      <c r="AL280" s="209" t="str">
        <f t="shared" si="44"/>
        <v/>
      </c>
      <c r="AM280" s="208" t="str">
        <f>IF($AN280="","",IFERROR(VLOOKUP(CONCATENATE(CTR1_Billing!$E$20,$AN280),'Local Data Previous Year'!$C$3:$D$50000,2,0),CTR1_Billing!$E$21&amp;"NEW"))</f>
        <v/>
      </c>
      <c r="AN280" s="209" t="str" cm="1">
        <f t="array" ref="AN280">IF(ISERROR(INDEX('Local Data Previous Year'!$E$3:$E$50000, SMALL(IF(CTR1_Billing!$E$21='Local Data Previous Year'!$A$3:$A$50000, ROW('Local Data Previous Year'!$A$3:$A$50000)-ROW('Local Data Previous Year'!$A$3)+1), ROW(248:248)))), "", INDEX('Local Data Previous Year'!$E$3:$E$50000, SMALL(IF(CTR1_Billing!$E$21='Local Data Previous Year'!$A$3:$A$50000, ROW('Local Data Previous Year'!$A$3:$A$50000)-ROW('Local Data Previous Year'!$A$3)+1), ROW(248:248))))</f>
        <v/>
      </c>
      <c r="AO280" s="209" t="str">
        <f t="shared" si="45"/>
        <v/>
      </c>
      <c r="AP280" s="208"/>
      <c r="AQ280" s="209" t="str">
        <f t="shared" si="46"/>
        <v/>
      </c>
      <c r="AR280" s="209" t="str">
        <f t="shared" si="47"/>
        <v/>
      </c>
      <c r="AS280" s="202" t="str">
        <f t="shared" si="48"/>
        <v/>
      </c>
      <c r="AT280" s="202" t="str">
        <f t="shared" si="49"/>
        <v/>
      </c>
      <c r="AU280" s="208"/>
      <c r="AV280" s="208"/>
      <c r="AW280" s="208"/>
      <c r="AX280" s="208"/>
      <c r="AY280" s="208"/>
      <c r="AZ280" s="208"/>
      <c r="BA280" s="208"/>
      <c r="BB280" s="208"/>
      <c r="BC280" s="208"/>
      <c r="BD280" s="208"/>
      <c r="BE280" s="208"/>
      <c r="BF280" s="208"/>
      <c r="BG280" s="28"/>
      <c r="BH280" s="28"/>
      <c r="BI280" s="28"/>
      <c r="BJ280" s="28"/>
    </row>
    <row r="281" spans="1:62" s="23" customFormat="1" ht="21" customHeight="1" thickBot="1" x14ac:dyDescent="0.25">
      <c r="A281" s="846" t="str">
        <f>IF($AN281="","",IFERROR(VLOOKUP(CONCATENATE(CTR1_Billing!$E$20,$AN281),'Local Data Previous Year'!$C$3:$D$20000,2,0),CTR1_Billing!$E$21&amp;"NEW"))</f>
        <v/>
      </c>
      <c r="B281" s="846" t="str">
        <f>IF($E281="","",IFERROR(VLOOKUP(CONCATENATE(CTR1_Billing!$E$20,CTR1_Local!$E281),'Local Data Previous Year'!$C$3:$D$20000,2,0),CTR1_Billing!$E$21&amp;"NEW"))</f>
        <v/>
      </c>
      <c r="C281" s="846">
        <v>249</v>
      </c>
      <c r="D281" s="755" t="str" cm="1">
        <f t="array" ref="D281">IF(ISERROR(INDEX('Local Data Previous Year'!$D$3:$D$20000,SMALL(IF(CTR1_Billing!$E$21='Local Data Previous Year'!$A$3:$A$20000,ROW('Local Data Previous Year'!$A$3:$A$20000)-ROW('Local Data Previous Year'!$A$3)+1),ROW(249:249)))),"",INDEX('Local Data Previous Year'!$D$3:$D$20000,SMALL(IF(CTR1_Billing!$E$21='Local Data Previous Year'!$A$3:$A$20000,ROW('Local Data Previous Year'!$A$3:$A$20000)-ROW('Local Data Previous Year'!$A$3)+1),ROW(249:249))))</f>
        <v/>
      </c>
      <c r="E281" s="755" t="str" cm="1">
        <f t="array" ref="E281">IF(ISERROR(INDEX('Local Data Previous Year'!$E$3:$E$20000,SMALL(IF(CTR1_Billing!$E$21='Local Data Previous Year'!$A$3:$A$20000,ROW('Local Data Previous Year'!$A$3:$A$20000)-ROW('Local Data Previous Year'!$A$3)+1),ROW(249:249)))),"",INDEX('Local Data Previous Year'!$E$3:$E$20000,SMALL(IF(CTR1_Billing!$E$21='Local Data Previous Year'!$A$3:$A$20000,ROW('Local Data Previous Year'!$A$3:$A$20000)-ROW('Local Data Previous Year'!$A$3)+1),ROW(249:249))))</f>
        <v/>
      </c>
      <c r="F281" s="756" t="str">
        <f>IF($D281="","",IF(ISNA(MATCH($D281,'Local Data Previous Year'!$D$3:$D$20000,0)),"New",IFERROR(VLOOKUP($B281,'Local Data Previous Year'!$D$3:$I$20000,6,0),"")))</f>
        <v/>
      </c>
      <c r="G281" s="757">
        <f t="shared" si="50"/>
        <v>0</v>
      </c>
      <c r="H281" s="758" t="str">
        <f>IFERROR(INDEX('Local Data Previous Year'!$F:$F, MATCH($D281, 'Local Data Previous Year'!$D:$D, 0)), "")</f>
        <v/>
      </c>
      <c r="I281" s="759">
        <f>IF(B281=CTR1_Billing!$E$21&amp;"NEW",1,0)</f>
        <v>0</v>
      </c>
      <c r="J281" s="760" t="str">
        <f>IFERROR(INDEX('Local Data Previous Year'!$G:$G, MATCH($D281, 'Local Data Previous Year'!$D:$D, 0)), "")</f>
        <v/>
      </c>
      <c r="K281" s="762"/>
      <c r="L281" s="760" t="str">
        <f>IFERROR(INDEX('Local Data Previous Year'!$H:$H, MATCH($D281, 'Local Data Previous Year'!$D:$D, 0)), "")</f>
        <v/>
      </c>
      <c r="M281" s="762"/>
      <c r="N281" s="763"/>
      <c r="O281" s="767"/>
      <c r="P281" s="765"/>
      <c r="Q281" s="767"/>
      <c r="R281" s="766" t="str">
        <f t="shared" si="51"/>
        <v/>
      </c>
      <c r="S281" s="754"/>
      <c r="T281" s="763"/>
      <c r="U281" s="754"/>
      <c r="V281" s="763"/>
      <c r="W281" s="763"/>
      <c r="X281" s="865" t="str">
        <f>VLOOKUP(CTR1_Billing!$E$21,Data!$C$6:$D$302,1,FALSE)</f>
        <v>EZZZZ</v>
      </c>
      <c r="Y281" s="205"/>
      <c r="Z281" s="205">
        <f t="shared" si="39"/>
        <v>0</v>
      </c>
      <c r="AA281" s="206" t="str">
        <f t="shared" si="40"/>
        <v/>
      </c>
      <c r="AB281" s="205">
        <f t="shared" si="41"/>
        <v>0</v>
      </c>
      <c r="AC281" s="208"/>
      <c r="AD281" s="208"/>
      <c r="AE281" s="208"/>
      <c r="AF281" s="208"/>
      <c r="AG281" s="209" t="str">
        <f>IFERROR(INDEX('Local Data Previous Year'!$F:$F, MATCH($D281, 'Local Data Previous Year'!$D:$D, 0)), "")</f>
        <v/>
      </c>
      <c r="AH281" s="209" t="str">
        <f>IFERROR(INDEX('Local Data Previous Year'!$G:$G, MATCH($D281, 'Local Data Previous Year'!$D:$D, 0)), "")</f>
        <v/>
      </c>
      <c r="AI281" s="209" t="str">
        <f>IFERROR(INDEX('Local Data Previous Year'!$H:$H, MATCH($D281, 'Local Data Previous Year'!$D:$D, 0)), "")</f>
        <v/>
      </c>
      <c r="AJ281" s="209" t="str">
        <f t="shared" si="42"/>
        <v/>
      </c>
      <c r="AK281" s="209" t="str">
        <f t="shared" si="43"/>
        <v/>
      </c>
      <c r="AL281" s="209" t="str">
        <f t="shared" si="44"/>
        <v/>
      </c>
      <c r="AM281" s="208" t="str">
        <f>IF($AN281="","",IFERROR(VLOOKUP(CONCATENATE(CTR1_Billing!$E$20,$AN281),'Local Data Previous Year'!$C$3:$D$50000,2,0),CTR1_Billing!$E$21&amp;"NEW"))</f>
        <v/>
      </c>
      <c r="AN281" s="209" t="str" cm="1">
        <f t="array" ref="AN281">IF(ISERROR(INDEX('Local Data Previous Year'!$E$3:$E$50000, SMALL(IF(CTR1_Billing!$E$21='Local Data Previous Year'!$A$3:$A$50000, ROW('Local Data Previous Year'!$A$3:$A$50000)-ROW('Local Data Previous Year'!$A$3)+1), ROW(249:249)))), "", INDEX('Local Data Previous Year'!$E$3:$E$50000, SMALL(IF(CTR1_Billing!$E$21='Local Data Previous Year'!$A$3:$A$50000, ROW('Local Data Previous Year'!$A$3:$A$50000)-ROW('Local Data Previous Year'!$A$3)+1), ROW(249:249))))</f>
        <v/>
      </c>
      <c r="AO281" s="209" t="str">
        <f t="shared" si="45"/>
        <v/>
      </c>
      <c r="AP281" s="208"/>
      <c r="AQ281" s="209" t="str">
        <f t="shared" si="46"/>
        <v/>
      </c>
      <c r="AR281" s="209" t="str">
        <f t="shared" si="47"/>
        <v/>
      </c>
      <c r="AS281" s="202" t="str">
        <f t="shared" si="48"/>
        <v/>
      </c>
      <c r="AT281" s="202" t="str">
        <f t="shared" si="49"/>
        <v/>
      </c>
      <c r="AU281" s="208"/>
      <c r="AV281" s="208"/>
      <c r="AW281" s="208"/>
      <c r="AX281" s="208"/>
      <c r="AY281" s="208"/>
      <c r="AZ281" s="208"/>
      <c r="BA281" s="208"/>
      <c r="BB281" s="208"/>
      <c r="BC281" s="208"/>
      <c r="BD281" s="208"/>
      <c r="BE281" s="208"/>
      <c r="BF281" s="208"/>
      <c r="BG281" s="28"/>
      <c r="BH281" s="28"/>
      <c r="BI281" s="28"/>
      <c r="BJ281" s="28"/>
    </row>
    <row r="282" spans="1:62" s="23" customFormat="1" ht="21" customHeight="1" thickBot="1" x14ac:dyDescent="0.25">
      <c r="A282" s="846" t="str">
        <f>IF($AN282="","",IFERROR(VLOOKUP(CONCATENATE(CTR1_Billing!$E$20,$AN282),'Local Data Previous Year'!$C$3:$D$20000,2,0),CTR1_Billing!$E$21&amp;"NEW"))</f>
        <v/>
      </c>
      <c r="B282" s="846" t="str">
        <f>IF($E282="","",IFERROR(VLOOKUP(CONCATENATE(CTR1_Billing!$E$20,CTR1_Local!$E282),'Local Data Previous Year'!$C$3:$D$20000,2,0),CTR1_Billing!$E$21&amp;"NEW"))</f>
        <v/>
      </c>
      <c r="C282" s="846">
        <v>250</v>
      </c>
      <c r="D282" s="755" t="str" cm="1">
        <f t="array" ref="D282">IF(ISERROR(INDEX('Local Data Previous Year'!$D$3:$D$20000,SMALL(IF(CTR1_Billing!$E$21='Local Data Previous Year'!$A$3:$A$20000,ROW('Local Data Previous Year'!$A$3:$A$20000)-ROW('Local Data Previous Year'!$A$3)+1),ROW(250:250)))),"",INDEX('Local Data Previous Year'!$D$3:$D$20000,SMALL(IF(CTR1_Billing!$E$21='Local Data Previous Year'!$A$3:$A$20000,ROW('Local Data Previous Year'!$A$3:$A$20000)-ROW('Local Data Previous Year'!$A$3)+1),ROW(250:250))))</f>
        <v/>
      </c>
      <c r="E282" s="755" t="str" cm="1">
        <f t="array" ref="E282">IF(ISERROR(INDEX('Local Data Previous Year'!$E$3:$E$20000,SMALL(IF(CTR1_Billing!$E$21='Local Data Previous Year'!$A$3:$A$20000,ROW('Local Data Previous Year'!$A$3:$A$20000)-ROW('Local Data Previous Year'!$A$3)+1),ROW(250:250)))),"",INDEX('Local Data Previous Year'!$E$3:$E$20000,SMALL(IF(CTR1_Billing!$E$21='Local Data Previous Year'!$A$3:$A$20000,ROW('Local Data Previous Year'!$A$3:$A$20000)-ROW('Local Data Previous Year'!$A$3)+1),ROW(250:250))))</f>
        <v/>
      </c>
      <c r="F282" s="756" t="str">
        <f>IF($D282="","",IF(ISNA(MATCH($D282,'Local Data Previous Year'!$D$3:$D$20000,0)),"New",IFERROR(VLOOKUP($B282,'Local Data Previous Year'!$D$3:$I$20000,6,0),"")))</f>
        <v/>
      </c>
      <c r="G282" s="757">
        <f t="shared" si="50"/>
        <v>0</v>
      </c>
      <c r="H282" s="758" t="str">
        <f>IFERROR(INDEX('Local Data Previous Year'!$F:$F, MATCH($D282, 'Local Data Previous Year'!$D:$D, 0)), "")</f>
        <v/>
      </c>
      <c r="I282" s="759">
        <f>IF(B282=CTR1_Billing!$E$21&amp;"NEW",1,0)</f>
        <v>0</v>
      </c>
      <c r="J282" s="760" t="str">
        <f>IFERROR(INDEX('Local Data Previous Year'!$G:$G, MATCH($D282, 'Local Data Previous Year'!$D:$D, 0)), "")</f>
        <v/>
      </c>
      <c r="K282" s="762"/>
      <c r="L282" s="760" t="str">
        <f>IFERROR(INDEX('Local Data Previous Year'!$H:$H, MATCH($D282, 'Local Data Previous Year'!$D:$D, 0)), "")</f>
        <v/>
      </c>
      <c r="M282" s="762"/>
      <c r="N282" s="763"/>
      <c r="O282" s="767"/>
      <c r="P282" s="765"/>
      <c r="Q282" s="767"/>
      <c r="R282" s="766" t="str">
        <f t="shared" si="51"/>
        <v/>
      </c>
      <c r="S282" s="754"/>
      <c r="T282" s="763"/>
      <c r="U282" s="754"/>
      <c r="V282" s="763"/>
      <c r="W282" s="763"/>
      <c r="X282" s="865" t="str">
        <f>VLOOKUP(CTR1_Billing!$E$21,Data!$C$6:$D$302,1,FALSE)</f>
        <v>EZZZZ</v>
      </c>
      <c r="Y282" s="205"/>
      <c r="Z282" s="205">
        <f t="shared" si="39"/>
        <v>0</v>
      </c>
      <c r="AA282" s="206" t="str">
        <f t="shared" si="40"/>
        <v/>
      </c>
      <c r="AB282" s="205">
        <f t="shared" si="41"/>
        <v>0</v>
      </c>
      <c r="AC282" s="208"/>
      <c r="AD282" s="208"/>
      <c r="AE282" s="208"/>
      <c r="AF282" s="208"/>
      <c r="AG282" s="209" t="str">
        <f>IFERROR(INDEX('Local Data Previous Year'!$F:$F, MATCH($D282, 'Local Data Previous Year'!$D:$D, 0)), "")</f>
        <v/>
      </c>
      <c r="AH282" s="209" t="str">
        <f>IFERROR(INDEX('Local Data Previous Year'!$G:$G, MATCH($D282, 'Local Data Previous Year'!$D:$D, 0)), "")</f>
        <v/>
      </c>
      <c r="AI282" s="209" t="str">
        <f>IFERROR(INDEX('Local Data Previous Year'!$H:$H, MATCH($D282, 'Local Data Previous Year'!$D:$D, 0)), "")</f>
        <v/>
      </c>
      <c r="AJ282" s="209" t="str">
        <f t="shared" si="42"/>
        <v/>
      </c>
      <c r="AK282" s="209" t="str">
        <f t="shared" si="43"/>
        <v/>
      </c>
      <c r="AL282" s="209" t="str">
        <f t="shared" si="44"/>
        <v/>
      </c>
      <c r="AM282" s="208" t="str">
        <f>IF($AN282="","",IFERROR(VLOOKUP(CONCATENATE(CTR1_Billing!$E$20,$AN282),'Local Data Previous Year'!$C$3:$D$50000,2,0),CTR1_Billing!$E$21&amp;"NEW"))</f>
        <v/>
      </c>
      <c r="AN282" s="209" t="str" cm="1">
        <f t="array" ref="AN282">IF(ISERROR(INDEX('Local Data Previous Year'!$E$3:$E$50000, SMALL(IF(CTR1_Billing!$E$21='Local Data Previous Year'!$A$3:$A$50000, ROW('Local Data Previous Year'!$A$3:$A$50000)-ROW('Local Data Previous Year'!$A$3)+1), ROW(250:250)))), "", INDEX('Local Data Previous Year'!$E$3:$E$50000, SMALL(IF(CTR1_Billing!$E$21='Local Data Previous Year'!$A$3:$A$50000, ROW('Local Data Previous Year'!$A$3:$A$50000)-ROW('Local Data Previous Year'!$A$3)+1), ROW(250:250))))</f>
        <v/>
      </c>
      <c r="AO282" s="209" t="str">
        <f t="shared" si="45"/>
        <v/>
      </c>
      <c r="AP282" s="208"/>
      <c r="AQ282" s="209" t="str">
        <f t="shared" si="46"/>
        <v/>
      </c>
      <c r="AR282" s="209" t="str">
        <f t="shared" si="47"/>
        <v/>
      </c>
      <c r="AS282" s="202" t="str">
        <f t="shared" si="48"/>
        <v/>
      </c>
      <c r="AT282" s="202" t="str">
        <f t="shared" si="49"/>
        <v/>
      </c>
      <c r="AU282" s="208"/>
      <c r="AV282" s="208"/>
      <c r="AW282" s="208"/>
      <c r="AX282" s="208"/>
      <c r="AY282" s="208"/>
      <c r="AZ282" s="208"/>
      <c r="BA282" s="208"/>
      <c r="BB282" s="208"/>
      <c r="BC282" s="208"/>
      <c r="BD282" s="208"/>
      <c r="BE282" s="208"/>
      <c r="BF282" s="208"/>
      <c r="BG282" s="28"/>
      <c r="BH282" s="28"/>
      <c r="BI282" s="28"/>
      <c r="BJ282" s="28"/>
    </row>
    <row r="283" spans="1:62" s="23" customFormat="1" ht="21" customHeight="1" thickBot="1" x14ac:dyDescent="0.25">
      <c r="A283" s="846" t="str">
        <f>IF($AN283="","",IFERROR(VLOOKUP(CONCATENATE(CTR1_Billing!$E$20,$AN283),'Local Data Previous Year'!$C$3:$D$20000,2,0),CTR1_Billing!$E$21&amp;"NEW"))</f>
        <v/>
      </c>
      <c r="B283" s="846" t="str">
        <f>IF($E283="","",IFERROR(VLOOKUP(CONCATENATE(CTR1_Billing!$E$20,CTR1_Local!$E283),'Local Data Previous Year'!$C$3:$D$20000,2,0),CTR1_Billing!$E$21&amp;"NEW"))</f>
        <v/>
      </c>
      <c r="C283" s="846">
        <v>251</v>
      </c>
      <c r="D283" s="755" t="str" cm="1">
        <f t="array" ref="D283">IF(ISERROR(INDEX('Local Data Previous Year'!$D$3:$D$20000,SMALL(IF(CTR1_Billing!$E$21='Local Data Previous Year'!$A$3:$A$20000,ROW('Local Data Previous Year'!$A$3:$A$20000)-ROW('Local Data Previous Year'!$A$3)+1),ROW(251:251)))),"",INDEX('Local Data Previous Year'!$D$3:$D$20000,SMALL(IF(CTR1_Billing!$E$21='Local Data Previous Year'!$A$3:$A$20000,ROW('Local Data Previous Year'!$A$3:$A$20000)-ROW('Local Data Previous Year'!$A$3)+1),ROW(251:251))))</f>
        <v/>
      </c>
      <c r="E283" s="755" t="str" cm="1">
        <f t="array" ref="E283">IF(ISERROR(INDEX('Local Data Previous Year'!$E$3:$E$20000,SMALL(IF(CTR1_Billing!$E$21='Local Data Previous Year'!$A$3:$A$20000,ROW('Local Data Previous Year'!$A$3:$A$20000)-ROW('Local Data Previous Year'!$A$3)+1),ROW(251:251)))),"",INDEX('Local Data Previous Year'!$E$3:$E$20000,SMALL(IF(CTR1_Billing!$E$21='Local Data Previous Year'!$A$3:$A$20000,ROW('Local Data Previous Year'!$A$3:$A$20000)-ROW('Local Data Previous Year'!$A$3)+1),ROW(251:251))))</f>
        <v/>
      </c>
      <c r="F283" s="756" t="str">
        <f>IF($D283="","",IF(ISNA(MATCH($D283,'Local Data Previous Year'!$D$3:$D$20000,0)),"New",IFERROR(VLOOKUP($B283,'Local Data Previous Year'!$D$3:$I$20000,6,0),"")))</f>
        <v/>
      </c>
      <c r="G283" s="757">
        <f t="shared" si="50"/>
        <v>0</v>
      </c>
      <c r="H283" s="758" t="str">
        <f>IFERROR(INDEX('Local Data Previous Year'!$F:$F, MATCH($D283, 'Local Data Previous Year'!$D:$D, 0)), "")</f>
        <v/>
      </c>
      <c r="I283" s="759">
        <f>IF(B283=CTR1_Billing!$E$21&amp;"NEW",1,0)</f>
        <v>0</v>
      </c>
      <c r="J283" s="760" t="str">
        <f>IFERROR(INDEX('Local Data Previous Year'!$G:$G, MATCH($D283, 'Local Data Previous Year'!$D:$D, 0)), "")</f>
        <v/>
      </c>
      <c r="K283" s="762"/>
      <c r="L283" s="760" t="str">
        <f>IFERROR(INDEX('Local Data Previous Year'!$H:$H, MATCH($D283, 'Local Data Previous Year'!$D:$D, 0)), "")</f>
        <v/>
      </c>
      <c r="M283" s="762"/>
      <c r="N283" s="763"/>
      <c r="O283" s="767"/>
      <c r="P283" s="765"/>
      <c r="Q283" s="767"/>
      <c r="R283" s="766" t="str">
        <f t="shared" si="51"/>
        <v/>
      </c>
      <c r="S283" s="754"/>
      <c r="T283" s="763"/>
      <c r="U283" s="754"/>
      <c r="V283" s="763"/>
      <c r="W283" s="763"/>
      <c r="X283" s="865" t="str">
        <f>VLOOKUP(CTR1_Billing!$E$21,Data!$C$6:$D$302,1,FALSE)</f>
        <v>EZZZZ</v>
      </c>
      <c r="Y283" s="205"/>
      <c r="Z283" s="205">
        <f t="shared" si="39"/>
        <v>0</v>
      </c>
      <c r="AA283" s="206" t="str">
        <f t="shared" si="40"/>
        <v/>
      </c>
      <c r="AB283" s="205">
        <f t="shared" si="41"/>
        <v>0</v>
      </c>
      <c r="AC283" s="208"/>
      <c r="AD283" s="208"/>
      <c r="AE283" s="208"/>
      <c r="AF283" s="208"/>
      <c r="AG283" s="209" t="str">
        <f>IFERROR(INDEX('Local Data Previous Year'!$F:$F, MATCH($D283, 'Local Data Previous Year'!$D:$D, 0)), "")</f>
        <v/>
      </c>
      <c r="AH283" s="209" t="str">
        <f>IFERROR(INDEX('Local Data Previous Year'!$G:$G, MATCH($D283, 'Local Data Previous Year'!$D:$D, 0)), "")</f>
        <v/>
      </c>
      <c r="AI283" s="209" t="str">
        <f>IFERROR(INDEX('Local Data Previous Year'!$H:$H, MATCH($D283, 'Local Data Previous Year'!$D:$D, 0)), "")</f>
        <v/>
      </c>
      <c r="AJ283" s="209" t="str">
        <f t="shared" si="42"/>
        <v/>
      </c>
      <c r="AK283" s="209" t="str">
        <f t="shared" si="43"/>
        <v/>
      </c>
      <c r="AL283" s="209" t="str">
        <f t="shared" si="44"/>
        <v/>
      </c>
      <c r="AM283" s="208" t="str">
        <f>IF($AN283="","",IFERROR(VLOOKUP(CONCATENATE(CTR1_Billing!$E$20,$AN283),'Local Data Previous Year'!$C$3:$D$50000,2,0),CTR1_Billing!$E$21&amp;"NEW"))</f>
        <v/>
      </c>
      <c r="AN283" s="209" t="str" cm="1">
        <f t="array" ref="AN283">IF(ISERROR(INDEX('Local Data Previous Year'!$E$3:$E$50000, SMALL(IF(CTR1_Billing!$E$21='Local Data Previous Year'!$A$3:$A$50000, ROW('Local Data Previous Year'!$A$3:$A$50000)-ROW('Local Data Previous Year'!$A$3)+1), ROW(251:251)))), "", INDEX('Local Data Previous Year'!$E$3:$E$50000, SMALL(IF(CTR1_Billing!$E$21='Local Data Previous Year'!$A$3:$A$50000, ROW('Local Data Previous Year'!$A$3:$A$50000)-ROW('Local Data Previous Year'!$A$3)+1), ROW(251:251))))</f>
        <v/>
      </c>
      <c r="AO283" s="209" t="str">
        <f t="shared" si="45"/>
        <v/>
      </c>
      <c r="AP283" s="208"/>
      <c r="AQ283" s="209" t="str">
        <f t="shared" si="46"/>
        <v/>
      </c>
      <c r="AR283" s="209" t="str">
        <f t="shared" si="47"/>
        <v/>
      </c>
      <c r="AS283" s="202" t="str">
        <f t="shared" si="48"/>
        <v/>
      </c>
      <c r="AT283" s="202" t="str">
        <f t="shared" si="49"/>
        <v/>
      </c>
      <c r="AU283" s="208"/>
      <c r="AV283" s="208"/>
      <c r="AW283" s="208"/>
      <c r="AX283" s="208"/>
      <c r="AY283" s="208"/>
      <c r="AZ283" s="208"/>
      <c r="BA283" s="208"/>
      <c r="BB283" s="208"/>
      <c r="BC283" s="208"/>
      <c r="BD283" s="208"/>
      <c r="BE283" s="208"/>
      <c r="BF283" s="208"/>
      <c r="BG283" s="28"/>
      <c r="BH283" s="28"/>
      <c r="BI283" s="28"/>
      <c r="BJ283" s="28"/>
    </row>
    <row r="284" spans="1:62" s="23" customFormat="1" ht="21" customHeight="1" thickBot="1" x14ac:dyDescent="0.25">
      <c r="A284" s="846" t="str">
        <f>IF($AN284="","",IFERROR(VLOOKUP(CONCATENATE(CTR1_Billing!$E$20,$AN284),'Local Data Previous Year'!$C$3:$D$20000,2,0),CTR1_Billing!$E$21&amp;"NEW"))</f>
        <v/>
      </c>
      <c r="B284" s="846" t="str">
        <f>IF($E284="","",IFERROR(VLOOKUP(CONCATENATE(CTR1_Billing!$E$20,CTR1_Local!$E284),'Local Data Previous Year'!$C$3:$D$20000,2,0),CTR1_Billing!$E$21&amp;"NEW"))</f>
        <v/>
      </c>
      <c r="C284" s="846">
        <v>252</v>
      </c>
      <c r="D284" s="755" t="str" cm="1">
        <f t="array" ref="D284">IF(ISERROR(INDEX('Local Data Previous Year'!$D$3:$D$20000,SMALL(IF(CTR1_Billing!$E$21='Local Data Previous Year'!$A$3:$A$20000,ROW('Local Data Previous Year'!$A$3:$A$20000)-ROW('Local Data Previous Year'!$A$3)+1),ROW(252:252)))),"",INDEX('Local Data Previous Year'!$D$3:$D$20000,SMALL(IF(CTR1_Billing!$E$21='Local Data Previous Year'!$A$3:$A$20000,ROW('Local Data Previous Year'!$A$3:$A$20000)-ROW('Local Data Previous Year'!$A$3)+1),ROW(252:252))))</f>
        <v/>
      </c>
      <c r="E284" s="755" t="str" cm="1">
        <f t="array" ref="E284">IF(ISERROR(INDEX('Local Data Previous Year'!$E$3:$E$20000,SMALL(IF(CTR1_Billing!$E$21='Local Data Previous Year'!$A$3:$A$20000,ROW('Local Data Previous Year'!$A$3:$A$20000)-ROW('Local Data Previous Year'!$A$3)+1),ROW(252:252)))),"",INDEX('Local Data Previous Year'!$E$3:$E$20000,SMALL(IF(CTR1_Billing!$E$21='Local Data Previous Year'!$A$3:$A$20000,ROW('Local Data Previous Year'!$A$3:$A$20000)-ROW('Local Data Previous Year'!$A$3)+1),ROW(252:252))))</f>
        <v/>
      </c>
      <c r="F284" s="756" t="str">
        <f>IF($D284="","",IF(ISNA(MATCH($D284,'Local Data Previous Year'!$D$3:$D$20000,0)),"New",IFERROR(VLOOKUP($B284,'Local Data Previous Year'!$D$3:$I$20000,6,0),"")))</f>
        <v/>
      </c>
      <c r="G284" s="757">
        <f t="shared" si="50"/>
        <v>0</v>
      </c>
      <c r="H284" s="758" t="str">
        <f>IFERROR(INDEX('Local Data Previous Year'!$F:$F, MATCH($D284, 'Local Data Previous Year'!$D:$D, 0)), "")</f>
        <v/>
      </c>
      <c r="I284" s="759">
        <f>IF(B284=CTR1_Billing!$E$21&amp;"NEW",1,0)</f>
        <v>0</v>
      </c>
      <c r="J284" s="760" t="str">
        <f>IFERROR(INDEX('Local Data Previous Year'!$G:$G, MATCH($D284, 'Local Data Previous Year'!$D:$D, 0)), "")</f>
        <v/>
      </c>
      <c r="K284" s="762"/>
      <c r="L284" s="760" t="str">
        <f>IFERROR(INDEX('Local Data Previous Year'!$H:$H, MATCH($D284, 'Local Data Previous Year'!$D:$D, 0)), "")</f>
        <v/>
      </c>
      <c r="M284" s="762"/>
      <c r="N284" s="763"/>
      <c r="O284" s="767"/>
      <c r="P284" s="765"/>
      <c r="Q284" s="767"/>
      <c r="R284" s="766" t="str">
        <f t="shared" si="51"/>
        <v/>
      </c>
      <c r="S284" s="754"/>
      <c r="T284" s="763"/>
      <c r="U284" s="754"/>
      <c r="V284" s="763"/>
      <c r="W284" s="763"/>
      <c r="X284" s="865" t="str">
        <f>VLOOKUP(CTR1_Billing!$E$21,Data!$C$6:$D$302,1,FALSE)</f>
        <v>EZZZZ</v>
      </c>
      <c r="Y284" s="205"/>
      <c r="Z284" s="205">
        <f t="shared" si="39"/>
        <v>0</v>
      </c>
      <c r="AA284" s="206" t="str">
        <f t="shared" si="40"/>
        <v/>
      </c>
      <c r="AB284" s="205">
        <f t="shared" si="41"/>
        <v>0</v>
      </c>
      <c r="AC284" s="208"/>
      <c r="AD284" s="208"/>
      <c r="AE284" s="208"/>
      <c r="AF284" s="208"/>
      <c r="AG284" s="209" t="str">
        <f>IFERROR(INDEX('Local Data Previous Year'!$F:$F, MATCH($D284, 'Local Data Previous Year'!$D:$D, 0)), "")</f>
        <v/>
      </c>
      <c r="AH284" s="209" t="str">
        <f>IFERROR(INDEX('Local Data Previous Year'!$G:$G, MATCH($D284, 'Local Data Previous Year'!$D:$D, 0)), "")</f>
        <v/>
      </c>
      <c r="AI284" s="209" t="str">
        <f>IFERROR(INDEX('Local Data Previous Year'!$H:$H, MATCH($D284, 'Local Data Previous Year'!$D:$D, 0)), "")</f>
        <v/>
      </c>
      <c r="AJ284" s="209" t="str">
        <f t="shared" si="42"/>
        <v/>
      </c>
      <c r="AK284" s="209" t="str">
        <f t="shared" si="43"/>
        <v/>
      </c>
      <c r="AL284" s="209" t="str">
        <f t="shared" si="44"/>
        <v/>
      </c>
      <c r="AM284" s="208" t="str">
        <f>IF($AN284="","",IFERROR(VLOOKUP(CONCATENATE(CTR1_Billing!$E$20,$AN284),'Local Data Previous Year'!$C$3:$D$50000,2,0),CTR1_Billing!$E$21&amp;"NEW"))</f>
        <v/>
      </c>
      <c r="AN284" s="209" t="str" cm="1">
        <f t="array" ref="AN284">IF(ISERROR(INDEX('Local Data Previous Year'!$E$3:$E$50000, SMALL(IF(CTR1_Billing!$E$21='Local Data Previous Year'!$A$3:$A$50000, ROW('Local Data Previous Year'!$A$3:$A$50000)-ROW('Local Data Previous Year'!$A$3)+1), ROW(252:252)))), "", INDEX('Local Data Previous Year'!$E$3:$E$50000, SMALL(IF(CTR1_Billing!$E$21='Local Data Previous Year'!$A$3:$A$50000, ROW('Local Data Previous Year'!$A$3:$A$50000)-ROW('Local Data Previous Year'!$A$3)+1), ROW(252:252))))</f>
        <v/>
      </c>
      <c r="AO284" s="209" t="str">
        <f t="shared" si="45"/>
        <v/>
      </c>
      <c r="AP284" s="208"/>
      <c r="AQ284" s="209" t="str">
        <f t="shared" si="46"/>
        <v/>
      </c>
      <c r="AR284" s="209" t="str">
        <f t="shared" si="47"/>
        <v/>
      </c>
      <c r="AS284" s="202" t="str">
        <f t="shared" si="48"/>
        <v/>
      </c>
      <c r="AT284" s="202" t="str">
        <f t="shared" si="49"/>
        <v/>
      </c>
      <c r="AU284" s="208"/>
      <c r="AV284" s="208"/>
      <c r="AW284" s="208"/>
      <c r="AX284" s="208"/>
      <c r="AY284" s="208"/>
      <c r="AZ284" s="208"/>
      <c r="BA284" s="208"/>
      <c r="BB284" s="208"/>
      <c r="BC284" s="208"/>
      <c r="BD284" s="208"/>
      <c r="BE284" s="208"/>
      <c r="BF284" s="208"/>
      <c r="BG284" s="28"/>
      <c r="BH284" s="28"/>
      <c r="BI284" s="28"/>
      <c r="BJ284" s="28"/>
    </row>
    <row r="285" spans="1:62" s="23" customFormat="1" ht="21" customHeight="1" thickBot="1" x14ac:dyDescent="0.25">
      <c r="A285" s="846" t="str">
        <f>IF($AN285="","",IFERROR(VLOOKUP(CONCATENATE(CTR1_Billing!$E$20,$AN285),'Local Data Previous Year'!$C$3:$D$20000,2,0),CTR1_Billing!$E$21&amp;"NEW"))</f>
        <v/>
      </c>
      <c r="B285" s="846" t="str">
        <f>IF($E285="","",IFERROR(VLOOKUP(CONCATENATE(CTR1_Billing!$E$20,CTR1_Local!$E285),'Local Data Previous Year'!$C$3:$D$20000,2,0),CTR1_Billing!$E$21&amp;"NEW"))</f>
        <v/>
      </c>
      <c r="C285" s="846">
        <v>253</v>
      </c>
      <c r="D285" s="755" t="str" cm="1">
        <f t="array" ref="D285">IF(ISERROR(INDEX('Local Data Previous Year'!$D$3:$D$20000,SMALL(IF(CTR1_Billing!$E$21='Local Data Previous Year'!$A$3:$A$20000,ROW('Local Data Previous Year'!$A$3:$A$20000)-ROW('Local Data Previous Year'!$A$3)+1),ROW(253:253)))),"",INDEX('Local Data Previous Year'!$D$3:$D$20000,SMALL(IF(CTR1_Billing!$E$21='Local Data Previous Year'!$A$3:$A$20000,ROW('Local Data Previous Year'!$A$3:$A$20000)-ROW('Local Data Previous Year'!$A$3)+1),ROW(253:253))))</f>
        <v/>
      </c>
      <c r="E285" s="755" t="str" cm="1">
        <f t="array" ref="E285">IF(ISERROR(INDEX('Local Data Previous Year'!$E$3:$E$20000,SMALL(IF(CTR1_Billing!$E$21='Local Data Previous Year'!$A$3:$A$20000,ROW('Local Data Previous Year'!$A$3:$A$20000)-ROW('Local Data Previous Year'!$A$3)+1),ROW(253:253)))),"",INDEX('Local Data Previous Year'!$E$3:$E$20000,SMALL(IF(CTR1_Billing!$E$21='Local Data Previous Year'!$A$3:$A$20000,ROW('Local Data Previous Year'!$A$3:$A$20000)-ROW('Local Data Previous Year'!$A$3)+1),ROW(253:253))))</f>
        <v/>
      </c>
      <c r="F285" s="756" t="str">
        <f>IF($D285="","",IF(ISNA(MATCH($D285,'Local Data Previous Year'!$D$3:$D$20000,0)),"New",IFERROR(VLOOKUP($B285,'Local Data Previous Year'!$D$3:$I$20000,6,0),"")))</f>
        <v/>
      </c>
      <c r="G285" s="757">
        <f t="shared" si="50"/>
        <v>0</v>
      </c>
      <c r="H285" s="758" t="str">
        <f>IFERROR(INDEX('Local Data Previous Year'!$F:$F, MATCH($D285, 'Local Data Previous Year'!$D:$D, 0)), "")</f>
        <v/>
      </c>
      <c r="I285" s="759">
        <f>IF(B285=CTR1_Billing!$E$21&amp;"NEW",1,0)</f>
        <v>0</v>
      </c>
      <c r="J285" s="760" t="str">
        <f>IFERROR(INDEX('Local Data Previous Year'!$G:$G, MATCH($D285, 'Local Data Previous Year'!$D:$D, 0)), "")</f>
        <v/>
      </c>
      <c r="K285" s="762"/>
      <c r="L285" s="760" t="str">
        <f>IFERROR(INDEX('Local Data Previous Year'!$H:$H, MATCH($D285, 'Local Data Previous Year'!$D:$D, 0)), "")</f>
        <v/>
      </c>
      <c r="M285" s="762"/>
      <c r="N285" s="763"/>
      <c r="O285" s="767"/>
      <c r="P285" s="765"/>
      <c r="Q285" s="767"/>
      <c r="R285" s="766" t="str">
        <f t="shared" si="51"/>
        <v/>
      </c>
      <c r="S285" s="754"/>
      <c r="T285" s="763"/>
      <c r="U285" s="754"/>
      <c r="V285" s="763"/>
      <c r="W285" s="763"/>
      <c r="X285" s="865" t="str">
        <f>VLOOKUP(CTR1_Billing!$E$21,Data!$C$6:$D$302,1,FALSE)</f>
        <v>EZZZZ</v>
      </c>
      <c r="Y285" s="205"/>
      <c r="Z285" s="205">
        <f t="shared" si="39"/>
        <v>0</v>
      </c>
      <c r="AA285" s="206" t="str">
        <f t="shared" si="40"/>
        <v/>
      </c>
      <c r="AB285" s="205">
        <f t="shared" si="41"/>
        <v>0</v>
      </c>
      <c r="AC285" s="208"/>
      <c r="AD285" s="208"/>
      <c r="AE285" s="208"/>
      <c r="AF285" s="208"/>
      <c r="AG285" s="209" t="str">
        <f>IFERROR(INDEX('Local Data Previous Year'!$F:$F, MATCH($D285, 'Local Data Previous Year'!$D:$D, 0)), "")</f>
        <v/>
      </c>
      <c r="AH285" s="209" t="str">
        <f>IFERROR(INDEX('Local Data Previous Year'!$G:$G, MATCH($D285, 'Local Data Previous Year'!$D:$D, 0)), "")</f>
        <v/>
      </c>
      <c r="AI285" s="209" t="str">
        <f>IFERROR(INDEX('Local Data Previous Year'!$H:$H, MATCH($D285, 'Local Data Previous Year'!$D:$D, 0)), "")</f>
        <v/>
      </c>
      <c r="AJ285" s="209" t="str">
        <f t="shared" si="42"/>
        <v/>
      </c>
      <c r="AK285" s="209" t="str">
        <f t="shared" si="43"/>
        <v/>
      </c>
      <c r="AL285" s="209" t="str">
        <f t="shared" si="44"/>
        <v/>
      </c>
      <c r="AM285" s="208" t="str">
        <f>IF($AN285="","",IFERROR(VLOOKUP(CONCATENATE(CTR1_Billing!$E$20,$AN285),'Local Data Previous Year'!$C$3:$D$50000,2,0),CTR1_Billing!$E$21&amp;"NEW"))</f>
        <v/>
      </c>
      <c r="AN285" s="209" t="str" cm="1">
        <f t="array" ref="AN285">IF(ISERROR(INDEX('Local Data Previous Year'!$E$3:$E$50000, SMALL(IF(CTR1_Billing!$E$21='Local Data Previous Year'!$A$3:$A$50000, ROW('Local Data Previous Year'!$A$3:$A$50000)-ROW('Local Data Previous Year'!$A$3)+1), ROW(253:253)))), "", INDEX('Local Data Previous Year'!$E$3:$E$50000, SMALL(IF(CTR1_Billing!$E$21='Local Data Previous Year'!$A$3:$A$50000, ROW('Local Data Previous Year'!$A$3:$A$50000)-ROW('Local Data Previous Year'!$A$3)+1), ROW(253:253))))</f>
        <v/>
      </c>
      <c r="AO285" s="209" t="str">
        <f t="shared" si="45"/>
        <v/>
      </c>
      <c r="AP285" s="208"/>
      <c r="AQ285" s="209" t="str">
        <f t="shared" si="46"/>
        <v/>
      </c>
      <c r="AR285" s="209" t="str">
        <f t="shared" si="47"/>
        <v/>
      </c>
      <c r="AS285" s="202" t="str">
        <f t="shared" si="48"/>
        <v/>
      </c>
      <c r="AT285" s="202" t="str">
        <f t="shared" si="49"/>
        <v/>
      </c>
      <c r="AU285" s="208"/>
      <c r="AV285" s="208"/>
      <c r="AW285" s="208"/>
      <c r="AX285" s="208"/>
      <c r="AY285" s="208"/>
      <c r="AZ285" s="208"/>
      <c r="BA285" s="208"/>
      <c r="BB285" s="208"/>
      <c r="BC285" s="208"/>
      <c r="BD285" s="208"/>
      <c r="BE285" s="208"/>
      <c r="BF285" s="208"/>
      <c r="BG285" s="28"/>
      <c r="BH285" s="28"/>
      <c r="BI285" s="28"/>
      <c r="BJ285" s="28"/>
    </row>
    <row r="286" spans="1:62" s="23" customFormat="1" ht="21" customHeight="1" thickBot="1" x14ac:dyDescent="0.25">
      <c r="A286" s="846" t="str">
        <f>IF($AN286="","",IFERROR(VLOOKUP(CONCATENATE(CTR1_Billing!$E$20,$AN286),'Local Data Previous Year'!$C$3:$D$20000,2,0),CTR1_Billing!$E$21&amp;"NEW"))</f>
        <v/>
      </c>
      <c r="B286" s="846" t="str">
        <f>IF($E286="","",IFERROR(VLOOKUP(CONCATENATE(CTR1_Billing!$E$20,CTR1_Local!$E286),'Local Data Previous Year'!$C$3:$D$20000,2,0),CTR1_Billing!$E$21&amp;"NEW"))</f>
        <v/>
      </c>
      <c r="C286" s="846">
        <v>254</v>
      </c>
      <c r="D286" s="755" t="str" cm="1">
        <f t="array" ref="D286">IF(ISERROR(INDEX('Local Data Previous Year'!$D$3:$D$20000,SMALL(IF(CTR1_Billing!$E$21='Local Data Previous Year'!$A$3:$A$20000,ROW('Local Data Previous Year'!$A$3:$A$20000)-ROW('Local Data Previous Year'!$A$3)+1),ROW(254:254)))),"",INDEX('Local Data Previous Year'!$D$3:$D$20000,SMALL(IF(CTR1_Billing!$E$21='Local Data Previous Year'!$A$3:$A$20000,ROW('Local Data Previous Year'!$A$3:$A$20000)-ROW('Local Data Previous Year'!$A$3)+1),ROW(254:254))))</f>
        <v/>
      </c>
      <c r="E286" s="755" t="str" cm="1">
        <f t="array" ref="E286">IF(ISERROR(INDEX('Local Data Previous Year'!$E$3:$E$20000,SMALL(IF(CTR1_Billing!$E$21='Local Data Previous Year'!$A$3:$A$20000,ROW('Local Data Previous Year'!$A$3:$A$20000)-ROW('Local Data Previous Year'!$A$3)+1),ROW(254:254)))),"",INDEX('Local Data Previous Year'!$E$3:$E$20000,SMALL(IF(CTR1_Billing!$E$21='Local Data Previous Year'!$A$3:$A$20000,ROW('Local Data Previous Year'!$A$3:$A$20000)-ROW('Local Data Previous Year'!$A$3)+1),ROW(254:254))))</f>
        <v/>
      </c>
      <c r="F286" s="756" t="str">
        <f>IF($D286="","",IF(ISNA(MATCH($D286,'Local Data Previous Year'!$D$3:$D$20000,0)),"New",IFERROR(VLOOKUP($B286,'Local Data Previous Year'!$D$3:$I$20000,6,0),"")))</f>
        <v/>
      </c>
      <c r="G286" s="757">
        <f t="shared" si="50"/>
        <v>0</v>
      </c>
      <c r="H286" s="758" t="str">
        <f>IFERROR(INDEX('Local Data Previous Year'!$F:$F, MATCH($D286, 'Local Data Previous Year'!$D:$D, 0)), "")</f>
        <v/>
      </c>
      <c r="I286" s="759">
        <f>IF(B286=CTR1_Billing!$E$21&amp;"NEW",1,0)</f>
        <v>0</v>
      </c>
      <c r="J286" s="760" t="str">
        <f>IFERROR(INDEX('Local Data Previous Year'!$G:$G, MATCH($D286, 'Local Data Previous Year'!$D:$D, 0)), "")</f>
        <v/>
      </c>
      <c r="K286" s="762"/>
      <c r="L286" s="760" t="str">
        <f>IFERROR(INDEX('Local Data Previous Year'!$H:$H, MATCH($D286, 'Local Data Previous Year'!$D:$D, 0)), "")</f>
        <v/>
      </c>
      <c r="M286" s="762"/>
      <c r="N286" s="763"/>
      <c r="O286" s="767"/>
      <c r="P286" s="765"/>
      <c r="Q286" s="767"/>
      <c r="R286" s="766" t="str">
        <f t="shared" si="51"/>
        <v/>
      </c>
      <c r="S286" s="754"/>
      <c r="T286" s="763"/>
      <c r="U286" s="754"/>
      <c r="V286" s="763"/>
      <c r="W286" s="763"/>
      <c r="X286" s="865" t="str">
        <f>VLOOKUP(CTR1_Billing!$E$21,Data!$C$6:$D$302,1,FALSE)</f>
        <v>EZZZZ</v>
      </c>
      <c r="Y286" s="205"/>
      <c r="Z286" s="205">
        <f t="shared" si="39"/>
        <v>0</v>
      </c>
      <c r="AA286" s="206" t="str">
        <f t="shared" si="40"/>
        <v/>
      </c>
      <c r="AB286" s="205">
        <f t="shared" si="41"/>
        <v>0</v>
      </c>
      <c r="AC286" s="208"/>
      <c r="AD286" s="208"/>
      <c r="AE286" s="208"/>
      <c r="AF286" s="208"/>
      <c r="AG286" s="209" t="str">
        <f>IFERROR(INDEX('Local Data Previous Year'!$F:$F, MATCH($D286, 'Local Data Previous Year'!$D:$D, 0)), "")</f>
        <v/>
      </c>
      <c r="AH286" s="209" t="str">
        <f>IFERROR(INDEX('Local Data Previous Year'!$G:$G, MATCH($D286, 'Local Data Previous Year'!$D:$D, 0)), "")</f>
        <v/>
      </c>
      <c r="AI286" s="209" t="str">
        <f>IFERROR(INDEX('Local Data Previous Year'!$H:$H, MATCH($D286, 'Local Data Previous Year'!$D:$D, 0)), "")</f>
        <v/>
      </c>
      <c r="AJ286" s="209" t="str">
        <f t="shared" si="42"/>
        <v/>
      </c>
      <c r="AK286" s="209" t="str">
        <f t="shared" si="43"/>
        <v/>
      </c>
      <c r="AL286" s="209" t="str">
        <f t="shared" si="44"/>
        <v/>
      </c>
      <c r="AM286" s="208" t="str">
        <f>IF($AN286="","",IFERROR(VLOOKUP(CONCATENATE(CTR1_Billing!$E$20,$AN286),'Local Data Previous Year'!$C$3:$D$50000,2,0),CTR1_Billing!$E$21&amp;"NEW"))</f>
        <v/>
      </c>
      <c r="AN286" s="209" t="str" cm="1">
        <f t="array" ref="AN286">IF(ISERROR(INDEX('Local Data Previous Year'!$E$3:$E$50000, SMALL(IF(CTR1_Billing!$E$21='Local Data Previous Year'!$A$3:$A$50000, ROW('Local Data Previous Year'!$A$3:$A$50000)-ROW('Local Data Previous Year'!$A$3)+1), ROW(254:254)))), "", INDEX('Local Data Previous Year'!$E$3:$E$50000, SMALL(IF(CTR1_Billing!$E$21='Local Data Previous Year'!$A$3:$A$50000, ROW('Local Data Previous Year'!$A$3:$A$50000)-ROW('Local Data Previous Year'!$A$3)+1), ROW(254:254))))</f>
        <v/>
      </c>
      <c r="AO286" s="209" t="str">
        <f t="shared" si="45"/>
        <v/>
      </c>
      <c r="AP286" s="208"/>
      <c r="AQ286" s="209" t="str">
        <f t="shared" si="46"/>
        <v/>
      </c>
      <c r="AR286" s="209" t="str">
        <f t="shared" si="47"/>
        <v/>
      </c>
      <c r="AS286" s="202" t="str">
        <f t="shared" si="48"/>
        <v/>
      </c>
      <c r="AT286" s="202" t="str">
        <f t="shared" si="49"/>
        <v/>
      </c>
      <c r="AU286" s="208"/>
      <c r="AV286" s="208"/>
      <c r="AW286" s="208"/>
      <c r="AX286" s="208"/>
      <c r="AY286" s="208"/>
      <c r="AZ286" s="208"/>
      <c r="BA286" s="208"/>
      <c r="BB286" s="208"/>
      <c r="BC286" s="208"/>
      <c r="BD286" s="208"/>
      <c r="BE286" s="208"/>
      <c r="BF286" s="208"/>
      <c r="BG286" s="28"/>
      <c r="BH286" s="28"/>
      <c r="BI286" s="28"/>
      <c r="BJ286" s="28"/>
    </row>
    <row r="287" spans="1:62" s="23" customFormat="1" ht="21" customHeight="1" thickBot="1" x14ac:dyDescent="0.25">
      <c r="A287" s="846" t="str">
        <f>IF($AN287="","",IFERROR(VLOOKUP(CONCATENATE(CTR1_Billing!$E$20,$AN287),'Local Data Previous Year'!$C$3:$D$20000,2,0),CTR1_Billing!$E$21&amp;"NEW"))</f>
        <v/>
      </c>
      <c r="B287" s="846" t="str">
        <f>IF($E287="","",IFERROR(VLOOKUP(CONCATENATE(CTR1_Billing!$E$20,CTR1_Local!$E287),'Local Data Previous Year'!$C$3:$D$20000,2,0),CTR1_Billing!$E$21&amp;"NEW"))</f>
        <v/>
      </c>
      <c r="C287" s="846">
        <v>255</v>
      </c>
      <c r="D287" s="755" t="str" cm="1">
        <f t="array" ref="D287">IF(ISERROR(INDEX('Local Data Previous Year'!$D$3:$D$20000,SMALL(IF(CTR1_Billing!$E$21='Local Data Previous Year'!$A$3:$A$20000,ROW('Local Data Previous Year'!$A$3:$A$20000)-ROW('Local Data Previous Year'!$A$3)+1),ROW(255:255)))),"",INDEX('Local Data Previous Year'!$D$3:$D$20000,SMALL(IF(CTR1_Billing!$E$21='Local Data Previous Year'!$A$3:$A$20000,ROW('Local Data Previous Year'!$A$3:$A$20000)-ROW('Local Data Previous Year'!$A$3)+1),ROW(255:255))))</f>
        <v/>
      </c>
      <c r="E287" s="755" t="str" cm="1">
        <f t="array" ref="E287">IF(ISERROR(INDEX('Local Data Previous Year'!$E$3:$E$20000,SMALL(IF(CTR1_Billing!$E$21='Local Data Previous Year'!$A$3:$A$20000,ROW('Local Data Previous Year'!$A$3:$A$20000)-ROW('Local Data Previous Year'!$A$3)+1),ROW(255:255)))),"",INDEX('Local Data Previous Year'!$E$3:$E$20000,SMALL(IF(CTR1_Billing!$E$21='Local Data Previous Year'!$A$3:$A$20000,ROW('Local Data Previous Year'!$A$3:$A$20000)-ROW('Local Data Previous Year'!$A$3)+1),ROW(255:255))))</f>
        <v/>
      </c>
      <c r="F287" s="756" t="str">
        <f>IF($D287="","",IF(ISNA(MATCH($D287,'Local Data Previous Year'!$D$3:$D$20000,0)),"New",IFERROR(VLOOKUP($B287,'Local Data Previous Year'!$D$3:$I$20000,6,0),"")))</f>
        <v/>
      </c>
      <c r="G287" s="757">
        <f t="shared" si="50"/>
        <v>0</v>
      </c>
      <c r="H287" s="758" t="str">
        <f>IFERROR(INDEX('Local Data Previous Year'!$F:$F, MATCH($D287, 'Local Data Previous Year'!$D:$D, 0)), "")</f>
        <v/>
      </c>
      <c r="I287" s="759">
        <f>IF(B287=CTR1_Billing!$E$21&amp;"NEW",1,0)</f>
        <v>0</v>
      </c>
      <c r="J287" s="760" t="str">
        <f>IFERROR(INDEX('Local Data Previous Year'!$G:$G, MATCH($D287, 'Local Data Previous Year'!$D:$D, 0)), "")</f>
        <v/>
      </c>
      <c r="K287" s="762"/>
      <c r="L287" s="760" t="str">
        <f>IFERROR(INDEX('Local Data Previous Year'!$H:$H, MATCH($D287, 'Local Data Previous Year'!$D:$D, 0)), "")</f>
        <v/>
      </c>
      <c r="M287" s="762"/>
      <c r="N287" s="763"/>
      <c r="O287" s="767"/>
      <c r="P287" s="765"/>
      <c r="Q287" s="767"/>
      <c r="R287" s="766" t="str">
        <f t="shared" si="51"/>
        <v/>
      </c>
      <c r="S287" s="754"/>
      <c r="T287" s="763"/>
      <c r="U287" s="754"/>
      <c r="V287" s="763"/>
      <c r="W287" s="763"/>
      <c r="X287" s="865" t="str">
        <f>VLOOKUP(CTR1_Billing!$E$21,Data!$C$6:$D$302,1,FALSE)</f>
        <v>EZZZZ</v>
      </c>
      <c r="Y287" s="205"/>
      <c r="Z287" s="205">
        <f t="shared" si="39"/>
        <v>0</v>
      </c>
      <c r="AA287" s="206" t="str">
        <f t="shared" si="40"/>
        <v/>
      </c>
      <c r="AB287" s="205">
        <f t="shared" si="41"/>
        <v>0</v>
      </c>
      <c r="AC287" s="208"/>
      <c r="AD287" s="208"/>
      <c r="AE287" s="208"/>
      <c r="AF287" s="208"/>
      <c r="AG287" s="209" t="str">
        <f>IFERROR(INDEX('Local Data Previous Year'!$F:$F, MATCH($D287, 'Local Data Previous Year'!$D:$D, 0)), "")</f>
        <v/>
      </c>
      <c r="AH287" s="209" t="str">
        <f>IFERROR(INDEX('Local Data Previous Year'!$G:$G, MATCH($D287, 'Local Data Previous Year'!$D:$D, 0)), "")</f>
        <v/>
      </c>
      <c r="AI287" s="209" t="str">
        <f>IFERROR(INDEX('Local Data Previous Year'!$H:$H, MATCH($D287, 'Local Data Previous Year'!$D:$D, 0)), "")</f>
        <v/>
      </c>
      <c r="AJ287" s="209" t="str">
        <f t="shared" si="42"/>
        <v/>
      </c>
      <c r="AK287" s="209" t="str">
        <f t="shared" si="43"/>
        <v/>
      </c>
      <c r="AL287" s="209" t="str">
        <f t="shared" si="44"/>
        <v/>
      </c>
      <c r="AM287" s="208" t="str">
        <f>IF($AN287="","",IFERROR(VLOOKUP(CONCATENATE(CTR1_Billing!$E$20,$AN287),'Local Data Previous Year'!$C$3:$D$50000,2,0),CTR1_Billing!$E$21&amp;"NEW"))</f>
        <v/>
      </c>
      <c r="AN287" s="209" t="str" cm="1">
        <f t="array" ref="AN287">IF(ISERROR(INDEX('Local Data Previous Year'!$E$3:$E$50000, SMALL(IF(CTR1_Billing!$E$21='Local Data Previous Year'!$A$3:$A$50000, ROW('Local Data Previous Year'!$A$3:$A$50000)-ROW('Local Data Previous Year'!$A$3)+1), ROW(255:255)))), "", INDEX('Local Data Previous Year'!$E$3:$E$50000, SMALL(IF(CTR1_Billing!$E$21='Local Data Previous Year'!$A$3:$A$50000, ROW('Local Data Previous Year'!$A$3:$A$50000)-ROW('Local Data Previous Year'!$A$3)+1), ROW(255:255))))</f>
        <v/>
      </c>
      <c r="AO287" s="209" t="str">
        <f t="shared" si="45"/>
        <v/>
      </c>
      <c r="AP287" s="208"/>
      <c r="AQ287" s="209" t="str">
        <f t="shared" si="46"/>
        <v/>
      </c>
      <c r="AR287" s="209" t="str">
        <f t="shared" si="47"/>
        <v/>
      </c>
      <c r="AS287" s="202" t="str">
        <f t="shared" si="48"/>
        <v/>
      </c>
      <c r="AT287" s="202" t="str">
        <f t="shared" si="49"/>
        <v/>
      </c>
      <c r="AU287" s="208"/>
      <c r="AV287" s="208"/>
      <c r="AW287" s="208"/>
      <c r="AX287" s="208"/>
      <c r="AY287" s="208"/>
      <c r="AZ287" s="208"/>
      <c r="BA287" s="208"/>
      <c r="BB287" s="208"/>
      <c r="BC287" s="208"/>
      <c r="BD287" s="208"/>
      <c r="BE287" s="208"/>
      <c r="BF287" s="208"/>
      <c r="BG287" s="28"/>
      <c r="BH287" s="28"/>
      <c r="BI287" s="28"/>
      <c r="BJ287" s="28"/>
    </row>
    <row r="288" spans="1:62" s="23" customFormat="1" ht="21" customHeight="1" thickBot="1" x14ac:dyDescent="0.25">
      <c r="A288" s="846" t="str">
        <f>IF($AN288="","",IFERROR(VLOOKUP(CONCATENATE(CTR1_Billing!$E$20,$AN288),'Local Data Previous Year'!$C$3:$D$20000,2,0),CTR1_Billing!$E$21&amp;"NEW"))</f>
        <v/>
      </c>
      <c r="B288" s="846" t="str">
        <f>IF($E288="","",IFERROR(VLOOKUP(CONCATENATE(CTR1_Billing!$E$20,CTR1_Local!$E288),'Local Data Previous Year'!$C$3:$D$20000,2,0),CTR1_Billing!$E$21&amp;"NEW"))</f>
        <v/>
      </c>
      <c r="C288" s="846">
        <v>256</v>
      </c>
      <c r="D288" s="755" t="str" cm="1">
        <f t="array" ref="D288">IF(ISERROR(INDEX('Local Data Previous Year'!$D$3:$D$20000,SMALL(IF(CTR1_Billing!$E$21='Local Data Previous Year'!$A$3:$A$20000,ROW('Local Data Previous Year'!$A$3:$A$20000)-ROW('Local Data Previous Year'!$A$3)+1),ROW(256:256)))),"",INDEX('Local Data Previous Year'!$D$3:$D$20000,SMALL(IF(CTR1_Billing!$E$21='Local Data Previous Year'!$A$3:$A$20000,ROW('Local Data Previous Year'!$A$3:$A$20000)-ROW('Local Data Previous Year'!$A$3)+1),ROW(256:256))))</f>
        <v/>
      </c>
      <c r="E288" s="755" t="str" cm="1">
        <f t="array" ref="E288">IF(ISERROR(INDEX('Local Data Previous Year'!$E$3:$E$20000,SMALL(IF(CTR1_Billing!$E$21='Local Data Previous Year'!$A$3:$A$20000,ROW('Local Data Previous Year'!$A$3:$A$20000)-ROW('Local Data Previous Year'!$A$3)+1),ROW(256:256)))),"",INDEX('Local Data Previous Year'!$E$3:$E$20000,SMALL(IF(CTR1_Billing!$E$21='Local Data Previous Year'!$A$3:$A$20000,ROW('Local Data Previous Year'!$A$3:$A$20000)-ROW('Local Data Previous Year'!$A$3)+1),ROW(256:256))))</f>
        <v/>
      </c>
      <c r="F288" s="756" t="str">
        <f>IF($D288="","",IF(ISNA(MATCH($D288,'Local Data Previous Year'!$D$3:$D$20000,0)),"New",IFERROR(VLOOKUP($B288,'Local Data Previous Year'!$D$3:$I$20000,6,0),"")))</f>
        <v/>
      </c>
      <c r="G288" s="757">
        <f t="shared" si="50"/>
        <v>0</v>
      </c>
      <c r="H288" s="758" t="str">
        <f>IFERROR(INDEX('Local Data Previous Year'!$F:$F, MATCH($D288, 'Local Data Previous Year'!$D:$D, 0)), "")</f>
        <v/>
      </c>
      <c r="I288" s="759">
        <f>IF(B288=CTR1_Billing!$E$21&amp;"NEW",1,0)</f>
        <v>0</v>
      </c>
      <c r="J288" s="760" t="str">
        <f>IFERROR(INDEX('Local Data Previous Year'!$G:$G, MATCH($D288, 'Local Data Previous Year'!$D:$D, 0)), "")</f>
        <v/>
      </c>
      <c r="K288" s="762"/>
      <c r="L288" s="760" t="str">
        <f>IFERROR(INDEX('Local Data Previous Year'!$H:$H, MATCH($D288, 'Local Data Previous Year'!$D:$D, 0)), "")</f>
        <v/>
      </c>
      <c r="M288" s="762"/>
      <c r="N288" s="763"/>
      <c r="O288" s="767"/>
      <c r="P288" s="765"/>
      <c r="Q288" s="767"/>
      <c r="R288" s="766" t="str">
        <f t="shared" si="51"/>
        <v/>
      </c>
      <c r="S288" s="754"/>
      <c r="T288" s="763"/>
      <c r="U288" s="754"/>
      <c r="V288" s="763"/>
      <c r="W288" s="763"/>
      <c r="X288" s="865" t="str">
        <f>VLOOKUP(CTR1_Billing!$E$21,Data!$C$6:$D$302,1,FALSE)</f>
        <v>EZZZZ</v>
      </c>
      <c r="Y288" s="205"/>
      <c r="Z288" s="205">
        <f t="shared" si="39"/>
        <v>0</v>
      </c>
      <c r="AA288" s="206" t="str">
        <f t="shared" si="40"/>
        <v/>
      </c>
      <c r="AB288" s="205">
        <f t="shared" si="41"/>
        <v>0</v>
      </c>
      <c r="AC288" s="208"/>
      <c r="AD288" s="208"/>
      <c r="AE288" s="208"/>
      <c r="AF288" s="208"/>
      <c r="AG288" s="209" t="str">
        <f>IFERROR(INDEX('Local Data Previous Year'!$F:$F, MATCH($D288, 'Local Data Previous Year'!$D:$D, 0)), "")</f>
        <v/>
      </c>
      <c r="AH288" s="209" t="str">
        <f>IFERROR(INDEX('Local Data Previous Year'!$G:$G, MATCH($D288, 'Local Data Previous Year'!$D:$D, 0)), "")</f>
        <v/>
      </c>
      <c r="AI288" s="209" t="str">
        <f>IFERROR(INDEX('Local Data Previous Year'!$H:$H, MATCH($D288, 'Local Data Previous Year'!$D:$D, 0)), "")</f>
        <v/>
      </c>
      <c r="AJ288" s="209" t="str">
        <f t="shared" si="42"/>
        <v/>
      </c>
      <c r="AK288" s="209" t="str">
        <f t="shared" si="43"/>
        <v/>
      </c>
      <c r="AL288" s="209" t="str">
        <f t="shared" si="44"/>
        <v/>
      </c>
      <c r="AM288" s="208" t="str">
        <f>IF($AN288="","",IFERROR(VLOOKUP(CONCATENATE(CTR1_Billing!$E$20,$AN288),'Local Data Previous Year'!$C$3:$D$50000,2,0),CTR1_Billing!$E$21&amp;"NEW"))</f>
        <v/>
      </c>
      <c r="AN288" s="209" t="str" cm="1">
        <f t="array" ref="AN288">IF(ISERROR(INDEX('Local Data Previous Year'!$E$3:$E$50000, SMALL(IF(CTR1_Billing!$E$21='Local Data Previous Year'!$A$3:$A$50000, ROW('Local Data Previous Year'!$A$3:$A$50000)-ROW('Local Data Previous Year'!$A$3)+1), ROW(256:256)))), "", INDEX('Local Data Previous Year'!$E$3:$E$50000, SMALL(IF(CTR1_Billing!$E$21='Local Data Previous Year'!$A$3:$A$50000, ROW('Local Data Previous Year'!$A$3:$A$50000)-ROW('Local Data Previous Year'!$A$3)+1), ROW(256:256))))</f>
        <v/>
      </c>
      <c r="AO288" s="209" t="str">
        <f t="shared" si="45"/>
        <v/>
      </c>
      <c r="AP288" s="208"/>
      <c r="AQ288" s="209" t="str">
        <f t="shared" si="46"/>
        <v/>
      </c>
      <c r="AR288" s="209" t="str">
        <f t="shared" si="47"/>
        <v/>
      </c>
      <c r="AS288" s="202" t="str">
        <f t="shared" si="48"/>
        <v/>
      </c>
      <c r="AT288" s="202" t="str">
        <f t="shared" si="49"/>
        <v/>
      </c>
      <c r="AU288" s="208"/>
      <c r="AV288" s="208"/>
      <c r="AW288" s="208"/>
      <c r="AX288" s="208"/>
      <c r="AY288" s="208"/>
      <c r="AZ288" s="208"/>
      <c r="BA288" s="208"/>
      <c r="BB288" s="208"/>
      <c r="BC288" s="208"/>
      <c r="BD288" s="208"/>
      <c r="BE288" s="208"/>
      <c r="BF288" s="208"/>
      <c r="BG288" s="28"/>
      <c r="BH288" s="28"/>
      <c r="BI288" s="28"/>
      <c r="BJ288" s="28"/>
    </row>
    <row r="289" spans="1:62" s="23" customFormat="1" ht="21" customHeight="1" thickBot="1" x14ac:dyDescent="0.25">
      <c r="A289" s="846" t="str">
        <f>IF($AN289="","",IFERROR(VLOOKUP(CONCATENATE(CTR1_Billing!$E$20,$AN289),'Local Data Previous Year'!$C$3:$D$20000,2,0),CTR1_Billing!$E$21&amp;"NEW"))</f>
        <v/>
      </c>
      <c r="B289" s="846" t="str">
        <f>IF($E289="","",IFERROR(VLOOKUP(CONCATENATE(CTR1_Billing!$E$20,CTR1_Local!$E289),'Local Data Previous Year'!$C$3:$D$20000,2,0),CTR1_Billing!$E$21&amp;"NEW"))</f>
        <v/>
      </c>
      <c r="C289" s="846">
        <v>257</v>
      </c>
      <c r="D289" s="755" t="str" cm="1">
        <f t="array" ref="D289">IF(ISERROR(INDEX('Local Data Previous Year'!$D$3:$D$20000,SMALL(IF(CTR1_Billing!$E$21='Local Data Previous Year'!$A$3:$A$20000,ROW('Local Data Previous Year'!$A$3:$A$20000)-ROW('Local Data Previous Year'!$A$3)+1),ROW(257:257)))),"",INDEX('Local Data Previous Year'!$D$3:$D$20000,SMALL(IF(CTR1_Billing!$E$21='Local Data Previous Year'!$A$3:$A$20000,ROW('Local Data Previous Year'!$A$3:$A$20000)-ROW('Local Data Previous Year'!$A$3)+1),ROW(257:257))))</f>
        <v/>
      </c>
      <c r="E289" s="755" t="str" cm="1">
        <f t="array" ref="E289">IF(ISERROR(INDEX('Local Data Previous Year'!$E$3:$E$20000,SMALL(IF(CTR1_Billing!$E$21='Local Data Previous Year'!$A$3:$A$20000,ROW('Local Data Previous Year'!$A$3:$A$20000)-ROW('Local Data Previous Year'!$A$3)+1),ROW(257:257)))),"",INDEX('Local Data Previous Year'!$E$3:$E$20000,SMALL(IF(CTR1_Billing!$E$21='Local Data Previous Year'!$A$3:$A$20000,ROW('Local Data Previous Year'!$A$3:$A$20000)-ROW('Local Data Previous Year'!$A$3)+1),ROW(257:257))))</f>
        <v/>
      </c>
      <c r="F289" s="756" t="str">
        <f>IF($D289="","",IF(ISNA(MATCH($D289,'Local Data Previous Year'!$D$3:$D$20000,0)),"New",IFERROR(VLOOKUP($B289,'Local Data Previous Year'!$D$3:$I$20000,6,0),"")))</f>
        <v/>
      </c>
      <c r="G289" s="757">
        <f t="shared" si="50"/>
        <v>0</v>
      </c>
      <c r="H289" s="758" t="str">
        <f>IFERROR(INDEX('Local Data Previous Year'!$F:$F, MATCH($D289, 'Local Data Previous Year'!$D:$D, 0)), "")</f>
        <v/>
      </c>
      <c r="I289" s="759">
        <f>IF(B289=CTR1_Billing!$E$21&amp;"NEW",1,0)</f>
        <v>0</v>
      </c>
      <c r="J289" s="760" t="str">
        <f>IFERROR(INDEX('Local Data Previous Year'!$G:$G, MATCH($D289, 'Local Data Previous Year'!$D:$D, 0)), "")</f>
        <v/>
      </c>
      <c r="K289" s="762"/>
      <c r="L289" s="760" t="str">
        <f>IFERROR(INDEX('Local Data Previous Year'!$H:$H, MATCH($D289, 'Local Data Previous Year'!$D:$D, 0)), "")</f>
        <v/>
      </c>
      <c r="M289" s="762"/>
      <c r="N289" s="763"/>
      <c r="O289" s="767"/>
      <c r="P289" s="765"/>
      <c r="Q289" s="767"/>
      <c r="R289" s="766" t="str">
        <f t="shared" si="51"/>
        <v/>
      </c>
      <c r="S289" s="754"/>
      <c r="T289" s="763"/>
      <c r="U289" s="754"/>
      <c r="V289" s="763"/>
      <c r="W289" s="763"/>
      <c r="X289" s="865" t="str">
        <f>VLOOKUP(CTR1_Billing!$E$21,Data!$C$6:$D$302,1,FALSE)</f>
        <v>EZZZZ</v>
      </c>
      <c r="Y289" s="205"/>
      <c r="Z289" s="205">
        <f t="shared" ref="Z289:Z352" si="52">IF(OR(P289&gt;AQ289,P289&lt;AR289),1,0)</f>
        <v>0</v>
      </c>
      <c r="AA289" s="206" t="str">
        <f t="shared" si="40"/>
        <v/>
      </c>
      <c r="AB289" s="205">
        <f t="shared" ref="AB289:AB352" si="53">IF(OR(R289&gt;AS289,R289&lt;AT289),1,0)</f>
        <v>0</v>
      </c>
      <c r="AC289" s="208"/>
      <c r="AD289" s="208"/>
      <c r="AE289" s="208"/>
      <c r="AF289" s="208"/>
      <c r="AG289" s="209" t="str">
        <f>IFERROR(INDEX('Local Data Previous Year'!$F:$F, MATCH($D289, 'Local Data Previous Year'!$D:$D, 0)), "")</f>
        <v/>
      </c>
      <c r="AH289" s="209" t="str">
        <f>IFERROR(INDEX('Local Data Previous Year'!$G:$G, MATCH($D289, 'Local Data Previous Year'!$D:$D, 0)), "")</f>
        <v/>
      </c>
      <c r="AI289" s="209" t="str">
        <f>IFERROR(INDEX('Local Data Previous Year'!$H:$H, MATCH($D289, 'Local Data Previous Year'!$D:$D, 0)), "")</f>
        <v/>
      </c>
      <c r="AJ289" s="209" t="str">
        <f t="shared" ref="AJ289:AJ352" si="54">IF(AG289=H289,"","change")</f>
        <v/>
      </c>
      <c r="AK289" s="209" t="str">
        <f t="shared" ref="AK289:AK352" si="55">IF(AH289=J289,"","change")</f>
        <v/>
      </c>
      <c r="AL289" s="209" t="str">
        <f t="shared" ref="AL289:AL352" si="56">IF(AI289=L289,"","change")</f>
        <v/>
      </c>
      <c r="AM289" s="208" t="str">
        <f>IF($AN289="","",IFERROR(VLOOKUP(CONCATENATE(CTR1_Billing!$E$20,$AN289),'Local Data Previous Year'!$C$3:$D$50000,2,0),CTR1_Billing!$E$21&amp;"NEW"))</f>
        <v/>
      </c>
      <c r="AN289" s="209" t="str" cm="1">
        <f t="array" ref="AN289">IF(ISERROR(INDEX('Local Data Previous Year'!$E$3:$E$50000, SMALL(IF(CTR1_Billing!$E$21='Local Data Previous Year'!$A$3:$A$50000, ROW('Local Data Previous Year'!$A$3:$A$50000)-ROW('Local Data Previous Year'!$A$3)+1), ROW(257:257)))), "", INDEX('Local Data Previous Year'!$E$3:$E$50000, SMALL(IF(CTR1_Billing!$E$21='Local Data Previous Year'!$A$3:$A$50000, ROW('Local Data Previous Year'!$A$3:$A$50000)-ROW('Local Data Previous Year'!$A$3)+1), ROW(257:257))))</f>
        <v/>
      </c>
      <c r="AO289" s="209" t="str">
        <f t="shared" ref="AO289:AO352" si="57">IF(AN289=E289,"","change")</f>
        <v/>
      </c>
      <c r="AP289" s="208"/>
      <c r="AQ289" s="209" t="str">
        <f t="shared" ref="AQ289:AQ352" si="58">IFERROR(J289*1.1,"")</f>
        <v/>
      </c>
      <c r="AR289" s="209" t="str">
        <f t="shared" ref="AR289:AR352" si="59">IFERROR(J289*0.9,"")</f>
        <v/>
      </c>
      <c r="AS289" s="202" t="str">
        <f t="shared" ref="AS289:AS352" si="60">IFERROR(L289+20,"")</f>
        <v/>
      </c>
      <c r="AT289" s="202" t="str">
        <f t="shared" ref="AT289:AT352" si="61">IFERROR(L289-20,"")</f>
        <v/>
      </c>
      <c r="AU289" s="208"/>
      <c r="AV289" s="208"/>
      <c r="AW289" s="208"/>
      <c r="AX289" s="208"/>
      <c r="AY289" s="208"/>
      <c r="AZ289" s="208"/>
      <c r="BA289" s="208"/>
      <c r="BB289" s="208"/>
      <c r="BC289" s="208"/>
      <c r="BD289" s="208"/>
      <c r="BE289" s="208"/>
      <c r="BF289" s="208"/>
      <c r="BG289" s="28"/>
      <c r="BH289" s="28"/>
      <c r="BI289" s="28"/>
      <c r="BJ289" s="28"/>
    </row>
    <row r="290" spans="1:62" s="23" customFormat="1" ht="21" customHeight="1" thickBot="1" x14ac:dyDescent="0.25">
      <c r="A290" s="846" t="str">
        <f>IF($AN290="","",IFERROR(VLOOKUP(CONCATENATE(CTR1_Billing!$E$20,$AN290),'Local Data Previous Year'!$C$3:$D$20000,2,0),CTR1_Billing!$E$21&amp;"NEW"))</f>
        <v/>
      </c>
      <c r="B290" s="846" t="str">
        <f>IF($E290="","",IFERROR(VLOOKUP(CONCATENATE(CTR1_Billing!$E$20,CTR1_Local!$E290),'Local Data Previous Year'!$C$3:$D$20000,2,0),CTR1_Billing!$E$21&amp;"NEW"))</f>
        <v/>
      </c>
      <c r="C290" s="846">
        <v>258</v>
      </c>
      <c r="D290" s="755" t="str" cm="1">
        <f t="array" ref="D290">IF(ISERROR(INDEX('Local Data Previous Year'!$D$3:$D$20000,SMALL(IF(CTR1_Billing!$E$21='Local Data Previous Year'!$A$3:$A$20000,ROW('Local Data Previous Year'!$A$3:$A$20000)-ROW('Local Data Previous Year'!$A$3)+1),ROW(258:258)))),"",INDEX('Local Data Previous Year'!$D$3:$D$20000,SMALL(IF(CTR1_Billing!$E$21='Local Data Previous Year'!$A$3:$A$20000,ROW('Local Data Previous Year'!$A$3:$A$20000)-ROW('Local Data Previous Year'!$A$3)+1),ROW(258:258))))</f>
        <v/>
      </c>
      <c r="E290" s="755" t="str" cm="1">
        <f t="array" ref="E290">IF(ISERROR(INDEX('Local Data Previous Year'!$E$3:$E$20000,SMALL(IF(CTR1_Billing!$E$21='Local Data Previous Year'!$A$3:$A$20000,ROW('Local Data Previous Year'!$A$3:$A$20000)-ROW('Local Data Previous Year'!$A$3)+1),ROW(258:258)))),"",INDEX('Local Data Previous Year'!$E$3:$E$20000,SMALL(IF(CTR1_Billing!$E$21='Local Data Previous Year'!$A$3:$A$20000,ROW('Local Data Previous Year'!$A$3:$A$20000)-ROW('Local Data Previous Year'!$A$3)+1),ROW(258:258))))</f>
        <v/>
      </c>
      <c r="F290" s="756" t="str">
        <f>IF($D290="","",IF(ISNA(MATCH($D290,'Local Data Previous Year'!$D$3:$D$20000,0)),"New",IFERROR(VLOOKUP($B290,'Local Data Previous Year'!$D$3:$I$20000,6,0),"")))</f>
        <v/>
      </c>
      <c r="G290" s="757">
        <f t="shared" ref="G290:G353" si="62">IF(F290="Charter Trustee",1,0)</f>
        <v>0</v>
      </c>
      <c r="H290" s="758" t="str">
        <f>IFERROR(INDEX('Local Data Previous Year'!$F:$F, MATCH($D290, 'Local Data Previous Year'!$D:$D, 0)), "")</f>
        <v/>
      </c>
      <c r="I290" s="759">
        <f>IF(B290=CTR1_Billing!$E$21&amp;"NEW",1,0)</f>
        <v>0</v>
      </c>
      <c r="J290" s="760" t="str">
        <f>IFERROR(INDEX('Local Data Previous Year'!$G:$G, MATCH($D290, 'Local Data Previous Year'!$D:$D, 0)), "")</f>
        <v/>
      </c>
      <c r="K290" s="762"/>
      <c r="L290" s="760" t="str">
        <f>IFERROR(INDEX('Local Data Previous Year'!$H:$H, MATCH($D290, 'Local Data Previous Year'!$D:$D, 0)), "")</f>
        <v/>
      </c>
      <c r="M290" s="762"/>
      <c r="N290" s="763"/>
      <c r="O290" s="767"/>
      <c r="P290" s="765"/>
      <c r="Q290" s="767"/>
      <c r="R290" s="766" t="str">
        <f t="shared" si="51"/>
        <v/>
      </c>
      <c r="S290" s="754"/>
      <c r="T290" s="763"/>
      <c r="U290" s="754"/>
      <c r="V290" s="763"/>
      <c r="W290" s="763"/>
      <c r="X290" s="865" t="str">
        <f>VLOOKUP(CTR1_Billing!$E$21,Data!$C$6:$D$302,1,FALSE)</f>
        <v>EZZZZ</v>
      </c>
      <c r="Y290" s="205"/>
      <c r="Z290" s="205">
        <f t="shared" si="52"/>
        <v>0</v>
      </c>
      <c r="AA290" s="206" t="str">
        <f t="shared" si="40"/>
        <v/>
      </c>
      <c r="AB290" s="205">
        <f t="shared" si="53"/>
        <v>0</v>
      </c>
      <c r="AC290" s="208"/>
      <c r="AD290" s="208"/>
      <c r="AE290" s="208"/>
      <c r="AF290" s="208"/>
      <c r="AG290" s="209" t="str">
        <f>IFERROR(INDEX('Local Data Previous Year'!$F:$F, MATCH($D290, 'Local Data Previous Year'!$D:$D, 0)), "")</f>
        <v/>
      </c>
      <c r="AH290" s="209" t="str">
        <f>IFERROR(INDEX('Local Data Previous Year'!$G:$G, MATCH($D290, 'Local Data Previous Year'!$D:$D, 0)), "")</f>
        <v/>
      </c>
      <c r="AI290" s="209" t="str">
        <f>IFERROR(INDEX('Local Data Previous Year'!$H:$H, MATCH($D290, 'Local Data Previous Year'!$D:$D, 0)), "")</f>
        <v/>
      </c>
      <c r="AJ290" s="209" t="str">
        <f t="shared" si="54"/>
        <v/>
      </c>
      <c r="AK290" s="209" t="str">
        <f t="shared" si="55"/>
        <v/>
      </c>
      <c r="AL290" s="209" t="str">
        <f t="shared" si="56"/>
        <v/>
      </c>
      <c r="AM290" s="208" t="str">
        <f>IF($AN290="","",IFERROR(VLOOKUP(CONCATENATE(CTR1_Billing!$E$20,$AN290),'Local Data Previous Year'!$C$3:$D$50000,2,0),CTR1_Billing!$E$21&amp;"NEW"))</f>
        <v/>
      </c>
      <c r="AN290" s="209" t="str" cm="1">
        <f t="array" ref="AN290">IF(ISERROR(INDEX('Local Data Previous Year'!$E$3:$E$50000, SMALL(IF(CTR1_Billing!$E$21='Local Data Previous Year'!$A$3:$A$50000, ROW('Local Data Previous Year'!$A$3:$A$50000)-ROW('Local Data Previous Year'!$A$3)+1), ROW(258:258)))), "", INDEX('Local Data Previous Year'!$E$3:$E$50000, SMALL(IF(CTR1_Billing!$E$21='Local Data Previous Year'!$A$3:$A$50000, ROW('Local Data Previous Year'!$A$3:$A$50000)-ROW('Local Data Previous Year'!$A$3)+1), ROW(258:258))))</f>
        <v/>
      </c>
      <c r="AO290" s="209" t="str">
        <f t="shared" si="57"/>
        <v/>
      </c>
      <c r="AP290" s="208"/>
      <c r="AQ290" s="209" t="str">
        <f t="shared" si="58"/>
        <v/>
      </c>
      <c r="AR290" s="209" t="str">
        <f t="shared" si="59"/>
        <v/>
      </c>
      <c r="AS290" s="202" t="str">
        <f t="shared" si="60"/>
        <v/>
      </c>
      <c r="AT290" s="202" t="str">
        <f t="shared" si="61"/>
        <v/>
      </c>
      <c r="AU290" s="208"/>
      <c r="AV290" s="208"/>
      <c r="AW290" s="208"/>
      <c r="AX290" s="208"/>
      <c r="AY290" s="208"/>
      <c r="AZ290" s="208"/>
      <c r="BA290" s="208"/>
      <c r="BB290" s="208"/>
      <c r="BC290" s="208"/>
      <c r="BD290" s="208"/>
      <c r="BE290" s="208"/>
      <c r="BF290" s="208"/>
      <c r="BG290" s="28"/>
      <c r="BH290" s="28"/>
      <c r="BI290" s="28"/>
      <c r="BJ290" s="28"/>
    </row>
    <row r="291" spans="1:62" s="23" customFormat="1" ht="21" customHeight="1" thickBot="1" x14ac:dyDescent="0.25">
      <c r="A291" s="846" t="str">
        <f>IF($AN291="","",IFERROR(VLOOKUP(CONCATENATE(CTR1_Billing!$E$20,$AN291),'Local Data Previous Year'!$C$3:$D$20000,2,0),CTR1_Billing!$E$21&amp;"NEW"))</f>
        <v/>
      </c>
      <c r="B291" s="846" t="str">
        <f>IF($E291="","",IFERROR(VLOOKUP(CONCATENATE(CTR1_Billing!$E$20,CTR1_Local!$E291),'Local Data Previous Year'!$C$3:$D$20000,2,0),CTR1_Billing!$E$21&amp;"NEW"))</f>
        <v/>
      </c>
      <c r="C291" s="846">
        <v>259</v>
      </c>
      <c r="D291" s="755" t="str" cm="1">
        <f t="array" ref="D291">IF(ISERROR(INDEX('Local Data Previous Year'!$D$3:$D$20000,SMALL(IF(CTR1_Billing!$E$21='Local Data Previous Year'!$A$3:$A$20000,ROW('Local Data Previous Year'!$A$3:$A$20000)-ROW('Local Data Previous Year'!$A$3)+1),ROW(259:259)))),"",INDEX('Local Data Previous Year'!$D$3:$D$20000,SMALL(IF(CTR1_Billing!$E$21='Local Data Previous Year'!$A$3:$A$20000,ROW('Local Data Previous Year'!$A$3:$A$20000)-ROW('Local Data Previous Year'!$A$3)+1),ROW(259:259))))</f>
        <v/>
      </c>
      <c r="E291" s="755" t="str" cm="1">
        <f t="array" ref="E291">IF(ISERROR(INDEX('Local Data Previous Year'!$E$3:$E$20000,SMALL(IF(CTR1_Billing!$E$21='Local Data Previous Year'!$A$3:$A$20000,ROW('Local Data Previous Year'!$A$3:$A$20000)-ROW('Local Data Previous Year'!$A$3)+1),ROW(259:259)))),"",INDEX('Local Data Previous Year'!$E$3:$E$20000,SMALL(IF(CTR1_Billing!$E$21='Local Data Previous Year'!$A$3:$A$20000,ROW('Local Data Previous Year'!$A$3:$A$20000)-ROW('Local Data Previous Year'!$A$3)+1),ROW(259:259))))</f>
        <v/>
      </c>
      <c r="F291" s="756" t="str">
        <f>IF($D291="","",IF(ISNA(MATCH($D291,'Local Data Previous Year'!$D$3:$D$20000,0)),"New",IFERROR(VLOOKUP($B291,'Local Data Previous Year'!$D$3:$I$20000,6,0),"")))</f>
        <v/>
      </c>
      <c r="G291" s="757">
        <f t="shared" si="62"/>
        <v>0</v>
      </c>
      <c r="H291" s="758" t="str">
        <f>IFERROR(INDEX('Local Data Previous Year'!$F:$F, MATCH($D291, 'Local Data Previous Year'!$D:$D, 0)), "")</f>
        <v/>
      </c>
      <c r="I291" s="759">
        <f>IF(B291=CTR1_Billing!$E$21&amp;"NEW",1,0)</f>
        <v>0</v>
      </c>
      <c r="J291" s="760" t="str">
        <f>IFERROR(INDEX('Local Data Previous Year'!$G:$G, MATCH($D291, 'Local Data Previous Year'!$D:$D, 0)), "")</f>
        <v/>
      </c>
      <c r="K291" s="762"/>
      <c r="L291" s="760" t="str">
        <f>IFERROR(INDEX('Local Data Previous Year'!$H:$H, MATCH($D291, 'Local Data Previous Year'!$D:$D, 0)), "")</f>
        <v/>
      </c>
      <c r="M291" s="762"/>
      <c r="N291" s="763"/>
      <c r="O291" s="767"/>
      <c r="P291" s="765"/>
      <c r="Q291" s="767"/>
      <c r="R291" s="766" t="str">
        <f t="shared" ref="R291:R354" si="63">+IF(N291="","",IF(N291+P291=0,0,+N291/P291))</f>
        <v/>
      </c>
      <c r="S291" s="754"/>
      <c r="T291" s="763"/>
      <c r="U291" s="754"/>
      <c r="V291" s="763"/>
      <c r="W291" s="763"/>
      <c r="X291" s="865" t="str">
        <f>VLOOKUP(CTR1_Billing!$E$21,Data!$C$6:$D$302,1,FALSE)</f>
        <v>EZZZZ</v>
      </c>
      <c r="Y291" s="205"/>
      <c r="Z291" s="205">
        <f t="shared" si="52"/>
        <v>0</v>
      </c>
      <c r="AA291" s="206" t="str">
        <f t="shared" si="40"/>
        <v/>
      </c>
      <c r="AB291" s="205">
        <f t="shared" si="53"/>
        <v>0</v>
      </c>
      <c r="AC291" s="208"/>
      <c r="AD291" s="208"/>
      <c r="AE291" s="208"/>
      <c r="AF291" s="208"/>
      <c r="AG291" s="209" t="str">
        <f>IFERROR(INDEX('Local Data Previous Year'!$F:$F, MATCH($D291, 'Local Data Previous Year'!$D:$D, 0)), "")</f>
        <v/>
      </c>
      <c r="AH291" s="209" t="str">
        <f>IFERROR(INDEX('Local Data Previous Year'!$G:$G, MATCH($D291, 'Local Data Previous Year'!$D:$D, 0)), "")</f>
        <v/>
      </c>
      <c r="AI291" s="209" t="str">
        <f>IFERROR(INDEX('Local Data Previous Year'!$H:$H, MATCH($D291, 'Local Data Previous Year'!$D:$D, 0)), "")</f>
        <v/>
      </c>
      <c r="AJ291" s="209" t="str">
        <f t="shared" si="54"/>
        <v/>
      </c>
      <c r="AK291" s="209" t="str">
        <f t="shared" si="55"/>
        <v/>
      </c>
      <c r="AL291" s="209" t="str">
        <f t="shared" si="56"/>
        <v/>
      </c>
      <c r="AM291" s="208" t="str">
        <f>IF($AN291="","",IFERROR(VLOOKUP(CONCATENATE(CTR1_Billing!$E$20,$AN291),'Local Data Previous Year'!$C$3:$D$50000,2,0),CTR1_Billing!$E$21&amp;"NEW"))</f>
        <v/>
      </c>
      <c r="AN291" s="209" t="str" cm="1">
        <f t="array" ref="AN291">IF(ISERROR(INDEX('Local Data Previous Year'!$E$3:$E$50000, SMALL(IF(CTR1_Billing!$E$21='Local Data Previous Year'!$A$3:$A$50000, ROW('Local Data Previous Year'!$A$3:$A$50000)-ROW('Local Data Previous Year'!$A$3)+1), ROW(259:259)))), "", INDEX('Local Data Previous Year'!$E$3:$E$50000, SMALL(IF(CTR1_Billing!$E$21='Local Data Previous Year'!$A$3:$A$50000, ROW('Local Data Previous Year'!$A$3:$A$50000)-ROW('Local Data Previous Year'!$A$3)+1), ROW(259:259))))</f>
        <v/>
      </c>
      <c r="AO291" s="209" t="str">
        <f t="shared" si="57"/>
        <v/>
      </c>
      <c r="AP291" s="208"/>
      <c r="AQ291" s="209" t="str">
        <f t="shared" si="58"/>
        <v/>
      </c>
      <c r="AR291" s="209" t="str">
        <f t="shared" si="59"/>
        <v/>
      </c>
      <c r="AS291" s="202" t="str">
        <f t="shared" si="60"/>
        <v/>
      </c>
      <c r="AT291" s="202" t="str">
        <f t="shared" si="61"/>
        <v/>
      </c>
      <c r="AU291" s="208"/>
      <c r="AV291" s="208"/>
      <c r="AW291" s="208"/>
      <c r="AX291" s="208"/>
      <c r="AY291" s="208"/>
      <c r="AZ291" s="208"/>
      <c r="BA291" s="208"/>
      <c r="BB291" s="208"/>
      <c r="BC291" s="208"/>
      <c r="BD291" s="208"/>
      <c r="BE291" s="208"/>
      <c r="BF291" s="208"/>
      <c r="BG291" s="28"/>
      <c r="BH291" s="28"/>
      <c r="BI291" s="28"/>
      <c r="BJ291" s="28"/>
    </row>
    <row r="292" spans="1:62" s="23" customFormat="1" ht="21" customHeight="1" thickBot="1" x14ac:dyDescent="0.25">
      <c r="A292" s="846" t="str">
        <f>IF($AN292="","",IFERROR(VLOOKUP(CONCATENATE(CTR1_Billing!$E$20,$AN292),'Local Data Previous Year'!$C$3:$D$20000,2,0),CTR1_Billing!$E$21&amp;"NEW"))</f>
        <v/>
      </c>
      <c r="B292" s="846" t="str">
        <f>IF($E292="","",IFERROR(VLOOKUP(CONCATENATE(CTR1_Billing!$E$20,CTR1_Local!$E292),'Local Data Previous Year'!$C$3:$D$20000,2,0),CTR1_Billing!$E$21&amp;"NEW"))</f>
        <v/>
      </c>
      <c r="C292" s="846">
        <v>260</v>
      </c>
      <c r="D292" s="755" t="str" cm="1">
        <f t="array" ref="D292">IF(ISERROR(INDEX('Local Data Previous Year'!$D$3:$D$20000,SMALL(IF(CTR1_Billing!$E$21='Local Data Previous Year'!$A$3:$A$20000,ROW('Local Data Previous Year'!$A$3:$A$20000)-ROW('Local Data Previous Year'!$A$3)+1),ROW(260:260)))),"",INDEX('Local Data Previous Year'!$D$3:$D$20000,SMALL(IF(CTR1_Billing!$E$21='Local Data Previous Year'!$A$3:$A$20000,ROW('Local Data Previous Year'!$A$3:$A$20000)-ROW('Local Data Previous Year'!$A$3)+1),ROW(260:260))))</f>
        <v/>
      </c>
      <c r="E292" s="755" t="str" cm="1">
        <f t="array" ref="E292">IF(ISERROR(INDEX('Local Data Previous Year'!$E$3:$E$20000,SMALL(IF(CTR1_Billing!$E$21='Local Data Previous Year'!$A$3:$A$20000,ROW('Local Data Previous Year'!$A$3:$A$20000)-ROW('Local Data Previous Year'!$A$3)+1),ROW(260:260)))),"",INDEX('Local Data Previous Year'!$E$3:$E$20000,SMALL(IF(CTR1_Billing!$E$21='Local Data Previous Year'!$A$3:$A$20000,ROW('Local Data Previous Year'!$A$3:$A$20000)-ROW('Local Data Previous Year'!$A$3)+1),ROW(260:260))))</f>
        <v/>
      </c>
      <c r="F292" s="756" t="str">
        <f>IF($D292="","",IF(ISNA(MATCH($D292,'Local Data Previous Year'!$D$3:$D$20000,0)),"New",IFERROR(VLOOKUP($B292,'Local Data Previous Year'!$D$3:$I$20000,6,0),"")))</f>
        <v/>
      </c>
      <c r="G292" s="757">
        <f t="shared" si="62"/>
        <v>0</v>
      </c>
      <c r="H292" s="758" t="str">
        <f>IFERROR(INDEX('Local Data Previous Year'!$F:$F, MATCH($D292, 'Local Data Previous Year'!$D:$D, 0)), "")</f>
        <v/>
      </c>
      <c r="I292" s="759">
        <f>IF(B292=CTR1_Billing!$E$21&amp;"NEW",1,0)</f>
        <v>0</v>
      </c>
      <c r="J292" s="760" t="str">
        <f>IFERROR(INDEX('Local Data Previous Year'!$G:$G, MATCH($D292, 'Local Data Previous Year'!$D:$D, 0)), "")</f>
        <v/>
      </c>
      <c r="K292" s="762"/>
      <c r="L292" s="760" t="str">
        <f>IFERROR(INDEX('Local Data Previous Year'!$H:$H, MATCH($D292, 'Local Data Previous Year'!$D:$D, 0)), "")</f>
        <v/>
      </c>
      <c r="M292" s="762"/>
      <c r="N292" s="763"/>
      <c r="O292" s="767"/>
      <c r="P292" s="765"/>
      <c r="Q292" s="767"/>
      <c r="R292" s="766" t="str">
        <f t="shared" si="63"/>
        <v/>
      </c>
      <c r="S292" s="754"/>
      <c r="T292" s="763"/>
      <c r="U292" s="754"/>
      <c r="V292" s="763"/>
      <c r="W292" s="763"/>
      <c r="X292" s="865" t="str">
        <f>VLOOKUP(CTR1_Billing!$E$21,Data!$C$6:$D$302,1,FALSE)</f>
        <v>EZZZZ</v>
      </c>
      <c r="Y292" s="205"/>
      <c r="Z292" s="205">
        <f t="shared" si="52"/>
        <v>0</v>
      </c>
      <c r="AA292" s="206" t="str">
        <f t="shared" si="40"/>
        <v/>
      </c>
      <c r="AB292" s="205">
        <f t="shared" si="53"/>
        <v>0</v>
      </c>
      <c r="AC292" s="208"/>
      <c r="AD292" s="208"/>
      <c r="AE292" s="208"/>
      <c r="AF292" s="208"/>
      <c r="AG292" s="209" t="str">
        <f>IFERROR(INDEX('Local Data Previous Year'!$F:$F, MATCH($D292, 'Local Data Previous Year'!$D:$D, 0)), "")</f>
        <v/>
      </c>
      <c r="AH292" s="209" t="str">
        <f>IFERROR(INDEX('Local Data Previous Year'!$G:$G, MATCH($D292, 'Local Data Previous Year'!$D:$D, 0)), "")</f>
        <v/>
      </c>
      <c r="AI292" s="209" t="str">
        <f>IFERROR(INDEX('Local Data Previous Year'!$H:$H, MATCH($D292, 'Local Data Previous Year'!$D:$D, 0)), "")</f>
        <v/>
      </c>
      <c r="AJ292" s="209" t="str">
        <f t="shared" si="54"/>
        <v/>
      </c>
      <c r="AK292" s="209" t="str">
        <f t="shared" si="55"/>
        <v/>
      </c>
      <c r="AL292" s="209" t="str">
        <f t="shared" si="56"/>
        <v/>
      </c>
      <c r="AM292" s="208" t="str">
        <f>IF($AN292="","",IFERROR(VLOOKUP(CONCATENATE(CTR1_Billing!$E$20,$AN292),'Local Data Previous Year'!$C$3:$D$50000,2,0),CTR1_Billing!$E$21&amp;"NEW"))</f>
        <v/>
      </c>
      <c r="AN292" s="209" t="str" cm="1">
        <f t="array" ref="AN292">IF(ISERROR(INDEX('Local Data Previous Year'!$E$3:$E$50000, SMALL(IF(CTR1_Billing!$E$21='Local Data Previous Year'!$A$3:$A$50000, ROW('Local Data Previous Year'!$A$3:$A$50000)-ROW('Local Data Previous Year'!$A$3)+1), ROW(260:260)))), "", INDEX('Local Data Previous Year'!$E$3:$E$50000, SMALL(IF(CTR1_Billing!$E$21='Local Data Previous Year'!$A$3:$A$50000, ROW('Local Data Previous Year'!$A$3:$A$50000)-ROW('Local Data Previous Year'!$A$3)+1), ROW(260:260))))</f>
        <v/>
      </c>
      <c r="AO292" s="209" t="str">
        <f t="shared" si="57"/>
        <v/>
      </c>
      <c r="AP292" s="208"/>
      <c r="AQ292" s="209" t="str">
        <f t="shared" si="58"/>
        <v/>
      </c>
      <c r="AR292" s="209" t="str">
        <f t="shared" si="59"/>
        <v/>
      </c>
      <c r="AS292" s="202" t="str">
        <f t="shared" si="60"/>
        <v/>
      </c>
      <c r="AT292" s="202" t="str">
        <f t="shared" si="61"/>
        <v/>
      </c>
      <c r="AU292" s="208"/>
      <c r="AV292" s="208"/>
      <c r="AW292" s="208"/>
      <c r="AX292" s="208"/>
      <c r="AY292" s="208"/>
      <c r="AZ292" s="208"/>
      <c r="BA292" s="208"/>
      <c r="BB292" s="208"/>
      <c r="BC292" s="208"/>
      <c r="BD292" s="208"/>
      <c r="BE292" s="208"/>
      <c r="BF292" s="208"/>
      <c r="BG292" s="28"/>
      <c r="BH292" s="28"/>
      <c r="BI292" s="28"/>
      <c r="BJ292" s="28"/>
    </row>
    <row r="293" spans="1:62" s="23" customFormat="1" ht="21" customHeight="1" thickBot="1" x14ac:dyDescent="0.25">
      <c r="A293" s="846" t="str">
        <f>IF($AN293="","",IFERROR(VLOOKUP(CONCATENATE(CTR1_Billing!$E$20,$AN293),'Local Data Previous Year'!$C$3:$D$20000,2,0),CTR1_Billing!$E$21&amp;"NEW"))</f>
        <v/>
      </c>
      <c r="B293" s="846" t="str">
        <f>IF($E293="","",IFERROR(VLOOKUP(CONCATENATE(CTR1_Billing!$E$20,CTR1_Local!$E293),'Local Data Previous Year'!$C$3:$D$20000,2,0),CTR1_Billing!$E$21&amp;"NEW"))</f>
        <v/>
      </c>
      <c r="C293" s="846">
        <v>261</v>
      </c>
      <c r="D293" s="755" t="str" cm="1">
        <f t="array" ref="D293">IF(ISERROR(INDEX('Local Data Previous Year'!$D$3:$D$20000,SMALL(IF(CTR1_Billing!$E$21='Local Data Previous Year'!$A$3:$A$20000,ROW('Local Data Previous Year'!$A$3:$A$20000)-ROW('Local Data Previous Year'!$A$3)+1),ROW(261:261)))),"",INDEX('Local Data Previous Year'!$D$3:$D$20000,SMALL(IF(CTR1_Billing!$E$21='Local Data Previous Year'!$A$3:$A$20000,ROW('Local Data Previous Year'!$A$3:$A$20000)-ROW('Local Data Previous Year'!$A$3)+1),ROW(261:261))))</f>
        <v/>
      </c>
      <c r="E293" s="755" t="str" cm="1">
        <f t="array" ref="E293">IF(ISERROR(INDEX('Local Data Previous Year'!$E$3:$E$20000,SMALL(IF(CTR1_Billing!$E$21='Local Data Previous Year'!$A$3:$A$20000,ROW('Local Data Previous Year'!$A$3:$A$20000)-ROW('Local Data Previous Year'!$A$3)+1),ROW(261:261)))),"",INDEX('Local Data Previous Year'!$E$3:$E$20000,SMALL(IF(CTR1_Billing!$E$21='Local Data Previous Year'!$A$3:$A$20000,ROW('Local Data Previous Year'!$A$3:$A$20000)-ROW('Local Data Previous Year'!$A$3)+1),ROW(261:261))))</f>
        <v/>
      </c>
      <c r="F293" s="756" t="str">
        <f>IF($D293="","",IF(ISNA(MATCH($D293,'Local Data Previous Year'!$D$3:$D$20000,0)),"New",IFERROR(VLOOKUP($B293,'Local Data Previous Year'!$D$3:$I$20000,6,0),"")))</f>
        <v/>
      </c>
      <c r="G293" s="757">
        <f t="shared" si="62"/>
        <v>0</v>
      </c>
      <c r="H293" s="758" t="str">
        <f>IFERROR(INDEX('Local Data Previous Year'!$F:$F, MATCH($D293, 'Local Data Previous Year'!$D:$D, 0)), "")</f>
        <v/>
      </c>
      <c r="I293" s="759">
        <f>IF(B293=CTR1_Billing!$E$21&amp;"NEW",1,0)</f>
        <v>0</v>
      </c>
      <c r="J293" s="760" t="str">
        <f>IFERROR(INDEX('Local Data Previous Year'!$G:$G, MATCH($D293, 'Local Data Previous Year'!$D:$D, 0)), "")</f>
        <v/>
      </c>
      <c r="K293" s="762"/>
      <c r="L293" s="760" t="str">
        <f>IFERROR(INDEX('Local Data Previous Year'!$H:$H, MATCH($D293, 'Local Data Previous Year'!$D:$D, 0)), "")</f>
        <v/>
      </c>
      <c r="M293" s="762"/>
      <c r="N293" s="763"/>
      <c r="O293" s="767"/>
      <c r="P293" s="765"/>
      <c r="Q293" s="767"/>
      <c r="R293" s="766" t="str">
        <f t="shared" si="63"/>
        <v/>
      </c>
      <c r="S293" s="754"/>
      <c r="T293" s="763"/>
      <c r="U293" s="754"/>
      <c r="V293" s="763"/>
      <c r="W293" s="763"/>
      <c r="X293" s="865" t="str">
        <f>VLOOKUP(CTR1_Billing!$E$21,Data!$C$6:$D$302,1,FALSE)</f>
        <v>EZZZZ</v>
      </c>
      <c r="Y293" s="205"/>
      <c r="Z293" s="205">
        <f t="shared" si="52"/>
        <v>0</v>
      </c>
      <c r="AA293" s="206" t="str">
        <f t="shared" si="40"/>
        <v/>
      </c>
      <c r="AB293" s="205">
        <f t="shared" si="53"/>
        <v>0</v>
      </c>
      <c r="AC293" s="208"/>
      <c r="AD293" s="208"/>
      <c r="AE293" s="208"/>
      <c r="AF293" s="208"/>
      <c r="AG293" s="209" t="str">
        <f>IFERROR(INDEX('Local Data Previous Year'!$F:$F, MATCH($D293, 'Local Data Previous Year'!$D:$D, 0)), "")</f>
        <v/>
      </c>
      <c r="AH293" s="209" t="str">
        <f>IFERROR(INDEX('Local Data Previous Year'!$G:$G, MATCH($D293, 'Local Data Previous Year'!$D:$D, 0)), "")</f>
        <v/>
      </c>
      <c r="AI293" s="209" t="str">
        <f>IFERROR(INDEX('Local Data Previous Year'!$H:$H, MATCH($D293, 'Local Data Previous Year'!$D:$D, 0)), "")</f>
        <v/>
      </c>
      <c r="AJ293" s="209" t="str">
        <f t="shared" si="54"/>
        <v/>
      </c>
      <c r="AK293" s="209" t="str">
        <f t="shared" si="55"/>
        <v/>
      </c>
      <c r="AL293" s="209" t="str">
        <f t="shared" si="56"/>
        <v/>
      </c>
      <c r="AM293" s="208" t="str">
        <f>IF($AN293="","",IFERROR(VLOOKUP(CONCATENATE(CTR1_Billing!$E$20,$AN293),'Local Data Previous Year'!$C$3:$D$50000,2,0),CTR1_Billing!$E$21&amp;"NEW"))</f>
        <v/>
      </c>
      <c r="AN293" s="209" t="str" cm="1">
        <f t="array" ref="AN293">IF(ISERROR(INDEX('Local Data Previous Year'!$E$3:$E$50000, SMALL(IF(CTR1_Billing!$E$21='Local Data Previous Year'!$A$3:$A$50000, ROW('Local Data Previous Year'!$A$3:$A$50000)-ROW('Local Data Previous Year'!$A$3)+1), ROW(261:261)))), "", INDEX('Local Data Previous Year'!$E$3:$E$50000, SMALL(IF(CTR1_Billing!$E$21='Local Data Previous Year'!$A$3:$A$50000, ROW('Local Data Previous Year'!$A$3:$A$50000)-ROW('Local Data Previous Year'!$A$3)+1), ROW(261:261))))</f>
        <v/>
      </c>
      <c r="AO293" s="209" t="str">
        <f t="shared" si="57"/>
        <v/>
      </c>
      <c r="AP293" s="208"/>
      <c r="AQ293" s="209" t="str">
        <f t="shared" si="58"/>
        <v/>
      </c>
      <c r="AR293" s="209" t="str">
        <f t="shared" si="59"/>
        <v/>
      </c>
      <c r="AS293" s="202" t="str">
        <f t="shared" si="60"/>
        <v/>
      </c>
      <c r="AT293" s="202" t="str">
        <f t="shared" si="61"/>
        <v/>
      </c>
      <c r="AU293" s="208"/>
      <c r="AV293" s="208"/>
      <c r="AW293" s="208"/>
      <c r="AX293" s="208"/>
      <c r="AY293" s="208"/>
      <c r="AZ293" s="208"/>
      <c r="BA293" s="208"/>
      <c r="BB293" s="208"/>
      <c r="BC293" s="208"/>
      <c r="BD293" s="208"/>
      <c r="BE293" s="208"/>
      <c r="BF293" s="208"/>
      <c r="BG293" s="28"/>
      <c r="BH293" s="28"/>
      <c r="BI293" s="28"/>
      <c r="BJ293" s="28"/>
    </row>
    <row r="294" spans="1:62" s="23" customFormat="1" ht="21" customHeight="1" thickBot="1" x14ac:dyDescent="0.25">
      <c r="A294" s="846" t="str">
        <f>IF($AN294="","",IFERROR(VLOOKUP(CONCATENATE(CTR1_Billing!$E$20,$AN294),'Local Data Previous Year'!$C$3:$D$20000,2,0),CTR1_Billing!$E$21&amp;"NEW"))</f>
        <v/>
      </c>
      <c r="B294" s="846" t="str">
        <f>IF($E294="","",IFERROR(VLOOKUP(CONCATENATE(CTR1_Billing!$E$20,CTR1_Local!$E294),'Local Data Previous Year'!$C$3:$D$20000,2,0),CTR1_Billing!$E$21&amp;"NEW"))</f>
        <v/>
      </c>
      <c r="C294" s="846">
        <v>262</v>
      </c>
      <c r="D294" s="755" t="str" cm="1">
        <f t="array" ref="D294">IF(ISERROR(INDEX('Local Data Previous Year'!$D$3:$D$20000,SMALL(IF(CTR1_Billing!$E$21='Local Data Previous Year'!$A$3:$A$20000,ROW('Local Data Previous Year'!$A$3:$A$20000)-ROW('Local Data Previous Year'!$A$3)+1),ROW(262:262)))),"",INDEX('Local Data Previous Year'!$D$3:$D$20000,SMALL(IF(CTR1_Billing!$E$21='Local Data Previous Year'!$A$3:$A$20000,ROW('Local Data Previous Year'!$A$3:$A$20000)-ROW('Local Data Previous Year'!$A$3)+1),ROW(262:262))))</f>
        <v/>
      </c>
      <c r="E294" s="755" t="str" cm="1">
        <f t="array" ref="E294">IF(ISERROR(INDEX('Local Data Previous Year'!$E$3:$E$20000,SMALL(IF(CTR1_Billing!$E$21='Local Data Previous Year'!$A$3:$A$20000,ROW('Local Data Previous Year'!$A$3:$A$20000)-ROW('Local Data Previous Year'!$A$3)+1),ROW(262:262)))),"",INDEX('Local Data Previous Year'!$E$3:$E$20000,SMALL(IF(CTR1_Billing!$E$21='Local Data Previous Year'!$A$3:$A$20000,ROW('Local Data Previous Year'!$A$3:$A$20000)-ROW('Local Data Previous Year'!$A$3)+1),ROW(262:262))))</f>
        <v/>
      </c>
      <c r="F294" s="756" t="str">
        <f>IF($D294="","",IF(ISNA(MATCH($D294,'Local Data Previous Year'!$D$3:$D$20000,0)),"New",IFERROR(VLOOKUP($B294,'Local Data Previous Year'!$D$3:$I$20000,6,0),"")))</f>
        <v/>
      </c>
      <c r="G294" s="757">
        <f t="shared" si="62"/>
        <v>0</v>
      </c>
      <c r="H294" s="758" t="str">
        <f>IFERROR(INDEX('Local Data Previous Year'!$F:$F, MATCH($D294, 'Local Data Previous Year'!$D:$D, 0)), "")</f>
        <v/>
      </c>
      <c r="I294" s="759">
        <f>IF(B294=CTR1_Billing!$E$21&amp;"NEW",1,0)</f>
        <v>0</v>
      </c>
      <c r="J294" s="760" t="str">
        <f>IFERROR(INDEX('Local Data Previous Year'!$G:$G, MATCH($D294, 'Local Data Previous Year'!$D:$D, 0)), "")</f>
        <v/>
      </c>
      <c r="K294" s="762"/>
      <c r="L294" s="760" t="str">
        <f>IFERROR(INDEX('Local Data Previous Year'!$H:$H, MATCH($D294, 'Local Data Previous Year'!$D:$D, 0)), "")</f>
        <v/>
      </c>
      <c r="M294" s="762"/>
      <c r="N294" s="763"/>
      <c r="O294" s="767"/>
      <c r="P294" s="765"/>
      <c r="Q294" s="767"/>
      <c r="R294" s="766" t="str">
        <f t="shared" si="63"/>
        <v/>
      </c>
      <c r="S294" s="754"/>
      <c r="T294" s="763"/>
      <c r="U294" s="754"/>
      <c r="V294" s="763"/>
      <c r="W294" s="763"/>
      <c r="X294" s="865" t="str">
        <f>VLOOKUP(CTR1_Billing!$E$21,Data!$C$6:$D$302,1,FALSE)</f>
        <v>EZZZZ</v>
      </c>
      <c r="Y294" s="205"/>
      <c r="Z294" s="205">
        <f t="shared" si="52"/>
        <v>0</v>
      </c>
      <c r="AA294" s="206" t="str">
        <f t="shared" si="40"/>
        <v/>
      </c>
      <c r="AB294" s="205">
        <f t="shared" si="53"/>
        <v>0</v>
      </c>
      <c r="AC294" s="208"/>
      <c r="AD294" s="208"/>
      <c r="AE294" s="208"/>
      <c r="AF294" s="208"/>
      <c r="AG294" s="209" t="str">
        <f>IFERROR(INDEX('Local Data Previous Year'!$F:$F, MATCH($D294, 'Local Data Previous Year'!$D:$D, 0)), "")</f>
        <v/>
      </c>
      <c r="AH294" s="209" t="str">
        <f>IFERROR(INDEX('Local Data Previous Year'!$G:$G, MATCH($D294, 'Local Data Previous Year'!$D:$D, 0)), "")</f>
        <v/>
      </c>
      <c r="AI294" s="209" t="str">
        <f>IFERROR(INDEX('Local Data Previous Year'!$H:$H, MATCH($D294, 'Local Data Previous Year'!$D:$D, 0)), "")</f>
        <v/>
      </c>
      <c r="AJ294" s="209" t="str">
        <f t="shared" si="54"/>
        <v/>
      </c>
      <c r="AK294" s="209" t="str">
        <f t="shared" si="55"/>
        <v/>
      </c>
      <c r="AL294" s="209" t="str">
        <f t="shared" si="56"/>
        <v/>
      </c>
      <c r="AM294" s="208" t="str">
        <f>IF($AN294="","",IFERROR(VLOOKUP(CONCATENATE(CTR1_Billing!$E$20,$AN294),'Local Data Previous Year'!$C$3:$D$50000,2,0),CTR1_Billing!$E$21&amp;"NEW"))</f>
        <v/>
      </c>
      <c r="AN294" s="209" t="str" cm="1">
        <f t="array" ref="AN294">IF(ISERROR(INDEX('Local Data Previous Year'!$E$3:$E$50000, SMALL(IF(CTR1_Billing!$E$21='Local Data Previous Year'!$A$3:$A$50000, ROW('Local Data Previous Year'!$A$3:$A$50000)-ROW('Local Data Previous Year'!$A$3)+1), ROW(262:262)))), "", INDEX('Local Data Previous Year'!$E$3:$E$50000, SMALL(IF(CTR1_Billing!$E$21='Local Data Previous Year'!$A$3:$A$50000, ROW('Local Data Previous Year'!$A$3:$A$50000)-ROW('Local Data Previous Year'!$A$3)+1), ROW(262:262))))</f>
        <v/>
      </c>
      <c r="AO294" s="209" t="str">
        <f t="shared" si="57"/>
        <v/>
      </c>
      <c r="AP294" s="208"/>
      <c r="AQ294" s="209" t="str">
        <f t="shared" si="58"/>
        <v/>
      </c>
      <c r="AR294" s="209" t="str">
        <f t="shared" si="59"/>
        <v/>
      </c>
      <c r="AS294" s="202" t="str">
        <f t="shared" si="60"/>
        <v/>
      </c>
      <c r="AT294" s="202" t="str">
        <f t="shared" si="61"/>
        <v/>
      </c>
      <c r="AU294" s="208"/>
      <c r="AV294" s="208"/>
      <c r="AW294" s="208"/>
      <c r="AX294" s="208"/>
      <c r="AY294" s="208"/>
      <c r="AZ294" s="208"/>
      <c r="BA294" s="208"/>
      <c r="BB294" s="208"/>
      <c r="BC294" s="208"/>
      <c r="BD294" s="208"/>
      <c r="BE294" s="208"/>
      <c r="BF294" s="208"/>
      <c r="BG294" s="28"/>
      <c r="BH294" s="28"/>
      <c r="BI294" s="28"/>
      <c r="BJ294" s="28"/>
    </row>
    <row r="295" spans="1:62" s="23" customFormat="1" ht="21" customHeight="1" thickBot="1" x14ac:dyDescent="0.25">
      <c r="A295" s="846" t="str">
        <f>IF($AN295="","",IFERROR(VLOOKUP(CONCATENATE(CTR1_Billing!$E$20,$AN295),'Local Data Previous Year'!$C$3:$D$20000,2,0),CTR1_Billing!$E$21&amp;"NEW"))</f>
        <v/>
      </c>
      <c r="B295" s="846" t="str">
        <f>IF($E295="","",IFERROR(VLOOKUP(CONCATENATE(CTR1_Billing!$E$20,CTR1_Local!$E295),'Local Data Previous Year'!$C$3:$D$20000,2,0),CTR1_Billing!$E$21&amp;"NEW"))</f>
        <v/>
      </c>
      <c r="C295" s="846">
        <v>263</v>
      </c>
      <c r="D295" s="755" t="str" cm="1">
        <f t="array" ref="D295">IF(ISERROR(INDEX('Local Data Previous Year'!$D$3:$D$20000,SMALL(IF(CTR1_Billing!$E$21='Local Data Previous Year'!$A$3:$A$20000,ROW('Local Data Previous Year'!$A$3:$A$20000)-ROW('Local Data Previous Year'!$A$3)+1),ROW(263:263)))),"",INDEX('Local Data Previous Year'!$D$3:$D$20000,SMALL(IF(CTR1_Billing!$E$21='Local Data Previous Year'!$A$3:$A$20000,ROW('Local Data Previous Year'!$A$3:$A$20000)-ROW('Local Data Previous Year'!$A$3)+1),ROW(263:263))))</f>
        <v/>
      </c>
      <c r="E295" s="755" t="str" cm="1">
        <f t="array" ref="E295">IF(ISERROR(INDEX('Local Data Previous Year'!$E$3:$E$20000,SMALL(IF(CTR1_Billing!$E$21='Local Data Previous Year'!$A$3:$A$20000,ROW('Local Data Previous Year'!$A$3:$A$20000)-ROW('Local Data Previous Year'!$A$3)+1),ROW(263:263)))),"",INDEX('Local Data Previous Year'!$E$3:$E$20000,SMALL(IF(CTR1_Billing!$E$21='Local Data Previous Year'!$A$3:$A$20000,ROW('Local Data Previous Year'!$A$3:$A$20000)-ROW('Local Data Previous Year'!$A$3)+1),ROW(263:263))))</f>
        <v/>
      </c>
      <c r="F295" s="756" t="str">
        <f>IF($D295="","",IF(ISNA(MATCH($D295,'Local Data Previous Year'!$D$3:$D$20000,0)),"New",IFERROR(VLOOKUP($B295,'Local Data Previous Year'!$D$3:$I$20000,6,0),"")))</f>
        <v/>
      </c>
      <c r="G295" s="757">
        <f t="shared" si="62"/>
        <v>0</v>
      </c>
      <c r="H295" s="758" t="str">
        <f>IFERROR(INDEX('Local Data Previous Year'!$F:$F, MATCH($D295, 'Local Data Previous Year'!$D:$D, 0)), "")</f>
        <v/>
      </c>
      <c r="I295" s="759">
        <f>IF(B295=CTR1_Billing!$E$21&amp;"NEW",1,0)</f>
        <v>0</v>
      </c>
      <c r="J295" s="760" t="str">
        <f>IFERROR(INDEX('Local Data Previous Year'!$G:$G, MATCH($D295, 'Local Data Previous Year'!$D:$D, 0)), "")</f>
        <v/>
      </c>
      <c r="K295" s="762"/>
      <c r="L295" s="760" t="str">
        <f>IFERROR(INDEX('Local Data Previous Year'!$H:$H, MATCH($D295, 'Local Data Previous Year'!$D:$D, 0)), "")</f>
        <v/>
      </c>
      <c r="M295" s="762"/>
      <c r="N295" s="763"/>
      <c r="O295" s="767"/>
      <c r="P295" s="765"/>
      <c r="Q295" s="767"/>
      <c r="R295" s="766" t="str">
        <f t="shared" si="63"/>
        <v/>
      </c>
      <c r="S295" s="754"/>
      <c r="T295" s="763"/>
      <c r="U295" s="754"/>
      <c r="V295" s="763"/>
      <c r="W295" s="763"/>
      <c r="X295" s="865" t="str">
        <f>VLOOKUP(CTR1_Billing!$E$21,Data!$C$6:$D$302,1,FALSE)</f>
        <v>EZZZZ</v>
      </c>
      <c r="Y295" s="205"/>
      <c r="Z295" s="205">
        <f t="shared" si="52"/>
        <v>0</v>
      </c>
      <c r="AA295" s="206" t="str">
        <f t="shared" si="40"/>
        <v/>
      </c>
      <c r="AB295" s="205">
        <f t="shared" si="53"/>
        <v>0</v>
      </c>
      <c r="AC295" s="208"/>
      <c r="AD295" s="208"/>
      <c r="AE295" s="208"/>
      <c r="AF295" s="208"/>
      <c r="AG295" s="209" t="str">
        <f>IFERROR(INDEX('Local Data Previous Year'!$F:$F, MATCH($D295, 'Local Data Previous Year'!$D:$D, 0)), "")</f>
        <v/>
      </c>
      <c r="AH295" s="209" t="str">
        <f>IFERROR(INDEX('Local Data Previous Year'!$G:$G, MATCH($D295, 'Local Data Previous Year'!$D:$D, 0)), "")</f>
        <v/>
      </c>
      <c r="AI295" s="209" t="str">
        <f>IFERROR(INDEX('Local Data Previous Year'!$H:$H, MATCH($D295, 'Local Data Previous Year'!$D:$D, 0)), "")</f>
        <v/>
      </c>
      <c r="AJ295" s="209" t="str">
        <f t="shared" si="54"/>
        <v/>
      </c>
      <c r="AK295" s="209" t="str">
        <f t="shared" si="55"/>
        <v/>
      </c>
      <c r="AL295" s="209" t="str">
        <f t="shared" si="56"/>
        <v/>
      </c>
      <c r="AM295" s="208" t="str">
        <f>IF($AN295="","",IFERROR(VLOOKUP(CONCATENATE(CTR1_Billing!$E$20,$AN295),'Local Data Previous Year'!$C$3:$D$50000,2,0),CTR1_Billing!$E$21&amp;"NEW"))</f>
        <v/>
      </c>
      <c r="AN295" s="209" t="str" cm="1">
        <f t="array" ref="AN295">IF(ISERROR(INDEX('Local Data Previous Year'!$E$3:$E$50000, SMALL(IF(CTR1_Billing!$E$21='Local Data Previous Year'!$A$3:$A$50000, ROW('Local Data Previous Year'!$A$3:$A$50000)-ROW('Local Data Previous Year'!$A$3)+1), ROW(263:263)))), "", INDEX('Local Data Previous Year'!$E$3:$E$50000, SMALL(IF(CTR1_Billing!$E$21='Local Data Previous Year'!$A$3:$A$50000, ROW('Local Data Previous Year'!$A$3:$A$50000)-ROW('Local Data Previous Year'!$A$3)+1), ROW(263:263))))</f>
        <v/>
      </c>
      <c r="AO295" s="209" t="str">
        <f t="shared" si="57"/>
        <v/>
      </c>
      <c r="AP295" s="208"/>
      <c r="AQ295" s="209" t="str">
        <f t="shared" si="58"/>
        <v/>
      </c>
      <c r="AR295" s="209" t="str">
        <f t="shared" si="59"/>
        <v/>
      </c>
      <c r="AS295" s="202" t="str">
        <f t="shared" si="60"/>
        <v/>
      </c>
      <c r="AT295" s="202" t="str">
        <f t="shared" si="61"/>
        <v/>
      </c>
      <c r="AU295" s="208"/>
      <c r="AV295" s="208"/>
      <c r="AW295" s="208"/>
      <c r="AX295" s="208"/>
      <c r="AY295" s="208"/>
      <c r="AZ295" s="208"/>
      <c r="BA295" s="208"/>
      <c r="BB295" s="208"/>
      <c r="BC295" s="208"/>
      <c r="BD295" s="208"/>
      <c r="BE295" s="208"/>
      <c r="BF295" s="208"/>
      <c r="BG295" s="28"/>
      <c r="BH295" s="28"/>
      <c r="BI295" s="28"/>
      <c r="BJ295" s="28"/>
    </row>
    <row r="296" spans="1:62" s="23" customFormat="1" ht="21" customHeight="1" thickBot="1" x14ac:dyDescent="0.25">
      <c r="A296" s="846" t="str">
        <f>IF($AN296="","",IFERROR(VLOOKUP(CONCATENATE(CTR1_Billing!$E$20,$AN296),'Local Data Previous Year'!$C$3:$D$20000,2,0),CTR1_Billing!$E$21&amp;"NEW"))</f>
        <v/>
      </c>
      <c r="B296" s="846" t="str">
        <f>IF($E296="","",IFERROR(VLOOKUP(CONCATENATE(CTR1_Billing!$E$20,CTR1_Local!$E296),'Local Data Previous Year'!$C$3:$D$20000,2,0),CTR1_Billing!$E$21&amp;"NEW"))</f>
        <v/>
      </c>
      <c r="C296" s="846">
        <v>264</v>
      </c>
      <c r="D296" s="755" t="str" cm="1">
        <f t="array" ref="D296">IF(ISERROR(INDEX('Local Data Previous Year'!$D$3:$D$20000,SMALL(IF(CTR1_Billing!$E$21='Local Data Previous Year'!$A$3:$A$20000,ROW('Local Data Previous Year'!$A$3:$A$20000)-ROW('Local Data Previous Year'!$A$3)+1),ROW(264:264)))),"",INDEX('Local Data Previous Year'!$D$3:$D$20000,SMALL(IF(CTR1_Billing!$E$21='Local Data Previous Year'!$A$3:$A$20000,ROW('Local Data Previous Year'!$A$3:$A$20000)-ROW('Local Data Previous Year'!$A$3)+1),ROW(264:264))))</f>
        <v/>
      </c>
      <c r="E296" s="755" t="str" cm="1">
        <f t="array" ref="E296">IF(ISERROR(INDEX('Local Data Previous Year'!$E$3:$E$20000,SMALL(IF(CTR1_Billing!$E$21='Local Data Previous Year'!$A$3:$A$20000,ROW('Local Data Previous Year'!$A$3:$A$20000)-ROW('Local Data Previous Year'!$A$3)+1),ROW(264:264)))),"",INDEX('Local Data Previous Year'!$E$3:$E$20000,SMALL(IF(CTR1_Billing!$E$21='Local Data Previous Year'!$A$3:$A$20000,ROW('Local Data Previous Year'!$A$3:$A$20000)-ROW('Local Data Previous Year'!$A$3)+1),ROW(264:264))))</f>
        <v/>
      </c>
      <c r="F296" s="756" t="str">
        <f>IF($D296="","",IF(ISNA(MATCH($D296,'Local Data Previous Year'!$D$3:$D$20000,0)),"New",IFERROR(VLOOKUP($B296,'Local Data Previous Year'!$D$3:$I$20000,6,0),"")))</f>
        <v/>
      </c>
      <c r="G296" s="757">
        <f t="shared" si="62"/>
        <v>0</v>
      </c>
      <c r="H296" s="758" t="str">
        <f>IFERROR(INDEX('Local Data Previous Year'!$F:$F, MATCH($D296, 'Local Data Previous Year'!$D:$D, 0)), "")</f>
        <v/>
      </c>
      <c r="I296" s="759">
        <f>IF(B296=CTR1_Billing!$E$21&amp;"NEW",1,0)</f>
        <v>0</v>
      </c>
      <c r="J296" s="760" t="str">
        <f>IFERROR(INDEX('Local Data Previous Year'!$G:$G, MATCH($D296, 'Local Data Previous Year'!$D:$D, 0)), "")</f>
        <v/>
      </c>
      <c r="K296" s="762"/>
      <c r="L296" s="760" t="str">
        <f>IFERROR(INDEX('Local Data Previous Year'!$H:$H, MATCH($D296, 'Local Data Previous Year'!$D:$D, 0)), "")</f>
        <v/>
      </c>
      <c r="M296" s="762"/>
      <c r="N296" s="763"/>
      <c r="O296" s="767"/>
      <c r="P296" s="765"/>
      <c r="Q296" s="767"/>
      <c r="R296" s="766" t="str">
        <f t="shared" si="63"/>
        <v/>
      </c>
      <c r="S296" s="754"/>
      <c r="T296" s="763"/>
      <c r="U296" s="754"/>
      <c r="V296" s="763"/>
      <c r="W296" s="763"/>
      <c r="X296" s="865" t="str">
        <f>VLOOKUP(CTR1_Billing!$E$21,Data!$C$6:$D$302,1,FALSE)</f>
        <v>EZZZZ</v>
      </c>
      <c r="Y296" s="205"/>
      <c r="Z296" s="205">
        <f t="shared" si="52"/>
        <v>0</v>
      </c>
      <c r="AA296" s="206" t="str">
        <f t="shared" si="40"/>
        <v/>
      </c>
      <c r="AB296" s="205">
        <f t="shared" si="53"/>
        <v>0</v>
      </c>
      <c r="AC296" s="208"/>
      <c r="AD296" s="208"/>
      <c r="AE296" s="208"/>
      <c r="AF296" s="208"/>
      <c r="AG296" s="209" t="str">
        <f>IFERROR(INDEX('Local Data Previous Year'!$F:$F, MATCH($D296, 'Local Data Previous Year'!$D:$D, 0)), "")</f>
        <v/>
      </c>
      <c r="AH296" s="209" t="str">
        <f>IFERROR(INDEX('Local Data Previous Year'!$G:$G, MATCH($D296, 'Local Data Previous Year'!$D:$D, 0)), "")</f>
        <v/>
      </c>
      <c r="AI296" s="209" t="str">
        <f>IFERROR(INDEX('Local Data Previous Year'!$H:$H, MATCH($D296, 'Local Data Previous Year'!$D:$D, 0)), "")</f>
        <v/>
      </c>
      <c r="AJ296" s="209" t="str">
        <f t="shared" si="54"/>
        <v/>
      </c>
      <c r="AK296" s="209" t="str">
        <f t="shared" si="55"/>
        <v/>
      </c>
      <c r="AL296" s="209" t="str">
        <f t="shared" si="56"/>
        <v/>
      </c>
      <c r="AM296" s="208" t="str">
        <f>IF($AN296="","",IFERROR(VLOOKUP(CONCATENATE(CTR1_Billing!$E$20,$AN296),'Local Data Previous Year'!$C$3:$D$50000,2,0),CTR1_Billing!$E$21&amp;"NEW"))</f>
        <v/>
      </c>
      <c r="AN296" s="209" t="str" cm="1">
        <f t="array" ref="AN296">IF(ISERROR(INDEX('Local Data Previous Year'!$E$3:$E$50000, SMALL(IF(CTR1_Billing!$E$21='Local Data Previous Year'!$A$3:$A$50000, ROW('Local Data Previous Year'!$A$3:$A$50000)-ROW('Local Data Previous Year'!$A$3)+1), ROW(264:264)))), "", INDEX('Local Data Previous Year'!$E$3:$E$50000, SMALL(IF(CTR1_Billing!$E$21='Local Data Previous Year'!$A$3:$A$50000, ROW('Local Data Previous Year'!$A$3:$A$50000)-ROW('Local Data Previous Year'!$A$3)+1), ROW(264:264))))</f>
        <v/>
      </c>
      <c r="AO296" s="209" t="str">
        <f t="shared" si="57"/>
        <v/>
      </c>
      <c r="AP296" s="208"/>
      <c r="AQ296" s="209" t="str">
        <f t="shared" si="58"/>
        <v/>
      </c>
      <c r="AR296" s="209" t="str">
        <f t="shared" si="59"/>
        <v/>
      </c>
      <c r="AS296" s="202" t="str">
        <f t="shared" si="60"/>
        <v/>
      </c>
      <c r="AT296" s="202" t="str">
        <f t="shared" si="61"/>
        <v/>
      </c>
      <c r="AU296" s="208"/>
      <c r="AV296" s="208"/>
      <c r="AW296" s="208"/>
      <c r="AX296" s="208"/>
      <c r="AY296" s="208"/>
      <c r="AZ296" s="208"/>
      <c r="BA296" s="208"/>
      <c r="BB296" s="208"/>
      <c r="BC296" s="208"/>
      <c r="BD296" s="208"/>
      <c r="BE296" s="208"/>
      <c r="BF296" s="208"/>
      <c r="BG296" s="28"/>
      <c r="BH296" s="28"/>
      <c r="BI296" s="28"/>
      <c r="BJ296" s="28"/>
    </row>
    <row r="297" spans="1:62" s="23" customFormat="1" ht="21" customHeight="1" thickBot="1" x14ac:dyDescent="0.25">
      <c r="A297" s="846" t="str">
        <f>IF($AN297="","",IFERROR(VLOOKUP(CONCATENATE(CTR1_Billing!$E$20,$AN297),'Local Data Previous Year'!$C$3:$D$20000,2,0),CTR1_Billing!$E$21&amp;"NEW"))</f>
        <v/>
      </c>
      <c r="B297" s="846" t="str">
        <f>IF($E297="","",IFERROR(VLOOKUP(CONCATENATE(CTR1_Billing!$E$20,CTR1_Local!$E297),'Local Data Previous Year'!$C$3:$D$20000,2,0),CTR1_Billing!$E$21&amp;"NEW"))</f>
        <v/>
      </c>
      <c r="C297" s="846">
        <v>265</v>
      </c>
      <c r="D297" s="755" t="str" cm="1">
        <f t="array" ref="D297">IF(ISERROR(INDEX('Local Data Previous Year'!$D$3:$D$20000,SMALL(IF(CTR1_Billing!$E$21='Local Data Previous Year'!$A$3:$A$20000,ROW('Local Data Previous Year'!$A$3:$A$20000)-ROW('Local Data Previous Year'!$A$3)+1),ROW(265:265)))),"",INDEX('Local Data Previous Year'!$D$3:$D$20000,SMALL(IF(CTR1_Billing!$E$21='Local Data Previous Year'!$A$3:$A$20000,ROW('Local Data Previous Year'!$A$3:$A$20000)-ROW('Local Data Previous Year'!$A$3)+1),ROW(265:265))))</f>
        <v/>
      </c>
      <c r="E297" s="755" t="str" cm="1">
        <f t="array" ref="E297">IF(ISERROR(INDEX('Local Data Previous Year'!$E$3:$E$20000,SMALL(IF(CTR1_Billing!$E$21='Local Data Previous Year'!$A$3:$A$20000,ROW('Local Data Previous Year'!$A$3:$A$20000)-ROW('Local Data Previous Year'!$A$3)+1),ROW(265:265)))),"",INDEX('Local Data Previous Year'!$E$3:$E$20000,SMALL(IF(CTR1_Billing!$E$21='Local Data Previous Year'!$A$3:$A$20000,ROW('Local Data Previous Year'!$A$3:$A$20000)-ROW('Local Data Previous Year'!$A$3)+1),ROW(265:265))))</f>
        <v/>
      </c>
      <c r="F297" s="756" t="str">
        <f>IF($D297="","",IF(ISNA(MATCH($D297,'Local Data Previous Year'!$D$3:$D$20000,0)),"New",IFERROR(VLOOKUP($B297,'Local Data Previous Year'!$D$3:$I$20000,6,0),"")))</f>
        <v/>
      </c>
      <c r="G297" s="757">
        <f t="shared" si="62"/>
        <v>0</v>
      </c>
      <c r="H297" s="758" t="str">
        <f>IFERROR(INDEX('Local Data Previous Year'!$F:$F, MATCH($D297, 'Local Data Previous Year'!$D:$D, 0)), "")</f>
        <v/>
      </c>
      <c r="I297" s="759">
        <f>IF(B297=CTR1_Billing!$E$21&amp;"NEW",1,0)</f>
        <v>0</v>
      </c>
      <c r="J297" s="760" t="str">
        <f>IFERROR(INDEX('Local Data Previous Year'!$G:$G, MATCH($D297, 'Local Data Previous Year'!$D:$D, 0)), "")</f>
        <v/>
      </c>
      <c r="K297" s="762"/>
      <c r="L297" s="760" t="str">
        <f>IFERROR(INDEX('Local Data Previous Year'!$H:$H, MATCH($D297, 'Local Data Previous Year'!$D:$D, 0)), "")</f>
        <v/>
      </c>
      <c r="M297" s="762"/>
      <c r="N297" s="763"/>
      <c r="O297" s="767"/>
      <c r="P297" s="765"/>
      <c r="Q297" s="767"/>
      <c r="R297" s="766" t="str">
        <f t="shared" si="63"/>
        <v/>
      </c>
      <c r="S297" s="754"/>
      <c r="T297" s="763"/>
      <c r="U297" s="754"/>
      <c r="V297" s="763"/>
      <c r="W297" s="763"/>
      <c r="X297" s="865" t="str">
        <f>VLOOKUP(CTR1_Billing!$E$21,Data!$C$6:$D$302,1,FALSE)</f>
        <v>EZZZZ</v>
      </c>
      <c r="Y297" s="205"/>
      <c r="Z297" s="205">
        <f t="shared" si="52"/>
        <v>0</v>
      </c>
      <c r="AA297" s="206" t="str">
        <f t="shared" si="40"/>
        <v/>
      </c>
      <c r="AB297" s="205">
        <f t="shared" si="53"/>
        <v>0</v>
      </c>
      <c r="AC297" s="208"/>
      <c r="AD297" s="208"/>
      <c r="AE297" s="208"/>
      <c r="AF297" s="208"/>
      <c r="AG297" s="209" t="str">
        <f>IFERROR(INDEX('Local Data Previous Year'!$F:$F, MATCH($D297, 'Local Data Previous Year'!$D:$D, 0)), "")</f>
        <v/>
      </c>
      <c r="AH297" s="209" t="str">
        <f>IFERROR(INDEX('Local Data Previous Year'!$G:$G, MATCH($D297, 'Local Data Previous Year'!$D:$D, 0)), "")</f>
        <v/>
      </c>
      <c r="AI297" s="209" t="str">
        <f>IFERROR(INDEX('Local Data Previous Year'!$H:$H, MATCH($D297, 'Local Data Previous Year'!$D:$D, 0)), "")</f>
        <v/>
      </c>
      <c r="AJ297" s="209" t="str">
        <f t="shared" si="54"/>
        <v/>
      </c>
      <c r="AK297" s="209" t="str">
        <f t="shared" si="55"/>
        <v/>
      </c>
      <c r="AL297" s="209" t="str">
        <f t="shared" si="56"/>
        <v/>
      </c>
      <c r="AM297" s="208" t="str">
        <f>IF($AN297="","",IFERROR(VLOOKUP(CONCATENATE(CTR1_Billing!$E$20,$AN297),'Local Data Previous Year'!$C$3:$D$50000,2,0),CTR1_Billing!$E$21&amp;"NEW"))</f>
        <v/>
      </c>
      <c r="AN297" s="209" t="str" cm="1">
        <f t="array" ref="AN297">IF(ISERROR(INDEX('Local Data Previous Year'!$E$3:$E$50000, SMALL(IF(CTR1_Billing!$E$21='Local Data Previous Year'!$A$3:$A$50000, ROW('Local Data Previous Year'!$A$3:$A$50000)-ROW('Local Data Previous Year'!$A$3)+1), ROW(265:265)))), "", INDEX('Local Data Previous Year'!$E$3:$E$50000, SMALL(IF(CTR1_Billing!$E$21='Local Data Previous Year'!$A$3:$A$50000, ROW('Local Data Previous Year'!$A$3:$A$50000)-ROW('Local Data Previous Year'!$A$3)+1), ROW(265:265))))</f>
        <v/>
      </c>
      <c r="AO297" s="209" t="str">
        <f t="shared" si="57"/>
        <v/>
      </c>
      <c r="AP297" s="208"/>
      <c r="AQ297" s="209" t="str">
        <f t="shared" si="58"/>
        <v/>
      </c>
      <c r="AR297" s="209" t="str">
        <f t="shared" si="59"/>
        <v/>
      </c>
      <c r="AS297" s="202" t="str">
        <f t="shared" si="60"/>
        <v/>
      </c>
      <c r="AT297" s="202" t="str">
        <f t="shared" si="61"/>
        <v/>
      </c>
      <c r="AU297" s="208"/>
      <c r="AV297" s="208"/>
      <c r="AW297" s="208"/>
      <c r="AX297" s="208"/>
      <c r="AY297" s="208"/>
      <c r="AZ297" s="208"/>
      <c r="BA297" s="208"/>
      <c r="BB297" s="208"/>
      <c r="BC297" s="208"/>
      <c r="BD297" s="208"/>
      <c r="BE297" s="208"/>
      <c r="BF297" s="208"/>
      <c r="BG297" s="28"/>
      <c r="BH297" s="28"/>
      <c r="BI297" s="28"/>
      <c r="BJ297" s="28"/>
    </row>
    <row r="298" spans="1:62" s="23" customFormat="1" ht="21" customHeight="1" thickBot="1" x14ac:dyDescent="0.25">
      <c r="A298" s="846" t="str">
        <f>IF($AN298="","",IFERROR(VLOOKUP(CONCATENATE(CTR1_Billing!$E$20,$AN298),'Local Data Previous Year'!$C$3:$D$20000,2,0),CTR1_Billing!$E$21&amp;"NEW"))</f>
        <v/>
      </c>
      <c r="B298" s="846" t="str">
        <f>IF($E298="","",IFERROR(VLOOKUP(CONCATENATE(CTR1_Billing!$E$20,CTR1_Local!$E298),'Local Data Previous Year'!$C$3:$D$20000,2,0),CTR1_Billing!$E$21&amp;"NEW"))</f>
        <v/>
      </c>
      <c r="C298" s="846">
        <v>266</v>
      </c>
      <c r="D298" s="755" t="str" cm="1">
        <f t="array" ref="D298">IF(ISERROR(INDEX('Local Data Previous Year'!$D$3:$D$20000,SMALL(IF(CTR1_Billing!$E$21='Local Data Previous Year'!$A$3:$A$20000,ROW('Local Data Previous Year'!$A$3:$A$20000)-ROW('Local Data Previous Year'!$A$3)+1),ROW(266:266)))),"",INDEX('Local Data Previous Year'!$D$3:$D$20000,SMALL(IF(CTR1_Billing!$E$21='Local Data Previous Year'!$A$3:$A$20000,ROW('Local Data Previous Year'!$A$3:$A$20000)-ROW('Local Data Previous Year'!$A$3)+1),ROW(266:266))))</f>
        <v/>
      </c>
      <c r="E298" s="755" t="str" cm="1">
        <f t="array" ref="E298">IF(ISERROR(INDEX('Local Data Previous Year'!$E$3:$E$20000,SMALL(IF(CTR1_Billing!$E$21='Local Data Previous Year'!$A$3:$A$20000,ROW('Local Data Previous Year'!$A$3:$A$20000)-ROW('Local Data Previous Year'!$A$3)+1),ROW(266:266)))),"",INDEX('Local Data Previous Year'!$E$3:$E$20000,SMALL(IF(CTR1_Billing!$E$21='Local Data Previous Year'!$A$3:$A$20000,ROW('Local Data Previous Year'!$A$3:$A$20000)-ROW('Local Data Previous Year'!$A$3)+1),ROW(266:266))))</f>
        <v/>
      </c>
      <c r="F298" s="756" t="str">
        <f>IF($D298="","",IF(ISNA(MATCH($D298,'Local Data Previous Year'!$D$3:$D$20000,0)),"New",IFERROR(VLOOKUP($B298,'Local Data Previous Year'!$D$3:$I$20000,6,0),"")))</f>
        <v/>
      </c>
      <c r="G298" s="757">
        <f t="shared" si="62"/>
        <v>0</v>
      </c>
      <c r="H298" s="758" t="str">
        <f>IFERROR(INDEX('Local Data Previous Year'!$F:$F, MATCH($D298, 'Local Data Previous Year'!$D:$D, 0)), "")</f>
        <v/>
      </c>
      <c r="I298" s="759">
        <f>IF(B298=CTR1_Billing!$E$21&amp;"NEW",1,0)</f>
        <v>0</v>
      </c>
      <c r="J298" s="760" t="str">
        <f>IFERROR(INDEX('Local Data Previous Year'!$G:$G, MATCH($D298, 'Local Data Previous Year'!$D:$D, 0)), "")</f>
        <v/>
      </c>
      <c r="K298" s="762"/>
      <c r="L298" s="760" t="str">
        <f>IFERROR(INDEX('Local Data Previous Year'!$H:$H, MATCH($D298, 'Local Data Previous Year'!$D:$D, 0)), "")</f>
        <v/>
      </c>
      <c r="M298" s="762"/>
      <c r="N298" s="763"/>
      <c r="O298" s="767"/>
      <c r="P298" s="765"/>
      <c r="Q298" s="767"/>
      <c r="R298" s="766" t="str">
        <f t="shared" si="63"/>
        <v/>
      </c>
      <c r="S298" s="754"/>
      <c r="T298" s="763"/>
      <c r="U298" s="754"/>
      <c r="V298" s="763"/>
      <c r="W298" s="763"/>
      <c r="X298" s="865" t="str">
        <f>VLOOKUP(CTR1_Billing!$E$21,Data!$C$6:$D$302,1,FALSE)</f>
        <v>EZZZZ</v>
      </c>
      <c r="Y298" s="205"/>
      <c r="Z298" s="205">
        <f t="shared" si="52"/>
        <v>0</v>
      </c>
      <c r="AA298" s="206" t="str">
        <f t="shared" si="40"/>
        <v/>
      </c>
      <c r="AB298" s="205">
        <f t="shared" si="53"/>
        <v>0</v>
      </c>
      <c r="AC298" s="208"/>
      <c r="AD298" s="208"/>
      <c r="AE298" s="208"/>
      <c r="AF298" s="208"/>
      <c r="AG298" s="209" t="str">
        <f>IFERROR(INDEX('Local Data Previous Year'!$F:$F, MATCH($D298, 'Local Data Previous Year'!$D:$D, 0)), "")</f>
        <v/>
      </c>
      <c r="AH298" s="209" t="str">
        <f>IFERROR(INDEX('Local Data Previous Year'!$G:$G, MATCH($D298, 'Local Data Previous Year'!$D:$D, 0)), "")</f>
        <v/>
      </c>
      <c r="AI298" s="209" t="str">
        <f>IFERROR(INDEX('Local Data Previous Year'!$H:$H, MATCH($D298, 'Local Data Previous Year'!$D:$D, 0)), "")</f>
        <v/>
      </c>
      <c r="AJ298" s="209" t="str">
        <f t="shared" si="54"/>
        <v/>
      </c>
      <c r="AK298" s="209" t="str">
        <f t="shared" si="55"/>
        <v/>
      </c>
      <c r="AL298" s="209" t="str">
        <f t="shared" si="56"/>
        <v/>
      </c>
      <c r="AM298" s="208" t="str">
        <f>IF($AN298="","",IFERROR(VLOOKUP(CONCATENATE(CTR1_Billing!$E$20,$AN298),'Local Data Previous Year'!$C$3:$D$50000,2,0),CTR1_Billing!$E$21&amp;"NEW"))</f>
        <v/>
      </c>
      <c r="AN298" s="209" t="str" cm="1">
        <f t="array" ref="AN298">IF(ISERROR(INDEX('Local Data Previous Year'!$E$3:$E$50000, SMALL(IF(CTR1_Billing!$E$21='Local Data Previous Year'!$A$3:$A$50000, ROW('Local Data Previous Year'!$A$3:$A$50000)-ROW('Local Data Previous Year'!$A$3)+1), ROW(266:266)))), "", INDEX('Local Data Previous Year'!$E$3:$E$50000, SMALL(IF(CTR1_Billing!$E$21='Local Data Previous Year'!$A$3:$A$50000, ROW('Local Data Previous Year'!$A$3:$A$50000)-ROW('Local Data Previous Year'!$A$3)+1), ROW(266:266))))</f>
        <v/>
      </c>
      <c r="AO298" s="209" t="str">
        <f t="shared" si="57"/>
        <v/>
      </c>
      <c r="AP298" s="208"/>
      <c r="AQ298" s="209" t="str">
        <f t="shared" si="58"/>
        <v/>
      </c>
      <c r="AR298" s="209" t="str">
        <f t="shared" si="59"/>
        <v/>
      </c>
      <c r="AS298" s="202" t="str">
        <f t="shared" si="60"/>
        <v/>
      </c>
      <c r="AT298" s="202" t="str">
        <f t="shared" si="61"/>
        <v/>
      </c>
      <c r="AU298" s="208"/>
      <c r="AV298" s="208"/>
      <c r="AW298" s="208"/>
      <c r="AX298" s="208"/>
      <c r="AY298" s="208"/>
      <c r="AZ298" s="208"/>
      <c r="BA298" s="208"/>
      <c r="BB298" s="208"/>
      <c r="BC298" s="208"/>
      <c r="BD298" s="208"/>
      <c r="BE298" s="208"/>
      <c r="BF298" s="208"/>
      <c r="BG298" s="28"/>
      <c r="BH298" s="28"/>
      <c r="BI298" s="28"/>
      <c r="BJ298" s="28"/>
    </row>
    <row r="299" spans="1:62" s="23" customFormat="1" ht="21" customHeight="1" thickBot="1" x14ac:dyDescent="0.25">
      <c r="A299" s="846" t="str">
        <f>IF($AN299="","",IFERROR(VLOOKUP(CONCATENATE(CTR1_Billing!$E$20,$AN299),'Local Data Previous Year'!$C$3:$D$20000,2,0),CTR1_Billing!$E$21&amp;"NEW"))</f>
        <v/>
      </c>
      <c r="B299" s="846" t="str">
        <f>IF($E299="","",IFERROR(VLOOKUP(CONCATENATE(CTR1_Billing!$E$20,CTR1_Local!$E299),'Local Data Previous Year'!$C$3:$D$20000,2,0),CTR1_Billing!$E$21&amp;"NEW"))</f>
        <v/>
      </c>
      <c r="C299" s="846">
        <v>267</v>
      </c>
      <c r="D299" s="755" t="str" cm="1">
        <f t="array" ref="D299">IF(ISERROR(INDEX('Local Data Previous Year'!$D$3:$D$20000,SMALL(IF(CTR1_Billing!$E$21='Local Data Previous Year'!$A$3:$A$20000,ROW('Local Data Previous Year'!$A$3:$A$20000)-ROW('Local Data Previous Year'!$A$3)+1),ROW(267:267)))),"",INDEX('Local Data Previous Year'!$D$3:$D$20000,SMALL(IF(CTR1_Billing!$E$21='Local Data Previous Year'!$A$3:$A$20000,ROW('Local Data Previous Year'!$A$3:$A$20000)-ROW('Local Data Previous Year'!$A$3)+1),ROW(267:267))))</f>
        <v/>
      </c>
      <c r="E299" s="755" t="str" cm="1">
        <f t="array" ref="E299">IF(ISERROR(INDEX('Local Data Previous Year'!$E$3:$E$20000,SMALL(IF(CTR1_Billing!$E$21='Local Data Previous Year'!$A$3:$A$20000,ROW('Local Data Previous Year'!$A$3:$A$20000)-ROW('Local Data Previous Year'!$A$3)+1),ROW(267:267)))),"",INDEX('Local Data Previous Year'!$E$3:$E$20000,SMALL(IF(CTR1_Billing!$E$21='Local Data Previous Year'!$A$3:$A$20000,ROW('Local Data Previous Year'!$A$3:$A$20000)-ROW('Local Data Previous Year'!$A$3)+1),ROW(267:267))))</f>
        <v/>
      </c>
      <c r="F299" s="756" t="str">
        <f>IF($D299="","",IF(ISNA(MATCH($D299,'Local Data Previous Year'!$D$3:$D$20000,0)),"New",IFERROR(VLOOKUP($B299,'Local Data Previous Year'!$D$3:$I$20000,6,0),"")))</f>
        <v/>
      </c>
      <c r="G299" s="757">
        <f t="shared" si="62"/>
        <v>0</v>
      </c>
      <c r="H299" s="758" t="str">
        <f>IFERROR(INDEX('Local Data Previous Year'!$F:$F, MATCH($D299, 'Local Data Previous Year'!$D:$D, 0)), "")</f>
        <v/>
      </c>
      <c r="I299" s="759">
        <f>IF(B299=CTR1_Billing!$E$21&amp;"NEW",1,0)</f>
        <v>0</v>
      </c>
      <c r="J299" s="760" t="str">
        <f>IFERROR(INDEX('Local Data Previous Year'!$G:$G, MATCH($D299, 'Local Data Previous Year'!$D:$D, 0)), "")</f>
        <v/>
      </c>
      <c r="K299" s="762"/>
      <c r="L299" s="760" t="str">
        <f>IFERROR(INDEX('Local Data Previous Year'!$H:$H, MATCH($D299, 'Local Data Previous Year'!$D:$D, 0)), "")</f>
        <v/>
      </c>
      <c r="M299" s="762"/>
      <c r="N299" s="763"/>
      <c r="O299" s="767"/>
      <c r="P299" s="765"/>
      <c r="Q299" s="767"/>
      <c r="R299" s="766" t="str">
        <f t="shared" si="63"/>
        <v/>
      </c>
      <c r="S299" s="754"/>
      <c r="T299" s="763"/>
      <c r="U299" s="754"/>
      <c r="V299" s="763"/>
      <c r="W299" s="763"/>
      <c r="X299" s="865" t="str">
        <f>VLOOKUP(CTR1_Billing!$E$21,Data!$C$6:$D$302,1,FALSE)</f>
        <v>EZZZZ</v>
      </c>
      <c r="Y299" s="205"/>
      <c r="Z299" s="205">
        <f t="shared" si="52"/>
        <v>0</v>
      </c>
      <c r="AA299" s="206" t="str">
        <f t="shared" si="40"/>
        <v/>
      </c>
      <c r="AB299" s="205">
        <f t="shared" si="53"/>
        <v>0</v>
      </c>
      <c r="AC299" s="208"/>
      <c r="AD299" s="208"/>
      <c r="AE299" s="208"/>
      <c r="AF299" s="208"/>
      <c r="AG299" s="209" t="str">
        <f>IFERROR(INDEX('Local Data Previous Year'!$F:$F, MATCH($D299, 'Local Data Previous Year'!$D:$D, 0)), "")</f>
        <v/>
      </c>
      <c r="AH299" s="209" t="str">
        <f>IFERROR(INDEX('Local Data Previous Year'!$G:$G, MATCH($D299, 'Local Data Previous Year'!$D:$D, 0)), "")</f>
        <v/>
      </c>
      <c r="AI299" s="209" t="str">
        <f>IFERROR(INDEX('Local Data Previous Year'!$H:$H, MATCH($D299, 'Local Data Previous Year'!$D:$D, 0)), "")</f>
        <v/>
      </c>
      <c r="AJ299" s="209" t="str">
        <f t="shared" si="54"/>
        <v/>
      </c>
      <c r="AK299" s="209" t="str">
        <f t="shared" si="55"/>
        <v/>
      </c>
      <c r="AL299" s="209" t="str">
        <f t="shared" si="56"/>
        <v/>
      </c>
      <c r="AM299" s="208" t="str">
        <f>IF($AN299="","",IFERROR(VLOOKUP(CONCATENATE(CTR1_Billing!$E$20,$AN299),'Local Data Previous Year'!$C$3:$D$50000,2,0),CTR1_Billing!$E$21&amp;"NEW"))</f>
        <v/>
      </c>
      <c r="AN299" s="209" t="str" cm="1">
        <f t="array" ref="AN299">IF(ISERROR(INDEX('Local Data Previous Year'!$E$3:$E$50000, SMALL(IF(CTR1_Billing!$E$21='Local Data Previous Year'!$A$3:$A$50000, ROW('Local Data Previous Year'!$A$3:$A$50000)-ROW('Local Data Previous Year'!$A$3)+1), ROW(267:267)))), "", INDEX('Local Data Previous Year'!$E$3:$E$50000, SMALL(IF(CTR1_Billing!$E$21='Local Data Previous Year'!$A$3:$A$50000, ROW('Local Data Previous Year'!$A$3:$A$50000)-ROW('Local Data Previous Year'!$A$3)+1), ROW(267:267))))</f>
        <v/>
      </c>
      <c r="AO299" s="209" t="str">
        <f t="shared" si="57"/>
        <v/>
      </c>
      <c r="AP299" s="208"/>
      <c r="AQ299" s="209" t="str">
        <f t="shared" si="58"/>
        <v/>
      </c>
      <c r="AR299" s="209" t="str">
        <f t="shared" si="59"/>
        <v/>
      </c>
      <c r="AS299" s="202" t="str">
        <f t="shared" si="60"/>
        <v/>
      </c>
      <c r="AT299" s="202" t="str">
        <f t="shared" si="61"/>
        <v/>
      </c>
      <c r="AU299" s="208"/>
      <c r="AV299" s="208"/>
      <c r="AW299" s="208"/>
      <c r="AX299" s="208"/>
      <c r="AY299" s="208"/>
      <c r="AZ299" s="208"/>
      <c r="BA299" s="208"/>
      <c r="BB299" s="208"/>
      <c r="BC299" s="208"/>
      <c r="BD299" s="208"/>
      <c r="BE299" s="208"/>
      <c r="BF299" s="208"/>
      <c r="BG299" s="28"/>
      <c r="BH299" s="28"/>
      <c r="BI299" s="28"/>
      <c r="BJ299" s="28"/>
    </row>
    <row r="300" spans="1:62" s="23" customFormat="1" ht="21" customHeight="1" thickBot="1" x14ac:dyDescent="0.25">
      <c r="A300" s="846" t="str">
        <f>IF($AN300="","",IFERROR(VLOOKUP(CONCATENATE(CTR1_Billing!$E$20,$AN300),'Local Data Previous Year'!$C$3:$D$20000,2,0),CTR1_Billing!$E$21&amp;"NEW"))</f>
        <v/>
      </c>
      <c r="B300" s="846" t="str">
        <f>IF($E300="","",IFERROR(VLOOKUP(CONCATENATE(CTR1_Billing!$E$20,CTR1_Local!$E300),'Local Data Previous Year'!$C$3:$D$20000,2,0),CTR1_Billing!$E$21&amp;"NEW"))</f>
        <v/>
      </c>
      <c r="C300" s="846">
        <v>268</v>
      </c>
      <c r="D300" s="755" t="str" cm="1">
        <f t="array" ref="D300">IF(ISERROR(INDEX('Local Data Previous Year'!$D$3:$D$20000,SMALL(IF(CTR1_Billing!$E$21='Local Data Previous Year'!$A$3:$A$20000,ROW('Local Data Previous Year'!$A$3:$A$20000)-ROW('Local Data Previous Year'!$A$3)+1),ROW(268:268)))),"",INDEX('Local Data Previous Year'!$D$3:$D$20000,SMALL(IF(CTR1_Billing!$E$21='Local Data Previous Year'!$A$3:$A$20000,ROW('Local Data Previous Year'!$A$3:$A$20000)-ROW('Local Data Previous Year'!$A$3)+1),ROW(268:268))))</f>
        <v/>
      </c>
      <c r="E300" s="755" t="str" cm="1">
        <f t="array" ref="E300">IF(ISERROR(INDEX('Local Data Previous Year'!$E$3:$E$20000,SMALL(IF(CTR1_Billing!$E$21='Local Data Previous Year'!$A$3:$A$20000,ROW('Local Data Previous Year'!$A$3:$A$20000)-ROW('Local Data Previous Year'!$A$3)+1),ROW(268:268)))),"",INDEX('Local Data Previous Year'!$E$3:$E$20000,SMALL(IF(CTR1_Billing!$E$21='Local Data Previous Year'!$A$3:$A$20000,ROW('Local Data Previous Year'!$A$3:$A$20000)-ROW('Local Data Previous Year'!$A$3)+1),ROW(268:268))))</f>
        <v/>
      </c>
      <c r="F300" s="756" t="str">
        <f>IF($D300="","",IF(ISNA(MATCH($D300,'Local Data Previous Year'!$D$3:$D$20000,0)),"New",IFERROR(VLOOKUP($B300,'Local Data Previous Year'!$D$3:$I$20000,6,0),"")))</f>
        <v/>
      </c>
      <c r="G300" s="757">
        <f t="shared" si="62"/>
        <v>0</v>
      </c>
      <c r="H300" s="758" t="str">
        <f>IFERROR(INDEX('Local Data Previous Year'!$F:$F, MATCH($D300, 'Local Data Previous Year'!$D:$D, 0)), "")</f>
        <v/>
      </c>
      <c r="I300" s="759">
        <f>IF(B300=CTR1_Billing!$E$21&amp;"NEW",1,0)</f>
        <v>0</v>
      </c>
      <c r="J300" s="760" t="str">
        <f>IFERROR(INDEX('Local Data Previous Year'!$G:$G, MATCH($D300, 'Local Data Previous Year'!$D:$D, 0)), "")</f>
        <v/>
      </c>
      <c r="K300" s="762"/>
      <c r="L300" s="760" t="str">
        <f>IFERROR(INDEX('Local Data Previous Year'!$H:$H, MATCH($D300, 'Local Data Previous Year'!$D:$D, 0)), "")</f>
        <v/>
      </c>
      <c r="M300" s="762"/>
      <c r="N300" s="763"/>
      <c r="O300" s="767"/>
      <c r="P300" s="765"/>
      <c r="Q300" s="767"/>
      <c r="R300" s="766" t="str">
        <f t="shared" si="63"/>
        <v/>
      </c>
      <c r="S300" s="754"/>
      <c r="T300" s="763"/>
      <c r="U300" s="754"/>
      <c r="V300" s="763"/>
      <c r="W300" s="763"/>
      <c r="X300" s="865" t="str">
        <f>VLOOKUP(CTR1_Billing!$E$21,Data!$C$6:$D$302,1,FALSE)</f>
        <v>EZZZZ</v>
      </c>
      <c r="Y300" s="205"/>
      <c r="Z300" s="205">
        <f t="shared" si="52"/>
        <v>0</v>
      </c>
      <c r="AA300" s="206" t="str">
        <f t="shared" si="40"/>
        <v/>
      </c>
      <c r="AB300" s="205">
        <f t="shared" si="53"/>
        <v>0</v>
      </c>
      <c r="AC300" s="208"/>
      <c r="AD300" s="208"/>
      <c r="AE300" s="208"/>
      <c r="AF300" s="208"/>
      <c r="AG300" s="209" t="str">
        <f>IFERROR(INDEX('Local Data Previous Year'!$F:$F, MATCH($D300, 'Local Data Previous Year'!$D:$D, 0)), "")</f>
        <v/>
      </c>
      <c r="AH300" s="209" t="str">
        <f>IFERROR(INDEX('Local Data Previous Year'!$G:$G, MATCH($D300, 'Local Data Previous Year'!$D:$D, 0)), "")</f>
        <v/>
      </c>
      <c r="AI300" s="209" t="str">
        <f>IFERROR(INDEX('Local Data Previous Year'!$H:$H, MATCH($D300, 'Local Data Previous Year'!$D:$D, 0)), "")</f>
        <v/>
      </c>
      <c r="AJ300" s="209" t="str">
        <f t="shared" si="54"/>
        <v/>
      </c>
      <c r="AK300" s="209" t="str">
        <f t="shared" si="55"/>
        <v/>
      </c>
      <c r="AL300" s="209" t="str">
        <f t="shared" si="56"/>
        <v/>
      </c>
      <c r="AM300" s="208" t="str">
        <f>IF($AN300="","",IFERROR(VLOOKUP(CONCATENATE(CTR1_Billing!$E$20,$AN300),'Local Data Previous Year'!$C$3:$D$50000,2,0),CTR1_Billing!$E$21&amp;"NEW"))</f>
        <v/>
      </c>
      <c r="AN300" s="209" t="str" cm="1">
        <f t="array" ref="AN300">IF(ISERROR(INDEX('Local Data Previous Year'!$E$3:$E$50000, SMALL(IF(CTR1_Billing!$E$21='Local Data Previous Year'!$A$3:$A$50000, ROW('Local Data Previous Year'!$A$3:$A$50000)-ROW('Local Data Previous Year'!$A$3)+1), ROW(268:268)))), "", INDEX('Local Data Previous Year'!$E$3:$E$50000, SMALL(IF(CTR1_Billing!$E$21='Local Data Previous Year'!$A$3:$A$50000, ROW('Local Data Previous Year'!$A$3:$A$50000)-ROW('Local Data Previous Year'!$A$3)+1), ROW(268:268))))</f>
        <v/>
      </c>
      <c r="AO300" s="209" t="str">
        <f t="shared" si="57"/>
        <v/>
      </c>
      <c r="AP300" s="208"/>
      <c r="AQ300" s="209" t="str">
        <f t="shared" si="58"/>
        <v/>
      </c>
      <c r="AR300" s="209" t="str">
        <f t="shared" si="59"/>
        <v/>
      </c>
      <c r="AS300" s="202" t="str">
        <f t="shared" si="60"/>
        <v/>
      </c>
      <c r="AT300" s="202" t="str">
        <f t="shared" si="61"/>
        <v/>
      </c>
      <c r="AU300" s="208"/>
      <c r="AV300" s="208"/>
      <c r="AW300" s="208"/>
      <c r="AX300" s="208"/>
      <c r="AY300" s="208"/>
      <c r="AZ300" s="208"/>
      <c r="BA300" s="208"/>
      <c r="BB300" s="208"/>
      <c r="BC300" s="208"/>
      <c r="BD300" s="208"/>
      <c r="BE300" s="208"/>
      <c r="BF300" s="208"/>
      <c r="BG300" s="28"/>
      <c r="BH300" s="28"/>
      <c r="BI300" s="28"/>
      <c r="BJ300" s="28"/>
    </row>
    <row r="301" spans="1:62" s="23" customFormat="1" ht="21" customHeight="1" thickBot="1" x14ac:dyDescent="0.25">
      <c r="A301" s="846" t="str">
        <f>IF($AN301="","",IFERROR(VLOOKUP(CONCATENATE(CTR1_Billing!$E$20,$AN301),'Local Data Previous Year'!$C$3:$D$20000,2,0),CTR1_Billing!$E$21&amp;"NEW"))</f>
        <v/>
      </c>
      <c r="B301" s="846" t="str">
        <f>IF($E301="","",IFERROR(VLOOKUP(CONCATENATE(CTR1_Billing!$E$20,CTR1_Local!$E301),'Local Data Previous Year'!$C$3:$D$20000,2,0),CTR1_Billing!$E$21&amp;"NEW"))</f>
        <v/>
      </c>
      <c r="C301" s="846">
        <v>269</v>
      </c>
      <c r="D301" s="755" t="str" cm="1">
        <f t="array" ref="D301">IF(ISERROR(INDEX('Local Data Previous Year'!$D$3:$D$20000,SMALL(IF(CTR1_Billing!$E$21='Local Data Previous Year'!$A$3:$A$20000,ROW('Local Data Previous Year'!$A$3:$A$20000)-ROW('Local Data Previous Year'!$A$3)+1),ROW(269:269)))),"",INDEX('Local Data Previous Year'!$D$3:$D$20000,SMALL(IF(CTR1_Billing!$E$21='Local Data Previous Year'!$A$3:$A$20000,ROW('Local Data Previous Year'!$A$3:$A$20000)-ROW('Local Data Previous Year'!$A$3)+1),ROW(269:269))))</f>
        <v/>
      </c>
      <c r="E301" s="755" t="str" cm="1">
        <f t="array" ref="E301">IF(ISERROR(INDEX('Local Data Previous Year'!$E$3:$E$20000,SMALL(IF(CTR1_Billing!$E$21='Local Data Previous Year'!$A$3:$A$20000,ROW('Local Data Previous Year'!$A$3:$A$20000)-ROW('Local Data Previous Year'!$A$3)+1),ROW(269:269)))),"",INDEX('Local Data Previous Year'!$E$3:$E$20000,SMALL(IF(CTR1_Billing!$E$21='Local Data Previous Year'!$A$3:$A$20000,ROW('Local Data Previous Year'!$A$3:$A$20000)-ROW('Local Data Previous Year'!$A$3)+1),ROW(269:269))))</f>
        <v/>
      </c>
      <c r="F301" s="756" t="str">
        <f>IF($D301="","",IF(ISNA(MATCH($D301,'Local Data Previous Year'!$D$3:$D$20000,0)),"New",IFERROR(VLOOKUP($B301,'Local Data Previous Year'!$D$3:$I$20000,6,0),"")))</f>
        <v/>
      </c>
      <c r="G301" s="757">
        <f t="shared" si="62"/>
        <v>0</v>
      </c>
      <c r="H301" s="758" t="str">
        <f>IFERROR(INDEX('Local Data Previous Year'!$F:$F, MATCH($D301, 'Local Data Previous Year'!$D:$D, 0)), "")</f>
        <v/>
      </c>
      <c r="I301" s="759">
        <f>IF(B301=CTR1_Billing!$E$21&amp;"NEW",1,0)</f>
        <v>0</v>
      </c>
      <c r="J301" s="760" t="str">
        <f>IFERROR(INDEX('Local Data Previous Year'!$G:$G, MATCH($D301, 'Local Data Previous Year'!$D:$D, 0)), "")</f>
        <v/>
      </c>
      <c r="K301" s="762"/>
      <c r="L301" s="760" t="str">
        <f>IFERROR(INDEX('Local Data Previous Year'!$H:$H, MATCH($D301, 'Local Data Previous Year'!$D:$D, 0)), "")</f>
        <v/>
      </c>
      <c r="M301" s="762"/>
      <c r="N301" s="763"/>
      <c r="O301" s="767"/>
      <c r="P301" s="765"/>
      <c r="Q301" s="767"/>
      <c r="R301" s="766" t="str">
        <f t="shared" si="63"/>
        <v/>
      </c>
      <c r="S301" s="754"/>
      <c r="T301" s="763"/>
      <c r="U301" s="754"/>
      <c r="V301" s="763"/>
      <c r="W301" s="763"/>
      <c r="X301" s="865" t="str">
        <f>VLOOKUP(CTR1_Billing!$E$21,Data!$C$6:$D$302,1,FALSE)</f>
        <v>EZZZZ</v>
      </c>
      <c r="Y301" s="205"/>
      <c r="Z301" s="205">
        <f t="shared" si="52"/>
        <v>0</v>
      </c>
      <c r="AA301" s="206" t="str">
        <f t="shared" si="40"/>
        <v/>
      </c>
      <c r="AB301" s="205">
        <f t="shared" si="53"/>
        <v>0</v>
      </c>
      <c r="AC301" s="208"/>
      <c r="AD301" s="208"/>
      <c r="AE301" s="208"/>
      <c r="AF301" s="208"/>
      <c r="AG301" s="209" t="str">
        <f>IFERROR(INDEX('Local Data Previous Year'!$F:$F, MATCH($D301, 'Local Data Previous Year'!$D:$D, 0)), "")</f>
        <v/>
      </c>
      <c r="AH301" s="209" t="str">
        <f>IFERROR(INDEX('Local Data Previous Year'!$G:$G, MATCH($D301, 'Local Data Previous Year'!$D:$D, 0)), "")</f>
        <v/>
      </c>
      <c r="AI301" s="209" t="str">
        <f>IFERROR(INDEX('Local Data Previous Year'!$H:$H, MATCH($D301, 'Local Data Previous Year'!$D:$D, 0)), "")</f>
        <v/>
      </c>
      <c r="AJ301" s="209" t="str">
        <f t="shared" si="54"/>
        <v/>
      </c>
      <c r="AK301" s="209" t="str">
        <f t="shared" si="55"/>
        <v/>
      </c>
      <c r="AL301" s="209" t="str">
        <f t="shared" si="56"/>
        <v/>
      </c>
      <c r="AM301" s="208" t="str">
        <f>IF($AN301="","",IFERROR(VLOOKUP(CONCATENATE(CTR1_Billing!$E$20,$AN301),'Local Data Previous Year'!$C$3:$D$50000,2,0),CTR1_Billing!$E$21&amp;"NEW"))</f>
        <v/>
      </c>
      <c r="AN301" s="209" t="str" cm="1">
        <f t="array" ref="AN301">IF(ISERROR(INDEX('Local Data Previous Year'!$E$3:$E$50000, SMALL(IF(CTR1_Billing!$E$21='Local Data Previous Year'!$A$3:$A$50000, ROW('Local Data Previous Year'!$A$3:$A$50000)-ROW('Local Data Previous Year'!$A$3)+1), ROW(269:269)))), "", INDEX('Local Data Previous Year'!$E$3:$E$50000, SMALL(IF(CTR1_Billing!$E$21='Local Data Previous Year'!$A$3:$A$50000, ROW('Local Data Previous Year'!$A$3:$A$50000)-ROW('Local Data Previous Year'!$A$3)+1), ROW(269:269))))</f>
        <v/>
      </c>
      <c r="AO301" s="209" t="str">
        <f t="shared" si="57"/>
        <v/>
      </c>
      <c r="AP301" s="208"/>
      <c r="AQ301" s="209" t="str">
        <f t="shared" si="58"/>
        <v/>
      </c>
      <c r="AR301" s="209" t="str">
        <f t="shared" si="59"/>
        <v/>
      </c>
      <c r="AS301" s="202" t="str">
        <f t="shared" si="60"/>
        <v/>
      </c>
      <c r="AT301" s="202" t="str">
        <f t="shared" si="61"/>
        <v/>
      </c>
      <c r="AU301" s="208"/>
      <c r="AV301" s="208"/>
      <c r="AW301" s="208"/>
      <c r="AX301" s="208"/>
      <c r="AY301" s="208"/>
      <c r="AZ301" s="208"/>
      <c r="BA301" s="208"/>
      <c r="BB301" s="208"/>
      <c r="BC301" s="208"/>
      <c r="BD301" s="208"/>
      <c r="BE301" s="208"/>
      <c r="BF301" s="208"/>
      <c r="BG301" s="28"/>
      <c r="BH301" s="28"/>
      <c r="BI301" s="28"/>
      <c r="BJ301" s="28"/>
    </row>
    <row r="302" spans="1:62" s="23" customFormat="1" ht="21" customHeight="1" thickBot="1" x14ac:dyDescent="0.25">
      <c r="A302" s="846" t="str">
        <f>IF($AN302="","",IFERROR(VLOOKUP(CONCATENATE(CTR1_Billing!$E$20,$AN302),'Local Data Previous Year'!$C$3:$D$20000,2,0),CTR1_Billing!$E$21&amp;"NEW"))</f>
        <v/>
      </c>
      <c r="B302" s="846" t="str">
        <f>IF($E302="","",IFERROR(VLOOKUP(CONCATENATE(CTR1_Billing!$E$20,CTR1_Local!$E302),'Local Data Previous Year'!$C$3:$D$20000,2,0),CTR1_Billing!$E$21&amp;"NEW"))</f>
        <v/>
      </c>
      <c r="C302" s="846">
        <v>270</v>
      </c>
      <c r="D302" s="755" t="str" cm="1">
        <f t="array" ref="D302">IF(ISERROR(INDEX('Local Data Previous Year'!$D$3:$D$20000,SMALL(IF(CTR1_Billing!$E$21='Local Data Previous Year'!$A$3:$A$20000,ROW('Local Data Previous Year'!$A$3:$A$20000)-ROW('Local Data Previous Year'!$A$3)+1),ROW(270:270)))),"",INDEX('Local Data Previous Year'!$D$3:$D$20000,SMALL(IF(CTR1_Billing!$E$21='Local Data Previous Year'!$A$3:$A$20000,ROW('Local Data Previous Year'!$A$3:$A$20000)-ROW('Local Data Previous Year'!$A$3)+1),ROW(270:270))))</f>
        <v/>
      </c>
      <c r="E302" s="755" t="str" cm="1">
        <f t="array" ref="E302">IF(ISERROR(INDEX('Local Data Previous Year'!$E$3:$E$20000,SMALL(IF(CTR1_Billing!$E$21='Local Data Previous Year'!$A$3:$A$20000,ROW('Local Data Previous Year'!$A$3:$A$20000)-ROW('Local Data Previous Year'!$A$3)+1),ROW(270:270)))),"",INDEX('Local Data Previous Year'!$E$3:$E$20000,SMALL(IF(CTR1_Billing!$E$21='Local Data Previous Year'!$A$3:$A$20000,ROW('Local Data Previous Year'!$A$3:$A$20000)-ROW('Local Data Previous Year'!$A$3)+1),ROW(270:270))))</f>
        <v/>
      </c>
      <c r="F302" s="756" t="str">
        <f>IF($D302="","",IF(ISNA(MATCH($D302,'Local Data Previous Year'!$D$3:$D$20000,0)),"New",IFERROR(VLOOKUP($B302,'Local Data Previous Year'!$D$3:$I$20000,6,0),"")))</f>
        <v/>
      </c>
      <c r="G302" s="757">
        <f t="shared" si="62"/>
        <v>0</v>
      </c>
      <c r="H302" s="758" t="str">
        <f>IFERROR(INDEX('Local Data Previous Year'!$F:$F, MATCH($D302, 'Local Data Previous Year'!$D:$D, 0)), "")</f>
        <v/>
      </c>
      <c r="I302" s="759">
        <f>IF(B302=CTR1_Billing!$E$21&amp;"NEW",1,0)</f>
        <v>0</v>
      </c>
      <c r="J302" s="760" t="str">
        <f>IFERROR(INDEX('Local Data Previous Year'!$G:$G, MATCH($D302, 'Local Data Previous Year'!$D:$D, 0)), "")</f>
        <v/>
      </c>
      <c r="K302" s="762"/>
      <c r="L302" s="760" t="str">
        <f>IFERROR(INDEX('Local Data Previous Year'!$H:$H, MATCH($D302, 'Local Data Previous Year'!$D:$D, 0)), "")</f>
        <v/>
      </c>
      <c r="M302" s="762"/>
      <c r="N302" s="763"/>
      <c r="O302" s="767"/>
      <c r="P302" s="765"/>
      <c r="Q302" s="767"/>
      <c r="R302" s="766" t="str">
        <f t="shared" si="63"/>
        <v/>
      </c>
      <c r="S302" s="754"/>
      <c r="T302" s="763"/>
      <c r="U302" s="754"/>
      <c r="V302" s="763"/>
      <c r="W302" s="763"/>
      <c r="X302" s="865" t="str">
        <f>VLOOKUP(CTR1_Billing!$E$21,Data!$C$6:$D$302,1,FALSE)</f>
        <v>EZZZZ</v>
      </c>
      <c r="Y302" s="205"/>
      <c r="Z302" s="205">
        <f t="shared" si="52"/>
        <v>0</v>
      </c>
      <c r="AA302" s="206" t="str">
        <f t="shared" si="40"/>
        <v/>
      </c>
      <c r="AB302" s="205">
        <f t="shared" si="53"/>
        <v>0</v>
      </c>
      <c r="AC302" s="208"/>
      <c r="AD302" s="208"/>
      <c r="AE302" s="208"/>
      <c r="AF302" s="208"/>
      <c r="AG302" s="209" t="str">
        <f>IFERROR(INDEX('Local Data Previous Year'!$F:$F, MATCH($D302, 'Local Data Previous Year'!$D:$D, 0)), "")</f>
        <v/>
      </c>
      <c r="AH302" s="209" t="str">
        <f>IFERROR(INDEX('Local Data Previous Year'!$G:$G, MATCH($D302, 'Local Data Previous Year'!$D:$D, 0)), "")</f>
        <v/>
      </c>
      <c r="AI302" s="209" t="str">
        <f>IFERROR(INDEX('Local Data Previous Year'!$H:$H, MATCH($D302, 'Local Data Previous Year'!$D:$D, 0)), "")</f>
        <v/>
      </c>
      <c r="AJ302" s="209" t="str">
        <f t="shared" si="54"/>
        <v/>
      </c>
      <c r="AK302" s="209" t="str">
        <f t="shared" si="55"/>
        <v/>
      </c>
      <c r="AL302" s="209" t="str">
        <f t="shared" si="56"/>
        <v/>
      </c>
      <c r="AM302" s="208" t="str">
        <f>IF($AN302="","",IFERROR(VLOOKUP(CONCATENATE(CTR1_Billing!$E$20,$AN302),'Local Data Previous Year'!$C$3:$D$50000,2,0),CTR1_Billing!$E$21&amp;"NEW"))</f>
        <v/>
      </c>
      <c r="AN302" s="209" t="str" cm="1">
        <f t="array" ref="AN302">IF(ISERROR(INDEX('Local Data Previous Year'!$E$3:$E$50000, SMALL(IF(CTR1_Billing!$E$21='Local Data Previous Year'!$A$3:$A$50000, ROW('Local Data Previous Year'!$A$3:$A$50000)-ROW('Local Data Previous Year'!$A$3)+1), ROW(270:270)))), "", INDEX('Local Data Previous Year'!$E$3:$E$50000, SMALL(IF(CTR1_Billing!$E$21='Local Data Previous Year'!$A$3:$A$50000, ROW('Local Data Previous Year'!$A$3:$A$50000)-ROW('Local Data Previous Year'!$A$3)+1), ROW(270:270))))</f>
        <v/>
      </c>
      <c r="AO302" s="209" t="str">
        <f t="shared" si="57"/>
        <v/>
      </c>
      <c r="AP302" s="208"/>
      <c r="AQ302" s="209" t="str">
        <f t="shared" si="58"/>
        <v/>
      </c>
      <c r="AR302" s="209" t="str">
        <f t="shared" si="59"/>
        <v/>
      </c>
      <c r="AS302" s="202" t="str">
        <f t="shared" si="60"/>
        <v/>
      </c>
      <c r="AT302" s="202" t="str">
        <f t="shared" si="61"/>
        <v/>
      </c>
      <c r="AU302" s="208"/>
      <c r="AV302" s="208"/>
      <c r="AW302" s="208"/>
      <c r="AX302" s="208"/>
      <c r="AY302" s="208"/>
      <c r="AZ302" s="208"/>
      <c r="BA302" s="208"/>
      <c r="BB302" s="208"/>
      <c r="BC302" s="208"/>
      <c r="BD302" s="208"/>
      <c r="BE302" s="208"/>
      <c r="BF302" s="208"/>
      <c r="BG302" s="28"/>
      <c r="BH302" s="28"/>
      <c r="BI302" s="28"/>
      <c r="BJ302" s="28"/>
    </row>
    <row r="303" spans="1:62" s="23" customFormat="1" ht="21" customHeight="1" thickBot="1" x14ac:dyDescent="0.25">
      <c r="A303" s="846" t="str">
        <f>IF($AN303="","",IFERROR(VLOOKUP(CONCATENATE(CTR1_Billing!$E$20,$AN303),'Local Data Previous Year'!$C$3:$D$20000,2,0),CTR1_Billing!$E$21&amp;"NEW"))</f>
        <v/>
      </c>
      <c r="B303" s="846" t="str">
        <f>IF($E303="","",IFERROR(VLOOKUP(CONCATENATE(CTR1_Billing!$E$20,CTR1_Local!$E303),'Local Data Previous Year'!$C$3:$D$20000,2,0),CTR1_Billing!$E$21&amp;"NEW"))</f>
        <v/>
      </c>
      <c r="C303" s="846">
        <v>271</v>
      </c>
      <c r="D303" s="755" t="str" cm="1">
        <f t="array" ref="D303">IF(ISERROR(INDEX('Local Data Previous Year'!$D$3:$D$20000,SMALL(IF(CTR1_Billing!$E$21='Local Data Previous Year'!$A$3:$A$20000,ROW('Local Data Previous Year'!$A$3:$A$20000)-ROW('Local Data Previous Year'!$A$3)+1),ROW(271:271)))),"",INDEX('Local Data Previous Year'!$D$3:$D$20000,SMALL(IF(CTR1_Billing!$E$21='Local Data Previous Year'!$A$3:$A$20000,ROW('Local Data Previous Year'!$A$3:$A$20000)-ROW('Local Data Previous Year'!$A$3)+1),ROW(271:271))))</f>
        <v/>
      </c>
      <c r="E303" s="755" t="str" cm="1">
        <f t="array" ref="E303">IF(ISERROR(INDEX('Local Data Previous Year'!$E$3:$E$20000,SMALL(IF(CTR1_Billing!$E$21='Local Data Previous Year'!$A$3:$A$20000,ROW('Local Data Previous Year'!$A$3:$A$20000)-ROW('Local Data Previous Year'!$A$3)+1),ROW(271:271)))),"",INDEX('Local Data Previous Year'!$E$3:$E$20000,SMALL(IF(CTR1_Billing!$E$21='Local Data Previous Year'!$A$3:$A$20000,ROW('Local Data Previous Year'!$A$3:$A$20000)-ROW('Local Data Previous Year'!$A$3)+1),ROW(271:271))))</f>
        <v/>
      </c>
      <c r="F303" s="756" t="str">
        <f>IF($D303="","",IF(ISNA(MATCH($D303,'Local Data Previous Year'!$D$3:$D$20000,0)),"New",IFERROR(VLOOKUP($B303,'Local Data Previous Year'!$D$3:$I$20000,6,0),"")))</f>
        <v/>
      </c>
      <c r="G303" s="757">
        <f t="shared" si="62"/>
        <v>0</v>
      </c>
      <c r="H303" s="758" t="str">
        <f>IFERROR(INDEX('Local Data Previous Year'!$F:$F, MATCH($D303, 'Local Data Previous Year'!$D:$D, 0)), "")</f>
        <v/>
      </c>
      <c r="I303" s="759">
        <f>IF(B303=CTR1_Billing!$E$21&amp;"NEW",1,0)</f>
        <v>0</v>
      </c>
      <c r="J303" s="760" t="str">
        <f>IFERROR(INDEX('Local Data Previous Year'!$G:$G, MATCH($D303, 'Local Data Previous Year'!$D:$D, 0)), "")</f>
        <v/>
      </c>
      <c r="K303" s="762"/>
      <c r="L303" s="760" t="str">
        <f>IFERROR(INDEX('Local Data Previous Year'!$H:$H, MATCH($D303, 'Local Data Previous Year'!$D:$D, 0)), "")</f>
        <v/>
      </c>
      <c r="M303" s="762"/>
      <c r="N303" s="763"/>
      <c r="O303" s="767"/>
      <c r="P303" s="765"/>
      <c r="Q303" s="767"/>
      <c r="R303" s="766" t="str">
        <f t="shared" si="63"/>
        <v/>
      </c>
      <c r="S303" s="754"/>
      <c r="T303" s="763"/>
      <c r="U303" s="754"/>
      <c r="V303" s="763"/>
      <c r="W303" s="763"/>
      <c r="X303" s="865" t="str">
        <f>VLOOKUP(CTR1_Billing!$E$21,Data!$C$6:$D$302,1,FALSE)</f>
        <v>EZZZZ</v>
      </c>
      <c r="Y303" s="205"/>
      <c r="Z303" s="205">
        <f t="shared" si="52"/>
        <v>0</v>
      </c>
      <c r="AA303" s="206" t="str">
        <f t="shared" si="40"/>
        <v/>
      </c>
      <c r="AB303" s="205">
        <f t="shared" si="53"/>
        <v>0</v>
      </c>
      <c r="AC303" s="208"/>
      <c r="AD303" s="208"/>
      <c r="AE303" s="208"/>
      <c r="AF303" s="208"/>
      <c r="AG303" s="209" t="str">
        <f>IFERROR(INDEX('Local Data Previous Year'!$F:$F, MATCH($D303, 'Local Data Previous Year'!$D:$D, 0)), "")</f>
        <v/>
      </c>
      <c r="AH303" s="209" t="str">
        <f>IFERROR(INDEX('Local Data Previous Year'!$G:$G, MATCH($D303, 'Local Data Previous Year'!$D:$D, 0)), "")</f>
        <v/>
      </c>
      <c r="AI303" s="209" t="str">
        <f>IFERROR(INDEX('Local Data Previous Year'!$H:$H, MATCH($D303, 'Local Data Previous Year'!$D:$D, 0)), "")</f>
        <v/>
      </c>
      <c r="AJ303" s="209" t="str">
        <f t="shared" si="54"/>
        <v/>
      </c>
      <c r="AK303" s="209" t="str">
        <f t="shared" si="55"/>
        <v/>
      </c>
      <c r="AL303" s="209" t="str">
        <f t="shared" si="56"/>
        <v/>
      </c>
      <c r="AM303" s="208" t="str">
        <f>IF($AN303="","",IFERROR(VLOOKUP(CONCATENATE(CTR1_Billing!$E$20,$AN303),'Local Data Previous Year'!$C$3:$D$50000,2,0),CTR1_Billing!$E$21&amp;"NEW"))</f>
        <v/>
      </c>
      <c r="AN303" s="209" t="str" cm="1">
        <f t="array" ref="AN303">IF(ISERROR(INDEX('Local Data Previous Year'!$E$3:$E$50000, SMALL(IF(CTR1_Billing!$E$21='Local Data Previous Year'!$A$3:$A$50000, ROW('Local Data Previous Year'!$A$3:$A$50000)-ROW('Local Data Previous Year'!$A$3)+1), ROW(271:271)))), "", INDEX('Local Data Previous Year'!$E$3:$E$50000, SMALL(IF(CTR1_Billing!$E$21='Local Data Previous Year'!$A$3:$A$50000, ROW('Local Data Previous Year'!$A$3:$A$50000)-ROW('Local Data Previous Year'!$A$3)+1), ROW(271:271))))</f>
        <v/>
      </c>
      <c r="AO303" s="209" t="str">
        <f t="shared" si="57"/>
        <v/>
      </c>
      <c r="AP303" s="208"/>
      <c r="AQ303" s="209" t="str">
        <f t="shared" si="58"/>
        <v/>
      </c>
      <c r="AR303" s="209" t="str">
        <f t="shared" si="59"/>
        <v/>
      </c>
      <c r="AS303" s="202" t="str">
        <f t="shared" si="60"/>
        <v/>
      </c>
      <c r="AT303" s="202" t="str">
        <f t="shared" si="61"/>
        <v/>
      </c>
      <c r="AU303" s="208"/>
      <c r="AV303" s="208"/>
      <c r="AW303" s="208"/>
      <c r="AX303" s="208"/>
      <c r="AY303" s="208"/>
      <c r="AZ303" s="208"/>
      <c r="BA303" s="208"/>
      <c r="BB303" s="208"/>
      <c r="BC303" s="208"/>
      <c r="BD303" s="208"/>
      <c r="BE303" s="208"/>
      <c r="BF303" s="208"/>
      <c r="BG303" s="28"/>
      <c r="BH303" s="28"/>
      <c r="BI303" s="28"/>
      <c r="BJ303" s="28"/>
    </row>
    <row r="304" spans="1:62" s="23" customFormat="1" ht="21" customHeight="1" thickBot="1" x14ac:dyDescent="0.25">
      <c r="A304" s="846" t="str">
        <f>IF($AN304="","",IFERROR(VLOOKUP(CONCATENATE(CTR1_Billing!$E$20,$AN304),'Local Data Previous Year'!$C$3:$D$20000,2,0),CTR1_Billing!$E$21&amp;"NEW"))</f>
        <v/>
      </c>
      <c r="B304" s="846" t="str">
        <f>IF($E304="","",IFERROR(VLOOKUP(CONCATENATE(CTR1_Billing!$E$20,CTR1_Local!$E304),'Local Data Previous Year'!$C$3:$D$20000,2,0),CTR1_Billing!$E$21&amp;"NEW"))</f>
        <v/>
      </c>
      <c r="C304" s="846">
        <v>272</v>
      </c>
      <c r="D304" s="755" t="str" cm="1">
        <f t="array" ref="D304">IF(ISERROR(INDEX('Local Data Previous Year'!$D$3:$D$20000,SMALL(IF(CTR1_Billing!$E$21='Local Data Previous Year'!$A$3:$A$20000,ROW('Local Data Previous Year'!$A$3:$A$20000)-ROW('Local Data Previous Year'!$A$3)+1),ROW(272:272)))),"",INDEX('Local Data Previous Year'!$D$3:$D$20000,SMALL(IF(CTR1_Billing!$E$21='Local Data Previous Year'!$A$3:$A$20000,ROW('Local Data Previous Year'!$A$3:$A$20000)-ROW('Local Data Previous Year'!$A$3)+1),ROW(272:272))))</f>
        <v/>
      </c>
      <c r="E304" s="755" t="str" cm="1">
        <f t="array" ref="E304">IF(ISERROR(INDEX('Local Data Previous Year'!$E$3:$E$20000,SMALL(IF(CTR1_Billing!$E$21='Local Data Previous Year'!$A$3:$A$20000,ROW('Local Data Previous Year'!$A$3:$A$20000)-ROW('Local Data Previous Year'!$A$3)+1),ROW(272:272)))),"",INDEX('Local Data Previous Year'!$E$3:$E$20000,SMALL(IF(CTR1_Billing!$E$21='Local Data Previous Year'!$A$3:$A$20000,ROW('Local Data Previous Year'!$A$3:$A$20000)-ROW('Local Data Previous Year'!$A$3)+1),ROW(272:272))))</f>
        <v/>
      </c>
      <c r="F304" s="756" t="str">
        <f>IF($D304="","",IF(ISNA(MATCH($D304,'Local Data Previous Year'!$D$3:$D$20000,0)),"New",IFERROR(VLOOKUP($B304,'Local Data Previous Year'!$D$3:$I$20000,6,0),"")))</f>
        <v/>
      </c>
      <c r="G304" s="757">
        <f t="shared" si="62"/>
        <v>0</v>
      </c>
      <c r="H304" s="758" t="str">
        <f>IFERROR(INDEX('Local Data Previous Year'!$F:$F, MATCH($D304, 'Local Data Previous Year'!$D:$D, 0)), "")</f>
        <v/>
      </c>
      <c r="I304" s="759">
        <f>IF(B304=CTR1_Billing!$E$21&amp;"NEW",1,0)</f>
        <v>0</v>
      </c>
      <c r="J304" s="760" t="str">
        <f>IFERROR(INDEX('Local Data Previous Year'!$G:$G, MATCH($D304, 'Local Data Previous Year'!$D:$D, 0)), "")</f>
        <v/>
      </c>
      <c r="K304" s="762"/>
      <c r="L304" s="760" t="str">
        <f>IFERROR(INDEX('Local Data Previous Year'!$H:$H, MATCH($D304, 'Local Data Previous Year'!$D:$D, 0)), "")</f>
        <v/>
      </c>
      <c r="M304" s="762"/>
      <c r="N304" s="763"/>
      <c r="O304" s="767"/>
      <c r="P304" s="765"/>
      <c r="Q304" s="767"/>
      <c r="R304" s="766" t="str">
        <f t="shared" si="63"/>
        <v/>
      </c>
      <c r="S304" s="754"/>
      <c r="T304" s="763"/>
      <c r="U304" s="754"/>
      <c r="V304" s="763"/>
      <c r="W304" s="763"/>
      <c r="X304" s="865" t="str">
        <f>VLOOKUP(CTR1_Billing!$E$21,Data!$C$6:$D$302,1,FALSE)</f>
        <v>EZZZZ</v>
      </c>
      <c r="Y304" s="205"/>
      <c r="Z304" s="205">
        <f t="shared" si="52"/>
        <v>0</v>
      </c>
      <c r="AA304" s="206" t="str">
        <f t="shared" si="40"/>
        <v/>
      </c>
      <c r="AB304" s="205">
        <f t="shared" si="53"/>
        <v>0</v>
      </c>
      <c r="AC304" s="208"/>
      <c r="AD304" s="208"/>
      <c r="AE304" s="208"/>
      <c r="AF304" s="208"/>
      <c r="AG304" s="209" t="str">
        <f>IFERROR(INDEX('Local Data Previous Year'!$F:$F, MATCH($D304, 'Local Data Previous Year'!$D:$D, 0)), "")</f>
        <v/>
      </c>
      <c r="AH304" s="209" t="str">
        <f>IFERROR(INDEX('Local Data Previous Year'!$G:$G, MATCH($D304, 'Local Data Previous Year'!$D:$D, 0)), "")</f>
        <v/>
      </c>
      <c r="AI304" s="209" t="str">
        <f>IFERROR(INDEX('Local Data Previous Year'!$H:$H, MATCH($D304, 'Local Data Previous Year'!$D:$D, 0)), "")</f>
        <v/>
      </c>
      <c r="AJ304" s="209" t="str">
        <f t="shared" si="54"/>
        <v/>
      </c>
      <c r="AK304" s="209" t="str">
        <f t="shared" si="55"/>
        <v/>
      </c>
      <c r="AL304" s="209" t="str">
        <f t="shared" si="56"/>
        <v/>
      </c>
      <c r="AM304" s="208" t="str">
        <f>IF($AN304="","",IFERROR(VLOOKUP(CONCATENATE(CTR1_Billing!$E$20,$AN304),'Local Data Previous Year'!$C$3:$D$50000,2,0),CTR1_Billing!$E$21&amp;"NEW"))</f>
        <v/>
      </c>
      <c r="AN304" s="209" t="str" cm="1">
        <f t="array" ref="AN304">IF(ISERROR(INDEX('Local Data Previous Year'!$E$3:$E$50000, SMALL(IF(CTR1_Billing!$E$21='Local Data Previous Year'!$A$3:$A$50000, ROW('Local Data Previous Year'!$A$3:$A$50000)-ROW('Local Data Previous Year'!$A$3)+1), ROW(272:272)))), "", INDEX('Local Data Previous Year'!$E$3:$E$50000, SMALL(IF(CTR1_Billing!$E$21='Local Data Previous Year'!$A$3:$A$50000, ROW('Local Data Previous Year'!$A$3:$A$50000)-ROW('Local Data Previous Year'!$A$3)+1), ROW(272:272))))</f>
        <v/>
      </c>
      <c r="AO304" s="209" t="str">
        <f t="shared" si="57"/>
        <v/>
      </c>
      <c r="AP304" s="208"/>
      <c r="AQ304" s="209" t="str">
        <f t="shared" si="58"/>
        <v/>
      </c>
      <c r="AR304" s="209" t="str">
        <f t="shared" si="59"/>
        <v/>
      </c>
      <c r="AS304" s="202" t="str">
        <f t="shared" si="60"/>
        <v/>
      </c>
      <c r="AT304" s="202" t="str">
        <f t="shared" si="61"/>
        <v/>
      </c>
      <c r="AU304" s="208"/>
      <c r="AV304" s="208"/>
      <c r="AW304" s="208"/>
      <c r="AX304" s="208"/>
      <c r="AY304" s="208"/>
      <c r="AZ304" s="208"/>
      <c r="BA304" s="208"/>
      <c r="BB304" s="208"/>
      <c r="BC304" s="208"/>
      <c r="BD304" s="208"/>
      <c r="BE304" s="208"/>
      <c r="BF304" s="208"/>
      <c r="BG304" s="28"/>
      <c r="BH304" s="28"/>
      <c r="BI304" s="28"/>
      <c r="BJ304" s="28"/>
    </row>
    <row r="305" spans="1:62" s="23" customFormat="1" ht="21" customHeight="1" thickBot="1" x14ac:dyDescent="0.25">
      <c r="A305" s="846" t="str">
        <f>IF($AN305="","",IFERROR(VLOOKUP(CONCATENATE(CTR1_Billing!$E$20,$AN305),'Local Data Previous Year'!$C$3:$D$20000,2,0),CTR1_Billing!$E$21&amp;"NEW"))</f>
        <v/>
      </c>
      <c r="B305" s="846" t="str">
        <f>IF($E305="","",IFERROR(VLOOKUP(CONCATENATE(CTR1_Billing!$E$20,CTR1_Local!$E305),'Local Data Previous Year'!$C$3:$D$20000,2,0),CTR1_Billing!$E$21&amp;"NEW"))</f>
        <v/>
      </c>
      <c r="C305" s="846">
        <v>273</v>
      </c>
      <c r="D305" s="755" t="str" cm="1">
        <f t="array" ref="D305">IF(ISERROR(INDEX('Local Data Previous Year'!$D$3:$D$20000,SMALL(IF(CTR1_Billing!$E$21='Local Data Previous Year'!$A$3:$A$20000,ROW('Local Data Previous Year'!$A$3:$A$20000)-ROW('Local Data Previous Year'!$A$3)+1),ROW(273:273)))),"",INDEX('Local Data Previous Year'!$D$3:$D$20000,SMALL(IF(CTR1_Billing!$E$21='Local Data Previous Year'!$A$3:$A$20000,ROW('Local Data Previous Year'!$A$3:$A$20000)-ROW('Local Data Previous Year'!$A$3)+1),ROW(273:273))))</f>
        <v/>
      </c>
      <c r="E305" s="755" t="str" cm="1">
        <f t="array" ref="E305">IF(ISERROR(INDEX('Local Data Previous Year'!$E$3:$E$20000,SMALL(IF(CTR1_Billing!$E$21='Local Data Previous Year'!$A$3:$A$20000,ROW('Local Data Previous Year'!$A$3:$A$20000)-ROW('Local Data Previous Year'!$A$3)+1),ROW(273:273)))),"",INDEX('Local Data Previous Year'!$E$3:$E$20000,SMALL(IF(CTR1_Billing!$E$21='Local Data Previous Year'!$A$3:$A$20000,ROW('Local Data Previous Year'!$A$3:$A$20000)-ROW('Local Data Previous Year'!$A$3)+1),ROW(273:273))))</f>
        <v/>
      </c>
      <c r="F305" s="756" t="str">
        <f>IF($D305="","",IF(ISNA(MATCH($D305,'Local Data Previous Year'!$D$3:$D$20000,0)),"New",IFERROR(VLOOKUP($B305,'Local Data Previous Year'!$D$3:$I$20000,6,0),"")))</f>
        <v/>
      </c>
      <c r="G305" s="757">
        <f t="shared" si="62"/>
        <v>0</v>
      </c>
      <c r="H305" s="758" t="str">
        <f>IFERROR(INDEX('Local Data Previous Year'!$F:$F, MATCH($D305, 'Local Data Previous Year'!$D:$D, 0)), "")</f>
        <v/>
      </c>
      <c r="I305" s="759">
        <f>IF(B305=CTR1_Billing!$E$21&amp;"NEW",1,0)</f>
        <v>0</v>
      </c>
      <c r="J305" s="760" t="str">
        <f>IFERROR(INDEX('Local Data Previous Year'!$G:$G, MATCH($D305, 'Local Data Previous Year'!$D:$D, 0)), "")</f>
        <v/>
      </c>
      <c r="K305" s="762"/>
      <c r="L305" s="760" t="str">
        <f>IFERROR(INDEX('Local Data Previous Year'!$H:$H, MATCH($D305, 'Local Data Previous Year'!$D:$D, 0)), "")</f>
        <v/>
      </c>
      <c r="M305" s="762"/>
      <c r="N305" s="763"/>
      <c r="O305" s="767"/>
      <c r="P305" s="765"/>
      <c r="Q305" s="767"/>
      <c r="R305" s="766" t="str">
        <f t="shared" si="63"/>
        <v/>
      </c>
      <c r="S305" s="754"/>
      <c r="T305" s="763"/>
      <c r="U305" s="754"/>
      <c r="V305" s="763"/>
      <c r="W305" s="763"/>
      <c r="X305" s="865" t="str">
        <f>VLOOKUP(CTR1_Billing!$E$21,Data!$C$6:$D$302,1,FALSE)</f>
        <v>EZZZZ</v>
      </c>
      <c r="Y305" s="205"/>
      <c r="Z305" s="205">
        <f t="shared" si="52"/>
        <v>0</v>
      </c>
      <c r="AA305" s="206" t="str">
        <f t="shared" si="40"/>
        <v/>
      </c>
      <c r="AB305" s="205">
        <f t="shared" si="53"/>
        <v>0</v>
      </c>
      <c r="AC305" s="208"/>
      <c r="AD305" s="208"/>
      <c r="AE305" s="208"/>
      <c r="AF305" s="208"/>
      <c r="AG305" s="209" t="str">
        <f>IFERROR(INDEX('Local Data Previous Year'!$F:$F, MATCH($D305, 'Local Data Previous Year'!$D:$D, 0)), "")</f>
        <v/>
      </c>
      <c r="AH305" s="209" t="str">
        <f>IFERROR(INDEX('Local Data Previous Year'!$G:$G, MATCH($D305, 'Local Data Previous Year'!$D:$D, 0)), "")</f>
        <v/>
      </c>
      <c r="AI305" s="209" t="str">
        <f>IFERROR(INDEX('Local Data Previous Year'!$H:$H, MATCH($D305, 'Local Data Previous Year'!$D:$D, 0)), "")</f>
        <v/>
      </c>
      <c r="AJ305" s="209" t="str">
        <f t="shared" si="54"/>
        <v/>
      </c>
      <c r="AK305" s="209" t="str">
        <f t="shared" si="55"/>
        <v/>
      </c>
      <c r="AL305" s="209" t="str">
        <f t="shared" si="56"/>
        <v/>
      </c>
      <c r="AM305" s="208" t="str">
        <f>IF($AN305="","",IFERROR(VLOOKUP(CONCATENATE(CTR1_Billing!$E$20,$AN305),'Local Data Previous Year'!$C$3:$D$50000,2,0),CTR1_Billing!$E$21&amp;"NEW"))</f>
        <v/>
      </c>
      <c r="AN305" s="209" t="str" cm="1">
        <f t="array" ref="AN305">IF(ISERROR(INDEX('Local Data Previous Year'!$E$3:$E$50000, SMALL(IF(CTR1_Billing!$E$21='Local Data Previous Year'!$A$3:$A$50000, ROW('Local Data Previous Year'!$A$3:$A$50000)-ROW('Local Data Previous Year'!$A$3)+1), ROW(273:273)))), "", INDEX('Local Data Previous Year'!$E$3:$E$50000, SMALL(IF(CTR1_Billing!$E$21='Local Data Previous Year'!$A$3:$A$50000, ROW('Local Data Previous Year'!$A$3:$A$50000)-ROW('Local Data Previous Year'!$A$3)+1), ROW(273:273))))</f>
        <v/>
      </c>
      <c r="AO305" s="209" t="str">
        <f t="shared" si="57"/>
        <v/>
      </c>
      <c r="AP305" s="208"/>
      <c r="AQ305" s="209" t="str">
        <f t="shared" si="58"/>
        <v/>
      </c>
      <c r="AR305" s="209" t="str">
        <f t="shared" si="59"/>
        <v/>
      </c>
      <c r="AS305" s="202" t="str">
        <f t="shared" si="60"/>
        <v/>
      </c>
      <c r="AT305" s="202" t="str">
        <f t="shared" si="61"/>
        <v/>
      </c>
      <c r="AU305" s="208"/>
      <c r="AV305" s="208"/>
      <c r="AW305" s="208"/>
      <c r="AX305" s="208"/>
      <c r="AY305" s="208"/>
      <c r="AZ305" s="208"/>
      <c r="BA305" s="208"/>
      <c r="BB305" s="208"/>
      <c r="BC305" s="208"/>
      <c r="BD305" s="208"/>
      <c r="BE305" s="208"/>
      <c r="BF305" s="208"/>
      <c r="BG305" s="28"/>
      <c r="BH305" s="28"/>
      <c r="BI305" s="28"/>
      <c r="BJ305" s="28"/>
    </row>
    <row r="306" spans="1:62" s="23" customFormat="1" ht="21" customHeight="1" thickBot="1" x14ac:dyDescent="0.25">
      <c r="A306" s="846" t="str">
        <f>IF($AN306="","",IFERROR(VLOOKUP(CONCATENATE(CTR1_Billing!$E$20,$AN306),'Local Data Previous Year'!$C$3:$D$20000,2,0),CTR1_Billing!$E$21&amp;"NEW"))</f>
        <v/>
      </c>
      <c r="B306" s="846" t="str">
        <f>IF($E306="","",IFERROR(VLOOKUP(CONCATENATE(CTR1_Billing!$E$20,CTR1_Local!$E306),'Local Data Previous Year'!$C$3:$D$20000,2,0),CTR1_Billing!$E$21&amp;"NEW"))</f>
        <v/>
      </c>
      <c r="C306" s="846">
        <v>274</v>
      </c>
      <c r="D306" s="755" t="str" cm="1">
        <f t="array" ref="D306">IF(ISERROR(INDEX('Local Data Previous Year'!$D$3:$D$20000,SMALL(IF(CTR1_Billing!$E$21='Local Data Previous Year'!$A$3:$A$20000,ROW('Local Data Previous Year'!$A$3:$A$20000)-ROW('Local Data Previous Year'!$A$3)+1),ROW(274:274)))),"",INDEX('Local Data Previous Year'!$D$3:$D$20000,SMALL(IF(CTR1_Billing!$E$21='Local Data Previous Year'!$A$3:$A$20000,ROW('Local Data Previous Year'!$A$3:$A$20000)-ROW('Local Data Previous Year'!$A$3)+1),ROW(274:274))))</f>
        <v/>
      </c>
      <c r="E306" s="755" t="str" cm="1">
        <f t="array" ref="E306">IF(ISERROR(INDEX('Local Data Previous Year'!$E$3:$E$20000,SMALL(IF(CTR1_Billing!$E$21='Local Data Previous Year'!$A$3:$A$20000,ROW('Local Data Previous Year'!$A$3:$A$20000)-ROW('Local Data Previous Year'!$A$3)+1),ROW(274:274)))),"",INDEX('Local Data Previous Year'!$E$3:$E$20000,SMALL(IF(CTR1_Billing!$E$21='Local Data Previous Year'!$A$3:$A$20000,ROW('Local Data Previous Year'!$A$3:$A$20000)-ROW('Local Data Previous Year'!$A$3)+1),ROW(274:274))))</f>
        <v/>
      </c>
      <c r="F306" s="756" t="str">
        <f>IF($D306="","",IF(ISNA(MATCH($D306,'Local Data Previous Year'!$D$3:$D$20000,0)),"New",IFERROR(VLOOKUP($B306,'Local Data Previous Year'!$D$3:$I$20000,6,0),"")))</f>
        <v/>
      </c>
      <c r="G306" s="757">
        <f t="shared" si="62"/>
        <v>0</v>
      </c>
      <c r="H306" s="758" t="str">
        <f>IFERROR(INDEX('Local Data Previous Year'!$F:$F, MATCH($D306, 'Local Data Previous Year'!$D:$D, 0)), "")</f>
        <v/>
      </c>
      <c r="I306" s="759">
        <f>IF(B306=CTR1_Billing!$E$21&amp;"NEW",1,0)</f>
        <v>0</v>
      </c>
      <c r="J306" s="760" t="str">
        <f>IFERROR(INDEX('Local Data Previous Year'!$G:$G, MATCH($D306, 'Local Data Previous Year'!$D:$D, 0)), "")</f>
        <v/>
      </c>
      <c r="K306" s="762"/>
      <c r="L306" s="760" t="str">
        <f>IFERROR(INDEX('Local Data Previous Year'!$H:$H, MATCH($D306, 'Local Data Previous Year'!$D:$D, 0)), "")</f>
        <v/>
      </c>
      <c r="M306" s="762"/>
      <c r="N306" s="763"/>
      <c r="O306" s="767"/>
      <c r="P306" s="765"/>
      <c r="Q306" s="767"/>
      <c r="R306" s="766" t="str">
        <f t="shared" si="63"/>
        <v/>
      </c>
      <c r="S306" s="754"/>
      <c r="T306" s="763"/>
      <c r="U306" s="754"/>
      <c r="V306" s="763"/>
      <c r="W306" s="763"/>
      <c r="X306" s="865" t="str">
        <f>VLOOKUP(CTR1_Billing!$E$21,Data!$C$6:$D$302,1,FALSE)</f>
        <v>EZZZZ</v>
      </c>
      <c r="Y306" s="205"/>
      <c r="Z306" s="205">
        <f t="shared" si="52"/>
        <v>0</v>
      </c>
      <c r="AA306" s="206" t="str">
        <f t="shared" si="40"/>
        <v/>
      </c>
      <c r="AB306" s="205">
        <f t="shared" si="53"/>
        <v>0</v>
      </c>
      <c r="AC306" s="208"/>
      <c r="AD306" s="208"/>
      <c r="AE306" s="208"/>
      <c r="AF306" s="208"/>
      <c r="AG306" s="209" t="str">
        <f>IFERROR(INDEX('Local Data Previous Year'!$F:$F, MATCH($D306, 'Local Data Previous Year'!$D:$D, 0)), "")</f>
        <v/>
      </c>
      <c r="AH306" s="209" t="str">
        <f>IFERROR(INDEX('Local Data Previous Year'!$G:$G, MATCH($D306, 'Local Data Previous Year'!$D:$D, 0)), "")</f>
        <v/>
      </c>
      <c r="AI306" s="209" t="str">
        <f>IFERROR(INDEX('Local Data Previous Year'!$H:$H, MATCH($D306, 'Local Data Previous Year'!$D:$D, 0)), "")</f>
        <v/>
      </c>
      <c r="AJ306" s="209" t="str">
        <f t="shared" si="54"/>
        <v/>
      </c>
      <c r="AK306" s="209" t="str">
        <f t="shared" si="55"/>
        <v/>
      </c>
      <c r="AL306" s="209" t="str">
        <f t="shared" si="56"/>
        <v/>
      </c>
      <c r="AM306" s="208" t="str">
        <f>IF($AN306="","",IFERROR(VLOOKUP(CONCATENATE(CTR1_Billing!$E$20,$AN306),'Local Data Previous Year'!$C$3:$D$50000,2,0),CTR1_Billing!$E$21&amp;"NEW"))</f>
        <v/>
      </c>
      <c r="AN306" s="209" t="str" cm="1">
        <f t="array" ref="AN306">IF(ISERROR(INDEX('Local Data Previous Year'!$E$3:$E$50000, SMALL(IF(CTR1_Billing!$E$21='Local Data Previous Year'!$A$3:$A$50000, ROW('Local Data Previous Year'!$A$3:$A$50000)-ROW('Local Data Previous Year'!$A$3)+1), ROW(274:274)))), "", INDEX('Local Data Previous Year'!$E$3:$E$50000, SMALL(IF(CTR1_Billing!$E$21='Local Data Previous Year'!$A$3:$A$50000, ROW('Local Data Previous Year'!$A$3:$A$50000)-ROW('Local Data Previous Year'!$A$3)+1), ROW(274:274))))</f>
        <v/>
      </c>
      <c r="AO306" s="209" t="str">
        <f t="shared" si="57"/>
        <v/>
      </c>
      <c r="AP306" s="208"/>
      <c r="AQ306" s="209" t="str">
        <f t="shared" si="58"/>
        <v/>
      </c>
      <c r="AR306" s="209" t="str">
        <f t="shared" si="59"/>
        <v/>
      </c>
      <c r="AS306" s="202" t="str">
        <f t="shared" si="60"/>
        <v/>
      </c>
      <c r="AT306" s="202" t="str">
        <f t="shared" si="61"/>
        <v/>
      </c>
      <c r="AU306" s="208"/>
      <c r="AV306" s="208"/>
      <c r="AW306" s="208"/>
      <c r="AX306" s="208"/>
      <c r="AY306" s="208"/>
      <c r="AZ306" s="208"/>
      <c r="BA306" s="208"/>
      <c r="BB306" s="208"/>
      <c r="BC306" s="208"/>
      <c r="BD306" s="208"/>
      <c r="BE306" s="208"/>
      <c r="BF306" s="208"/>
      <c r="BG306" s="28"/>
      <c r="BH306" s="28"/>
      <c r="BI306" s="28"/>
      <c r="BJ306" s="28"/>
    </row>
    <row r="307" spans="1:62" s="23" customFormat="1" ht="21" customHeight="1" thickBot="1" x14ac:dyDescent="0.25">
      <c r="A307" s="846" t="str">
        <f>IF($AN307="","",IFERROR(VLOOKUP(CONCATENATE(CTR1_Billing!$E$20,$AN307),'Local Data Previous Year'!$C$3:$D$20000,2,0),CTR1_Billing!$E$21&amp;"NEW"))</f>
        <v/>
      </c>
      <c r="B307" s="846" t="str">
        <f>IF($E307="","",IFERROR(VLOOKUP(CONCATENATE(CTR1_Billing!$E$20,CTR1_Local!$E307),'Local Data Previous Year'!$C$3:$D$20000,2,0),CTR1_Billing!$E$21&amp;"NEW"))</f>
        <v/>
      </c>
      <c r="C307" s="846">
        <v>275</v>
      </c>
      <c r="D307" s="755" t="str" cm="1">
        <f t="array" ref="D307">IF(ISERROR(INDEX('Local Data Previous Year'!$D$3:$D$20000,SMALL(IF(CTR1_Billing!$E$21='Local Data Previous Year'!$A$3:$A$20000,ROW('Local Data Previous Year'!$A$3:$A$20000)-ROW('Local Data Previous Year'!$A$3)+1),ROW(275:275)))),"",INDEX('Local Data Previous Year'!$D$3:$D$20000,SMALL(IF(CTR1_Billing!$E$21='Local Data Previous Year'!$A$3:$A$20000,ROW('Local Data Previous Year'!$A$3:$A$20000)-ROW('Local Data Previous Year'!$A$3)+1),ROW(275:275))))</f>
        <v/>
      </c>
      <c r="E307" s="755" t="str" cm="1">
        <f t="array" ref="E307">IF(ISERROR(INDEX('Local Data Previous Year'!$E$3:$E$20000,SMALL(IF(CTR1_Billing!$E$21='Local Data Previous Year'!$A$3:$A$20000,ROW('Local Data Previous Year'!$A$3:$A$20000)-ROW('Local Data Previous Year'!$A$3)+1),ROW(275:275)))),"",INDEX('Local Data Previous Year'!$E$3:$E$20000,SMALL(IF(CTR1_Billing!$E$21='Local Data Previous Year'!$A$3:$A$20000,ROW('Local Data Previous Year'!$A$3:$A$20000)-ROW('Local Data Previous Year'!$A$3)+1),ROW(275:275))))</f>
        <v/>
      </c>
      <c r="F307" s="756" t="str">
        <f>IF($D307="","",IF(ISNA(MATCH($D307,'Local Data Previous Year'!$D$3:$D$20000,0)),"New",IFERROR(VLOOKUP($B307,'Local Data Previous Year'!$D$3:$I$20000,6,0),"")))</f>
        <v/>
      </c>
      <c r="G307" s="757">
        <f t="shared" si="62"/>
        <v>0</v>
      </c>
      <c r="H307" s="758" t="str">
        <f>IFERROR(INDEX('Local Data Previous Year'!$F:$F, MATCH($D307, 'Local Data Previous Year'!$D:$D, 0)), "")</f>
        <v/>
      </c>
      <c r="I307" s="759">
        <f>IF(B307=CTR1_Billing!$E$21&amp;"NEW",1,0)</f>
        <v>0</v>
      </c>
      <c r="J307" s="760" t="str">
        <f>IFERROR(INDEX('Local Data Previous Year'!$G:$G, MATCH($D307, 'Local Data Previous Year'!$D:$D, 0)), "")</f>
        <v/>
      </c>
      <c r="K307" s="762"/>
      <c r="L307" s="760" t="str">
        <f>IFERROR(INDEX('Local Data Previous Year'!$H:$H, MATCH($D307, 'Local Data Previous Year'!$D:$D, 0)), "")</f>
        <v/>
      </c>
      <c r="M307" s="762"/>
      <c r="N307" s="763"/>
      <c r="O307" s="767"/>
      <c r="P307" s="765"/>
      <c r="Q307" s="767"/>
      <c r="R307" s="766" t="str">
        <f t="shared" si="63"/>
        <v/>
      </c>
      <c r="S307" s="754"/>
      <c r="T307" s="763"/>
      <c r="U307" s="754"/>
      <c r="V307" s="763"/>
      <c r="W307" s="763"/>
      <c r="X307" s="865" t="str">
        <f>VLOOKUP(CTR1_Billing!$E$21,Data!$C$6:$D$302,1,FALSE)</f>
        <v>EZZZZ</v>
      </c>
      <c r="Y307" s="205"/>
      <c r="Z307" s="205">
        <f t="shared" si="52"/>
        <v>0</v>
      </c>
      <c r="AA307" s="206" t="str">
        <f t="shared" si="40"/>
        <v/>
      </c>
      <c r="AB307" s="205">
        <f t="shared" si="53"/>
        <v>0</v>
      </c>
      <c r="AC307" s="208"/>
      <c r="AD307" s="208"/>
      <c r="AE307" s="208"/>
      <c r="AF307" s="208"/>
      <c r="AG307" s="209" t="str">
        <f>IFERROR(INDEX('Local Data Previous Year'!$F:$F, MATCH($D307, 'Local Data Previous Year'!$D:$D, 0)), "")</f>
        <v/>
      </c>
      <c r="AH307" s="209" t="str">
        <f>IFERROR(INDEX('Local Data Previous Year'!$G:$G, MATCH($D307, 'Local Data Previous Year'!$D:$D, 0)), "")</f>
        <v/>
      </c>
      <c r="AI307" s="209" t="str">
        <f>IFERROR(INDEX('Local Data Previous Year'!$H:$H, MATCH($D307, 'Local Data Previous Year'!$D:$D, 0)), "")</f>
        <v/>
      </c>
      <c r="AJ307" s="209" t="str">
        <f t="shared" si="54"/>
        <v/>
      </c>
      <c r="AK307" s="209" t="str">
        <f t="shared" si="55"/>
        <v/>
      </c>
      <c r="AL307" s="209" t="str">
        <f t="shared" si="56"/>
        <v/>
      </c>
      <c r="AM307" s="208" t="str">
        <f>IF($AN307="","",IFERROR(VLOOKUP(CONCATENATE(CTR1_Billing!$E$20,$AN307),'Local Data Previous Year'!$C$3:$D$50000,2,0),CTR1_Billing!$E$21&amp;"NEW"))</f>
        <v/>
      </c>
      <c r="AN307" s="209" t="str" cm="1">
        <f t="array" ref="AN307">IF(ISERROR(INDEX('Local Data Previous Year'!$E$3:$E$50000, SMALL(IF(CTR1_Billing!$E$21='Local Data Previous Year'!$A$3:$A$50000, ROW('Local Data Previous Year'!$A$3:$A$50000)-ROW('Local Data Previous Year'!$A$3)+1), ROW(275:275)))), "", INDEX('Local Data Previous Year'!$E$3:$E$50000, SMALL(IF(CTR1_Billing!$E$21='Local Data Previous Year'!$A$3:$A$50000, ROW('Local Data Previous Year'!$A$3:$A$50000)-ROW('Local Data Previous Year'!$A$3)+1), ROW(275:275))))</f>
        <v/>
      </c>
      <c r="AO307" s="209" t="str">
        <f t="shared" si="57"/>
        <v/>
      </c>
      <c r="AP307" s="208"/>
      <c r="AQ307" s="209" t="str">
        <f t="shared" si="58"/>
        <v/>
      </c>
      <c r="AR307" s="209" t="str">
        <f t="shared" si="59"/>
        <v/>
      </c>
      <c r="AS307" s="202" t="str">
        <f t="shared" si="60"/>
        <v/>
      </c>
      <c r="AT307" s="202" t="str">
        <f t="shared" si="61"/>
        <v/>
      </c>
      <c r="AU307" s="208"/>
      <c r="AV307" s="208"/>
      <c r="AW307" s="208"/>
      <c r="AX307" s="208"/>
      <c r="AY307" s="208"/>
      <c r="AZ307" s="208"/>
      <c r="BA307" s="208"/>
      <c r="BB307" s="208"/>
      <c r="BC307" s="208"/>
      <c r="BD307" s="208"/>
      <c r="BE307" s="208"/>
      <c r="BF307" s="208"/>
      <c r="BG307" s="28"/>
      <c r="BH307" s="28"/>
      <c r="BI307" s="28"/>
      <c r="BJ307" s="28"/>
    </row>
    <row r="308" spans="1:62" s="23" customFormat="1" ht="21" customHeight="1" thickBot="1" x14ac:dyDescent="0.25">
      <c r="A308" s="846" t="str">
        <f>IF($AN308="","",IFERROR(VLOOKUP(CONCATENATE(CTR1_Billing!$E$20,$AN308),'Local Data Previous Year'!$C$3:$D$20000,2,0),CTR1_Billing!$E$21&amp;"NEW"))</f>
        <v/>
      </c>
      <c r="B308" s="846" t="str">
        <f>IF($E308="","",IFERROR(VLOOKUP(CONCATENATE(CTR1_Billing!$E$20,CTR1_Local!$E308),'Local Data Previous Year'!$C$3:$D$20000,2,0),CTR1_Billing!$E$21&amp;"NEW"))</f>
        <v/>
      </c>
      <c r="C308" s="846">
        <v>276</v>
      </c>
      <c r="D308" s="755" t="str" cm="1">
        <f t="array" ref="D308">IF(ISERROR(INDEX('Local Data Previous Year'!$D$3:$D$20000,SMALL(IF(CTR1_Billing!$E$21='Local Data Previous Year'!$A$3:$A$20000,ROW('Local Data Previous Year'!$A$3:$A$20000)-ROW('Local Data Previous Year'!$A$3)+1),ROW(276:276)))),"",INDEX('Local Data Previous Year'!$D$3:$D$20000,SMALL(IF(CTR1_Billing!$E$21='Local Data Previous Year'!$A$3:$A$20000,ROW('Local Data Previous Year'!$A$3:$A$20000)-ROW('Local Data Previous Year'!$A$3)+1),ROW(276:276))))</f>
        <v/>
      </c>
      <c r="E308" s="755" t="str" cm="1">
        <f t="array" ref="E308">IF(ISERROR(INDEX('Local Data Previous Year'!$E$3:$E$20000,SMALL(IF(CTR1_Billing!$E$21='Local Data Previous Year'!$A$3:$A$20000,ROW('Local Data Previous Year'!$A$3:$A$20000)-ROW('Local Data Previous Year'!$A$3)+1),ROW(276:276)))),"",INDEX('Local Data Previous Year'!$E$3:$E$20000,SMALL(IF(CTR1_Billing!$E$21='Local Data Previous Year'!$A$3:$A$20000,ROW('Local Data Previous Year'!$A$3:$A$20000)-ROW('Local Data Previous Year'!$A$3)+1),ROW(276:276))))</f>
        <v/>
      </c>
      <c r="F308" s="756" t="str">
        <f>IF($D308="","",IF(ISNA(MATCH($D308,'Local Data Previous Year'!$D$3:$D$20000,0)),"New",IFERROR(VLOOKUP($B308,'Local Data Previous Year'!$D$3:$I$20000,6,0),"")))</f>
        <v/>
      </c>
      <c r="G308" s="757">
        <f t="shared" si="62"/>
        <v>0</v>
      </c>
      <c r="H308" s="758" t="str">
        <f>IFERROR(INDEX('Local Data Previous Year'!$F:$F, MATCH($D308, 'Local Data Previous Year'!$D:$D, 0)), "")</f>
        <v/>
      </c>
      <c r="I308" s="759">
        <f>IF(B308=CTR1_Billing!$E$21&amp;"NEW",1,0)</f>
        <v>0</v>
      </c>
      <c r="J308" s="760" t="str">
        <f>IFERROR(INDEX('Local Data Previous Year'!$G:$G, MATCH($D308, 'Local Data Previous Year'!$D:$D, 0)), "")</f>
        <v/>
      </c>
      <c r="K308" s="762"/>
      <c r="L308" s="760" t="str">
        <f>IFERROR(INDEX('Local Data Previous Year'!$H:$H, MATCH($D308, 'Local Data Previous Year'!$D:$D, 0)), "")</f>
        <v/>
      </c>
      <c r="M308" s="762"/>
      <c r="N308" s="763"/>
      <c r="O308" s="767"/>
      <c r="P308" s="765"/>
      <c r="Q308" s="767"/>
      <c r="R308" s="766" t="str">
        <f t="shared" si="63"/>
        <v/>
      </c>
      <c r="S308" s="754"/>
      <c r="T308" s="763"/>
      <c r="U308" s="754"/>
      <c r="V308" s="763"/>
      <c r="W308" s="763"/>
      <c r="X308" s="865" t="str">
        <f>VLOOKUP(CTR1_Billing!$E$21,Data!$C$6:$D$302,1,FALSE)</f>
        <v>EZZZZ</v>
      </c>
      <c r="Y308" s="205"/>
      <c r="Z308" s="205">
        <f t="shared" si="52"/>
        <v>0</v>
      </c>
      <c r="AA308" s="206" t="str">
        <f t="shared" si="40"/>
        <v/>
      </c>
      <c r="AB308" s="205">
        <f t="shared" si="53"/>
        <v>0</v>
      </c>
      <c r="AC308" s="208"/>
      <c r="AD308" s="208"/>
      <c r="AE308" s="208"/>
      <c r="AF308" s="208"/>
      <c r="AG308" s="209" t="str">
        <f>IFERROR(INDEX('Local Data Previous Year'!$F:$F, MATCH($D308, 'Local Data Previous Year'!$D:$D, 0)), "")</f>
        <v/>
      </c>
      <c r="AH308" s="209" t="str">
        <f>IFERROR(INDEX('Local Data Previous Year'!$G:$G, MATCH($D308, 'Local Data Previous Year'!$D:$D, 0)), "")</f>
        <v/>
      </c>
      <c r="AI308" s="209" t="str">
        <f>IFERROR(INDEX('Local Data Previous Year'!$H:$H, MATCH($D308, 'Local Data Previous Year'!$D:$D, 0)), "")</f>
        <v/>
      </c>
      <c r="AJ308" s="209" t="str">
        <f t="shared" si="54"/>
        <v/>
      </c>
      <c r="AK308" s="209" t="str">
        <f t="shared" si="55"/>
        <v/>
      </c>
      <c r="AL308" s="209" t="str">
        <f t="shared" si="56"/>
        <v/>
      </c>
      <c r="AM308" s="208" t="str">
        <f>IF($AN308="","",IFERROR(VLOOKUP(CONCATENATE(CTR1_Billing!$E$20,$AN308),'Local Data Previous Year'!$C$3:$D$50000,2,0),CTR1_Billing!$E$21&amp;"NEW"))</f>
        <v/>
      </c>
      <c r="AN308" s="209" t="str" cm="1">
        <f t="array" ref="AN308">IF(ISERROR(INDEX('Local Data Previous Year'!$E$3:$E$50000, SMALL(IF(CTR1_Billing!$E$21='Local Data Previous Year'!$A$3:$A$50000, ROW('Local Data Previous Year'!$A$3:$A$50000)-ROW('Local Data Previous Year'!$A$3)+1), ROW(276:276)))), "", INDEX('Local Data Previous Year'!$E$3:$E$50000, SMALL(IF(CTR1_Billing!$E$21='Local Data Previous Year'!$A$3:$A$50000, ROW('Local Data Previous Year'!$A$3:$A$50000)-ROW('Local Data Previous Year'!$A$3)+1), ROW(276:276))))</f>
        <v/>
      </c>
      <c r="AO308" s="209" t="str">
        <f t="shared" si="57"/>
        <v/>
      </c>
      <c r="AP308" s="208"/>
      <c r="AQ308" s="209" t="str">
        <f t="shared" si="58"/>
        <v/>
      </c>
      <c r="AR308" s="209" t="str">
        <f t="shared" si="59"/>
        <v/>
      </c>
      <c r="AS308" s="202" t="str">
        <f t="shared" si="60"/>
        <v/>
      </c>
      <c r="AT308" s="202" t="str">
        <f t="shared" si="61"/>
        <v/>
      </c>
      <c r="AU308" s="208"/>
      <c r="AV308" s="208"/>
      <c r="AW308" s="208"/>
      <c r="AX308" s="208"/>
      <c r="AY308" s="208"/>
      <c r="AZ308" s="208"/>
      <c r="BA308" s="208"/>
      <c r="BB308" s="208"/>
      <c r="BC308" s="208"/>
      <c r="BD308" s="208"/>
      <c r="BE308" s="208"/>
      <c r="BF308" s="208"/>
      <c r="BG308" s="28"/>
      <c r="BH308" s="28"/>
      <c r="BI308" s="28"/>
      <c r="BJ308" s="28"/>
    </row>
    <row r="309" spans="1:62" s="23" customFormat="1" ht="21" customHeight="1" thickBot="1" x14ac:dyDescent="0.25">
      <c r="A309" s="846" t="str">
        <f>IF($AN309="","",IFERROR(VLOOKUP(CONCATENATE(CTR1_Billing!$E$20,$AN309),'Local Data Previous Year'!$C$3:$D$20000,2,0),CTR1_Billing!$E$21&amp;"NEW"))</f>
        <v/>
      </c>
      <c r="B309" s="846" t="str">
        <f>IF($E309="","",IFERROR(VLOOKUP(CONCATENATE(CTR1_Billing!$E$20,CTR1_Local!$E309),'Local Data Previous Year'!$C$3:$D$20000,2,0),CTR1_Billing!$E$21&amp;"NEW"))</f>
        <v/>
      </c>
      <c r="C309" s="846">
        <v>277</v>
      </c>
      <c r="D309" s="755" t="str" cm="1">
        <f t="array" ref="D309">IF(ISERROR(INDEX('Local Data Previous Year'!$D$3:$D$20000,SMALL(IF(CTR1_Billing!$E$21='Local Data Previous Year'!$A$3:$A$20000,ROW('Local Data Previous Year'!$A$3:$A$20000)-ROW('Local Data Previous Year'!$A$3)+1),ROW(277:277)))),"",INDEX('Local Data Previous Year'!$D$3:$D$20000,SMALL(IF(CTR1_Billing!$E$21='Local Data Previous Year'!$A$3:$A$20000,ROW('Local Data Previous Year'!$A$3:$A$20000)-ROW('Local Data Previous Year'!$A$3)+1),ROW(277:277))))</f>
        <v/>
      </c>
      <c r="E309" s="755" t="str" cm="1">
        <f t="array" ref="E309">IF(ISERROR(INDEX('Local Data Previous Year'!$E$3:$E$20000,SMALL(IF(CTR1_Billing!$E$21='Local Data Previous Year'!$A$3:$A$20000,ROW('Local Data Previous Year'!$A$3:$A$20000)-ROW('Local Data Previous Year'!$A$3)+1),ROW(277:277)))),"",INDEX('Local Data Previous Year'!$E$3:$E$20000,SMALL(IF(CTR1_Billing!$E$21='Local Data Previous Year'!$A$3:$A$20000,ROW('Local Data Previous Year'!$A$3:$A$20000)-ROW('Local Data Previous Year'!$A$3)+1),ROW(277:277))))</f>
        <v/>
      </c>
      <c r="F309" s="756" t="str">
        <f>IF($D309="","",IF(ISNA(MATCH($D309,'Local Data Previous Year'!$D$3:$D$20000,0)),"New",IFERROR(VLOOKUP($B309,'Local Data Previous Year'!$D$3:$I$20000,6,0),"")))</f>
        <v/>
      </c>
      <c r="G309" s="757">
        <f t="shared" si="62"/>
        <v>0</v>
      </c>
      <c r="H309" s="758" t="str">
        <f>IFERROR(INDEX('Local Data Previous Year'!$F:$F, MATCH($D309, 'Local Data Previous Year'!$D:$D, 0)), "")</f>
        <v/>
      </c>
      <c r="I309" s="759">
        <f>IF(B309=CTR1_Billing!$E$21&amp;"NEW",1,0)</f>
        <v>0</v>
      </c>
      <c r="J309" s="760" t="str">
        <f>IFERROR(INDEX('Local Data Previous Year'!$G:$G, MATCH($D309, 'Local Data Previous Year'!$D:$D, 0)), "")</f>
        <v/>
      </c>
      <c r="K309" s="762"/>
      <c r="L309" s="760" t="str">
        <f>IFERROR(INDEX('Local Data Previous Year'!$H:$H, MATCH($D309, 'Local Data Previous Year'!$D:$D, 0)), "")</f>
        <v/>
      </c>
      <c r="M309" s="762"/>
      <c r="N309" s="763"/>
      <c r="O309" s="767"/>
      <c r="P309" s="765"/>
      <c r="Q309" s="767"/>
      <c r="R309" s="766" t="str">
        <f t="shared" si="63"/>
        <v/>
      </c>
      <c r="S309" s="754"/>
      <c r="T309" s="763"/>
      <c r="U309" s="754"/>
      <c r="V309" s="763"/>
      <c r="W309" s="763"/>
      <c r="X309" s="865" t="str">
        <f>VLOOKUP(CTR1_Billing!$E$21,Data!$C$6:$D$302,1,FALSE)</f>
        <v>EZZZZ</v>
      </c>
      <c r="Y309" s="205"/>
      <c r="Z309" s="205">
        <f t="shared" si="52"/>
        <v>0</v>
      </c>
      <c r="AA309" s="206" t="str">
        <f t="shared" si="40"/>
        <v/>
      </c>
      <c r="AB309" s="205">
        <f t="shared" si="53"/>
        <v>0</v>
      </c>
      <c r="AC309" s="208"/>
      <c r="AD309" s="208"/>
      <c r="AE309" s="208"/>
      <c r="AF309" s="208"/>
      <c r="AG309" s="209" t="str">
        <f>IFERROR(INDEX('Local Data Previous Year'!$F:$F, MATCH($D309, 'Local Data Previous Year'!$D:$D, 0)), "")</f>
        <v/>
      </c>
      <c r="AH309" s="209" t="str">
        <f>IFERROR(INDEX('Local Data Previous Year'!$G:$G, MATCH($D309, 'Local Data Previous Year'!$D:$D, 0)), "")</f>
        <v/>
      </c>
      <c r="AI309" s="209" t="str">
        <f>IFERROR(INDEX('Local Data Previous Year'!$H:$H, MATCH($D309, 'Local Data Previous Year'!$D:$D, 0)), "")</f>
        <v/>
      </c>
      <c r="AJ309" s="209" t="str">
        <f t="shared" si="54"/>
        <v/>
      </c>
      <c r="AK309" s="209" t="str">
        <f t="shared" si="55"/>
        <v/>
      </c>
      <c r="AL309" s="209" t="str">
        <f t="shared" si="56"/>
        <v/>
      </c>
      <c r="AM309" s="208" t="str">
        <f>IF($AN309="","",IFERROR(VLOOKUP(CONCATENATE(CTR1_Billing!$E$20,$AN309),'Local Data Previous Year'!$C$3:$D$50000,2,0),CTR1_Billing!$E$21&amp;"NEW"))</f>
        <v/>
      </c>
      <c r="AN309" s="209" t="str" cm="1">
        <f t="array" ref="AN309">IF(ISERROR(INDEX('Local Data Previous Year'!$E$3:$E$50000, SMALL(IF(CTR1_Billing!$E$21='Local Data Previous Year'!$A$3:$A$50000, ROW('Local Data Previous Year'!$A$3:$A$50000)-ROW('Local Data Previous Year'!$A$3)+1), ROW(277:277)))), "", INDEX('Local Data Previous Year'!$E$3:$E$50000, SMALL(IF(CTR1_Billing!$E$21='Local Data Previous Year'!$A$3:$A$50000, ROW('Local Data Previous Year'!$A$3:$A$50000)-ROW('Local Data Previous Year'!$A$3)+1), ROW(277:277))))</f>
        <v/>
      </c>
      <c r="AO309" s="209" t="str">
        <f t="shared" si="57"/>
        <v/>
      </c>
      <c r="AP309" s="208"/>
      <c r="AQ309" s="209" t="str">
        <f t="shared" si="58"/>
        <v/>
      </c>
      <c r="AR309" s="209" t="str">
        <f t="shared" si="59"/>
        <v/>
      </c>
      <c r="AS309" s="202" t="str">
        <f t="shared" si="60"/>
        <v/>
      </c>
      <c r="AT309" s="202" t="str">
        <f t="shared" si="61"/>
        <v/>
      </c>
      <c r="AU309" s="208"/>
      <c r="AV309" s="208"/>
      <c r="AW309" s="208"/>
      <c r="AX309" s="208"/>
      <c r="AY309" s="208"/>
      <c r="AZ309" s="208"/>
      <c r="BA309" s="208"/>
      <c r="BB309" s="208"/>
      <c r="BC309" s="208"/>
      <c r="BD309" s="208"/>
      <c r="BE309" s="208"/>
      <c r="BF309" s="208"/>
      <c r="BG309" s="28"/>
      <c r="BH309" s="28"/>
      <c r="BI309" s="28"/>
      <c r="BJ309" s="28"/>
    </row>
    <row r="310" spans="1:62" s="23" customFormat="1" ht="21" customHeight="1" thickBot="1" x14ac:dyDescent="0.25">
      <c r="A310" s="846" t="str">
        <f>IF($AN310="","",IFERROR(VLOOKUP(CONCATENATE(CTR1_Billing!$E$20,$AN310),'Local Data Previous Year'!$C$3:$D$20000,2,0),CTR1_Billing!$E$21&amp;"NEW"))</f>
        <v/>
      </c>
      <c r="B310" s="846" t="str">
        <f>IF($E310="","",IFERROR(VLOOKUP(CONCATENATE(CTR1_Billing!$E$20,CTR1_Local!$E310),'Local Data Previous Year'!$C$3:$D$20000,2,0),CTR1_Billing!$E$21&amp;"NEW"))</f>
        <v/>
      </c>
      <c r="C310" s="846">
        <v>278</v>
      </c>
      <c r="D310" s="755" t="str" cm="1">
        <f t="array" ref="D310">IF(ISERROR(INDEX('Local Data Previous Year'!$D$3:$D$20000,SMALL(IF(CTR1_Billing!$E$21='Local Data Previous Year'!$A$3:$A$20000,ROW('Local Data Previous Year'!$A$3:$A$20000)-ROW('Local Data Previous Year'!$A$3)+1),ROW(278:278)))),"",INDEX('Local Data Previous Year'!$D$3:$D$20000,SMALL(IF(CTR1_Billing!$E$21='Local Data Previous Year'!$A$3:$A$20000,ROW('Local Data Previous Year'!$A$3:$A$20000)-ROW('Local Data Previous Year'!$A$3)+1),ROW(278:278))))</f>
        <v/>
      </c>
      <c r="E310" s="755" t="str" cm="1">
        <f t="array" ref="E310">IF(ISERROR(INDEX('Local Data Previous Year'!$E$3:$E$20000,SMALL(IF(CTR1_Billing!$E$21='Local Data Previous Year'!$A$3:$A$20000,ROW('Local Data Previous Year'!$A$3:$A$20000)-ROW('Local Data Previous Year'!$A$3)+1),ROW(278:278)))),"",INDEX('Local Data Previous Year'!$E$3:$E$20000,SMALL(IF(CTR1_Billing!$E$21='Local Data Previous Year'!$A$3:$A$20000,ROW('Local Data Previous Year'!$A$3:$A$20000)-ROW('Local Data Previous Year'!$A$3)+1),ROW(278:278))))</f>
        <v/>
      </c>
      <c r="F310" s="756" t="str">
        <f>IF($D310="","",IF(ISNA(MATCH($D310,'Local Data Previous Year'!$D$3:$D$20000,0)),"New",IFERROR(VLOOKUP($B310,'Local Data Previous Year'!$D$3:$I$20000,6,0),"")))</f>
        <v/>
      </c>
      <c r="G310" s="757">
        <f t="shared" si="62"/>
        <v>0</v>
      </c>
      <c r="H310" s="758" t="str">
        <f>IFERROR(INDEX('Local Data Previous Year'!$F:$F, MATCH($D310, 'Local Data Previous Year'!$D:$D, 0)), "")</f>
        <v/>
      </c>
      <c r="I310" s="759">
        <f>IF(B310=CTR1_Billing!$E$21&amp;"NEW",1,0)</f>
        <v>0</v>
      </c>
      <c r="J310" s="760" t="str">
        <f>IFERROR(INDEX('Local Data Previous Year'!$G:$G, MATCH($D310, 'Local Data Previous Year'!$D:$D, 0)), "")</f>
        <v/>
      </c>
      <c r="K310" s="762"/>
      <c r="L310" s="760" t="str">
        <f>IFERROR(INDEX('Local Data Previous Year'!$H:$H, MATCH($D310, 'Local Data Previous Year'!$D:$D, 0)), "")</f>
        <v/>
      </c>
      <c r="M310" s="762"/>
      <c r="N310" s="763"/>
      <c r="O310" s="767"/>
      <c r="P310" s="765"/>
      <c r="Q310" s="767"/>
      <c r="R310" s="766" t="str">
        <f t="shared" si="63"/>
        <v/>
      </c>
      <c r="S310" s="754"/>
      <c r="T310" s="763"/>
      <c r="U310" s="754"/>
      <c r="V310" s="763"/>
      <c r="W310" s="763"/>
      <c r="X310" s="865" t="str">
        <f>VLOOKUP(CTR1_Billing!$E$21,Data!$C$6:$D$302,1,FALSE)</f>
        <v>EZZZZ</v>
      </c>
      <c r="Y310" s="205"/>
      <c r="Z310" s="205">
        <f t="shared" si="52"/>
        <v>0</v>
      </c>
      <c r="AA310" s="206" t="str">
        <f t="shared" si="40"/>
        <v/>
      </c>
      <c r="AB310" s="205">
        <f t="shared" si="53"/>
        <v>0</v>
      </c>
      <c r="AC310" s="208"/>
      <c r="AD310" s="208"/>
      <c r="AE310" s="208"/>
      <c r="AF310" s="208"/>
      <c r="AG310" s="209" t="str">
        <f>IFERROR(INDEX('Local Data Previous Year'!$F:$F, MATCH($D310, 'Local Data Previous Year'!$D:$D, 0)), "")</f>
        <v/>
      </c>
      <c r="AH310" s="209" t="str">
        <f>IFERROR(INDEX('Local Data Previous Year'!$G:$G, MATCH($D310, 'Local Data Previous Year'!$D:$D, 0)), "")</f>
        <v/>
      </c>
      <c r="AI310" s="209" t="str">
        <f>IFERROR(INDEX('Local Data Previous Year'!$H:$H, MATCH($D310, 'Local Data Previous Year'!$D:$D, 0)), "")</f>
        <v/>
      </c>
      <c r="AJ310" s="209" t="str">
        <f t="shared" si="54"/>
        <v/>
      </c>
      <c r="AK310" s="209" t="str">
        <f t="shared" si="55"/>
        <v/>
      </c>
      <c r="AL310" s="209" t="str">
        <f t="shared" si="56"/>
        <v/>
      </c>
      <c r="AM310" s="208" t="str">
        <f>IF($AN310="","",IFERROR(VLOOKUP(CONCATENATE(CTR1_Billing!$E$20,$AN310),'Local Data Previous Year'!$C$3:$D$50000,2,0),CTR1_Billing!$E$21&amp;"NEW"))</f>
        <v/>
      </c>
      <c r="AN310" s="209" t="str" cm="1">
        <f t="array" ref="AN310">IF(ISERROR(INDEX('Local Data Previous Year'!$E$3:$E$50000, SMALL(IF(CTR1_Billing!$E$21='Local Data Previous Year'!$A$3:$A$50000, ROW('Local Data Previous Year'!$A$3:$A$50000)-ROW('Local Data Previous Year'!$A$3)+1), ROW(278:278)))), "", INDEX('Local Data Previous Year'!$E$3:$E$50000, SMALL(IF(CTR1_Billing!$E$21='Local Data Previous Year'!$A$3:$A$50000, ROW('Local Data Previous Year'!$A$3:$A$50000)-ROW('Local Data Previous Year'!$A$3)+1), ROW(278:278))))</f>
        <v/>
      </c>
      <c r="AO310" s="209" t="str">
        <f t="shared" si="57"/>
        <v/>
      </c>
      <c r="AP310" s="208"/>
      <c r="AQ310" s="209" t="str">
        <f t="shared" si="58"/>
        <v/>
      </c>
      <c r="AR310" s="209" t="str">
        <f t="shared" si="59"/>
        <v/>
      </c>
      <c r="AS310" s="202" t="str">
        <f t="shared" si="60"/>
        <v/>
      </c>
      <c r="AT310" s="202" t="str">
        <f t="shared" si="61"/>
        <v/>
      </c>
      <c r="AU310" s="208"/>
      <c r="AV310" s="208"/>
      <c r="AW310" s="208"/>
      <c r="AX310" s="208"/>
      <c r="AY310" s="208"/>
      <c r="AZ310" s="208"/>
      <c r="BA310" s="208"/>
      <c r="BB310" s="208"/>
      <c r="BC310" s="208"/>
      <c r="BD310" s="208"/>
      <c r="BE310" s="208"/>
      <c r="BF310" s="208"/>
      <c r="BG310" s="28"/>
      <c r="BH310" s="28"/>
      <c r="BI310" s="28"/>
      <c r="BJ310" s="28"/>
    </row>
    <row r="311" spans="1:62" s="23" customFormat="1" ht="21" customHeight="1" thickBot="1" x14ac:dyDescent="0.25">
      <c r="A311" s="846" t="str">
        <f>IF($AN311="","",IFERROR(VLOOKUP(CONCATENATE(CTR1_Billing!$E$20,$AN311),'Local Data Previous Year'!$C$3:$D$20000,2,0),CTR1_Billing!$E$21&amp;"NEW"))</f>
        <v/>
      </c>
      <c r="B311" s="846" t="str">
        <f>IF($E311="","",IFERROR(VLOOKUP(CONCATENATE(CTR1_Billing!$E$20,CTR1_Local!$E311),'Local Data Previous Year'!$C$3:$D$20000,2,0),CTR1_Billing!$E$21&amp;"NEW"))</f>
        <v/>
      </c>
      <c r="C311" s="846">
        <v>279</v>
      </c>
      <c r="D311" s="755" t="str" cm="1">
        <f t="array" ref="D311">IF(ISERROR(INDEX('Local Data Previous Year'!$D$3:$D$20000,SMALL(IF(CTR1_Billing!$E$21='Local Data Previous Year'!$A$3:$A$20000,ROW('Local Data Previous Year'!$A$3:$A$20000)-ROW('Local Data Previous Year'!$A$3)+1),ROW(279:279)))),"",INDEX('Local Data Previous Year'!$D$3:$D$20000,SMALL(IF(CTR1_Billing!$E$21='Local Data Previous Year'!$A$3:$A$20000,ROW('Local Data Previous Year'!$A$3:$A$20000)-ROW('Local Data Previous Year'!$A$3)+1),ROW(279:279))))</f>
        <v/>
      </c>
      <c r="E311" s="755" t="str" cm="1">
        <f t="array" ref="E311">IF(ISERROR(INDEX('Local Data Previous Year'!$E$3:$E$20000,SMALL(IF(CTR1_Billing!$E$21='Local Data Previous Year'!$A$3:$A$20000,ROW('Local Data Previous Year'!$A$3:$A$20000)-ROW('Local Data Previous Year'!$A$3)+1),ROW(279:279)))),"",INDEX('Local Data Previous Year'!$E$3:$E$20000,SMALL(IF(CTR1_Billing!$E$21='Local Data Previous Year'!$A$3:$A$20000,ROW('Local Data Previous Year'!$A$3:$A$20000)-ROW('Local Data Previous Year'!$A$3)+1),ROW(279:279))))</f>
        <v/>
      </c>
      <c r="F311" s="756" t="str">
        <f>IF($D311="","",IF(ISNA(MATCH($D311,'Local Data Previous Year'!$D$3:$D$20000,0)),"New",IFERROR(VLOOKUP($B311,'Local Data Previous Year'!$D$3:$I$20000,6,0),"")))</f>
        <v/>
      </c>
      <c r="G311" s="757">
        <f t="shared" si="62"/>
        <v>0</v>
      </c>
      <c r="H311" s="758" t="str">
        <f>IFERROR(INDEX('Local Data Previous Year'!$F:$F, MATCH($D311, 'Local Data Previous Year'!$D:$D, 0)), "")</f>
        <v/>
      </c>
      <c r="I311" s="759">
        <f>IF(B311=CTR1_Billing!$E$21&amp;"NEW",1,0)</f>
        <v>0</v>
      </c>
      <c r="J311" s="760" t="str">
        <f>IFERROR(INDEX('Local Data Previous Year'!$G:$G, MATCH($D311, 'Local Data Previous Year'!$D:$D, 0)), "")</f>
        <v/>
      </c>
      <c r="K311" s="762"/>
      <c r="L311" s="760" t="str">
        <f>IFERROR(INDEX('Local Data Previous Year'!$H:$H, MATCH($D311, 'Local Data Previous Year'!$D:$D, 0)), "")</f>
        <v/>
      </c>
      <c r="M311" s="762"/>
      <c r="N311" s="763"/>
      <c r="O311" s="767"/>
      <c r="P311" s="765"/>
      <c r="Q311" s="767"/>
      <c r="R311" s="766" t="str">
        <f t="shared" si="63"/>
        <v/>
      </c>
      <c r="S311" s="754"/>
      <c r="T311" s="763"/>
      <c r="U311" s="754"/>
      <c r="V311" s="763"/>
      <c r="W311" s="763"/>
      <c r="X311" s="865" t="str">
        <f>VLOOKUP(CTR1_Billing!$E$21,Data!$C$6:$D$302,1,FALSE)</f>
        <v>EZZZZ</v>
      </c>
      <c r="Y311" s="205"/>
      <c r="Z311" s="205">
        <f t="shared" si="52"/>
        <v>0</v>
      </c>
      <c r="AA311" s="206" t="str">
        <f t="shared" si="40"/>
        <v/>
      </c>
      <c r="AB311" s="205">
        <f t="shared" si="53"/>
        <v>0</v>
      </c>
      <c r="AC311" s="208"/>
      <c r="AD311" s="208"/>
      <c r="AE311" s="208"/>
      <c r="AF311" s="208"/>
      <c r="AG311" s="209" t="str">
        <f>IFERROR(INDEX('Local Data Previous Year'!$F:$F, MATCH($D311, 'Local Data Previous Year'!$D:$D, 0)), "")</f>
        <v/>
      </c>
      <c r="AH311" s="209" t="str">
        <f>IFERROR(INDEX('Local Data Previous Year'!$G:$G, MATCH($D311, 'Local Data Previous Year'!$D:$D, 0)), "")</f>
        <v/>
      </c>
      <c r="AI311" s="209" t="str">
        <f>IFERROR(INDEX('Local Data Previous Year'!$H:$H, MATCH($D311, 'Local Data Previous Year'!$D:$D, 0)), "")</f>
        <v/>
      </c>
      <c r="AJ311" s="209" t="str">
        <f t="shared" si="54"/>
        <v/>
      </c>
      <c r="AK311" s="209" t="str">
        <f t="shared" si="55"/>
        <v/>
      </c>
      <c r="AL311" s="209" t="str">
        <f t="shared" si="56"/>
        <v/>
      </c>
      <c r="AM311" s="208" t="str">
        <f>IF($AN311="","",IFERROR(VLOOKUP(CONCATENATE(CTR1_Billing!$E$20,$AN311),'Local Data Previous Year'!$C$3:$D$50000,2,0),CTR1_Billing!$E$21&amp;"NEW"))</f>
        <v/>
      </c>
      <c r="AN311" s="209" t="str" cm="1">
        <f t="array" ref="AN311">IF(ISERROR(INDEX('Local Data Previous Year'!$E$3:$E$50000, SMALL(IF(CTR1_Billing!$E$21='Local Data Previous Year'!$A$3:$A$50000, ROW('Local Data Previous Year'!$A$3:$A$50000)-ROW('Local Data Previous Year'!$A$3)+1), ROW(279:279)))), "", INDEX('Local Data Previous Year'!$E$3:$E$50000, SMALL(IF(CTR1_Billing!$E$21='Local Data Previous Year'!$A$3:$A$50000, ROW('Local Data Previous Year'!$A$3:$A$50000)-ROW('Local Data Previous Year'!$A$3)+1), ROW(279:279))))</f>
        <v/>
      </c>
      <c r="AO311" s="209" t="str">
        <f t="shared" si="57"/>
        <v/>
      </c>
      <c r="AP311" s="208"/>
      <c r="AQ311" s="209" t="str">
        <f t="shared" si="58"/>
        <v/>
      </c>
      <c r="AR311" s="209" t="str">
        <f t="shared" si="59"/>
        <v/>
      </c>
      <c r="AS311" s="202" t="str">
        <f t="shared" si="60"/>
        <v/>
      </c>
      <c r="AT311" s="202" t="str">
        <f t="shared" si="61"/>
        <v/>
      </c>
      <c r="AU311" s="208"/>
      <c r="AV311" s="208"/>
      <c r="AW311" s="208"/>
      <c r="AX311" s="208"/>
      <c r="AY311" s="208"/>
      <c r="AZ311" s="208"/>
      <c r="BA311" s="208"/>
      <c r="BB311" s="208"/>
      <c r="BC311" s="208"/>
      <c r="BD311" s="208"/>
      <c r="BE311" s="208"/>
      <c r="BF311" s="208"/>
      <c r="BG311" s="28"/>
      <c r="BH311" s="28"/>
      <c r="BI311" s="28"/>
      <c r="BJ311" s="28"/>
    </row>
    <row r="312" spans="1:62" s="23" customFormat="1" ht="21" customHeight="1" thickBot="1" x14ac:dyDescent="0.25">
      <c r="A312" s="846" t="str">
        <f>IF($AN312="","",IFERROR(VLOOKUP(CONCATENATE(CTR1_Billing!$E$20,$AN312),'Local Data Previous Year'!$C$3:$D$20000,2,0),CTR1_Billing!$E$21&amp;"NEW"))</f>
        <v/>
      </c>
      <c r="B312" s="846" t="str">
        <f>IF($E312="","",IFERROR(VLOOKUP(CONCATENATE(CTR1_Billing!$E$20,CTR1_Local!$E312),'Local Data Previous Year'!$C$3:$D$20000,2,0),CTR1_Billing!$E$21&amp;"NEW"))</f>
        <v/>
      </c>
      <c r="C312" s="846">
        <v>280</v>
      </c>
      <c r="D312" s="755" t="str" cm="1">
        <f t="array" ref="D312">IF(ISERROR(INDEX('Local Data Previous Year'!$D$3:$D$20000,SMALL(IF(CTR1_Billing!$E$21='Local Data Previous Year'!$A$3:$A$20000,ROW('Local Data Previous Year'!$A$3:$A$20000)-ROW('Local Data Previous Year'!$A$3)+1),ROW(280:280)))),"",INDEX('Local Data Previous Year'!$D$3:$D$20000,SMALL(IF(CTR1_Billing!$E$21='Local Data Previous Year'!$A$3:$A$20000,ROW('Local Data Previous Year'!$A$3:$A$20000)-ROW('Local Data Previous Year'!$A$3)+1),ROW(280:280))))</f>
        <v/>
      </c>
      <c r="E312" s="755" t="str" cm="1">
        <f t="array" ref="E312">IF(ISERROR(INDEX('Local Data Previous Year'!$E$3:$E$20000,SMALL(IF(CTR1_Billing!$E$21='Local Data Previous Year'!$A$3:$A$20000,ROW('Local Data Previous Year'!$A$3:$A$20000)-ROW('Local Data Previous Year'!$A$3)+1),ROW(280:280)))),"",INDEX('Local Data Previous Year'!$E$3:$E$20000,SMALL(IF(CTR1_Billing!$E$21='Local Data Previous Year'!$A$3:$A$20000,ROW('Local Data Previous Year'!$A$3:$A$20000)-ROW('Local Data Previous Year'!$A$3)+1),ROW(280:280))))</f>
        <v/>
      </c>
      <c r="F312" s="756" t="str">
        <f>IF($D312="","",IF(ISNA(MATCH($D312,'Local Data Previous Year'!$D$3:$D$20000,0)),"New",IFERROR(VLOOKUP($B312,'Local Data Previous Year'!$D$3:$I$20000,6,0),"")))</f>
        <v/>
      </c>
      <c r="G312" s="757">
        <f t="shared" si="62"/>
        <v>0</v>
      </c>
      <c r="H312" s="758" t="str">
        <f>IFERROR(INDEX('Local Data Previous Year'!$F:$F, MATCH($D312, 'Local Data Previous Year'!$D:$D, 0)), "")</f>
        <v/>
      </c>
      <c r="I312" s="759">
        <f>IF(B312=CTR1_Billing!$E$21&amp;"NEW",1,0)</f>
        <v>0</v>
      </c>
      <c r="J312" s="760" t="str">
        <f>IFERROR(INDEX('Local Data Previous Year'!$G:$G, MATCH($D312, 'Local Data Previous Year'!$D:$D, 0)), "")</f>
        <v/>
      </c>
      <c r="K312" s="762"/>
      <c r="L312" s="760" t="str">
        <f>IFERROR(INDEX('Local Data Previous Year'!$H:$H, MATCH($D312, 'Local Data Previous Year'!$D:$D, 0)), "")</f>
        <v/>
      </c>
      <c r="M312" s="762"/>
      <c r="N312" s="763"/>
      <c r="O312" s="767"/>
      <c r="P312" s="765"/>
      <c r="Q312" s="767"/>
      <c r="R312" s="766" t="str">
        <f t="shared" si="63"/>
        <v/>
      </c>
      <c r="S312" s="754"/>
      <c r="T312" s="763"/>
      <c r="U312" s="754"/>
      <c r="V312" s="763"/>
      <c r="W312" s="763"/>
      <c r="X312" s="865" t="str">
        <f>VLOOKUP(CTR1_Billing!$E$21,Data!$C$6:$D$302,1,FALSE)</f>
        <v>EZZZZ</v>
      </c>
      <c r="Y312" s="205"/>
      <c r="Z312" s="205">
        <f t="shared" si="52"/>
        <v>0</v>
      </c>
      <c r="AA312" s="206" t="str">
        <f t="shared" si="40"/>
        <v/>
      </c>
      <c r="AB312" s="205">
        <f t="shared" si="53"/>
        <v>0</v>
      </c>
      <c r="AC312" s="208"/>
      <c r="AD312" s="208"/>
      <c r="AE312" s="208"/>
      <c r="AF312" s="208"/>
      <c r="AG312" s="209" t="str">
        <f>IFERROR(INDEX('Local Data Previous Year'!$F:$F, MATCH($D312, 'Local Data Previous Year'!$D:$D, 0)), "")</f>
        <v/>
      </c>
      <c r="AH312" s="209" t="str">
        <f>IFERROR(INDEX('Local Data Previous Year'!$G:$G, MATCH($D312, 'Local Data Previous Year'!$D:$D, 0)), "")</f>
        <v/>
      </c>
      <c r="AI312" s="209" t="str">
        <f>IFERROR(INDEX('Local Data Previous Year'!$H:$H, MATCH($D312, 'Local Data Previous Year'!$D:$D, 0)), "")</f>
        <v/>
      </c>
      <c r="AJ312" s="209" t="str">
        <f t="shared" si="54"/>
        <v/>
      </c>
      <c r="AK312" s="209" t="str">
        <f t="shared" si="55"/>
        <v/>
      </c>
      <c r="AL312" s="209" t="str">
        <f t="shared" si="56"/>
        <v/>
      </c>
      <c r="AM312" s="208" t="str">
        <f>IF($AN312="","",IFERROR(VLOOKUP(CONCATENATE(CTR1_Billing!$E$20,$AN312),'Local Data Previous Year'!$C$3:$D$50000,2,0),CTR1_Billing!$E$21&amp;"NEW"))</f>
        <v/>
      </c>
      <c r="AN312" s="209" t="str" cm="1">
        <f t="array" ref="AN312">IF(ISERROR(INDEX('Local Data Previous Year'!$E$3:$E$50000, SMALL(IF(CTR1_Billing!$E$21='Local Data Previous Year'!$A$3:$A$50000, ROW('Local Data Previous Year'!$A$3:$A$50000)-ROW('Local Data Previous Year'!$A$3)+1), ROW(280:280)))), "", INDEX('Local Data Previous Year'!$E$3:$E$50000, SMALL(IF(CTR1_Billing!$E$21='Local Data Previous Year'!$A$3:$A$50000, ROW('Local Data Previous Year'!$A$3:$A$50000)-ROW('Local Data Previous Year'!$A$3)+1), ROW(280:280))))</f>
        <v/>
      </c>
      <c r="AO312" s="209" t="str">
        <f t="shared" si="57"/>
        <v/>
      </c>
      <c r="AP312" s="208"/>
      <c r="AQ312" s="209" t="str">
        <f t="shared" si="58"/>
        <v/>
      </c>
      <c r="AR312" s="209" t="str">
        <f t="shared" si="59"/>
        <v/>
      </c>
      <c r="AS312" s="202" t="str">
        <f t="shared" si="60"/>
        <v/>
      </c>
      <c r="AT312" s="202" t="str">
        <f t="shared" si="61"/>
        <v/>
      </c>
      <c r="AU312" s="208"/>
      <c r="AV312" s="208"/>
      <c r="AW312" s="208"/>
      <c r="AX312" s="208"/>
      <c r="AY312" s="208"/>
      <c r="AZ312" s="208"/>
      <c r="BA312" s="208"/>
      <c r="BB312" s="208"/>
      <c r="BC312" s="208"/>
      <c r="BD312" s="208"/>
      <c r="BE312" s="208"/>
      <c r="BF312" s="208"/>
      <c r="BG312" s="28"/>
      <c r="BH312" s="28"/>
      <c r="BI312" s="28"/>
      <c r="BJ312" s="28"/>
    </row>
    <row r="313" spans="1:62" s="23" customFormat="1" ht="21" customHeight="1" thickBot="1" x14ac:dyDescent="0.25">
      <c r="A313" s="846" t="str">
        <f>IF($AN313="","",IFERROR(VLOOKUP(CONCATENATE(CTR1_Billing!$E$20,$AN313),'Local Data Previous Year'!$C$3:$D$20000,2,0),CTR1_Billing!$E$21&amp;"NEW"))</f>
        <v/>
      </c>
      <c r="B313" s="846" t="str">
        <f>IF($E313="","",IFERROR(VLOOKUP(CONCATENATE(CTR1_Billing!$E$20,CTR1_Local!$E313),'Local Data Previous Year'!$C$3:$D$20000,2,0),CTR1_Billing!$E$21&amp;"NEW"))</f>
        <v/>
      </c>
      <c r="C313" s="846">
        <v>281</v>
      </c>
      <c r="D313" s="755" t="str" cm="1">
        <f t="array" ref="D313">IF(ISERROR(INDEX('Local Data Previous Year'!$D$3:$D$20000,SMALL(IF(CTR1_Billing!$E$21='Local Data Previous Year'!$A$3:$A$20000,ROW('Local Data Previous Year'!$A$3:$A$20000)-ROW('Local Data Previous Year'!$A$3)+1),ROW(281:281)))),"",INDEX('Local Data Previous Year'!$D$3:$D$20000,SMALL(IF(CTR1_Billing!$E$21='Local Data Previous Year'!$A$3:$A$20000,ROW('Local Data Previous Year'!$A$3:$A$20000)-ROW('Local Data Previous Year'!$A$3)+1),ROW(281:281))))</f>
        <v/>
      </c>
      <c r="E313" s="755" t="str" cm="1">
        <f t="array" ref="E313">IF(ISERROR(INDEX('Local Data Previous Year'!$E$3:$E$20000,SMALL(IF(CTR1_Billing!$E$21='Local Data Previous Year'!$A$3:$A$20000,ROW('Local Data Previous Year'!$A$3:$A$20000)-ROW('Local Data Previous Year'!$A$3)+1),ROW(281:281)))),"",INDEX('Local Data Previous Year'!$E$3:$E$20000,SMALL(IF(CTR1_Billing!$E$21='Local Data Previous Year'!$A$3:$A$20000,ROW('Local Data Previous Year'!$A$3:$A$20000)-ROW('Local Data Previous Year'!$A$3)+1),ROW(281:281))))</f>
        <v/>
      </c>
      <c r="F313" s="756" t="str">
        <f>IF($D313="","",IF(ISNA(MATCH($D313,'Local Data Previous Year'!$D$3:$D$20000,0)),"New",IFERROR(VLOOKUP($B313,'Local Data Previous Year'!$D$3:$I$20000,6,0),"")))</f>
        <v/>
      </c>
      <c r="G313" s="757">
        <f t="shared" si="62"/>
        <v>0</v>
      </c>
      <c r="H313" s="758" t="str">
        <f>IFERROR(INDEX('Local Data Previous Year'!$F:$F, MATCH($D313, 'Local Data Previous Year'!$D:$D, 0)), "")</f>
        <v/>
      </c>
      <c r="I313" s="759">
        <f>IF(B313=CTR1_Billing!$E$21&amp;"NEW",1,0)</f>
        <v>0</v>
      </c>
      <c r="J313" s="760" t="str">
        <f>IFERROR(INDEX('Local Data Previous Year'!$G:$G, MATCH($D313, 'Local Data Previous Year'!$D:$D, 0)), "")</f>
        <v/>
      </c>
      <c r="K313" s="762"/>
      <c r="L313" s="760" t="str">
        <f>IFERROR(INDEX('Local Data Previous Year'!$H:$H, MATCH($D313, 'Local Data Previous Year'!$D:$D, 0)), "")</f>
        <v/>
      </c>
      <c r="M313" s="762"/>
      <c r="N313" s="763"/>
      <c r="O313" s="767"/>
      <c r="P313" s="765"/>
      <c r="Q313" s="767"/>
      <c r="R313" s="766" t="str">
        <f t="shared" si="63"/>
        <v/>
      </c>
      <c r="S313" s="754"/>
      <c r="T313" s="763"/>
      <c r="U313" s="754"/>
      <c r="V313" s="763"/>
      <c r="W313" s="763"/>
      <c r="X313" s="865" t="str">
        <f>VLOOKUP(CTR1_Billing!$E$21,Data!$C$6:$D$302,1,FALSE)</f>
        <v>EZZZZ</v>
      </c>
      <c r="Y313" s="205"/>
      <c r="Z313" s="205">
        <f t="shared" si="52"/>
        <v>0</v>
      </c>
      <c r="AA313" s="206" t="str">
        <f t="shared" si="40"/>
        <v/>
      </c>
      <c r="AB313" s="205">
        <f t="shared" si="53"/>
        <v>0</v>
      </c>
      <c r="AC313" s="208"/>
      <c r="AD313" s="208"/>
      <c r="AE313" s="208"/>
      <c r="AF313" s="208"/>
      <c r="AG313" s="209" t="str">
        <f>IFERROR(INDEX('Local Data Previous Year'!$F:$F, MATCH($D313, 'Local Data Previous Year'!$D:$D, 0)), "")</f>
        <v/>
      </c>
      <c r="AH313" s="209" t="str">
        <f>IFERROR(INDEX('Local Data Previous Year'!$G:$G, MATCH($D313, 'Local Data Previous Year'!$D:$D, 0)), "")</f>
        <v/>
      </c>
      <c r="AI313" s="209" t="str">
        <f>IFERROR(INDEX('Local Data Previous Year'!$H:$H, MATCH($D313, 'Local Data Previous Year'!$D:$D, 0)), "")</f>
        <v/>
      </c>
      <c r="AJ313" s="209" t="str">
        <f t="shared" si="54"/>
        <v/>
      </c>
      <c r="AK313" s="209" t="str">
        <f t="shared" si="55"/>
        <v/>
      </c>
      <c r="AL313" s="209" t="str">
        <f t="shared" si="56"/>
        <v/>
      </c>
      <c r="AM313" s="208" t="str">
        <f>IF($AN313="","",IFERROR(VLOOKUP(CONCATENATE(CTR1_Billing!$E$20,$AN313),'Local Data Previous Year'!$C$3:$D$50000,2,0),CTR1_Billing!$E$21&amp;"NEW"))</f>
        <v/>
      </c>
      <c r="AN313" s="209" t="str" cm="1">
        <f t="array" ref="AN313">IF(ISERROR(INDEX('Local Data Previous Year'!$E$3:$E$50000, SMALL(IF(CTR1_Billing!$E$21='Local Data Previous Year'!$A$3:$A$50000, ROW('Local Data Previous Year'!$A$3:$A$50000)-ROW('Local Data Previous Year'!$A$3)+1), ROW(281:281)))), "", INDEX('Local Data Previous Year'!$E$3:$E$50000, SMALL(IF(CTR1_Billing!$E$21='Local Data Previous Year'!$A$3:$A$50000, ROW('Local Data Previous Year'!$A$3:$A$50000)-ROW('Local Data Previous Year'!$A$3)+1), ROW(281:281))))</f>
        <v/>
      </c>
      <c r="AO313" s="209" t="str">
        <f t="shared" si="57"/>
        <v/>
      </c>
      <c r="AP313" s="208"/>
      <c r="AQ313" s="209" t="str">
        <f t="shared" si="58"/>
        <v/>
      </c>
      <c r="AR313" s="209" t="str">
        <f t="shared" si="59"/>
        <v/>
      </c>
      <c r="AS313" s="202" t="str">
        <f t="shared" si="60"/>
        <v/>
      </c>
      <c r="AT313" s="202" t="str">
        <f t="shared" si="61"/>
        <v/>
      </c>
      <c r="AU313" s="208"/>
      <c r="AV313" s="208"/>
      <c r="AW313" s="208"/>
      <c r="AX313" s="208"/>
      <c r="AY313" s="208"/>
      <c r="AZ313" s="208"/>
      <c r="BA313" s="208"/>
      <c r="BB313" s="208"/>
      <c r="BC313" s="208"/>
      <c r="BD313" s="208"/>
      <c r="BE313" s="208"/>
      <c r="BF313" s="208"/>
      <c r="BG313" s="28"/>
      <c r="BH313" s="28"/>
      <c r="BI313" s="28"/>
      <c r="BJ313" s="28"/>
    </row>
    <row r="314" spans="1:62" s="23" customFormat="1" ht="21" customHeight="1" thickBot="1" x14ac:dyDescent="0.25">
      <c r="A314" s="846" t="str">
        <f>IF($AN314="","",IFERROR(VLOOKUP(CONCATENATE(CTR1_Billing!$E$20,$AN314),'Local Data Previous Year'!$C$3:$D$20000,2,0),CTR1_Billing!$E$21&amp;"NEW"))</f>
        <v/>
      </c>
      <c r="B314" s="846" t="str">
        <f>IF($E314="","",IFERROR(VLOOKUP(CONCATENATE(CTR1_Billing!$E$20,CTR1_Local!$E314),'Local Data Previous Year'!$C$3:$D$20000,2,0),CTR1_Billing!$E$21&amp;"NEW"))</f>
        <v/>
      </c>
      <c r="C314" s="846">
        <v>282</v>
      </c>
      <c r="D314" s="755" t="str" cm="1">
        <f t="array" ref="D314">IF(ISERROR(INDEX('Local Data Previous Year'!$D$3:$D$20000,SMALL(IF(CTR1_Billing!$E$21='Local Data Previous Year'!$A$3:$A$20000,ROW('Local Data Previous Year'!$A$3:$A$20000)-ROW('Local Data Previous Year'!$A$3)+1),ROW(282:282)))),"",INDEX('Local Data Previous Year'!$D$3:$D$20000,SMALL(IF(CTR1_Billing!$E$21='Local Data Previous Year'!$A$3:$A$20000,ROW('Local Data Previous Year'!$A$3:$A$20000)-ROW('Local Data Previous Year'!$A$3)+1),ROW(282:282))))</f>
        <v/>
      </c>
      <c r="E314" s="755" t="str" cm="1">
        <f t="array" ref="E314">IF(ISERROR(INDEX('Local Data Previous Year'!$E$3:$E$20000,SMALL(IF(CTR1_Billing!$E$21='Local Data Previous Year'!$A$3:$A$20000,ROW('Local Data Previous Year'!$A$3:$A$20000)-ROW('Local Data Previous Year'!$A$3)+1),ROW(282:282)))),"",INDEX('Local Data Previous Year'!$E$3:$E$20000,SMALL(IF(CTR1_Billing!$E$21='Local Data Previous Year'!$A$3:$A$20000,ROW('Local Data Previous Year'!$A$3:$A$20000)-ROW('Local Data Previous Year'!$A$3)+1),ROW(282:282))))</f>
        <v/>
      </c>
      <c r="F314" s="756" t="str">
        <f>IF($D314="","",IF(ISNA(MATCH($D314,'Local Data Previous Year'!$D$3:$D$20000,0)),"New",IFERROR(VLOOKUP($B314,'Local Data Previous Year'!$D$3:$I$20000,6,0),"")))</f>
        <v/>
      </c>
      <c r="G314" s="757">
        <f t="shared" si="62"/>
        <v>0</v>
      </c>
      <c r="H314" s="758" t="str">
        <f>IFERROR(INDEX('Local Data Previous Year'!$F:$F, MATCH($D314, 'Local Data Previous Year'!$D:$D, 0)), "")</f>
        <v/>
      </c>
      <c r="I314" s="759">
        <f>IF(B314=CTR1_Billing!$E$21&amp;"NEW",1,0)</f>
        <v>0</v>
      </c>
      <c r="J314" s="760" t="str">
        <f>IFERROR(INDEX('Local Data Previous Year'!$G:$G, MATCH($D314, 'Local Data Previous Year'!$D:$D, 0)), "")</f>
        <v/>
      </c>
      <c r="K314" s="762"/>
      <c r="L314" s="760" t="str">
        <f>IFERROR(INDEX('Local Data Previous Year'!$H:$H, MATCH($D314, 'Local Data Previous Year'!$D:$D, 0)), "")</f>
        <v/>
      </c>
      <c r="M314" s="762"/>
      <c r="N314" s="763"/>
      <c r="O314" s="767"/>
      <c r="P314" s="765"/>
      <c r="Q314" s="767"/>
      <c r="R314" s="766" t="str">
        <f t="shared" si="63"/>
        <v/>
      </c>
      <c r="S314" s="754"/>
      <c r="T314" s="763"/>
      <c r="U314" s="754"/>
      <c r="V314" s="763"/>
      <c r="W314" s="763"/>
      <c r="X314" s="865" t="str">
        <f>VLOOKUP(CTR1_Billing!$E$21,Data!$C$6:$D$302,1,FALSE)</f>
        <v>EZZZZ</v>
      </c>
      <c r="Y314" s="205"/>
      <c r="Z314" s="205">
        <f t="shared" si="52"/>
        <v>0</v>
      </c>
      <c r="AA314" s="206" t="str">
        <f t="shared" si="40"/>
        <v/>
      </c>
      <c r="AB314" s="205">
        <f t="shared" si="53"/>
        <v>0</v>
      </c>
      <c r="AC314" s="208"/>
      <c r="AD314" s="208"/>
      <c r="AE314" s="208"/>
      <c r="AF314" s="208"/>
      <c r="AG314" s="209" t="str">
        <f>IFERROR(INDEX('Local Data Previous Year'!$F:$F, MATCH($D314, 'Local Data Previous Year'!$D:$D, 0)), "")</f>
        <v/>
      </c>
      <c r="AH314" s="209" t="str">
        <f>IFERROR(INDEX('Local Data Previous Year'!$G:$G, MATCH($D314, 'Local Data Previous Year'!$D:$D, 0)), "")</f>
        <v/>
      </c>
      <c r="AI314" s="209" t="str">
        <f>IFERROR(INDEX('Local Data Previous Year'!$H:$H, MATCH($D314, 'Local Data Previous Year'!$D:$D, 0)), "")</f>
        <v/>
      </c>
      <c r="AJ314" s="209" t="str">
        <f t="shared" si="54"/>
        <v/>
      </c>
      <c r="AK314" s="209" t="str">
        <f t="shared" si="55"/>
        <v/>
      </c>
      <c r="AL314" s="209" t="str">
        <f t="shared" si="56"/>
        <v/>
      </c>
      <c r="AM314" s="208" t="str">
        <f>IF($AN314="","",IFERROR(VLOOKUP(CONCATENATE(CTR1_Billing!$E$20,$AN314),'Local Data Previous Year'!$C$3:$D$50000,2,0),CTR1_Billing!$E$21&amp;"NEW"))</f>
        <v/>
      </c>
      <c r="AN314" s="209" t="str" cm="1">
        <f t="array" ref="AN314">IF(ISERROR(INDEX('Local Data Previous Year'!$E$3:$E$50000, SMALL(IF(CTR1_Billing!$E$21='Local Data Previous Year'!$A$3:$A$50000, ROW('Local Data Previous Year'!$A$3:$A$50000)-ROW('Local Data Previous Year'!$A$3)+1), ROW(282:282)))), "", INDEX('Local Data Previous Year'!$E$3:$E$50000, SMALL(IF(CTR1_Billing!$E$21='Local Data Previous Year'!$A$3:$A$50000, ROW('Local Data Previous Year'!$A$3:$A$50000)-ROW('Local Data Previous Year'!$A$3)+1), ROW(282:282))))</f>
        <v/>
      </c>
      <c r="AO314" s="209" t="str">
        <f t="shared" si="57"/>
        <v/>
      </c>
      <c r="AP314" s="208"/>
      <c r="AQ314" s="209" t="str">
        <f t="shared" si="58"/>
        <v/>
      </c>
      <c r="AR314" s="209" t="str">
        <f t="shared" si="59"/>
        <v/>
      </c>
      <c r="AS314" s="202" t="str">
        <f t="shared" si="60"/>
        <v/>
      </c>
      <c r="AT314" s="202" t="str">
        <f t="shared" si="61"/>
        <v/>
      </c>
      <c r="AU314" s="208"/>
      <c r="AV314" s="208"/>
      <c r="AW314" s="208"/>
      <c r="AX314" s="208"/>
      <c r="AY314" s="208"/>
      <c r="AZ314" s="208"/>
      <c r="BA314" s="208"/>
      <c r="BB314" s="208"/>
      <c r="BC314" s="208"/>
      <c r="BD314" s="208"/>
      <c r="BE314" s="208"/>
      <c r="BF314" s="208"/>
      <c r="BG314" s="28"/>
      <c r="BH314" s="28"/>
      <c r="BI314" s="28"/>
      <c r="BJ314" s="28"/>
    </row>
    <row r="315" spans="1:62" s="23" customFormat="1" ht="21" customHeight="1" thickBot="1" x14ac:dyDescent="0.25">
      <c r="A315" s="846" t="str">
        <f>IF($AN315="","",IFERROR(VLOOKUP(CONCATENATE(CTR1_Billing!$E$20,$AN315),'Local Data Previous Year'!$C$3:$D$20000,2,0),CTR1_Billing!$E$21&amp;"NEW"))</f>
        <v/>
      </c>
      <c r="B315" s="846" t="str">
        <f>IF($E315="","",IFERROR(VLOOKUP(CONCATENATE(CTR1_Billing!$E$20,CTR1_Local!$E315),'Local Data Previous Year'!$C$3:$D$20000,2,0),CTR1_Billing!$E$21&amp;"NEW"))</f>
        <v/>
      </c>
      <c r="C315" s="846">
        <v>283</v>
      </c>
      <c r="D315" s="755" t="str" cm="1">
        <f t="array" ref="D315">IF(ISERROR(INDEX('Local Data Previous Year'!$D$3:$D$20000,SMALL(IF(CTR1_Billing!$E$21='Local Data Previous Year'!$A$3:$A$20000,ROW('Local Data Previous Year'!$A$3:$A$20000)-ROW('Local Data Previous Year'!$A$3)+1),ROW(283:283)))),"",INDEX('Local Data Previous Year'!$D$3:$D$20000,SMALL(IF(CTR1_Billing!$E$21='Local Data Previous Year'!$A$3:$A$20000,ROW('Local Data Previous Year'!$A$3:$A$20000)-ROW('Local Data Previous Year'!$A$3)+1),ROW(283:283))))</f>
        <v/>
      </c>
      <c r="E315" s="755" t="str" cm="1">
        <f t="array" ref="E315">IF(ISERROR(INDEX('Local Data Previous Year'!$E$3:$E$20000,SMALL(IF(CTR1_Billing!$E$21='Local Data Previous Year'!$A$3:$A$20000,ROW('Local Data Previous Year'!$A$3:$A$20000)-ROW('Local Data Previous Year'!$A$3)+1),ROW(283:283)))),"",INDEX('Local Data Previous Year'!$E$3:$E$20000,SMALL(IF(CTR1_Billing!$E$21='Local Data Previous Year'!$A$3:$A$20000,ROW('Local Data Previous Year'!$A$3:$A$20000)-ROW('Local Data Previous Year'!$A$3)+1),ROW(283:283))))</f>
        <v/>
      </c>
      <c r="F315" s="756" t="str">
        <f>IF($D315="","",IF(ISNA(MATCH($D315,'Local Data Previous Year'!$D$3:$D$20000,0)),"New",IFERROR(VLOOKUP($B315,'Local Data Previous Year'!$D$3:$I$20000,6,0),"")))</f>
        <v/>
      </c>
      <c r="G315" s="757">
        <f t="shared" si="62"/>
        <v>0</v>
      </c>
      <c r="H315" s="758" t="str">
        <f>IFERROR(INDEX('Local Data Previous Year'!$F:$F, MATCH($D315, 'Local Data Previous Year'!$D:$D, 0)), "")</f>
        <v/>
      </c>
      <c r="I315" s="759">
        <f>IF(B315=CTR1_Billing!$E$21&amp;"NEW",1,0)</f>
        <v>0</v>
      </c>
      <c r="J315" s="760" t="str">
        <f>IFERROR(INDEX('Local Data Previous Year'!$G:$G, MATCH($D315, 'Local Data Previous Year'!$D:$D, 0)), "")</f>
        <v/>
      </c>
      <c r="K315" s="762"/>
      <c r="L315" s="760" t="str">
        <f>IFERROR(INDEX('Local Data Previous Year'!$H:$H, MATCH($D315, 'Local Data Previous Year'!$D:$D, 0)), "")</f>
        <v/>
      </c>
      <c r="M315" s="762"/>
      <c r="N315" s="763"/>
      <c r="O315" s="767"/>
      <c r="P315" s="765"/>
      <c r="Q315" s="767"/>
      <c r="R315" s="766" t="str">
        <f t="shared" si="63"/>
        <v/>
      </c>
      <c r="S315" s="754"/>
      <c r="T315" s="763"/>
      <c r="U315" s="754"/>
      <c r="V315" s="763"/>
      <c r="W315" s="763"/>
      <c r="X315" s="865" t="str">
        <f>VLOOKUP(CTR1_Billing!$E$21,Data!$C$6:$D$302,1,FALSE)</f>
        <v>EZZZZ</v>
      </c>
      <c r="Y315" s="205"/>
      <c r="Z315" s="205">
        <f t="shared" si="52"/>
        <v>0</v>
      </c>
      <c r="AA315" s="206" t="str">
        <f t="shared" si="40"/>
        <v/>
      </c>
      <c r="AB315" s="205">
        <f t="shared" si="53"/>
        <v>0</v>
      </c>
      <c r="AC315" s="208"/>
      <c r="AD315" s="208"/>
      <c r="AE315" s="208"/>
      <c r="AF315" s="208"/>
      <c r="AG315" s="209" t="str">
        <f>IFERROR(INDEX('Local Data Previous Year'!$F:$F, MATCH($D315, 'Local Data Previous Year'!$D:$D, 0)), "")</f>
        <v/>
      </c>
      <c r="AH315" s="209" t="str">
        <f>IFERROR(INDEX('Local Data Previous Year'!$G:$G, MATCH($D315, 'Local Data Previous Year'!$D:$D, 0)), "")</f>
        <v/>
      </c>
      <c r="AI315" s="209" t="str">
        <f>IFERROR(INDEX('Local Data Previous Year'!$H:$H, MATCH($D315, 'Local Data Previous Year'!$D:$D, 0)), "")</f>
        <v/>
      </c>
      <c r="AJ315" s="209" t="str">
        <f t="shared" si="54"/>
        <v/>
      </c>
      <c r="AK315" s="209" t="str">
        <f t="shared" si="55"/>
        <v/>
      </c>
      <c r="AL315" s="209" t="str">
        <f t="shared" si="56"/>
        <v/>
      </c>
      <c r="AM315" s="208" t="str">
        <f>IF($AN315="","",IFERROR(VLOOKUP(CONCATENATE(CTR1_Billing!$E$20,$AN315),'Local Data Previous Year'!$C$3:$D$50000,2,0),CTR1_Billing!$E$21&amp;"NEW"))</f>
        <v/>
      </c>
      <c r="AN315" s="209" t="str" cm="1">
        <f t="array" ref="AN315">IF(ISERROR(INDEX('Local Data Previous Year'!$E$3:$E$50000, SMALL(IF(CTR1_Billing!$E$21='Local Data Previous Year'!$A$3:$A$50000, ROW('Local Data Previous Year'!$A$3:$A$50000)-ROW('Local Data Previous Year'!$A$3)+1), ROW(283:283)))), "", INDEX('Local Data Previous Year'!$E$3:$E$50000, SMALL(IF(CTR1_Billing!$E$21='Local Data Previous Year'!$A$3:$A$50000, ROW('Local Data Previous Year'!$A$3:$A$50000)-ROW('Local Data Previous Year'!$A$3)+1), ROW(283:283))))</f>
        <v/>
      </c>
      <c r="AO315" s="209" t="str">
        <f t="shared" si="57"/>
        <v/>
      </c>
      <c r="AP315" s="208"/>
      <c r="AQ315" s="209" t="str">
        <f t="shared" si="58"/>
        <v/>
      </c>
      <c r="AR315" s="209" t="str">
        <f t="shared" si="59"/>
        <v/>
      </c>
      <c r="AS315" s="202" t="str">
        <f t="shared" si="60"/>
        <v/>
      </c>
      <c r="AT315" s="202" t="str">
        <f t="shared" si="61"/>
        <v/>
      </c>
      <c r="AU315" s="208"/>
      <c r="AV315" s="208"/>
      <c r="AW315" s="208"/>
      <c r="AX315" s="208"/>
      <c r="AY315" s="208"/>
      <c r="AZ315" s="208"/>
      <c r="BA315" s="208"/>
      <c r="BB315" s="208"/>
      <c r="BC315" s="208"/>
      <c r="BD315" s="208"/>
      <c r="BE315" s="208"/>
      <c r="BF315" s="208"/>
      <c r="BG315" s="28"/>
      <c r="BH315" s="28"/>
      <c r="BI315" s="28"/>
      <c r="BJ315" s="28"/>
    </row>
    <row r="316" spans="1:62" s="23" customFormat="1" ht="21" customHeight="1" thickBot="1" x14ac:dyDescent="0.25">
      <c r="A316" s="846" t="str">
        <f>IF($AN316="","",IFERROR(VLOOKUP(CONCATENATE(CTR1_Billing!$E$20,$AN316),'Local Data Previous Year'!$C$3:$D$20000,2,0),CTR1_Billing!$E$21&amp;"NEW"))</f>
        <v/>
      </c>
      <c r="B316" s="846" t="str">
        <f>IF($E316="","",IFERROR(VLOOKUP(CONCATENATE(CTR1_Billing!$E$20,CTR1_Local!$E316),'Local Data Previous Year'!$C$3:$D$20000,2,0),CTR1_Billing!$E$21&amp;"NEW"))</f>
        <v/>
      </c>
      <c r="C316" s="846">
        <v>284</v>
      </c>
      <c r="D316" s="755" t="str" cm="1">
        <f t="array" ref="D316">IF(ISERROR(INDEX('Local Data Previous Year'!$D$3:$D$20000,SMALL(IF(CTR1_Billing!$E$21='Local Data Previous Year'!$A$3:$A$20000,ROW('Local Data Previous Year'!$A$3:$A$20000)-ROW('Local Data Previous Year'!$A$3)+1),ROW(284:284)))),"",INDEX('Local Data Previous Year'!$D$3:$D$20000,SMALL(IF(CTR1_Billing!$E$21='Local Data Previous Year'!$A$3:$A$20000,ROW('Local Data Previous Year'!$A$3:$A$20000)-ROW('Local Data Previous Year'!$A$3)+1),ROW(284:284))))</f>
        <v/>
      </c>
      <c r="E316" s="755" t="str" cm="1">
        <f t="array" ref="E316">IF(ISERROR(INDEX('Local Data Previous Year'!$E$3:$E$20000,SMALL(IF(CTR1_Billing!$E$21='Local Data Previous Year'!$A$3:$A$20000,ROW('Local Data Previous Year'!$A$3:$A$20000)-ROW('Local Data Previous Year'!$A$3)+1),ROW(284:284)))),"",INDEX('Local Data Previous Year'!$E$3:$E$20000,SMALL(IF(CTR1_Billing!$E$21='Local Data Previous Year'!$A$3:$A$20000,ROW('Local Data Previous Year'!$A$3:$A$20000)-ROW('Local Data Previous Year'!$A$3)+1),ROW(284:284))))</f>
        <v/>
      </c>
      <c r="F316" s="756" t="str">
        <f>IF($D316="","",IF(ISNA(MATCH($D316,'Local Data Previous Year'!$D$3:$D$20000,0)),"New",IFERROR(VLOOKUP($B316,'Local Data Previous Year'!$D$3:$I$20000,6,0),"")))</f>
        <v/>
      </c>
      <c r="G316" s="757">
        <f t="shared" si="62"/>
        <v>0</v>
      </c>
      <c r="H316" s="758" t="str">
        <f>IFERROR(INDEX('Local Data Previous Year'!$F:$F, MATCH($D316, 'Local Data Previous Year'!$D:$D, 0)), "")</f>
        <v/>
      </c>
      <c r="I316" s="759">
        <f>IF(B316=CTR1_Billing!$E$21&amp;"NEW",1,0)</f>
        <v>0</v>
      </c>
      <c r="J316" s="760" t="str">
        <f>IFERROR(INDEX('Local Data Previous Year'!$G:$G, MATCH($D316, 'Local Data Previous Year'!$D:$D, 0)), "")</f>
        <v/>
      </c>
      <c r="K316" s="762"/>
      <c r="L316" s="760" t="str">
        <f>IFERROR(INDEX('Local Data Previous Year'!$H:$H, MATCH($D316, 'Local Data Previous Year'!$D:$D, 0)), "")</f>
        <v/>
      </c>
      <c r="M316" s="762"/>
      <c r="N316" s="763"/>
      <c r="O316" s="767"/>
      <c r="P316" s="765"/>
      <c r="Q316" s="767"/>
      <c r="R316" s="766" t="str">
        <f t="shared" si="63"/>
        <v/>
      </c>
      <c r="S316" s="754"/>
      <c r="T316" s="763"/>
      <c r="U316" s="754"/>
      <c r="V316" s="763"/>
      <c r="W316" s="763"/>
      <c r="X316" s="865" t="str">
        <f>VLOOKUP(CTR1_Billing!$E$21,Data!$C$6:$D$302,1,FALSE)</f>
        <v>EZZZZ</v>
      </c>
      <c r="Y316" s="205"/>
      <c r="Z316" s="205">
        <f t="shared" si="52"/>
        <v>0</v>
      </c>
      <c r="AA316" s="206" t="str">
        <f t="shared" si="40"/>
        <v/>
      </c>
      <c r="AB316" s="205">
        <f t="shared" si="53"/>
        <v>0</v>
      </c>
      <c r="AC316" s="208"/>
      <c r="AD316" s="208"/>
      <c r="AE316" s="208"/>
      <c r="AF316" s="208"/>
      <c r="AG316" s="209" t="str">
        <f>IFERROR(INDEX('Local Data Previous Year'!$F:$F, MATCH($D316, 'Local Data Previous Year'!$D:$D, 0)), "")</f>
        <v/>
      </c>
      <c r="AH316" s="209" t="str">
        <f>IFERROR(INDEX('Local Data Previous Year'!$G:$G, MATCH($D316, 'Local Data Previous Year'!$D:$D, 0)), "")</f>
        <v/>
      </c>
      <c r="AI316" s="209" t="str">
        <f>IFERROR(INDEX('Local Data Previous Year'!$H:$H, MATCH($D316, 'Local Data Previous Year'!$D:$D, 0)), "")</f>
        <v/>
      </c>
      <c r="AJ316" s="209" t="str">
        <f t="shared" si="54"/>
        <v/>
      </c>
      <c r="AK316" s="209" t="str">
        <f t="shared" si="55"/>
        <v/>
      </c>
      <c r="AL316" s="209" t="str">
        <f t="shared" si="56"/>
        <v/>
      </c>
      <c r="AM316" s="208" t="str">
        <f>IF($AN316="","",IFERROR(VLOOKUP(CONCATENATE(CTR1_Billing!$E$20,$AN316),'Local Data Previous Year'!$C$3:$D$50000,2,0),CTR1_Billing!$E$21&amp;"NEW"))</f>
        <v/>
      </c>
      <c r="AN316" s="209" t="str" cm="1">
        <f t="array" ref="AN316">IF(ISERROR(INDEX('Local Data Previous Year'!$E$3:$E$50000, SMALL(IF(CTR1_Billing!$E$21='Local Data Previous Year'!$A$3:$A$50000, ROW('Local Data Previous Year'!$A$3:$A$50000)-ROW('Local Data Previous Year'!$A$3)+1), ROW(284:284)))), "", INDEX('Local Data Previous Year'!$E$3:$E$50000, SMALL(IF(CTR1_Billing!$E$21='Local Data Previous Year'!$A$3:$A$50000, ROW('Local Data Previous Year'!$A$3:$A$50000)-ROW('Local Data Previous Year'!$A$3)+1), ROW(284:284))))</f>
        <v/>
      </c>
      <c r="AO316" s="209" t="str">
        <f t="shared" si="57"/>
        <v/>
      </c>
      <c r="AP316" s="208"/>
      <c r="AQ316" s="209" t="str">
        <f t="shared" si="58"/>
        <v/>
      </c>
      <c r="AR316" s="209" t="str">
        <f t="shared" si="59"/>
        <v/>
      </c>
      <c r="AS316" s="202" t="str">
        <f t="shared" si="60"/>
        <v/>
      </c>
      <c r="AT316" s="202" t="str">
        <f t="shared" si="61"/>
        <v/>
      </c>
      <c r="AU316" s="208"/>
      <c r="AV316" s="208"/>
      <c r="AW316" s="208"/>
      <c r="AX316" s="208"/>
      <c r="AY316" s="208"/>
      <c r="AZ316" s="208"/>
      <c r="BA316" s="208"/>
      <c r="BB316" s="208"/>
      <c r="BC316" s="208"/>
      <c r="BD316" s="208"/>
      <c r="BE316" s="208"/>
      <c r="BF316" s="208"/>
      <c r="BG316" s="28"/>
      <c r="BH316" s="28"/>
      <c r="BI316" s="28"/>
      <c r="BJ316" s="28"/>
    </row>
    <row r="317" spans="1:62" s="23" customFormat="1" ht="21" customHeight="1" thickBot="1" x14ac:dyDescent="0.25">
      <c r="A317" s="846" t="str">
        <f>IF($AN317="","",IFERROR(VLOOKUP(CONCATENATE(CTR1_Billing!$E$20,$AN317),'Local Data Previous Year'!$C$3:$D$20000,2,0),CTR1_Billing!$E$21&amp;"NEW"))</f>
        <v/>
      </c>
      <c r="B317" s="846" t="str">
        <f>IF($E317="","",IFERROR(VLOOKUP(CONCATENATE(CTR1_Billing!$E$20,CTR1_Local!$E317),'Local Data Previous Year'!$C$3:$D$20000,2,0),CTR1_Billing!$E$21&amp;"NEW"))</f>
        <v/>
      </c>
      <c r="C317" s="846">
        <v>285</v>
      </c>
      <c r="D317" s="755" t="str" cm="1">
        <f t="array" ref="D317">IF(ISERROR(INDEX('Local Data Previous Year'!$D$3:$D$20000,SMALL(IF(CTR1_Billing!$E$21='Local Data Previous Year'!$A$3:$A$20000,ROW('Local Data Previous Year'!$A$3:$A$20000)-ROW('Local Data Previous Year'!$A$3)+1),ROW(285:285)))),"",INDEX('Local Data Previous Year'!$D$3:$D$20000,SMALL(IF(CTR1_Billing!$E$21='Local Data Previous Year'!$A$3:$A$20000,ROW('Local Data Previous Year'!$A$3:$A$20000)-ROW('Local Data Previous Year'!$A$3)+1),ROW(285:285))))</f>
        <v/>
      </c>
      <c r="E317" s="755" t="str" cm="1">
        <f t="array" ref="E317">IF(ISERROR(INDEX('Local Data Previous Year'!$E$3:$E$20000,SMALL(IF(CTR1_Billing!$E$21='Local Data Previous Year'!$A$3:$A$20000,ROW('Local Data Previous Year'!$A$3:$A$20000)-ROW('Local Data Previous Year'!$A$3)+1),ROW(285:285)))),"",INDEX('Local Data Previous Year'!$E$3:$E$20000,SMALL(IF(CTR1_Billing!$E$21='Local Data Previous Year'!$A$3:$A$20000,ROW('Local Data Previous Year'!$A$3:$A$20000)-ROW('Local Data Previous Year'!$A$3)+1),ROW(285:285))))</f>
        <v/>
      </c>
      <c r="F317" s="756" t="str">
        <f>IF($D317="","",IF(ISNA(MATCH($D317,'Local Data Previous Year'!$D$3:$D$20000,0)),"New",IFERROR(VLOOKUP($B317,'Local Data Previous Year'!$D$3:$I$20000,6,0),"")))</f>
        <v/>
      </c>
      <c r="G317" s="757">
        <f t="shared" si="62"/>
        <v>0</v>
      </c>
      <c r="H317" s="758" t="str">
        <f>IFERROR(INDEX('Local Data Previous Year'!$F:$F, MATCH($D317, 'Local Data Previous Year'!$D:$D, 0)), "")</f>
        <v/>
      </c>
      <c r="I317" s="759">
        <f>IF(B317=CTR1_Billing!$E$21&amp;"NEW",1,0)</f>
        <v>0</v>
      </c>
      <c r="J317" s="760" t="str">
        <f>IFERROR(INDEX('Local Data Previous Year'!$G:$G, MATCH($D317, 'Local Data Previous Year'!$D:$D, 0)), "")</f>
        <v/>
      </c>
      <c r="K317" s="762"/>
      <c r="L317" s="760" t="str">
        <f>IFERROR(INDEX('Local Data Previous Year'!$H:$H, MATCH($D317, 'Local Data Previous Year'!$D:$D, 0)), "")</f>
        <v/>
      </c>
      <c r="M317" s="762"/>
      <c r="N317" s="763"/>
      <c r="O317" s="767"/>
      <c r="P317" s="765"/>
      <c r="Q317" s="767"/>
      <c r="R317" s="766" t="str">
        <f t="shared" si="63"/>
        <v/>
      </c>
      <c r="S317" s="754"/>
      <c r="T317" s="763"/>
      <c r="U317" s="754"/>
      <c r="V317" s="763"/>
      <c r="W317" s="763"/>
      <c r="X317" s="865" t="str">
        <f>VLOOKUP(CTR1_Billing!$E$21,Data!$C$6:$D$302,1,FALSE)</f>
        <v>EZZZZ</v>
      </c>
      <c r="Y317" s="205"/>
      <c r="Z317" s="205">
        <f t="shared" si="52"/>
        <v>0</v>
      </c>
      <c r="AA317" s="206" t="str">
        <f t="shared" si="40"/>
        <v/>
      </c>
      <c r="AB317" s="205">
        <f t="shared" si="53"/>
        <v>0</v>
      </c>
      <c r="AC317" s="208"/>
      <c r="AD317" s="208"/>
      <c r="AE317" s="208"/>
      <c r="AF317" s="208"/>
      <c r="AG317" s="209" t="str">
        <f>IFERROR(INDEX('Local Data Previous Year'!$F:$F, MATCH($D317, 'Local Data Previous Year'!$D:$D, 0)), "")</f>
        <v/>
      </c>
      <c r="AH317" s="209" t="str">
        <f>IFERROR(INDEX('Local Data Previous Year'!$G:$G, MATCH($D317, 'Local Data Previous Year'!$D:$D, 0)), "")</f>
        <v/>
      </c>
      <c r="AI317" s="209" t="str">
        <f>IFERROR(INDEX('Local Data Previous Year'!$H:$H, MATCH($D317, 'Local Data Previous Year'!$D:$D, 0)), "")</f>
        <v/>
      </c>
      <c r="AJ317" s="209" t="str">
        <f t="shared" si="54"/>
        <v/>
      </c>
      <c r="AK317" s="209" t="str">
        <f t="shared" si="55"/>
        <v/>
      </c>
      <c r="AL317" s="209" t="str">
        <f t="shared" si="56"/>
        <v/>
      </c>
      <c r="AM317" s="208" t="str">
        <f>IF($AN317="","",IFERROR(VLOOKUP(CONCATENATE(CTR1_Billing!$E$20,$AN317),'Local Data Previous Year'!$C$3:$D$50000,2,0),CTR1_Billing!$E$21&amp;"NEW"))</f>
        <v/>
      </c>
      <c r="AN317" s="209" t="str" cm="1">
        <f t="array" ref="AN317">IF(ISERROR(INDEX('Local Data Previous Year'!$E$3:$E$50000, SMALL(IF(CTR1_Billing!$E$21='Local Data Previous Year'!$A$3:$A$50000, ROW('Local Data Previous Year'!$A$3:$A$50000)-ROW('Local Data Previous Year'!$A$3)+1), ROW(285:285)))), "", INDEX('Local Data Previous Year'!$E$3:$E$50000, SMALL(IF(CTR1_Billing!$E$21='Local Data Previous Year'!$A$3:$A$50000, ROW('Local Data Previous Year'!$A$3:$A$50000)-ROW('Local Data Previous Year'!$A$3)+1), ROW(285:285))))</f>
        <v/>
      </c>
      <c r="AO317" s="209" t="str">
        <f t="shared" si="57"/>
        <v/>
      </c>
      <c r="AP317" s="208"/>
      <c r="AQ317" s="209" t="str">
        <f t="shared" si="58"/>
        <v/>
      </c>
      <c r="AR317" s="209" t="str">
        <f t="shared" si="59"/>
        <v/>
      </c>
      <c r="AS317" s="202" t="str">
        <f t="shared" si="60"/>
        <v/>
      </c>
      <c r="AT317" s="202" t="str">
        <f t="shared" si="61"/>
        <v/>
      </c>
      <c r="AU317" s="208"/>
      <c r="AV317" s="208"/>
      <c r="AW317" s="208"/>
      <c r="AX317" s="208"/>
      <c r="AY317" s="208"/>
      <c r="AZ317" s="208"/>
      <c r="BA317" s="208"/>
      <c r="BB317" s="208"/>
      <c r="BC317" s="208"/>
      <c r="BD317" s="208"/>
      <c r="BE317" s="208"/>
      <c r="BF317" s="208"/>
      <c r="BG317" s="28"/>
      <c r="BH317" s="28"/>
      <c r="BI317" s="28"/>
      <c r="BJ317" s="28"/>
    </row>
    <row r="318" spans="1:62" s="23" customFormat="1" ht="21" customHeight="1" thickBot="1" x14ac:dyDescent="0.25">
      <c r="A318" s="846" t="str">
        <f>IF($AN318="","",IFERROR(VLOOKUP(CONCATENATE(CTR1_Billing!$E$20,$AN318),'Local Data Previous Year'!$C$3:$D$20000,2,0),CTR1_Billing!$E$21&amp;"NEW"))</f>
        <v/>
      </c>
      <c r="B318" s="846" t="str">
        <f>IF($E318="","",IFERROR(VLOOKUP(CONCATENATE(CTR1_Billing!$E$20,CTR1_Local!$E318),'Local Data Previous Year'!$C$3:$D$20000,2,0),CTR1_Billing!$E$21&amp;"NEW"))</f>
        <v/>
      </c>
      <c r="C318" s="846">
        <v>286</v>
      </c>
      <c r="D318" s="755" t="str" cm="1">
        <f t="array" ref="D318">IF(ISERROR(INDEX('Local Data Previous Year'!$D$3:$D$20000,SMALL(IF(CTR1_Billing!$E$21='Local Data Previous Year'!$A$3:$A$20000,ROW('Local Data Previous Year'!$A$3:$A$20000)-ROW('Local Data Previous Year'!$A$3)+1),ROW(286:286)))),"",INDEX('Local Data Previous Year'!$D$3:$D$20000,SMALL(IF(CTR1_Billing!$E$21='Local Data Previous Year'!$A$3:$A$20000,ROW('Local Data Previous Year'!$A$3:$A$20000)-ROW('Local Data Previous Year'!$A$3)+1),ROW(286:286))))</f>
        <v/>
      </c>
      <c r="E318" s="755" t="str" cm="1">
        <f t="array" ref="E318">IF(ISERROR(INDEX('Local Data Previous Year'!$E$3:$E$20000,SMALL(IF(CTR1_Billing!$E$21='Local Data Previous Year'!$A$3:$A$20000,ROW('Local Data Previous Year'!$A$3:$A$20000)-ROW('Local Data Previous Year'!$A$3)+1),ROW(286:286)))),"",INDEX('Local Data Previous Year'!$E$3:$E$20000,SMALL(IF(CTR1_Billing!$E$21='Local Data Previous Year'!$A$3:$A$20000,ROW('Local Data Previous Year'!$A$3:$A$20000)-ROW('Local Data Previous Year'!$A$3)+1),ROW(286:286))))</f>
        <v/>
      </c>
      <c r="F318" s="756" t="str">
        <f>IF($D318="","",IF(ISNA(MATCH($D318,'Local Data Previous Year'!$D$3:$D$20000,0)),"New",IFERROR(VLOOKUP($B318,'Local Data Previous Year'!$D$3:$I$20000,6,0),"")))</f>
        <v/>
      </c>
      <c r="G318" s="757">
        <f t="shared" si="62"/>
        <v>0</v>
      </c>
      <c r="H318" s="758" t="str">
        <f>IFERROR(INDEX('Local Data Previous Year'!$F:$F, MATCH($D318, 'Local Data Previous Year'!$D:$D, 0)), "")</f>
        <v/>
      </c>
      <c r="I318" s="759">
        <f>IF(B318=CTR1_Billing!$E$21&amp;"NEW",1,0)</f>
        <v>0</v>
      </c>
      <c r="J318" s="760" t="str">
        <f>IFERROR(INDEX('Local Data Previous Year'!$G:$G, MATCH($D318, 'Local Data Previous Year'!$D:$D, 0)), "")</f>
        <v/>
      </c>
      <c r="K318" s="762"/>
      <c r="L318" s="760" t="str">
        <f>IFERROR(INDEX('Local Data Previous Year'!$H:$H, MATCH($D318, 'Local Data Previous Year'!$D:$D, 0)), "")</f>
        <v/>
      </c>
      <c r="M318" s="762"/>
      <c r="N318" s="763"/>
      <c r="O318" s="767"/>
      <c r="P318" s="765"/>
      <c r="Q318" s="767"/>
      <c r="R318" s="766" t="str">
        <f t="shared" si="63"/>
        <v/>
      </c>
      <c r="S318" s="754"/>
      <c r="T318" s="763"/>
      <c r="U318" s="754"/>
      <c r="V318" s="763"/>
      <c r="W318" s="763"/>
      <c r="X318" s="865" t="str">
        <f>VLOOKUP(CTR1_Billing!$E$21,Data!$C$6:$D$302,1,FALSE)</f>
        <v>EZZZZ</v>
      </c>
      <c r="Y318" s="205"/>
      <c r="Z318" s="205">
        <f t="shared" si="52"/>
        <v>0</v>
      </c>
      <c r="AA318" s="206" t="str">
        <f t="shared" si="40"/>
        <v/>
      </c>
      <c r="AB318" s="205">
        <f t="shared" si="53"/>
        <v>0</v>
      </c>
      <c r="AC318" s="208"/>
      <c r="AD318" s="208"/>
      <c r="AE318" s="208"/>
      <c r="AF318" s="208"/>
      <c r="AG318" s="209" t="str">
        <f>IFERROR(INDEX('Local Data Previous Year'!$F:$F, MATCH($D318, 'Local Data Previous Year'!$D:$D, 0)), "")</f>
        <v/>
      </c>
      <c r="AH318" s="209" t="str">
        <f>IFERROR(INDEX('Local Data Previous Year'!$G:$G, MATCH($D318, 'Local Data Previous Year'!$D:$D, 0)), "")</f>
        <v/>
      </c>
      <c r="AI318" s="209" t="str">
        <f>IFERROR(INDEX('Local Data Previous Year'!$H:$H, MATCH($D318, 'Local Data Previous Year'!$D:$D, 0)), "")</f>
        <v/>
      </c>
      <c r="AJ318" s="209" t="str">
        <f t="shared" si="54"/>
        <v/>
      </c>
      <c r="AK318" s="209" t="str">
        <f t="shared" si="55"/>
        <v/>
      </c>
      <c r="AL318" s="209" t="str">
        <f t="shared" si="56"/>
        <v/>
      </c>
      <c r="AM318" s="208" t="str">
        <f>IF($AN318="","",IFERROR(VLOOKUP(CONCATENATE(CTR1_Billing!$E$20,$AN318),'Local Data Previous Year'!$C$3:$D$50000,2,0),CTR1_Billing!$E$21&amp;"NEW"))</f>
        <v/>
      </c>
      <c r="AN318" s="209" t="str" cm="1">
        <f t="array" ref="AN318">IF(ISERROR(INDEX('Local Data Previous Year'!$E$3:$E$50000, SMALL(IF(CTR1_Billing!$E$21='Local Data Previous Year'!$A$3:$A$50000, ROW('Local Data Previous Year'!$A$3:$A$50000)-ROW('Local Data Previous Year'!$A$3)+1), ROW(286:286)))), "", INDEX('Local Data Previous Year'!$E$3:$E$50000, SMALL(IF(CTR1_Billing!$E$21='Local Data Previous Year'!$A$3:$A$50000, ROW('Local Data Previous Year'!$A$3:$A$50000)-ROW('Local Data Previous Year'!$A$3)+1), ROW(286:286))))</f>
        <v/>
      </c>
      <c r="AO318" s="209" t="str">
        <f t="shared" si="57"/>
        <v/>
      </c>
      <c r="AP318" s="208"/>
      <c r="AQ318" s="209" t="str">
        <f t="shared" si="58"/>
        <v/>
      </c>
      <c r="AR318" s="209" t="str">
        <f t="shared" si="59"/>
        <v/>
      </c>
      <c r="AS318" s="202" t="str">
        <f t="shared" si="60"/>
        <v/>
      </c>
      <c r="AT318" s="202" t="str">
        <f t="shared" si="61"/>
        <v/>
      </c>
      <c r="AU318" s="208"/>
      <c r="AV318" s="208"/>
      <c r="AW318" s="208"/>
      <c r="AX318" s="208"/>
      <c r="AY318" s="208"/>
      <c r="AZ318" s="208"/>
      <c r="BA318" s="208"/>
      <c r="BB318" s="208"/>
      <c r="BC318" s="208"/>
      <c r="BD318" s="208"/>
      <c r="BE318" s="208"/>
      <c r="BF318" s="208"/>
      <c r="BG318" s="28"/>
      <c r="BH318" s="28"/>
      <c r="BI318" s="28"/>
      <c r="BJ318" s="28"/>
    </row>
    <row r="319" spans="1:62" s="23" customFormat="1" ht="21" customHeight="1" thickBot="1" x14ac:dyDescent="0.25">
      <c r="A319" s="846" t="str">
        <f>IF($AN319="","",IFERROR(VLOOKUP(CONCATENATE(CTR1_Billing!$E$20,$AN319),'Local Data Previous Year'!$C$3:$D$20000,2,0),CTR1_Billing!$E$21&amp;"NEW"))</f>
        <v/>
      </c>
      <c r="B319" s="846" t="str">
        <f>IF($E319="","",IFERROR(VLOOKUP(CONCATENATE(CTR1_Billing!$E$20,CTR1_Local!$E319),'Local Data Previous Year'!$C$3:$D$20000,2,0),CTR1_Billing!$E$21&amp;"NEW"))</f>
        <v/>
      </c>
      <c r="C319" s="846">
        <v>287</v>
      </c>
      <c r="D319" s="755" t="str" cm="1">
        <f t="array" ref="D319">IF(ISERROR(INDEX('Local Data Previous Year'!$D$3:$D$20000,SMALL(IF(CTR1_Billing!$E$21='Local Data Previous Year'!$A$3:$A$20000,ROW('Local Data Previous Year'!$A$3:$A$20000)-ROW('Local Data Previous Year'!$A$3)+1),ROW(287:287)))),"",INDEX('Local Data Previous Year'!$D$3:$D$20000,SMALL(IF(CTR1_Billing!$E$21='Local Data Previous Year'!$A$3:$A$20000,ROW('Local Data Previous Year'!$A$3:$A$20000)-ROW('Local Data Previous Year'!$A$3)+1),ROW(287:287))))</f>
        <v/>
      </c>
      <c r="E319" s="755" t="str" cm="1">
        <f t="array" ref="E319">IF(ISERROR(INDEX('Local Data Previous Year'!$E$3:$E$20000,SMALL(IF(CTR1_Billing!$E$21='Local Data Previous Year'!$A$3:$A$20000,ROW('Local Data Previous Year'!$A$3:$A$20000)-ROW('Local Data Previous Year'!$A$3)+1),ROW(287:287)))),"",INDEX('Local Data Previous Year'!$E$3:$E$20000,SMALL(IF(CTR1_Billing!$E$21='Local Data Previous Year'!$A$3:$A$20000,ROW('Local Data Previous Year'!$A$3:$A$20000)-ROW('Local Data Previous Year'!$A$3)+1),ROW(287:287))))</f>
        <v/>
      </c>
      <c r="F319" s="756" t="str">
        <f>IF($D319="","",IF(ISNA(MATCH($D319,'Local Data Previous Year'!$D$3:$D$20000,0)),"New",IFERROR(VLOOKUP($B319,'Local Data Previous Year'!$D$3:$I$20000,6,0),"")))</f>
        <v/>
      </c>
      <c r="G319" s="757">
        <f t="shared" si="62"/>
        <v>0</v>
      </c>
      <c r="H319" s="758" t="str">
        <f>IFERROR(INDEX('Local Data Previous Year'!$F:$F, MATCH($D319, 'Local Data Previous Year'!$D:$D, 0)), "")</f>
        <v/>
      </c>
      <c r="I319" s="759">
        <f>IF(B319=CTR1_Billing!$E$21&amp;"NEW",1,0)</f>
        <v>0</v>
      </c>
      <c r="J319" s="760" t="str">
        <f>IFERROR(INDEX('Local Data Previous Year'!$G:$G, MATCH($D319, 'Local Data Previous Year'!$D:$D, 0)), "")</f>
        <v/>
      </c>
      <c r="K319" s="762"/>
      <c r="L319" s="760" t="str">
        <f>IFERROR(INDEX('Local Data Previous Year'!$H:$H, MATCH($D319, 'Local Data Previous Year'!$D:$D, 0)), "")</f>
        <v/>
      </c>
      <c r="M319" s="762"/>
      <c r="N319" s="763"/>
      <c r="O319" s="767"/>
      <c r="P319" s="765"/>
      <c r="Q319" s="767"/>
      <c r="R319" s="766" t="str">
        <f t="shared" si="63"/>
        <v/>
      </c>
      <c r="S319" s="754"/>
      <c r="T319" s="763"/>
      <c r="U319" s="754"/>
      <c r="V319" s="763"/>
      <c r="W319" s="763"/>
      <c r="X319" s="865" t="str">
        <f>VLOOKUP(CTR1_Billing!$E$21,Data!$C$6:$D$302,1,FALSE)</f>
        <v>EZZZZ</v>
      </c>
      <c r="Y319" s="205"/>
      <c r="Z319" s="205">
        <f t="shared" si="52"/>
        <v>0</v>
      </c>
      <c r="AA319" s="206" t="str">
        <f t="shared" si="40"/>
        <v/>
      </c>
      <c r="AB319" s="205">
        <f t="shared" si="53"/>
        <v>0</v>
      </c>
      <c r="AC319" s="208"/>
      <c r="AD319" s="208"/>
      <c r="AE319" s="208"/>
      <c r="AF319" s="208"/>
      <c r="AG319" s="209" t="str">
        <f>IFERROR(INDEX('Local Data Previous Year'!$F:$F, MATCH($D319, 'Local Data Previous Year'!$D:$D, 0)), "")</f>
        <v/>
      </c>
      <c r="AH319" s="209" t="str">
        <f>IFERROR(INDEX('Local Data Previous Year'!$G:$G, MATCH($D319, 'Local Data Previous Year'!$D:$D, 0)), "")</f>
        <v/>
      </c>
      <c r="AI319" s="209" t="str">
        <f>IFERROR(INDEX('Local Data Previous Year'!$H:$H, MATCH($D319, 'Local Data Previous Year'!$D:$D, 0)), "")</f>
        <v/>
      </c>
      <c r="AJ319" s="209" t="str">
        <f t="shared" si="54"/>
        <v/>
      </c>
      <c r="AK319" s="209" t="str">
        <f t="shared" si="55"/>
        <v/>
      </c>
      <c r="AL319" s="209" t="str">
        <f t="shared" si="56"/>
        <v/>
      </c>
      <c r="AM319" s="208" t="str">
        <f>IF($AN319="","",IFERROR(VLOOKUP(CONCATENATE(CTR1_Billing!$E$20,$AN319),'Local Data Previous Year'!$C$3:$D$50000,2,0),CTR1_Billing!$E$21&amp;"NEW"))</f>
        <v/>
      </c>
      <c r="AN319" s="209" t="str" cm="1">
        <f t="array" ref="AN319">IF(ISERROR(INDEX('Local Data Previous Year'!$E$3:$E$50000, SMALL(IF(CTR1_Billing!$E$21='Local Data Previous Year'!$A$3:$A$50000, ROW('Local Data Previous Year'!$A$3:$A$50000)-ROW('Local Data Previous Year'!$A$3)+1), ROW(287:287)))), "", INDEX('Local Data Previous Year'!$E$3:$E$50000, SMALL(IF(CTR1_Billing!$E$21='Local Data Previous Year'!$A$3:$A$50000, ROW('Local Data Previous Year'!$A$3:$A$50000)-ROW('Local Data Previous Year'!$A$3)+1), ROW(287:287))))</f>
        <v/>
      </c>
      <c r="AO319" s="209" t="str">
        <f t="shared" si="57"/>
        <v/>
      </c>
      <c r="AP319" s="208"/>
      <c r="AQ319" s="209" t="str">
        <f t="shared" si="58"/>
        <v/>
      </c>
      <c r="AR319" s="209" t="str">
        <f t="shared" si="59"/>
        <v/>
      </c>
      <c r="AS319" s="202" t="str">
        <f t="shared" si="60"/>
        <v/>
      </c>
      <c r="AT319" s="202" t="str">
        <f t="shared" si="61"/>
        <v/>
      </c>
      <c r="AU319" s="208"/>
      <c r="AV319" s="208"/>
      <c r="AW319" s="208"/>
      <c r="AX319" s="208"/>
      <c r="AY319" s="208"/>
      <c r="AZ319" s="208"/>
      <c r="BA319" s="208"/>
      <c r="BB319" s="208"/>
      <c r="BC319" s="208"/>
      <c r="BD319" s="208"/>
      <c r="BE319" s="208"/>
      <c r="BF319" s="208"/>
      <c r="BG319" s="28"/>
      <c r="BH319" s="28"/>
      <c r="BI319" s="28"/>
      <c r="BJ319" s="28"/>
    </row>
    <row r="320" spans="1:62" s="23" customFormat="1" ht="21" customHeight="1" thickBot="1" x14ac:dyDescent="0.25">
      <c r="A320" s="846" t="str">
        <f>IF($AN320="","",IFERROR(VLOOKUP(CONCATENATE(CTR1_Billing!$E$20,$AN320),'Local Data Previous Year'!$C$3:$D$20000,2,0),CTR1_Billing!$E$21&amp;"NEW"))</f>
        <v/>
      </c>
      <c r="B320" s="846" t="str">
        <f>IF($E320="","",IFERROR(VLOOKUP(CONCATENATE(CTR1_Billing!$E$20,CTR1_Local!$E320),'Local Data Previous Year'!$C$3:$D$20000,2,0),CTR1_Billing!$E$21&amp;"NEW"))</f>
        <v/>
      </c>
      <c r="C320" s="846">
        <v>288</v>
      </c>
      <c r="D320" s="755" t="str" cm="1">
        <f t="array" ref="D320">IF(ISERROR(INDEX('Local Data Previous Year'!$D$3:$D$20000,SMALL(IF(CTR1_Billing!$E$21='Local Data Previous Year'!$A$3:$A$20000,ROW('Local Data Previous Year'!$A$3:$A$20000)-ROW('Local Data Previous Year'!$A$3)+1),ROW(288:288)))),"",INDEX('Local Data Previous Year'!$D$3:$D$20000,SMALL(IF(CTR1_Billing!$E$21='Local Data Previous Year'!$A$3:$A$20000,ROW('Local Data Previous Year'!$A$3:$A$20000)-ROW('Local Data Previous Year'!$A$3)+1),ROW(288:288))))</f>
        <v/>
      </c>
      <c r="E320" s="755" t="str" cm="1">
        <f t="array" ref="E320">IF(ISERROR(INDEX('Local Data Previous Year'!$E$3:$E$20000,SMALL(IF(CTR1_Billing!$E$21='Local Data Previous Year'!$A$3:$A$20000,ROW('Local Data Previous Year'!$A$3:$A$20000)-ROW('Local Data Previous Year'!$A$3)+1),ROW(288:288)))),"",INDEX('Local Data Previous Year'!$E$3:$E$20000,SMALL(IF(CTR1_Billing!$E$21='Local Data Previous Year'!$A$3:$A$20000,ROW('Local Data Previous Year'!$A$3:$A$20000)-ROW('Local Data Previous Year'!$A$3)+1),ROW(288:288))))</f>
        <v/>
      </c>
      <c r="F320" s="756" t="str">
        <f>IF($D320="","",IF(ISNA(MATCH($D320,'Local Data Previous Year'!$D$3:$D$20000,0)),"New",IFERROR(VLOOKUP($B320,'Local Data Previous Year'!$D$3:$I$20000,6,0),"")))</f>
        <v/>
      </c>
      <c r="G320" s="757">
        <f t="shared" si="62"/>
        <v>0</v>
      </c>
      <c r="H320" s="758" t="str">
        <f>IFERROR(INDEX('Local Data Previous Year'!$F:$F, MATCH($D320, 'Local Data Previous Year'!$D:$D, 0)), "")</f>
        <v/>
      </c>
      <c r="I320" s="759">
        <f>IF(B320=CTR1_Billing!$E$21&amp;"NEW",1,0)</f>
        <v>0</v>
      </c>
      <c r="J320" s="760" t="str">
        <f>IFERROR(INDEX('Local Data Previous Year'!$G:$G, MATCH($D320, 'Local Data Previous Year'!$D:$D, 0)), "")</f>
        <v/>
      </c>
      <c r="K320" s="762"/>
      <c r="L320" s="760" t="str">
        <f>IFERROR(INDEX('Local Data Previous Year'!$H:$H, MATCH($D320, 'Local Data Previous Year'!$D:$D, 0)), "")</f>
        <v/>
      </c>
      <c r="M320" s="762"/>
      <c r="N320" s="763"/>
      <c r="O320" s="767"/>
      <c r="P320" s="765"/>
      <c r="Q320" s="767"/>
      <c r="R320" s="766" t="str">
        <f t="shared" si="63"/>
        <v/>
      </c>
      <c r="S320" s="754"/>
      <c r="T320" s="763"/>
      <c r="U320" s="754"/>
      <c r="V320" s="763"/>
      <c r="W320" s="763"/>
      <c r="X320" s="865" t="str">
        <f>VLOOKUP(CTR1_Billing!$E$21,Data!$C$6:$D$302,1,FALSE)</f>
        <v>EZZZZ</v>
      </c>
      <c r="Y320" s="205"/>
      <c r="Z320" s="205">
        <f t="shared" si="52"/>
        <v>0</v>
      </c>
      <c r="AA320" s="206" t="str">
        <f t="shared" si="40"/>
        <v/>
      </c>
      <c r="AB320" s="205">
        <f t="shared" si="53"/>
        <v>0</v>
      </c>
      <c r="AC320" s="208"/>
      <c r="AD320" s="208"/>
      <c r="AE320" s="208"/>
      <c r="AF320" s="208"/>
      <c r="AG320" s="209" t="str">
        <f>IFERROR(INDEX('Local Data Previous Year'!$F:$F, MATCH($D320, 'Local Data Previous Year'!$D:$D, 0)), "")</f>
        <v/>
      </c>
      <c r="AH320" s="209" t="str">
        <f>IFERROR(INDEX('Local Data Previous Year'!$G:$G, MATCH($D320, 'Local Data Previous Year'!$D:$D, 0)), "")</f>
        <v/>
      </c>
      <c r="AI320" s="209" t="str">
        <f>IFERROR(INDEX('Local Data Previous Year'!$H:$H, MATCH($D320, 'Local Data Previous Year'!$D:$D, 0)), "")</f>
        <v/>
      </c>
      <c r="AJ320" s="209" t="str">
        <f t="shared" si="54"/>
        <v/>
      </c>
      <c r="AK320" s="209" t="str">
        <f t="shared" si="55"/>
        <v/>
      </c>
      <c r="AL320" s="209" t="str">
        <f t="shared" si="56"/>
        <v/>
      </c>
      <c r="AM320" s="208" t="str">
        <f>IF($AN320="","",IFERROR(VLOOKUP(CONCATENATE(CTR1_Billing!$E$20,$AN320),'Local Data Previous Year'!$C$3:$D$50000,2,0),CTR1_Billing!$E$21&amp;"NEW"))</f>
        <v/>
      </c>
      <c r="AN320" s="209" t="str" cm="1">
        <f t="array" ref="AN320">IF(ISERROR(INDEX('Local Data Previous Year'!$E$3:$E$50000, SMALL(IF(CTR1_Billing!$E$21='Local Data Previous Year'!$A$3:$A$50000, ROW('Local Data Previous Year'!$A$3:$A$50000)-ROW('Local Data Previous Year'!$A$3)+1), ROW(288:288)))), "", INDEX('Local Data Previous Year'!$E$3:$E$50000, SMALL(IF(CTR1_Billing!$E$21='Local Data Previous Year'!$A$3:$A$50000, ROW('Local Data Previous Year'!$A$3:$A$50000)-ROW('Local Data Previous Year'!$A$3)+1), ROW(288:288))))</f>
        <v/>
      </c>
      <c r="AO320" s="209" t="str">
        <f t="shared" si="57"/>
        <v/>
      </c>
      <c r="AP320" s="208"/>
      <c r="AQ320" s="209" t="str">
        <f t="shared" si="58"/>
        <v/>
      </c>
      <c r="AR320" s="209" t="str">
        <f t="shared" si="59"/>
        <v/>
      </c>
      <c r="AS320" s="202" t="str">
        <f t="shared" si="60"/>
        <v/>
      </c>
      <c r="AT320" s="202" t="str">
        <f t="shared" si="61"/>
        <v/>
      </c>
      <c r="AU320" s="208"/>
      <c r="AV320" s="208"/>
      <c r="AW320" s="208"/>
      <c r="AX320" s="208"/>
      <c r="AY320" s="208"/>
      <c r="AZ320" s="208"/>
      <c r="BA320" s="208"/>
      <c r="BB320" s="208"/>
      <c r="BC320" s="208"/>
      <c r="BD320" s="208"/>
      <c r="BE320" s="208"/>
      <c r="BF320" s="208"/>
      <c r="BG320" s="28"/>
      <c r="BH320" s="28"/>
      <c r="BI320" s="28"/>
      <c r="BJ320" s="28"/>
    </row>
    <row r="321" spans="1:62" s="23" customFormat="1" ht="21" customHeight="1" thickBot="1" x14ac:dyDescent="0.25">
      <c r="A321" s="846" t="str">
        <f>IF($AN321="","",IFERROR(VLOOKUP(CONCATENATE(CTR1_Billing!$E$20,$AN321),'Local Data Previous Year'!$C$3:$D$20000,2,0),CTR1_Billing!$E$21&amp;"NEW"))</f>
        <v/>
      </c>
      <c r="B321" s="846" t="str">
        <f>IF($E321="","",IFERROR(VLOOKUP(CONCATENATE(CTR1_Billing!$E$20,CTR1_Local!$E321),'Local Data Previous Year'!$C$3:$D$20000,2,0),CTR1_Billing!$E$21&amp;"NEW"))</f>
        <v/>
      </c>
      <c r="C321" s="846">
        <v>289</v>
      </c>
      <c r="D321" s="755" t="str" cm="1">
        <f t="array" ref="D321">IF(ISERROR(INDEX('Local Data Previous Year'!$D$3:$D$20000,SMALL(IF(CTR1_Billing!$E$21='Local Data Previous Year'!$A$3:$A$20000,ROW('Local Data Previous Year'!$A$3:$A$20000)-ROW('Local Data Previous Year'!$A$3)+1),ROW(289:289)))),"",INDEX('Local Data Previous Year'!$D$3:$D$20000,SMALL(IF(CTR1_Billing!$E$21='Local Data Previous Year'!$A$3:$A$20000,ROW('Local Data Previous Year'!$A$3:$A$20000)-ROW('Local Data Previous Year'!$A$3)+1),ROW(289:289))))</f>
        <v/>
      </c>
      <c r="E321" s="755" t="str" cm="1">
        <f t="array" ref="E321">IF(ISERROR(INDEX('Local Data Previous Year'!$E$3:$E$20000,SMALL(IF(CTR1_Billing!$E$21='Local Data Previous Year'!$A$3:$A$20000,ROW('Local Data Previous Year'!$A$3:$A$20000)-ROW('Local Data Previous Year'!$A$3)+1),ROW(289:289)))),"",INDEX('Local Data Previous Year'!$E$3:$E$20000,SMALL(IF(CTR1_Billing!$E$21='Local Data Previous Year'!$A$3:$A$20000,ROW('Local Data Previous Year'!$A$3:$A$20000)-ROW('Local Data Previous Year'!$A$3)+1),ROW(289:289))))</f>
        <v/>
      </c>
      <c r="F321" s="756" t="str">
        <f>IF($D321="","",IF(ISNA(MATCH($D321,'Local Data Previous Year'!$D$3:$D$20000,0)),"New",IFERROR(VLOOKUP($B321,'Local Data Previous Year'!$D$3:$I$20000,6,0),"")))</f>
        <v/>
      </c>
      <c r="G321" s="757">
        <f t="shared" si="62"/>
        <v>0</v>
      </c>
      <c r="H321" s="758" t="str">
        <f>IFERROR(INDEX('Local Data Previous Year'!$F:$F, MATCH($D321, 'Local Data Previous Year'!$D:$D, 0)), "")</f>
        <v/>
      </c>
      <c r="I321" s="759">
        <f>IF(B321=CTR1_Billing!$E$21&amp;"NEW",1,0)</f>
        <v>0</v>
      </c>
      <c r="J321" s="760" t="str">
        <f>IFERROR(INDEX('Local Data Previous Year'!$G:$G, MATCH($D321, 'Local Data Previous Year'!$D:$D, 0)), "")</f>
        <v/>
      </c>
      <c r="K321" s="762"/>
      <c r="L321" s="760" t="str">
        <f>IFERROR(INDEX('Local Data Previous Year'!$H:$H, MATCH($D321, 'Local Data Previous Year'!$D:$D, 0)), "")</f>
        <v/>
      </c>
      <c r="M321" s="762"/>
      <c r="N321" s="763"/>
      <c r="O321" s="767"/>
      <c r="P321" s="765"/>
      <c r="Q321" s="767"/>
      <c r="R321" s="766" t="str">
        <f t="shared" si="63"/>
        <v/>
      </c>
      <c r="S321" s="754"/>
      <c r="T321" s="763"/>
      <c r="U321" s="754"/>
      <c r="V321" s="763"/>
      <c r="W321" s="763"/>
      <c r="X321" s="865" t="str">
        <f>VLOOKUP(CTR1_Billing!$E$21,Data!$C$6:$D$302,1,FALSE)</f>
        <v>EZZZZ</v>
      </c>
      <c r="Y321" s="205"/>
      <c r="Z321" s="205">
        <f t="shared" si="52"/>
        <v>0</v>
      </c>
      <c r="AA321" s="206" t="str">
        <f t="shared" si="40"/>
        <v/>
      </c>
      <c r="AB321" s="205">
        <f t="shared" si="53"/>
        <v>0</v>
      </c>
      <c r="AC321" s="208"/>
      <c r="AD321" s="208"/>
      <c r="AE321" s="208"/>
      <c r="AF321" s="208"/>
      <c r="AG321" s="209" t="str">
        <f>IFERROR(INDEX('Local Data Previous Year'!$F:$F, MATCH($D321, 'Local Data Previous Year'!$D:$D, 0)), "")</f>
        <v/>
      </c>
      <c r="AH321" s="209" t="str">
        <f>IFERROR(INDEX('Local Data Previous Year'!$G:$G, MATCH($D321, 'Local Data Previous Year'!$D:$D, 0)), "")</f>
        <v/>
      </c>
      <c r="AI321" s="209" t="str">
        <f>IFERROR(INDEX('Local Data Previous Year'!$H:$H, MATCH($D321, 'Local Data Previous Year'!$D:$D, 0)), "")</f>
        <v/>
      </c>
      <c r="AJ321" s="209" t="str">
        <f t="shared" si="54"/>
        <v/>
      </c>
      <c r="AK321" s="209" t="str">
        <f t="shared" si="55"/>
        <v/>
      </c>
      <c r="AL321" s="209" t="str">
        <f t="shared" si="56"/>
        <v/>
      </c>
      <c r="AM321" s="208" t="str">
        <f>IF($AN321="","",IFERROR(VLOOKUP(CONCATENATE(CTR1_Billing!$E$20,$AN321),'Local Data Previous Year'!$C$3:$D$50000,2,0),CTR1_Billing!$E$21&amp;"NEW"))</f>
        <v/>
      </c>
      <c r="AN321" s="209" t="str" cm="1">
        <f t="array" ref="AN321">IF(ISERROR(INDEX('Local Data Previous Year'!$E$3:$E$50000, SMALL(IF(CTR1_Billing!$E$21='Local Data Previous Year'!$A$3:$A$50000, ROW('Local Data Previous Year'!$A$3:$A$50000)-ROW('Local Data Previous Year'!$A$3)+1), ROW(289:289)))), "", INDEX('Local Data Previous Year'!$E$3:$E$50000, SMALL(IF(CTR1_Billing!$E$21='Local Data Previous Year'!$A$3:$A$50000, ROW('Local Data Previous Year'!$A$3:$A$50000)-ROW('Local Data Previous Year'!$A$3)+1), ROW(289:289))))</f>
        <v/>
      </c>
      <c r="AO321" s="209" t="str">
        <f t="shared" si="57"/>
        <v/>
      </c>
      <c r="AP321" s="208"/>
      <c r="AQ321" s="209" t="str">
        <f t="shared" si="58"/>
        <v/>
      </c>
      <c r="AR321" s="209" t="str">
        <f t="shared" si="59"/>
        <v/>
      </c>
      <c r="AS321" s="202" t="str">
        <f t="shared" si="60"/>
        <v/>
      </c>
      <c r="AT321" s="202" t="str">
        <f t="shared" si="61"/>
        <v/>
      </c>
      <c r="AU321" s="208"/>
      <c r="AV321" s="208"/>
      <c r="AW321" s="208"/>
      <c r="AX321" s="208"/>
      <c r="AY321" s="208"/>
      <c r="AZ321" s="208"/>
      <c r="BA321" s="208"/>
      <c r="BB321" s="208"/>
      <c r="BC321" s="208"/>
      <c r="BD321" s="208"/>
      <c r="BE321" s="208"/>
      <c r="BF321" s="208"/>
      <c r="BG321" s="28"/>
      <c r="BH321" s="28"/>
      <c r="BI321" s="28"/>
      <c r="BJ321" s="28"/>
    </row>
    <row r="322" spans="1:62" s="23" customFormat="1" ht="21" customHeight="1" thickBot="1" x14ac:dyDescent="0.25">
      <c r="A322" s="846" t="str">
        <f>IF($AN322="","",IFERROR(VLOOKUP(CONCATENATE(CTR1_Billing!$E$20,$AN322),'Local Data Previous Year'!$C$3:$D$20000,2,0),CTR1_Billing!$E$21&amp;"NEW"))</f>
        <v/>
      </c>
      <c r="B322" s="846" t="str">
        <f>IF($E322="","",IFERROR(VLOOKUP(CONCATENATE(CTR1_Billing!$E$20,CTR1_Local!$E322),'Local Data Previous Year'!$C$3:$D$20000,2,0),CTR1_Billing!$E$21&amp;"NEW"))</f>
        <v/>
      </c>
      <c r="C322" s="846">
        <v>290</v>
      </c>
      <c r="D322" s="755" t="str" cm="1">
        <f t="array" ref="D322">IF(ISERROR(INDEX('Local Data Previous Year'!$D$3:$D$20000,SMALL(IF(CTR1_Billing!$E$21='Local Data Previous Year'!$A$3:$A$20000,ROW('Local Data Previous Year'!$A$3:$A$20000)-ROW('Local Data Previous Year'!$A$3)+1),ROW(290:290)))),"",INDEX('Local Data Previous Year'!$D$3:$D$20000,SMALL(IF(CTR1_Billing!$E$21='Local Data Previous Year'!$A$3:$A$20000,ROW('Local Data Previous Year'!$A$3:$A$20000)-ROW('Local Data Previous Year'!$A$3)+1),ROW(290:290))))</f>
        <v/>
      </c>
      <c r="E322" s="755" t="str" cm="1">
        <f t="array" ref="E322">IF(ISERROR(INDEX('Local Data Previous Year'!$E$3:$E$20000,SMALL(IF(CTR1_Billing!$E$21='Local Data Previous Year'!$A$3:$A$20000,ROW('Local Data Previous Year'!$A$3:$A$20000)-ROW('Local Data Previous Year'!$A$3)+1),ROW(290:290)))),"",INDEX('Local Data Previous Year'!$E$3:$E$20000,SMALL(IF(CTR1_Billing!$E$21='Local Data Previous Year'!$A$3:$A$20000,ROW('Local Data Previous Year'!$A$3:$A$20000)-ROW('Local Data Previous Year'!$A$3)+1),ROW(290:290))))</f>
        <v/>
      </c>
      <c r="F322" s="756" t="str">
        <f>IF($D322="","",IF(ISNA(MATCH($D322,'Local Data Previous Year'!$D$3:$D$20000,0)),"New",IFERROR(VLOOKUP($B322,'Local Data Previous Year'!$D$3:$I$20000,6,0),"")))</f>
        <v/>
      </c>
      <c r="G322" s="757">
        <f t="shared" si="62"/>
        <v>0</v>
      </c>
      <c r="H322" s="758" t="str">
        <f>IFERROR(INDEX('Local Data Previous Year'!$F:$F, MATCH($D322, 'Local Data Previous Year'!$D:$D, 0)), "")</f>
        <v/>
      </c>
      <c r="I322" s="759">
        <f>IF(B322=CTR1_Billing!$E$21&amp;"NEW",1,0)</f>
        <v>0</v>
      </c>
      <c r="J322" s="760" t="str">
        <f>IFERROR(INDEX('Local Data Previous Year'!$G:$G, MATCH($D322, 'Local Data Previous Year'!$D:$D, 0)), "")</f>
        <v/>
      </c>
      <c r="K322" s="762"/>
      <c r="L322" s="760" t="str">
        <f>IFERROR(INDEX('Local Data Previous Year'!$H:$H, MATCH($D322, 'Local Data Previous Year'!$D:$D, 0)), "")</f>
        <v/>
      </c>
      <c r="M322" s="762"/>
      <c r="N322" s="763"/>
      <c r="O322" s="767"/>
      <c r="P322" s="765"/>
      <c r="Q322" s="767"/>
      <c r="R322" s="766" t="str">
        <f t="shared" si="63"/>
        <v/>
      </c>
      <c r="S322" s="754"/>
      <c r="T322" s="763"/>
      <c r="U322" s="754"/>
      <c r="V322" s="763"/>
      <c r="W322" s="763"/>
      <c r="X322" s="865" t="str">
        <f>VLOOKUP(CTR1_Billing!$E$21,Data!$C$6:$D$302,1,FALSE)</f>
        <v>EZZZZ</v>
      </c>
      <c r="Y322" s="205"/>
      <c r="Z322" s="205">
        <f t="shared" si="52"/>
        <v>0</v>
      </c>
      <c r="AA322" s="206" t="str">
        <f t="shared" si="40"/>
        <v/>
      </c>
      <c r="AB322" s="205">
        <f t="shared" si="53"/>
        <v>0</v>
      </c>
      <c r="AC322" s="208"/>
      <c r="AD322" s="208"/>
      <c r="AE322" s="208"/>
      <c r="AF322" s="208"/>
      <c r="AG322" s="209" t="str">
        <f>IFERROR(INDEX('Local Data Previous Year'!$F:$F, MATCH($D322, 'Local Data Previous Year'!$D:$D, 0)), "")</f>
        <v/>
      </c>
      <c r="AH322" s="209" t="str">
        <f>IFERROR(INDEX('Local Data Previous Year'!$G:$G, MATCH($D322, 'Local Data Previous Year'!$D:$D, 0)), "")</f>
        <v/>
      </c>
      <c r="AI322" s="209" t="str">
        <f>IFERROR(INDEX('Local Data Previous Year'!$H:$H, MATCH($D322, 'Local Data Previous Year'!$D:$D, 0)), "")</f>
        <v/>
      </c>
      <c r="AJ322" s="209" t="str">
        <f t="shared" si="54"/>
        <v/>
      </c>
      <c r="AK322" s="209" t="str">
        <f t="shared" si="55"/>
        <v/>
      </c>
      <c r="AL322" s="209" t="str">
        <f t="shared" si="56"/>
        <v/>
      </c>
      <c r="AM322" s="208" t="str">
        <f>IF($AN322="","",IFERROR(VLOOKUP(CONCATENATE(CTR1_Billing!$E$20,$AN322),'Local Data Previous Year'!$C$3:$D$50000,2,0),CTR1_Billing!$E$21&amp;"NEW"))</f>
        <v/>
      </c>
      <c r="AN322" s="209" t="str" cm="1">
        <f t="array" ref="AN322">IF(ISERROR(INDEX('Local Data Previous Year'!$E$3:$E$50000, SMALL(IF(CTR1_Billing!$E$21='Local Data Previous Year'!$A$3:$A$50000, ROW('Local Data Previous Year'!$A$3:$A$50000)-ROW('Local Data Previous Year'!$A$3)+1), ROW(290:290)))), "", INDEX('Local Data Previous Year'!$E$3:$E$50000, SMALL(IF(CTR1_Billing!$E$21='Local Data Previous Year'!$A$3:$A$50000, ROW('Local Data Previous Year'!$A$3:$A$50000)-ROW('Local Data Previous Year'!$A$3)+1), ROW(290:290))))</f>
        <v/>
      </c>
      <c r="AO322" s="209" t="str">
        <f t="shared" si="57"/>
        <v/>
      </c>
      <c r="AP322" s="208"/>
      <c r="AQ322" s="209" t="str">
        <f t="shared" si="58"/>
        <v/>
      </c>
      <c r="AR322" s="209" t="str">
        <f t="shared" si="59"/>
        <v/>
      </c>
      <c r="AS322" s="202" t="str">
        <f t="shared" si="60"/>
        <v/>
      </c>
      <c r="AT322" s="202" t="str">
        <f t="shared" si="61"/>
        <v/>
      </c>
      <c r="AU322" s="208"/>
      <c r="AV322" s="208"/>
      <c r="AW322" s="208"/>
      <c r="AX322" s="208"/>
      <c r="AY322" s="208"/>
      <c r="AZ322" s="208"/>
      <c r="BA322" s="208"/>
      <c r="BB322" s="208"/>
      <c r="BC322" s="208"/>
      <c r="BD322" s="208"/>
      <c r="BE322" s="208"/>
      <c r="BF322" s="208"/>
      <c r="BG322" s="28"/>
      <c r="BH322" s="28"/>
      <c r="BI322" s="28"/>
      <c r="BJ322" s="28"/>
    </row>
    <row r="323" spans="1:62" s="23" customFormat="1" ht="21" customHeight="1" thickBot="1" x14ac:dyDescent="0.25">
      <c r="A323" s="846" t="str">
        <f>IF($AN323="","",IFERROR(VLOOKUP(CONCATENATE(CTR1_Billing!$E$20,$AN323),'Local Data Previous Year'!$C$3:$D$20000,2,0),CTR1_Billing!$E$21&amp;"NEW"))</f>
        <v/>
      </c>
      <c r="B323" s="846" t="str">
        <f>IF($E323="","",IFERROR(VLOOKUP(CONCATENATE(CTR1_Billing!$E$20,CTR1_Local!$E323),'Local Data Previous Year'!$C$3:$D$20000,2,0),CTR1_Billing!$E$21&amp;"NEW"))</f>
        <v/>
      </c>
      <c r="C323" s="846">
        <v>291</v>
      </c>
      <c r="D323" s="755" t="str" cm="1">
        <f t="array" ref="D323">IF(ISERROR(INDEX('Local Data Previous Year'!$D$3:$D$20000,SMALL(IF(CTR1_Billing!$E$21='Local Data Previous Year'!$A$3:$A$20000,ROW('Local Data Previous Year'!$A$3:$A$20000)-ROW('Local Data Previous Year'!$A$3)+1),ROW(291:291)))),"",INDEX('Local Data Previous Year'!$D$3:$D$20000,SMALL(IF(CTR1_Billing!$E$21='Local Data Previous Year'!$A$3:$A$20000,ROW('Local Data Previous Year'!$A$3:$A$20000)-ROW('Local Data Previous Year'!$A$3)+1),ROW(291:291))))</f>
        <v/>
      </c>
      <c r="E323" s="755" t="str" cm="1">
        <f t="array" ref="E323">IF(ISERROR(INDEX('Local Data Previous Year'!$E$3:$E$20000,SMALL(IF(CTR1_Billing!$E$21='Local Data Previous Year'!$A$3:$A$20000,ROW('Local Data Previous Year'!$A$3:$A$20000)-ROW('Local Data Previous Year'!$A$3)+1),ROW(291:291)))),"",INDEX('Local Data Previous Year'!$E$3:$E$20000,SMALL(IF(CTR1_Billing!$E$21='Local Data Previous Year'!$A$3:$A$20000,ROW('Local Data Previous Year'!$A$3:$A$20000)-ROW('Local Data Previous Year'!$A$3)+1),ROW(291:291))))</f>
        <v/>
      </c>
      <c r="F323" s="756" t="str">
        <f>IF($D323="","",IF(ISNA(MATCH($D323,'Local Data Previous Year'!$D$3:$D$20000,0)),"New",IFERROR(VLOOKUP($B323,'Local Data Previous Year'!$D$3:$I$20000,6,0),"")))</f>
        <v/>
      </c>
      <c r="G323" s="757">
        <f t="shared" si="62"/>
        <v>0</v>
      </c>
      <c r="H323" s="758" t="str">
        <f>IFERROR(INDEX('Local Data Previous Year'!$F:$F, MATCH($D323, 'Local Data Previous Year'!$D:$D, 0)), "")</f>
        <v/>
      </c>
      <c r="I323" s="759">
        <f>IF(B323=CTR1_Billing!$E$21&amp;"NEW",1,0)</f>
        <v>0</v>
      </c>
      <c r="J323" s="760" t="str">
        <f>IFERROR(INDEX('Local Data Previous Year'!$G:$G, MATCH($D323, 'Local Data Previous Year'!$D:$D, 0)), "")</f>
        <v/>
      </c>
      <c r="K323" s="762"/>
      <c r="L323" s="760" t="str">
        <f>IFERROR(INDEX('Local Data Previous Year'!$H:$H, MATCH($D323, 'Local Data Previous Year'!$D:$D, 0)), "")</f>
        <v/>
      </c>
      <c r="M323" s="762"/>
      <c r="N323" s="763"/>
      <c r="O323" s="767"/>
      <c r="P323" s="765"/>
      <c r="Q323" s="767"/>
      <c r="R323" s="766" t="str">
        <f t="shared" si="63"/>
        <v/>
      </c>
      <c r="S323" s="754"/>
      <c r="T323" s="763"/>
      <c r="U323" s="754"/>
      <c r="V323" s="763"/>
      <c r="W323" s="763"/>
      <c r="X323" s="865" t="str">
        <f>VLOOKUP(CTR1_Billing!$E$21,Data!$C$6:$D$302,1,FALSE)</f>
        <v>EZZZZ</v>
      </c>
      <c r="Y323" s="205"/>
      <c r="Z323" s="205">
        <f t="shared" si="52"/>
        <v>0</v>
      </c>
      <c r="AA323" s="206" t="str">
        <f t="shared" si="40"/>
        <v/>
      </c>
      <c r="AB323" s="205">
        <f t="shared" si="53"/>
        <v>0</v>
      </c>
      <c r="AC323" s="208"/>
      <c r="AD323" s="208"/>
      <c r="AE323" s="208"/>
      <c r="AF323" s="208"/>
      <c r="AG323" s="209" t="str">
        <f>IFERROR(INDEX('Local Data Previous Year'!$F:$F, MATCH($D323, 'Local Data Previous Year'!$D:$D, 0)), "")</f>
        <v/>
      </c>
      <c r="AH323" s="209" t="str">
        <f>IFERROR(INDEX('Local Data Previous Year'!$G:$G, MATCH($D323, 'Local Data Previous Year'!$D:$D, 0)), "")</f>
        <v/>
      </c>
      <c r="AI323" s="209" t="str">
        <f>IFERROR(INDEX('Local Data Previous Year'!$H:$H, MATCH($D323, 'Local Data Previous Year'!$D:$D, 0)), "")</f>
        <v/>
      </c>
      <c r="AJ323" s="209" t="str">
        <f t="shared" si="54"/>
        <v/>
      </c>
      <c r="AK323" s="209" t="str">
        <f t="shared" si="55"/>
        <v/>
      </c>
      <c r="AL323" s="209" t="str">
        <f t="shared" si="56"/>
        <v/>
      </c>
      <c r="AM323" s="208" t="str">
        <f>IF($AN323="","",IFERROR(VLOOKUP(CONCATENATE(CTR1_Billing!$E$20,$AN323),'Local Data Previous Year'!$C$3:$D$50000,2,0),CTR1_Billing!$E$21&amp;"NEW"))</f>
        <v/>
      </c>
      <c r="AN323" s="209" t="str" cm="1">
        <f t="array" ref="AN323">IF(ISERROR(INDEX('Local Data Previous Year'!$E$3:$E$50000, SMALL(IF(CTR1_Billing!$E$21='Local Data Previous Year'!$A$3:$A$50000, ROW('Local Data Previous Year'!$A$3:$A$50000)-ROW('Local Data Previous Year'!$A$3)+1), ROW(291:291)))), "", INDEX('Local Data Previous Year'!$E$3:$E$50000, SMALL(IF(CTR1_Billing!$E$21='Local Data Previous Year'!$A$3:$A$50000, ROW('Local Data Previous Year'!$A$3:$A$50000)-ROW('Local Data Previous Year'!$A$3)+1), ROW(291:291))))</f>
        <v/>
      </c>
      <c r="AO323" s="209" t="str">
        <f t="shared" si="57"/>
        <v/>
      </c>
      <c r="AP323" s="208"/>
      <c r="AQ323" s="209" t="str">
        <f t="shared" si="58"/>
        <v/>
      </c>
      <c r="AR323" s="209" t="str">
        <f t="shared" si="59"/>
        <v/>
      </c>
      <c r="AS323" s="202" t="str">
        <f t="shared" si="60"/>
        <v/>
      </c>
      <c r="AT323" s="202" t="str">
        <f t="shared" si="61"/>
        <v/>
      </c>
      <c r="AU323" s="208"/>
      <c r="AV323" s="208"/>
      <c r="AW323" s="208"/>
      <c r="AX323" s="208"/>
      <c r="AY323" s="208"/>
      <c r="AZ323" s="208"/>
      <c r="BA323" s="208"/>
      <c r="BB323" s="208"/>
      <c r="BC323" s="208"/>
      <c r="BD323" s="208"/>
      <c r="BE323" s="208"/>
      <c r="BF323" s="208"/>
      <c r="BG323" s="28"/>
      <c r="BH323" s="28"/>
      <c r="BI323" s="28"/>
      <c r="BJ323" s="28"/>
    </row>
    <row r="324" spans="1:62" s="23" customFormat="1" ht="21" customHeight="1" thickBot="1" x14ac:dyDescent="0.25">
      <c r="A324" s="846" t="str">
        <f>IF($AN324="","",IFERROR(VLOOKUP(CONCATENATE(CTR1_Billing!$E$20,$AN324),'Local Data Previous Year'!$C$3:$D$20000,2,0),CTR1_Billing!$E$21&amp;"NEW"))</f>
        <v/>
      </c>
      <c r="B324" s="846" t="str">
        <f>IF($E324="","",IFERROR(VLOOKUP(CONCATENATE(CTR1_Billing!$E$20,CTR1_Local!$E324),'Local Data Previous Year'!$C$3:$D$20000,2,0),CTR1_Billing!$E$21&amp;"NEW"))</f>
        <v/>
      </c>
      <c r="C324" s="846">
        <v>292</v>
      </c>
      <c r="D324" s="755" t="str" cm="1">
        <f t="array" ref="D324">IF(ISERROR(INDEX('Local Data Previous Year'!$D$3:$D$20000,SMALL(IF(CTR1_Billing!$E$21='Local Data Previous Year'!$A$3:$A$20000,ROW('Local Data Previous Year'!$A$3:$A$20000)-ROW('Local Data Previous Year'!$A$3)+1),ROW(292:292)))),"",INDEX('Local Data Previous Year'!$D$3:$D$20000,SMALL(IF(CTR1_Billing!$E$21='Local Data Previous Year'!$A$3:$A$20000,ROW('Local Data Previous Year'!$A$3:$A$20000)-ROW('Local Data Previous Year'!$A$3)+1),ROW(292:292))))</f>
        <v/>
      </c>
      <c r="E324" s="755" t="str" cm="1">
        <f t="array" ref="E324">IF(ISERROR(INDEX('Local Data Previous Year'!$E$3:$E$20000,SMALL(IF(CTR1_Billing!$E$21='Local Data Previous Year'!$A$3:$A$20000,ROW('Local Data Previous Year'!$A$3:$A$20000)-ROW('Local Data Previous Year'!$A$3)+1),ROW(292:292)))),"",INDEX('Local Data Previous Year'!$E$3:$E$20000,SMALL(IF(CTR1_Billing!$E$21='Local Data Previous Year'!$A$3:$A$20000,ROW('Local Data Previous Year'!$A$3:$A$20000)-ROW('Local Data Previous Year'!$A$3)+1),ROW(292:292))))</f>
        <v/>
      </c>
      <c r="F324" s="756" t="str">
        <f>IF($D324="","",IF(ISNA(MATCH($D324,'Local Data Previous Year'!$D$3:$D$20000,0)),"New",IFERROR(VLOOKUP($B324,'Local Data Previous Year'!$D$3:$I$20000,6,0),"")))</f>
        <v/>
      </c>
      <c r="G324" s="757">
        <f t="shared" si="62"/>
        <v>0</v>
      </c>
      <c r="H324" s="758" t="str">
        <f>IFERROR(INDEX('Local Data Previous Year'!$F:$F, MATCH($D324, 'Local Data Previous Year'!$D:$D, 0)), "")</f>
        <v/>
      </c>
      <c r="I324" s="759">
        <f>IF(B324=CTR1_Billing!$E$21&amp;"NEW",1,0)</f>
        <v>0</v>
      </c>
      <c r="J324" s="760" t="str">
        <f>IFERROR(INDEX('Local Data Previous Year'!$G:$G, MATCH($D324, 'Local Data Previous Year'!$D:$D, 0)), "")</f>
        <v/>
      </c>
      <c r="K324" s="762"/>
      <c r="L324" s="760" t="str">
        <f>IFERROR(INDEX('Local Data Previous Year'!$H:$H, MATCH($D324, 'Local Data Previous Year'!$D:$D, 0)), "")</f>
        <v/>
      </c>
      <c r="M324" s="762"/>
      <c r="N324" s="763"/>
      <c r="O324" s="767"/>
      <c r="P324" s="765"/>
      <c r="Q324" s="767"/>
      <c r="R324" s="766" t="str">
        <f t="shared" si="63"/>
        <v/>
      </c>
      <c r="S324" s="754"/>
      <c r="T324" s="763"/>
      <c r="U324" s="754"/>
      <c r="V324" s="763"/>
      <c r="W324" s="763"/>
      <c r="X324" s="865" t="str">
        <f>VLOOKUP(CTR1_Billing!$E$21,Data!$C$6:$D$302,1,FALSE)</f>
        <v>EZZZZ</v>
      </c>
      <c r="Y324" s="205"/>
      <c r="Z324" s="205">
        <f t="shared" si="52"/>
        <v>0</v>
      </c>
      <c r="AA324" s="206" t="str">
        <f t="shared" si="40"/>
        <v/>
      </c>
      <c r="AB324" s="205">
        <f t="shared" si="53"/>
        <v>0</v>
      </c>
      <c r="AC324" s="208"/>
      <c r="AD324" s="208"/>
      <c r="AE324" s="208"/>
      <c r="AF324" s="208"/>
      <c r="AG324" s="209" t="str">
        <f>IFERROR(INDEX('Local Data Previous Year'!$F:$F, MATCH($D324, 'Local Data Previous Year'!$D:$D, 0)), "")</f>
        <v/>
      </c>
      <c r="AH324" s="209" t="str">
        <f>IFERROR(INDEX('Local Data Previous Year'!$G:$G, MATCH($D324, 'Local Data Previous Year'!$D:$D, 0)), "")</f>
        <v/>
      </c>
      <c r="AI324" s="209" t="str">
        <f>IFERROR(INDEX('Local Data Previous Year'!$H:$H, MATCH($D324, 'Local Data Previous Year'!$D:$D, 0)), "")</f>
        <v/>
      </c>
      <c r="AJ324" s="209" t="str">
        <f t="shared" si="54"/>
        <v/>
      </c>
      <c r="AK324" s="209" t="str">
        <f t="shared" si="55"/>
        <v/>
      </c>
      <c r="AL324" s="209" t="str">
        <f t="shared" si="56"/>
        <v/>
      </c>
      <c r="AM324" s="208" t="str">
        <f>IF($AN324="","",IFERROR(VLOOKUP(CONCATENATE(CTR1_Billing!$E$20,$AN324),'Local Data Previous Year'!$C$3:$D$50000,2,0),CTR1_Billing!$E$21&amp;"NEW"))</f>
        <v/>
      </c>
      <c r="AN324" s="209" t="str" cm="1">
        <f t="array" ref="AN324">IF(ISERROR(INDEX('Local Data Previous Year'!$E$3:$E$50000, SMALL(IF(CTR1_Billing!$E$21='Local Data Previous Year'!$A$3:$A$50000, ROW('Local Data Previous Year'!$A$3:$A$50000)-ROW('Local Data Previous Year'!$A$3)+1), ROW(292:292)))), "", INDEX('Local Data Previous Year'!$E$3:$E$50000, SMALL(IF(CTR1_Billing!$E$21='Local Data Previous Year'!$A$3:$A$50000, ROW('Local Data Previous Year'!$A$3:$A$50000)-ROW('Local Data Previous Year'!$A$3)+1), ROW(292:292))))</f>
        <v/>
      </c>
      <c r="AO324" s="209" t="str">
        <f t="shared" si="57"/>
        <v/>
      </c>
      <c r="AP324" s="208"/>
      <c r="AQ324" s="209" t="str">
        <f t="shared" si="58"/>
        <v/>
      </c>
      <c r="AR324" s="209" t="str">
        <f t="shared" si="59"/>
        <v/>
      </c>
      <c r="AS324" s="202" t="str">
        <f t="shared" si="60"/>
        <v/>
      </c>
      <c r="AT324" s="202" t="str">
        <f t="shared" si="61"/>
        <v/>
      </c>
      <c r="AU324" s="208"/>
      <c r="AV324" s="208"/>
      <c r="AW324" s="208"/>
      <c r="AX324" s="208"/>
      <c r="AY324" s="208"/>
      <c r="AZ324" s="208"/>
      <c r="BA324" s="208"/>
      <c r="BB324" s="208"/>
      <c r="BC324" s="208"/>
      <c r="BD324" s="208"/>
      <c r="BE324" s="208"/>
      <c r="BF324" s="208"/>
      <c r="BG324" s="28"/>
      <c r="BH324" s="28"/>
      <c r="BI324" s="28"/>
      <c r="BJ324" s="28"/>
    </row>
    <row r="325" spans="1:62" s="23" customFormat="1" ht="21" customHeight="1" thickBot="1" x14ac:dyDescent="0.25">
      <c r="A325" s="846" t="str">
        <f>IF($AN325="","",IFERROR(VLOOKUP(CONCATENATE(CTR1_Billing!$E$20,$AN325),'Local Data Previous Year'!$C$3:$D$20000,2,0),CTR1_Billing!$E$21&amp;"NEW"))</f>
        <v/>
      </c>
      <c r="B325" s="846" t="str">
        <f>IF($E325="","",IFERROR(VLOOKUP(CONCATENATE(CTR1_Billing!$E$20,CTR1_Local!$E325),'Local Data Previous Year'!$C$3:$D$20000,2,0),CTR1_Billing!$E$21&amp;"NEW"))</f>
        <v/>
      </c>
      <c r="C325" s="846">
        <v>293</v>
      </c>
      <c r="D325" s="755" t="str" cm="1">
        <f t="array" ref="D325">IF(ISERROR(INDEX('Local Data Previous Year'!$D$3:$D$20000,SMALL(IF(CTR1_Billing!$E$21='Local Data Previous Year'!$A$3:$A$20000,ROW('Local Data Previous Year'!$A$3:$A$20000)-ROW('Local Data Previous Year'!$A$3)+1),ROW(293:293)))),"",INDEX('Local Data Previous Year'!$D$3:$D$20000,SMALL(IF(CTR1_Billing!$E$21='Local Data Previous Year'!$A$3:$A$20000,ROW('Local Data Previous Year'!$A$3:$A$20000)-ROW('Local Data Previous Year'!$A$3)+1),ROW(293:293))))</f>
        <v/>
      </c>
      <c r="E325" s="755" t="str" cm="1">
        <f t="array" ref="E325">IF(ISERROR(INDEX('Local Data Previous Year'!$E$3:$E$20000,SMALL(IF(CTR1_Billing!$E$21='Local Data Previous Year'!$A$3:$A$20000,ROW('Local Data Previous Year'!$A$3:$A$20000)-ROW('Local Data Previous Year'!$A$3)+1),ROW(293:293)))),"",INDEX('Local Data Previous Year'!$E$3:$E$20000,SMALL(IF(CTR1_Billing!$E$21='Local Data Previous Year'!$A$3:$A$20000,ROW('Local Data Previous Year'!$A$3:$A$20000)-ROW('Local Data Previous Year'!$A$3)+1),ROW(293:293))))</f>
        <v/>
      </c>
      <c r="F325" s="756" t="str">
        <f>IF($D325="","",IF(ISNA(MATCH($D325,'Local Data Previous Year'!$D$3:$D$20000,0)),"New",IFERROR(VLOOKUP($B325,'Local Data Previous Year'!$D$3:$I$20000,6,0),"")))</f>
        <v/>
      </c>
      <c r="G325" s="757">
        <f t="shared" si="62"/>
        <v>0</v>
      </c>
      <c r="H325" s="758" t="str">
        <f>IFERROR(INDEX('Local Data Previous Year'!$F:$F, MATCH($D325, 'Local Data Previous Year'!$D:$D, 0)), "")</f>
        <v/>
      </c>
      <c r="I325" s="759">
        <f>IF(B325=CTR1_Billing!$E$21&amp;"NEW",1,0)</f>
        <v>0</v>
      </c>
      <c r="J325" s="760" t="str">
        <f>IFERROR(INDEX('Local Data Previous Year'!$G:$G, MATCH($D325, 'Local Data Previous Year'!$D:$D, 0)), "")</f>
        <v/>
      </c>
      <c r="K325" s="762"/>
      <c r="L325" s="760" t="str">
        <f>IFERROR(INDEX('Local Data Previous Year'!$H:$H, MATCH($D325, 'Local Data Previous Year'!$D:$D, 0)), "")</f>
        <v/>
      </c>
      <c r="M325" s="762"/>
      <c r="N325" s="763"/>
      <c r="O325" s="767"/>
      <c r="P325" s="765"/>
      <c r="Q325" s="767"/>
      <c r="R325" s="766" t="str">
        <f t="shared" si="63"/>
        <v/>
      </c>
      <c r="S325" s="754"/>
      <c r="T325" s="763"/>
      <c r="U325" s="754"/>
      <c r="V325" s="763"/>
      <c r="W325" s="763"/>
      <c r="X325" s="865" t="str">
        <f>VLOOKUP(CTR1_Billing!$E$21,Data!$C$6:$D$302,1,FALSE)</f>
        <v>EZZZZ</v>
      </c>
      <c r="Y325" s="205"/>
      <c r="Z325" s="205">
        <f t="shared" si="52"/>
        <v>0</v>
      </c>
      <c r="AA325" s="206" t="str">
        <f t="shared" si="40"/>
        <v/>
      </c>
      <c r="AB325" s="205">
        <f t="shared" si="53"/>
        <v>0</v>
      </c>
      <c r="AC325" s="208"/>
      <c r="AD325" s="208"/>
      <c r="AE325" s="208"/>
      <c r="AF325" s="208"/>
      <c r="AG325" s="209" t="str">
        <f>IFERROR(INDEX('Local Data Previous Year'!$F:$F, MATCH($D325, 'Local Data Previous Year'!$D:$D, 0)), "")</f>
        <v/>
      </c>
      <c r="AH325" s="209" t="str">
        <f>IFERROR(INDEX('Local Data Previous Year'!$G:$G, MATCH($D325, 'Local Data Previous Year'!$D:$D, 0)), "")</f>
        <v/>
      </c>
      <c r="AI325" s="209" t="str">
        <f>IFERROR(INDEX('Local Data Previous Year'!$H:$H, MATCH($D325, 'Local Data Previous Year'!$D:$D, 0)), "")</f>
        <v/>
      </c>
      <c r="AJ325" s="209" t="str">
        <f t="shared" si="54"/>
        <v/>
      </c>
      <c r="AK325" s="209" t="str">
        <f t="shared" si="55"/>
        <v/>
      </c>
      <c r="AL325" s="209" t="str">
        <f t="shared" si="56"/>
        <v/>
      </c>
      <c r="AM325" s="208" t="str">
        <f>IF($AN325="","",IFERROR(VLOOKUP(CONCATENATE(CTR1_Billing!$E$20,$AN325),'Local Data Previous Year'!$C$3:$D$50000,2,0),CTR1_Billing!$E$21&amp;"NEW"))</f>
        <v/>
      </c>
      <c r="AN325" s="209" t="str" cm="1">
        <f t="array" ref="AN325">IF(ISERROR(INDEX('Local Data Previous Year'!$E$3:$E$50000, SMALL(IF(CTR1_Billing!$E$21='Local Data Previous Year'!$A$3:$A$50000, ROW('Local Data Previous Year'!$A$3:$A$50000)-ROW('Local Data Previous Year'!$A$3)+1), ROW(293:293)))), "", INDEX('Local Data Previous Year'!$E$3:$E$50000, SMALL(IF(CTR1_Billing!$E$21='Local Data Previous Year'!$A$3:$A$50000, ROW('Local Data Previous Year'!$A$3:$A$50000)-ROW('Local Data Previous Year'!$A$3)+1), ROW(293:293))))</f>
        <v/>
      </c>
      <c r="AO325" s="209" t="str">
        <f t="shared" si="57"/>
        <v/>
      </c>
      <c r="AP325" s="208"/>
      <c r="AQ325" s="209" t="str">
        <f t="shared" si="58"/>
        <v/>
      </c>
      <c r="AR325" s="209" t="str">
        <f t="shared" si="59"/>
        <v/>
      </c>
      <c r="AS325" s="202" t="str">
        <f t="shared" si="60"/>
        <v/>
      </c>
      <c r="AT325" s="202" t="str">
        <f t="shared" si="61"/>
        <v/>
      </c>
      <c r="AU325" s="208"/>
      <c r="AV325" s="208"/>
      <c r="AW325" s="208"/>
      <c r="AX325" s="208"/>
      <c r="AY325" s="208"/>
      <c r="AZ325" s="208"/>
      <c r="BA325" s="208"/>
      <c r="BB325" s="208"/>
      <c r="BC325" s="208"/>
      <c r="BD325" s="208"/>
      <c r="BE325" s="208"/>
      <c r="BF325" s="208"/>
      <c r="BG325" s="28"/>
      <c r="BH325" s="28"/>
      <c r="BI325" s="28"/>
      <c r="BJ325" s="28"/>
    </row>
    <row r="326" spans="1:62" s="23" customFormat="1" ht="21" customHeight="1" thickBot="1" x14ac:dyDescent="0.25">
      <c r="A326" s="846" t="str">
        <f>IF($AN326="","",IFERROR(VLOOKUP(CONCATENATE(CTR1_Billing!$E$20,$AN326),'Local Data Previous Year'!$C$3:$D$20000,2,0),CTR1_Billing!$E$21&amp;"NEW"))</f>
        <v/>
      </c>
      <c r="B326" s="846" t="str">
        <f>IF($E326="","",IFERROR(VLOOKUP(CONCATENATE(CTR1_Billing!$E$20,CTR1_Local!$E326),'Local Data Previous Year'!$C$3:$D$20000,2,0),CTR1_Billing!$E$21&amp;"NEW"))</f>
        <v/>
      </c>
      <c r="C326" s="846">
        <v>294</v>
      </c>
      <c r="D326" s="755" t="str" cm="1">
        <f t="array" ref="D326">IF(ISERROR(INDEX('Local Data Previous Year'!$D$3:$D$20000,SMALL(IF(CTR1_Billing!$E$21='Local Data Previous Year'!$A$3:$A$20000,ROW('Local Data Previous Year'!$A$3:$A$20000)-ROW('Local Data Previous Year'!$A$3)+1),ROW(294:294)))),"",INDEX('Local Data Previous Year'!$D$3:$D$20000,SMALL(IF(CTR1_Billing!$E$21='Local Data Previous Year'!$A$3:$A$20000,ROW('Local Data Previous Year'!$A$3:$A$20000)-ROW('Local Data Previous Year'!$A$3)+1),ROW(294:294))))</f>
        <v/>
      </c>
      <c r="E326" s="755" t="str" cm="1">
        <f t="array" ref="E326">IF(ISERROR(INDEX('Local Data Previous Year'!$E$3:$E$20000,SMALL(IF(CTR1_Billing!$E$21='Local Data Previous Year'!$A$3:$A$20000,ROW('Local Data Previous Year'!$A$3:$A$20000)-ROW('Local Data Previous Year'!$A$3)+1),ROW(294:294)))),"",INDEX('Local Data Previous Year'!$E$3:$E$20000,SMALL(IF(CTR1_Billing!$E$21='Local Data Previous Year'!$A$3:$A$20000,ROW('Local Data Previous Year'!$A$3:$A$20000)-ROW('Local Data Previous Year'!$A$3)+1),ROW(294:294))))</f>
        <v/>
      </c>
      <c r="F326" s="756" t="str">
        <f>IF($D326="","",IF(ISNA(MATCH($D326,'Local Data Previous Year'!$D$3:$D$20000,0)),"New",IFERROR(VLOOKUP($B326,'Local Data Previous Year'!$D$3:$I$20000,6,0),"")))</f>
        <v/>
      </c>
      <c r="G326" s="757">
        <f t="shared" si="62"/>
        <v>0</v>
      </c>
      <c r="H326" s="758" t="str">
        <f>IFERROR(INDEX('Local Data Previous Year'!$F:$F, MATCH($D326, 'Local Data Previous Year'!$D:$D, 0)), "")</f>
        <v/>
      </c>
      <c r="I326" s="759">
        <f>IF(B326=CTR1_Billing!$E$21&amp;"NEW",1,0)</f>
        <v>0</v>
      </c>
      <c r="J326" s="760" t="str">
        <f>IFERROR(INDEX('Local Data Previous Year'!$G:$G, MATCH($D326, 'Local Data Previous Year'!$D:$D, 0)), "")</f>
        <v/>
      </c>
      <c r="K326" s="762"/>
      <c r="L326" s="760" t="str">
        <f>IFERROR(INDEX('Local Data Previous Year'!$H:$H, MATCH($D326, 'Local Data Previous Year'!$D:$D, 0)), "")</f>
        <v/>
      </c>
      <c r="M326" s="762"/>
      <c r="N326" s="763"/>
      <c r="O326" s="767"/>
      <c r="P326" s="765"/>
      <c r="Q326" s="767"/>
      <c r="R326" s="766" t="str">
        <f t="shared" si="63"/>
        <v/>
      </c>
      <c r="S326" s="754"/>
      <c r="T326" s="763"/>
      <c r="U326" s="754"/>
      <c r="V326" s="763"/>
      <c r="W326" s="763"/>
      <c r="X326" s="865" t="str">
        <f>VLOOKUP(CTR1_Billing!$E$21,Data!$C$6:$D$302,1,FALSE)</f>
        <v>EZZZZ</v>
      </c>
      <c r="Y326" s="205"/>
      <c r="Z326" s="205">
        <f t="shared" si="52"/>
        <v>0</v>
      </c>
      <c r="AA326" s="206" t="str">
        <f t="shared" si="40"/>
        <v/>
      </c>
      <c r="AB326" s="205">
        <f t="shared" si="53"/>
        <v>0</v>
      </c>
      <c r="AC326" s="208"/>
      <c r="AD326" s="208"/>
      <c r="AE326" s="208"/>
      <c r="AF326" s="208"/>
      <c r="AG326" s="209" t="str">
        <f>IFERROR(INDEX('Local Data Previous Year'!$F:$F, MATCH($D326, 'Local Data Previous Year'!$D:$D, 0)), "")</f>
        <v/>
      </c>
      <c r="AH326" s="209" t="str">
        <f>IFERROR(INDEX('Local Data Previous Year'!$G:$G, MATCH($D326, 'Local Data Previous Year'!$D:$D, 0)), "")</f>
        <v/>
      </c>
      <c r="AI326" s="209" t="str">
        <f>IFERROR(INDEX('Local Data Previous Year'!$H:$H, MATCH($D326, 'Local Data Previous Year'!$D:$D, 0)), "")</f>
        <v/>
      </c>
      <c r="AJ326" s="209" t="str">
        <f t="shared" si="54"/>
        <v/>
      </c>
      <c r="AK326" s="209" t="str">
        <f t="shared" si="55"/>
        <v/>
      </c>
      <c r="AL326" s="209" t="str">
        <f t="shared" si="56"/>
        <v/>
      </c>
      <c r="AM326" s="208" t="str">
        <f>IF($AN326="","",IFERROR(VLOOKUP(CONCATENATE(CTR1_Billing!$E$20,$AN326),'Local Data Previous Year'!$C$3:$D$50000,2,0),CTR1_Billing!$E$21&amp;"NEW"))</f>
        <v/>
      </c>
      <c r="AN326" s="209" t="str" cm="1">
        <f t="array" ref="AN326">IF(ISERROR(INDEX('Local Data Previous Year'!$E$3:$E$50000, SMALL(IF(CTR1_Billing!$E$21='Local Data Previous Year'!$A$3:$A$50000, ROW('Local Data Previous Year'!$A$3:$A$50000)-ROW('Local Data Previous Year'!$A$3)+1), ROW(294:294)))), "", INDEX('Local Data Previous Year'!$E$3:$E$50000, SMALL(IF(CTR1_Billing!$E$21='Local Data Previous Year'!$A$3:$A$50000, ROW('Local Data Previous Year'!$A$3:$A$50000)-ROW('Local Data Previous Year'!$A$3)+1), ROW(294:294))))</f>
        <v/>
      </c>
      <c r="AO326" s="209" t="str">
        <f t="shared" si="57"/>
        <v/>
      </c>
      <c r="AP326" s="208"/>
      <c r="AQ326" s="209" t="str">
        <f t="shared" si="58"/>
        <v/>
      </c>
      <c r="AR326" s="209" t="str">
        <f t="shared" si="59"/>
        <v/>
      </c>
      <c r="AS326" s="202" t="str">
        <f t="shared" si="60"/>
        <v/>
      </c>
      <c r="AT326" s="202" t="str">
        <f t="shared" si="61"/>
        <v/>
      </c>
      <c r="AU326" s="208"/>
      <c r="AV326" s="208"/>
      <c r="AW326" s="208"/>
      <c r="AX326" s="208"/>
      <c r="AY326" s="208"/>
      <c r="AZ326" s="208"/>
      <c r="BA326" s="208"/>
      <c r="BB326" s="208"/>
      <c r="BC326" s="208"/>
      <c r="BD326" s="208"/>
      <c r="BE326" s="208"/>
      <c r="BF326" s="208"/>
      <c r="BG326" s="28"/>
      <c r="BH326" s="28"/>
      <c r="BI326" s="28"/>
      <c r="BJ326" s="28"/>
    </row>
    <row r="327" spans="1:62" s="23" customFormat="1" ht="21" customHeight="1" thickBot="1" x14ac:dyDescent="0.25">
      <c r="A327" s="846" t="str">
        <f>IF($AN327="","",IFERROR(VLOOKUP(CONCATENATE(CTR1_Billing!$E$20,$AN327),'Local Data Previous Year'!$C$3:$D$20000,2,0),CTR1_Billing!$E$21&amp;"NEW"))</f>
        <v/>
      </c>
      <c r="B327" s="846" t="str">
        <f>IF($E327="","",IFERROR(VLOOKUP(CONCATENATE(CTR1_Billing!$E$20,CTR1_Local!$E327),'Local Data Previous Year'!$C$3:$D$20000,2,0),CTR1_Billing!$E$21&amp;"NEW"))</f>
        <v/>
      </c>
      <c r="C327" s="846">
        <v>295</v>
      </c>
      <c r="D327" s="755" t="str" cm="1">
        <f t="array" ref="D327">IF(ISERROR(INDEX('Local Data Previous Year'!$D$3:$D$20000,SMALL(IF(CTR1_Billing!$E$21='Local Data Previous Year'!$A$3:$A$20000,ROW('Local Data Previous Year'!$A$3:$A$20000)-ROW('Local Data Previous Year'!$A$3)+1),ROW(295:295)))),"",INDEX('Local Data Previous Year'!$D$3:$D$20000,SMALL(IF(CTR1_Billing!$E$21='Local Data Previous Year'!$A$3:$A$20000,ROW('Local Data Previous Year'!$A$3:$A$20000)-ROW('Local Data Previous Year'!$A$3)+1),ROW(295:295))))</f>
        <v/>
      </c>
      <c r="E327" s="755" t="str" cm="1">
        <f t="array" ref="E327">IF(ISERROR(INDEX('Local Data Previous Year'!$E$3:$E$20000,SMALL(IF(CTR1_Billing!$E$21='Local Data Previous Year'!$A$3:$A$20000,ROW('Local Data Previous Year'!$A$3:$A$20000)-ROW('Local Data Previous Year'!$A$3)+1),ROW(295:295)))),"",INDEX('Local Data Previous Year'!$E$3:$E$20000,SMALL(IF(CTR1_Billing!$E$21='Local Data Previous Year'!$A$3:$A$20000,ROW('Local Data Previous Year'!$A$3:$A$20000)-ROW('Local Data Previous Year'!$A$3)+1),ROW(295:295))))</f>
        <v/>
      </c>
      <c r="F327" s="756" t="str">
        <f>IF($D327="","",IF(ISNA(MATCH($D327,'Local Data Previous Year'!$D$3:$D$20000,0)),"New",IFERROR(VLOOKUP($B327,'Local Data Previous Year'!$D$3:$I$20000,6,0),"")))</f>
        <v/>
      </c>
      <c r="G327" s="757">
        <f t="shared" si="62"/>
        <v>0</v>
      </c>
      <c r="H327" s="758" t="str">
        <f>IFERROR(INDEX('Local Data Previous Year'!$F:$F, MATCH($D327, 'Local Data Previous Year'!$D:$D, 0)), "")</f>
        <v/>
      </c>
      <c r="I327" s="759">
        <f>IF(B327=CTR1_Billing!$E$21&amp;"NEW",1,0)</f>
        <v>0</v>
      </c>
      <c r="J327" s="760" t="str">
        <f>IFERROR(INDEX('Local Data Previous Year'!$G:$G, MATCH($D327, 'Local Data Previous Year'!$D:$D, 0)), "")</f>
        <v/>
      </c>
      <c r="K327" s="762"/>
      <c r="L327" s="760" t="str">
        <f>IFERROR(INDEX('Local Data Previous Year'!$H:$H, MATCH($D327, 'Local Data Previous Year'!$D:$D, 0)), "")</f>
        <v/>
      </c>
      <c r="M327" s="762"/>
      <c r="N327" s="763"/>
      <c r="O327" s="767"/>
      <c r="P327" s="765"/>
      <c r="Q327" s="767"/>
      <c r="R327" s="766" t="str">
        <f t="shared" si="63"/>
        <v/>
      </c>
      <c r="S327" s="754"/>
      <c r="T327" s="763"/>
      <c r="U327" s="754"/>
      <c r="V327" s="763"/>
      <c r="W327" s="763"/>
      <c r="X327" s="865" t="str">
        <f>VLOOKUP(CTR1_Billing!$E$21,Data!$C$6:$D$302,1,FALSE)</f>
        <v>EZZZZ</v>
      </c>
      <c r="Y327" s="205"/>
      <c r="Z327" s="205">
        <f t="shared" si="52"/>
        <v>0</v>
      </c>
      <c r="AA327" s="206" t="str">
        <f t="shared" si="40"/>
        <v/>
      </c>
      <c r="AB327" s="205">
        <f t="shared" si="53"/>
        <v>0</v>
      </c>
      <c r="AC327" s="208"/>
      <c r="AD327" s="208"/>
      <c r="AE327" s="208"/>
      <c r="AF327" s="208"/>
      <c r="AG327" s="209" t="str">
        <f>IFERROR(INDEX('Local Data Previous Year'!$F:$F, MATCH($D327, 'Local Data Previous Year'!$D:$D, 0)), "")</f>
        <v/>
      </c>
      <c r="AH327" s="209" t="str">
        <f>IFERROR(INDEX('Local Data Previous Year'!$G:$G, MATCH($D327, 'Local Data Previous Year'!$D:$D, 0)), "")</f>
        <v/>
      </c>
      <c r="AI327" s="209" t="str">
        <f>IFERROR(INDEX('Local Data Previous Year'!$H:$H, MATCH($D327, 'Local Data Previous Year'!$D:$D, 0)), "")</f>
        <v/>
      </c>
      <c r="AJ327" s="209" t="str">
        <f t="shared" si="54"/>
        <v/>
      </c>
      <c r="AK327" s="209" t="str">
        <f t="shared" si="55"/>
        <v/>
      </c>
      <c r="AL327" s="209" t="str">
        <f t="shared" si="56"/>
        <v/>
      </c>
      <c r="AM327" s="208" t="str">
        <f>IF($AN327="","",IFERROR(VLOOKUP(CONCATENATE(CTR1_Billing!$E$20,$AN327),'Local Data Previous Year'!$C$3:$D$50000,2,0),CTR1_Billing!$E$21&amp;"NEW"))</f>
        <v/>
      </c>
      <c r="AN327" s="209" t="str" cm="1">
        <f t="array" ref="AN327">IF(ISERROR(INDEX('Local Data Previous Year'!$E$3:$E$50000, SMALL(IF(CTR1_Billing!$E$21='Local Data Previous Year'!$A$3:$A$50000, ROW('Local Data Previous Year'!$A$3:$A$50000)-ROW('Local Data Previous Year'!$A$3)+1), ROW(295:295)))), "", INDEX('Local Data Previous Year'!$E$3:$E$50000, SMALL(IF(CTR1_Billing!$E$21='Local Data Previous Year'!$A$3:$A$50000, ROW('Local Data Previous Year'!$A$3:$A$50000)-ROW('Local Data Previous Year'!$A$3)+1), ROW(295:295))))</f>
        <v/>
      </c>
      <c r="AO327" s="209" t="str">
        <f t="shared" si="57"/>
        <v/>
      </c>
      <c r="AP327" s="208"/>
      <c r="AQ327" s="209" t="str">
        <f t="shared" si="58"/>
        <v/>
      </c>
      <c r="AR327" s="209" t="str">
        <f t="shared" si="59"/>
        <v/>
      </c>
      <c r="AS327" s="202" t="str">
        <f t="shared" si="60"/>
        <v/>
      </c>
      <c r="AT327" s="202" t="str">
        <f t="shared" si="61"/>
        <v/>
      </c>
      <c r="AU327" s="208"/>
      <c r="AV327" s="208"/>
      <c r="AW327" s="208"/>
      <c r="AX327" s="208"/>
      <c r="AY327" s="208"/>
      <c r="AZ327" s="208"/>
      <c r="BA327" s="208"/>
      <c r="BB327" s="208"/>
      <c r="BC327" s="208"/>
      <c r="BD327" s="208"/>
      <c r="BE327" s="208"/>
      <c r="BF327" s="208"/>
      <c r="BG327" s="28"/>
      <c r="BH327" s="28"/>
      <c r="BI327" s="28"/>
      <c r="BJ327" s="28"/>
    </row>
    <row r="328" spans="1:62" s="23" customFormat="1" ht="21" customHeight="1" thickBot="1" x14ac:dyDescent="0.25">
      <c r="A328" s="846" t="str">
        <f>IF($AN328="","",IFERROR(VLOOKUP(CONCATENATE(CTR1_Billing!$E$20,$AN328),'Local Data Previous Year'!$C$3:$D$20000,2,0),CTR1_Billing!$E$21&amp;"NEW"))</f>
        <v/>
      </c>
      <c r="B328" s="846" t="str">
        <f>IF($E328="","",IFERROR(VLOOKUP(CONCATENATE(CTR1_Billing!$E$20,CTR1_Local!$E328),'Local Data Previous Year'!$C$3:$D$20000,2,0),CTR1_Billing!$E$21&amp;"NEW"))</f>
        <v/>
      </c>
      <c r="C328" s="846">
        <v>296</v>
      </c>
      <c r="D328" s="755" t="str" cm="1">
        <f t="array" ref="D328">IF(ISERROR(INDEX('Local Data Previous Year'!$D$3:$D$20000,SMALL(IF(CTR1_Billing!$E$21='Local Data Previous Year'!$A$3:$A$20000,ROW('Local Data Previous Year'!$A$3:$A$20000)-ROW('Local Data Previous Year'!$A$3)+1),ROW(296:296)))),"",INDEX('Local Data Previous Year'!$D$3:$D$20000,SMALL(IF(CTR1_Billing!$E$21='Local Data Previous Year'!$A$3:$A$20000,ROW('Local Data Previous Year'!$A$3:$A$20000)-ROW('Local Data Previous Year'!$A$3)+1),ROW(296:296))))</f>
        <v/>
      </c>
      <c r="E328" s="755" t="str" cm="1">
        <f t="array" ref="E328">IF(ISERROR(INDEX('Local Data Previous Year'!$E$3:$E$20000,SMALL(IF(CTR1_Billing!$E$21='Local Data Previous Year'!$A$3:$A$20000,ROW('Local Data Previous Year'!$A$3:$A$20000)-ROW('Local Data Previous Year'!$A$3)+1),ROW(296:296)))),"",INDEX('Local Data Previous Year'!$E$3:$E$20000,SMALL(IF(CTR1_Billing!$E$21='Local Data Previous Year'!$A$3:$A$20000,ROW('Local Data Previous Year'!$A$3:$A$20000)-ROW('Local Data Previous Year'!$A$3)+1),ROW(296:296))))</f>
        <v/>
      </c>
      <c r="F328" s="756" t="str">
        <f>IF($D328="","",IF(ISNA(MATCH($D328,'Local Data Previous Year'!$D$3:$D$20000,0)),"New",IFERROR(VLOOKUP($B328,'Local Data Previous Year'!$D$3:$I$20000,6,0),"")))</f>
        <v/>
      </c>
      <c r="G328" s="757">
        <f t="shared" si="62"/>
        <v>0</v>
      </c>
      <c r="H328" s="758" t="str">
        <f>IFERROR(INDEX('Local Data Previous Year'!$F:$F, MATCH($D328, 'Local Data Previous Year'!$D:$D, 0)), "")</f>
        <v/>
      </c>
      <c r="I328" s="759">
        <f>IF(B328=CTR1_Billing!$E$21&amp;"NEW",1,0)</f>
        <v>0</v>
      </c>
      <c r="J328" s="760" t="str">
        <f>IFERROR(INDEX('Local Data Previous Year'!$G:$G, MATCH($D328, 'Local Data Previous Year'!$D:$D, 0)), "")</f>
        <v/>
      </c>
      <c r="K328" s="762"/>
      <c r="L328" s="760" t="str">
        <f>IFERROR(INDEX('Local Data Previous Year'!$H:$H, MATCH($D328, 'Local Data Previous Year'!$D:$D, 0)), "")</f>
        <v/>
      </c>
      <c r="M328" s="762"/>
      <c r="N328" s="763"/>
      <c r="O328" s="767"/>
      <c r="P328" s="765"/>
      <c r="Q328" s="767"/>
      <c r="R328" s="766" t="str">
        <f t="shared" si="63"/>
        <v/>
      </c>
      <c r="S328" s="754"/>
      <c r="T328" s="763"/>
      <c r="U328" s="754"/>
      <c r="V328" s="763"/>
      <c r="W328" s="763"/>
      <c r="X328" s="865" t="str">
        <f>VLOOKUP(CTR1_Billing!$E$21,Data!$C$6:$D$302,1,FALSE)</f>
        <v>EZZZZ</v>
      </c>
      <c r="Y328" s="205"/>
      <c r="Z328" s="205">
        <f t="shared" si="52"/>
        <v>0</v>
      </c>
      <c r="AA328" s="206" t="str">
        <f t="shared" si="40"/>
        <v/>
      </c>
      <c r="AB328" s="205">
        <f t="shared" si="53"/>
        <v>0</v>
      </c>
      <c r="AC328" s="208"/>
      <c r="AD328" s="208"/>
      <c r="AE328" s="208"/>
      <c r="AF328" s="208"/>
      <c r="AG328" s="209" t="str">
        <f>IFERROR(INDEX('Local Data Previous Year'!$F:$F, MATCH($D328, 'Local Data Previous Year'!$D:$D, 0)), "")</f>
        <v/>
      </c>
      <c r="AH328" s="209" t="str">
        <f>IFERROR(INDEX('Local Data Previous Year'!$G:$G, MATCH($D328, 'Local Data Previous Year'!$D:$D, 0)), "")</f>
        <v/>
      </c>
      <c r="AI328" s="209" t="str">
        <f>IFERROR(INDEX('Local Data Previous Year'!$H:$H, MATCH($D328, 'Local Data Previous Year'!$D:$D, 0)), "")</f>
        <v/>
      </c>
      <c r="AJ328" s="209" t="str">
        <f t="shared" si="54"/>
        <v/>
      </c>
      <c r="AK328" s="209" t="str">
        <f t="shared" si="55"/>
        <v/>
      </c>
      <c r="AL328" s="209" t="str">
        <f t="shared" si="56"/>
        <v/>
      </c>
      <c r="AM328" s="208" t="str">
        <f>IF($AN328="","",IFERROR(VLOOKUP(CONCATENATE(CTR1_Billing!$E$20,$AN328),'Local Data Previous Year'!$C$3:$D$50000,2,0),CTR1_Billing!$E$21&amp;"NEW"))</f>
        <v/>
      </c>
      <c r="AN328" s="209" t="str" cm="1">
        <f t="array" ref="AN328">IF(ISERROR(INDEX('Local Data Previous Year'!$E$3:$E$50000, SMALL(IF(CTR1_Billing!$E$21='Local Data Previous Year'!$A$3:$A$50000, ROW('Local Data Previous Year'!$A$3:$A$50000)-ROW('Local Data Previous Year'!$A$3)+1), ROW(296:296)))), "", INDEX('Local Data Previous Year'!$E$3:$E$50000, SMALL(IF(CTR1_Billing!$E$21='Local Data Previous Year'!$A$3:$A$50000, ROW('Local Data Previous Year'!$A$3:$A$50000)-ROW('Local Data Previous Year'!$A$3)+1), ROW(296:296))))</f>
        <v/>
      </c>
      <c r="AO328" s="209" t="str">
        <f t="shared" si="57"/>
        <v/>
      </c>
      <c r="AP328" s="208"/>
      <c r="AQ328" s="209" t="str">
        <f t="shared" si="58"/>
        <v/>
      </c>
      <c r="AR328" s="209" t="str">
        <f t="shared" si="59"/>
        <v/>
      </c>
      <c r="AS328" s="202" t="str">
        <f t="shared" si="60"/>
        <v/>
      </c>
      <c r="AT328" s="202" t="str">
        <f t="shared" si="61"/>
        <v/>
      </c>
      <c r="AU328" s="208"/>
      <c r="AV328" s="208"/>
      <c r="AW328" s="208"/>
      <c r="AX328" s="208"/>
      <c r="AY328" s="208"/>
      <c r="AZ328" s="208"/>
      <c r="BA328" s="208"/>
      <c r="BB328" s="208"/>
      <c r="BC328" s="208"/>
      <c r="BD328" s="208"/>
      <c r="BE328" s="208"/>
      <c r="BF328" s="208"/>
      <c r="BG328" s="28"/>
      <c r="BH328" s="28"/>
      <c r="BI328" s="28"/>
      <c r="BJ328" s="28"/>
    </row>
    <row r="329" spans="1:62" s="23" customFormat="1" ht="21" customHeight="1" thickBot="1" x14ac:dyDescent="0.25">
      <c r="A329" s="846" t="str">
        <f>IF($AN329="","",IFERROR(VLOOKUP(CONCATENATE(CTR1_Billing!$E$20,$AN329),'Local Data Previous Year'!$C$3:$D$20000,2,0),CTR1_Billing!$E$21&amp;"NEW"))</f>
        <v/>
      </c>
      <c r="B329" s="846" t="str">
        <f>IF($E329="","",IFERROR(VLOOKUP(CONCATENATE(CTR1_Billing!$E$20,CTR1_Local!$E329),'Local Data Previous Year'!$C$3:$D$20000,2,0),CTR1_Billing!$E$21&amp;"NEW"))</f>
        <v/>
      </c>
      <c r="C329" s="846">
        <v>297</v>
      </c>
      <c r="D329" s="755" t="str" cm="1">
        <f t="array" ref="D329">IF(ISERROR(INDEX('Local Data Previous Year'!$D$3:$D$20000,SMALL(IF(CTR1_Billing!$E$21='Local Data Previous Year'!$A$3:$A$20000,ROW('Local Data Previous Year'!$A$3:$A$20000)-ROW('Local Data Previous Year'!$A$3)+1),ROW(297:297)))),"",INDEX('Local Data Previous Year'!$D$3:$D$20000,SMALL(IF(CTR1_Billing!$E$21='Local Data Previous Year'!$A$3:$A$20000,ROW('Local Data Previous Year'!$A$3:$A$20000)-ROW('Local Data Previous Year'!$A$3)+1),ROW(297:297))))</f>
        <v/>
      </c>
      <c r="E329" s="755" t="str" cm="1">
        <f t="array" ref="E329">IF(ISERROR(INDEX('Local Data Previous Year'!$E$3:$E$20000,SMALL(IF(CTR1_Billing!$E$21='Local Data Previous Year'!$A$3:$A$20000,ROW('Local Data Previous Year'!$A$3:$A$20000)-ROW('Local Data Previous Year'!$A$3)+1),ROW(297:297)))),"",INDEX('Local Data Previous Year'!$E$3:$E$20000,SMALL(IF(CTR1_Billing!$E$21='Local Data Previous Year'!$A$3:$A$20000,ROW('Local Data Previous Year'!$A$3:$A$20000)-ROW('Local Data Previous Year'!$A$3)+1),ROW(297:297))))</f>
        <v/>
      </c>
      <c r="F329" s="756" t="str">
        <f>IF($D329="","",IF(ISNA(MATCH($D329,'Local Data Previous Year'!$D$3:$D$20000,0)),"New",IFERROR(VLOOKUP($B329,'Local Data Previous Year'!$D$3:$I$20000,6,0),"")))</f>
        <v/>
      </c>
      <c r="G329" s="757">
        <f t="shared" si="62"/>
        <v>0</v>
      </c>
      <c r="H329" s="758" t="str">
        <f>IFERROR(INDEX('Local Data Previous Year'!$F:$F, MATCH($D329, 'Local Data Previous Year'!$D:$D, 0)), "")</f>
        <v/>
      </c>
      <c r="I329" s="759">
        <f>IF(B329=CTR1_Billing!$E$21&amp;"NEW",1,0)</f>
        <v>0</v>
      </c>
      <c r="J329" s="760" t="str">
        <f>IFERROR(INDEX('Local Data Previous Year'!$G:$G, MATCH($D329, 'Local Data Previous Year'!$D:$D, 0)), "")</f>
        <v/>
      </c>
      <c r="K329" s="762"/>
      <c r="L329" s="760" t="str">
        <f>IFERROR(INDEX('Local Data Previous Year'!$H:$H, MATCH($D329, 'Local Data Previous Year'!$D:$D, 0)), "")</f>
        <v/>
      </c>
      <c r="M329" s="762"/>
      <c r="N329" s="763"/>
      <c r="O329" s="767"/>
      <c r="P329" s="765"/>
      <c r="Q329" s="767"/>
      <c r="R329" s="766" t="str">
        <f t="shared" si="63"/>
        <v/>
      </c>
      <c r="S329" s="754"/>
      <c r="T329" s="763"/>
      <c r="U329" s="754"/>
      <c r="V329" s="763"/>
      <c r="W329" s="763"/>
      <c r="X329" s="865" t="str">
        <f>VLOOKUP(CTR1_Billing!$E$21,Data!$C$6:$D$302,1,FALSE)</f>
        <v>EZZZZ</v>
      </c>
      <c r="Y329" s="205"/>
      <c r="Z329" s="205">
        <f t="shared" si="52"/>
        <v>0</v>
      </c>
      <c r="AA329" s="206" t="str">
        <f t="shared" si="40"/>
        <v/>
      </c>
      <c r="AB329" s="205">
        <f t="shared" si="53"/>
        <v>0</v>
      </c>
      <c r="AC329" s="208"/>
      <c r="AD329" s="208"/>
      <c r="AE329" s="208"/>
      <c r="AF329" s="208"/>
      <c r="AG329" s="209" t="str">
        <f>IFERROR(INDEX('Local Data Previous Year'!$F:$F, MATCH($D329, 'Local Data Previous Year'!$D:$D, 0)), "")</f>
        <v/>
      </c>
      <c r="AH329" s="209" t="str">
        <f>IFERROR(INDEX('Local Data Previous Year'!$G:$G, MATCH($D329, 'Local Data Previous Year'!$D:$D, 0)), "")</f>
        <v/>
      </c>
      <c r="AI329" s="209" t="str">
        <f>IFERROR(INDEX('Local Data Previous Year'!$H:$H, MATCH($D329, 'Local Data Previous Year'!$D:$D, 0)), "")</f>
        <v/>
      </c>
      <c r="AJ329" s="209" t="str">
        <f t="shared" si="54"/>
        <v/>
      </c>
      <c r="AK329" s="209" t="str">
        <f t="shared" si="55"/>
        <v/>
      </c>
      <c r="AL329" s="209" t="str">
        <f t="shared" si="56"/>
        <v/>
      </c>
      <c r="AM329" s="208" t="str">
        <f>IF($AN329="","",IFERROR(VLOOKUP(CONCATENATE(CTR1_Billing!$E$20,$AN329),'Local Data Previous Year'!$C$3:$D$50000,2,0),CTR1_Billing!$E$21&amp;"NEW"))</f>
        <v/>
      </c>
      <c r="AN329" s="209" t="str" cm="1">
        <f t="array" ref="AN329">IF(ISERROR(INDEX('Local Data Previous Year'!$E$3:$E$50000, SMALL(IF(CTR1_Billing!$E$21='Local Data Previous Year'!$A$3:$A$50000, ROW('Local Data Previous Year'!$A$3:$A$50000)-ROW('Local Data Previous Year'!$A$3)+1), ROW(297:297)))), "", INDEX('Local Data Previous Year'!$E$3:$E$50000, SMALL(IF(CTR1_Billing!$E$21='Local Data Previous Year'!$A$3:$A$50000, ROW('Local Data Previous Year'!$A$3:$A$50000)-ROW('Local Data Previous Year'!$A$3)+1), ROW(297:297))))</f>
        <v/>
      </c>
      <c r="AO329" s="209" t="str">
        <f t="shared" si="57"/>
        <v/>
      </c>
      <c r="AP329" s="208"/>
      <c r="AQ329" s="209" t="str">
        <f t="shared" si="58"/>
        <v/>
      </c>
      <c r="AR329" s="209" t="str">
        <f t="shared" si="59"/>
        <v/>
      </c>
      <c r="AS329" s="202" t="str">
        <f t="shared" si="60"/>
        <v/>
      </c>
      <c r="AT329" s="202" t="str">
        <f t="shared" si="61"/>
        <v/>
      </c>
      <c r="AU329" s="208"/>
      <c r="AV329" s="208"/>
      <c r="AW329" s="208"/>
      <c r="AX329" s="208"/>
      <c r="AY329" s="208"/>
      <c r="AZ329" s="208"/>
      <c r="BA329" s="208"/>
      <c r="BB329" s="208"/>
      <c r="BC329" s="208"/>
      <c r="BD329" s="208"/>
      <c r="BE329" s="208"/>
      <c r="BF329" s="208"/>
      <c r="BG329" s="28"/>
      <c r="BH329" s="28"/>
      <c r="BI329" s="28"/>
      <c r="BJ329" s="28"/>
    </row>
    <row r="330" spans="1:62" s="23" customFormat="1" ht="21" customHeight="1" thickBot="1" x14ac:dyDescent="0.25">
      <c r="A330" s="846" t="str">
        <f>IF($AN330="","",IFERROR(VLOOKUP(CONCATENATE(CTR1_Billing!$E$20,$AN330),'Local Data Previous Year'!$C$3:$D$20000,2,0),CTR1_Billing!$E$21&amp;"NEW"))</f>
        <v/>
      </c>
      <c r="B330" s="846" t="str">
        <f>IF($E330="","",IFERROR(VLOOKUP(CONCATENATE(CTR1_Billing!$E$20,CTR1_Local!$E330),'Local Data Previous Year'!$C$3:$D$20000,2,0),CTR1_Billing!$E$21&amp;"NEW"))</f>
        <v/>
      </c>
      <c r="C330" s="846">
        <v>298</v>
      </c>
      <c r="D330" s="755" t="str" cm="1">
        <f t="array" ref="D330">IF(ISERROR(INDEX('Local Data Previous Year'!$D$3:$D$20000,SMALL(IF(CTR1_Billing!$E$21='Local Data Previous Year'!$A$3:$A$20000,ROW('Local Data Previous Year'!$A$3:$A$20000)-ROW('Local Data Previous Year'!$A$3)+1),ROW(298:298)))),"",INDEX('Local Data Previous Year'!$D$3:$D$20000,SMALL(IF(CTR1_Billing!$E$21='Local Data Previous Year'!$A$3:$A$20000,ROW('Local Data Previous Year'!$A$3:$A$20000)-ROW('Local Data Previous Year'!$A$3)+1),ROW(298:298))))</f>
        <v/>
      </c>
      <c r="E330" s="755" t="str" cm="1">
        <f t="array" ref="E330">IF(ISERROR(INDEX('Local Data Previous Year'!$E$3:$E$20000,SMALL(IF(CTR1_Billing!$E$21='Local Data Previous Year'!$A$3:$A$20000,ROW('Local Data Previous Year'!$A$3:$A$20000)-ROW('Local Data Previous Year'!$A$3)+1),ROW(298:298)))),"",INDEX('Local Data Previous Year'!$E$3:$E$20000,SMALL(IF(CTR1_Billing!$E$21='Local Data Previous Year'!$A$3:$A$20000,ROW('Local Data Previous Year'!$A$3:$A$20000)-ROW('Local Data Previous Year'!$A$3)+1),ROW(298:298))))</f>
        <v/>
      </c>
      <c r="F330" s="756" t="str">
        <f>IF($D330="","",IF(ISNA(MATCH($D330,'Local Data Previous Year'!$D$3:$D$20000,0)),"New",IFERROR(VLOOKUP($B330,'Local Data Previous Year'!$D$3:$I$20000,6,0),"")))</f>
        <v/>
      </c>
      <c r="G330" s="757">
        <f t="shared" si="62"/>
        <v>0</v>
      </c>
      <c r="H330" s="758" t="str">
        <f>IFERROR(INDEX('Local Data Previous Year'!$F:$F, MATCH($D330, 'Local Data Previous Year'!$D:$D, 0)), "")</f>
        <v/>
      </c>
      <c r="I330" s="759">
        <f>IF(B330=CTR1_Billing!$E$21&amp;"NEW",1,0)</f>
        <v>0</v>
      </c>
      <c r="J330" s="760" t="str">
        <f>IFERROR(INDEX('Local Data Previous Year'!$G:$G, MATCH($D330, 'Local Data Previous Year'!$D:$D, 0)), "")</f>
        <v/>
      </c>
      <c r="K330" s="762"/>
      <c r="L330" s="760" t="str">
        <f>IFERROR(INDEX('Local Data Previous Year'!$H:$H, MATCH($D330, 'Local Data Previous Year'!$D:$D, 0)), "")</f>
        <v/>
      </c>
      <c r="M330" s="762"/>
      <c r="N330" s="763"/>
      <c r="O330" s="767"/>
      <c r="P330" s="765"/>
      <c r="Q330" s="767"/>
      <c r="R330" s="766" t="str">
        <f t="shared" si="63"/>
        <v/>
      </c>
      <c r="S330" s="754"/>
      <c r="T330" s="763"/>
      <c r="U330" s="754"/>
      <c r="V330" s="763"/>
      <c r="W330" s="763"/>
      <c r="X330" s="865" t="str">
        <f>VLOOKUP(CTR1_Billing!$E$21,Data!$C$6:$D$302,1,FALSE)</f>
        <v>EZZZZ</v>
      </c>
      <c r="Y330" s="205"/>
      <c r="Z330" s="205">
        <f t="shared" si="52"/>
        <v>0</v>
      </c>
      <c r="AA330" s="206" t="str">
        <f t="shared" si="40"/>
        <v/>
      </c>
      <c r="AB330" s="205">
        <f t="shared" si="53"/>
        <v>0</v>
      </c>
      <c r="AC330" s="208"/>
      <c r="AD330" s="208"/>
      <c r="AE330" s="208"/>
      <c r="AF330" s="208"/>
      <c r="AG330" s="209" t="str">
        <f>IFERROR(INDEX('Local Data Previous Year'!$F:$F, MATCH($D330, 'Local Data Previous Year'!$D:$D, 0)), "")</f>
        <v/>
      </c>
      <c r="AH330" s="209" t="str">
        <f>IFERROR(INDEX('Local Data Previous Year'!$G:$G, MATCH($D330, 'Local Data Previous Year'!$D:$D, 0)), "")</f>
        <v/>
      </c>
      <c r="AI330" s="209" t="str">
        <f>IFERROR(INDEX('Local Data Previous Year'!$H:$H, MATCH($D330, 'Local Data Previous Year'!$D:$D, 0)), "")</f>
        <v/>
      </c>
      <c r="AJ330" s="209" t="str">
        <f t="shared" si="54"/>
        <v/>
      </c>
      <c r="AK330" s="209" t="str">
        <f t="shared" si="55"/>
        <v/>
      </c>
      <c r="AL330" s="209" t="str">
        <f t="shared" si="56"/>
        <v/>
      </c>
      <c r="AM330" s="208" t="str">
        <f>IF($AN330="","",IFERROR(VLOOKUP(CONCATENATE(CTR1_Billing!$E$20,$AN330),'Local Data Previous Year'!$C$3:$D$50000,2,0),CTR1_Billing!$E$21&amp;"NEW"))</f>
        <v/>
      </c>
      <c r="AN330" s="209" t="str" cm="1">
        <f t="array" ref="AN330">IF(ISERROR(INDEX('Local Data Previous Year'!$E$3:$E$50000, SMALL(IF(CTR1_Billing!$E$21='Local Data Previous Year'!$A$3:$A$50000, ROW('Local Data Previous Year'!$A$3:$A$50000)-ROW('Local Data Previous Year'!$A$3)+1), ROW(298:298)))), "", INDEX('Local Data Previous Year'!$E$3:$E$50000, SMALL(IF(CTR1_Billing!$E$21='Local Data Previous Year'!$A$3:$A$50000, ROW('Local Data Previous Year'!$A$3:$A$50000)-ROW('Local Data Previous Year'!$A$3)+1), ROW(298:298))))</f>
        <v/>
      </c>
      <c r="AO330" s="209" t="str">
        <f t="shared" si="57"/>
        <v/>
      </c>
      <c r="AP330" s="208"/>
      <c r="AQ330" s="209" t="str">
        <f t="shared" si="58"/>
        <v/>
      </c>
      <c r="AR330" s="209" t="str">
        <f t="shared" si="59"/>
        <v/>
      </c>
      <c r="AS330" s="202" t="str">
        <f t="shared" si="60"/>
        <v/>
      </c>
      <c r="AT330" s="202" t="str">
        <f t="shared" si="61"/>
        <v/>
      </c>
      <c r="AU330" s="208"/>
      <c r="AV330" s="208"/>
      <c r="AW330" s="208"/>
      <c r="AX330" s="208"/>
      <c r="AY330" s="208"/>
      <c r="AZ330" s="208"/>
      <c r="BA330" s="208"/>
      <c r="BB330" s="208"/>
      <c r="BC330" s="208"/>
      <c r="BD330" s="208"/>
      <c r="BE330" s="208"/>
      <c r="BF330" s="208"/>
      <c r="BG330" s="28"/>
      <c r="BH330" s="28"/>
      <c r="BI330" s="28"/>
      <c r="BJ330" s="28"/>
    </row>
    <row r="331" spans="1:62" s="23" customFormat="1" ht="21" customHeight="1" thickBot="1" x14ac:dyDescent="0.25">
      <c r="A331" s="846" t="str">
        <f>IF($AN331="","",IFERROR(VLOOKUP(CONCATENATE(CTR1_Billing!$E$20,$AN331),'Local Data Previous Year'!$C$3:$D$20000,2,0),CTR1_Billing!$E$21&amp;"NEW"))</f>
        <v/>
      </c>
      <c r="B331" s="846" t="str">
        <f>IF($E331="","",IFERROR(VLOOKUP(CONCATENATE(CTR1_Billing!$E$20,CTR1_Local!$E331),'Local Data Previous Year'!$C$3:$D$20000,2,0),CTR1_Billing!$E$21&amp;"NEW"))</f>
        <v/>
      </c>
      <c r="C331" s="846">
        <v>299</v>
      </c>
      <c r="D331" s="755" t="str" cm="1">
        <f t="array" ref="D331">IF(ISERROR(INDEX('Local Data Previous Year'!$D$3:$D$20000,SMALL(IF(CTR1_Billing!$E$21='Local Data Previous Year'!$A$3:$A$20000,ROW('Local Data Previous Year'!$A$3:$A$20000)-ROW('Local Data Previous Year'!$A$3)+1),ROW(299:299)))),"",INDEX('Local Data Previous Year'!$D$3:$D$20000,SMALL(IF(CTR1_Billing!$E$21='Local Data Previous Year'!$A$3:$A$20000,ROW('Local Data Previous Year'!$A$3:$A$20000)-ROW('Local Data Previous Year'!$A$3)+1),ROW(299:299))))</f>
        <v/>
      </c>
      <c r="E331" s="755" t="str" cm="1">
        <f t="array" ref="E331">IF(ISERROR(INDEX('Local Data Previous Year'!$E$3:$E$20000,SMALL(IF(CTR1_Billing!$E$21='Local Data Previous Year'!$A$3:$A$20000,ROW('Local Data Previous Year'!$A$3:$A$20000)-ROW('Local Data Previous Year'!$A$3)+1),ROW(299:299)))),"",INDEX('Local Data Previous Year'!$E$3:$E$20000,SMALL(IF(CTR1_Billing!$E$21='Local Data Previous Year'!$A$3:$A$20000,ROW('Local Data Previous Year'!$A$3:$A$20000)-ROW('Local Data Previous Year'!$A$3)+1),ROW(299:299))))</f>
        <v/>
      </c>
      <c r="F331" s="756" t="str">
        <f>IF($D331="","",IF(ISNA(MATCH($D331,'Local Data Previous Year'!$D$3:$D$20000,0)),"New",IFERROR(VLOOKUP($B331,'Local Data Previous Year'!$D$3:$I$20000,6,0),"")))</f>
        <v/>
      </c>
      <c r="G331" s="757">
        <f t="shared" si="62"/>
        <v>0</v>
      </c>
      <c r="H331" s="758" t="str">
        <f>IFERROR(INDEX('Local Data Previous Year'!$F:$F, MATCH($D331, 'Local Data Previous Year'!$D:$D, 0)), "")</f>
        <v/>
      </c>
      <c r="I331" s="759">
        <f>IF(B331=CTR1_Billing!$E$21&amp;"NEW",1,0)</f>
        <v>0</v>
      </c>
      <c r="J331" s="760" t="str">
        <f>IFERROR(INDEX('Local Data Previous Year'!$G:$G, MATCH($D331, 'Local Data Previous Year'!$D:$D, 0)), "")</f>
        <v/>
      </c>
      <c r="K331" s="762"/>
      <c r="L331" s="760" t="str">
        <f>IFERROR(INDEX('Local Data Previous Year'!$H:$H, MATCH($D331, 'Local Data Previous Year'!$D:$D, 0)), "")</f>
        <v/>
      </c>
      <c r="M331" s="762"/>
      <c r="N331" s="763"/>
      <c r="O331" s="767"/>
      <c r="P331" s="765"/>
      <c r="Q331" s="767"/>
      <c r="R331" s="766" t="str">
        <f t="shared" si="63"/>
        <v/>
      </c>
      <c r="S331" s="754"/>
      <c r="T331" s="763"/>
      <c r="U331" s="754"/>
      <c r="V331" s="763"/>
      <c r="W331" s="763"/>
      <c r="X331" s="865" t="str">
        <f>VLOOKUP(CTR1_Billing!$E$21,Data!$C$6:$D$302,1,FALSE)</f>
        <v>EZZZZ</v>
      </c>
      <c r="Y331" s="205"/>
      <c r="Z331" s="205">
        <f t="shared" si="52"/>
        <v>0</v>
      </c>
      <c r="AA331" s="206" t="str">
        <f t="shared" si="40"/>
        <v/>
      </c>
      <c r="AB331" s="205">
        <f t="shared" si="53"/>
        <v>0</v>
      </c>
      <c r="AC331" s="208"/>
      <c r="AD331" s="208"/>
      <c r="AE331" s="208"/>
      <c r="AF331" s="208"/>
      <c r="AG331" s="209" t="str">
        <f>IFERROR(INDEX('Local Data Previous Year'!$F:$F, MATCH($D331, 'Local Data Previous Year'!$D:$D, 0)), "")</f>
        <v/>
      </c>
      <c r="AH331" s="209" t="str">
        <f>IFERROR(INDEX('Local Data Previous Year'!$G:$G, MATCH($D331, 'Local Data Previous Year'!$D:$D, 0)), "")</f>
        <v/>
      </c>
      <c r="AI331" s="209" t="str">
        <f>IFERROR(INDEX('Local Data Previous Year'!$H:$H, MATCH($D331, 'Local Data Previous Year'!$D:$D, 0)), "")</f>
        <v/>
      </c>
      <c r="AJ331" s="209" t="str">
        <f t="shared" si="54"/>
        <v/>
      </c>
      <c r="AK331" s="209" t="str">
        <f t="shared" si="55"/>
        <v/>
      </c>
      <c r="AL331" s="209" t="str">
        <f t="shared" si="56"/>
        <v/>
      </c>
      <c r="AM331" s="208" t="str">
        <f>IF($AN331="","",IFERROR(VLOOKUP(CONCATENATE(CTR1_Billing!$E$20,$AN331),'Local Data Previous Year'!$C$3:$D$50000,2,0),CTR1_Billing!$E$21&amp;"NEW"))</f>
        <v/>
      </c>
      <c r="AN331" s="209" t="str" cm="1">
        <f t="array" ref="AN331">IF(ISERROR(INDEX('Local Data Previous Year'!$E$3:$E$50000, SMALL(IF(CTR1_Billing!$E$21='Local Data Previous Year'!$A$3:$A$50000, ROW('Local Data Previous Year'!$A$3:$A$50000)-ROW('Local Data Previous Year'!$A$3)+1), ROW(299:299)))), "", INDEX('Local Data Previous Year'!$E$3:$E$50000, SMALL(IF(CTR1_Billing!$E$21='Local Data Previous Year'!$A$3:$A$50000, ROW('Local Data Previous Year'!$A$3:$A$50000)-ROW('Local Data Previous Year'!$A$3)+1), ROW(299:299))))</f>
        <v/>
      </c>
      <c r="AO331" s="209" t="str">
        <f t="shared" si="57"/>
        <v/>
      </c>
      <c r="AP331" s="208"/>
      <c r="AQ331" s="209" t="str">
        <f t="shared" si="58"/>
        <v/>
      </c>
      <c r="AR331" s="209" t="str">
        <f t="shared" si="59"/>
        <v/>
      </c>
      <c r="AS331" s="202" t="str">
        <f t="shared" si="60"/>
        <v/>
      </c>
      <c r="AT331" s="202" t="str">
        <f t="shared" si="61"/>
        <v/>
      </c>
      <c r="AU331" s="208"/>
      <c r="AV331" s="208"/>
      <c r="AW331" s="208"/>
      <c r="AX331" s="208"/>
      <c r="AY331" s="208"/>
      <c r="AZ331" s="208"/>
      <c r="BA331" s="208"/>
      <c r="BB331" s="208"/>
      <c r="BC331" s="208"/>
      <c r="BD331" s="208"/>
      <c r="BE331" s="208"/>
      <c r="BF331" s="208"/>
      <c r="BG331" s="28"/>
      <c r="BH331" s="28"/>
      <c r="BI331" s="28"/>
      <c r="BJ331" s="28"/>
    </row>
    <row r="332" spans="1:62" s="23" customFormat="1" ht="21" customHeight="1" thickBot="1" x14ac:dyDescent="0.25">
      <c r="A332" s="846" t="str">
        <f>IF($AN332="","",IFERROR(VLOOKUP(CONCATENATE(CTR1_Billing!$E$20,$AN332),'Local Data Previous Year'!$C$3:$D$20000,2,0),CTR1_Billing!$E$21&amp;"NEW"))</f>
        <v/>
      </c>
      <c r="B332" s="846" t="str">
        <f>IF($E332="","",IFERROR(VLOOKUP(CONCATENATE(CTR1_Billing!$E$20,CTR1_Local!$E332),'Local Data Previous Year'!$C$3:$D$20000,2,0),CTR1_Billing!$E$21&amp;"NEW"))</f>
        <v/>
      </c>
      <c r="C332" s="846">
        <v>300</v>
      </c>
      <c r="D332" s="755" t="str" cm="1">
        <f t="array" ref="D332">IF(ISERROR(INDEX('Local Data Previous Year'!$D$3:$D$20000,SMALL(IF(CTR1_Billing!$E$21='Local Data Previous Year'!$A$3:$A$20000,ROW('Local Data Previous Year'!$A$3:$A$20000)-ROW('Local Data Previous Year'!$A$3)+1),ROW(300:300)))),"",INDEX('Local Data Previous Year'!$D$3:$D$20000,SMALL(IF(CTR1_Billing!$E$21='Local Data Previous Year'!$A$3:$A$20000,ROW('Local Data Previous Year'!$A$3:$A$20000)-ROW('Local Data Previous Year'!$A$3)+1),ROW(300:300))))</f>
        <v/>
      </c>
      <c r="E332" s="755" t="str" cm="1">
        <f t="array" ref="E332">IF(ISERROR(INDEX('Local Data Previous Year'!$E$3:$E$20000,SMALL(IF(CTR1_Billing!$E$21='Local Data Previous Year'!$A$3:$A$20000,ROW('Local Data Previous Year'!$A$3:$A$20000)-ROW('Local Data Previous Year'!$A$3)+1),ROW(300:300)))),"",INDEX('Local Data Previous Year'!$E$3:$E$20000,SMALL(IF(CTR1_Billing!$E$21='Local Data Previous Year'!$A$3:$A$20000,ROW('Local Data Previous Year'!$A$3:$A$20000)-ROW('Local Data Previous Year'!$A$3)+1),ROW(300:300))))</f>
        <v/>
      </c>
      <c r="F332" s="756" t="str">
        <f>IF($D332="","",IF(ISNA(MATCH($D332,'Local Data Previous Year'!$D$3:$D$20000,0)),"New",IFERROR(VLOOKUP($B332,'Local Data Previous Year'!$D$3:$I$20000,6,0),"")))</f>
        <v/>
      </c>
      <c r="G332" s="757">
        <f t="shared" si="62"/>
        <v>0</v>
      </c>
      <c r="H332" s="758" t="str">
        <f>IFERROR(INDEX('Local Data Previous Year'!$F:$F, MATCH($D332, 'Local Data Previous Year'!$D:$D, 0)), "")</f>
        <v/>
      </c>
      <c r="I332" s="759">
        <f>IF(B332=CTR1_Billing!$E$21&amp;"NEW",1,0)</f>
        <v>0</v>
      </c>
      <c r="J332" s="760" t="str">
        <f>IFERROR(INDEX('Local Data Previous Year'!$G:$G, MATCH($D332, 'Local Data Previous Year'!$D:$D, 0)), "")</f>
        <v/>
      </c>
      <c r="K332" s="762"/>
      <c r="L332" s="760" t="str">
        <f>IFERROR(INDEX('Local Data Previous Year'!$H:$H, MATCH($D332, 'Local Data Previous Year'!$D:$D, 0)), "")</f>
        <v/>
      </c>
      <c r="M332" s="762"/>
      <c r="N332" s="763"/>
      <c r="O332" s="767"/>
      <c r="P332" s="765"/>
      <c r="Q332" s="767"/>
      <c r="R332" s="766" t="str">
        <f t="shared" si="63"/>
        <v/>
      </c>
      <c r="S332" s="754"/>
      <c r="T332" s="763"/>
      <c r="U332" s="754"/>
      <c r="V332" s="763"/>
      <c r="W332" s="763"/>
      <c r="X332" s="865" t="str">
        <f>VLOOKUP(CTR1_Billing!$E$21,Data!$C$6:$D$302,1,FALSE)</f>
        <v>EZZZZ</v>
      </c>
      <c r="Y332" s="205"/>
      <c r="Z332" s="205">
        <f t="shared" si="52"/>
        <v>0</v>
      </c>
      <c r="AA332" s="206" t="str">
        <f t="shared" si="40"/>
        <v/>
      </c>
      <c r="AB332" s="205">
        <f t="shared" si="53"/>
        <v>0</v>
      </c>
      <c r="AC332" s="208"/>
      <c r="AD332" s="208"/>
      <c r="AE332" s="208"/>
      <c r="AF332" s="208"/>
      <c r="AG332" s="209" t="str">
        <f>IFERROR(INDEX('Local Data Previous Year'!$F:$F, MATCH($D332, 'Local Data Previous Year'!$D:$D, 0)), "")</f>
        <v/>
      </c>
      <c r="AH332" s="209" t="str">
        <f>IFERROR(INDEX('Local Data Previous Year'!$G:$G, MATCH($D332, 'Local Data Previous Year'!$D:$D, 0)), "")</f>
        <v/>
      </c>
      <c r="AI332" s="209" t="str">
        <f>IFERROR(INDEX('Local Data Previous Year'!$H:$H, MATCH($D332, 'Local Data Previous Year'!$D:$D, 0)), "")</f>
        <v/>
      </c>
      <c r="AJ332" s="209" t="str">
        <f t="shared" si="54"/>
        <v/>
      </c>
      <c r="AK332" s="209" t="str">
        <f t="shared" si="55"/>
        <v/>
      </c>
      <c r="AL332" s="209" t="str">
        <f t="shared" si="56"/>
        <v/>
      </c>
      <c r="AM332" s="208" t="str">
        <f>IF($AN332="","",IFERROR(VLOOKUP(CONCATENATE(CTR1_Billing!$E$20,$AN332),'Local Data Previous Year'!$C$3:$D$50000,2,0),CTR1_Billing!$E$21&amp;"NEW"))</f>
        <v/>
      </c>
      <c r="AN332" s="209" t="str" cm="1">
        <f t="array" ref="AN332">IF(ISERROR(INDEX('Local Data Previous Year'!$E$3:$E$50000, SMALL(IF(CTR1_Billing!$E$21='Local Data Previous Year'!$A$3:$A$50000, ROW('Local Data Previous Year'!$A$3:$A$50000)-ROW('Local Data Previous Year'!$A$3)+1), ROW(300:300)))), "", INDEX('Local Data Previous Year'!$E$3:$E$50000, SMALL(IF(CTR1_Billing!$E$21='Local Data Previous Year'!$A$3:$A$50000, ROW('Local Data Previous Year'!$A$3:$A$50000)-ROW('Local Data Previous Year'!$A$3)+1), ROW(300:300))))</f>
        <v/>
      </c>
      <c r="AO332" s="209" t="str">
        <f t="shared" si="57"/>
        <v/>
      </c>
      <c r="AP332" s="208"/>
      <c r="AQ332" s="209" t="str">
        <f t="shared" si="58"/>
        <v/>
      </c>
      <c r="AR332" s="209" t="str">
        <f t="shared" si="59"/>
        <v/>
      </c>
      <c r="AS332" s="202" t="str">
        <f t="shared" si="60"/>
        <v/>
      </c>
      <c r="AT332" s="202" t="str">
        <f t="shared" si="61"/>
        <v/>
      </c>
      <c r="AU332" s="208"/>
      <c r="AV332" s="208"/>
      <c r="AW332" s="208"/>
      <c r="AX332" s="208"/>
      <c r="AY332" s="208"/>
      <c r="AZ332" s="208"/>
      <c r="BA332" s="208"/>
      <c r="BB332" s="208"/>
      <c r="BC332" s="208"/>
      <c r="BD332" s="208"/>
      <c r="BE332" s="208"/>
      <c r="BF332" s="208"/>
      <c r="BG332" s="28"/>
      <c r="BH332" s="28"/>
      <c r="BI332" s="28"/>
      <c r="BJ332" s="28"/>
    </row>
    <row r="333" spans="1:62" s="23" customFormat="1" ht="21" customHeight="1" thickBot="1" x14ac:dyDescent="0.25">
      <c r="A333" s="846" t="str">
        <f>IF($AN333="","",IFERROR(VLOOKUP(CONCATENATE(CTR1_Billing!$E$20,$AN333),'Local Data Previous Year'!$C$3:$D$20000,2,0),CTR1_Billing!$E$21&amp;"NEW"))</f>
        <v/>
      </c>
      <c r="B333" s="846" t="str">
        <f>IF($E333="","",IFERROR(VLOOKUP(CONCATENATE(CTR1_Billing!$E$20,CTR1_Local!$E333),'Local Data Previous Year'!$C$3:$D$20000,2,0),CTR1_Billing!$E$21&amp;"NEW"))</f>
        <v/>
      </c>
      <c r="C333" s="846">
        <v>301</v>
      </c>
      <c r="D333" s="755" t="str" cm="1">
        <f t="array" ref="D333">IF(ISERROR(INDEX('Local Data Previous Year'!$D$3:$D$20000,SMALL(IF(CTR1_Billing!$E$21='Local Data Previous Year'!$A$3:$A$20000,ROW('Local Data Previous Year'!$A$3:$A$20000)-ROW('Local Data Previous Year'!$A$3)+1),ROW(301:301)))),"",INDEX('Local Data Previous Year'!$D$3:$D$20000,SMALL(IF(CTR1_Billing!$E$21='Local Data Previous Year'!$A$3:$A$20000,ROW('Local Data Previous Year'!$A$3:$A$20000)-ROW('Local Data Previous Year'!$A$3)+1),ROW(301:301))))</f>
        <v/>
      </c>
      <c r="E333" s="755" t="str" cm="1">
        <f t="array" ref="E333">IF(ISERROR(INDEX('Local Data Previous Year'!$E$3:$E$20000,SMALL(IF(CTR1_Billing!$E$21='Local Data Previous Year'!$A$3:$A$20000,ROW('Local Data Previous Year'!$A$3:$A$20000)-ROW('Local Data Previous Year'!$A$3)+1),ROW(301:301)))),"",INDEX('Local Data Previous Year'!$E$3:$E$20000,SMALL(IF(CTR1_Billing!$E$21='Local Data Previous Year'!$A$3:$A$20000,ROW('Local Data Previous Year'!$A$3:$A$20000)-ROW('Local Data Previous Year'!$A$3)+1),ROW(301:301))))</f>
        <v/>
      </c>
      <c r="F333" s="756" t="str">
        <f>IF($D333="","",IF(ISNA(MATCH($D333,'Local Data Previous Year'!$D$3:$D$20000,0)),"New",IFERROR(VLOOKUP($B333,'Local Data Previous Year'!$D$3:$I$20000,6,0),"")))</f>
        <v/>
      </c>
      <c r="G333" s="757">
        <f t="shared" si="62"/>
        <v>0</v>
      </c>
      <c r="H333" s="758" t="str">
        <f>IFERROR(INDEX('Local Data Previous Year'!$F:$F, MATCH($D333, 'Local Data Previous Year'!$D:$D, 0)), "")</f>
        <v/>
      </c>
      <c r="I333" s="759">
        <f>IF(B333=CTR1_Billing!$E$21&amp;"NEW",1,0)</f>
        <v>0</v>
      </c>
      <c r="J333" s="760" t="str">
        <f>IFERROR(INDEX('Local Data Previous Year'!$G:$G, MATCH($D333, 'Local Data Previous Year'!$D:$D, 0)), "")</f>
        <v/>
      </c>
      <c r="K333" s="762"/>
      <c r="L333" s="760" t="str">
        <f>IFERROR(INDEX('Local Data Previous Year'!$H:$H, MATCH($D333, 'Local Data Previous Year'!$D:$D, 0)), "")</f>
        <v/>
      </c>
      <c r="M333" s="762"/>
      <c r="N333" s="763"/>
      <c r="O333" s="767"/>
      <c r="P333" s="765"/>
      <c r="Q333" s="767"/>
      <c r="R333" s="766" t="str">
        <f t="shared" si="63"/>
        <v/>
      </c>
      <c r="S333" s="754"/>
      <c r="T333" s="763"/>
      <c r="U333" s="754"/>
      <c r="V333" s="763"/>
      <c r="W333" s="763"/>
      <c r="X333" s="865" t="str">
        <f>VLOOKUP(CTR1_Billing!$E$21,Data!$C$6:$D$302,1,FALSE)</f>
        <v>EZZZZ</v>
      </c>
      <c r="Y333" s="205"/>
      <c r="Z333" s="205">
        <f t="shared" si="52"/>
        <v>0</v>
      </c>
      <c r="AA333" s="206" t="str">
        <f t="shared" si="40"/>
        <v/>
      </c>
      <c r="AB333" s="205">
        <f t="shared" si="53"/>
        <v>0</v>
      </c>
      <c r="AC333" s="208"/>
      <c r="AD333" s="208"/>
      <c r="AE333" s="208"/>
      <c r="AF333" s="208"/>
      <c r="AG333" s="209" t="str">
        <f>IFERROR(INDEX('Local Data Previous Year'!$F:$F, MATCH($D333, 'Local Data Previous Year'!$D:$D, 0)), "")</f>
        <v/>
      </c>
      <c r="AH333" s="209" t="str">
        <f>IFERROR(INDEX('Local Data Previous Year'!$G:$G, MATCH($D333, 'Local Data Previous Year'!$D:$D, 0)), "")</f>
        <v/>
      </c>
      <c r="AI333" s="209" t="str">
        <f>IFERROR(INDEX('Local Data Previous Year'!$H:$H, MATCH($D333, 'Local Data Previous Year'!$D:$D, 0)), "")</f>
        <v/>
      </c>
      <c r="AJ333" s="209" t="str">
        <f t="shared" si="54"/>
        <v/>
      </c>
      <c r="AK333" s="209" t="str">
        <f t="shared" si="55"/>
        <v/>
      </c>
      <c r="AL333" s="209" t="str">
        <f t="shared" si="56"/>
        <v/>
      </c>
      <c r="AM333" s="208" t="str">
        <f>IF($AN333="","",IFERROR(VLOOKUP(CONCATENATE(CTR1_Billing!$E$20,$AN333),'Local Data Previous Year'!$C$3:$D$50000,2,0),CTR1_Billing!$E$21&amp;"NEW"))</f>
        <v/>
      </c>
      <c r="AN333" s="209" t="str" cm="1">
        <f t="array" ref="AN333">IF(ISERROR(INDEX('Local Data Previous Year'!$E$3:$E$50000, SMALL(IF(CTR1_Billing!$E$21='Local Data Previous Year'!$A$3:$A$50000, ROW('Local Data Previous Year'!$A$3:$A$50000)-ROW('Local Data Previous Year'!$A$3)+1), ROW(301:301)))), "", INDEX('Local Data Previous Year'!$E$3:$E$50000, SMALL(IF(CTR1_Billing!$E$21='Local Data Previous Year'!$A$3:$A$50000, ROW('Local Data Previous Year'!$A$3:$A$50000)-ROW('Local Data Previous Year'!$A$3)+1), ROW(301:301))))</f>
        <v/>
      </c>
      <c r="AO333" s="209" t="str">
        <f t="shared" si="57"/>
        <v/>
      </c>
      <c r="AP333" s="208"/>
      <c r="AQ333" s="209" t="str">
        <f t="shared" si="58"/>
        <v/>
      </c>
      <c r="AR333" s="209" t="str">
        <f t="shared" si="59"/>
        <v/>
      </c>
      <c r="AS333" s="202" t="str">
        <f t="shared" si="60"/>
        <v/>
      </c>
      <c r="AT333" s="202" t="str">
        <f t="shared" si="61"/>
        <v/>
      </c>
      <c r="AU333" s="208"/>
      <c r="AV333" s="208"/>
      <c r="AW333" s="208"/>
      <c r="AX333" s="208"/>
      <c r="AY333" s="208"/>
      <c r="AZ333" s="208"/>
      <c r="BA333" s="208"/>
      <c r="BB333" s="208"/>
      <c r="BC333" s="208"/>
      <c r="BD333" s="208"/>
      <c r="BE333" s="208"/>
      <c r="BF333" s="208"/>
      <c r="BG333" s="28"/>
      <c r="BH333" s="28"/>
      <c r="BI333" s="28"/>
      <c r="BJ333" s="28"/>
    </row>
    <row r="334" spans="1:62" s="23" customFormat="1" ht="21" customHeight="1" thickBot="1" x14ac:dyDescent="0.25">
      <c r="A334" s="846" t="str">
        <f>IF($AN334="","",IFERROR(VLOOKUP(CONCATENATE(CTR1_Billing!$E$20,$AN334),'Local Data Previous Year'!$C$3:$D$20000,2,0),CTR1_Billing!$E$21&amp;"NEW"))</f>
        <v/>
      </c>
      <c r="B334" s="846" t="str">
        <f>IF($E334="","",IFERROR(VLOOKUP(CONCATENATE(CTR1_Billing!$E$20,CTR1_Local!$E334),'Local Data Previous Year'!$C$3:$D$20000,2,0),CTR1_Billing!$E$21&amp;"NEW"))</f>
        <v/>
      </c>
      <c r="C334" s="846">
        <v>302</v>
      </c>
      <c r="D334" s="755" t="str" cm="1">
        <f t="array" ref="D334">IF(ISERROR(INDEX('Local Data Previous Year'!$D$3:$D$20000,SMALL(IF(CTR1_Billing!$E$21='Local Data Previous Year'!$A$3:$A$20000,ROW('Local Data Previous Year'!$A$3:$A$20000)-ROW('Local Data Previous Year'!$A$3)+1),ROW(302:302)))),"",INDEX('Local Data Previous Year'!$D$3:$D$20000,SMALL(IF(CTR1_Billing!$E$21='Local Data Previous Year'!$A$3:$A$20000,ROW('Local Data Previous Year'!$A$3:$A$20000)-ROW('Local Data Previous Year'!$A$3)+1),ROW(302:302))))</f>
        <v/>
      </c>
      <c r="E334" s="755" t="str" cm="1">
        <f t="array" ref="E334">IF(ISERROR(INDEX('Local Data Previous Year'!$E$3:$E$20000,SMALL(IF(CTR1_Billing!$E$21='Local Data Previous Year'!$A$3:$A$20000,ROW('Local Data Previous Year'!$A$3:$A$20000)-ROW('Local Data Previous Year'!$A$3)+1),ROW(302:302)))),"",INDEX('Local Data Previous Year'!$E$3:$E$20000,SMALL(IF(CTR1_Billing!$E$21='Local Data Previous Year'!$A$3:$A$20000,ROW('Local Data Previous Year'!$A$3:$A$20000)-ROW('Local Data Previous Year'!$A$3)+1),ROW(302:302))))</f>
        <v/>
      </c>
      <c r="F334" s="756" t="str">
        <f>IF($D334="","",IF(ISNA(MATCH($D334,'Local Data Previous Year'!$D$3:$D$20000,0)),"New",IFERROR(VLOOKUP($B334,'Local Data Previous Year'!$D$3:$I$20000,6,0),"")))</f>
        <v/>
      </c>
      <c r="G334" s="757">
        <f t="shared" si="62"/>
        <v>0</v>
      </c>
      <c r="H334" s="758" t="str">
        <f>IFERROR(INDEX('Local Data Previous Year'!$F:$F, MATCH($D334, 'Local Data Previous Year'!$D:$D, 0)), "")</f>
        <v/>
      </c>
      <c r="I334" s="759">
        <f>IF(B334=CTR1_Billing!$E$21&amp;"NEW",1,0)</f>
        <v>0</v>
      </c>
      <c r="J334" s="760" t="str">
        <f>IFERROR(INDEX('Local Data Previous Year'!$G:$G, MATCH($D334, 'Local Data Previous Year'!$D:$D, 0)), "")</f>
        <v/>
      </c>
      <c r="K334" s="762"/>
      <c r="L334" s="760" t="str">
        <f>IFERROR(INDEX('Local Data Previous Year'!$H:$H, MATCH($D334, 'Local Data Previous Year'!$D:$D, 0)), "")</f>
        <v/>
      </c>
      <c r="M334" s="762"/>
      <c r="N334" s="763"/>
      <c r="O334" s="767"/>
      <c r="P334" s="765"/>
      <c r="Q334" s="767"/>
      <c r="R334" s="766" t="str">
        <f t="shared" si="63"/>
        <v/>
      </c>
      <c r="S334" s="754"/>
      <c r="T334" s="763"/>
      <c r="U334" s="754"/>
      <c r="V334" s="763"/>
      <c r="W334" s="763"/>
      <c r="X334" s="865" t="str">
        <f>VLOOKUP(CTR1_Billing!$E$21,Data!$C$6:$D$302,1,FALSE)</f>
        <v>EZZZZ</v>
      </c>
      <c r="Y334" s="205"/>
      <c r="Z334" s="205">
        <f t="shared" si="52"/>
        <v>0</v>
      </c>
      <c r="AA334" s="206" t="str">
        <f t="shared" si="40"/>
        <v/>
      </c>
      <c r="AB334" s="205">
        <f t="shared" si="53"/>
        <v>0</v>
      </c>
      <c r="AC334" s="208"/>
      <c r="AD334" s="208"/>
      <c r="AE334" s="208"/>
      <c r="AF334" s="208"/>
      <c r="AG334" s="209" t="str">
        <f>IFERROR(INDEX('Local Data Previous Year'!$F:$F, MATCH($D334, 'Local Data Previous Year'!$D:$D, 0)), "")</f>
        <v/>
      </c>
      <c r="AH334" s="209" t="str">
        <f>IFERROR(INDEX('Local Data Previous Year'!$G:$G, MATCH($D334, 'Local Data Previous Year'!$D:$D, 0)), "")</f>
        <v/>
      </c>
      <c r="AI334" s="209" t="str">
        <f>IFERROR(INDEX('Local Data Previous Year'!$H:$H, MATCH($D334, 'Local Data Previous Year'!$D:$D, 0)), "")</f>
        <v/>
      </c>
      <c r="AJ334" s="209" t="str">
        <f t="shared" si="54"/>
        <v/>
      </c>
      <c r="AK334" s="209" t="str">
        <f t="shared" si="55"/>
        <v/>
      </c>
      <c r="AL334" s="209" t="str">
        <f t="shared" si="56"/>
        <v/>
      </c>
      <c r="AM334" s="208" t="str">
        <f>IF($AN334="","",IFERROR(VLOOKUP(CONCATENATE(CTR1_Billing!$E$20,$AN334),'Local Data Previous Year'!$C$3:$D$50000,2,0),CTR1_Billing!$E$21&amp;"NEW"))</f>
        <v/>
      </c>
      <c r="AN334" s="209" t="str" cm="1">
        <f t="array" ref="AN334">IF(ISERROR(INDEX('Local Data Previous Year'!$E$3:$E$50000, SMALL(IF(CTR1_Billing!$E$21='Local Data Previous Year'!$A$3:$A$50000, ROW('Local Data Previous Year'!$A$3:$A$50000)-ROW('Local Data Previous Year'!$A$3)+1), ROW(302:302)))), "", INDEX('Local Data Previous Year'!$E$3:$E$50000, SMALL(IF(CTR1_Billing!$E$21='Local Data Previous Year'!$A$3:$A$50000, ROW('Local Data Previous Year'!$A$3:$A$50000)-ROW('Local Data Previous Year'!$A$3)+1), ROW(302:302))))</f>
        <v/>
      </c>
      <c r="AO334" s="209" t="str">
        <f t="shared" si="57"/>
        <v/>
      </c>
      <c r="AP334" s="208"/>
      <c r="AQ334" s="209" t="str">
        <f t="shared" si="58"/>
        <v/>
      </c>
      <c r="AR334" s="209" t="str">
        <f t="shared" si="59"/>
        <v/>
      </c>
      <c r="AS334" s="202" t="str">
        <f t="shared" si="60"/>
        <v/>
      </c>
      <c r="AT334" s="202" t="str">
        <f t="shared" si="61"/>
        <v/>
      </c>
      <c r="AU334" s="208"/>
      <c r="AV334" s="208"/>
      <c r="AW334" s="208"/>
      <c r="AX334" s="208"/>
      <c r="AY334" s="208"/>
      <c r="AZ334" s="208"/>
      <c r="BA334" s="208"/>
      <c r="BB334" s="208"/>
      <c r="BC334" s="208"/>
      <c r="BD334" s="208"/>
      <c r="BE334" s="208"/>
      <c r="BF334" s="208"/>
      <c r="BG334" s="28"/>
      <c r="BH334" s="28"/>
      <c r="BI334" s="28"/>
      <c r="BJ334" s="28"/>
    </row>
    <row r="335" spans="1:62" s="23" customFormat="1" ht="21" customHeight="1" thickBot="1" x14ac:dyDescent="0.25">
      <c r="A335" s="846" t="str">
        <f>IF($AN335="","",IFERROR(VLOOKUP(CONCATENATE(CTR1_Billing!$E$20,$AN335),'Local Data Previous Year'!$C$3:$D$20000,2,0),CTR1_Billing!$E$21&amp;"NEW"))</f>
        <v/>
      </c>
      <c r="B335" s="846" t="str">
        <f>IF($E335="","",IFERROR(VLOOKUP(CONCATENATE(CTR1_Billing!$E$20,CTR1_Local!$E335),'Local Data Previous Year'!$C$3:$D$20000,2,0),CTR1_Billing!$E$21&amp;"NEW"))</f>
        <v/>
      </c>
      <c r="C335" s="846">
        <v>303</v>
      </c>
      <c r="D335" s="755" t="str" cm="1">
        <f t="array" ref="D335">IF(ISERROR(INDEX('Local Data Previous Year'!$D$3:$D$20000,SMALL(IF(CTR1_Billing!$E$21='Local Data Previous Year'!$A$3:$A$20000,ROW('Local Data Previous Year'!$A$3:$A$20000)-ROW('Local Data Previous Year'!$A$3)+1),ROW(303:303)))),"",INDEX('Local Data Previous Year'!$D$3:$D$20000,SMALL(IF(CTR1_Billing!$E$21='Local Data Previous Year'!$A$3:$A$20000,ROW('Local Data Previous Year'!$A$3:$A$20000)-ROW('Local Data Previous Year'!$A$3)+1),ROW(303:303))))</f>
        <v/>
      </c>
      <c r="E335" s="755" t="str" cm="1">
        <f t="array" ref="E335">IF(ISERROR(INDEX('Local Data Previous Year'!$E$3:$E$20000,SMALL(IF(CTR1_Billing!$E$21='Local Data Previous Year'!$A$3:$A$20000,ROW('Local Data Previous Year'!$A$3:$A$20000)-ROW('Local Data Previous Year'!$A$3)+1),ROW(303:303)))),"",INDEX('Local Data Previous Year'!$E$3:$E$20000,SMALL(IF(CTR1_Billing!$E$21='Local Data Previous Year'!$A$3:$A$20000,ROW('Local Data Previous Year'!$A$3:$A$20000)-ROW('Local Data Previous Year'!$A$3)+1),ROW(303:303))))</f>
        <v/>
      </c>
      <c r="F335" s="756" t="str">
        <f>IF($D335="","",IF(ISNA(MATCH($D335,'Local Data Previous Year'!$D$3:$D$20000,0)),"New",IFERROR(VLOOKUP($B335,'Local Data Previous Year'!$D$3:$I$20000,6,0),"")))</f>
        <v/>
      </c>
      <c r="G335" s="757">
        <f t="shared" si="62"/>
        <v>0</v>
      </c>
      <c r="H335" s="758" t="str">
        <f>IFERROR(INDEX('Local Data Previous Year'!$F:$F, MATCH($D335, 'Local Data Previous Year'!$D:$D, 0)), "")</f>
        <v/>
      </c>
      <c r="I335" s="759">
        <f>IF(B335=CTR1_Billing!$E$21&amp;"NEW",1,0)</f>
        <v>0</v>
      </c>
      <c r="J335" s="760" t="str">
        <f>IFERROR(INDEX('Local Data Previous Year'!$G:$G, MATCH($D335, 'Local Data Previous Year'!$D:$D, 0)), "")</f>
        <v/>
      </c>
      <c r="K335" s="762"/>
      <c r="L335" s="760" t="str">
        <f>IFERROR(INDEX('Local Data Previous Year'!$H:$H, MATCH($D335, 'Local Data Previous Year'!$D:$D, 0)), "")</f>
        <v/>
      </c>
      <c r="M335" s="762"/>
      <c r="N335" s="763"/>
      <c r="O335" s="767"/>
      <c r="P335" s="765"/>
      <c r="Q335" s="767"/>
      <c r="R335" s="766" t="str">
        <f t="shared" si="63"/>
        <v/>
      </c>
      <c r="S335" s="754"/>
      <c r="T335" s="763"/>
      <c r="U335" s="754"/>
      <c r="V335" s="763"/>
      <c r="W335" s="763"/>
      <c r="X335" s="865" t="str">
        <f>VLOOKUP(CTR1_Billing!$E$21,Data!$C$6:$D$302,1,FALSE)</f>
        <v>EZZZZ</v>
      </c>
      <c r="Y335" s="205"/>
      <c r="Z335" s="205">
        <f t="shared" si="52"/>
        <v>0</v>
      </c>
      <c r="AA335" s="206" t="str">
        <f t="shared" si="40"/>
        <v/>
      </c>
      <c r="AB335" s="205">
        <f t="shared" si="53"/>
        <v>0</v>
      </c>
      <c r="AC335" s="208"/>
      <c r="AD335" s="208"/>
      <c r="AE335" s="208"/>
      <c r="AF335" s="208"/>
      <c r="AG335" s="209" t="str">
        <f>IFERROR(INDEX('Local Data Previous Year'!$F:$F, MATCH($D335, 'Local Data Previous Year'!$D:$D, 0)), "")</f>
        <v/>
      </c>
      <c r="AH335" s="209" t="str">
        <f>IFERROR(INDEX('Local Data Previous Year'!$G:$G, MATCH($D335, 'Local Data Previous Year'!$D:$D, 0)), "")</f>
        <v/>
      </c>
      <c r="AI335" s="209" t="str">
        <f>IFERROR(INDEX('Local Data Previous Year'!$H:$H, MATCH($D335, 'Local Data Previous Year'!$D:$D, 0)), "")</f>
        <v/>
      </c>
      <c r="AJ335" s="209" t="str">
        <f t="shared" si="54"/>
        <v/>
      </c>
      <c r="AK335" s="209" t="str">
        <f t="shared" si="55"/>
        <v/>
      </c>
      <c r="AL335" s="209" t="str">
        <f t="shared" si="56"/>
        <v/>
      </c>
      <c r="AM335" s="208" t="str">
        <f>IF($AN335="","",IFERROR(VLOOKUP(CONCATENATE(CTR1_Billing!$E$20,$AN335),'Local Data Previous Year'!$C$3:$D$50000,2,0),CTR1_Billing!$E$21&amp;"NEW"))</f>
        <v/>
      </c>
      <c r="AN335" s="209" t="str" cm="1">
        <f t="array" ref="AN335">IF(ISERROR(INDEX('Local Data Previous Year'!$E$3:$E$50000, SMALL(IF(CTR1_Billing!$E$21='Local Data Previous Year'!$A$3:$A$50000, ROW('Local Data Previous Year'!$A$3:$A$50000)-ROW('Local Data Previous Year'!$A$3)+1), ROW(303:303)))), "", INDEX('Local Data Previous Year'!$E$3:$E$50000, SMALL(IF(CTR1_Billing!$E$21='Local Data Previous Year'!$A$3:$A$50000, ROW('Local Data Previous Year'!$A$3:$A$50000)-ROW('Local Data Previous Year'!$A$3)+1), ROW(303:303))))</f>
        <v/>
      </c>
      <c r="AO335" s="209" t="str">
        <f t="shared" si="57"/>
        <v/>
      </c>
      <c r="AP335" s="208"/>
      <c r="AQ335" s="209" t="str">
        <f t="shared" si="58"/>
        <v/>
      </c>
      <c r="AR335" s="209" t="str">
        <f t="shared" si="59"/>
        <v/>
      </c>
      <c r="AS335" s="202" t="str">
        <f t="shared" si="60"/>
        <v/>
      </c>
      <c r="AT335" s="202" t="str">
        <f t="shared" si="61"/>
        <v/>
      </c>
      <c r="AU335" s="208"/>
      <c r="AV335" s="208"/>
      <c r="AW335" s="208"/>
      <c r="AX335" s="208"/>
      <c r="AY335" s="208"/>
      <c r="AZ335" s="208"/>
      <c r="BA335" s="208"/>
      <c r="BB335" s="208"/>
      <c r="BC335" s="208"/>
      <c r="BD335" s="208"/>
      <c r="BE335" s="208"/>
      <c r="BF335" s="208"/>
      <c r="BG335" s="28"/>
      <c r="BH335" s="28"/>
      <c r="BI335" s="28"/>
      <c r="BJ335" s="28"/>
    </row>
    <row r="336" spans="1:62" s="23" customFormat="1" ht="21" customHeight="1" thickBot="1" x14ac:dyDescent="0.25">
      <c r="A336" s="846" t="str">
        <f>IF($AN336="","",IFERROR(VLOOKUP(CONCATENATE(CTR1_Billing!$E$20,$AN336),'Local Data Previous Year'!$C$3:$D$20000,2,0),CTR1_Billing!$E$21&amp;"NEW"))</f>
        <v/>
      </c>
      <c r="B336" s="846" t="str">
        <f>IF($E336="","",IFERROR(VLOOKUP(CONCATENATE(CTR1_Billing!$E$20,CTR1_Local!$E336),'Local Data Previous Year'!$C$3:$D$20000,2,0),CTR1_Billing!$E$21&amp;"NEW"))</f>
        <v/>
      </c>
      <c r="C336" s="846">
        <v>304</v>
      </c>
      <c r="D336" s="755" t="str" cm="1">
        <f t="array" ref="D336">IF(ISERROR(INDEX('Local Data Previous Year'!$D$3:$D$20000,SMALL(IF(CTR1_Billing!$E$21='Local Data Previous Year'!$A$3:$A$20000,ROW('Local Data Previous Year'!$A$3:$A$20000)-ROW('Local Data Previous Year'!$A$3)+1),ROW(304:304)))),"",INDEX('Local Data Previous Year'!$D$3:$D$20000,SMALL(IF(CTR1_Billing!$E$21='Local Data Previous Year'!$A$3:$A$20000,ROW('Local Data Previous Year'!$A$3:$A$20000)-ROW('Local Data Previous Year'!$A$3)+1),ROW(304:304))))</f>
        <v/>
      </c>
      <c r="E336" s="755" t="str" cm="1">
        <f t="array" ref="E336">IF(ISERROR(INDEX('Local Data Previous Year'!$E$3:$E$20000,SMALL(IF(CTR1_Billing!$E$21='Local Data Previous Year'!$A$3:$A$20000,ROW('Local Data Previous Year'!$A$3:$A$20000)-ROW('Local Data Previous Year'!$A$3)+1),ROW(304:304)))),"",INDEX('Local Data Previous Year'!$E$3:$E$20000,SMALL(IF(CTR1_Billing!$E$21='Local Data Previous Year'!$A$3:$A$20000,ROW('Local Data Previous Year'!$A$3:$A$20000)-ROW('Local Data Previous Year'!$A$3)+1),ROW(304:304))))</f>
        <v/>
      </c>
      <c r="F336" s="756" t="str">
        <f>IF($D336="","",IF(ISNA(MATCH($D336,'Local Data Previous Year'!$D$3:$D$20000,0)),"New",IFERROR(VLOOKUP($B336,'Local Data Previous Year'!$D$3:$I$20000,6,0),"")))</f>
        <v/>
      </c>
      <c r="G336" s="757">
        <f t="shared" si="62"/>
        <v>0</v>
      </c>
      <c r="H336" s="758" t="str">
        <f>IFERROR(INDEX('Local Data Previous Year'!$F:$F, MATCH($D336, 'Local Data Previous Year'!$D:$D, 0)), "")</f>
        <v/>
      </c>
      <c r="I336" s="759">
        <f>IF(B336=CTR1_Billing!$E$21&amp;"NEW",1,0)</f>
        <v>0</v>
      </c>
      <c r="J336" s="760" t="str">
        <f>IFERROR(INDEX('Local Data Previous Year'!$G:$G, MATCH($D336, 'Local Data Previous Year'!$D:$D, 0)), "")</f>
        <v/>
      </c>
      <c r="K336" s="762"/>
      <c r="L336" s="760" t="str">
        <f>IFERROR(INDEX('Local Data Previous Year'!$H:$H, MATCH($D336, 'Local Data Previous Year'!$D:$D, 0)), "")</f>
        <v/>
      </c>
      <c r="M336" s="762"/>
      <c r="N336" s="763"/>
      <c r="O336" s="767"/>
      <c r="P336" s="765"/>
      <c r="Q336" s="767"/>
      <c r="R336" s="766" t="str">
        <f t="shared" si="63"/>
        <v/>
      </c>
      <c r="S336" s="754"/>
      <c r="T336" s="763"/>
      <c r="U336" s="754"/>
      <c r="V336" s="763"/>
      <c r="W336" s="763"/>
      <c r="X336" s="865" t="str">
        <f>VLOOKUP(CTR1_Billing!$E$21,Data!$C$6:$D$302,1,FALSE)</f>
        <v>EZZZZ</v>
      </c>
      <c r="Y336" s="205"/>
      <c r="Z336" s="205">
        <f t="shared" si="52"/>
        <v>0</v>
      </c>
      <c r="AA336" s="206" t="str">
        <f t="shared" si="40"/>
        <v/>
      </c>
      <c r="AB336" s="205">
        <f t="shared" si="53"/>
        <v>0</v>
      </c>
      <c r="AC336" s="208"/>
      <c r="AD336" s="208"/>
      <c r="AE336" s="208"/>
      <c r="AF336" s="208"/>
      <c r="AG336" s="209" t="str">
        <f>IFERROR(INDEX('Local Data Previous Year'!$F:$F, MATCH($D336, 'Local Data Previous Year'!$D:$D, 0)), "")</f>
        <v/>
      </c>
      <c r="AH336" s="209" t="str">
        <f>IFERROR(INDEX('Local Data Previous Year'!$G:$G, MATCH($D336, 'Local Data Previous Year'!$D:$D, 0)), "")</f>
        <v/>
      </c>
      <c r="AI336" s="209" t="str">
        <f>IFERROR(INDEX('Local Data Previous Year'!$H:$H, MATCH($D336, 'Local Data Previous Year'!$D:$D, 0)), "")</f>
        <v/>
      </c>
      <c r="AJ336" s="209" t="str">
        <f t="shared" si="54"/>
        <v/>
      </c>
      <c r="AK336" s="209" t="str">
        <f t="shared" si="55"/>
        <v/>
      </c>
      <c r="AL336" s="209" t="str">
        <f t="shared" si="56"/>
        <v/>
      </c>
      <c r="AM336" s="208" t="str">
        <f>IF($AN336="","",IFERROR(VLOOKUP(CONCATENATE(CTR1_Billing!$E$20,$AN336),'Local Data Previous Year'!$C$3:$D$50000,2,0),CTR1_Billing!$E$21&amp;"NEW"))</f>
        <v/>
      </c>
      <c r="AN336" s="209" t="str" cm="1">
        <f t="array" ref="AN336">IF(ISERROR(INDEX('Local Data Previous Year'!$E$3:$E$50000, SMALL(IF(CTR1_Billing!$E$21='Local Data Previous Year'!$A$3:$A$50000, ROW('Local Data Previous Year'!$A$3:$A$50000)-ROW('Local Data Previous Year'!$A$3)+1), ROW(304:304)))), "", INDEX('Local Data Previous Year'!$E$3:$E$50000, SMALL(IF(CTR1_Billing!$E$21='Local Data Previous Year'!$A$3:$A$50000, ROW('Local Data Previous Year'!$A$3:$A$50000)-ROW('Local Data Previous Year'!$A$3)+1), ROW(304:304))))</f>
        <v/>
      </c>
      <c r="AO336" s="209" t="str">
        <f t="shared" si="57"/>
        <v/>
      </c>
      <c r="AP336" s="208"/>
      <c r="AQ336" s="209" t="str">
        <f t="shared" si="58"/>
        <v/>
      </c>
      <c r="AR336" s="209" t="str">
        <f t="shared" si="59"/>
        <v/>
      </c>
      <c r="AS336" s="202" t="str">
        <f t="shared" si="60"/>
        <v/>
      </c>
      <c r="AT336" s="202" t="str">
        <f t="shared" si="61"/>
        <v/>
      </c>
      <c r="AU336" s="208"/>
      <c r="AV336" s="208"/>
      <c r="AW336" s="208"/>
      <c r="AX336" s="208"/>
      <c r="AY336" s="208"/>
      <c r="AZ336" s="208"/>
      <c r="BA336" s="208"/>
      <c r="BB336" s="208"/>
      <c r="BC336" s="208"/>
      <c r="BD336" s="208"/>
      <c r="BE336" s="208"/>
      <c r="BF336" s="208"/>
      <c r="BG336" s="28"/>
      <c r="BH336" s="28"/>
      <c r="BI336" s="28"/>
      <c r="BJ336" s="28"/>
    </row>
    <row r="337" spans="1:62" s="23" customFormat="1" ht="21" customHeight="1" thickBot="1" x14ac:dyDescent="0.25">
      <c r="A337" s="846" t="str">
        <f>IF($AN337="","",IFERROR(VLOOKUP(CONCATENATE(CTR1_Billing!$E$20,$AN337),'Local Data Previous Year'!$C$3:$D$20000,2,0),CTR1_Billing!$E$21&amp;"NEW"))</f>
        <v/>
      </c>
      <c r="B337" s="846" t="str">
        <f>IF($E337="","",IFERROR(VLOOKUP(CONCATENATE(CTR1_Billing!$E$20,CTR1_Local!$E337),'Local Data Previous Year'!$C$3:$D$20000,2,0),CTR1_Billing!$E$21&amp;"NEW"))</f>
        <v/>
      </c>
      <c r="C337" s="846">
        <v>305</v>
      </c>
      <c r="D337" s="755" t="str" cm="1">
        <f t="array" ref="D337">IF(ISERROR(INDEX('Local Data Previous Year'!$D$3:$D$20000,SMALL(IF(CTR1_Billing!$E$21='Local Data Previous Year'!$A$3:$A$20000,ROW('Local Data Previous Year'!$A$3:$A$20000)-ROW('Local Data Previous Year'!$A$3)+1),ROW(305:305)))),"",INDEX('Local Data Previous Year'!$D$3:$D$20000,SMALL(IF(CTR1_Billing!$E$21='Local Data Previous Year'!$A$3:$A$20000,ROW('Local Data Previous Year'!$A$3:$A$20000)-ROW('Local Data Previous Year'!$A$3)+1),ROW(305:305))))</f>
        <v/>
      </c>
      <c r="E337" s="755" t="str" cm="1">
        <f t="array" ref="E337">IF(ISERROR(INDEX('Local Data Previous Year'!$E$3:$E$20000,SMALL(IF(CTR1_Billing!$E$21='Local Data Previous Year'!$A$3:$A$20000,ROW('Local Data Previous Year'!$A$3:$A$20000)-ROW('Local Data Previous Year'!$A$3)+1),ROW(305:305)))),"",INDEX('Local Data Previous Year'!$E$3:$E$20000,SMALL(IF(CTR1_Billing!$E$21='Local Data Previous Year'!$A$3:$A$20000,ROW('Local Data Previous Year'!$A$3:$A$20000)-ROW('Local Data Previous Year'!$A$3)+1),ROW(305:305))))</f>
        <v/>
      </c>
      <c r="F337" s="756" t="str">
        <f>IF($D337="","",IF(ISNA(MATCH($D337,'Local Data Previous Year'!$D$3:$D$20000,0)),"New",IFERROR(VLOOKUP($B337,'Local Data Previous Year'!$D$3:$I$20000,6,0),"")))</f>
        <v/>
      </c>
      <c r="G337" s="757">
        <f t="shared" si="62"/>
        <v>0</v>
      </c>
      <c r="H337" s="758" t="str">
        <f>IFERROR(INDEX('Local Data Previous Year'!$F:$F, MATCH($D337, 'Local Data Previous Year'!$D:$D, 0)), "")</f>
        <v/>
      </c>
      <c r="I337" s="759">
        <f>IF(B337=CTR1_Billing!$E$21&amp;"NEW",1,0)</f>
        <v>0</v>
      </c>
      <c r="J337" s="760" t="str">
        <f>IFERROR(INDEX('Local Data Previous Year'!$G:$G, MATCH($D337, 'Local Data Previous Year'!$D:$D, 0)), "")</f>
        <v/>
      </c>
      <c r="K337" s="762"/>
      <c r="L337" s="760" t="str">
        <f>IFERROR(INDEX('Local Data Previous Year'!$H:$H, MATCH($D337, 'Local Data Previous Year'!$D:$D, 0)), "")</f>
        <v/>
      </c>
      <c r="M337" s="762"/>
      <c r="N337" s="763"/>
      <c r="O337" s="767"/>
      <c r="P337" s="765"/>
      <c r="Q337" s="767"/>
      <c r="R337" s="766" t="str">
        <f t="shared" si="63"/>
        <v/>
      </c>
      <c r="S337" s="754"/>
      <c r="T337" s="763"/>
      <c r="U337" s="754"/>
      <c r="V337" s="763"/>
      <c r="W337" s="763"/>
      <c r="X337" s="865" t="str">
        <f>VLOOKUP(CTR1_Billing!$E$21,Data!$C$6:$D$302,1,FALSE)</f>
        <v>EZZZZ</v>
      </c>
      <c r="Y337" s="205"/>
      <c r="Z337" s="205">
        <f t="shared" si="52"/>
        <v>0</v>
      </c>
      <c r="AA337" s="206" t="str">
        <f t="shared" si="40"/>
        <v/>
      </c>
      <c r="AB337" s="205">
        <f t="shared" si="53"/>
        <v>0</v>
      </c>
      <c r="AC337" s="208"/>
      <c r="AD337" s="208"/>
      <c r="AE337" s="208"/>
      <c r="AF337" s="208"/>
      <c r="AG337" s="209" t="str">
        <f>IFERROR(INDEX('Local Data Previous Year'!$F:$F, MATCH($D337, 'Local Data Previous Year'!$D:$D, 0)), "")</f>
        <v/>
      </c>
      <c r="AH337" s="209" t="str">
        <f>IFERROR(INDEX('Local Data Previous Year'!$G:$G, MATCH($D337, 'Local Data Previous Year'!$D:$D, 0)), "")</f>
        <v/>
      </c>
      <c r="AI337" s="209" t="str">
        <f>IFERROR(INDEX('Local Data Previous Year'!$H:$H, MATCH($D337, 'Local Data Previous Year'!$D:$D, 0)), "")</f>
        <v/>
      </c>
      <c r="AJ337" s="209" t="str">
        <f t="shared" si="54"/>
        <v/>
      </c>
      <c r="AK337" s="209" t="str">
        <f t="shared" si="55"/>
        <v/>
      </c>
      <c r="AL337" s="209" t="str">
        <f t="shared" si="56"/>
        <v/>
      </c>
      <c r="AM337" s="208" t="str">
        <f>IF($AN337="","",IFERROR(VLOOKUP(CONCATENATE(CTR1_Billing!$E$20,$AN337),'Local Data Previous Year'!$C$3:$D$50000,2,0),CTR1_Billing!$E$21&amp;"NEW"))</f>
        <v/>
      </c>
      <c r="AN337" s="209" t="str" cm="1">
        <f t="array" ref="AN337">IF(ISERROR(INDEX('Local Data Previous Year'!$E$3:$E$50000, SMALL(IF(CTR1_Billing!$E$21='Local Data Previous Year'!$A$3:$A$50000, ROW('Local Data Previous Year'!$A$3:$A$50000)-ROW('Local Data Previous Year'!$A$3)+1), ROW(305:305)))), "", INDEX('Local Data Previous Year'!$E$3:$E$50000, SMALL(IF(CTR1_Billing!$E$21='Local Data Previous Year'!$A$3:$A$50000, ROW('Local Data Previous Year'!$A$3:$A$50000)-ROW('Local Data Previous Year'!$A$3)+1), ROW(305:305))))</f>
        <v/>
      </c>
      <c r="AO337" s="209" t="str">
        <f t="shared" si="57"/>
        <v/>
      </c>
      <c r="AP337" s="208"/>
      <c r="AQ337" s="209" t="str">
        <f t="shared" si="58"/>
        <v/>
      </c>
      <c r="AR337" s="209" t="str">
        <f t="shared" si="59"/>
        <v/>
      </c>
      <c r="AS337" s="202" t="str">
        <f t="shared" si="60"/>
        <v/>
      </c>
      <c r="AT337" s="202" t="str">
        <f t="shared" si="61"/>
        <v/>
      </c>
      <c r="AU337" s="208"/>
      <c r="AV337" s="208"/>
      <c r="AW337" s="208"/>
      <c r="AX337" s="208"/>
      <c r="AY337" s="208"/>
      <c r="AZ337" s="208"/>
      <c r="BA337" s="208"/>
      <c r="BB337" s="208"/>
      <c r="BC337" s="208"/>
      <c r="BD337" s="208"/>
      <c r="BE337" s="208"/>
      <c r="BF337" s="208"/>
      <c r="BG337" s="28"/>
      <c r="BH337" s="28"/>
      <c r="BI337" s="28"/>
      <c r="BJ337" s="28"/>
    </row>
    <row r="338" spans="1:62" s="23" customFormat="1" ht="21" customHeight="1" thickBot="1" x14ac:dyDescent="0.25">
      <c r="A338" s="846" t="str">
        <f>IF($AN338="","",IFERROR(VLOOKUP(CONCATENATE(CTR1_Billing!$E$20,$AN338),'Local Data Previous Year'!$C$3:$D$20000,2,0),CTR1_Billing!$E$21&amp;"NEW"))</f>
        <v/>
      </c>
      <c r="B338" s="846" t="str">
        <f>IF($E338="","",IFERROR(VLOOKUP(CONCATENATE(CTR1_Billing!$E$20,CTR1_Local!$E338),'Local Data Previous Year'!$C$3:$D$20000,2,0),CTR1_Billing!$E$21&amp;"NEW"))</f>
        <v/>
      </c>
      <c r="C338" s="846">
        <v>306</v>
      </c>
      <c r="D338" s="755" t="str" cm="1">
        <f t="array" ref="D338">IF(ISERROR(INDEX('Local Data Previous Year'!$D$3:$D$20000,SMALL(IF(CTR1_Billing!$E$21='Local Data Previous Year'!$A$3:$A$20000,ROW('Local Data Previous Year'!$A$3:$A$20000)-ROW('Local Data Previous Year'!$A$3)+1),ROW(306:306)))),"",INDEX('Local Data Previous Year'!$D$3:$D$20000,SMALL(IF(CTR1_Billing!$E$21='Local Data Previous Year'!$A$3:$A$20000,ROW('Local Data Previous Year'!$A$3:$A$20000)-ROW('Local Data Previous Year'!$A$3)+1),ROW(306:306))))</f>
        <v/>
      </c>
      <c r="E338" s="755" t="str" cm="1">
        <f t="array" ref="E338">IF(ISERROR(INDEX('Local Data Previous Year'!$E$3:$E$20000,SMALL(IF(CTR1_Billing!$E$21='Local Data Previous Year'!$A$3:$A$20000,ROW('Local Data Previous Year'!$A$3:$A$20000)-ROW('Local Data Previous Year'!$A$3)+1),ROW(306:306)))),"",INDEX('Local Data Previous Year'!$E$3:$E$20000,SMALL(IF(CTR1_Billing!$E$21='Local Data Previous Year'!$A$3:$A$20000,ROW('Local Data Previous Year'!$A$3:$A$20000)-ROW('Local Data Previous Year'!$A$3)+1),ROW(306:306))))</f>
        <v/>
      </c>
      <c r="F338" s="756" t="str">
        <f>IF($D338="","",IF(ISNA(MATCH($D338,'Local Data Previous Year'!$D$3:$D$20000,0)),"New",IFERROR(VLOOKUP($B338,'Local Data Previous Year'!$D$3:$I$20000,6,0),"")))</f>
        <v/>
      </c>
      <c r="G338" s="757">
        <f t="shared" si="62"/>
        <v>0</v>
      </c>
      <c r="H338" s="758" t="str">
        <f>IFERROR(INDEX('Local Data Previous Year'!$F:$F, MATCH($D338, 'Local Data Previous Year'!$D:$D, 0)), "")</f>
        <v/>
      </c>
      <c r="I338" s="759">
        <f>IF(B338=CTR1_Billing!$E$21&amp;"NEW",1,0)</f>
        <v>0</v>
      </c>
      <c r="J338" s="760" t="str">
        <f>IFERROR(INDEX('Local Data Previous Year'!$G:$G, MATCH($D338, 'Local Data Previous Year'!$D:$D, 0)), "")</f>
        <v/>
      </c>
      <c r="K338" s="762"/>
      <c r="L338" s="760" t="str">
        <f>IFERROR(INDEX('Local Data Previous Year'!$H:$H, MATCH($D338, 'Local Data Previous Year'!$D:$D, 0)), "")</f>
        <v/>
      </c>
      <c r="M338" s="762"/>
      <c r="N338" s="763"/>
      <c r="O338" s="767"/>
      <c r="P338" s="765"/>
      <c r="Q338" s="767"/>
      <c r="R338" s="766" t="str">
        <f t="shared" si="63"/>
        <v/>
      </c>
      <c r="S338" s="754"/>
      <c r="T338" s="763"/>
      <c r="U338" s="754"/>
      <c r="V338" s="763"/>
      <c r="W338" s="763"/>
      <c r="X338" s="865" t="str">
        <f>VLOOKUP(CTR1_Billing!$E$21,Data!$C$6:$D$302,1,FALSE)</f>
        <v>EZZZZ</v>
      </c>
      <c r="Y338" s="205"/>
      <c r="Z338" s="205">
        <f t="shared" si="52"/>
        <v>0</v>
      </c>
      <c r="AA338" s="206" t="str">
        <f t="shared" si="40"/>
        <v/>
      </c>
      <c r="AB338" s="205">
        <f t="shared" si="53"/>
        <v>0</v>
      </c>
      <c r="AC338" s="208"/>
      <c r="AD338" s="208"/>
      <c r="AE338" s="208"/>
      <c r="AF338" s="208"/>
      <c r="AG338" s="209" t="str">
        <f>IFERROR(INDEX('Local Data Previous Year'!$F:$F, MATCH($D338, 'Local Data Previous Year'!$D:$D, 0)), "")</f>
        <v/>
      </c>
      <c r="AH338" s="209" t="str">
        <f>IFERROR(INDEX('Local Data Previous Year'!$G:$G, MATCH($D338, 'Local Data Previous Year'!$D:$D, 0)), "")</f>
        <v/>
      </c>
      <c r="AI338" s="209" t="str">
        <f>IFERROR(INDEX('Local Data Previous Year'!$H:$H, MATCH($D338, 'Local Data Previous Year'!$D:$D, 0)), "")</f>
        <v/>
      </c>
      <c r="AJ338" s="209" t="str">
        <f t="shared" si="54"/>
        <v/>
      </c>
      <c r="AK338" s="209" t="str">
        <f t="shared" si="55"/>
        <v/>
      </c>
      <c r="AL338" s="209" t="str">
        <f t="shared" si="56"/>
        <v/>
      </c>
      <c r="AM338" s="208" t="str">
        <f>IF($AN338="","",IFERROR(VLOOKUP(CONCATENATE(CTR1_Billing!$E$20,$AN338),'Local Data Previous Year'!$C$3:$D$50000,2,0),CTR1_Billing!$E$21&amp;"NEW"))</f>
        <v/>
      </c>
      <c r="AN338" s="209" t="str" cm="1">
        <f t="array" ref="AN338">IF(ISERROR(INDEX('Local Data Previous Year'!$E$3:$E$50000, SMALL(IF(CTR1_Billing!$E$21='Local Data Previous Year'!$A$3:$A$50000, ROW('Local Data Previous Year'!$A$3:$A$50000)-ROW('Local Data Previous Year'!$A$3)+1), ROW(306:306)))), "", INDEX('Local Data Previous Year'!$E$3:$E$50000, SMALL(IF(CTR1_Billing!$E$21='Local Data Previous Year'!$A$3:$A$50000, ROW('Local Data Previous Year'!$A$3:$A$50000)-ROW('Local Data Previous Year'!$A$3)+1), ROW(306:306))))</f>
        <v/>
      </c>
      <c r="AO338" s="209" t="str">
        <f t="shared" si="57"/>
        <v/>
      </c>
      <c r="AP338" s="208"/>
      <c r="AQ338" s="209" t="str">
        <f t="shared" si="58"/>
        <v/>
      </c>
      <c r="AR338" s="209" t="str">
        <f t="shared" si="59"/>
        <v/>
      </c>
      <c r="AS338" s="202" t="str">
        <f t="shared" si="60"/>
        <v/>
      </c>
      <c r="AT338" s="202" t="str">
        <f t="shared" si="61"/>
        <v/>
      </c>
      <c r="AU338" s="208"/>
      <c r="AV338" s="208"/>
      <c r="AW338" s="208"/>
      <c r="AX338" s="208"/>
      <c r="AY338" s="208"/>
      <c r="AZ338" s="208"/>
      <c r="BA338" s="208"/>
      <c r="BB338" s="208"/>
      <c r="BC338" s="208"/>
      <c r="BD338" s="208"/>
      <c r="BE338" s="208"/>
      <c r="BF338" s="208"/>
      <c r="BG338" s="28"/>
      <c r="BH338" s="28"/>
      <c r="BI338" s="28"/>
      <c r="BJ338" s="28"/>
    </row>
    <row r="339" spans="1:62" s="23" customFormat="1" ht="21" customHeight="1" thickBot="1" x14ac:dyDescent="0.25">
      <c r="A339" s="846" t="str">
        <f>IF($AN339="","",IFERROR(VLOOKUP(CONCATENATE(CTR1_Billing!$E$20,$AN339),'Local Data Previous Year'!$C$3:$D$20000,2,0),CTR1_Billing!$E$21&amp;"NEW"))</f>
        <v/>
      </c>
      <c r="B339" s="846" t="str">
        <f>IF($E339="","",IFERROR(VLOOKUP(CONCATENATE(CTR1_Billing!$E$20,CTR1_Local!$E339),'Local Data Previous Year'!$C$3:$D$20000,2,0),CTR1_Billing!$E$21&amp;"NEW"))</f>
        <v/>
      </c>
      <c r="C339" s="846">
        <v>307</v>
      </c>
      <c r="D339" s="755" t="str" cm="1">
        <f t="array" ref="D339">IF(ISERROR(INDEX('Local Data Previous Year'!$D$3:$D$20000,SMALL(IF(CTR1_Billing!$E$21='Local Data Previous Year'!$A$3:$A$20000,ROW('Local Data Previous Year'!$A$3:$A$20000)-ROW('Local Data Previous Year'!$A$3)+1),ROW(307:307)))),"",INDEX('Local Data Previous Year'!$D$3:$D$20000,SMALL(IF(CTR1_Billing!$E$21='Local Data Previous Year'!$A$3:$A$20000,ROW('Local Data Previous Year'!$A$3:$A$20000)-ROW('Local Data Previous Year'!$A$3)+1),ROW(307:307))))</f>
        <v/>
      </c>
      <c r="E339" s="755" t="str" cm="1">
        <f t="array" ref="E339">IF(ISERROR(INDEX('Local Data Previous Year'!$E$3:$E$20000,SMALL(IF(CTR1_Billing!$E$21='Local Data Previous Year'!$A$3:$A$20000,ROW('Local Data Previous Year'!$A$3:$A$20000)-ROW('Local Data Previous Year'!$A$3)+1),ROW(307:307)))),"",INDEX('Local Data Previous Year'!$E$3:$E$20000,SMALL(IF(CTR1_Billing!$E$21='Local Data Previous Year'!$A$3:$A$20000,ROW('Local Data Previous Year'!$A$3:$A$20000)-ROW('Local Data Previous Year'!$A$3)+1),ROW(307:307))))</f>
        <v/>
      </c>
      <c r="F339" s="756" t="str">
        <f>IF($D339="","",IF(ISNA(MATCH($D339,'Local Data Previous Year'!$D$3:$D$20000,0)),"New",IFERROR(VLOOKUP($B339,'Local Data Previous Year'!$D$3:$I$20000,6,0),"")))</f>
        <v/>
      </c>
      <c r="G339" s="757">
        <f t="shared" si="62"/>
        <v>0</v>
      </c>
      <c r="H339" s="758" t="str">
        <f>IFERROR(INDEX('Local Data Previous Year'!$F:$F, MATCH($D339, 'Local Data Previous Year'!$D:$D, 0)), "")</f>
        <v/>
      </c>
      <c r="I339" s="759">
        <f>IF(B339=CTR1_Billing!$E$21&amp;"NEW",1,0)</f>
        <v>0</v>
      </c>
      <c r="J339" s="760" t="str">
        <f>IFERROR(INDEX('Local Data Previous Year'!$G:$G, MATCH($D339, 'Local Data Previous Year'!$D:$D, 0)), "")</f>
        <v/>
      </c>
      <c r="K339" s="762"/>
      <c r="L339" s="760" t="str">
        <f>IFERROR(INDEX('Local Data Previous Year'!$H:$H, MATCH($D339, 'Local Data Previous Year'!$D:$D, 0)), "")</f>
        <v/>
      </c>
      <c r="M339" s="762"/>
      <c r="N339" s="763"/>
      <c r="O339" s="767"/>
      <c r="P339" s="765"/>
      <c r="Q339" s="767"/>
      <c r="R339" s="766" t="str">
        <f t="shared" si="63"/>
        <v/>
      </c>
      <c r="S339" s="754"/>
      <c r="T339" s="763"/>
      <c r="U339" s="754"/>
      <c r="V339" s="763"/>
      <c r="W339" s="763"/>
      <c r="X339" s="865" t="str">
        <f>VLOOKUP(CTR1_Billing!$E$21,Data!$C$6:$D$302,1,FALSE)</f>
        <v>EZZZZ</v>
      </c>
      <c r="Y339" s="205"/>
      <c r="Z339" s="205">
        <f t="shared" si="52"/>
        <v>0</v>
      </c>
      <c r="AA339" s="206" t="str">
        <f t="shared" si="40"/>
        <v/>
      </c>
      <c r="AB339" s="205">
        <f t="shared" si="53"/>
        <v>0</v>
      </c>
      <c r="AC339" s="208"/>
      <c r="AD339" s="208"/>
      <c r="AE339" s="208"/>
      <c r="AF339" s="208"/>
      <c r="AG339" s="209" t="str">
        <f>IFERROR(INDEX('Local Data Previous Year'!$F:$F, MATCH($D339, 'Local Data Previous Year'!$D:$D, 0)), "")</f>
        <v/>
      </c>
      <c r="AH339" s="209" t="str">
        <f>IFERROR(INDEX('Local Data Previous Year'!$G:$G, MATCH($D339, 'Local Data Previous Year'!$D:$D, 0)), "")</f>
        <v/>
      </c>
      <c r="AI339" s="209" t="str">
        <f>IFERROR(INDEX('Local Data Previous Year'!$H:$H, MATCH($D339, 'Local Data Previous Year'!$D:$D, 0)), "")</f>
        <v/>
      </c>
      <c r="AJ339" s="209" t="str">
        <f t="shared" si="54"/>
        <v/>
      </c>
      <c r="AK339" s="209" t="str">
        <f t="shared" si="55"/>
        <v/>
      </c>
      <c r="AL339" s="209" t="str">
        <f t="shared" si="56"/>
        <v/>
      </c>
      <c r="AM339" s="208" t="str">
        <f>IF($AN339="","",IFERROR(VLOOKUP(CONCATENATE(CTR1_Billing!$E$20,$AN339),'Local Data Previous Year'!$C$3:$D$50000,2,0),CTR1_Billing!$E$21&amp;"NEW"))</f>
        <v/>
      </c>
      <c r="AN339" s="209" t="str" cm="1">
        <f t="array" ref="AN339">IF(ISERROR(INDEX('Local Data Previous Year'!$E$3:$E$50000, SMALL(IF(CTR1_Billing!$E$21='Local Data Previous Year'!$A$3:$A$50000, ROW('Local Data Previous Year'!$A$3:$A$50000)-ROW('Local Data Previous Year'!$A$3)+1), ROW(307:307)))), "", INDEX('Local Data Previous Year'!$E$3:$E$50000, SMALL(IF(CTR1_Billing!$E$21='Local Data Previous Year'!$A$3:$A$50000, ROW('Local Data Previous Year'!$A$3:$A$50000)-ROW('Local Data Previous Year'!$A$3)+1), ROW(307:307))))</f>
        <v/>
      </c>
      <c r="AO339" s="209" t="str">
        <f t="shared" si="57"/>
        <v/>
      </c>
      <c r="AP339" s="208"/>
      <c r="AQ339" s="209" t="str">
        <f t="shared" si="58"/>
        <v/>
      </c>
      <c r="AR339" s="209" t="str">
        <f t="shared" si="59"/>
        <v/>
      </c>
      <c r="AS339" s="202" t="str">
        <f t="shared" si="60"/>
        <v/>
      </c>
      <c r="AT339" s="202" t="str">
        <f t="shared" si="61"/>
        <v/>
      </c>
      <c r="AU339" s="208"/>
      <c r="AV339" s="208"/>
      <c r="AW339" s="208"/>
      <c r="AX339" s="208"/>
      <c r="AY339" s="208"/>
      <c r="AZ339" s="208"/>
      <c r="BA339" s="208"/>
      <c r="BB339" s="208"/>
      <c r="BC339" s="208"/>
      <c r="BD339" s="208"/>
      <c r="BE339" s="208"/>
      <c r="BF339" s="208"/>
      <c r="BG339" s="28"/>
      <c r="BH339" s="28"/>
      <c r="BI339" s="28"/>
      <c r="BJ339" s="28"/>
    </row>
    <row r="340" spans="1:62" s="23" customFormat="1" ht="21" customHeight="1" thickBot="1" x14ac:dyDescent="0.25">
      <c r="A340" s="846" t="str">
        <f>IF($AN340="","",IFERROR(VLOOKUP(CONCATENATE(CTR1_Billing!$E$20,$AN340),'Local Data Previous Year'!$C$3:$D$20000,2,0),CTR1_Billing!$E$21&amp;"NEW"))</f>
        <v/>
      </c>
      <c r="B340" s="846" t="str">
        <f>IF($E340="","",IFERROR(VLOOKUP(CONCATENATE(CTR1_Billing!$E$20,CTR1_Local!$E340),'Local Data Previous Year'!$C$3:$D$20000,2,0),CTR1_Billing!$E$21&amp;"NEW"))</f>
        <v/>
      </c>
      <c r="C340" s="846">
        <v>308</v>
      </c>
      <c r="D340" s="755" t="str" cm="1">
        <f t="array" ref="D340">IF(ISERROR(INDEX('Local Data Previous Year'!$D$3:$D$20000,SMALL(IF(CTR1_Billing!$E$21='Local Data Previous Year'!$A$3:$A$20000,ROW('Local Data Previous Year'!$A$3:$A$20000)-ROW('Local Data Previous Year'!$A$3)+1),ROW(308:308)))),"",INDEX('Local Data Previous Year'!$D$3:$D$20000,SMALL(IF(CTR1_Billing!$E$21='Local Data Previous Year'!$A$3:$A$20000,ROW('Local Data Previous Year'!$A$3:$A$20000)-ROW('Local Data Previous Year'!$A$3)+1),ROW(308:308))))</f>
        <v/>
      </c>
      <c r="E340" s="755" t="str" cm="1">
        <f t="array" ref="E340">IF(ISERROR(INDEX('Local Data Previous Year'!$E$3:$E$20000,SMALL(IF(CTR1_Billing!$E$21='Local Data Previous Year'!$A$3:$A$20000,ROW('Local Data Previous Year'!$A$3:$A$20000)-ROW('Local Data Previous Year'!$A$3)+1),ROW(308:308)))),"",INDEX('Local Data Previous Year'!$E$3:$E$20000,SMALL(IF(CTR1_Billing!$E$21='Local Data Previous Year'!$A$3:$A$20000,ROW('Local Data Previous Year'!$A$3:$A$20000)-ROW('Local Data Previous Year'!$A$3)+1),ROW(308:308))))</f>
        <v/>
      </c>
      <c r="F340" s="756" t="str">
        <f>IF($D340="","",IF(ISNA(MATCH($D340,'Local Data Previous Year'!$D$3:$D$20000,0)),"New",IFERROR(VLOOKUP($B340,'Local Data Previous Year'!$D$3:$I$20000,6,0),"")))</f>
        <v/>
      </c>
      <c r="G340" s="757">
        <f t="shared" si="62"/>
        <v>0</v>
      </c>
      <c r="H340" s="758" t="str">
        <f>IFERROR(INDEX('Local Data Previous Year'!$F:$F, MATCH($D340, 'Local Data Previous Year'!$D:$D, 0)), "")</f>
        <v/>
      </c>
      <c r="I340" s="759">
        <f>IF(B340=CTR1_Billing!$E$21&amp;"NEW",1,0)</f>
        <v>0</v>
      </c>
      <c r="J340" s="760" t="str">
        <f>IFERROR(INDEX('Local Data Previous Year'!$G:$G, MATCH($D340, 'Local Data Previous Year'!$D:$D, 0)), "")</f>
        <v/>
      </c>
      <c r="K340" s="762"/>
      <c r="L340" s="760" t="str">
        <f>IFERROR(INDEX('Local Data Previous Year'!$H:$H, MATCH($D340, 'Local Data Previous Year'!$D:$D, 0)), "")</f>
        <v/>
      </c>
      <c r="M340" s="762"/>
      <c r="N340" s="763"/>
      <c r="O340" s="767"/>
      <c r="P340" s="765"/>
      <c r="Q340" s="767"/>
      <c r="R340" s="766" t="str">
        <f t="shared" si="63"/>
        <v/>
      </c>
      <c r="S340" s="754"/>
      <c r="T340" s="763"/>
      <c r="U340" s="754"/>
      <c r="V340" s="763"/>
      <c r="W340" s="763"/>
      <c r="X340" s="865" t="str">
        <f>VLOOKUP(CTR1_Billing!$E$21,Data!$C$6:$D$302,1,FALSE)</f>
        <v>EZZZZ</v>
      </c>
      <c r="Y340" s="205"/>
      <c r="Z340" s="205">
        <f t="shared" si="52"/>
        <v>0</v>
      </c>
      <c r="AA340" s="206" t="str">
        <f t="shared" si="40"/>
        <v/>
      </c>
      <c r="AB340" s="205">
        <f t="shared" si="53"/>
        <v>0</v>
      </c>
      <c r="AC340" s="208"/>
      <c r="AD340" s="208"/>
      <c r="AE340" s="208"/>
      <c r="AF340" s="208"/>
      <c r="AG340" s="209" t="str">
        <f>IFERROR(INDEX('Local Data Previous Year'!$F:$F, MATCH($D340, 'Local Data Previous Year'!$D:$D, 0)), "")</f>
        <v/>
      </c>
      <c r="AH340" s="209" t="str">
        <f>IFERROR(INDEX('Local Data Previous Year'!$G:$G, MATCH($D340, 'Local Data Previous Year'!$D:$D, 0)), "")</f>
        <v/>
      </c>
      <c r="AI340" s="209" t="str">
        <f>IFERROR(INDEX('Local Data Previous Year'!$H:$H, MATCH($D340, 'Local Data Previous Year'!$D:$D, 0)), "")</f>
        <v/>
      </c>
      <c r="AJ340" s="209" t="str">
        <f t="shared" si="54"/>
        <v/>
      </c>
      <c r="AK340" s="209" t="str">
        <f t="shared" si="55"/>
        <v/>
      </c>
      <c r="AL340" s="209" t="str">
        <f t="shared" si="56"/>
        <v/>
      </c>
      <c r="AM340" s="208" t="str">
        <f>IF($AN340="","",IFERROR(VLOOKUP(CONCATENATE(CTR1_Billing!$E$20,$AN340),'Local Data Previous Year'!$C$3:$D$50000,2,0),CTR1_Billing!$E$21&amp;"NEW"))</f>
        <v/>
      </c>
      <c r="AN340" s="209" t="str" cm="1">
        <f t="array" ref="AN340">IF(ISERROR(INDEX('Local Data Previous Year'!$E$3:$E$50000, SMALL(IF(CTR1_Billing!$E$21='Local Data Previous Year'!$A$3:$A$50000, ROW('Local Data Previous Year'!$A$3:$A$50000)-ROW('Local Data Previous Year'!$A$3)+1), ROW(308:308)))), "", INDEX('Local Data Previous Year'!$E$3:$E$50000, SMALL(IF(CTR1_Billing!$E$21='Local Data Previous Year'!$A$3:$A$50000, ROW('Local Data Previous Year'!$A$3:$A$50000)-ROW('Local Data Previous Year'!$A$3)+1), ROW(308:308))))</f>
        <v/>
      </c>
      <c r="AO340" s="209" t="str">
        <f t="shared" si="57"/>
        <v/>
      </c>
      <c r="AP340" s="208"/>
      <c r="AQ340" s="209" t="str">
        <f t="shared" si="58"/>
        <v/>
      </c>
      <c r="AR340" s="209" t="str">
        <f t="shared" si="59"/>
        <v/>
      </c>
      <c r="AS340" s="202" t="str">
        <f t="shared" si="60"/>
        <v/>
      </c>
      <c r="AT340" s="202" t="str">
        <f t="shared" si="61"/>
        <v/>
      </c>
      <c r="AU340" s="208"/>
      <c r="AV340" s="208"/>
      <c r="AW340" s="208"/>
      <c r="AX340" s="208"/>
      <c r="AY340" s="208"/>
      <c r="AZ340" s="208"/>
      <c r="BA340" s="208"/>
      <c r="BB340" s="208"/>
      <c r="BC340" s="208"/>
      <c r="BD340" s="208"/>
      <c r="BE340" s="208"/>
      <c r="BF340" s="208"/>
      <c r="BG340" s="28"/>
      <c r="BH340" s="28"/>
      <c r="BI340" s="28"/>
      <c r="BJ340" s="28"/>
    </row>
    <row r="341" spans="1:62" s="23" customFormat="1" ht="21" customHeight="1" thickBot="1" x14ac:dyDescent="0.25">
      <c r="A341" s="846" t="str">
        <f>IF($AN341="","",IFERROR(VLOOKUP(CONCATENATE(CTR1_Billing!$E$20,$AN341),'Local Data Previous Year'!$C$3:$D$20000,2,0),CTR1_Billing!$E$21&amp;"NEW"))</f>
        <v/>
      </c>
      <c r="B341" s="846" t="str">
        <f>IF($E341="","",IFERROR(VLOOKUP(CONCATENATE(CTR1_Billing!$E$20,CTR1_Local!$E341),'Local Data Previous Year'!$C$3:$D$20000,2,0),CTR1_Billing!$E$21&amp;"NEW"))</f>
        <v/>
      </c>
      <c r="C341" s="846">
        <v>309</v>
      </c>
      <c r="D341" s="755" t="str" cm="1">
        <f t="array" ref="D341">IF(ISERROR(INDEX('Local Data Previous Year'!$D$3:$D$20000,SMALL(IF(CTR1_Billing!$E$21='Local Data Previous Year'!$A$3:$A$20000,ROW('Local Data Previous Year'!$A$3:$A$20000)-ROW('Local Data Previous Year'!$A$3)+1),ROW(309:309)))),"",INDEX('Local Data Previous Year'!$D$3:$D$20000,SMALL(IF(CTR1_Billing!$E$21='Local Data Previous Year'!$A$3:$A$20000,ROW('Local Data Previous Year'!$A$3:$A$20000)-ROW('Local Data Previous Year'!$A$3)+1),ROW(309:309))))</f>
        <v/>
      </c>
      <c r="E341" s="755" t="str" cm="1">
        <f t="array" ref="E341">IF(ISERROR(INDEX('Local Data Previous Year'!$E$3:$E$20000,SMALL(IF(CTR1_Billing!$E$21='Local Data Previous Year'!$A$3:$A$20000,ROW('Local Data Previous Year'!$A$3:$A$20000)-ROW('Local Data Previous Year'!$A$3)+1),ROW(309:309)))),"",INDEX('Local Data Previous Year'!$E$3:$E$20000,SMALL(IF(CTR1_Billing!$E$21='Local Data Previous Year'!$A$3:$A$20000,ROW('Local Data Previous Year'!$A$3:$A$20000)-ROW('Local Data Previous Year'!$A$3)+1),ROW(309:309))))</f>
        <v/>
      </c>
      <c r="F341" s="756" t="str">
        <f>IF($D341="","",IF(ISNA(MATCH($D341,'Local Data Previous Year'!$D$3:$D$20000,0)),"New",IFERROR(VLOOKUP($B341,'Local Data Previous Year'!$D$3:$I$20000,6,0),"")))</f>
        <v/>
      </c>
      <c r="G341" s="757">
        <f t="shared" si="62"/>
        <v>0</v>
      </c>
      <c r="H341" s="758" t="str">
        <f>IFERROR(INDEX('Local Data Previous Year'!$F:$F, MATCH($D341, 'Local Data Previous Year'!$D:$D, 0)), "")</f>
        <v/>
      </c>
      <c r="I341" s="759">
        <f>IF(B341=CTR1_Billing!$E$21&amp;"NEW",1,0)</f>
        <v>0</v>
      </c>
      <c r="J341" s="760" t="str">
        <f>IFERROR(INDEX('Local Data Previous Year'!$G:$G, MATCH($D341, 'Local Data Previous Year'!$D:$D, 0)), "")</f>
        <v/>
      </c>
      <c r="K341" s="762"/>
      <c r="L341" s="760" t="str">
        <f>IFERROR(INDEX('Local Data Previous Year'!$H:$H, MATCH($D341, 'Local Data Previous Year'!$D:$D, 0)), "")</f>
        <v/>
      </c>
      <c r="M341" s="762"/>
      <c r="N341" s="763"/>
      <c r="O341" s="767"/>
      <c r="P341" s="765"/>
      <c r="Q341" s="767"/>
      <c r="R341" s="766" t="str">
        <f t="shared" si="63"/>
        <v/>
      </c>
      <c r="S341" s="754"/>
      <c r="T341" s="763"/>
      <c r="U341" s="754"/>
      <c r="V341" s="763"/>
      <c r="W341" s="763"/>
      <c r="X341" s="865" t="str">
        <f>VLOOKUP(CTR1_Billing!$E$21,Data!$C$6:$D$302,1,FALSE)</f>
        <v>EZZZZ</v>
      </c>
      <c r="Y341" s="205"/>
      <c r="Z341" s="205">
        <f t="shared" si="52"/>
        <v>0</v>
      </c>
      <c r="AA341" s="206" t="str">
        <f t="shared" si="40"/>
        <v/>
      </c>
      <c r="AB341" s="205">
        <f t="shared" si="53"/>
        <v>0</v>
      </c>
      <c r="AC341" s="208"/>
      <c r="AD341" s="208"/>
      <c r="AE341" s="208"/>
      <c r="AF341" s="208"/>
      <c r="AG341" s="209" t="str">
        <f>IFERROR(INDEX('Local Data Previous Year'!$F:$F, MATCH($D341, 'Local Data Previous Year'!$D:$D, 0)), "")</f>
        <v/>
      </c>
      <c r="AH341" s="209" t="str">
        <f>IFERROR(INDEX('Local Data Previous Year'!$G:$G, MATCH($D341, 'Local Data Previous Year'!$D:$D, 0)), "")</f>
        <v/>
      </c>
      <c r="AI341" s="209" t="str">
        <f>IFERROR(INDEX('Local Data Previous Year'!$H:$H, MATCH($D341, 'Local Data Previous Year'!$D:$D, 0)), "")</f>
        <v/>
      </c>
      <c r="AJ341" s="209" t="str">
        <f t="shared" si="54"/>
        <v/>
      </c>
      <c r="AK341" s="209" t="str">
        <f t="shared" si="55"/>
        <v/>
      </c>
      <c r="AL341" s="209" t="str">
        <f t="shared" si="56"/>
        <v/>
      </c>
      <c r="AM341" s="208" t="str">
        <f>IF($AN341="","",IFERROR(VLOOKUP(CONCATENATE(CTR1_Billing!$E$20,$AN341),'Local Data Previous Year'!$C$3:$D$50000,2,0),CTR1_Billing!$E$21&amp;"NEW"))</f>
        <v/>
      </c>
      <c r="AN341" s="209" t="str" cm="1">
        <f t="array" ref="AN341">IF(ISERROR(INDEX('Local Data Previous Year'!$E$3:$E$50000, SMALL(IF(CTR1_Billing!$E$21='Local Data Previous Year'!$A$3:$A$50000, ROW('Local Data Previous Year'!$A$3:$A$50000)-ROW('Local Data Previous Year'!$A$3)+1), ROW(309:309)))), "", INDEX('Local Data Previous Year'!$E$3:$E$50000, SMALL(IF(CTR1_Billing!$E$21='Local Data Previous Year'!$A$3:$A$50000, ROW('Local Data Previous Year'!$A$3:$A$50000)-ROW('Local Data Previous Year'!$A$3)+1), ROW(309:309))))</f>
        <v/>
      </c>
      <c r="AO341" s="209" t="str">
        <f t="shared" si="57"/>
        <v/>
      </c>
      <c r="AP341" s="208"/>
      <c r="AQ341" s="209" t="str">
        <f t="shared" si="58"/>
        <v/>
      </c>
      <c r="AR341" s="209" t="str">
        <f t="shared" si="59"/>
        <v/>
      </c>
      <c r="AS341" s="202" t="str">
        <f t="shared" si="60"/>
        <v/>
      </c>
      <c r="AT341" s="202" t="str">
        <f t="shared" si="61"/>
        <v/>
      </c>
      <c r="AU341" s="208"/>
      <c r="AV341" s="208"/>
      <c r="AW341" s="208"/>
      <c r="AX341" s="208"/>
      <c r="AY341" s="208"/>
      <c r="AZ341" s="208"/>
      <c r="BA341" s="208"/>
      <c r="BB341" s="208"/>
      <c r="BC341" s="208"/>
      <c r="BD341" s="208"/>
      <c r="BE341" s="208"/>
      <c r="BF341" s="208"/>
      <c r="BG341" s="28"/>
      <c r="BH341" s="28"/>
      <c r="BI341" s="28"/>
      <c r="BJ341" s="28"/>
    </row>
    <row r="342" spans="1:62" s="23" customFormat="1" ht="21" customHeight="1" thickBot="1" x14ac:dyDescent="0.25">
      <c r="A342" s="846" t="str">
        <f>IF($AN342="","",IFERROR(VLOOKUP(CONCATENATE(CTR1_Billing!$E$20,$AN342),'Local Data Previous Year'!$C$3:$D$20000,2,0),CTR1_Billing!$E$21&amp;"NEW"))</f>
        <v/>
      </c>
      <c r="B342" s="846" t="str">
        <f>IF($E342="","",IFERROR(VLOOKUP(CONCATENATE(CTR1_Billing!$E$20,CTR1_Local!$E342),'Local Data Previous Year'!$C$3:$D$20000,2,0),CTR1_Billing!$E$21&amp;"NEW"))</f>
        <v/>
      </c>
      <c r="C342" s="846">
        <v>310</v>
      </c>
      <c r="D342" s="755" t="str" cm="1">
        <f t="array" ref="D342">IF(ISERROR(INDEX('Local Data Previous Year'!$D$3:$D$20000,SMALL(IF(CTR1_Billing!$E$21='Local Data Previous Year'!$A$3:$A$20000,ROW('Local Data Previous Year'!$A$3:$A$20000)-ROW('Local Data Previous Year'!$A$3)+1),ROW(310:310)))),"",INDEX('Local Data Previous Year'!$D$3:$D$20000,SMALL(IF(CTR1_Billing!$E$21='Local Data Previous Year'!$A$3:$A$20000,ROW('Local Data Previous Year'!$A$3:$A$20000)-ROW('Local Data Previous Year'!$A$3)+1),ROW(310:310))))</f>
        <v/>
      </c>
      <c r="E342" s="755" t="str" cm="1">
        <f t="array" ref="E342">IF(ISERROR(INDEX('Local Data Previous Year'!$E$3:$E$20000,SMALL(IF(CTR1_Billing!$E$21='Local Data Previous Year'!$A$3:$A$20000,ROW('Local Data Previous Year'!$A$3:$A$20000)-ROW('Local Data Previous Year'!$A$3)+1),ROW(310:310)))),"",INDEX('Local Data Previous Year'!$E$3:$E$20000,SMALL(IF(CTR1_Billing!$E$21='Local Data Previous Year'!$A$3:$A$20000,ROW('Local Data Previous Year'!$A$3:$A$20000)-ROW('Local Data Previous Year'!$A$3)+1),ROW(310:310))))</f>
        <v/>
      </c>
      <c r="F342" s="756" t="str">
        <f>IF($D342="","",IF(ISNA(MATCH($D342,'Local Data Previous Year'!$D$3:$D$20000,0)),"New",IFERROR(VLOOKUP($B342,'Local Data Previous Year'!$D$3:$I$20000,6,0),"")))</f>
        <v/>
      </c>
      <c r="G342" s="757">
        <f t="shared" si="62"/>
        <v>0</v>
      </c>
      <c r="H342" s="758" t="str">
        <f>IFERROR(INDEX('Local Data Previous Year'!$F:$F, MATCH($D342, 'Local Data Previous Year'!$D:$D, 0)), "")</f>
        <v/>
      </c>
      <c r="I342" s="759">
        <f>IF(B342=CTR1_Billing!$E$21&amp;"NEW",1,0)</f>
        <v>0</v>
      </c>
      <c r="J342" s="760" t="str">
        <f>IFERROR(INDEX('Local Data Previous Year'!$G:$G, MATCH($D342, 'Local Data Previous Year'!$D:$D, 0)), "")</f>
        <v/>
      </c>
      <c r="K342" s="762"/>
      <c r="L342" s="760" t="str">
        <f>IFERROR(INDEX('Local Data Previous Year'!$H:$H, MATCH($D342, 'Local Data Previous Year'!$D:$D, 0)), "")</f>
        <v/>
      </c>
      <c r="M342" s="762"/>
      <c r="N342" s="763"/>
      <c r="O342" s="767"/>
      <c r="P342" s="765"/>
      <c r="Q342" s="767"/>
      <c r="R342" s="766" t="str">
        <f t="shared" si="63"/>
        <v/>
      </c>
      <c r="S342" s="754"/>
      <c r="T342" s="763"/>
      <c r="U342" s="754"/>
      <c r="V342" s="763"/>
      <c r="W342" s="763"/>
      <c r="X342" s="865" t="str">
        <f>VLOOKUP(CTR1_Billing!$E$21,Data!$C$6:$D$302,1,FALSE)</f>
        <v>EZZZZ</v>
      </c>
      <c r="Y342" s="205"/>
      <c r="Z342" s="205">
        <f t="shared" si="52"/>
        <v>0</v>
      </c>
      <c r="AA342" s="206" t="str">
        <f t="shared" si="40"/>
        <v/>
      </c>
      <c r="AB342" s="205">
        <f t="shared" si="53"/>
        <v>0</v>
      </c>
      <c r="AC342" s="208"/>
      <c r="AD342" s="208"/>
      <c r="AE342" s="208"/>
      <c r="AF342" s="208"/>
      <c r="AG342" s="209" t="str">
        <f>IFERROR(INDEX('Local Data Previous Year'!$F:$F, MATCH($D342, 'Local Data Previous Year'!$D:$D, 0)), "")</f>
        <v/>
      </c>
      <c r="AH342" s="209" t="str">
        <f>IFERROR(INDEX('Local Data Previous Year'!$G:$G, MATCH($D342, 'Local Data Previous Year'!$D:$D, 0)), "")</f>
        <v/>
      </c>
      <c r="AI342" s="209" t="str">
        <f>IFERROR(INDEX('Local Data Previous Year'!$H:$H, MATCH($D342, 'Local Data Previous Year'!$D:$D, 0)), "")</f>
        <v/>
      </c>
      <c r="AJ342" s="209" t="str">
        <f t="shared" si="54"/>
        <v/>
      </c>
      <c r="AK342" s="209" t="str">
        <f t="shared" si="55"/>
        <v/>
      </c>
      <c r="AL342" s="209" t="str">
        <f t="shared" si="56"/>
        <v/>
      </c>
      <c r="AM342" s="208" t="str">
        <f>IF($AN342="","",IFERROR(VLOOKUP(CONCATENATE(CTR1_Billing!$E$20,$AN342),'Local Data Previous Year'!$C$3:$D$50000,2,0),CTR1_Billing!$E$21&amp;"NEW"))</f>
        <v/>
      </c>
      <c r="AN342" s="209" t="str" cm="1">
        <f t="array" ref="AN342">IF(ISERROR(INDEX('Local Data Previous Year'!$E$3:$E$50000, SMALL(IF(CTR1_Billing!$E$21='Local Data Previous Year'!$A$3:$A$50000, ROW('Local Data Previous Year'!$A$3:$A$50000)-ROW('Local Data Previous Year'!$A$3)+1), ROW(310:310)))), "", INDEX('Local Data Previous Year'!$E$3:$E$50000, SMALL(IF(CTR1_Billing!$E$21='Local Data Previous Year'!$A$3:$A$50000, ROW('Local Data Previous Year'!$A$3:$A$50000)-ROW('Local Data Previous Year'!$A$3)+1), ROW(310:310))))</f>
        <v/>
      </c>
      <c r="AO342" s="209" t="str">
        <f t="shared" si="57"/>
        <v/>
      </c>
      <c r="AP342" s="208"/>
      <c r="AQ342" s="209" t="str">
        <f t="shared" si="58"/>
        <v/>
      </c>
      <c r="AR342" s="209" t="str">
        <f t="shared" si="59"/>
        <v/>
      </c>
      <c r="AS342" s="202" t="str">
        <f t="shared" si="60"/>
        <v/>
      </c>
      <c r="AT342" s="202" t="str">
        <f t="shared" si="61"/>
        <v/>
      </c>
      <c r="AU342" s="208"/>
      <c r="AV342" s="208"/>
      <c r="AW342" s="208"/>
      <c r="AX342" s="208"/>
      <c r="AY342" s="208"/>
      <c r="AZ342" s="208"/>
      <c r="BA342" s="208"/>
      <c r="BB342" s="208"/>
      <c r="BC342" s="208"/>
      <c r="BD342" s="208"/>
      <c r="BE342" s="208"/>
      <c r="BF342" s="208"/>
      <c r="BG342" s="28"/>
      <c r="BH342" s="28"/>
      <c r="BI342" s="28"/>
      <c r="BJ342" s="28"/>
    </row>
    <row r="343" spans="1:62" s="23" customFormat="1" ht="21" customHeight="1" thickBot="1" x14ac:dyDescent="0.25">
      <c r="A343" s="846" t="str">
        <f>IF($AN343="","",IFERROR(VLOOKUP(CONCATENATE(CTR1_Billing!$E$20,$AN343),'Local Data Previous Year'!$C$3:$D$20000,2,0),CTR1_Billing!$E$21&amp;"NEW"))</f>
        <v/>
      </c>
      <c r="B343" s="846" t="str">
        <f>IF($E343="","",IFERROR(VLOOKUP(CONCATENATE(CTR1_Billing!$E$20,CTR1_Local!$E343),'Local Data Previous Year'!$C$3:$D$20000,2,0),CTR1_Billing!$E$21&amp;"NEW"))</f>
        <v/>
      </c>
      <c r="C343" s="846">
        <v>311</v>
      </c>
      <c r="D343" s="755" t="str" cm="1">
        <f t="array" ref="D343">IF(ISERROR(INDEX('Local Data Previous Year'!$D$3:$D$20000,SMALL(IF(CTR1_Billing!$E$21='Local Data Previous Year'!$A$3:$A$20000,ROW('Local Data Previous Year'!$A$3:$A$20000)-ROW('Local Data Previous Year'!$A$3)+1),ROW(311:311)))),"",INDEX('Local Data Previous Year'!$D$3:$D$20000,SMALL(IF(CTR1_Billing!$E$21='Local Data Previous Year'!$A$3:$A$20000,ROW('Local Data Previous Year'!$A$3:$A$20000)-ROW('Local Data Previous Year'!$A$3)+1),ROW(311:311))))</f>
        <v/>
      </c>
      <c r="E343" s="755" t="str" cm="1">
        <f t="array" ref="E343">IF(ISERROR(INDEX('Local Data Previous Year'!$E$3:$E$20000,SMALL(IF(CTR1_Billing!$E$21='Local Data Previous Year'!$A$3:$A$20000,ROW('Local Data Previous Year'!$A$3:$A$20000)-ROW('Local Data Previous Year'!$A$3)+1),ROW(311:311)))),"",INDEX('Local Data Previous Year'!$E$3:$E$20000,SMALL(IF(CTR1_Billing!$E$21='Local Data Previous Year'!$A$3:$A$20000,ROW('Local Data Previous Year'!$A$3:$A$20000)-ROW('Local Data Previous Year'!$A$3)+1),ROW(311:311))))</f>
        <v/>
      </c>
      <c r="F343" s="756" t="str">
        <f>IF($D343="","",IF(ISNA(MATCH($D343,'Local Data Previous Year'!$D$3:$D$20000,0)),"New",IFERROR(VLOOKUP($B343,'Local Data Previous Year'!$D$3:$I$20000,6,0),"")))</f>
        <v/>
      </c>
      <c r="G343" s="757">
        <f t="shared" si="62"/>
        <v>0</v>
      </c>
      <c r="H343" s="758" t="str">
        <f>IFERROR(INDEX('Local Data Previous Year'!$F:$F, MATCH($D343, 'Local Data Previous Year'!$D:$D, 0)), "")</f>
        <v/>
      </c>
      <c r="I343" s="759">
        <f>IF(B343=CTR1_Billing!$E$21&amp;"NEW",1,0)</f>
        <v>0</v>
      </c>
      <c r="J343" s="760" t="str">
        <f>IFERROR(INDEX('Local Data Previous Year'!$G:$G, MATCH($D343, 'Local Data Previous Year'!$D:$D, 0)), "")</f>
        <v/>
      </c>
      <c r="K343" s="762"/>
      <c r="L343" s="760" t="str">
        <f>IFERROR(INDEX('Local Data Previous Year'!$H:$H, MATCH($D343, 'Local Data Previous Year'!$D:$D, 0)), "")</f>
        <v/>
      </c>
      <c r="M343" s="762"/>
      <c r="N343" s="763"/>
      <c r="O343" s="767"/>
      <c r="P343" s="765"/>
      <c r="Q343" s="767"/>
      <c r="R343" s="766" t="str">
        <f t="shared" si="63"/>
        <v/>
      </c>
      <c r="S343" s="754"/>
      <c r="T343" s="763"/>
      <c r="U343" s="754"/>
      <c r="V343" s="763"/>
      <c r="W343" s="763"/>
      <c r="X343" s="865" t="str">
        <f>VLOOKUP(CTR1_Billing!$E$21,Data!$C$6:$D$302,1,FALSE)</f>
        <v>EZZZZ</v>
      </c>
      <c r="Y343" s="205"/>
      <c r="Z343" s="205">
        <f t="shared" si="52"/>
        <v>0</v>
      </c>
      <c r="AA343" s="206" t="str">
        <f t="shared" si="40"/>
        <v/>
      </c>
      <c r="AB343" s="205">
        <f t="shared" si="53"/>
        <v>0</v>
      </c>
      <c r="AC343" s="208"/>
      <c r="AD343" s="208"/>
      <c r="AE343" s="208"/>
      <c r="AF343" s="208"/>
      <c r="AG343" s="209" t="str">
        <f>IFERROR(INDEX('Local Data Previous Year'!$F:$F, MATCH($D343, 'Local Data Previous Year'!$D:$D, 0)), "")</f>
        <v/>
      </c>
      <c r="AH343" s="209" t="str">
        <f>IFERROR(INDEX('Local Data Previous Year'!$G:$G, MATCH($D343, 'Local Data Previous Year'!$D:$D, 0)), "")</f>
        <v/>
      </c>
      <c r="AI343" s="209" t="str">
        <f>IFERROR(INDEX('Local Data Previous Year'!$H:$H, MATCH($D343, 'Local Data Previous Year'!$D:$D, 0)), "")</f>
        <v/>
      </c>
      <c r="AJ343" s="209" t="str">
        <f t="shared" si="54"/>
        <v/>
      </c>
      <c r="AK343" s="209" t="str">
        <f t="shared" si="55"/>
        <v/>
      </c>
      <c r="AL343" s="209" t="str">
        <f t="shared" si="56"/>
        <v/>
      </c>
      <c r="AM343" s="208" t="str">
        <f>IF($AN343="","",IFERROR(VLOOKUP(CONCATENATE(CTR1_Billing!$E$20,$AN343),'Local Data Previous Year'!$C$3:$D$50000,2,0),CTR1_Billing!$E$21&amp;"NEW"))</f>
        <v/>
      </c>
      <c r="AN343" s="209" t="str" cm="1">
        <f t="array" ref="AN343">IF(ISERROR(INDEX('Local Data Previous Year'!$E$3:$E$50000, SMALL(IF(CTR1_Billing!$E$21='Local Data Previous Year'!$A$3:$A$50000, ROW('Local Data Previous Year'!$A$3:$A$50000)-ROW('Local Data Previous Year'!$A$3)+1), ROW(311:311)))), "", INDEX('Local Data Previous Year'!$E$3:$E$50000, SMALL(IF(CTR1_Billing!$E$21='Local Data Previous Year'!$A$3:$A$50000, ROW('Local Data Previous Year'!$A$3:$A$50000)-ROW('Local Data Previous Year'!$A$3)+1), ROW(311:311))))</f>
        <v/>
      </c>
      <c r="AO343" s="209" t="str">
        <f t="shared" si="57"/>
        <v/>
      </c>
      <c r="AP343" s="208"/>
      <c r="AQ343" s="209" t="str">
        <f t="shared" si="58"/>
        <v/>
      </c>
      <c r="AR343" s="209" t="str">
        <f t="shared" si="59"/>
        <v/>
      </c>
      <c r="AS343" s="202" t="str">
        <f t="shared" si="60"/>
        <v/>
      </c>
      <c r="AT343" s="202" t="str">
        <f t="shared" si="61"/>
        <v/>
      </c>
      <c r="AU343" s="208"/>
      <c r="AV343" s="208"/>
      <c r="AW343" s="208"/>
      <c r="AX343" s="208"/>
      <c r="AY343" s="208"/>
      <c r="AZ343" s="208"/>
      <c r="BA343" s="208"/>
      <c r="BB343" s="208"/>
      <c r="BC343" s="208"/>
      <c r="BD343" s="208"/>
      <c r="BE343" s="208"/>
      <c r="BF343" s="208"/>
      <c r="BG343" s="28"/>
      <c r="BH343" s="28"/>
      <c r="BI343" s="28"/>
      <c r="BJ343" s="28"/>
    </row>
    <row r="344" spans="1:62" s="23" customFormat="1" ht="21" customHeight="1" thickBot="1" x14ac:dyDescent="0.25">
      <c r="A344" s="846" t="str">
        <f>IF($AN344="","",IFERROR(VLOOKUP(CONCATENATE(CTR1_Billing!$E$20,$AN344),'Local Data Previous Year'!$C$3:$D$20000,2,0),CTR1_Billing!$E$21&amp;"NEW"))</f>
        <v/>
      </c>
      <c r="B344" s="846" t="str">
        <f>IF($E344="","",IFERROR(VLOOKUP(CONCATENATE(CTR1_Billing!$E$20,CTR1_Local!$E344),'Local Data Previous Year'!$C$3:$D$20000,2,0),CTR1_Billing!$E$21&amp;"NEW"))</f>
        <v/>
      </c>
      <c r="C344" s="846">
        <v>312</v>
      </c>
      <c r="D344" s="755" t="str" cm="1">
        <f t="array" ref="D344">IF(ISERROR(INDEX('Local Data Previous Year'!$D$3:$D$20000,SMALL(IF(CTR1_Billing!$E$21='Local Data Previous Year'!$A$3:$A$20000,ROW('Local Data Previous Year'!$A$3:$A$20000)-ROW('Local Data Previous Year'!$A$3)+1),ROW(312:312)))),"",INDEX('Local Data Previous Year'!$D$3:$D$20000,SMALL(IF(CTR1_Billing!$E$21='Local Data Previous Year'!$A$3:$A$20000,ROW('Local Data Previous Year'!$A$3:$A$20000)-ROW('Local Data Previous Year'!$A$3)+1),ROW(312:312))))</f>
        <v/>
      </c>
      <c r="E344" s="755" t="str" cm="1">
        <f t="array" ref="E344">IF(ISERROR(INDEX('Local Data Previous Year'!$E$3:$E$20000,SMALL(IF(CTR1_Billing!$E$21='Local Data Previous Year'!$A$3:$A$20000,ROW('Local Data Previous Year'!$A$3:$A$20000)-ROW('Local Data Previous Year'!$A$3)+1),ROW(312:312)))),"",INDEX('Local Data Previous Year'!$E$3:$E$20000,SMALL(IF(CTR1_Billing!$E$21='Local Data Previous Year'!$A$3:$A$20000,ROW('Local Data Previous Year'!$A$3:$A$20000)-ROW('Local Data Previous Year'!$A$3)+1),ROW(312:312))))</f>
        <v/>
      </c>
      <c r="F344" s="756" t="str">
        <f>IF($D344="","",IF(ISNA(MATCH($D344,'Local Data Previous Year'!$D$3:$D$20000,0)),"New",IFERROR(VLOOKUP($B344,'Local Data Previous Year'!$D$3:$I$20000,6,0),"")))</f>
        <v/>
      </c>
      <c r="G344" s="757">
        <f t="shared" si="62"/>
        <v>0</v>
      </c>
      <c r="H344" s="758" t="str">
        <f>IFERROR(INDEX('Local Data Previous Year'!$F:$F, MATCH($D344, 'Local Data Previous Year'!$D:$D, 0)), "")</f>
        <v/>
      </c>
      <c r="I344" s="759">
        <f>IF(B344=CTR1_Billing!$E$21&amp;"NEW",1,0)</f>
        <v>0</v>
      </c>
      <c r="J344" s="760" t="str">
        <f>IFERROR(INDEX('Local Data Previous Year'!$G:$G, MATCH($D344, 'Local Data Previous Year'!$D:$D, 0)), "")</f>
        <v/>
      </c>
      <c r="K344" s="762"/>
      <c r="L344" s="760" t="str">
        <f>IFERROR(INDEX('Local Data Previous Year'!$H:$H, MATCH($D344, 'Local Data Previous Year'!$D:$D, 0)), "")</f>
        <v/>
      </c>
      <c r="M344" s="762"/>
      <c r="N344" s="763"/>
      <c r="O344" s="767"/>
      <c r="P344" s="765"/>
      <c r="Q344" s="767"/>
      <c r="R344" s="766" t="str">
        <f t="shared" si="63"/>
        <v/>
      </c>
      <c r="S344" s="754"/>
      <c r="T344" s="763"/>
      <c r="U344" s="754"/>
      <c r="V344" s="763"/>
      <c r="W344" s="763"/>
      <c r="X344" s="865" t="str">
        <f>VLOOKUP(CTR1_Billing!$E$21,Data!$C$6:$D$302,1,FALSE)</f>
        <v>EZZZZ</v>
      </c>
      <c r="Y344" s="205"/>
      <c r="Z344" s="205">
        <f t="shared" si="52"/>
        <v>0</v>
      </c>
      <c r="AA344" s="206" t="str">
        <f t="shared" si="40"/>
        <v/>
      </c>
      <c r="AB344" s="205">
        <f t="shared" si="53"/>
        <v>0</v>
      </c>
      <c r="AC344" s="208"/>
      <c r="AD344" s="208"/>
      <c r="AE344" s="208"/>
      <c r="AF344" s="208"/>
      <c r="AG344" s="209" t="str">
        <f>IFERROR(INDEX('Local Data Previous Year'!$F:$F, MATCH($D344, 'Local Data Previous Year'!$D:$D, 0)), "")</f>
        <v/>
      </c>
      <c r="AH344" s="209" t="str">
        <f>IFERROR(INDEX('Local Data Previous Year'!$G:$G, MATCH($D344, 'Local Data Previous Year'!$D:$D, 0)), "")</f>
        <v/>
      </c>
      <c r="AI344" s="209" t="str">
        <f>IFERROR(INDEX('Local Data Previous Year'!$H:$H, MATCH($D344, 'Local Data Previous Year'!$D:$D, 0)), "")</f>
        <v/>
      </c>
      <c r="AJ344" s="209" t="str">
        <f t="shared" si="54"/>
        <v/>
      </c>
      <c r="AK344" s="209" t="str">
        <f t="shared" si="55"/>
        <v/>
      </c>
      <c r="AL344" s="209" t="str">
        <f t="shared" si="56"/>
        <v/>
      </c>
      <c r="AM344" s="208" t="str">
        <f>IF($AN344="","",IFERROR(VLOOKUP(CONCATENATE(CTR1_Billing!$E$20,$AN344),'Local Data Previous Year'!$C$3:$D$50000,2,0),CTR1_Billing!$E$21&amp;"NEW"))</f>
        <v/>
      </c>
      <c r="AN344" s="209" t="str" cm="1">
        <f t="array" ref="AN344">IF(ISERROR(INDEX('Local Data Previous Year'!$E$3:$E$50000, SMALL(IF(CTR1_Billing!$E$21='Local Data Previous Year'!$A$3:$A$50000, ROW('Local Data Previous Year'!$A$3:$A$50000)-ROW('Local Data Previous Year'!$A$3)+1), ROW(312:312)))), "", INDEX('Local Data Previous Year'!$E$3:$E$50000, SMALL(IF(CTR1_Billing!$E$21='Local Data Previous Year'!$A$3:$A$50000, ROW('Local Data Previous Year'!$A$3:$A$50000)-ROW('Local Data Previous Year'!$A$3)+1), ROW(312:312))))</f>
        <v/>
      </c>
      <c r="AO344" s="209" t="str">
        <f t="shared" si="57"/>
        <v/>
      </c>
      <c r="AP344" s="208"/>
      <c r="AQ344" s="209" t="str">
        <f t="shared" si="58"/>
        <v/>
      </c>
      <c r="AR344" s="209" t="str">
        <f t="shared" si="59"/>
        <v/>
      </c>
      <c r="AS344" s="202" t="str">
        <f t="shared" si="60"/>
        <v/>
      </c>
      <c r="AT344" s="202" t="str">
        <f t="shared" si="61"/>
        <v/>
      </c>
      <c r="AU344" s="208"/>
      <c r="AV344" s="208"/>
      <c r="AW344" s="208"/>
      <c r="AX344" s="208"/>
      <c r="AY344" s="208"/>
      <c r="AZ344" s="208"/>
      <c r="BA344" s="208"/>
      <c r="BB344" s="208"/>
      <c r="BC344" s="208"/>
      <c r="BD344" s="208"/>
      <c r="BE344" s="208"/>
      <c r="BF344" s="208"/>
      <c r="BG344" s="28"/>
      <c r="BH344" s="28"/>
      <c r="BI344" s="28"/>
      <c r="BJ344" s="28"/>
    </row>
    <row r="345" spans="1:62" s="23" customFormat="1" ht="21" customHeight="1" thickBot="1" x14ac:dyDescent="0.25">
      <c r="A345" s="846" t="str">
        <f>IF($AN345="","",IFERROR(VLOOKUP(CONCATENATE(CTR1_Billing!$E$20,$AN345),'Local Data Previous Year'!$C$3:$D$20000,2,0),CTR1_Billing!$E$21&amp;"NEW"))</f>
        <v/>
      </c>
      <c r="B345" s="846" t="str">
        <f>IF($E345="","",IFERROR(VLOOKUP(CONCATENATE(CTR1_Billing!$E$20,CTR1_Local!$E345),'Local Data Previous Year'!$C$3:$D$20000,2,0),CTR1_Billing!$E$21&amp;"NEW"))</f>
        <v/>
      </c>
      <c r="C345" s="846">
        <v>313</v>
      </c>
      <c r="D345" s="755" t="str" cm="1">
        <f t="array" ref="D345">IF(ISERROR(INDEX('Local Data Previous Year'!$D$3:$D$20000,SMALL(IF(CTR1_Billing!$E$21='Local Data Previous Year'!$A$3:$A$20000,ROW('Local Data Previous Year'!$A$3:$A$20000)-ROW('Local Data Previous Year'!$A$3)+1),ROW(313:313)))),"",INDEX('Local Data Previous Year'!$D$3:$D$20000,SMALL(IF(CTR1_Billing!$E$21='Local Data Previous Year'!$A$3:$A$20000,ROW('Local Data Previous Year'!$A$3:$A$20000)-ROW('Local Data Previous Year'!$A$3)+1),ROW(313:313))))</f>
        <v/>
      </c>
      <c r="E345" s="755" t="str" cm="1">
        <f t="array" ref="E345">IF(ISERROR(INDEX('Local Data Previous Year'!$E$3:$E$20000,SMALL(IF(CTR1_Billing!$E$21='Local Data Previous Year'!$A$3:$A$20000,ROW('Local Data Previous Year'!$A$3:$A$20000)-ROW('Local Data Previous Year'!$A$3)+1),ROW(313:313)))),"",INDEX('Local Data Previous Year'!$E$3:$E$20000,SMALL(IF(CTR1_Billing!$E$21='Local Data Previous Year'!$A$3:$A$20000,ROW('Local Data Previous Year'!$A$3:$A$20000)-ROW('Local Data Previous Year'!$A$3)+1),ROW(313:313))))</f>
        <v/>
      </c>
      <c r="F345" s="756" t="str">
        <f>IF($D345="","",IF(ISNA(MATCH($D345,'Local Data Previous Year'!$D$3:$D$20000,0)),"New",IFERROR(VLOOKUP($B345,'Local Data Previous Year'!$D$3:$I$20000,6,0),"")))</f>
        <v/>
      </c>
      <c r="G345" s="757">
        <f t="shared" si="62"/>
        <v>0</v>
      </c>
      <c r="H345" s="758" t="str">
        <f>IFERROR(INDEX('Local Data Previous Year'!$F:$F, MATCH($D345, 'Local Data Previous Year'!$D:$D, 0)), "")</f>
        <v/>
      </c>
      <c r="I345" s="759">
        <f>IF(B345=CTR1_Billing!$E$21&amp;"NEW",1,0)</f>
        <v>0</v>
      </c>
      <c r="J345" s="760" t="str">
        <f>IFERROR(INDEX('Local Data Previous Year'!$G:$G, MATCH($D345, 'Local Data Previous Year'!$D:$D, 0)), "")</f>
        <v/>
      </c>
      <c r="K345" s="762"/>
      <c r="L345" s="760" t="str">
        <f>IFERROR(INDEX('Local Data Previous Year'!$H:$H, MATCH($D345, 'Local Data Previous Year'!$D:$D, 0)), "")</f>
        <v/>
      </c>
      <c r="M345" s="762"/>
      <c r="N345" s="763"/>
      <c r="O345" s="767"/>
      <c r="P345" s="765"/>
      <c r="Q345" s="767"/>
      <c r="R345" s="766" t="str">
        <f t="shared" si="63"/>
        <v/>
      </c>
      <c r="S345" s="754"/>
      <c r="T345" s="763"/>
      <c r="U345" s="754"/>
      <c r="V345" s="763"/>
      <c r="W345" s="763"/>
      <c r="X345" s="865" t="str">
        <f>VLOOKUP(CTR1_Billing!$E$21,Data!$C$6:$D$302,1,FALSE)</f>
        <v>EZZZZ</v>
      </c>
      <c r="Y345" s="205"/>
      <c r="Z345" s="205">
        <f t="shared" si="52"/>
        <v>0</v>
      </c>
      <c r="AA345" s="206" t="str">
        <f t="shared" si="40"/>
        <v/>
      </c>
      <c r="AB345" s="205">
        <f t="shared" si="53"/>
        <v>0</v>
      </c>
      <c r="AC345" s="208"/>
      <c r="AD345" s="208"/>
      <c r="AE345" s="208"/>
      <c r="AF345" s="208"/>
      <c r="AG345" s="209" t="str">
        <f>IFERROR(INDEX('Local Data Previous Year'!$F:$F, MATCH($D345, 'Local Data Previous Year'!$D:$D, 0)), "")</f>
        <v/>
      </c>
      <c r="AH345" s="209" t="str">
        <f>IFERROR(INDEX('Local Data Previous Year'!$G:$G, MATCH($D345, 'Local Data Previous Year'!$D:$D, 0)), "")</f>
        <v/>
      </c>
      <c r="AI345" s="209" t="str">
        <f>IFERROR(INDEX('Local Data Previous Year'!$H:$H, MATCH($D345, 'Local Data Previous Year'!$D:$D, 0)), "")</f>
        <v/>
      </c>
      <c r="AJ345" s="209" t="str">
        <f t="shared" si="54"/>
        <v/>
      </c>
      <c r="AK345" s="209" t="str">
        <f t="shared" si="55"/>
        <v/>
      </c>
      <c r="AL345" s="209" t="str">
        <f t="shared" si="56"/>
        <v/>
      </c>
      <c r="AM345" s="208" t="str">
        <f>IF($AN345="","",IFERROR(VLOOKUP(CONCATENATE(CTR1_Billing!$E$20,$AN345),'Local Data Previous Year'!$C$3:$D$50000,2,0),CTR1_Billing!$E$21&amp;"NEW"))</f>
        <v/>
      </c>
      <c r="AN345" s="209" t="str" cm="1">
        <f t="array" ref="AN345">IF(ISERROR(INDEX('Local Data Previous Year'!$E$3:$E$50000, SMALL(IF(CTR1_Billing!$E$21='Local Data Previous Year'!$A$3:$A$50000, ROW('Local Data Previous Year'!$A$3:$A$50000)-ROW('Local Data Previous Year'!$A$3)+1), ROW(313:313)))), "", INDEX('Local Data Previous Year'!$E$3:$E$50000, SMALL(IF(CTR1_Billing!$E$21='Local Data Previous Year'!$A$3:$A$50000, ROW('Local Data Previous Year'!$A$3:$A$50000)-ROW('Local Data Previous Year'!$A$3)+1), ROW(313:313))))</f>
        <v/>
      </c>
      <c r="AO345" s="209" t="str">
        <f t="shared" si="57"/>
        <v/>
      </c>
      <c r="AP345" s="208"/>
      <c r="AQ345" s="209" t="str">
        <f t="shared" si="58"/>
        <v/>
      </c>
      <c r="AR345" s="209" t="str">
        <f t="shared" si="59"/>
        <v/>
      </c>
      <c r="AS345" s="202" t="str">
        <f t="shared" si="60"/>
        <v/>
      </c>
      <c r="AT345" s="202" t="str">
        <f t="shared" si="61"/>
        <v/>
      </c>
      <c r="AU345" s="208"/>
      <c r="AV345" s="208"/>
      <c r="AW345" s="208"/>
      <c r="AX345" s="208"/>
      <c r="AY345" s="208"/>
      <c r="AZ345" s="208"/>
      <c r="BA345" s="208"/>
      <c r="BB345" s="208"/>
      <c r="BC345" s="208"/>
      <c r="BD345" s="208"/>
      <c r="BE345" s="208"/>
      <c r="BF345" s="208"/>
      <c r="BG345" s="28"/>
      <c r="BH345" s="28"/>
      <c r="BI345" s="28"/>
      <c r="BJ345" s="28"/>
    </row>
    <row r="346" spans="1:62" s="23" customFormat="1" ht="21" customHeight="1" thickBot="1" x14ac:dyDescent="0.25">
      <c r="A346" s="846" t="str">
        <f>IF($AN346="","",IFERROR(VLOOKUP(CONCATENATE(CTR1_Billing!$E$20,$AN346),'Local Data Previous Year'!$C$3:$D$20000,2,0),CTR1_Billing!$E$21&amp;"NEW"))</f>
        <v/>
      </c>
      <c r="B346" s="846" t="str">
        <f>IF($E346="","",IFERROR(VLOOKUP(CONCATENATE(CTR1_Billing!$E$20,CTR1_Local!$E346),'Local Data Previous Year'!$C$3:$D$20000,2,0),CTR1_Billing!$E$21&amp;"NEW"))</f>
        <v/>
      </c>
      <c r="C346" s="846">
        <v>314</v>
      </c>
      <c r="D346" s="755" t="str" cm="1">
        <f t="array" ref="D346">IF(ISERROR(INDEX('Local Data Previous Year'!$D$3:$D$20000,SMALL(IF(CTR1_Billing!$E$21='Local Data Previous Year'!$A$3:$A$20000,ROW('Local Data Previous Year'!$A$3:$A$20000)-ROW('Local Data Previous Year'!$A$3)+1),ROW(314:314)))),"",INDEX('Local Data Previous Year'!$D$3:$D$20000,SMALL(IF(CTR1_Billing!$E$21='Local Data Previous Year'!$A$3:$A$20000,ROW('Local Data Previous Year'!$A$3:$A$20000)-ROW('Local Data Previous Year'!$A$3)+1),ROW(314:314))))</f>
        <v/>
      </c>
      <c r="E346" s="755" t="str" cm="1">
        <f t="array" ref="E346">IF(ISERROR(INDEX('Local Data Previous Year'!$E$3:$E$20000,SMALL(IF(CTR1_Billing!$E$21='Local Data Previous Year'!$A$3:$A$20000,ROW('Local Data Previous Year'!$A$3:$A$20000)-ROW('Local Data Previous Year'!$A$3)+1),ROW(314:314)))),"",INDEX('Local Data Previous Year'!$E$3:$E$20000,SMALL(IF(CTR1_Billing!$E$21='Local Data Previous Year'!$A$3:$A$20000,ROW('Local Data Previous Year'!$A$3:$A$20000)-ROW('Local Data Previous Year'!$A$3)+1),ROW(314:314))))</f>
        <v/>
      </c>
      <c r="F346" s="756" t="str">
        <f>IF($D346="","",IF(ISNA(MATCH($D346,'Local Data Previous Year'!$D$3:$D$20000,0)),"New",IFERROR(VLOOKUP($B346,'Local Data Previous Year'!$D$3:$I$20000,6,0),"")))</f>
        <v/>
      </c>
      <c r="G346" s="757">
        <f t="shared" si="62"/>
        <v>0</v>
      </c>
      <c r="H346" s="758" t="str">
        <f>IFERROR(INDEX('Local Data Previous Year'!$F:$F, MATCH($D346, 'Local Data Previous Year'!$D:$D, 0)), "")</f>
        <v/>
      </c>
      <c r="I346" s="759">
        <f>IF(B346=CTR1_Billing!$E$21&amp;"NEW",1,0)</f>
        <v>0</v>
      </c>
      <c r="J346" s="760" t="str">
        <f>IFERROR(INDEX('Local Data Previous Year'!$G:$G, MATCH($D346, 'Local Data Previous Year'!$D:$D, 0)), "")</f>
        <v/>
      </c>
      <c r="K346" s="762"/>
      <c r="L346" s="760" t="str">
        <f>IFERROR(INDEX('Local Data Previous Year'!$H:$H, MATCH($D346, 'Local Data Previous Year'!$D:$D, 0)), "")</f>
        <v/>
      </c>
      <c r="M346" s="762"/>
      <c r="N346" s="763"/>
      <c r="O346" s="767"/>
      <c r="P346" s="765"/>
      <c r="Q346" s="767"/>
      <c r="R346" s="766" t="str">
        <f t="shared" si="63"/>
        <v/>
      </c>
      <c r="S346" s="754"/>
      <c r="T346" s="763"/>
      <c r="U346" s="754"/>
      <c r="V346" s="763"/>
      <c r="W346" s="763"/>
      <c r="X346" s="865" t="str">
        <f>VLOOKUP(CTR1_Billing!$E$21,Data!$C$6:$D$302,1,FALSE)</f>
        <v>EZZZZ</v>
      </c>
      <c r="Y346" s="205"/>
      <c r="Z346" s="205">
        <f t="shared" si="52"/>
        <v>0</v>
      </c>
      <c r="AA346" s="206" t="str">
        <f t="shared" si="40"/>
        <v/>
      </c>
      <c r="AB346" s="205">
        <f t="shared" si="53"/>
        <v>0</v>
      </c>
      <c r="AC346" s="208"/>
      <c r="AD346" s="208"/>
      <c r="AE346" s="208"/>
      <c r="AF346" s="208"/>
      <c r="AG346" s="209" t="str">
        <f>IFERROR(INDEX('Local Data Previous Year'!$F:$F, MATCH($D346, 'Local Data Previous Year'!$D:$D, 0)), "")</f>
        <v/>
      </c>
      <c r="AH346" s="209" t="str">
        <f>IFERROR(INDEX('Local Data Previous Year'!$G:$G, MATCH($D346, 'Local Data Previous Year'!$D:$D, 0)), "")</f>
        <v/>
      </c>
      <c r="AI346" s="209" t="str">
        <f>IFERROR(INDEX('Local Data Previous Year'!$H:$H, MATCH($D346, 'Local Data Previous Year'!$D:$D, 0)), "")</f>
        <v/>
      </c>
      <c r="AJ346" s="209" t="str">
        <f t="shared" si="54"/>
        <v/>
      </c>
      <c r="AK346" s="209" t="str">
        <f t="shared" si="55"/>
        <v/>
      </c>
      <c r="AL346" s="209" t="str">
        <f t="shared" si="56"/>
        <v/>
      </c>
      <c r="AM346" s="208" t="str">
        <f>IF($AN346="","",IFERROR(VLOOKUP(CONCATENATE(CTR1_Billing!$E$20,$AN346),'Local Data Previous Year'!$C$3:$D$50000,2,0),CTR1_Billing!$E$21&amp;"NEW"))</f>
        <v/>
      </c>
      <c r="AN346" s="209" t="str" cm="1">
        <f t="array" ref="AN346">IF(ISERROR(INDEX('Local Data Previous Year'!$E$3:$E$50000, SMALL(IF(CTR1_Billing!$E$21='Local Data Previous Year'!$A$3:$A$50000, ROW('Local Data Previous Year'!$A$3:$A$50000)-ROW('Local Data Previous Year'!$A$3)+1), ROW(314:314)))), "", INDEX('Local Data Previous Year'!$E$3:$E$50000, SMALL(IF(CTR1_Billing!$E$21='Local Data Previous Year'!$A$3:$A$50000, ROW('Local Data Previous Year'!$A$3:$A$50000)-ROW('Local Data Previous Year'!$A$3)+1), ROW(314:314))))</f>
        <v/>
      </c>
      <c r="AO346" s="209" t="str">
        <f t="shared" si="57"/>
        <v/>
      </c>
      <c r="AP346" s="208"/>
      <c r="AQ346" s="209" t="str">
        <f t="shared" si="58"/>
        <v/>
      </c>
      <c r="AR346" s="209" t="str">
        <f t="shared" si="59"/>
        <v/>
      </c>
      <c r="AS346" s="202" t="str">
        <f t="shared" si="60"/>
        <v/>
      </c>
      <c r="AT346" s="202" t="str">
        <f t="shared" si="61"/>
        <v/>
      </c>
      <c r="AU346" s="208"/>
      <c r="AV346" s="208"/>
      <c r="AW346" s="208"/>
      <c r="AX346" s="208"/>
      <c r="AY346" s="208"/>
      <c r="AZ346" s="208"/>
      <c r="BA346" s="208"/>
      <c r="BB346" s="208"/>
      <c r="BC346" s="208"/>
      <c r="BD346" s="208"/>
      <c r="BE346" s="208"/>
      <c r="BF346" s="208"/>
      <c r="BG346" s="28"/>
      <c r="BH346" s="28"/>
      <c r="BI346" s="28"/>
      <c r="BJ346" s="28"/>
    </row>
    <row r="347" spans="1:62" s="23" customFormat="1" ht="21" customHeight="1" thickBot="1" x14ac:dyDescent="0.25">
      <c r="A347" s="846" t="str">
        <f>IF($AN347="","",IFERROR(VLOOKUP(CONCATENATE(CTR1_Billing!$E$20,$AN347),'Local Data Previous Year'!$C$3:$D$20000,2,0),CTR1_Billing!$E$21&amp;"NEW"))</f>
        <v/>
      </c>
      <c r="B347" s="846" t="str">
        <f>IF($E347="","",IFERROR(VLOOKUP(CONCATENATE(CTR1_Billing!$E$20,CTR1_Local!$E347),'Local Data Previous Year'!$C$3:$D$20000,2,0),CTR1_Billing!$E$21&amp;"NEW"))</f>
        <v/>
      </c>
      <c r="C347" s="846">
        <v>315</v>
      </c>
      <c r="D347" s="755" t="str" cm="1">
        <f t="array" ref="D347">IF(ISERROR(INDEX('Local Data Previous Year'!$D$3:$D$20000,SMALL(IF(CTR1_Billing!$E$21='Local Data Previous Year'!$A$3:$A$20000,ROW('Local Data Previous Year'!$A$3:$A$20000)-ROW('Local Data Previous Year'!$A$3)+1),ROW(315:315)))),"",INDEX('Local Data Previous Year'!$D$3:$D$20000,SMALL(IF(CTR1_Billing!$E$21='Local Data Previous Year'!$A$3:$A$20000,ROW('Local Data Previous Year'!$A$3:$A$20000)-ROW('Local Data Previous Year'!$A$3)+1),ROW(315:315))))</f>
        <v/>
      </c>
      <c r="E347" s="755" t="str" cm="1">
        <f t="array" ref="E347">IF(ISERROR(INDEX('Local Data Previous Year'!$E$3:$E$20000,SMALL(IF(CTR1_Billing!$E$21='Local Data Previous Year'!$A$3:$A$20000,ROW('Local Data Previous Year'!$A$3:$A$20000)-ROW('Local Data Previous Year'!$A$3)+1),ROW(315:315)))),"",INDEX('Local Data Previous Year'!$E$3:$E$20000,SMALL(IF(CTR1_Billing!$E$21='Local Data Previous Year'!$A$3:$A$20000,ROW('Local Data Previous Year'!$A$3:$A$20000)-ROW('Local Data Previous Year'!$A$3)+1),ROW(315:315))))</f>
        <v/>
      </c>
      <c r="F347" s="756" t="str">
        <f>IF($D347="","",IF(ISNA(MATCH($D347,'Local Data Previous Year'!$D$3:$D$20000,0)),"New",IFERROR(VLOOKUP($B347,'Local Data Previous Year'!$D$3:$I$20000,6,0),"")))</f>
        <v/>
      </c>
      <c r="G347" s="757">
        <f t="shared" si="62"/>
        <v>0</v>
      </c>
      <c r="H347" s="758" t="str">
        <f>IFERROR(INDEX('Local Data Previous Year'!$F:$F, MATCH($D347, 'Local Data Previous Year'!$D:$D, 0)), "")</f>
        <v/>
      </c>
      <c r="I347" s="759">
        <f>IF(B347=CTR1_Billing!$E$21&amp;"NEW",1,0)</f>
        <v>0</v>
      </c>
      <c r="J347" s="760" t="str">
        <f>IFERROR(INDEX('Local Data Previous Year'!$G:$G, MATCH($D347, 'Local Data Previous Year'!$D:$D, 0)), "")</f>
        <v/>
      </c>
      <c r="K347" s="762"/>
      <c r="L347" s="760" t="str">
        <f>IFERROR(INDEX('Local Data Previous Year'!$H:$H, MATCH($D347, 'Local Data Previous Year'!$D:$D, 0)), "")</f>
        <v/>
      </c>
      <c r="M347" s="762"/>
      <c r="N347" s="763"/>
      <c r="O347" s="767"/>
      <c r="P347" s="765"/>
      <c r="Q347" s="767"/>
      <c r="R347" s="766" t="str">
        <f t="shared" si="63"/>
        <v/>
      </c>
      <c r="S347" s="754"/>
      <c r="T347" s="763"/>
      <c r="U347" s="754"/>
      <c r="V347" s="763"/>
      <c r="W347" s="763"/>
      <c r="X347" s="865" t="str">
        <f>VLOOKUP(CTR1_Billing!$E$21,Data!$C$6:$D$302,1,FALSE)</f>
        <v>EZZZZ</v>
      </c>
      <c r="Y347" s="205"/>
      <c r="Z347" s="205">
        <f t="shared" si="52"/>
        <v>0</v>
      </c>
      <c r="AA347" s="206" t="str">
        <f t="shared" si="40"/>
        <v/>
      </c>
      <c r="AB347" s="205">
        <f t="shared" si="53"/>
        <v>0</v>
      </c>
      <c r="AC347" s="208"/>
      <c r="AD347" s="208"/>
      <c r="AE347" s="208"/>
      <c r="AF347" s="208"/>
      <c r="AG347" s="209" t="str">
        <f>IFERROR(INDEX('Local Data Previous Year'!$F:$F, MATCH($D347, 'Local Data Previous Year'!$D:$D, 0)), "")</f>
        <v/>
      </c>
      <c r="AH347" s="209" t="str">
        <f>IFERROR(INDEX('Local Data Previous Year'!$G:$G, MATCH($D347, 'Local Data Previous Year'!$D:$D, 0)), "")</f>
        <v/>
      </c>
      <c r="AI347" s="209" t="str">
        <f>IFERROR(INDEX('Local Data Previous Year'!$H:$H, MATCH($D347, 'Local Data Previous Year'!$D:$D, 0)), "")</f>
        <v/>
      </c>
      <c r="AJ347" s="209" t="str">
        <f t="shared" si="54"/>
        <v/>
      </c>
      <c r="AK347" s="209" t="str">
        <f t="shared" si="55"/>
        <v/>
      </c>
      <c r="AL347" s="209" t="str">
        <f t="shared" si="56"/>
        <v/>
      </c>
      <c r="AM347" s="208" t="str">
        <f>IF($AN347="","",IFERROR(VLOOKUP(CONCATENATE(CTR1_Billing!$E$20,$AN347),'Local Data Previous Year'!$C$3:$D$50000,2,0),CTR1_Billing!$E$21&amp;"NEW"))</f>
        <v/>
      </c>
      <c r="AN347" s="209" t="str" cm="1">
        <f t="array" ref="AN347">IF(ISERROR(INDEX('Local Data Previous Year'!$E$3:$E$50000, SMALL(IF(CTR1_Billing!$E$21='Local Data Previous Year'!$A$3:$A$50000, ROW('Local Data Previous Year'!$A$3:$A$50000)-ROW('Local Data Previous Year'!$A$3)+1), ROW(315:315)))), "", INDEX('Local Data Previous Year'!$E$3:$E$50000, SMALL(IF(CTR1_Billing!$E$21='Local Data Previous Year'!$A$3:$A$50000, ROW('Local Data Previous Year'!$A$3:$A$50000)-ROW('Local Data Previous Year'!$A$3)+1), ROW(315:315))))</f>
        <v/>
      </c>
      <c r="AO347" s="209" t="str">
        <f t="shared" si="57"/>
        <v/>
      </c>
      <c r="AP347" s="208"/>
      <c r="AQ347" s="209" t="str">
        <f t="shared" si="58"/>
        <v/>
      </c>
      <c r="AR347" s="209" t="str">
        <f t="shared" si="59"/>
        <v/>
      </c>
      <c r="AS347" s="202" t="str">
        <f t="shared" si="60"/>
        <v/>
      </c>
      <c r="AT347" s="202" t="str">
        <f t="shared" si="61"/>
        <v/>
      </c>
      <c r="AU347" s="208"/>
      <c r="AV347" s="208"/>
      <c r="AW347" s="208"/>
      <c r="AX347" s="208"/>
      <c r="AY347" s="208"/>
      <c r="AZ347" s="208"/>
      <c r="BA347" s="208"/>
      <c r="BB347" s="208"/>
      <c r="BC347" s="208"/>
      <c r="BD347" s="208"/>
      <c r="BE347" s="208"/>
      <c r="BF347" s="208"/>
      <c r="BG347" s="28"/>
      <c r="BH347" s="28"/>
      <c r="BI347" s="28"/>
      <c r="BJ347" s="28"/>
    </row>
    <row r="348" spans="1:62" s="23" customFormat="1" ht="21" customHeight="1" thickBot="1" x14ac:dyDescent="0.25">
      <c r="A348" s="846" t="str">
        <f>IF($AN348="","",IFERROR(VLOOKUP(CONCATENATE(CTR1_Billing!$E$20,$AN348),'Local Data Previous Year'!$C$3:$D$20000,2,0),CTR1_Billing!$E$21&amp;"NEW"))</f>
        <v/>
      </c>
      <c r="B348" s="846" t="str">
        <f>IF($E348="","",IFERROR(VLOOKUP(CONCATENATE(CTR1_Billing!$E$20,CTR1_Local!$E348),'Local Data Previous Year'!$C$3:$D$20000,2,0),CTR1_Billing!$E$21&amp;"NEW"))</f>
        <v/>
      </c>
      <c r="C348" s="846">
        <v>316</v>
      </c>
      <c r="D348" s="755" t="str" cm="1">
        <f t="array" ref="D348">IF(ISERROR(INDEX('Local Data Previous Year'!$D$3:$D$20000,SMALL(IF(CTR1_Billing!$E$21='Local Data Previous Year'!$A$3:$A$20000,ROW('Local Data Previous Year'!$A$3:$A$20000)-ROW('Local Data Previous Year'!$A$3)+1),ROW(316:316)))),"",INDEX('Local Data Previous Year'!$D$3:$D$20000,SMALL(IF(CTR1_Billing!$E$21='Local Data Previous Year'!$A$3:$A$20000,ROW('Local Data Previous Year'!$A$3:$A$20000)-ROW('Local Data Previous Year'!$A$3)+1),ROW(316:316))))</f>
        <v/>
      </c>
      <c r="E348" s="755" t="str" cm="1">
        <f t="array" ref="E348">IF(ISERROR(INDEX('Local Data Previous Year'!$E$3:$E$20000,SMALL(IF(CTR1_Billing!$E$21='Local Data Previous Year'!$A$3:$A$20000,ROW('Local Data Previous Year'!$A$3:$A$20000)-ROW('Local Data Previous Year'!$A$3)+1),ROW(316:316)))),"",INDEX('Local Data Previous Year'!$E$3:$E$20000,SMALL(IF(CTR1_Billing!$E$21='Local Data Previous Year'!$A$3:$A$20000,ROW('Local Data Previous Year'!$A$3:$A$20000)-ROW('Local Data Previous Year'!$A$3)+1),ROW(316:316))))</f>
        <v/>
      </c>
      <c r="F348" s="756" t="str">
        <f>IF($D348="","",IF(ISNA(MATCH($D348,'Local Data Previous Year'!$D$3:$D$20000,0)),"New",IFERROR(VLOOKUP($B348,'Local Data Previous Year'!$D$3:$I$20000,6,0),"")))</f>
        <v/>
      </c>
      <c r="G348" s="757">
        <f t="shared" si="62"/>
        <v>0</v>
      </c>
      <c r="H348" s="758" t="str">
        <f>IFERROR(INDEX('Local Data Previous Year'!$F:$F, MATCH($D348, 'Local Data Previous Year'!$D:$D, 0)), "")</f>
        <v/>
      </c>
      <c r="I348" s="759">
        <f>IF(B348=CTR1_Billing!$E$21&amp;"NEW",1,0)</f>
        <v>0</v>
      </c>
      <c r="J348" s="760" t="str">
        <f>IFERROR(INDEX('Local Data Previous Year'!$G:$G, MATCH($D348, 'Local Data Previous Year'!$D:$D, 0)), "")</f>
        <v/>
      </c>
      <c r="K348" s="762"/>
      <c r="L348" s="760" t="str">
        <f>IFERROR(INDEX('Local Data Previous Year'!$H:$H, MATCH($D348, 'Local Data Previous Year'!$D:$D, 0)), "")</f>
        <v/>
      </c>
      <c r="M348" s="762"/>
      <c r="N348" s="763"/>
      <c r="O348" s="767"/>
      <c r="P348" s="765"/>
      <c r="Q348" s="767"/>
      <c r="R348" s="766" t="str">
        <f t="shared" si="63"/>
        <v/>
      </c>
      <c r="S348" s="754"/>
      <c r="T348" s="763"/>
      <c r="U348" s="754"/>
      <c r="V348" s="763"/>
      <c r="W348" s="763"/>
      <c r="X348" s="865" t="str">
        <f>VLOOKUP(CTR1_Billing!$E$21,Data!$C$6:$D$302,1,FALSE)</f>
        <v>EZZZZ</v>
      </c>
      <c r="Y348" s="205"/>
      <c r="Z348" s="205">
        <f t="shared" si="52"/>
        <v>0</v>
      </c>
      <c r="AA348" s="206" t="str">
        <f t="shared" si="40"/>
        <v/>
      </c>
      <c r="AB348" s="205">
        <f t="shared" si="53"/>
        <v>0</v>
      </c>
      <c r="AC348" s="208"/>
      <c r="AD348" s="208"/>
      <c r="AE348" s="208"/>
      <c r="AF348" s="208"/>
      <c r="AG348" s="209" t="str">
        <f>IFERROR(INDEX('Local Data Previous Year'!$F:$F, MATCH($D348, 'Local Data Previous Year'!$D:$D, 0)), "")</f>
        <v/>
      </c>
      <c r="AH348" s="209" t="str">
        <f>IFERROR(INDEX('Local Data Previous Year'!$G:$G, MATCH($D348, 'Local Data Previous Year'!$D:$D, 0)), "")</f>
        <v/>
      </c>
      <c r="AI348" s="209" t="str">
        <f>IFERROR(INDEX('Local Data Previous Year'!$H:$H, MATCH($D348, 'Local Data Previous Year'!$D:$D, 0)), "")</f>
        <v/>
      </c>
      <c r="AJ348" s="209" t="str">
        <f t="shared" si="54"/>
        <v/>
      </c>
      <c r="AK348" s="209" t="str">
        <f t="shared" si="55"/>
        <v/>
      </c>
      <c r="AL348" s="209" t="str">
        <f t="shared" si="56"/>
        <v/>
      </c>
      <c r="AM348" s="208" t="str">
        <f>IF($AN348="","",IFERROR(VLOOKUP(CONCATENATE(CTR1_Billing!$E$20,$AN348),'Local Data Previous Year'!$C$3:$D$50000,2,0),CTR1_Billing!$E$21&amp;"NEW"))</f>
        <v/>
      </c>
      <c r="AN348" s="209" t="str" cm="1">
        <f t="array" ref="AN348">IF(ISERROR(INDEX('Local Data Previous Year'!$E$3:$E$50000, SMALL(IF(CTR1_Billing!$E$21='Local Data Previous Year'!$A$3:$A$50000, ROW('Local Data Previous Year'!$A$3:$A$50000)-ROW('Local Data Previous Year'!$A$3)+1), ROW(316:316)))), "", INDEX('Local Data Previous Year'!$E$3:$E$50000, SMALL(IF(CTR1_Billing!$E$21='Local Data Previous Year'!$A$3:$A$50000, ROW('Local Data Previous Year'!$A$3:$A$50000)-ROW('Local Data Previous Year'!$A$3)+1), ROW(316:316))))</f>
        <v/>
      </c>
      <c r="AO348" s="209" t="str">
        <f t="shared" si="57"/>
        <v/>
      </c>
      <c r="AP348" s="208"/>
      <c r="AQ348" s="209" t="str">
        <f t="shared" si="58"/>
        <v/>
      </c>
      <c r="AR348" s="209" t="str">
        <f t="shared" si="59"/>
        <v/>
      </c>
      <c r="AS348" s="202" t="str">
        <f t="shared" si="60"/>
        <v/>
      </c>
      <c r="AT348" s="202" t="str">
        <f t="shared" si="61"/>
        <v/>
      </c>
      <c r="AU348" s="208"/>
      <c r="AV348" s="208"/>
      <c r="AW348" s="208"/>
      <c r="AX348" s="208"/>
      <c r="AY348" s="208"/>
      <c r="AZ348" s="208"/>
      <c r="BA348" s="208"/>
      <c r="BB348" s="208"/>
      <c r="BC348" s="208"/>
      <c r="BD348" s="208"/>
      <c r="BE348" s="208"/>
      <c r="BF348" s="208"/>
      <c r="BG348" s="28"/>
      <c r="BH348" s="28"/>
      <c r="BI348" s="28"/>
      <c r="BJ348" s="28"/>
    </row>
    <row r="349" spans="1:62" s="23" customFormat="1" ht="21" customHeight="1" thickBot="1" x14ac:dyDescent="0.25">
      <c r="A349" s="846" t="str">
        <f>IF($AN349="","",IFERROR(VLOOKUP(CONCATENATE(CTR1_Billing!$E$20,$AN349),'Local Data Previous Year'!$C$3:$D$20000,2,0),CTR1_Billing!$E$21&amp;"NEW"))</f>
        <v/>
      </c>
      <c r="B349" s="846" t="str">
        <f>IF($E349="","",IFERROR(VLOOKUP(CONCATENATE(CTR1_Billing!$E$20,CTR1_Local!$E349),'Local Data Previous Year'!$C$3:$D$20000,2,0),CTR1_Billing!$E$21&amp;"NEW"))</f>
        <v/>
      </c>
      <c r="C349" s="846">
        <v>317</v>
      </c>
      <c r="D349" s="755" t="str" cm="1">
        <f t="array" ref="D349">IF(ISERROR(INDEX('Local Data Previous Year'!$D$3:$D$20000,SMALL(IF(CTR1_Billing!$E$21='Local Data Previous Year'!$A$3:$A$20000,ROW('Local Data Previous Year'!$A$3:$A$20000)-ROW('Local Data Previous Year'!$A$3)+1),ROW(317:317)))),"",INDEX('Local Data Previous Year'!$D$3:$D$20000,SMALL(IF(CTR1_Billing!$E$21='Local Data Previous Year'!$A$3:$A$20000,ROW('Local Data Previous Year'!$A$3:$A$20000)-ROW('Local Data Previous Year'!$A$3)+1),ROW(317:317))))</f>
        <v/>
      </c>
      <c r="E349" s="755" t="str" cm="1">
        <f t="array" ref="E349">IF(ISERROR(INDEX('Local Data Previous Year'!$E$3:$E$20000,SMALL(IF(CTR1_Billing!$E$21='Local Data Previous Year'!$A$3:$A$20000,ROW('Local Data Previous Year'!$A$3:$A$20000)-ROW('Local Data Previous Year'!$A$3)+1),ROW(317:317)))),"",INDEX('Local Data Previous Year'!$E$3:$E$20000,SMALL(IF(CTR1_Billing!$E$21='Local Data Previous Year'!$A$3:$A$20000,ROW('Local Data Previous Year'!$A$3:$A$20000)-ROW('Local Data Previous Year'!$A$3)+1),ROW(317:317))))</f>
        <v/>
      </c>
      <c r="F349" s="756" t="str">
        <f>IF($D349="","",IF(ISNA(MATCH($D349,'Local Data Previous Year'!$D$3:$D$20000,0)),"New",IFERROR(VLOOKUP($B349,'Local Data Previous Year'!$D$3:$I$20000,6,0),"")))</f>
        <v/>
      </c>
      <c r="G349" s="757">
        <f t="shared" si="62"/>
        <v>0</v>
      </c>
      <c r="H349" s="758" t="str">
        <f>IFERROR(INDEX('Local Data Previous Year'!$F:$F, MATCH($D349, 'Local Data Previous Year'!$D:$D, 0)), "")</f>
        <v/>
      </c>
      <c r="I349" s="759">
        <f>IF(B349=CTR1_Billing!$E$21&amp;"NEW",1,0)</f>
        <v>0</v>
      </c>
      <c r="J349" s="760" t="str">
        <f>IFERROR(INDEX('Local Data Previous Year'!$G:$G, MATCH($D349, 'Local Data Previous Year'!$D:$D, 0)), "")</f>
        <v/>
      </c>
      <c r="K349" s="762"/>
      <c r="L349" s="760" t="str">
        <f>IFERROR(INDEX('Local Data Previous Year'!$H:$H, MATCH($D349, 'Local Data Previous Year'!$D:$D, 0)), "")</f>
        <v/>
      </c>
      <c r="M349" s="762"/>
      <c r="N349" s="763"/>
      <c r="O349" s="767"/>
      <c r="P349" s="765"/>
      <c r="Q349" s="767"/>
      <c r="R349" s="766" t="str">
        <f t="shared" si="63"/>
        <v/>
      </c>
      <c r="S349" s="754"/>
      <c r="T349" s="763"/>
      <c r="U349" s="754"/>
      <c r="V349" s="763"/>
      <c r="W349" s="763"/>
      <c r="X349" s="865" t="str">
        <f>VLOOKUP(CTR1_Billing!$E$21,Data!$C$6:$D$302,1,FALSE)</f>
        <v>EZZZZ</v>
      </c>
      <c r="Y349" s="205"/>
      <c r="Z349" s="205">
        <f t="shared" si="52"/>
        <v>0</v>
      </c>
      <c r="AA349" s="206" t="str">
        <f t="shared" si="40"/>
        <v/>
      </c>
      <c r="AB349" s="205">
        <f t="shared" si="53"/>
        <v>0</v>
      </c>
      <c r="AC349" s="208"/>
      <c r="AD349" s="208"/>
      <c r="AE349" s="208"/>
      <c r="AF349" s="208"/>
      <c r="AG349" s="209" t="str">
        <f>IFERROR(INDEX('Local Data Previous Year'!$F:$F, MATCH($D349, 'Local Data Previous Year'!$D:$D, 0)), "")</f>
        <v/>
      </c>
      <c r="AH349" s="209" t="str">
        <f>IFERROR(INDEX('Local Data Previous Year'!$G:$G, MATCH($D349, 'Local Data Previous Year'!$D:$D, 0)), "")</f>
        <v/>
      </c>
      <c r="AI349" s="209" t="str">
        <f>IFERROR(INDEX('Local Data Previous Year'!$H:$H, MATCH($D349, 'Local Data Previous Year'!$D:$D, 0)), "")</f>
        <v/>
      </c>
      <c r="AJ349" s="209" t="str">
        <f t="shared" si="54"/>
        <v/>
      </c>
      <c r="AK349" s="209" t="str">
        <f t="shared" si="55"/>
        <v/>
      </c>
      <c r="AL349" s="209" t="str">
        <f t="shared" si="56"/>
        <v/>
      </c>
      <c r="AM349" s="208" t="str">
        <f>IF($AN349="","",IFERROR(VLOOKUP(CONCATENATE(CTR1_Billing!$E$20,$AN349),'Local Data Previous Year'!$C$3:$D$50000,2,0),CTR1_Billing!$E$21&amp;"NEW"))</f>
        <v/>
      </c>
      <c r="AN349" s="209" t="str" cm="1">
        <f t="array" ref="AN349">IF(ISERROR(INDEX('Local Data Previous Year'!$E$3:$E$50000, SMALL(IF(CTR1_Billing!$E$21='Local Data Previous Year'!$A$3:$A$50000, ROW('Local Data Previous Year'!$A$3:$A$50000)-ROW('Local Data Previous Year'!$A$3)+1), ROW(317:317)))), "", INDEX('Local Data Previous Year'!$E$3:$E$50000, SMALL(IF(CTR1_Billing!$E$21='Local Data Previous Year'!$A$3:$A$50000, ROW('Local Data Previous Year'!$A$3:$A$50000)-ROW('Local Data Previous Year'!$A$3)+1), ROW(317:317))))</f>
        <v/>
      </c>
      <c r="AO349" s="209" t="str">
        <f t="shared" si="57"/>
        <v/>
      </c>
      <c r="AP349" s="208"/>
      <c r="AQ349" s="209" t="str">
        <f t="shared" si="58"/>
        <v/>
      </c>
      <c r="AR349" s="209" t="str">
        <f t="shared" si="59"/>
        <v/>
      </c>
      <c r="AS349" s="202" t="str">
        <f t="shared" si="60"/>
        <v/>
      </c>
      <c r="AT349" s="202" t="str">
        <f t="shared" si="61"/>
        <v/>
      </c>
      <c r="AU349" s="208"/>
      <c r="AV349" s="208"/>
      <c r="AW349" s="208"/>
      <c r="AX349" s="208"/>
      <c r="AY349" s="208"/>
      <c r="AZ349" s="208"/>
      <c r="BA349" s="208"/>
      <c r="BB349" s="208"/>
      <c r="BC349" s="208"/>
      <c r="BD349" s="208"/>
      <c r="BE349" s="208"/>
      <c r="BF349" s="208"/>
      <c r="BG349" s="28"/>
      <c r="BH349" s="28"/>
      <c r="BI349" s="28"/>
      <c r="BJ349" s="28"/>
    </row>
    <row r="350" spans="1:62" s="23" customFormat="1" ht="21" customHeight="1" thickBot="1" x14ac:dyDescent="0.25">
      <c r="A350" s="846" t="str">
        <f>IF($AN350="","",IFERROR(VLOOKUP(CONCATENATE(CTR1_Billing!$E$20,$AN350),'Local Data Previous Year'!$C$3:$D$20000,2,0),CTR1_Billing!$E$21&amp;"NEW"))</f>
        <v/>
      </c>
      <c r="B350" s="846" t="str">
        <f>IF($E350="","",IFERROR(VLOOKUP(CONCATENATE(CTR1_Billing!$E$20,CTR1_Local!$E350),'Local Data Previous Year'!$C$3:$D$20000,2,0),CTR1_Billing!$E$21&amp;"NEW"))</f>
        <v/>
      </c>
      <c r="C350" s="846">
        <v>318</v>
      </c>
      <c r="D350" s="755" t="str" cm="1">
        <f t="array" ref="D350">IF(ISERROR(INDEX('Local Data Previous Year'!$D$3:$D$20000,SMALL(IF(CTR1_Billing!$E$21='Local Data Previous Year'!$A$3:$A$20000,ROW('Local Data Previous Year'!$A$3:$A$20000)-ROW('Local Data Previous Year'!$A$3)+1),ROW(318:318)))),"",INDEX('Local Data Previous Year'!$D$3:$D$20000,SMALL(IF(CTR1_Billing!$E$21='Local Data Previous Year'!$A$3:$A$20000,ROW('Local Data Previous Year'!$A$3:$A$20000)-ROW('Local Data Previous Year'!$A$3)+1),ROW(318:318))))</f>
        <v/>
      </c>
      <c r="E350" s="755" t="str" cm="1">
        <f t="array" ref="E350">IF(ISERROR(INDEX('Local Data Previous Year'!$E$3:$E$20000,SMALL(IF(CTR1_Billing!$E$21='Local Data Previous Year'!$A$3:$A$20000,ROW('Local Data Previous Year'!$A$3:$A$20000)-ROW('Local Data Previous Year'!$A$3)+1),ROW(318:318)))),"",INDEX('Local Data Previous Year'!$E$3:$E$20000,SMALL(IF(CTR1_Billing!$E$21='Local Data Previous Year'!$A$3:$A$20000,ROW('Local Data Previous Year'!$A$3:$A$20000)-ROW('Local Data Previous Year'!$A$3)+1),ROW(318:318))))</f>
        <v/>
      </c>
      <c r="F350" s="756" t="str">
        <f>IF($D350="","",IF(ISNA(MATCH($D350,'Local Data Previous Year'!$D$3:$D$20000,0)),"New",IFERROR(VLOOKUP($B350,'Local Data Previous Year'!$D$3:$I$20000,6,0),"")))</f>
        <v/>
      </c>
      <c r="G350" s="757">
        <f t="shared" si="62"/>
        <v>0</v>
      </c>
      <c r="H350" s="758" t="str">
        <f>IFERROR(INDEX('Local Data Previous Year'!$F:$F, MATCH($D350, 'Local Data Previous Year'!$D:$D, 0)), "")</f>
        <v/>
      </c>
      <c r="I350" s="759">
        <f>IF(B350=CTR1_Billing!$E$21&amp;"NEW",1,0)</f>
        <v>0</v>
      </c>
      <c r="J350" s="760" t="str">
        <f>IFERROR(INDEX('Local Data Previous Year'!$G:$G, MATCH($D350, 'Local Data Previous Year'!$D:$D, 0)), "")</f>
        <v/>
      </c>
      <c r="K350" s="762"/>
      <c r="L350" s="760" t="str">
        <f>IFERROR(INDEX('Local Data Previous Year'!$H:$H, MATCH($D350, 'Local Data Previous Year'!$D:$D, 0)), "")</f>
        <v/>
      </c>
      <c r="M350" s="762"/>
      <c r="N350" s="763"/>
      <c r="O350" s="767"/>
      <c r="P350" s="765"/>
      <c r="Q350" s="767"/>
      <c r="R350" s="766" t="str">
        <f t="shared" si="63"/>
        <v/>
      </c>
      <c r="S350" s="754"/>
      <c r="T350" s="763"/>
      <c r="U350" s="754"/>
      <c r="V350" s="763"/>
      <c r="W350" s="763"/>
      <c r="X350" s="865" t="str">
        <f>VLOOKUP(CTR1_Billing!$E$21,Data!$C$6:$D$302,1,FALSE)</f>
        <v>EZZZZ</v>
      </c>
      <c r="Y350" s="205"/>
      <c r="Z350" s="205">
        <f t="shared" si="52"/>
        <v>0</v>
      </c>
      <c r="AA350" s="206" t="str">
        <f t="shared" si="40"/>
        <v/>
      </c>
      <c r="AB350" s="205">
        <f t="shared" si="53"/>
        <v>0</v>
      </c>
      <c r="AC350" s="208"/>
      <c r="AD350" s="208"/>
      <c r="AE350" s="208"/>
      <c r="AF350" s="208"/>
      <c r="AG350" s="209" t="str">
        <f>IFERROR(INDEX('Local Data Previous Year'!$F:$F, MATCH($D350, 'Local Data Previous Year'!$D:$D, 0)), "")</f>
        <v/>
      </c>
      <c r="AH350" s="209" t="str">
        <f>IFERROR(INDEX('Local Data Previous Year'!$G:$G, MATCH($D350, 'Local Data Previous Year'!$D:$D, 0)), "")</f>
        <v/>
      </c>
      <c r="AI350" s="209" t="str">
        <f>IFERROR(INDEX('Local Data Previous Year'!$H:$H, MATCH($D350, 'Local Data Previous Year'!$D:$D, 0)), "")</f>
        <v/>
      </c>
      <c r="AJ350" s="209" t="str">
        <f t="shared" si="54"/>
        <v/>
      </c>
      <c r="AK350" s="209" t="str">
        <f t="shared" si="55"/>
        <v/>
      </c>
      <c r="AL350" s="209" t="str">
        <f t="shared" si="56"/>
        <v/>
      </c>
      <c r="AM350" s="208" t="str">
        <f>IF($AN350="","",IFERROR(VLOOKUP(CONCATENATE(CTR1_Billing!$E$20,$AN350),'Local Data Previous Year'!$C$3:$D$50000,2,0),CTR1_Billing!$E$21&amp;"NEW"))</f>
        <v/>
      </c>
      <c r="AN350" s="209" t="str" cm="1">
        <f t="array" ref="AN350">IF(ISERROR(INDEX('Local Data Previous Year'!$E$3:$E$50000, SMALL(IF(CTR1_Billing!$E$21='Local Data Previous Year'!$A$3:$A$50000, ROW('Local Data Previous Year'!$A$3:$A$50000)-ROW('Local Data Previous Year'!$A$3)+1), ROW(318:318)))), "", INDEX('Local Data Previous Year'!$E$3:$E$50000, SMALL(IF(CTR1_Billing!$E$21='Local Data Previous Year'!$A$3:$A$50000, ROW('Local Data Previous Year'!$A$3:$A$50000)-ROW('Local Data Previous Year'!$A$3)+1), ROW(318:318))))</f>
        <v/>
      </c>
      <c r="AO350" s="209" t="str">
        <f t="shared" si="57"/>
        <v/>
      </c>
      <c r="AP350" s="208"/>
      <c r="AQ350" s="209" t="str">
        <f t="shared" si="58"/>
        <v/>
      </c>
      <c r="AR350" s="209" t="str">
        <f t="shared" si="59"/>
        <v/>
      </c>
      <c r="AS350" s="202" t="str">
        <f t="shared" si="60"/>
        <v/>
      </c>
      <c r="AT350" s="202" t="str">
        <f t="shared" si="61"/>
        <v/>
      </c>
      <c r="AU350" s="208"/>
      <c r="AV350" s="208"/>
      <c r="AW350" s="208"/>
      <c r="AX350" s="208"/>
      <c r="AY350" s="208"/>
      <c r="AZ350" s="208"/>
      <c r="BA350" s="208"/>
      <c r="BB350" s="208"/>
      <c r="BC350" s="208"/>
      <c r="BD350" s="208"/>
      <c r="BE350" s="208"/>
      <c r="BF350" s="208"/>
      <c r="BG350" s="28"/>
      <c r="BH350" s="28"/>
      <c r="BI350" s="28"/>
      <c r="BJ350" s="28"/>
    </row>
    <row r="351" spans="1:62" s="23" customFormat="1" ht="21" customHeight="1" thickBot="1" x14ac:dyDescent="0.25">
      <c r="A351" s="846" t="str">
        <f>IF($AN351="","",IFERROR(VLOOKUP(CONCATENATE(CTR1_Billing!$E$20,$AN351),'Local Data Previous Year'!$C$3:$D$20000,2,0),CTR1_Billing!$E$21&amp;"NEW"))</f>
        <v/>
      </c>
      <c r="B351" s="846" t="str">
        <f>IF($E351="","",IFERROR(VLOOKUP(CONCATENATE(CTR1_Billing!$E$20,CTR1_Local!$E351),'Local Data Previous Year'!$C$3:$D$20000,2,0),CTR1_Billing!$E$21&amp;"NEW"))</f>
        <v/>
      </c>
      <c r="C351" s="846">
        <v>319</v>
      </c>
      <c r="D351" s="755" t="str" cm="1">
        <f t="array" ref="D351">IF(ISERROR(INDEX('Local Data Previous Year'!$D$3:$D$20000,SMALL(IF(CTR1_Billing!$E$21='Local Data Previous Year'!$A$3:$A$20000,ROW('Local Data Previous Year'!$A$3:$A$20000)-ROW('Local Data Previous Year'!$A$3)+1),ROW(319:319)))),"",INDEX('Local Data Previous Year'!$D$3:$D$20000,SMALL(IF(CTR1_Billing!$E$21='Local Data Previous Year'!$A$3:$A$20000,ROW('Local Data Previous Year'!$A$3:$A$20000)-ROW('Local Data Previous Year'!$A$3)+1),ROW(319:319))))</f>
        <v/>
      </c>
      <c r="E351" s="755" t="str" cm="1">
        <f t="array" ref="E351">IF(ISERROR(INDEX('Local Data Previous Year'!$E$3:$E$20000,SMALL(IF(CTR1_Billing!$E$21='Local Data Previous Year'!$A$3:$A$20000,ROW('Local Data Previous Year'!$A$3:$A$20000)-ROW('Local Data Previous Year'!$A$3)+1),ROW(319:319)))),"",INDEX('Local Data Previous Year'!$E$3:$E$20000,SMALL(IF(CTR1_Billing!$E$21='Local Data Previous Year'!$A$3:$A$20000,ROW('Local Data Previous Year'!$A$3:$A$20000)-ROW('Local Data Previous Year'!$A$3)+1),ROW(319:319))))</f>
        <v/>
      </c>
      <c r="F351" s="756" t="str">
        <f>IF($D351="","",IF(ISNA(MATCH($D351,'Local Data Previous Year'!$D$3:$D$20000,0)),"New",IFERROR(VLOOKUP($B351,'Local Data Previous Year'!$D$3:$I$20000,6,0),"")))</f>
        <v/>
      </c>
      <c r="G351" s="757">
        <f t="shared" si="62"/>
        <v>0</v>
      </c>
      <c r="H351" s="758" t="str">
        <f>IFERROR(INDEX('Local Data Previous Year'!$F:$F, MATCH($D351, 'Local Data Previous Year'!$D:$D, 0)), "")</f>
        <v/>
      </c>
      <c r="I351" s="759">
        <f>IF(B351=CTR1_Billing!$E$21&amp;"NEW",1,0)</f>
        <v>0</v>
      </c>
      <c r="J351" s="760" t="str">
        <f>IFERROR(INDEX('Local Data Previous Year'!$G:$G, MATCH($D351, 'Local Data Previous Year'!$D:$D, 0)), "")</f>
        <v/>
      </c>
      <c r="K351" s="762"/>
      <c r="L351" s="760" t="str">
        <f>IFERROR(INDEX('Local Data Previous Year'!$H:$H, MATCH($D351, 'Local Data Previous Year'!$D:$D, 0)), "")</f>
        <v/>
      </c>
      <c r="M351" s="762"/>
      <c r="N351" s="763"/>
      <c r="O351" s="767"/>
      <c r="P351" s="765"/>
      <c r="Q351" s="767"/>
      <c r="R351" s="766" t="str">
        <f t="shared" si="63"/>
        <v/>
      </c>
      <c r="S351" s="754"/>
      <c r="T351" s="763"/>
      <c r="U351" s="754"/>
      <c r="V351" s="763"/>
      <c r="W351" s="763"/>
      <c r="X351" s="865" t="str">
        <f>VLOOKUP(CTR1_Billing!$E$21,Data!$C$6:$D$302,1,FALSE)</f>
        <v>EZZZZ</v>
      </c>
      <c r="Y351" s="205"/>
      <c r="Z351" s="205">
        <f t="shared" si="52"/>
        <v>0</v>
      </c>
      <c r="AA351" s="206" t="str">
        <f t="shared" si="40"/>
        <v/>
      </c>
      <c r="AB351" s="205">
        <f t="shared" si="53"/>
        <v>0</v>
      </c>
      <c r="AC351" s="208"/>
      <c r="AD351" s="208"/>
      <c r="AE351" s="208"/>
      <c r="AF351" s="208"/>
      <c r="AG351" s="209" t="str">
        <f>IFERROR(INDEX('Local Data Previous Year'!$F:$F, MATCH($D351, 'Local Data Previous Year'!$D:$D, 0)), "")</f>
        <v/>
      </c>
      <c r="AH351" s="209" t="str">
        <f>IFERROR(INDEX('Local Data Previous Year'!$G:$G, MATCH($D351, 'Local Data Previous Year'!$D:$D, 0)), "")</f>
        <v/>
      </c>
      <c r="AI351" s="209" t="str">
        <f>IFERROR(INDEX('Local Data Previous Year'!$H:$H, MATCH($D351, 'Local Data Previous Year'!$D:$D, 0)), "")</f>
        <v/>
      </c>
      <c r="AJ351" s="209" t="str">
        <f t="shared" si="54"/>
        <v/>
      </c>
      <c r="AK351" s="209" t="str">
        <f t="shared" si="55"/>
        <v/>
      </c>
      <c r="AL351" s="209" t="str">
        <f t="shared" si="56"/>
        <v/>
      </c>
      <c r="AM351" s="208" t="str">
        <f>IF($AN351="","",IFERROR(VLOOKUP(CONCATENATE(CTR1_Billing!$E$20,$AN351),'Local Data Previous Year'!$C$3:$D$50000,2,0),CTR1_Billing!$E$21&amp;"NEW"))</f>
        <v/>
      </c>
      <c r="AN351" s="209" t="str" cm="1">
        <f t="array" ref="AN351">IF(ISERROR(INDEX('Local Data Previous Year'!$E$3:$E$50000, SMALL(IF(CTR1_Billing!$E$21='Local Data Previous Year'!$A$3:$A$50000, ROW('Local Data Previous Year'!$A$3:$A$50000)-ROW('Local Data Previous Year'!$A$3)+1), ROW(319:319)))), "", INDEX('Local Data Previous Year'!$E$3:$E$50000, SMALL(IF(CTR1_Billing!$E$21='Local Data Previous Year'!$A$3:$A$50000, ROW('Local Data Previous Year'!$A$3:$A$50000)-ROW('Local Data Previous Year'!$A$3)+1), ROW(319:319))))</f>
        <v/>
      </c>
      <c r="AO351" s="209" t="str">
        <f t="shared" si="57"/>
        <v/>
      </c>
      <c r="AP351" s="208"/>
      <c r="AQ351" s="209" t="str">
        <f t="shared" si="58"/>
        <v/>
      </c>
      <c r="AR351" s="209" t="str">
        <f t="shared" si="59"/>
        <v/>
      </c>
      <c r="AS351" s="202" t="str">
        <f t="shared" si="60"/>
        <v/>
      </c>
      <c r="AT351" s="202" t="str">
        <f t="shared" si="61"/>
        <v/>
      </c>
      <c r="AU351" s="208"/>
      <c r="AV351" s="208"/>
      <c r="AW351" s="208"/>
      <c r="AX351" s="208"/>
      <c r="AY351" s="208"/>
      <c r="AZ351" s="208"/>
      <c r="BA351" s="208"/>
      <c r="BB351" s="208"/>
      <c r="BC351" s="208"/>
      <c r="BD351" s="208"/>
      <c r="BE351" s="208"/>
      <c r="BF351" s="208"/>
      <c r="BG351" s="28"/>
      <c r="BH351" s="28"/>
      <c r="BI351" s="28"/>
      <c r="BJ351" s="28"/>
    </row>
    <row r="352" spans="1:62" s="23" customFormat="1" ht="21" customHeight="1" thickBot="1" x14ac:dyDescent="0.25">
      <c r="A352" s="846" t="str">
        <f>IF($AN352="","",IFERROR(VLOOKUP(CONCATENATE(CTR1_Billing!$E$20,$AN352),'Local Data Previous Year'!$C$3:$D$20000,2,0),CTR1_Billing!$E$21&amp;"NEW"))</f>
        <v/>
      </c>
      <c r="B352" s="846" t="str">
        <f>IF($E352="","",IFERROR(VLOOKUP(CONCATENATE(CTR1_Billing!$E$20,CTR1_Local!$E352),'Local Data Previous Year'!$C$3:$D$20000,2,0),CTR1_Billing!$E$21&amp;"NEW"))</f>
        <v/>
      </c>
      <c r="C352" s="846">
        <v>320</v>
      </c>
      <c r="D352" s="755" t="str" cm="1">
        <f t="array" ref="D352">IF(ISERROR(INDEX('Local Data Previous Year'!$D$3:$D$20000,SMALL(IF(CTR1_Billing!$E$21='Local Data Previous Year'!$A$3:$A$20000,ROW('Local Data Previous Year'!$A$3:$A$20000)-ROW('Local Data Previous Year'!$A$3)+1),ROW(320:320)))),"",INDEX('Local Data Previous Year'!$D$3:$D$20000,SMALL(IF(CTR1_Billing!$E$21='Local Data Previous Year'!$A$3:$A$20000,ROW('Local Data Previous Year'!$A$3:$A$20000)-ROW('Local Data Previous Year'!$A$3)+1),ROW(320:320))))</f>
        <v/>
      </c>
      <c r="E352" s="755" t="str" cm="1">
        <f t="array" ref="E352">IF(ISERROR(INDEX('Local Data Previous Year'!$E$3:$E$20000,SMALL(IF(CTR1_Billing!$E$21='Local Data Previous Year'!$A$3:$A$20000,ROW('Local Data Previous Year'!$A$3:$A$20000)-ROW('Local Data Previous Year'!$A$3)+1),ROW(320:320)))),"",INDEX('Local Data Previous Year'!$E$3:$E$20000,SMALL(IF(CTR1_Billing!$E$21='Local Data Previous Year'!$A$3:$A$20000,ROW('Local Data Previous Year'!$A$3:$A$20000)-ROW('Local Data Previous Year'!$A$3)+1),ROW(320:320))))</f>
        <v/>
      </c>
      <c r="F352" s="756" t="str">
        <f>IF($D352="","",IF(ISNA(MATCH($D352,'Local Data Previous Year'!$D$3:$D$20000,0)),"New",IFERROR(VLOOKUP($B352,'Local Data Previous Year'!$D$3:$I$20000,6,0),"")))</f>
        <v/>
      </c>
      <c r="G352" s="757">
        <f t="shared" si="62"/>
        <v>0</v>
      </c>
      <c r="H352" s="758" t="str">
        <f>IFERROR(INDEX('Local Data Previous Year'!$F:$F, MATCH($D352, 'Local Data Previous Year'!$D:$D, 0)), "")</f>
        <v/>
      </c>
      <c r="I352" s="759">
        <f>IF(B352=CTR1_Billing!$E$21&amp;"NEW",1,0)</f>
        <v>0</v>
      </c>
      <c r="J352" s="760" t="str">
        <f>IFERROR(INDEX('Local Data Previous Year'!$G:$G, MATCH($D352, 'Local Data Previous Year'!$D:$D, 0)), "")</f>
        <v/>
      </c>
      <c r="K352" s="762"/>
      <c r="L352" s="760" t="str">
        <f>IFERROR(INDEX('Local Data Previous Year'!$H:$H, MATCH($D352, 'Local Data Previous Year'!$D:$D, 0)), "")</f>
        <v/>
      </c>
      <c r="M352" s="762"/>
      <c r="N352" s="763"/>
      <c r="O352" s="767"/>
      <c r="P352" s="765"/>
      <c r="Q352" s="767"/>
      <c r="R352" s="766" t="str">
        <f t="shared" si="63"/>
        <v/>
      </c>
      <c r="S352" s="754"/>
      <c r="T352" s="763"/>
      <c r="U352" s="754"/>
      <c r="V352" s="763"/>
      <c r="W352" s="763"/>
      <c r="X352" s="865" t="str">
        <f>VLOOKUP(CTR1_Billing!$E$21,Data!$C$6:$D$302,1,FALSE)</f>
        <v>EZZZZ</v>
      </c>
      <c r="Y352" s="205"/>
      <c r="Z352" s="205">
        <f t="shared" si="52"/>
        <v>0</v>
      </c>
      <c r="AA352" s="206" t="str">
        <f t="shared" si="40"/>
        <v/>
      </c>
      <c r="AB352" s="205">
        <f t="shared" si="53"/>
        <v>0</v>
      </c>
      <c r="AC352" s="208"/>
      <c r="AD352" s="208"/>
      <c r="AE352" s="208"/>
      <c r="AF352" s="208"/>
      <c r="AG352" s="209" t="str">
        <f>IFERROR(INDEX('Local Data Previous Year'!$F:$F, MATCH($D352, 'Local Data Previous Year'!$D:$D, 0)), "")</f>
        <v/>
      </c>
      <c r="AH352" s="209" t="str">
        <f>IFERROR(INDEX('Local Data Previous Year'!$G:$G, MATCH($D352, 'Local Data Previous Year'!$D:$D, 0)), "")</f>
        <v/>
      </c>
      <c r="AI352" s="209" t="str">
        <f>IFERROR(INDEX('Local Data Previous Year'!$H:$H, MATCH($D352, 'Local Data Previous Year'!$D:$D, 0)), "")</f>
        <v/>
      </c>
      <c r="AJ352" s="209" t="str">
        <f t="shared" si="54"/>
        <v/>
      </c>
      <c r="AK352" s="209" t="str">
        <f t="shared" si="55"/>
        <v/>
      </c>
      <c r="AL352" s="209" t="str">
        <f t="shared" si="56"/>
        <v/>
      </c>
      <c r="AM352" s="208" t="str">
        <f>IF($AN352="","",IFERROR(VLOOKUP(CONCATENATE(CTR1_Billing!$E$20,$AN352),'Local Data Previous Year'!$C$3:$D$50000,2,0),CTR1_Billing!$E$21&amp;"NEW"))</f>
        <v/>
      </c>
      <c r="AN352" s="209" t="str" cm="1">
        <f t="array" ref="AN352">IF(ISERROR(INDEX('Local Data Previous Year'!$E$3:$E$50000, SMALL(IF(CTR1_Billing!$E$21='Local Data Previous Year'!$A$3:$A$50000, ROW('Local Data Previous Year'!$A$3:$A$50000)-ROW('Local Data Previous Year'!$A$3)+1), ROW(320:320)))), "", INDEX('Local Data Previous Year'!$E$3:$E$50000, SMALL(IF(CTR1_Billing!$E$21='Local Data Previous Year'!$A$3:$A$50000, ROW('Local Data Previous Year'!$A$3:$A$50000)-ROW('Local Data Previous Year'!$A$3)+1), ROW(320:320))))</f>
        <v/>
      </c>
      <c r="AO352" s="209" t="str">
        <f t="shared" si="57"/>
        <v/>
      </c>
      <c r="AP352" s="208"/>
      <c r="AQ352" s="209" t="str">
        <f t="shared" si="58"/>
        <v/>
      </c>
      <c r="AR352" s="209" t="str">
        <f t="shared" si="59"/>
        <v/>
      </c>
      <c r="AS352" s="202" t="str">
        <f t="shared" si="60"/>
        <v/>
      </c>
      <c r="AT352" s="202" t="str">
        <f t="shared" si="61"/>
        <v/>
      </c>
      <c r="AU352" s="208"/>
      <c r="AV352" s="208"/>
      <c r="AW352" s="208"/>
      <c r="AX352" s="208"/>
      <c r="AY352" s="208"/>
      <c r="AZ352" s="208"/>
      <c r="BA352" s="208"/>
      <c r="BB352" s="208"/>
      <c r="BC352" s="208"/>
      <c r="BD352" s="208"/>
      <c r="BE352" s="208"/>
      <c r="BF352" s="208"/>
      <c r="BG352" s="28"/>
      <c r="BH352" s="28"/>
      <c r="BI352" s="28"/>
      <c r="BJ352" s="28"/>
    </row>
    <row r="353" spans="1:62" s="23" customFormat="1" ht="21" customHeight="1" thickBot="1" x14ac:dyDescent="0.25">
      <c r="A353" s="846" t="str">
        <f>IF($AN353="","",IFERROR(VLOOKUP(CONCATENATE(CTR1_Billing!$E$20,$AN353),'Local Data Previous Year'!$C$3:$D$20000,2,0),CTR1_Billing!$E$21&amp;"NEW"))</f>
        <v/>
      </c>
      <c r="B353" s="846" t="str">
        <f>IF($E353="","",IFERROR(VLOOKUP(CONCATENATE(CTR1_Billing!$E$20,CTR1_Local!$E353),'Local Data Previous Year'!$C$3:$D$20000,2,0),CTR1_Billing!$E$21&amp;"NEW"))</f>
        <v/>
      </c>
      <c r="C353" s="846">
        <v>321</v>
      </c>
      <c r="D353" s="755" t="str" cm="1">
        <f t="array" ref="D353">IF(ISERROR(INDEX('Local Data Previous Year'!$D$3:$D$20000,SMALL(IF(CTR1_Billing!$E$21='Local Data Previous Year'!$A$3:$A$20000,ROW('Local Data Previous Year'!$A$3:$A$20000)-ROW('Local Data Previous Year'!$A$3)+1),ROW(321:321)))),"",INDEX('Local Data Previous Year'!$D$3:$D$20000,SMALL(IF(CTR1_Billing!$E$21='Local Data Previous Year'!$A$3:$A$20000,ROW('Local Data Previous Year'!$A$3:$A$20000)-ROW('Local Data Previous Year'!$A$3)+1),ROW(321:321))))</f>
        <v/>
      </c>
      <c r="E353" s="755" t="str" cm="1">
        <f t="array" ref="E353">IF(ISERROR(INDEX('Local Data Previous Year'!$E$3:$E$20000,SMALL(IF(CTR1_Billing!$E$21='Local Data Previous Year'!$A$3:$A$20000,ROW('Local Data Previous Year'!$A$3:$A$20000)-ROW('Local Data Previous Year'!$A$3)+1),ROW(321:321)))),"",INDEX('Local Data Previous Year'!$E$3:$E$20000,SMALL(IF(CTR1_Billing!$E$21='Local Data Previous Year'!$A$3:$A$20000,ROW('Local Data Previous Year'!$A$3:$A$20000)-ROW('Local Data Previous Year'!$A$3)+1),ROW(321:321))))</f>
        <v/>
      </c>
      <c r="F353" s="756" t="str">
        <f>IF($D353="","",IF(ISNA(MATCH($D353,'Local Data Previous Year'!$D$3:$D$20000,0)),"New",IFERROR(VLOOKUP($B353,'Local Data Previous Year'!$D$3:$I$20000,6,0),"")))</f>
        <v/>
      </c>
      <c r="G353" s="757">
        <f t="shared" si="62"/>
        <v>0</v>
      </c>
      <c r="H353" s="758" t="str">
        <f>IFERROR(INDEX('Local Data Previous Year'!$F:$F, MATCH($D353, 'Local Data Previous Year'!$D:$D, 0)), "")</f>
        <v/>
      </c>
      <c r="I353" s="759">
        <f>IF(B353=CTR1_Billing!$E$21&amp;"NEW",1,0)</f>
        <v>0</v>
      </c>
      <c r="J353" s="760" t="str">
        <f>IFERROR(INDEX('Local Data Previous Year'!$G:$G, MATCH($D353, 'Local Data Previous Year'!$D:$D, 0)), "")</f>
        <v/>
      </c>
      <c r="K353" s="762"/>
      <c r="L353" s="760" t="str">
        <f>IFERROR(INDEX('Local Data Previous Year'!$H:$H, MATCH($D353, 'Local Data Previous Year'!$D:$D, 0)), "")</f>
        <v/>
      </c>
      <c r="M353" s="762"/>
      <c r="N353" s="763"/>
      <c r="O353" s="767"/>
      <c r="P353" s="765"/>
      <c r="Q353" s="767"/>
      <c r="R353" s="766" t="str">
        <f t="shared" si="63"/>
        <v/>
      </c>
      <c r="S353" s="754"/>
      <c r="T353" s="763"/>
      <c r="U353" s="754"/>
      <c r="V353" s="763"/>
      <c r="W353" s="763"/>
      <c r="X353" s="865" t="str">
        <f>VLOOKUP(CTR1_Billing!$E$21,Data!$C$6:$D$302,1,FALSE)</f>
        <v>EZZZZ</v>
      </c>
      <c r="Y353" s="205"/>
      <c r="Z353" s="205">
        <f t="shared" ref="Z353:Z416" si="64">IF(OR(P353&gt;AQ353,P353&lt;AR353),1,0)</f>
        <v>0</v>
      </c>
      <c r="AA353" s="206" t="str">
        <f t="shared" si="40"/>
        <v/>
      </c>
      <c r="AB353" s="205">
        <f t="shared" ref="AB353:AB416" si="65">IF(OR(R353&gt;AS353,R353&lt;AT353),1,0)</f>
        <v>0</v>
      </c>
      <c r="AC353" s="208"/>
      <c r="AD353" s="208"/>
      <c r="AE353" s="208"/>
      <c r="AF353" s="208"/>
      <c r="AG353" s="209" t="str">
        <f>IFERROR(INDEX('Local Data Previous Year'!$F:$F, MATCH($D353, 'Local Data Previous Year'!$D:$D, 0)), "")</f>
        <v/>
      </c>
      <c r="AH353" s="209" t="str">
        <f>IFERROR(INDEX('Local Data Previous Year'!$G:$G, MATCH($D353, 'Local Data Previous Year'!$D:$D, 0)), "")</f>
        <v/>
      </c>
      <c r="AI353" s="209" t="str">
        <f>IFERROR(INDEX('Local Data Previous Year'!$H:$H, MATCH($D353, 'Local Data Previous Year'!$D:$D, 0)), "")</f>
        <v/>
      </c>
      <c r="AJ353" s="209" t="str">
        <f t="shared" ref="AJ353:AJ416" si="66">IF(AG353=H353,"","change")</f>
        <v/>
      </c>
      <c r="AK353" s="209" t="str">
        <f t="shared" ref="AK353:AK416" si="67">IF(AH353=J353,"","change")</f>
        <v/>
      </c>
      <c r="AL353" s="209" t="str">
        <f t="shared" ref="AL353:AL416" si="68">IF(AI353=L353,"","change")</f>
        <v/>
      </c>
      <c r="AM353" s="208" t="str">
        <f>IF($AN353="","",IFERROR(VLOOKUP(CONCATENATE(CTR1_Billing!$E$20,$AN353),'Local Data Previous Year'!$C$3:$D$50000,2,0),CTR1_Billing!$E$21&amp;"NEW"))</f>
        <v/>
      </c>
      <c r="AN353" s="209" t="str" cm="1">
        <f t="array" ref="AN353">IF(ISERROR(INDEX('Local Data Previous Year'!$E$3:$E$50000, SMALL(IF(CTR1_Billing!$E$21='Local Data Previous Year'!$A$3:$A$50000, ROW('Local Data Previous Year'!$A$3:$A$50000)-ROW('Local Data Previous Year'!$A$3)+1), ROW(321:321)))), "", INDEX('Local Data Previous Year'!$E$3:$E$50000, SMALL(IF(CTR1_Billing!$E$21='Local Data Previous Year'!$A$3:$A$50000, ROW('Local Data Previous Year'!$A$3:$A$50000)-ROW('Local Data Previous Year'!$A$3)+1), ROW(321:321))))</f>
        <v/>
      </c>
      <c r="AO353" s="209" t="str">
        <f t="shared" ref="AO353:AO416" si="69">IF(AN353=E353,"","change")</f>
        <v/>
      </c>
      <c r="AP353" s="208"/>
      <c r="AQ353" s="209" t="str">
        <f t="shared" ref="AQ353:AQ416" si="70">IFERROR(J353*1.1,"")</f>
        <v/>
      </c>
      <c r="AR353" s="209" t="str">
        <f t="shared" ref="AR353:AR416" si="71">IFERROR(J353*0.9,"")</f>
        <v/>
      </c>
      <c r="AS353" s="202" t="str">
        <f t="shared" ref="AS353:AS416" si="72">IFERROR(L353+20,"")</f>
        <v/>
      </c>
      <c r="AT353" s="202" t="str">
        <f t="shared" ref="AT353:AT416" si="73">IFERROR(L353-20,"")</f>
        <v/>
      </c>
      <c r="AU353" s="208"/>
      <c r="AV353" s="208"/>
      <c r="AW353" s="208"/>
      <c r="AX353" s="208"/>
      <c r="AY353" s="208"/>
      <c r="AZ353" s="208"/>
      <c r="BA353" s="208"/>
      <c r="BB353" s="208"/>
      <c r="BC353" s="208"/>
      <c r="BD353" s="208"/>
      <c r="BE353" s="208"/>
      <c r="BF353" s="208"/>
      <c r="BG353" s="28"/>
      <c r="BH353" s="28"/>
      <c r="BI353" s="28"/>
      <c r="BJ353" s="28"/>
    </row>
    <row r="354" spans="1:62" s="23" customFormat="1" ht="21" customHeight="1" thickBot="1" x14ac:dyDescent="0.25">
      <c r="A354" s="846" t="str">
        <f>IF($AN354="","",IFERROR(VLOOKUP(CONCATENATE(CTR1_Billing!$E$20,$AN354),'Local Data Previous Year'!$C$3:$D$20000,2,0),CTR1_Billing!$E$21&amp;"NEW"))</f>
        <v/>
      </c>
      <c r="B354" s="846" t="str">
        <f>IF($E354="","",IFERROR(VLOOKUP(CONCATENATE(CTR1_Billing!$E$20,CTR1_Local!$E354),'Local Data Previous Year'!$C$3:$D$20000,2,0),CTR1_Billing!$E$21&amp;"NEW"))</f>
        <v/>
      </c>
      <c r="C354" s="846">
        <v>322</v>
      </c>
      <c r="D354" s="755" t="str" cm="1">
        <f t="array" ref="D354">IF(ISERROR(INDEX('Local Data Previous Year'!$D$3:$D$20000,SMALL(IF(CTR1_Billing!$E$21='Local Data Previous Year'!$A$3:$A$20000,ROW('Local Data Previous Year'!$A$3:$A$20000)-ROW('Local Data Previous Year'!$A$3)+1),ROW(322:322)))),"",INDEX('Local Data Previous Year'!$D$3:$D$20000,SMALL(IF(CTR1_Billing!$E$21='Local Data Previous Year'!$A$3:$A$20000,ROW('Local Data Previous Year'!$A$3:$A$20000)-ROW('Local Data Previous Year'!$A$3)+1),ROW(322:322))))</f>
        <v/>
      </c>
      <c r="E354" s="755" t="str" cm="1">
        <f t="array" ref="E354">IF(ISERROR(INDEX('Local Data Previous Year'!$E$3:$E$20000,SMALL(IF(CTR1_Billing!$E$21='Local Data Previous Year'!$A$3:$A$20000,ROW('Local Data Previous Year'!$A$3:$A$20000)-ROW('Local Data Previous Year'!$A$3)+1),ROW(322:322)))),"",INDEX('Local Data Previous Year'!$E$3:$E$20000,SMALL(IF(CTR1_Billing!$E$21='Local Data Previous Year'!$A$3:$A$20000,ROW('Local Data Previous Year'!$A$3:$A$20000)-ROW('Local Data Previous Year'!$A$3)+1),ROW(322:322))))</f>
        <v/>
      </c>
      <c r="F354" s="756" t="str">
        <f>IF($D354="","",IF(ISNA(MATCH($D354,'Local Data Previous Year'!$D$3:$D$20000,0)),"New",IFERROR(VLOOKUP($B354,'Local Data Previous Year'!$D$3:$I$20000,6,0),"")))</f>
        <v/>
      </c>
      <c r="G354" s="757">
        <f t="shared" ref="G354:G417" si="74">IF(F354="Charter Trustee",1,0)</f>
        <v>0</v>
      </c>
      <c r="H354" s="758" t="str">
        <f>IFERROR(INDEX('Local Data Previous Year'!$F:$F, MATCH($D354, 'Local Data Previous Year'!$D:$D, 0)), "")</f>
        <v/>
      </c>
      <c r="I354" s="759">
        <f>IF(B354=CTR1_Billing!$E$21&amp;"NEW",1,0)</f>
        <v>0</v>
      </c>
      <c r="J354" s="760" t="str">
        <f>IFERROR(INDEX('Local Data Previous Year'!$G:$G, MATCH($D354, 'Local Data Previous Year'!$D:$D, 0)), "")</f>
        <v/>
      </c>
      <c r="K354" s="762"/>
      <c r="L354" s="760" t="str">
        <f>IFERROR(INDEX('Local Data Previous Year'!$H:$H, MATCH($D354, 'Local Data Previous Year'!$D:$D, 0)), "")</f>
        <v/>
      </c>
      <c r="M354" s="762"/>
      <c r="N354" s="763"/>
      <c r="O354" s="767"/>
      <c r="P354" s="765"/>
      <c r="Q354" s="767"/>
      <c r="R354" s="766" t="str">
        <f t="shared" si="63"/>
        <v/>
      </c>
      <c r="S354" s="754"/>
      <c r="T354" s="763"/>
      <c r="U354" s="754"/>
      <c r="V354" s="763"/>
      <c r="W354" s="763"/>
      <c r="X354" s="865" t="str">
        <f>VLOOKUP(CTR1_Billing!$E$21,Data!$C$6:$D$302,1,FALSE)</f>
        <v>EZZZZ</v>
      </c>
      <c r="Y354" s="205"/>
      <c r="Z354" s="205">
        <f t="shared" si="64"/>
        <v>0</v>
      </c>
      <c r="AA354" s="206" t="str">
        <f t="shared" si="40"/>
        <v/>
      </c>
      <c r="AB354" s="205">
        <f t="shared" si="65"/>
        <v>0</v>
      </c>
      <c r="AC354" s="208"/>
      <c r="AD354" s="208"/>
      <c r="AE354" s="208"/>
      <c r="AF354" s="208"/>
      <c r="AG354" s="209" t="str">
        <f>IFERROR(INDEX('Local Data Previous Year'!$F:$F, MATCH($D354, 'Local Data Previous Year'!$D:$D, 0)), "")</f>
        <v/>
      </c>
      <c r="AH354" s="209" t="str">
        <f>IFERROR(INDEX('Local Data Previous Year'!$G:$G, MATCH($D354, 'Local Data Previous Year'!$D:$D, 0)), "")</f>
        <v/>
      </c>
      <c r="AI354" s="209" t="str">
        <f>IFERROR(INDEX('Local Data Previous Year'!$H:$H, MATCH($D354, 'Local Data Previous Year'!$D:$D, 0)), "")</f>
        <v/>
      </c>
      <c r="AJ354" s="209" t="str">
        <f t="shared" si="66"/>
        <v/>
      </c>
      <c r="AK354" s="209" t="str">
        <f t="shared" si="67"/>
        <v/>
      </c>
      <c r="AL354" s="209" t="str">
        <f t="shared" si="68"/>
        <v/>
      </c>
      <c r="AM354" s="208" t="str">
        <f>IF($AN354="","",IFERROR(VLOOKUP(CONCATENATE(CTR1_Billing!$E$20,$AN354),'Local Data Previous Year'!$C$3:$D$50000,2,0),CTR1_Billing!$E$21&amp;"NEW"))</f>
        <v/>
      </c>
      <c r="AN354" s="209" t="str" cm="1">
        <f t="array" ref="AN354">IF(ISERROR(INDEX('Local Data Previous Year'!$E$3:$E$50000, SMALL(IF(CTR1_Billing!$E$21='Local Data Previous Year'!$A$3:$A$50000, ROW('Local Data Previous Year'!$A$3:$A$50000)-ROW('Local Data Previous Year'!$A$3)+1), ROW(322:322)))), "", INDEX('Local Data Previous Year'!$E$3:$E$50000, SMALL(IF(CTR1_Billing!$E$21='Local Data Previous Year'!$A$3:$A$50000, ROW('Local Data Previous Year'!$A$3:$A$50000)-ROW('Local Data Previous Year'!$A$3)+1), ROW(322:322))))</f>
        <v/>
      </c>
      <c r="AO354" s="209" t="str">
        <f t="shared" si="69"/>
        <v/>
      </c>
      <c r="AP354" s="208"/>
      <c r="AQ354" s="209" t="str">
        <f t="shared" si="70"/>
        <v/>
      </c>
      <c r="AR354" s="209" t="str">
        <f t="shared" si="71"/>
        <v/>
      </c>
      <c r="AS354" s="202" t="str">
        <f t="shared" si="72"/>
        <v/>
      </c>
      <c r="AT354" s="202" t="str">
        <f t="shared" si="73"/>
        <v/>
      </c>
      <c r="AU354" s="208"/>
      <c r="AV354" s="208"/>
      <c r="AW354" s="208"/>
      <c r="AX354" s="208"/>
      <c r="AY354" s="208"/>
      <c r="AZ354" s="208"/>
      <c r="BA354" s="208"/>
      <c r="BB354" s="208"/>
      <c r="BC354" s="208"/>
      <c r="BD354" s="208"/>
      <c r="BE354" s="208"/>
      <c r="BF354" s="208"/>
      <c r="BG354" s="28"/>
      <c r="BH354" s="28"/>
      <c r="BI354" s="28"/>
      <c r="BJ354" s="28"/>
    </row>
    <row r="355" spans="1:62" s="23" customFormat="1" ht="21" customHeight="1" thickBot="1" x14ac:dyDescent="0.25">
      <c r="A355" s="846" t="str">
        <f>IF($AN355="","",IFERROR(VLOOKUP(CONCATENATE(CTR1_Billing!$E$20,$AN355),'Local Data Previous Year'!$C$3:$D$20000,2,0),CTR1_Billing!$E$21&amp;"NEW"))</f>
        <v/>
      </c>
      <c r="B355" s="846" t="str">
        <f>IF($E355="","",IFERROR(VLOOKUP(CONCATENATE(CTR1_Billing!$E$20,CTR1_Local!$E355),'Local Data Previous Year'!$C$3:$D$20000,2,0),CTR1_Billing!$E$21&amp;"NEW"))</f>
        <v/>
      </c>
      <c r="C355" s="846">
        <v>323</v>
      </c>
      <c r="D355" s="755" t="str" cm="1">
        <f t="array" ref="D355">IF(ISERROR(INDEX('Local Data Previous Year'!$D$3:$D$20000,SMALL(IF(CTR1_Billing!$E$21='Local Data Previous Year'!$A$3:$A$20000,ROW('Local Data Previous Year'!$A$3:$A$20000)-ROW('Local Data Previous Year'!$A$3)+1),ROW(323:323)))),"",INDEX('Local Data Previous Year'!$D$3:$D$20000,SMALL(IF(CTR1_Billing!$E$21='Local Data Previous Year'!$A$3:$A$20000,ROW('Local Data Previous Year'!$A$3:$A$20000)-ROW('Local Data Previous Year'!$A$3)+1),ROW(323:323))))</f>
        <v/>
      </c>
      <c r="E355" s="755" t="str" cm="1">
        <f t="array" ref="E355">IF(ISERROR(INDEX('Local Data Previous Year'!$E$3:$E$20000,SMALL(IF(CTR1_Billing!$E$21='Local Data Previous Year'!$A$3:$A$20000,ROW('Local Data Previous Year'!$A$3:$A$20000)-ROW('Local Data Previous Year'!$A$3)+1),ROW(323:323)))),"",INDEX('Local Data Previous Year'!$E$3:$E$20000,SMALL(IF(CTR1_Billing!$E$21='Local Data Previous Year'!$A$3:$A$20000,ROW('Local Data Previous Year'!$A$3:$A$20000)-ROW('Local Data Previous Year'!$A$3)+1),ROW(323:323))))</f>
        <v/>
      </c>
      <c r="F355" s="756" t="str">
        <f>IF($D355="","",IF(ISNA(MATCH($D355,'Local Data Previous Year'!$D$3:$D$20000,0)),"New",IFERROR(VLOOKUP($B355,'Local Data Previous Year'!$D$3:$I$20000,6,0),"")))</f>
        <v/>
      </c>
      <c r="G355" s="757">
        <f t="shared" si="74"/>
        <v>0</v>
      </c>
      <c r="H355" s="758" t="str">
        <f>IFERROR(INDEX('Local Data Previous Year'!$F:$F, MATCH($D355, 'Local Data Previous Year'!$D:$D, 0)), "")</f>
        <v/>
      </c>
      <c r="I355" s="759">
        <f>IF(B355=CTR1_Billing!$E$21&amp;"NEW",1,0)</f>
        <v>0</v>
      </c>
      <c r="J355" s="760" t="str">
        <f>IFERROR(INDEX('Local Data Previous Year'!$G:$G, MATCH($D355, 'Local Data Previous Year'!$D:$D, 0)), "")</f>
        <v/>
      </c>
      <c r="K355" s="762"/>
      <c r="L355" s="760" t="str">
        <f>IFERROR(INDEX('Local Data Previous Year'!$H:$H, MATCH($D355, 'Local Data Previous Year'!$D:$D, 0)), "")</f>
        <v/>
      </c>
      <c r="M355" s="762"/>
      <c r="N355" s="763"/>
      <c r="O355" s="767"/>
      <c r="P355" s="765"/>
      <c r="Q355" s="767"/>
      <c r="R355" s="766" t="str">
        <f t="shared" ref="R355:R418" si="75">+IF(N355="","",IF(N355+P355=0,0,+N355/P355))</f>
        <v/>
      </c>
      <c r="S355" s="754"/>
      <c r="T355" s="763"/>
      <c r="U355" s="754"/>
      <c r="V355" s="763"/>
      <c r="W355" s="763"/>
      <c r="X355" s="865" t="str">
        <f>VLOOKUP(CTR1_Billing!$E$21,Data!$C$6:$D$302,1,FALSE)</f>
        <v>EZZZZ</v>
      </c>
      <c r="Y355" s="205"/>
      <c r="Z355" s="205">
        <f t="shared" si="64"/>
        <v>0</v>
      </c>
      <c r="AA355" s="206" t="str">
        <f t="shared" si="40"/>
        <v/>
      </c>
      <c r="AB355" s="205">
        <f t="shared" si="65"/>
        <v>0</v>
      </c>
      <c r="AC355" s="208"/>
      <c r="AD355" s="208"/>
      <c r="AE355" s="208"/>
      <c r="AF355" s="208"/>
      <c r="AG355" s="209" t="str">
        <f>IFERROR(INDEX('Local Data Previous Year'!$F:$F, MATCH($D355, 'Local Data Previous Year'!$D:$D, 0)), "")</f>
        <v/>
      </c>
      <c r="AH355" s="209" t="str">
        <f>IFERROR(INDEX('Local Data Previous Year'!$G:$G, MATCH($D355, 'Local Data Previous Year'!$D:$D, 0)), "")</f>
        <v/>
      </c>
      <c r="AI355" s="209" t="str">
        <f>IFERROR(INDEX('Local Data Previous Year'!$H:$H, MATCH($D355, 'Local Data Previous Year'!$D:$D, 0)), "")</f>
        <v/>
      </c>
      <c r="AJ355" s="209" t="str">
        <f t="shared" si="66"/>
        <v/>
      </c>
      <c r="AK355" s="209" t="str">
        <f t="shared" si="67"/>
        <v/>
      </c>
      <c r="AL355" s="209" t="str">
        <f t="shared" si="68"/>
        <v/>
      </c>
      <c r="AM355" s="208" t="str">
        <f>IF($AN355="","",IFERROR(VLOOKUP(CONCATENATE(CTR1_Billing!$E$20,$AN355),'Local Data Previous Year'!$C$3:$D$50000,2,0),CTR1_Billing!$E$21&amp;"NEW"))</f>
        <v/>
      </c>
      <c r="AN355" s="209" t="str" cm="1">
        <f t="array" ref="AN355">IF(ISERROR(INDEX('Local Data Previous Year'!$E$3:$E$50000, SMALL(IF(CTR1_Billing!$E$21='Local Data Previous Year'!$A$3:$A$50000, ROW('Local Data Previous Year'!$A$3:$A$50000)-ROW('Local Data Previous Year'!$A$3)+1), ROW(323:323)))), "", INDEX('Local Data Previous Year'!$E$3:$E$50000, SMALL(IF(CTR1_Billing!$E$21='Local Data Previous Year'!$A$3:$A$50000, ROW('Local Data Previous Year'!$A$3:$A$50000)-ROW('Local Data Previous Year'!$A$3)+1), ROW(323:323))))</f>
        <v/>
      </c>
      <c r="AO355" s="209" t="str">
        <f t="shared" si="69"/>
        <v/>
      </c>
      <c r="AP355" s="208"/>
      <c r="AQ355" s="209" t="str">
        <f t="shared" si="70"/>
        <v/>
      </c>
      <c r="AR355" s="209" t="str">
        <f t="shared" si="71"/>
        <v/>
      </c>
      <c r="AS355" s="202" t="str">
        <f t="shared" si="72"/>
        <v/>
      </c>
      <c r="AT355" s="202" t="str">
        <f t="shared" si="73"/>
        <v/>
      </c>
      <c r="AU355" s="208"/>
      <c r="AV355" s="208"/>
      <c r="AW355" s="208"/>
      <c r="AX355" s="208"/>
      <c r="AY355" s="208"/>
      <c r="AZ355" s="208"/>
      <c r="BA355" s="208"/>
      <c r="BB355" s="208"/>
      <c r="BC355" s="208"/>
      <c r="BD355" s="208"/>
      <c r="BE355" s="208"/>
      <c r="BF355" s="208"/>
      <c r="BG355" s="28"/>
      <c r="BH355" s="28"/>
      <c r="BI355" s="28"/>
      <c r="BJ355" s="28"/>
    </row>
    <row r="356" spans="1:62" s="23" customFormat="1" ht="21" customHeight="1" thickBot="1" x14ac:dyDescent="0.25">
      <c r="A356" s="846" t="str">
        <f>IF($AN356="","",IFERROR(VLOOKUP(CONCATENATE(CTR1_Billing!$E$20,$AN356),'Local Data Previous Year'!$C$3:$D$20000,2,0),CTR1_Billing!$E$21&amp;"NEW"))</f>
        <v/>
      </c>
      <c r="B356" s="846" t="str">
        <f>IF($E356="","",IFERROR(VLOOKUP(CONCATENATE(CTR1_Billing!$E$20,CTR1_Local!$E356),'Local Data Previous Year'!$C$3:$D$20000,2,0),CTR1_Billing!$E$21&amp;"NEW"))</f>
        <v/>
      </c>
      <c r="C356" s="846">
        <v>324</v>
      </c>
      <c r="D356" s="755" t="str" cm="1">
        <f t="array" ref="D356">IF(ISERROR(INDEX('Local Data Previous Year'!$D$3:$D$20000,SMALL(IF(CTR1_Billing!$E$21='Local Data Previous Year'!$A$3:$A$20000,ROW('Local Data Previous Year'!$A$3:$A$20000)-ROW('Local Data Previous Year'!$A$3)+1),ROW(324:324)))),"",INDEX('Local Data Previous Year'!$D$3:$D$20000,SMALL(IF(CTR1_Billing!$E$21='Local Data Previous Year'!$A$3:$A$20000,ROW('Local Data Previous Year'!$A$3:$A$20000)-ROW('Local Data Previous Year'!$A$3)+1),ROW(324:324))))</f>
        <v/>
      </c>
      <c r="E356" s="755" t="str" cm="1">
        <f t="array" ref="E356">IF(ISERROR(INDEX('Local Data Previous Year'!$E$3:$E$20000,SMALL(IF(CTR1_Billing!$E$21='Local Data Previous Year'!$A$3:$A$20000,ROW('Local Data Previous Year'!$A$3:$A$20000)-ROW('Local Data Previous Year'!$A$3)+1),ROW(324:324)))),"",INDEX('Local Data Previous Year'!$E$3:$E$20000,SMALL(IF(CTR1_Billing!$E$21='Local Data Previous Year'!$A$3:$A$20000,ROW('Local Data Previous Year'!$A$3:$A$20000)-ROW('Local Data Previous Year'!$A$3)+1),ROW(324:324))))</f>
        <v/>
      </c>
      <c r="F356" s="756" t="str">
        <f>IF($D356="","",IF(ISNA(MATCH($D356,'Local Data Previous Year'!$D$3:$D$20000,0)),"New",IFERROR(VLOOKUP($B356,'Local Data Previous Year'!$D$3:$I$20000,6,0),"")))</f>
        <v/>
      </c>
      <c r="G356" s="757">
        <f t="shared" si="74"/>
        <v>0</v>
      </c>
      <c r="H356" s="758" t="str">
        <f>IFERROR(INDEX('Local Data Previous Year'!$F:$F, MATCH($D356, 'Local Data Previous Year'!$D:$D, 0)), "")</f>
        <v/>
      </c>
      <c r="I356" s="759">
        <f>IF(B356=CTR1_Billing!$E$21&amp;"NEW",1,0)</f>
        <v>0</v>
      </c>
      <c r="J356" s="760" t="str">
        <f>IFERROR(INDEX('Local Data Previous Year'!$G:$G, MATCH($D356, 'Local Data Previous Year'!$D:$D, 0)), "")</f>
        <v/>
      </c>
      <c r="K356" s="762"/>
      <c r="L356" s="760" t="str">
        <f>IFERROR(INDEX('Local Data Previous Year'!$H:$H, MATCH($D356, 'Local Data Previous Year'!$D:$D, 0)), "")</f>
        <v/>
      </c>
      <c r="M356" s="762"/>
      <c r="N356" s="763"/>
      <c r="O356" s="767"/>
      <c r="P356" s="765"/>
      <c r="Q356" s="767"/>
      <c r="R356" s="766" t="str">
        <f t="shared" si="75"/>
        <v/>
      </c>
      <c r="S356" s="754"/>
      <c r="T356" s="763"/>
      <c r="U356" s="754"/>
      <c r="V356" s="763"/>
      <c r="W356" s="763"/>
      <c r="X356" s="865" t="str">
        <f>VLOOKUP(CTR1_Billing!$E$21,Data!$C$6:$D$302,1,FALSE)</f>
        <v>EZZZZ</v>
      </c>
      <c r="Y356" s="205"/>
      <c r="Z356" s="205">
        <f t="shared" si="64"/>
        <v>0</v>
      </c>
      <c r="AA356" s="206" t="str">
        <f t="shared" si="40"/>
        <v/>
      </c>
      <c r="AB356" s="205">
        <f t="shared" si="65"/>
        <v>0</v>
      </c>
      <c r="AC356" s="208"/>
      <c r="AD356" s="208"/>
      <c r="AE356" s="208"/>
      <c r="AF356" s="208"/>
      <c r="AG356" s="209" t="str">
        <f>IFERROR(INDEX('Local Data Previous Year'!$F:$F, MATCH($D356, 'Local Data Previous Year'!$D:$D, 0)), "")</f>
        <v/>
      </c>
      <c r="AH356" s="209" t="str">
        <f>IFERROR(INDEX('Local Data Previous Year'!$G:$G, MATCH($D356, 'Local Data Previous Year'!$D:$D, 0)), "")</f>
        <v/>
      </c>
      <c r="AI356" s="209" t="str">
        <f>IFERROR(INDEX('Local Data Previous Year'!$H:$H, MATCH($D356, 'Local Data Previous Year'!$D:$D, 0)), "")</f>
        <v/>
      </c>
      <c r="AJ356" s="209" t="str">
        <f t="shared" si="66"/>
        <v/>
      </c>
      <c r="AK356" s="209" t="str">
        <f t="shared" si="67"/>
        <v/>
      </c>
      <c r="AL356" s="209" t="str">
        <f t="shared" si="68"/>
        <v/>
      </c>
      <c r="AM356" s="208" t="str">
        <f>IF($AN356="","",IFERROR(VLOOKUP(CONCATENATE(CTR1_Billing!$E$20,$AN356),'Local Data Previous Year'!$C$3:$D$50000,2,0),CTR1_Billing!$E$21&amp;"NEW"))</f>
        <v/>
      </c>
      <c r="AN356" s="209" t="str" cm="1">
        <f t="array" ref="AN356">IF(ISERROR(INDEX('Local Data Previous Year'!$E$3:$E$50000, SMALL(IF(CTR1_Billing!$E$21='Local Data Previous Year'!$A$3:$A$50000, ROW('Local Data Previous Year'!$A$3:$A$50000)-ROW('Local Data Previous Year'!$A$3)+1), ROW(324:324)))), "", INDEX('Local Data Previous Year'!$E$3:$E$50000, SMALL(IF(CTR1_Billing!$E$21='Local Data Previous Year'!$A$3:$A$50000, ROW('Local Data Previous Year'!$A$3:$A$50000)-ROW('Local Data Previous Year'!$A$3)+1), ROW(324:324))))</f>
        <v/>
      </c>
      <c r="AO356" s="209" t="str">
        <f t="shared" si="69"/>
        <v/>
      </c>
      <c r="AP356" s="208"/>
      <c r="AQ356" s="209" t="str">
        <f t="shared" si="70"/>
        <v/>
      </c>
      <c r="AR356" s="209" t="str">
        <f t="shared" si="71"/>
        <v/>
      </c>
      <c r="AS356" s="202" t="str">
        <f t="shared" si="72"/>
        <v/>
      </c>
      <c r="AT356" s="202" t="str">
        <f t="shared" si="73"/>
        <v/>
      </c>
      <c r="AU356" s="208"/>
      <c r="AV356" s="208"/>
      <c r="AW356" s="208"/>
      <c r="AX356" s="208"/>
      <c r="AY356" s="208"/>
      <c r="AZ356" s="208"/>
      <c r="BA356" s="208"/>
      <c r="BB356" s="208"/>
      <c r="BC356" s="208"/>
      <c r="BD356" s="208"/>
      <c r="BE356" s="208"/>
      <c r="BF356" s="208"/>
      <c r="BG356" s="28"/>
      <c r="BH356" s="28"/>
      <c r="BI356" s="28"/>
      <c r="BJ356" s="28"/>
    </row>
    <row r="357" spans="1:62" s="23" customFormat="1" ht="21" customHeight="1" thickBot="1" x14ac:dyDescent="0.25">
      <c r="A357" s="846" t="str">
        <f>IF($AN357="","",IFERROR(VLOOKUP(CONCATENATE(CTR1_Billing!$E$20,$AN357),'Local Data Previous Year'!$C$3:$D$20000,2,0),CTR1_Billing!$E$21&amp;"NEW"))</f>
        <v/>
      </c>
      <c r="B357" s="846" t="str">
        <f>IF($E357="","",IFERROR(VLOOKUP(CONCATENATE(CTR1_Billing!$E$20,CTR1_Local!$E357),'Local Data Previous Year'!$C$3:$D$20000,2,0),CTR1_Billing!$E$21&amp;"NEW"))</f>
        <v/>
      </c>
      <c r="C357" s="846">
        <v>325</v>
      </c>
      <c r="D357" s="755" t="str" cm="1">
        <f t="array" ref="D357">IF(ISERROR(INDEX('Local Data Previous Year'!$D$3:$D$20000,SMALL(IF(CTR1_Billing!$E$21='Local Data Previous Year'!$A$3:$A$20000,ROW('Local Data Previous Year'!$A$3:$A$20000)-ROW('Local Data Previous Year'!$A$3)+1),ROW(325:325)))),"",INDEX('Local Data Previous Year'!$D$3:$D$20000,SMALL(IF(CTR1_Billing!$E$21='Local Data Previous Year'!$A$3:$A$20000,ROW('Local Data Previous Year'!$A$3:$A$20000)-ROW('Local Data Previous Year'!$A$3)+1),ROW(325:325))))</f>
        <v/>
      </c>
      <c r="E357" s="755" t="str" cm="1">
        <f t="array" ref="E357">IF(ISERROR(INDEX('Local Data Previous Year'!$E$3:$E$20000,SMALL(IF(CTR1_Billing!$E$21='Local Data Previous Year'!$A$3:$A$20000,ROW('Local Data Previous Year'!$A$3:$A$20000)-ROW('Local Data Previous Year'!$A$3)+1),ROW(325:325)))),"",INDEX('Local Data Previous Year'!$E$3:$E$20000,SMALL(IF(CTR1_Billing!$E$21='Local Data Previous Year'!$A$3:$A$20000,ROW('Local Data Previous Year'!$A$3:$A$20000)-ROW('Local Data Previous Year'!$A$3)+1),ROW(325:325))))</f>
        <v/>
      </c>
      <c r="F357" s="756" t="str">
        <f>IF($D357="","",IF(ISNA(MATCH($D357,'Local Data Previous Year'!$D$3:$D$20000,0)),"New",IFERROR(VLOOKUP($B357,'Local Data Previous Year'!$D$3:$I$20000,6,0),"")))</f>
        <v/>
      </c>
      <c r="G357" s="757">
        <f t="shared" si="74"/>
        <v>0</v>
      </c>
      <c r="H357" s="758" t="str">
        <f>IFERROR(INDEX('Local Data Previous Year'!$F:$F, MATCH($D357, 'Local Data Previous Year'!$D:$D, 0)), "")</f>
        <v/>
      </c>
      <c r="I357" s="759">
        <f>IF(B357=CTR1_Billing!$E$21&amp;"NEW",1,0)</f>
        <v>0</v>
      </c>
      <c r="J357" s="760" t="str">
        <f>IFERROR(INDEX('Local Data Previous Year'!$G:$G, MATCH($D357, 'Local Data Previous Year'!$D:$D, 0)), "")</f>
        <v/>
      </c>
      <c r="K357" s="762"/>
      <c r="L357" s="760" t="str">
        <f>IFERROR(INDEX('Local Data Previous Year'!$H:$H, MATCH($D357, 'Local Data Previous Year'!$D:$D, 0)), "")</f>
        <v/>
      </c>
      <c r="M357" s="762"/>
      <c r="N357" s="763"/>
      <c r="O357" s="767"/>
      <c r="P357" s="765"/>
      <c r="Q357" s="767"/>
      <c r="R357" s="766" t="str">
        <f t="shared" si="75"/>
        <v/>
      </c>
      <c r="S357" s="754"/>
      <c r="T357" s="763"/>
      <c r="U357" s="754"/>
      <c r="V357" s="763"/>
      <c r="W357" s="763"/>
      <c r="X357" s="865" t="str">
        <f>VLOOKUP(CTR1_Billing!$E$21,Data!$C$6:$D$302,1,FALSE)</f>
        <v>EZZZZ</v>
      </c>
      <c r="Y357" s="205"/>
      <c r="Z357" s="205">
        <f t="shared" si="64"/>
        <v>0</v>
      </c>
      <c r="AA357" s="206" t="str">
        <f t="shared" si="40"/>
        <v/>
      </c>
      <c r="AB357" s="205">
        <f t="shared" si="65"/>
        <v>0</v>
      </c>
      <c r="AC357" s="208"/>
      <c r="AD357" s="208"/>
      <c r="AE357" s="208"/>
      <c r="AF357" s="208"/>
      <c r="AG357" s="209" t="str">
        <f>IFERROR(INDEX('Local Data Previous Year'!$F:$F, MATCH($D357, 'Local Data Previous Year'!$D:$D, 0)), "")</f>
        <v/>
      </c>
      <c r="AH357" s="209" t="str">
        <f>IFERROR(INDEX('Local Data Previous Year'!$G:$G, MATCH($D357, 'Local Data Previous Year'!$D:$D, 0)), "")</f>
        <v/>
      </c>
      <c r="AI357" s="209" t="str">
        <f>IFERROR(INDEX('Local Data Previous Year'!$H:$H, MATCH($D357, 'Local Data Previous Year'!$D:$D, 0)), "")</f>
        <v/>
      </c>
      <c r="AJ357" s="209" t="str">
        <f t="shared" si="66"/>
        <v/>
      </c>
      <c r="AK357" s="209" t="str">
        <f t="shared" si="67"/>
        <v/>
      </c>
      <c r="AL357" s="209" t="str">
        <f t="shared" si="68"/>
        <v/>
      </c>
      <c r="AM357" s="208" t="str">
        <f>IF($AN357="","",IFERROR(VLOOKUP(CONCATENATE(CTR1_Billing!$E$20,$AN357),'Local Data Previous Year'!$C$3:$D$50000,2,0),CTR1_Billing!$E$21&amp;"NEW"))</f>
        <v/>
      </c>
      <c r="AN357" s="209" t="str" cm="1">
        <f t="array" ref="AN357">IF(ISERROR(INDEX('Local Data Previous Year'!$E$3:$E$50000, SMALL(IF(CTR1_Billing!$E$21='Local Data Previous Year'!$A$3:$A$50000, ROW('Local Data Previous Year'!$A$3:$A$50000)-ROW('Local Data Previous Year'!$A$3)+1), ROW(325:325)))), "", INDEX('Local Data Previous Year'!$E$3:$E$50000, SMALL(IF(CTR1_Billing!$E$21='Local Data Previous Year'!$A$3:$A$50000, ROW('Local Data Previous Year'!$A$3:$A$50000)-ROW('Local Data Previous Year'!$A$3)+1), ROW(325:325))))</f>
        <v/>
      </c>
      <c r="AO357" s="209" t="str">
        <f t="shared" si="69"/>
        <v/>
      </c>
      <c r="AP357" s="208"/>
      <c r="AQ357" s="209" t="str">
        <f t="shared" si="70"/>
        <v/>
      </c>
      <c r="AR357" s="209" t="str">
        <f t="shared" si="71"/>
        <v/>
      </c>
      <c r="AS357" s="202" t="str">
        <f t="shared" si="72"/>
        <v/>
      </c>
      <c r="AT357" s="202" t="str">
        <f t="shared" si="73"/>
        <v/>
      </c>
      <c r="AU357" s="208"/>
      <c r="AV357" s="208"/>
      <c r="AW357" s="208"/>
      <c r="AX357" s="208"/>
      <c r="AY357" s="208"/>
      <c r="AZ357" s="208"/>
      <c r="BA357" s="208"/>
      <c r="BB357" s="208"/>
      <c r="BC357" s="208"/>
      <c r="BD357" s="208"/>
      <c r="BE357" s="208"/>
      <c r="BF357" s="208"/>
      <c r="BG357" s="28"/>
      <c r="BH357" s="28"/>
      <c r="BI357" s="28"/>
      <c r="BJ357" s="28"/>
    </row>
    <row r="358" spans="1:62" s="23" customFormat="1" ht="21" customHeight="1" thickBot="1" x14ac:dyDescent="0.25">
      <c r="A358" s="846" t="str">
        <f>IF($AN358="","",IFERROR(VLOOKUP(CONCATENATE(CTR1_Billing!$E$20,$AN358),'Local Data Previous Year'!$C$3:$D$20000,2,0),CTR1_Billing!$E$21&amp;"NEW"))</f>
        <v/>
      </c>
      <c r="B358" s="846" t="str">
        <f>IF($E358="","",IFERROR(VLOOKUP(CONCATENATE(CTR1_Billing!$E$20,CTR1_Local!$E358),'Local Data Previous Year'!$C$3:$D$20000,2,0),CTR1_Billing!$E$21&amp;"NEW"))</f>
        <v/>
      </c>
      <c r="C358" s="846">
        <v>326</v>
      </c>
      <c r="D358" s="755" t="str" cm="1">
        <f t="array" ref="D358">IF(ISERROR(INDEX('Local Data Previous Year'!$D$3:$D$20000,SMALL(IF(CTR1_Billing!$E$21='Local Data Previous Year'!$A$3:$A$20000,ROW('Local Data Previous Year'!$A$3:$A$20000)-ROW('Local Data Previous Year'!$A$3)+1),ROW(326:326)))),"",INDEX('Local Data Previous Year'!$D$3:$D$20000,SMALL(IF(CTR1_Billing!$E$21='Local Data Previous Year'!$A$3:$A$20000,ROW('Local Data Previous Year'!$A$3:$A$20000)-ROW('Local Data Previous Year'!$A$3)+1),ROW(326:326))))</f>
        <v/>
      </c>
      <c r="E358" s="755" t="str" cm="1">
        <f t="array" ref="E358">IF(ISERROR(INDEX('Local Data Previous Year'!$E$3:$E$20000,SMALL(IF(CTR1_Billing!$E$21='Local Data Previous Year'!$A$3:$A$20000,ROW('Local Data Previous Year'!$A$3:$A$20000)-ROW('Local Data Previous Year'!$A$3)+1),ROW(326:326)))),"",INDEX('Local Data Previous Year'!$E$3:$E$20000,SMALL(IF(CTR1_Billing!$E$21='Local Data Previous Year'!$A$3:$A$20000,ROW('Local Data Previous Year'!$A$3:$A$20000)-ROW('Local Data Previous Year'!$A$3)+1),ROW(326:326))))</f>
        <v/>
      </c>
      <c r="F358" s="756" t="str">
        <f>IF($D358="","",IF(ISNA(MATCH($D358,'Local Data Previous Year'!$D$3:$D$20000,0)),"New",IFERROR(VLOOKUP($B358,'Local Data Previous Year'!$D$3:$I$20000,6,0),"")))</f>
        <v/>
      </c>
      <c r="G358" s="757">
        <f t="shared" si="74"/>
        <v>0</v>
      </c>
      <c r="H358" s="758" t="str">
        <f>IFERROR(INDEX('Local Data Previous Year'!$F:$F, MATCH($D358, 'Local Data Previous Year'!$D:$D, 0)), "")</f>
        <v/>
      </c>
      <c r="I358" s="759">
        <f>IF(B358=CTR1_Billing!$E$21&amp;"NEW",1,0)</f>
        <v>0</v>
      </c>
      <c r="J358" s="760" t="str">
        <f>IFERROR(INDEX('Local Data Previous Year'!$G:$G, MATCH($D358, 'Local Data Previous Year'!$D:$D, 0)), "")</f>
        <v/>
      </c>
      <c r="K358" s="762"/>
      <c r="L358" s="760" t="str">
        <f>IFERROR(INDEX('Local Data Previous Year'!$H:$H, MATCH($D358, 'Local Data Previous Year'!$D:$D, 0)), "")</f>
        <v/>
      </c>
      <c r="M358" s="762"/>
      <c r="N358" s="763"/>
      <c r="O358" s="767"/>
      <c r="P358" s="765"/>
      <c r="Q358" s="767"/>
      <c r="R358" s="766" t="str">
        <f t="shared" si="75"/>
        <v/>
      </c>
      <c r="S358" s="754"/>
      <c r="T358" s="763"/>
      <c r="U358" s="754"/>
      <c r="V358" s="763"/>
      <c r="W358" s="763"/>
      <c r="X358" s="865" t="str">
        <f>VLOOKUP(CTR1_Billing!$E$21,Data!$C$6:$D$302,1,FALSE)</f>
        <v>EZZZZ</v>
      </c>
      <c r="Y358" s="205"/>
      <c r="Z358" s="205">
        <f t="shared" si="64"/>
        <v>0</v>
      </c>
      <c r="AA358" s="206" t="str">
        <f t="shared" si="40"/>
        <v/>
      </c>
      <c r="AB358" s="205">
        <f t="shared" si="65"/>
        <v>0</v>
      </c>
      <c r="AC358" s="208"/>
      <c r="AD358" s="208"/>
      <c r="AE358" s="208"/>
      <c r="AF358" s="208"/>
      <c r="AG358" s="209" t="str">
        <f>IFERROR(INDEX('Local Data Previous Year'!$F:$F, MATCH($D358, 'Local Data Previous Year'!$D:$D, 0)), "")</f>
        <v/>
      </c>
      <c r="AH358" s="209" t="str">
        <f>IFERROR(INDEX('Local Data Previous Year'!$G:$G, MATCH($D358, 'Local Data Previous Year'!$D:$D, 0)), "")</f>
        <v/>
      </c>
      <c r="AI358" s="209" t="str">
        <f>IFERROR(INDEX('Local Data Previous Year'!$H:$H, MATCH($D358, 'Local Data Previous Year'!$D:$D, 0)), "")</f>
        <v/>
      </c>
      <c r="AJ358" s="209" t="str">
        <f t="shared" si="66"/>
        <v/>
      </c>
      <c r="AK358" s="209" t="str">
        <f t="shared" si="67"/>
        <v/>
      </c>
      <c r="AL358" s="209" t="str">
        <f t="shared" si="68"/>
        <v/>
      </c>
      <c r="AM358" s="208" t="str">
        <f>IF($AN358="","",IFERROR(VLOOKUP(CONCATENATE(CTR1_Billing!$E$20,$AN358),'Local Data Previous Year'!$C$3:$D$50000,2,0),CTR1_Billing!$E$21&amp;"NEW"))</f>
        <v/>
      </c>
      <c r="AN358" s="209" t="str" cm="1">
        <f t="array" ref="AN358">IF(ISERROR(INDEX('Local Data Previous Year'!$E$3:$E$50000, SMALL(IF(CTR1_Billing!$E$21='Local Data Previous Year'!$A$3:$A$50000, ROW('Local Data Previous Year'!$A$3:$A$50000)-ROW('Local Data Previous Year'!$A$3)+1), ROW(326:326)))), "", INDEX('Local Data Previous Year'!$E$3:$E$50000, SMALL(IF(CTR1_Billing!$E$21='Local Data Previous Year'!$A$3:$A$50000, ROW('Local Data Previous Year'!$A$3:$A$50000)-ROW('Local Data Previous Year'!$A$3)+1), ROW(326:326))))</f>
        <v/>
      </c>
      <c r="AO358" s="209" t="str">
        <f t="shared" si="69"/>
        <v/>
      </c>
      <c r="AP358" s="208"/>
      <c r="AQ358" s="209" t="str">
        <f t="shared" si="70"/>
        <v/>
      </c>
      <c r="AR358" s="209" t="str">
        <f t="shared" si="71"/>
        <v/>
      </c>
      <c r="AS358" s="202" t="str">
        <f t="shared" si="72"/>
        <v/>
      </c>
      <c r="AT358" s="202" t="str">
        <f t="shared" si="73"/>
        <v/>
      </c>
      <c r="AU358" s="208"/>
      <c r="AV358" s="208"/>
      <c r="AW358" s="208"/>
      <c r="AX358" s="208"/>
      <c r="AY358" s="208"/>
      <c r="AZ358" s="208"/>
      <c r="BA358" s="208"/>
      <c r="BB358" s="208"/>
      <c r="BC358" s="208"/>
      <c r="BD358" s="208"/>
      <c r="BE358" s="208"/>
      <c r="BF358" s="208"/>
      <c r="BG358" s="28"/>
      <c r="BH358" s="28"/>
      <c r="BI358" s="28"/>
      <c r="BJ358" s="28"/>
    </row>
    <row r="359" spans="1:62" s="23" customFormat="1" ht="21" customHeight="1" thickBot="1" x14ac:dyDescent="0.25">
      <c r="A359" s="846" t="str">
        <f>IF($AN359="","",IFERROR(VLOOKUP(CONCATENATE(CTR1_Billing!$E$20,$AN359),'Local Data Previous Year'!$C$3:$D$20000,2,0),CTR1_Billing!$E$21&amp;"NEW"))</f>
        <v/>
      </c>
      <c r="B359" s="846" t="str">
        <f>IF($E359="","",IFERROR(VLOOKUP(CONCATENATE(CTR1_Billing!$E$20,CTR1_Local!$E359),'Local Data Previous Year'!$C$3:$D$20000,2,0),CTR1_Billing!$E$21&amp;"NEW"))</f>
        <v/>
      </c>
      <c r="C359" s="846">
        <v>327</v>
      </c>
      <c r="D359" s="755" t="str" cm="1">
        <f t="array" ref="D359">IF(ISERROR(INDEX('Local Data Previous Year'!$D$3:$D$20000,SMALL(IF(CTR1_Billing!$E$21='Local Data Previous Year'!$A$3:$A$20000,ROW('Local Data Previous Year'!$A$3:$A$20000)-ROW('Local Data Previous Year'!$A$3)+1),ROW(327:327)))),"",INDEX('Local Data Previous Year'!$D$3:$D$20000,SMALL(IF(CTR1_Billing!$E$21='Local Data Previous Year'!$A$3:$A$20000,ROW('Local Data Previous Year'!$A$3:$A$20000)-ROW('Local Data Previous Year'!$A$3)+1),ROW(327:327))))</f>
        <v/>
      </c>
      <c r="E359" s="755" t="str" cm="1">
        <f t="array" ref="E359">IF(ISERROR(INDEX('Local Data Previous Year'!$E$3:$E$20000,SMALL(IF(CTR1_Billing!$E$21='Local Data Previous Year'!$A$3:$A$20000,ROW('Local Data Previous Year'!$A$3:$A$20000)-ROW('Local Data Previous Year'!$A$3)+1),ROW(327:327)))),"",INDEX('Local Data Previous Year'!$E$3:$E$20000,SMALL(IF(CTR1_Billing!$E$21='Local Data Previous Year'!$A$3:$A$20000,ROW('Local Data Previous Year'!$A$3:$A$20000)-ROW('Local Data Previous Year'!$A$3)+1),ROW(327:327))))</f>
        <v/>
      </c>
      <c r="F359" s="756" t="str">
        <f>IF($D359="","",IF(ISNA(MATCH($D359,'Local Data Previous Year'!$D$3:$D$20000,0)),"New",IFERROR(VLOOKUP($B359,'Local Data Previous Year'!$D$3:$I$20000,6,0),"")))</f>
        <v/>
      </c>
      <c r="G359" s="757">
        <f t="shared" si="74"/>
        <v>0</v>
      </c>
      <c r="H359" s="758" t="str">
        <f>IFERROR(INDEX('Local Data Previous Year'!$F:$F, MATCH($D359, 'Local Data Previous Year'!$D:$D, 0)), "")</f>
        <v/>
      </c>
      <c r="I359" s="759">
        <f>IF(B359=CTR1_Billing!$E$21&amp;"NEW",1,0)</f>
        <v>0</v>
      </c>
      <c r="J359" s="760" t="str">
        <f>IFERROR(INDEX('Local Data Previous Year'!$G:$G, MATCH($D359, 'Local Data Previous Year'!$D:$D, 0)), "")</f>
        <v/>
      </c>
      <c r="K359" s="762"/>
      <c r="L359" s="760" t="str">
        <f>IFERROR(INDEX('Local Data Previous Year'!$H:$H, MATCH($D359, 'Local Data Previous Year'!$D:$D, 0)), "")</f>
        <v/>
      </c>
      <c r="M359" s="762"/>
      <c r="N359" s="763"/>
      <c r="O359" s="767"/>
      <c r="P359" s="765"/>
      <c r="Q359" s="767"/>
      <c r="R359" s="766" t="str">
        <f t="shared" si="75"/>
        <v/>
      </c>
      <c r="S359" s="754"/>
      <c r="T359" s="763"/>
      <c r="U359" s="754"/>
      <c r="V359" s="763"/>
      <c r="W359" s="763"/>
      <c r="X359" s="865" t="str">
        <f>VLOOKUP(CTR1_Billing!$E$21,Data!$C$6:$D$302,1,FALSE)</f>
        <v>EZZZZ</v>
      </c>
      <c r="Y359" s="205"/>
      <c r="Z359" s="205">
        <f t="shared" si="64"/>
        <v>0</v>
      </c>
      <c r="AA359" s="206" t="str">
        <f t="shared" si="40"/>
        <v/>
      </c>
      <c r="AB359" s="205">
        <f t="shared" si="65"/>
        <v>0</v>
      </c>
      <c r="AC359" s="208"/>
      <c r="AD359" s="208"/>
      <c r="AE359" s="208"/>
      <c r="AF359" s="208"/>
      <c r="AG359" s="209" t="str">
        <f>IFERROR(INDEX('Local Data Previous Year'!$F:$F, MATCH($D359, 'Local Data Previous Year'!$D:$D, 0)), "")</f>
        <v/>
      </c>
      <c r="AH359" s="209" t="str">
        <f>IFERROR(INDEX('Local Data Previous Year'!$G:$G, MATCH($D359, 'Local Data Previous Year'!$D:$D, 0)), "")</f>
        <v/>
      </c>
      <c r="AI359" s="209" t="str">
        <f>IFERROR(INDEX('Local Data Previous Year'!$H:$H, MATCH($D359, 'Local Data Previous Year'!$D:$D, 0)), "")</f>
        <v/>
      </c>
      <c r="AJ359" s="209" t="str">
        <f t="shared" si="66"/>
        <v/>
      </c>
      <c r="AK359" s="209" t="str">
        <f t="shared" si="67"/>
        <v/>
      </c>
      <c r="AL359" s="209" t="str">
        <f t="shared" si="68"/>
        <v/>
      </c>
      <c r="AM359" s="208" t="str">
        <f>IF($AN359="","",IFERROR(VLOOKUP(CONCATENATE(CTR1_Billing!$E$20,$AN359),'Local Data Previous Year'!$C$3:$D$50000,2,0),CTR1_Billing!$E$21&amp;"NEW"))</f>
        <v/>
      </c>
      <c r="AN359" s="209" t="str" cm="1">
        <f t="array" ref="AN359">IF(ISERROR(INDEX('Local Data Previous Year'!$E$3:$E$50000, SMALL(IF(CTR1_Billing!$E$21='Local Data Previous Year'!$A$3:$A$50000, ROW('Local Data Previous Year'!$A$3:$A$50000)-ROW('Local Data Previous Year'!$A$3)+1), ROW(327:327)))), "", INDEX('Local Data Previous Year'!$E$3:$E$50000, SMALL(IF(CTR1_Billing!$E$21='Local Data Previous Year'!$A$3:$A$50000, ROW('Local Data Previous Year'!$A$3:$A$50000)-ROW('Local Data Previous Year'!$A$3)+1), ROW(327:327))))</f>
        <v/>
      </c>
      <c r="AO359" s="209" t="str">
        <f t="shared" si="69"/>
        <v/>
      </c>
      <c r="AP359" s="208"/>
      <c r="AQ359" s="209" t="str">
        <f t="shared" si="70"/>
        <v/>
      </c>
      <c r="AR359" s="209" t="str">
        <f t="shared" si="71"/>
        <v/>
      </c>
      <c r="AS359" s="202" t="str">
        <f t="shared" si="72"/>
        <v/>
      </c>
      <c r="AT359" s="202" t="str">
        <f t="shared" si="73"/>
        <v/>
      </c>
      <c r="AU359" s="208"/>
      <c r="AV359" s="208"/>
      <c r="AW359" s="208"/>
      <c r="AX359" s="208"/>
      <c r="AY359" s="208"/>
      <c r="AZ359" s="208"/>
      <c r="BA359" s="208"/>
      <c r="BB359" s="208"/>
      <c r="BC359" s="208"/>
      <c r="BD359" s="208"/>
      <c r="BE359" s="208"/>
      <c r="BF359" s="208"/>
      <c r="BG359" s="28"/>
      <c r="BH359" s="28"/>
      <c r="BI359" s="28"/>
      <c r="BJ359" s="28"/>
    </row>
    <row r="360" spans="1:62" s="23" customFormat="1" ht="21" customHeight="1" thickBot="1" x14ac:dyDescent="0.25">
      <c r="A360" s="846" t="str">
        <f>IF($AN360="","",IFERROR(VLOOKUP(CONCATENATE(CTR1_Billing!$E$20,$AN360),'Local Data Previous Year'!$C$3:$D$20000,2,0),CTR1_Billing!$E$21&amp;"NEW"))</f>
        <v/>
      </c>
      <c r="B360" s="846" t="str">
        <f>IF($E360="","",IFERROR(VLOOKUP(CONCATENATE(CTR1_Billing!$E$20,CTR1_Local!$E360),'Local Data Previous Year'!$C$3:$D$20000,2,0),CTR1_Billing!$E$21&amp;"NEW"))</f>
        <v/>
      </c>
      <c r="C360" s="846">
        <v>328</v>
      </c>
      <c r="D360" s="755" t="str" cm="1">
        <f t="array" ref="D360">IF(ISERROR(INDEX('Local Data Previous Year'!$D$3:$D$20000,SMALL(IF(CTR1_Billing!$E$21='Local Data Previous Year'!$A$3:$A$20000,ROW('Local Data Previous Year'!$A$3:$A$20000)-ROW('Local Data Previous Year'!$A$3)+1),ROW(328:328)))),"",INDEX('Local Data Previous Year'!$D$3:$D$20000,SMALL(IF(CTR1_Billing!$E$21='Local Data Previous Year'!$A$3:$A$20000,ROW('Local Data Previous Year'!$A$3:$A$20000)-ROW('Local Data Previous Year'!$A$3)+1),ROW(328:328))))</f>
        <v/>
      </c>
      <c r="E360" s="755" t="str" cm="1">
        <f t="array" ref="E360">IF(ISERROR(INDEX('Local Data Previous Year'!$E$3:$E$20000,SMALL(IF(CTR1_Billing!$E$21='Local Data Previous Year'!$A$3:$A$20000,ROW('Local Data Previous Year'!$A$3:$A$20000)-ROW('Local Data Previous Year'!$A$3)+1),ROW(328:328)))),"",INDEX('Local Data Previous Year'!$E$3:$E$20000,SMALL(IF(CTR1_Billing!$E$21='Local Data Previous Year'!$A$3:$A$20000,ROW('Local Data Previous Year'!$A$3:$A$20000)-ROW('Local Data Previous Year'!$A$3)+1),ROW(328:328))))</f>
        <v/>
      </c>
      <c r="F360" s="756" t="str">
        <f>IF($D360="","",IF(ISNA(MATCH($D360,'Local Data Previous Year'!$D$3:$D$20000,0)),"New",IFERROR(VLOOKUP($B360,'Local Data Previous Year'!$D$3:$I$20000,6,0),"")))</f>
        <v/>
      </c>
      <c r="G360" s="757">
        <f t="shared" si="74"/>
        <v>0</v>
      </c>
      <c r="H360" s="758" t="str">
        <f>IFERROR(INDEX('Local Data Previous Year'!$F:$F, MATCH($D360, 'Local Data Previous Year'!$D:$D, 0)), "")</f>
        <v/>
      </c>
      <c r="I360" s="759">
        <f>IF(B360=CTR1_Billing!$E$21&amp;"NEW",1,0)</f>
        <v>0</v>
      </c>
      <c r="J360" s="760" t="str">
        <f>IFERROR(INDEX('Local Data Previous Year'!$G:$G, MATCH($D360, 'Local Data Previous Year'!$D:$D, 0)), "")</f>
        <v/>
      </c>
      <c r="K360" s="762"/>
      <c r="L360" s="760" t="str">
        <f>IFERROR(INDEX('Local Data Previous Year'!$H:$H, MATCH($D360, 'Local Data Previous Year'!$D:$D, 0)), "")</f>
        <v/>
      </c>
      <c r="M360" s="762"/>
      <c r="N360" s="763"/>
      <c r="O360" s="767"/>
      <c r="P360" s="765"/>
      <c r="Q360" s="767"/>
      <c r="R360" s="766" t="str">
        <f t="shared" si="75"/>
        <v/>
      </c>
      <c r="S360" s="754"/>
      <c r="T360" s="763"/>
      <c r="U360" s="754"/>
      <c r="V360" s="763"/>
      <c r="W360" s="763"/>
      <c r="X360" s="865" t="str">
        <f>VLOOKUP(CTR1_Billing!$E$21,Data!$C$6:$D$302,1,FALSE)</f>
        <v>EZZZZ</v>
      </c>
      <c r="Y360" s="205"/>
      <c r="Z360" s="205">
        <f t="shared" si="64"/>
        <v>0</v>
      </c>
      <c r="AA360" s="206" t="str">
        <f t="shared" si="40"/>
        <v/>
      </c>
      <c r="AB360" s="205">
        <f t="shared" si="65"/>
        <v>0</v>
      </c>
      <c r="AC360" s="208"/>
      <c r="AD360" s="208"/>
      <c r="AE360" s="208"/>
      <c r="AF360" s="208"/>
      <c r="AG360" s="209" t="str">
        <f>IFERROR(INDEX('Local Data Previous Year'!$F:$F, MATCH($D360, 'Local Data Previous Year'!$D:$D, 0)), "")</f>
        <v/>
      </c>
      <c r="AH360" s="209" t="str">
        <f>IFERROR(INDEX('Local Data Previous Year'!$G:$G, MATCH($D360, 'Local Data Previous Year'!$D:$D, 0)), "")</f>
        <v/>
      </c>
      <c r="AI360" s="209" t="str">
        <f>IFERROR(INDEX('Local Data Previous Year'!$H:$H, MATCH($D360, 'Local Data Previous Year'!$D:$D, 0)), "")</f>
        <v/>
      </c>
      <c r="AJ360" s="209" t="str">
        <f t="shared" si="66"/>
        <v/>
      </c>
      <c r="AK360" s="209" t="str">
        <f t="shared" si="67"/>
        <v/>
      </c>
      <c r="AL360" s="209" t="str">
        <f t="shared" si="68"/>
        <v/>
      </c>
      <c r="AM360" s="208" t="str">
        <f>IF($AN360="","",IFERROR(VLOOKUP(CONCATENATE(CTR1_Billing!$E$20,$AN360),'Local Data Previous Year'!$C$3:$D$50000,2,0),CTR1_Billing!$E$21&amp;"NEW"))</f>
        <v/>
      </c>
      <c r="AN360" s="209" t="str" cm="1">
        <f t="array" ref="AN360">IF(ISERROR(INDEX('Local Data Previous Year'!$E$3:$E$50000, SMALL(IF(CTR1_Billing!$E$21='Local Data Previous Year'!$A$3:$A$50000, ROW('Local Data Previous Year'!$A$3:$A$50000)-ROW('Local Data Previous Year'!$A$3)+1), ROW(328:328)))), "", INDEX('Local Data Previous Year'!$E$3:$E$50000, SMALL(IF(CTR1_Billing!$E$21='Local Data Previous Year'!$A$3:$A$50000, ROW('Local Data Previous Year'!$A$3:$A$50000)-ROW('Local Data Previous Year'!$A$3)+1), ROW(328:328))))</f>
        <v/>
      </c>
      <c r="AO360" s="209" t="str">
        <f t="shared" si="69"/>
        <v/>
      </c>
      <c r="AP360" s="208"/>
      <c r="AQ360" s="209" t="str">
        <f t="shared" si="70"/>
        <v/>
      </c>
      <c r="AR360" s="209" t="str">
        <f t="shared" si="71"/>
        <v/>
      </c>
      <c r="AS360" s="202" t="str">
        <f t="shared" si="72"/>
        <v/>
      </c>
      <c r="AT360" s="202" t="str">
        <f t="shared" si="73"/>
        <v/>
      </c>
      <c r="AU360" s="208"/>
      <c r="AV360" s="208"/>
      <c r="AW360" s="208"/>
      <c r="AX360" s="208"/>
      <c r="AY360" s="208"/>
      <c r="AZ360" s="208"/>
      <c r="BA360" s="208"/>
      <c r="BB360" s="208"/>
      <c r="BC360" s="208"/>
      <c r="BD360" s="208"/>
      <c r="BE360" s="208"/>
      <c r="BF360" s="208"/>
      <c r="BG360" s="28"/>
      <c r="BH360" s="28"/>
      <c r="BI360" s="28"/>
      <c r="BJ360" s="28"/>
    </row>
    <row r="361" spans="1:62" s="23" customFormat="1" ht="21" customHeight="1" thickBot="1" x14ac:dyDescent="0.25">
      <c r="A361" s="846" t="str">
        <f>IF($AN361="","",IFERROR(VLOOKUP(CONCATENATE(CTR1_Billing!$E$20,$AN361),'Local Data Previous Year'!$C$3:$D$20000,2,0),CTR1_Billing!$E$21&amp;"NEW"))</f>
        <v/>
      </c>
      <c r="B361" s="846" t="str">
        <f>IF($E361="","",IFERROR(VLOOKUP(CONCATENATE(CTR1_Billing!$E$20,CTR1_Local!$E361),'Local Data Previous Year'!$C$3:$D$20000,2,0),CTR1_Billing!$E$21&amp;"NEW"))</f>
        <v/>
      </c>
      <c r="C361" s="846">
        <v>329</v>
      </c>
      <c r="D361" s="755" t="str" cm="1">
        <f t="array" ref="D361">IF(ISERROR(INDEX('Local Data Previous Year'!$D$3:$D$20000,SMALL(IF(CTR1_Billing!$E$21='Local Data Previous Year'!$A$3:$A$20000,ROW('Local Data Previous Year'!$A$3:$A$20000)-ROW('Local Data Previous Year'!$A$3)+1),ROW(329:329)))),"",INDEX('Local Data Previous Year'!$D$3:$D$20000,SMALL(IF(CTR1_Billing!$E$21='Local Data Previous Year'!$A$3:$A$20000,ROW('Local Data Previous Year'!$A$3:$A$20000)-ROW('Local Data Previous Year'!$A$3)+1),ROW(329:329))))</f>
        <v/>
      </c>
      <c r="E361" s="755" t="str" cm="1">
        <f t="array" ref="E361">IF(ISERROR(INDEX('Local Data Previous Year'!$E$3:$E$20000,SMALL(IF(CTR1_Billing!$E$21='Local Data Previous Year'!$A$3:$A$20000,ROW('Local Data Previous Year'!$A$3:$A$20000)-ROW('Local Data Previous Year'!$A$3)+1),ROW(329:329)))),"",INDEX('Local Data Previous Year'!$E$3:$E$20000,SMALL(IF(CTR1_Billing!$E$21='Local Data Previous Year'!$A$3:$A$20000,ROW('Local Data Previous Year'!$A$3:$A$20000)-ROW('Local Data Previous Year'!$A$3)+1),ROW(329:329))))</f>
        <v/>
      </c>
      <c r="F361" s="756" t="str">
        <f>IF($D361="","",IF(ISNA(MATCH($D361,'Local Data Previous Year'!$D$3:$D$20000,0)),"New",IFERROR(VLOOKUP($B361,'Local Data Previous Year'!$D$3:$I$20000,6,0),"")))</f>
        <v/>
      </c>
      <c r="G361" s="757">
        <f t="shared" si="74"/>
        <v>0</v>
      </c>
      <c r="H361" s="758" t="str">
        <f>IFERROR(INDEX('Local Data Previous Year'!$F:$F, MATCH($D361, 'Local Data Previous Year'!$D:$D, 0)), "")</f>
        <v/>
      </c>
      <c r="I361" s="759">
        <f>IF(B361=CTR1_Billing!$E$21&amp;"NEW",1,0)</f>
        <v>0</v>
      </c>
      <c r="J361" s="760" t="str">
        <f>IFERROR(INDEX('Local Data Previous Year'!$G:$G, MATCH($D361, 'Local Data Previous Year'!$D:$D, 0)), "")</f>
        <v/>
      </c>
      <c r="K361" s="762"/>
      <c r="L361" s="760" t="str">
        <f>IFERROR(INDEX('Local Data Previous Year'!$H:$H, MATCH($D361, 'Local Data Previous Year'!$D:$D, 0)), "")</f>
        <v/>
      </c>
      <c r="M361" s="762"/>
      <c r="N361" s="763"/>
      <c r="O361" s="767"/>
      <c r="P361" s="765"/>
      <c r="Q361" s="767"/>
      <c r="R361" s="766" t="str">
        <f t="shared" si="75"/>
        <v/>
      </c>
      <c r="S361" s="754"/>
      <c r="T361" s="763"/>
      <c r="U361" s="754"/>
      <c r="V361" s="763"/>
      <c r="W361" s="763"/>
      <c r="X361" s="865" t="str">
        <f>VLOOKUP(CTR1_Billing!$E$21,Data!$C$6:$D$302,1,FALSE)</f>
        <v>EZZZZ</v>
      </c>
      <c r="Y361" s="205"/>
      <c r="Z361" s="205">
        <f t="shared" si="64"/>
        <v>0</v>
      </c>
      <c r="AA361" s="206" t="str">
        <f t="shared" si="40"/>
        <v/>
      </c>
      <c r="AB361" s="205">
        <f t="shared" si="65"/>
        <v>0</v>
      </c>
      <c r="AC361" s="208"/>
      <c r="AD361" s="208"/>
      <c r="AE361" s="208"/>
      <c r="AF361" s="208"/>
      <c r="AG361" s="209" t="str">
        <f>IFERROR(INDEX('Local Data Previous Year'!$F:$F, MATCH($D361, 'Local Data Previous Year'!$D:$D, 0)), "")</f>
        <v/>
      </c>
      <c r="AH361" s="209" t="str">
        <f>IFERROR(INDEX('Local Data Previous Year'!$G:$G, MATCH($D361, 'Local Data Previous Year'!$D:$D, 0)), "")</f>
        <v/>
      </c>
      <c r="AI361" s="209" t="str">
        <f>IFERROR(INDEX('Local Data Previous Year'!$H:$H, MATCH($D361, 'Local Data Previous Year'!$D:$D, 0)), "")</f>
        <v/>
      </c>
      <c r="AJ361" s="209" t="str">
        <f t="shared" si="66"/>
        <v/>
      </c>
      <c r="AK361" s="209" t="str">
        <f t="shared" si="67"/>
        <v/>
      </c>
      <c r="AL361" s="209" t="str">
        <f t="shared" si="68"/>
        <v/>
      </c>
      <c r="AM361" s="208" t="str">
        <f>IF($AN361="","",IFERROR(VLOOKUP(CONCATENATE(CTR1_Billing!$E$20,$AN361),'Local Data Previous Year'!$C$3:$D$50000,2,0),CTR1_Billing!$E$21&amp;"NEW"))</f>
        <v/>
      </c>
      <c r="AN361" s="209" t="str" cm="1">
        <f t="array" ref="AN361">IF(ISERROR(INDEX('Local Data Previous Year'!$E$3:$E$50000, SMALL(IF(CTR1_Billing!$E$21='Local Data Previous Year'!$A$3:$A$50000, ROW('Local Data Previous Year'!$A$3:$A$50000)-ROW('Local Data Previous Year'!$A$3)+1), ROW(329:329)))), "", INDEX('Local Data Previous Year'!$E$3:$E$50000, SMALL(IF(CTR1_Billing!$E$21='Local Data Previous Year'!$A$3:$A$50000, ROW('Local Data Previous Year'!$A$3:$A$50000)-ROW('Local Data Previous Year'!$A$3)+1), ROW(329:329))))</f>
        <v/>
      </c>
      <c r="AO361" s="209" t="str">
        <f t="shared" si="69"/>
        <v/>
      </c>
      <c r="AP361" s="208"/>
      <c r="AQ361" s="209" t="str">
        <f t="shared" si="70"/>
        <v/>
      </c>
      <c r="AR361" s="209" t="str">
        <f t="shared" si="71"/>
        <v/>
      </c>
      <c r="AS361" s="202" t="str">
        <f t="shared" si="72"/>
        <v/>
      </c>
      <c r="AT361" s="202" t="str">
        <f t="shared" si="73"/>
        <v/>
      </c>
      <c r="AU361" s="208"/>
      <c r="AV361" s="208"/>
      <c r="AW361" s="208"/>
      <c r="AX361" s="208"/>
      <c r="AY361" s="208"/>
      <c r="AZ361" s="208"/>
      <c r="BA361" s="208"/>
      <c r="BB361" s="208"/>
      <c r="BC361" s="208"/>
      <c r="BD361" s="208"/>
      <c r="BE361" s="208"/>
      <c r="BF361" s="208"/>
      <c r="BG361" s="28"/>
      <c r="BH361" s="28"/>
      <c r="BI361" s="28"/>
      <c r="BJ361" s="28"/>
    </row>
    <row r="362" spans="1:62" s="23" customFormat="1" ht="21" customHeight="1" thickBot="1" x14ac:dyDescent="0.25">
      <c r="A362" s="846" t="str">
        <f>IF($AN362="","",IFERROR(VLOOKUP(CONCATENATE(CTR1_Billing!$E$20,$AN362),'Local Data Previous Year'!$C$3:$D$20000,2,0),CTR1_Billing!$E$21&amp;"NEW"))</f>
        <v/>
      </c>
      <c r="B362" s="846" t="str">
        <f>IF($E362="","",IFERROR(VLOOKUP(CONCATENATE(CTR1_Billing!$E$20,CTR1_Local!$E362),'Local Data Previous Year'!$C$3:$D$20000,2,0),CTR1_Billing!$E$21&amp;"NEW"))</f>
        <v/>
      </c>
      <c r="C362" s="846">
        <v>330</v>
      </c>
      <c r="D362" s="755" t="str" cm="1">
        <f t="array" ref="D362">IF(ISERROR(INDEX('Local Data Previous Year'!$D$3:$D$20000,SMALL(IF(CTR1_Billing!$E$21='Local Data Previous Year'!$A$3:$A$20000,ROW('Local Data Previous Year'!$A$3:$A$20000)-ROW('Local Data Previous Year'!$A$3)+1),ROW(330:330)))),"",INDEX('Local Data Previous Year'!$D$3:$D$20000,SMALL(IF(CTR1_Billing!$E$21='Local Data Previous Year'!$A$3:$A$20000,ROW('Local Data Previous Year'!$A$3:$A$20000)-ROW('Local Data Previous Year'!$A$3)+1),ROW(330:330))))</f>
        <v/>
      </c>
      <c r="E362" s="755" t="str" cm="1">
        <f t="array" ref="E362">IF(ISERROR(INDEX('Local Data Previous Year'!$E$3:$E$20000,SMALL(IF(CTR1_Billing!$E$21='Local Data Previous Year'!$A$3:$A$20000,ROW('Local Data Previous Year'!$A$3:$A$20000)-ROW('Local Data Previous Year'!$A$3)+1),ROW(330:330)))),"",INDEX('Local Data Previous Year'!$E$3:$E$20000,SMALL(IF(CTR1_Billing!$E$21='Local Data Previous Year'!$A$3:$A$20000,ROW('Local Data Previous Year'!$A$3:$A$20000)-ROW('Local Data Previous Year'!$A$3)+1),ROW(330:330))))</f>
        <v/>
      </c>
      <c r="F362" s="756" t="str">
        <f>IF($D362="","",IF(ISNA(MATCH($D362,'Local Data Previous Year'!$D$3:$D$20000,0)),"New",IFERROR(VLOOKUP($B362,'Local Data Previous Year'!$D$3:$I$20000,6,0),"")))</f>
        <v/>
      </c>
      <c r="G362" s="757">
        <f t="shared" si="74"/>
        <v>0</v>
      </c>
      <c r="H362" s="758" t="str">
        <f>IFERROR(INDEX('Local Data Previous Year'!$F:$F, MATCH($D362, 'Local Data Previous Year'!$D:$D, 0)), "")</f>
        <v/>
      </c>
      <c r="I362" s="759">
        <f>IF(B362=CTR1_Billing!$E$21&amp;"NEW",1,0)</f>
        <v>0</v>
      </c>
      <c r="J362" s="760" t="str">
        <f>IFERROR(INDEX('Local Data Previous Year'!$G:$G, MATCH($D362, 'Local Data Previous Year'!$D:$D, 0)), "")</f>
        <v/>
      </c>
      <c r="K362" s="762"/>
      <c r="L362" s="760" t="str">
        <f>IFERROR(INDEX('Local Data Previous Year'!$H:$H, MATCH($D362, 'Local Data Previous Year'!$D:$D, 0)), "")</f>
        <v/>
      </c>
      <c r="M362" s="762"/>
      <c r="N362" s="763"/>
      <c r="O362" s="767"/>
      <c r="P362" s="765"/>
      <c r="Q362" s="767"/>
      <c r="R362" s="766" t="str">
        <f t="shared" si="75"/>
        <v/>
      </c>
      <c r="S362" s="754"/>
      <c r="T362" s="763"/>
      <c r="U362" s="754"/>
      <c r="V362" s="763"/>
      <c r="W362" s="763"/>
      <c r="X362" s="865" t="str">
        <f>VLOOKUP(CTR1_Billing!$E$21,Data!$C$6:$D$302,1,FALSE)</f>
        <v>EZZZZ</v>
      </c>
      <c r="Y362" s="205"/>
      <c r="Z362" s="205">
        <f t="shared" si="64"/>
        <v>0</v>
      </c>
      <c r="AA362" s="206" t="str">
        <f t="shared" si="40"/>
        <v/>
      </c>
      <c r="AB362" s="205">
        <f t="shared" si="65"/>
        <v>0</v>
      </c>
      <c r="AC362" s="208"/>
      <c r="AD362" s="208"/>
      <c r="AE362" s="208"/>
      <c r="AF362" s="208"/>
      <c r="AG362" s="209" t="str">
        <f>IFERROR(INDEX('Local Data Previous Year'!$F:$F, MATCH($D362, 'Local Data Previous Year'!$D:$D, 0)), "")</f>
        <v/>
      </c>
      <c r="AH362" s="209" t="str">
        <f>IFERROR(INDEX('Local Data Previous Year'!$G:$G, MATCH($D362, 'Local Data Previous Year'!$D:$D, 0)), "")</f>
        <v/>
      </c>
      <c r="AI362" s="209" t="str">
        <f>IFERROR(INDEX('Local Data Previous Year'!$H:$H, MATCH($D362, 'Local Data Previous Year'!$D:$D, 0)), "")</f>
        <v/>
      </c>
      <c r="AJ362" s="209" t="str">
        <f t="shared" si="66"/>
        <v/>
      </c>
      <c r="AK362" s="209" t="str">
        <f t="shared" si="67"/>
        <v/>
      </c>
      <c r="AL362" s="209" t="str">
        <f t="shared" si="68"/>
        <v/>
      </c>
      <c r="AM362" s="208" t="str">
        <f>IF($AN362="","",IFERROR(VLOOKUP(CONCATENATE(CTR1_Billing!$E$20,$AN362),'Local Data Previous Year'!$C$3:$D$50000,2,0),CTR1_Billing!$E$21&amp;"NEW"))</f>
        <v/>
      </c>
      <c r="AN362" s="209" t="str" cm="1">
        <f t="array" ref="AN362">IF(ISERROR(INDEX('Local Data Previous Year'!$E$3:$E$50000, SMALL(IF(CTR1_Billing!$E$21='Local Data Previous Year'!$A$3:$A$50000, ROW('Local Data Previous Year'!$A$3:$A$50000)-ROW('Local Data Previous Year'!$A$3)+1), ROW(330:330)))), "", INDEX('Local Data Previous Year'!$E$3:$E$50000, SMALL(IF(CTR1_Billing!$E$21='Local Data Previous Year'!$A$3:$A$50000, ROW('Local Data Previous Year'!$A$3:$A$50000)-ROW('Local Data Previous Year'!$A$3)+1), ROW(330:330))))</f>
        <v/>
      </c>
      <c r="AO362" s="209" t="str">
        <f t="shared" si="69"/>
        <v/>
      </c>
      <c r="AP362" s="208"/>
      <c r="AQ362" s="209" t="str">
        <f t="shared" si="70"/>
        <v/>
      </c>
      <c r="AR362" s="209" t="str">
        <f t="shared" si="71"/>
        <v/>
      </c>
      <c r="AS362" s="202" t="str">
        <f t="shared" si="72"/>
        <v/>
      </c>
      <c r="AT362" s="202" t="str">
        <f t="shared" si="73"/>
        <v/>
      </c>
      <c r="AU362" s="208"/>
      <c r="AV362" s="208"/>
      <c r="AW362" s="208"/>
      <c r="AX362" s="208"/>
      <c r="AY362" s="208"/>
      <c r="AZ362" s="208"/>
      <c r="BA362" s="208"/>
      <c r="BB362" s="208"/>
      <c r="BC362" s="208"/>
      <c r="BD362" s="208"/>
      <c r="BE362" s="208"/>
      <c r="BF362" s="208"/>
      <c r="BG362" s="28"/>
      <c r="BH362" s="28"/>
      <c r="BI362" s="28"/>
      <c r="BJ362" s="28"/>
    </row>
    <row r="363" spans="1:62" s="23" customFormat="1" ht="21" customHeight="1" thickBot="1" x14ac:dyDescent="0.25">
      <c r="A363" s="846" t="str">
        <f>IF($AN363="","",IFERROR(VLOOKUP(CONCATENATE(CTR1_Billing!$E$20,$AN363),'Local Data Previous Year'!$C$3:$D$20000,2,0),CTR1_Billing!$E$21&amp;"NEW"))</f>
        <v/>
      </c>
      <c r="B363" s="846" t="str">
        <f>IF($E363="","",IFERROR(VLOOKUP(CONCATENATE(CTR1_Billing!$E$20,CTR1_Local!$E363),'Local Data Previous Year'!$C$3:$D$20000,2,0),CTR1_Billing!$E$21&amp;"NEW"))</f>
        <v/>
      </c>
      <c r="C363" s="846">
        <v>331</v>
      </c>
      <c r="D363" s="755" t="str" cm="1">
        <f t="array" ref="D363">IF(ISERROR(INDEX('Local Data Previous Year'!$D$3:$D$20000,SMALL(IF(CTR1_Billing!$E$21='Local Data Previous Year'!$A$3:$A$20000,ROW('Local Data Previous Year'!$A$3:$A$20000)-ROW('Local Data Previous Year'!$A$3)+1),ROW(331:331)))),"",INDEX('Local Data Previous Year'!$D$3:$D$20000,SMALL(IF(CTR1_Billing!$E$21='Local Data Previous Year'!$A$3:$A$20000,ROW('Local Data Previous Year'!$A$3:$A$20000)-ROW('Local Data Previous Year'!$A$3)+1),ROW(331:331))))</f>
        <v/>
      </c>
      <c r="E363" s="755" t="str" cm="1">
        <f t="array" ref="E363">IF(ISERROR(INDEX('Local Data Previous Year'!$E$3:$E$20000,SMALL(IF(CTR1_Billing!$E$21='Local Data Previous Year'!$A$3:$A$20000,ROW('Local Data Previous Year'!$A$3:$A$20000)-ROW('Local Data Previous Year'!$A$3)+1),ROW(331:331)))),"",INDEX('Local Data Previous Year'!$E$3:$E$20000,SMALL(IF(CTR1_Billing!$E$21='Local Data Previous Year'!$A$3:$A$20000,ROW('Local Data Previous Year'!$A$3:$A$20000)-ROW('Local Data Previous Year'!$A$3)+1),ROW(331:331))))</f>
        <v/>
      </c>
      <c r="F363" s="756" t="str">
        <f>IF($D363="","",IF(ISNA(MATCH($D363,'Local Data Previous Year'!$D$3:$D$20000,0)),"New",IFERROR(VLOOKUP($B363,'Local Data Previous Year'!$D$3:$I$20000,6,0),"")))</f>
        <v/>
      </c>
      <c r="G363" s="757">
        <f t="shared" si="74"/>
        <v>0</v>
      </c>
      <c r="H363" s="758" t="str">
        <f>IFERROR(INDEX('Local Data Previous Year'!$F:$F, MATCH($D363, 'Local Data Previous Year'!$D:$D, 0)), "")</f>
        <v/>
      </c>
      <c r="I363" s="759">
        <f>IF(B363=CTR1_Billing!$E$21&amp;"NEW",1,0)</f>
        <v>0</v>
      </c>
      <c r="J363" s="760" t="str">
        <f>IFERROR(INDEX('Local Data Previous Year'!$G:$G, MATCH($D363, 'Local Data Previous Year'!$D:$D, 0)), "")</f>
        <v/>
      </c>
      <c r="K363" s="762"/>
      <c r="L363" s="760" t="str">
        <f>IFERROR(INDEX('Local Data Previous Year'!$H:$H, MATCH($D363, 'Local Data Previous Year'!$D:$D, 0)), "")</f>
        <v/>
      </c>
      <c r="M363" s="762"/>
      <c r="N363" s="763"/>
      <c r="O363" s="767"/>
      <c r="P363" s="765"/>
      <c r="Q363" s="767"/>
      <c r="R363" s="766" t="str">
        <f t="shared" si="75"/>
        <v/>
      </c>
      <c r="S363" s="754"/>
      <c r="T363" s="763"/>
      <c r="U363" s="754"/>
      <c r="V363" s="763"/>
      <c r="W363" s="763"/>
      <c r="X363" s="865" t="str">
        <f>VLOOKUP(CTR1_Billing!$E$21,Data!$C$6:$D$302,1,FALSE)</f>
        <v>EZZZZ</v>
      </c>
      <c r="Y363" s="205"/>
      <c r="Z363" s="205">
        <f t="shared" si="64"/>
        <v>0</v>
      </c>
      <c r="AA363" s="206" t="str">
        <f t="shared" si="40"/>
        <v/>
      </c>
      <c r="AB363" s="205">
        <f t="shared" si="65"/>
        <v>0</v>
      </c>
      <c r="AC363" s="208"/>
      <c r="AD363" s="208"/>
      <c r="AE363" s="208"/>
      <c r="AF363" s="208"/>
      <c r="AG363" s="209" t="str">
        <f>IFERROR(INDEX('Local Data Previous Year'!$F:$F, MATCH($D363, 'Local Data Previous Year'!$D:$D, 0)), "")</f>
        <v/>
      </c>
      <c r="AH363" s="209" t="str">
        <f>IFERROR(INDEX('Local Data Previous Year'!$G:$G, MATCH($D363, 'Local Data Previous Year'!$D:$D, 0)), "")</f>
        <v/>
      </c>
      <c r="AI363" s="209" t="str">
        <f>IFERROR(INDEX('Local Data Previous Year'!$H:$H, MATCH($D363, 'Local Data Previous Year'!$D:$D, 0)), "")</f>
        <v/>
      </c>
      <c r="AJ363" s="209" t="str">
        <f t="shared" si="66"/>
        <v/>
      </c>
      <c r="AK363" s="209" t="str">
        <f t="shared" si="67"/>
        <v/>
      </c>
      <c r="AL363" s="209" t="str">
        <f t="shared" si="68"/>
        <v/>
      </c>
      <c r="AM363" s="208" t="str">
        <f>IF($AN363="","",IFERROR(VLOOKUP(CONCATENATE(CTR1_Billing!$E$20,$AN363),'Local Data Previous Year'!$C$3:$D$50000,2,0),CTR1_Billing!$E$21&amp;"NEW"))</f>
        <v/>
      </c>
      <c r="AN363" s="209" t="str" cm="1">
        <f t="array" ref="AN363">IF(ISERROR(INDEX('Local Data Previous Year'!$E$3:$E$50000, SMALL(IF(CTR1_Billing!$E$21='Local Data Previous Year'!$A$3:$A$50000, ROW('Local Data Previous Year'!$A$3:$A$50000)-ROW('Local Data Previous Year'!$A$3)+1), ROW(331:331)))), "", INDEX('Local Data Previous Year'!$E$3:$E$50000, SMALL(IF(CTR1_Billing!$E$21='Local Data Previous Year'!$A$3:$A$50000, ROW('Local Data Previous Year'!$A$3:$A$50000)-ROW('Local Data Previous Year'!$A$3)+1), ROW(331:331))))</f>
        <v/>
      </c>
      <c r="AO363" s="209" t="str">
        <f t="shared" si="69"/>
        <v/>
      </c>
      <c r="AP363" s="208"/>
      <c r="AQ363" s="209" t="str">
        <f t="shared" si="70"/>
        <v/>
      </c>
      <c r="AR363" s="209" t="str">
        <f t="shared" si="71"/>
        <v/>
      </c>
      <c r="AS363" s="202" t="str">
        <f t="shared" si="72"/>
        <v/>
      </c>
      <c r="AT363" s="202" t="str">
        <f t="shared" si="73"/>
        <v/>
      </c>
      <c r="AU363" s="208"/>
      <c r="AV363" s="208"/>
      <c r="AW363" s="208"/>
      <c r="AX363" s="208"/>
      <c r="AY363" s="208"/>
      <c r="AZ363" s="208"/>
      <c r="BA363" s="208"/>
      <c r="BB363" s="208"/>
      <c r="BC363" s="208"/>
      <c r="BD363" s="208"/>
      <c r="BE363" s="208"/>
      <c r="BF363" s="208"/>
      <c r="BG363" s="28"/>
      <c r="BH363" s="28"/>
      <c r="BI363" s="28"/>
      <c r="BJ363" s="28"/>
    </row>
    <row r="364" spans="1:62" s="23" customFormat="1" ht="21" customHeight="1" thickBot="1" x14ac:dyDescent="0.25">
      <c r="A364" s="846" t="str">
        <f>IF($AN364="","",IFERROR(VLOOKUP(CONCATENATE(CTR1_Billing!$E$20,$AN364),'Local Data Previous Year'!$C$3:$D$20000,2,0),CTR1_Billing!$E$21&amp;"NEW"))</f>
        <v/>
      </c>
      <c r="B364" s="846" t="str">
        <f>IF($E364="","",IFERROR(VLOOKUP(CONCATENATE(CTR1_Billing!$E$20,CTR1_Local!$E364),'Local Data Previous Year'!$C$3:$D$20000,2,0),CTR1_Billing!$E$21&amp;"NEW"))</f>
        <v/>
      </c>
      <c r="C364" s="846">
        <v>332</v>
      </c>
      <c r="D364" s="755" t="str" cm="1">
        <f t="array" ref="D364">IF(ISERROR(INDEX('Local Data Previous Year'!$D$3:$D$20000,SMALL(IF(CTR1_Billing!$E$21='Local Data Previous Year'!$A$3:$A$20000,ROW('Local Data Previous Year'!$A$3:$A$20000)-ROW('Local Data Previous Year'!$A$3)+1),ROW(332:332)))),"",INDEX('Local Data Previous Year'!$D$3:$D$20000,SMALL(IF(CTR1_Billing!$E$21='Local Data Previous Year'!$A$3:$A$20000,ROW('Local Data Previous Year'!$A$3:$A$20000)-ROW('Local Data Previous Year'!$A$3)+1),ROW(332:332))))</f>
        <v/>
      </c>
      <c r="E364" s="755" t="str" cm="1">
        <f t="array" ref="E364">IF(ISERROR(INDEX('Local Data Previous Year'!$E$3:$E$20000,SMALL(IF(CTR1_Billing!$E$21='Local Data Previous Year'!$A$3:$A$20000,ROW('Local Data Previous Year'!$A$3:$A$20000)-ROW('Local Data Previous Year'!$A$3)+1),ROW(332:332)))),"",INDEX('Local Data Previous Year'!$E$3:$E$20000,SMALL(IF(CTR1_Billing!$E$21='Local Data Previous Year'!$A$3:$A$20000,ROW('Local Data Previous Year'!$A$3:$A$20000)-ROW('Local Data Previous Year'!$A$3)+1),ROW(332:332))))</f>
        <v/>
      </c>
      <c r="F364" s="756" t="str">
        <f>IF($D364="","",IF(ISNA(MATCH($D364,'Local Data Previous Year'!$D$3:$D$20000,0)),"New",IFERROR(VLOOKUP($B364,'Local Data Previous Year'!$D$3:$I$20000,6,0),"")))</f>
        <v/>
      </c>
      <c r="G364" s="757">
        <f t="shared" si="74"/>
        <v>0</v>
      </c>
      <c r="H364" s="758" t="str">
        <f>IFERROR(INDEX('Local Data Previous Year'!$F:$F, MATCH($D364, 'Local Data Previous Year'!$D:$D, 0)), "")</f>
        <v/>
      </c>
      <c r="I364" s="759">
        <f>IF(B364=CTR1_Billing!$E$21&amp;"NEW",1,0)</f>
        <v>0</v>
      </c>
      <c r="J364" s="760" t="str">
        <f>IFERROR(INDEX('Local Data Previous Year'!$G:$G, MATCH($D364, 'Local Data Previous Year'!$D:$D, 0)), "")</f>
        <v/>
      </c>
      <c r="K364" s="762"/>
      <c r="L364" s="760" t="str">
        <f>IFERROR(INDEX('Local Data Previous Year'!$H:$H, MATCH($D364, 'Local Data Previous Year'!$D:$D, 0)), "")</f>
        <v/>
      </c>
      <c r="M364" s="762"/>
      <c r="N364" s="763"/>
      <c r="O364" s="767"/>
      <c r="P364" s="765"/>
      <c r="Q364" s="767"/>
      <c r="R364" s="766" t="str">
        <f t="shared" si="75"/>
        <v/>
      </c>
      <c r="S364" s="754"/>
      <c r="T364" s="763"/>
      <c r="U364" s="754"/>
      <c r="V364" s="763"/>
      <c r="W364" s="763"/>
      <c r="X364" s="865" t="str">
        <f>VLOOKUP(CTR1_Billing!$E$21,Data!$C$6:$D$302,1,FALSE)</f>
        <v>EZZZZ</v>
      </c>
      <c r="Y364" s="205"/>
      <c r="Z364" s="205">
        <f t="shared" si="64"/>
        <v>0</v>
      </c>
      <c r="AA364" s="206" t="str">
        <f t="shared" si="40"/>
        <v/>
      </c>
      <c r="AB364" s="205">
        <f t="shared" si="65"/>
        <v>0</v>
      </c>
      <c r="AC364" s="208"/>
      <c r="AD364" s="208"/>
      <c r="AE364" s="208"/>
      <c r="AF364" s="208"/>
      <c r="AG364" s="209" t="str">
        <f>IFERROR(INDEX('Local Data Previous Year'!$F:$F, MATCH($D364, 'Local Data Previous Year'!$D:$D, 0)), "")</f>
        <v/>
      </c>
      <c r="AH364" s="209" t="str">
        <f>IFERROR(INDEX('Local Data Previous Year'!$G:$G, MATCH($D364, 'Local Data Previous Year'!$D:$D, 0)), "")</f>
        <v/>
      </c>
      <c r="AI364" s="209" t="str">
        <f>IFERROR(INDEX('Local Data Previous Year'!$H:$H, MATCH($D364, 'Local Data Previous Year'!$D:$D, 0)), "")</f>
        <v/>
      </c>
      <c r="AJ364" s="209" t="str">
        <f t="shared" si="66"/>
        <v/>
      </c>
      <c r="AK364" s="209" t="str">
        <f t="shared" si="67"/>
        <v/>
      </c>
      <c r="AL364" s="209" t="str">
        <f t="shared" si="68"/>
        <v/>
      </c>
      <c r="AM364" s="208" t="str">
        <f>IF($AN364="","",IFERROR(VLOOKUP(CONCATENATE(CTR1_Billing!$E$20,$AN364),'Local Data Previous Year'!$C$3:$D$50000,2,0),CTR1_Billing!$E$21&amp;"NEW"))</f>
        <v/>
      </c>
      <c r="AN364" s="209" t="str" cm="1">
        <f t="array" ref="AN364">IF(ISERROR(INDEX('Local Data Previous Year'!$E$3:$E$50000, SMALL(IF(CTR1_Billing!$E$21='Local Data Previous Year'!$A$3:$A$50000, ROW('Local Data Previous Year'!$A$3:$A$50000)-ROW('Local Data Previous Year'!$A$3)+1), ROW(332:332)))), "", INDEX('Local Data Previous Year'!$E$3:$E$50000, SMALL(IF(CTR1_Billing!$E$21='Local Data Previous Year'!$A$3:$A$50000, ROW('Local Data Previous Year'!$A$3:$A$50000)-ROW('Local Data Previous Year'!$A$3)+1), ROW(332:332))))</f>
        <v/>
      </c>
      <c r="AO364" s="209" t="str">
        <f t="shared" si="69"/>
        <v/>
      </c>
      <c r="AP364" s="208"/>
      <c r="AQ364" s="209" t="str">
        <f t="shared" si="70"/>
        <v/>
      </c>
      <c r="AR364" s="209" t="str">
        <f t="shared" si="71"/>
        <v/>
      </c>
      <c r="AS364" s="202" t="str">
        <f t="shared" si="72"/>
        <v/>
      </c>
      <c r="AT364" s="202" t="str">
        <f t="shared" si="73"/>
        <v/>
      </c>
      <c r="AU364" s="208"/>
      <c r="AV364" s="208"/>
      <c r="AW364" s="208"/>
      <c r="AX364" s="208"/>
      <c r="AY364" s="208"/>
      <c r="AZ364" s="208"/>
      <c r="BA364" s="208"/>
      <c r="BB364" s="208"/>
      <c r="BC364" s="208"/>
      <c r="BD364" s="208"/>
      <c r="BE364" s="208"/>
      <c r="BF364" s="208"/>
      <c r="BG364" s="28"/>
      <c r="BH364" s="28"/>
      <c r="BI364" s="28"/>
      <c r="BJ364" s="28"/>
    </row>
    <row r="365" spans="1:62" s="23" customFormat="1" ht="21" customHeight="1" thickBot="1" x14ac:dyDescent="0.25">
      <c r="A365" s="846" t="str">
        <f>IF($AN365="","",IFERROR(VLOOKUP(CONCATENATE(CTR1_Billing!$E$20,$AN365),'Local Data Previous Year'!$C$3:$D$20000,2,0),CTR1_Billing!$E$21&amp;"NEW"))</f>
        <v/>
      </c>
      <c r="B365" s="846" t="str">
        <f>IF($E365="","",IFERROR(VLOOKUP(CONCATENATE(CTR1_Billing!$E$20,CTR1_Local!$E365),'Local Data Previous Year'!$C$3:$D$20000,2,0),CTR1_Billing!$E$21&amp;"NEW"))</f>
        <v/>
      </c>
      <c r="C365" s="846">
        <v>333</v>
      </c>
      <c r="D365" s="755" t="str" cm="1">
        <f t="array" ref="D365">IF(ISERROR(INDEX('Local Data Previous Year'!$D$3:$D$20000,SMALL(IF(CTR1_Billing!$E$21='Local Data Previous Year'!$A$3:$A$20000,ROW('Local Data Previous Year'!$A$3:$A$20000)-ROW('Local Data Previous Year'!$A$3)+1),ROW(333:333)))),"",INDEX('Local Data Previous Year'!$D$3:$D$20000,SMALL(IF(CTR1_Billing!$E$21='Local Data Previous Year'!$A$3:$A$20000,ROW('Local Data Previous Year'!$A$3:$A$20000)-ROW('Local Data Previous Year'!$A$3)+1),ROW(333:333))))</f>
        <v/>
      </c>
      <c r="E365" s="755" t="str" cm="1">
        <f t="array" ref="E365">IF(ISERROR(INDEX('Local Data Previous Year'!$E$3:$E$20000,SMALL(IF(CTR1_Billing!$E$21='Local Data Previous Year'!$A$3:$A$20000,ROW('Local Data Previous Year'!$A$3:$A$20000)-ROW('Local Data Previous Year'!$A$3)+1),ROW(333:333)))),"",INDEX('Local Data Previous Year'!$E$3:$E$20000,SMALL(IF(CTR1_Billing!$E$21='Local Data Previous Year'!$A$3:$A$20000,ROW('Local Data Previous Year'!$A$3:$A$20000)-ROW('Local Data Previous Year'!$A$3)+1),ROW(333:333))))</f>
        <v/>
      </c>
      <c r="F365" s="756" t="str">
        <f>IF($D365="","",IF(ISNA(MATCH($D365,'Local Data Previous Year'!$D$3:$D$20000,0)),"New",IFERROR(VLOOKUP($B365,'Local Data Previous Year'!$D$3:$I$20000,6,0),"")))</f>
        <v/>
      </c>
      <c r="G365" s="757">
        <f t="shared" si="74"/>
        <v>0</v>
      </c>
      <c r="H365" s="758" t="str">
        <f>IFERROR(INDEX('Local Data Previous Year'!$F:$F, MATCH($D365, 'Local Data Previous Year'!$D:$D, 0)), "")</f>
        <v/>
      </c>
      <c r="I365" s="759">
        <f>IF(B365=CTR1_Billing!$E$21&amp;"NEW",1,0)</f>
        <v>0</v>
      </c>
      <c r="J365" s="760" t="str">
        <f>IFERROR(INDEX('Local Data Previous Year'!$G:$G, MATCH($D365, 'Local Data Previous Year'!$D:$D, 0)), "")</f>
        <v/>
      </c>
      <c r="K365" s="762"/>
      <c r="L365" s="760" t="str">
        <f>IFERROR(INDEX('Local Data Previous Year'!$H:$H, MATCH($D365, 'Local Data Previous Year'!$D:$D, 0)), "")</f>
        <v/>
      </c>
      <c r="M365" s="762"/>
      <c r="N365" s="763"/>
      <c r="O365" s="767"/>
      <c r="P365" s="765"/>
      <c r="Q365" s="767"/>
      <c r="R365" s="766" t="str">
        <f t="shared" si="75"/>
        <v/>
      </c>
      <c r="S365" s="754"/>
      <c r="T365" s="763"/>
      <c r="U365" s="754"/>
      <c r="V365" s="763"/>
      <c r="W365" s="763"/>
      <c r="X365" s="865" t="str">
        <f>VLOOKUP(CTR1_Billing!$E$21,Data!$C$6:$D$302,1,FALSE)</f>
        <v>EZZZZ</v>
      </c>
      <c r="Y365" s="205"/>
      <c r="Z365" s="205">
        <f t="shared" si="64"/>
        <v>0</v>
      </c>
      <c r="AA365" s="206" t="str">
        <f t="shared" si="40"/>
        <v/>
      </c>
      <c r="AB365" s="205">
        <f t="shared" si="65"/>
        <v>0</v>
      </c>
      <c r="AC365" s="208"/>
      <c r="AD365" s="208"/>
      <c r="AE365" s="208"/>
      <c r="AF365" s="208"/>
      <c r="AG365" s="209" t="str">
        <f>IFERROR(INDEX('Local Data Previous Year'!$F:$F, MATCH($D365, 'Local Data Previous Year'!$D:$D, 0)), "")</f>
        <v/>
      </c>
      <c r="AH365" s="209" t="str">
        <f>IFERROR(INDEX('Local Data Previous Year'!$G:$G, MATCH($D365, 'Local Data Previous Year'!$D:$D, 0)), "")</f>
        <v/>
      </c>
      <c r="AI365" s="209" t="str">
        <f>IFERROR(INDEX('Local Data Previous Year'!$H:$H, MATCH($D365, 'Local Data Previous Year'!$D:$D, 0)), "")</f>
        <v/>
      </c>
      <c r="AJ365" s="209" t="str">
        <f t="shared" si="66"/>
        <v/>
      </c>
      <c r="AK365" s="209" t="str">
        <f t="shared" si="67"/>
        <v/>
      </c>
      <c r="AL365" s="209" t="str">
        <f t="shared" si="68"/>
        <v/>
      </c>
      <c r="AM365" s="208" t="str">
        <f>IF($AN365="","",IFERROR(VLOOKUP(CONCATENATE(CTR1_Billing!$E$20,$AN365),'Local Data Previous Year'!$C$3:$D$50000,2,0),CTR1_Billing!$E$21&amp;"NEW"))</f>
        <v/>
      </c>
      <c r="AN365" s="209" t="str" cm="1">
        <f t="array" ref="AN365">IF(ISERROR(INDEX('Local Data Previous Year'!$E$3:$E$50000, SMALL(IF(CTR1_Billing!$E$21='Local Data Previous Year'!$A$3:$A$50000, ROW('Local Data Previous Year'!$A$3:$A$50000)-ROW('Local Data Previous Year'!$A$3)+1), ROW(333:333)))), "", INDEX('Local Data Previous Year'!$E$3:$E$50000, SMALL(IF(CTR1_Billing!$E$21='Local Data Previous Year'!$A$3:$A$50000, ROW('Local Data Previous Year'!$A$3:$A$50000)-ROW('Local Data Previous Year'!$A$3)+1), ROW(333:333))))</f>
        <v/>
      </c>
      <c r="AO365" s="209" t="str">
        <f t="shared" si="69"/>
        <v/>
      </c>
      <c r="AP365" s="208"/>
      <c r="AQ365" s="209" t="str">
        <f t="shared" si="70"/>
        <v/>
      </c>
      <c r="AR365" s="209" t="str">
        <f t="shared" si="71"/>
        <v/>
      </c>
      <c r="AS365" s="202" t="str">
        <f t="shared" si="72"/>
        <v/>
      </c>
      <c r="AT365" s="202" t="str">
        <f t="shared" si="73"/>
        <v/>
      </c>
      <c r="AU365" s="208"/>
      <c r="AV365" s="208"/>
      <c r="AW365" s="208"/>
      <c r="AX365" s="208"/>
      <c r="AY365" s="208"/>
      <c r="AZ365" s="208"/>
      <c r="BA365" s="208"/>
      <c r="BB365" s="208"/>
      <c r="BC365" s="208"/>
      <c r="BD365" s="208"/>
      <c r="BE365" s="208"/>
      <c r="BF365" s="208"/>
      <c r="BG365" s="28"/>
      <c r="BH365" s="28"/>
      <c r="BI365" s="28"/>
      <c r="BJ365" s="28"/>
    </row>
    <row r="366" spans="1:62" s="23" customFormat="1" ht="21" customHeight="1" thickBot="1" x14ac:dyDescent="0.25">
      <c r="A366" s="846" t="str">
        <f>IF($AN366="","",IFERROR(VLOOKUP(CONCATENATE(CTR1_Billing!$E$20,$AN366),'Local Data Previous Year'!$C$3:$D$20000,2,0),CTR1_Billing!$E$21&amp;"NEW"))</f>
        <v/>
      </c>
      <c r="B366" s="846" t="str">
        <f>IF($E366="","",IFERROR(VLOOKUP(CONCATENATE(CTR1_Billing!$E$20,CTR1_Local!$E366),'Local Data Previous Year'!$C$3:$D$20000,2,0),CTR1_Billing!$E$21&amp;"NEW"))</f>
        <v/>
      </c>
      <c r="C366" s="846">
        <v>334</v>
      </c>
      <c r="D366" s="755" t="str" cm="1">
        <f t="array" ref="D366">IF(ISERROR(INDEX('Local Data Previous Year'!$D$3:$D$20000,SMALL(IF(CTR1_Billing!$E$21='Local Data Previous Year'!$A$3:$A$20000,ROW('Local Data Previous Year'!$A$3:$A$20000)-ROW('Local Data Previous Year'!$A$3)+1),ROW(334:334)))),"",INDEX('Local Data Previous Year'!$D$3:$D$20000,SMALL(IF(CTR1_Billing!$E$21='Local Data Previous Year'!$A$3:$A$20000,ROW('Local Data Previous Year'!$A$3:$A$20000)-ROW('Local Data Previous Year'!$A$3)+1),ROW(334:334))))</f>
        <v/>
      </c>
      <c r="E366" s="755" t="str" cm="1">
        <f t="array" ref="E366">IF(ISERROR(INDEX('Local Data Previous Year'!$E$3:$E$20000,SMALL(IF(CTR1_Billing!$E$21='Local Data Previous Year'!$A$3:$A$20000,ROW('Local Data Previous Year'!$A$3:$A$20000)-ROW('Local Data Previous Year'!$A$3)+1),ROW(334:334)))),"",INDEX('Local Data Previous Year'!$E$3:$E$20000,SMALL(IF(CTR1_Billing!$E$21='Local Data Previous Year'!$A$3:$A$20000,ROW('Local Data Previous Year'!$A$3:$A$20000)-ROW('Local Data Previous Year'!$A$3)+1),ROW(334:334))))</f>
        <v/>
      </c>
      <c r="F366" s="756" t="str">
        <f>IF($D366="","",IF(ISNA(MATCH($D366,'Local Data Previous Year'!$D$3:$D$20000,0)),"New",IFERROR(VLOOKUP($B366,'Local Data Previous Year'!$D$3:$I$20000,6,0),"")))</f>
        <v/>
      </c>
      <c r="G366" s="757">
        <f t="shared" si="74"/>
        <v>0</v>
      </c>
      <c r="H366" s="758" t="str">
        <f>IFERROR(INDEX('Local Data Previous Year'!$F:$F, MATCH($D366, 'Local Data Previous Year'!$D:$D, 0)), "")</f>
        <v/>
      </c>
      <c r="I366" s="759">
        <f>IF(B366=CTR1_Billing!$E$21&amp;"NEW",1,0)</f>
        <v>0</v>
      </c>
      <c r="J366" s="760" t="str">
        <f>IFERROR(INDEX('Local Data Previous Year'!$G:$G, MATCH($D366, 'Local Data Previous Year'!$D:$D, 0)), "")</f>
        <v/>
      </c>
      <c r="K366" s="762"/>
      <c r="L366" s="760" t="str">
        <f>IFERROR(INDEX('Local Data Previous Year'!$H:$H, MATCH($D366, 'Local Data Previous Year'!$D:$D, 0)), "")</f>
        <v/>
      </c>
      <c r="M366" s="762"/>
      <c r="N366" s="763"/>
      <c r="O366" s="767"/>
      <c r="P366" s="765"/>
      <c r="Q366" s="767"/>
      <c r="R366" s="766" t="str">
        <f t="shared" si="75"/>
        <v/>
      </c>
      <c r="S366" s="754"/>
      <c r="T366" s="763"/>
      <c r="U366" s="754"/>
      <c r="V366" s="763"/>
      <c r="W366" s="763"/>
      <c r="X366" s="865" t="str">
        <f>VLOOKUP(CTR1_Billing!$E$21,Data!$C$6:$D$302,1,FALSE)</f>
        <v>EZZZZ</v>
      </c>
      <c r="Y366" s="205"/>
      <c r="Z366" s="205">
        <f t="shared" si="64"/>
        <v>0</v>
      </c>
      <c r="AA366" s="206" t="str">
        <f t="shared" si="40"/>
        <v/>
      </c>
      <c r="AB366" s="205">
        <f t="shared" si="65"/>
        <v>0</v>
      </c>
      <c r="AC366" s="208"/>
      <c r="AD366" s="208"/>
      <c r="AE366" s="208"/>
      <c r="AF366" s="208"/>
      <c r="AG366" s="209" t="str">
        <f>IFERROR(INDEX('Local Data Previous Year'!$F:$F, MATCH($D366, 'Local Data Previous Year'!$D:$D, 0)), "")</f>
        <v/>
      </c>
      <c r="AH366" s="209" t="str">
        <f>IFERROR(INDEX('Local Data Previous Year'!$G:$G, MATCH($D366, 'Local Data Previous Year'!$D:$D, 0)), "")</f>
        <v/>
      </c>
      <c r="AI366" s="209" t="str">
        <f>IFERROR(INDEX('Local Data Previous Year'!$H:$H, MATCH($D366, 'Local Data Previous Year'!$D:$D, 0)), "")</f>
        <v/>
      </c>
      <c r="AJ366" s="209" t="str">
        <f t="shared" si="66"/>
        <v/>
      </c>
      <c r="AK366" s="209" t="str">
        <f t="shared" si="67"/>
        <v/>
      </c>
      <c r="AL366" s="209" t="str">
        <f t="shared" si="68"/>
        <v/>
      </c>
      <c r="AM366" s="208" t="str">
        <f>IF($AN366="","",IFERROR(VLOOKUP(CONCATENATE(CTR1_Billing!$E$20,$AN366),'Local Data Previous Year'!$C$3:$D$50000,2,0),CTR1_Billing!$E$21&amp;"NEW"))</f>
        <v/>
      </c>
      <c r="AN366" s="209" t="str" cm="1">
        <f t="array" ref="AN366">IF(ISERROR(INDEX('Local Data Previous Year'!$E$3:$E$50000, SMALL(IF(CTR1_Billing!$E$21='Local Data Previous Year'!$A$3:$A$50000, ROW('Local Data Previous Year'!$A$3:$A$50000)-ROW('Local Data Previous Year'!$A$3)+1), ROW(334:334)))), "", INDEX('Local Data Previous Year'!$E$3:$E$50000, SMALL(IF(CTR1_Billing!$E$21='Local Data Previous Year'!$A$3:$A$50000, ROW('Local Data Previous Year'!$A$3:$A$50000)-ROW('Local Data Previous Year'!$A$3)+1), ROW(334:334))))</f>
        <v/>
      </c>
      <c r="AO366" s="209" t="str">
        <f t="shared" si="69"/>
        <v/>
      </c>
      <c r="AP366" s="208"/>
      <c r="AQ366" s="209" t="str">
        <f t="shared" si="70"/>
        <v/>
      </c>
      <c r="AR366" s="209" t="str">
        <f t="shared" si="71"/>
        <v/>
      </c>
      <c r="AS366" s="202" t="str">
        <f t="shared" si="72"/>
        <v/>
      </c>
      <c r="AT366" s="202" t="str">
        <f t="shared" si="73"/>
        <v/>
      </c>
      <c r="AU366" s="208"/>
      <c r="AV366" s="208"/>
      <c r="AW366" s="208"/>
      <c r="AX366" s="208"/>
      <c r="AY366" s="208"/>
      <c r="AZ366" s="208"/>
      <c r="BA366" s="208"/>
      <c r="BB366" s="208"/>
      <c r="BC366" s="208"/>
      <c r="BD366" s="208"/>
      <c r="BE366" s="208"/>
      <c r="BF366" s="208"/>
      <c r="BG366" s="28"/>
      <c r="BH366" s="28"/>
      <c r="BI366" s="28"/>
      <c r="BJ366" s="28"/>
    </row>
    <row r="367" spans="1:62" s="23" customFormat="1" ht="21" customHeight="1" thickBot="1" x14ac:dyDescent="0.25">
      <c r="A367" s="846" t="str">
        <f>IF($AN367="","",IFERROR(VLOOKUP(CONCATENATE(CTR1_Billing!$E$20,$AN367),'Local Data Previous Year'!$C$3:$D$20000,2,0),CTR1_Billing!$E$21&amp;"NEW"))</f>
        <v/>
      </c>
      <c r="B367" s="846" t="str">
        <f>IF($E367="","",IFERROR(VLOOKUP(CONCATENATE(CTR1_Billing!$E$20,CTR1_Local!$E367),'Local Data Previous Year'!$C$3:$D$20000,2,0),CTR1_Billing!$E$21&amp;"NEW"))</f>
        <v/>
      </c>
      <c r="C367" s="846">
        <v>335</v>
      </c>
      <c r="D367" s="755" t="str" cm="1">
        <f t="array" ref="D367">IF(ISERROR(INDEX('Local Data Previous Year'!$D$3:$D$20000,SMALL(IF(CTR1_Billing!$E$21='Local Data Previous Year'!$A$3:$A$20000,ROW('Local Data Previous Year'!$A$3:$A$20000)-ROW('Local Data Previous Year'!$A$3)+1),ROW(335:335)))),"",INDEX('Local Data Previous Year'!$D$3:$D$20000,SMALL(IF(CTR1_Billing!$E$21='Local Data Previous Year'!$A$3:$A$20000,ROW('Local Data Previous Year'!$A$3:$A$20000)-ROW('Local Data Previous Year'!$A$3)+1),ROW(335:335))))</f>
        <v/>
      </c>
      <c r="E367" s="755" t="str" cm="1">
        <f t="array" ref="E367">IF(ISERROR(INDEX('Local Data Previous Year'!$E$3:$E$20000,SMALL(IF(CTR1_Billing!$E$21='Local Data Previous Year'!$A$3:$A$20000,ROW('Local Data Previous Year'!$A$3:$A$20000)-ROW('Local Data Previous Year'!$A$3)+1),ROW(335:335)))),"",INDEX('Local Data Previous Year'!$E$3:$E$20000,SMALL(IF(CTR1_Billing!$E$21='Local Data Previous Year'!$A$3:$A$20000,ROW('Local Data Previous Year'!$A$3:$A$20000)-ROW('Local Data Previous Year'!$A$3)+1),ROW(335:335))))</f>
        <v/>
      </c>
      <c r="F367" s="756" t="str">
        <f>IF($D367="","",IF(ISNA(MATCH($D367,'Local Data Previous Year'!$D$3:$D$20000,0)),"New",IFERROR(VLOOKUP($B367,'Local Data Previous Year'!$D$3:$I$20000,6,0),"")))</f>
        <v/>
      </c>
      <c r="G367" s="757">
        <f t="shared" si="74"/>
        <v>0</v>
      </c>
      <c r="H367" s="758" t="str">
        <f>IFERROR(INDEX('Local Data Previous Year'!$F:$F, MATCH($D367, 'Local Data Previous Year'!$D:$D, 0)), "")</f>
        <v/>
      </c>
      <c r="I367" s="759">
        <f>IF(B367=CTR1_Billing!$E$21&amp;"NEW",1,0)</f>
        <v>0</v>
      </c>
      <c r="J367" s="760" t="str">
        <f>IFERROR(INDEX('Local Data Previous Year'!$G:$G, MATCH($D367, 'Local Data Previous Year'!$D:$D, 0)), "")</f>
        <v/>
      </c>
      <c r="K367" s="762"/>
      <c r="L367" s="760" t="str">
        <f>IFERROR(INDEX('Local Data Previous Year'!$H:$H, MATCH($D367, 'Local Data Previous Year'!$D:$D, 0)), "")</f>
        <v/>
      </c>
      <c r="M367" s="762"/>
      <c r="N367" s="763"/>
      <c r="O367" s="767"/>
      <c r="P367" s="765"/>
      <c r="Q367" s="767"/>
      <c r="R367" s="766" t="str">
        <f t="shared" si="75"/>
        <v/>
      </c>
      <c r="S367" s="754"/>
      <c r="T367" s="763"/>
      <c r="U367" s="754"/>
      <c r="V367" s="763"/>
      <c r="W367" s="763"/>
      <c r="X367" s="865" t="str">
        <f>VLOOKUP(CTR1_Billing!$E$21,Data!$C$6:$D$302,1,FALSE)</f>
        <v>EZZZZ</v>
      </c>
      <c r="Y367" s="205"/>
      <c r="Z367" s="205">
        <f t="shared" si="64"/>
        <v>0</v>
      </c>
      <c r="AA367" s="206" t="str">
        <f t="shared" si="40"/>
        <v/>
      </c>
      <c r="AB367" s="205">
        <f t="shared" si="65"/>
        <v>0</v>
      </c>
      <c r="AC367" s="208"/>
      <c r="AD367" s="208"/>
      <c r="AE367" s="208"/>
      <c r="AF367" s="208"/>
      <c r="AG367" s="209" t="str">
        <f>IFERROR(INDEX('Local Data Previous Year'!$F:$F, MATCH($D367, 'Local Data Previous Year'!$D:$D, 0)), "")</f>
        <v/>
      </c>
      <c r="AH367" s="209" t="str">
        <f>IFERROR(INDEX('Local Data Previous Year'!$G:$G, MATCH($D367, 'Local Data Previous Year'!$D:$D, 0)), "")</f>
        <v/>
      </c>
      <c r="AI367" s="209" t="str">
        <f>IFERROR(INDEX('Local Data Previous Year'!$H:$H, MATCH($D367, 'Local Data Previous Year'!$D:$D, 0)), "")</f>
        <v/>
      </c>
      <c r="AJ367" s="209" t="str">
        <f t="shared" si="66"/>
        <v/>
      </c>
      <c r="AK367" s="209" t="str">
        <f t="shared" si="67"/>
        <v/>
      </c>
      <c r="AL367" s="209" t="str">
        <f t="shared" si="68"/>
        <v/>
      </c>
      <c r="AM367" s="208" t="str">
        <f>IF($AN367="","",IFERROR(VLOOKUP(CONCATENATE(CTR1_Billing!$E$20,$AN367),'Local Data Previous Year'!$C$3:$D$50000,2,0),CTR1_Billing!$E$21&amp;"NEW"))</f>
        <v/>
      </c>
      <c r="AN367" s="209" t="str" cm="1">
        <f t="array" ref="AN367">IF(ISERROR(INDEX('Local Data Previous Year'!$E$3:$E$50000, SMALL(IF(CTR1_Billing!$E$21='Local Data Previous Year'!$A$3:$A$50000, ROW('Local Data Previous Year'!$A$3:$A$50000)-ROW('Local Data Previous Year'!$A$3)+1), ROW(335:335)))), "", INDEX('Local Data Previous Year'!$E$3:$E$50000, SMALL(IF(CTR1_Billing!$E$21='Local Data Previous Year'!$A$3:$A$50000, ROW('Local Data Previous Year'!$A$3:$A$50000)-ROW('Local Data Previous Year'!$A$3)+1), ROW(335:335))))</f>
        <v/>
      </c>
      <c r="AO367" s="209" t="str">
        <f t="shared" si="69"/>
        <v/>
      </c>
      <c r="AP367" s="208"/>
      <c r="AQ367" s="209" t="str">
        <f t="shared" si="70"/>
        <v/>
      </c>
      <c r="AR367" s="209" t="str">
        <f t="shared" si="71"/>
        <v/>
      </c>
      <c r="AS367" s="202" t="str">
        <f t="shared" si="72"/>
        <v/>
      </c>
      <c r="AT367" s="202" t="str">
        <f t="shared" si="73"/>
        <v/>
      </c>
      <c r="AU367" s="208"/>
      <c r="AV367" s="208"/>
      <c r="AW367" s="208"/>
      <c r="AX367" s="208"/>
      <c r="AY367" s="208"/>
      <c r="AZ367" s="208"/>
      <c r="BA367" s="208"/>
      <c r="BB367" s="208"/>
      <c r="BC367" s="208"/>
      <c r="BD367" s="208"/>
      <c r="BE367" s="208"/>
      <c r="BF367" s="208"/>
      <c r="BG367" s="28"/>
      <c r="BH367" s="28"/>
      <c r="BI367" s="28"/>
      <c r="BJ367" s="28"/>
    </row>
    <row r="368" spans="1:62" s="23" customFormat="1" ht="21" customHeight="1" thickBot="1" x14ac:dyDescent="0.25">
      <c r="A368" s="846" t="str">
        <f>IF($AN368="","",IFERROR(VLOOKUP(CONCATENATE(CTR1_Billing!$E$20,$AN368),'Local Data Previous Year'!$C$3:$D$20000,2,0),CTR1_Billing!$E$21&amp;"NEW"))</f>
        <v/>
      </c>
      <c r="B368" s="846" t="str">
        <f>IF($E368="","",IFERROR(VLOOKUP(CONCATENATE(CTR1_Billing!$E$20,CTR1_Local!$E368),'Local Data Previous Year'!$C$3:$D$20000,2,0),CTR1_Billing!$E$21&amp;"NEW"))</f>
        <v/>
      </c>
      <c r="C368" s="846">
        <v>336</v>
      </c>
      <c r="D368" s="755" t="str" cm="1">
        <f t="array" ref="D368">IF(ISERROR(INDEX('Local Data Previous Year'!$D$3:$D$20000,SMALL(IF(CTR1_Billing!$E$21='Local Data Previous Year'!$A$3:$A$20000,ROW('Local Data Previous Year'!$A$3:$A$20000)-ROW('Local Data Previous Year'!$A$3)+1),ROW(336:336)))),"",INDEX('Local Data Previous Year'!$D$3:$D$20000,SMALL(IF(CTR1_Billing!$E$21='Local Data Previous Year'!$A$3:$A$20000,ROW('Local Data Previous Year'!$A$3:$A$20000)-ROW('Local Data Previous Year'!$A$3)+1),ROW(336:336))))</f>
        <v/>
      </c>
      <c r="E368" s="755" t="str" cm="1">
        <f t="array" ref="E368">IF(ISERROR(INDEX('Local Data Previous Year'!$E$3:$E$20000,SMALL(IF(CTR1_Billing!$E$21='Local Data Previous Year'!$A$3:$A$20000,ROW('Local Data Previous Year'!$A$3:$A$20000)-ROW('Local Data Previous Year'!$A$3)+1),ROW(336:336)))),"",INDEX('Local Data Previous Year'!$E$3:$E$20000,SMALL(IF(CTR1_Billing!$E$21='Local Data Previous Year'!$A$3:$A$20000,ROW('Local Data Previous Year'!$A$3:$A$20000)-ROW('Local Data Previous Year'!$A$3)+1),ROW(336:336))))</f>
        <v/>
      </c>
      <c r="F368" s="756" t="str">
        <f>IF($D368="","",IF(ISNA(MATCH($D368,'Local Data Previous Year'!$D$3:$D$20000,0)),"New",IFERROR(VLOOKUP($B368,'Local Data Previous Year'!$D$3:$I$20000,6,0),"")))</f>
        <v/>
      </c>
      <c r="G368" s="757">
        <f t="shared" si="74"/>
        <v>0</v>
      </c>
      <c r="H368" s="758" t="str">
        <f>IFERROR(INDEX('Local Data Previous Year'!$F:$F, MATCH($D368, 'Local Data Previous Year'!$D:$D, 0)), "")</f>
        <v/>
      </c>
      <c r="I368" s="759">
        <f>IF(B368=CTR1_Billing!$E$21&amp;"NEW",1,0)</f>
        <v>0</v>
      </c>
      <c r="J368" s="760" t="str">
        <f>IFERROR(INDEX('Local Data Previous Year'!$G:$G, MATCH($D368, 'Local Data Previous Year'!$D:$D, 0)), "")</f>
        <v/>
      </c>
      <c r="K368" s="762"/>
      <c r="L368" s="760" t="str">
        <f>IFERROR(INDEX('Local Data Previous Year'!$H:$H, MATCH($D368, 'Local Data Previous Year'!$D:$D, 0)), "")</f>
        <v/>
      </c>
      <c r="M368" s="762"/>
      <c r="N368" s="763"/>
      <c r="O368" s="767"/>
      <c r="P368" s="765"/>
      <c r="Q368" s="767"/>
      <c r="R368" s="766" t="str">
        <f t="shared" si="75"/>
        <v/>
      </c>
      <c r="S368" s="754"/>
      <c r="T368" s="763"/>
      <c r="U368" s="754"/>
      <c r="V368" s="763"/>
      <c r="W368" s="763"/>
      <c r="X368" s="865" t="str">
        <f>VLOOKUP(CTR1_Billing!$E$21,Data!$C$6:$D$302,1,FALSE)</f>
        <v>EZZZZ</v>
      </c>
      <c r="Y368" s="205"/>
      <c r="Z368" s="205">
        <f t="shared" si="64"/>
        <v>0</v>
      </c>
      <c r="AA368" s="206" t="str">
        <f t="shared" si="40"/>
        <v/>
      </c>
      <c r="AB368" s="205">
        <f t="shared" si="65"/>
        <v>0</v>
      </c>
      <c r="AC368" s="208"/>
      <c r="AD368" s="208"/>
      <c r="AE368" s="208"/>
      <c r="AF368" s="208"/>
      <c r="AG368" s="209" t="str">
        <f>IFERROR(INDEX('Local Data Previous Year'!$F:$F, MATCH($D368, 'Local Data Previous Year'!$D:$D, 0)), "")</f>
        <v/>
      </c>
      <c r="AH368" s="209" t="str">
        <f>IFERROR(INDEX('Local Data Previous Year'!$G:$G, MATCH($D368, 'Local Data Previous Year'!$D:$D, 0)), "")</f>
        <v/>
      </c>
      <c r="AI368" s="209" t="str">
        <f>IFERROR(INDEX('Local Data Previous Year'!$H:$H, MATCH($D368, 'Local Data Previous Year'!$D:$D, 0)), "")</f>
        <v/>
      </c>
      <c r="AJ368" s="209" t="str">
        <f t="shared" si="66"/>
        <v/>
      </c>
      <c r="AK368" s="209" t="str">
        <f t="shared" si="67"/>
        <v/>
      </c>
      <c r="AL368" s="209" t="str">
        <f t="shared" si="68"/>
        <v/>
      </c>
      <c r="AM368" s="208" t="str">
        <f>IF($AN368="","",IFERROR(VLOOKUP(CONCATENATE(CTR1_Billing!$E$20,$AN368),'Local Data Previous Year'!$C$3:$D$50000,2,0),CTR1_Billing!$E$21&amp;"NEW"))</f>
        <v/>
      </c>
      <c r="AN368" s="209" t="str" cm="1">
        <f t="array" ref="AN368">IF(ISERROR(INDEX('Local Data Previous Year'!$E$3:$E$50000, SMALL(IF(CTR1_Billing!$E$21='Local Data Previous Year'!$A$3:$A$50000, ROW('Local Data Previous Year'!$A$3:$A$50000)-ROW('Local Data Previous Year'!$A$3)+1), ROW(336:336)))), "", INDEX('Local Data Previous Year'!$E$3:$E$50000, SMALL(IF(CTR1_Billing!$E$21='Local Data Previous Year'!$A$3:$A$50000, ROW('Local Data Previous Year'!$A$3:$A$50000)-ROW('Local Data Previous Year'!$A$3)+1), ROW(336:336))))</f>
        <v/>
      </c>
      <c r="AO368" s="209" t="str">
        <f t="shared" si="69"/>
        <v/>
      </c>
      <c r="AP368" s="208"/>
      <c r="AQ368" s="209" t="str">
        <f t="shared" si="70"/>
        <v/>
      </c>
      <c r="AR368" s="209" t="str">
        <f t="shared" si="71"/>
        <v/>
      </c>
      <c r="AS368" s="202" t="str">
        <f t="shared" si="72"/>
        <v/>
      </c>
      <c r="AT368" s="202" t="str">
        <f t="shared" si="73"/>
        <v/>
      </c>
      <c r="AU368" s="208"/>
      <c r="AV368" s="208"/>
      <c r="AW368" s="208"/>
      <c r="AX368" s="208"/>
      <c r="AY368" s="208"/>
      <c r="AZ368" s="208"/>
      <c r="BA368" s="208"/>
      <c r="BB368" s="208"/>
      <c r="BC368" s="208"/>
      <c r="BD368" s="208"/>
      <c r="BE368" s="208"/>
      <c r="BF368" s="208"/>
      <c r="BG368" s="28"/>
      <c r="BH368" s="28"/>
      <c r="BI368" s="28"/>
      <c r="BJ368" s="28"/>
    </row>
    <row r="369" spans="1:62" s="23" customFormat="1" ht="21" customHeight="1" thickBot="1" x14ac:dyDescent="0.25">
      <c r="A369" s="846" t="str">
        <f>IF($AN369="","",IFERROR(VLOOKUP(CONCATENATE(CTR1_Billing!$E$20,$AN369),'Local Data Previous Year'!$C$3:$D$20000,2,0),CTR1_Billing!$E$21&amp;"NEW"))</f>
        <v/>
      </c>
      <c r="B369" s="846" t="str">
        <f>IF($E369="","",IFERROR(VLOOKUP(CONCATENATE(CTR1_Billing!$E$20,CTR1_Local!$E369),'Local Data Previous Year'!$C$3:$D$20000,2,0),CTR1_Billing!$E$21&amp;"NEW"))</f>
        <v/>
      </c>
      <c r="C369" s="846">
        <v>337</v>
      </c>
      <c r="D369" s="755" t="str" cm="1">
        <f t="array" ref="D369">IF(ISERROR(INDEX('Local Data Previous Year'!$D$3:$D$20000,SMALL(IF(CTR1_Billing!$E$21='Local Data Previous Year'!$A$3:$A$20000,ROW('Local Data Previous Year'!$A$3:$A$20000)-ROW('Local Data Previous Year'!$A$3)+1),ROW(337:337)))),"",INDEX('Local Data Previous Year'!$D$3:$D$20000,SMALL(IF(CTR1_Billing!$E$21='Local Data Previous Year'!$A$3:$A$20000,ROW('Local Data Previous Year'!$A$3:$A$20000)-ROW('Local Data Previous Year'!$A$3)+1),ROW(337:337))))</f>
        <v/>
      </c>
      <c r="E369" s="755" t="str" cm="1">
        <f t="array" ref="E369">IF(ISERROR(INDEX('Local Data Previous Year'!$E$3:$E$20000,SMALL(IF(CTR1_Billing!$E$21='Local Data Previous Year'!$A$3:$A$20000,ROW('Local Data Previous Year'!$A$3:$A$20000)-ROW('Local Data Previous Year'!$A$3)+1),ROW(337:337)))),"",INDEX('Local Data Previous Year'!$E$3:$E$20000,SMALL(IF(CTR1_Billing!$E$21='Local Data Previous Year'!$A$3:$A$20000,ROW('Local Data Previous Year'!$A$3:$A$20000)-ROW('Local Data Previous Year'!$A$3)+1),ROW(337:337))))</f>
        <v/>
      </c>
      <c r="F369" s="756" t="str">
        <f>IF($D369="","",IF(ISNA(MATCH($D369,'Local Data Previous Year'!$D$3:$D$20000,0)),"New",IFERROR(VLOOKUP($B369,'Local Data Previous Year'!$D$3:$I$20000,6,0),"")))</f>
        <v/>
      </c>
      <c r="G369" s="757">
        <f t="shared" si="74"/>
        <v>0</v>
      </c>
      <c r="H369" s="758" t="str">
        <f>IFERROR(INDEX('Local Data Previous Year'!$F:$F, MATCH($D369, 'Local Data Previous Year'!$D:$D, 0)), "")</f>
        <v/>
      </c>
      <c r="I369" s="759">
        <f>IF(B369=CTR1_Billing!$E$21&amp;"NEW",1,0)</f>
        <v>0</v>
      </c>
      <c r="J369" s="760" t="str">
        <f>IFERROR(INDEX('Local Data Previous Year'!$G:$G, MATCH($D369, 'Local Data Previous Year'!$D:$D, 0)), "")</f>
        <v/>
      </c>
      <c r="K369" s="762"/>
      <c r="L369" s="760" t="str">
        <f>IFERROR(INDEX('Local Data Previous Year'!$H:$H, MATCH($D369, 'Local Data Previous Year'!$D:$D, 0)), "")</f>
        <v/>
      </c>
      <c r="M369" s="762"/>
      <c r="N369" s="763"/>
      <c r="O369" s="767"/>
      <c r="P369" s="765"/>
      <c r="Q369" s="767"/>
      <c r="R369" s="766" t="str">
        <f t="shared" si="75"/>
        <v/>
      </c>
      <c r="S369" s="754"/>
      <c r="T369" s="763"/>
      <c r="U369" s="754"/>
      <c r="V369" s="763"/>
      <c r="W369" s="763"/>
      <c r="X369" s="865" t="str">
        <f>VLOOKUP(CTR1_Billing!$E$21,Data!$C$6:$D$302,1,FALSE)</f>
        <v>EZZZZ</v>
      </c>
      <c r="Y369" s="205"/>
      <c r="Z369" s="205">
        <f t="shared" si="64"/>
        <v>0</v>
      </c>
      <c r="AA369" s="206" t="str">
        <f t="shared" si="40"/>
        <v/>
      </c>
      <c r="AB369" s="205">
        <f t="shared" si="65"/>
        <v>0</v>
      </c>
      <c r="AC369" s="208"/>
      <c r="AD369" s="208"/>
      <c r="AE369" s="208"/>
      <c r="AF369" s="208"/>
      <c r="AG369" s="209" t="str">
        <f>IFERROR(INDEX('Local Data Previous Year'!$F:$F, MATCH($D369, 'Local Data Previous Year'!$D:$D, 0)), "")</f>
        <v/>
      </c>
      <c r="AH369" s="209" t="str">
        <f>IFERROR(INDEX('Local Data Previous Year'!$G:$G, MATCH($D369, 'Local Data Previous Year'!$D:$D, 0)), "")</f>
        <v/>
      </c>
      <c r="AI369" s="209" t="str">
        <f>IFERROR(INDEX('Local Data Previous Year'!$H:$H, MATCH($D369, 'Local Data Previous Year'!$D:$D, 0)), "")</f>
        <v/>
      </c>
      <c r="AJ369" s="209" t="str">
        <f t="shared" si="66"/>
        <v/>
      </c>
      <c r="AK369" s="209" t="str">
        <f t="shared" si="67"/>
        <v/>
      </c>
      <c r="AL369" s="209" t="str">
        <f t="shared" si="68"/>
        <v/>
      </c>
      <c r="AM369" s="208" t="str">
        <f>IF($AN369="","",IFERROR(VLOOKUP(CONCATENATE(CTR1_Billing!$E$20,$AN369),'Local Data Previous Year'!$C$3:$D$50000,2,0),CTR1_Billing!$E$21&amp;"NEW"))</f>
        <v/>
      </c>
      <c r="AN369" s="209" t="str" cm="1">
        <f t="array" ref="AN369">IF(ISERROR(INDEX('Local Data Previous Year'!$E$3:$E$50000, SMALL(IF(CTR1_Billing!$E$21='Local Data Previous Year'!$A$3:$A$50000, ROW('Local Data Previous Year'!$A$3:$A$50000)-ROW('Local Data Previous Year'!$A$3)+1), ROW(337:337)))), "", INDEX('Local Data Previous Year'!$E$3:$E$50000, SMALL(IF(CTR1_Billing!$E$21='Local Data Previous Year'!$A$3:$A$50000, ROW('Local Data Previous Year'!$A$3:$A$50000)-ROW('Local Data Previous Year'!$A$3)+1), ROW(337:337))))</f>
        <v/>
      </c>
      <c r="AO369" s="209" t="str">
        <f t="shared" si="69"/>
        <v/>
      </c>
      <c r="AP369" s="208"/>
      <c r="AQ369" s="209" t="str">
        <f t="shared" si="70"/>
        <v/>
      </c>
      <c r="AR369" s="209" t="str">
        <f t="shared" si="71"/>
        <v/>
      </c>
      <c r="AS369" s="202" t="str">
        <f t="shared" si="72"/>
        <v/>
      </c>
      <c r="AT369" s="202" t="str">
        <f t="shared" si="73"/>
        <v/>
      </c>
      <c r="AU369" s="208"/>
      <c r="AV369" s="208"/>
      <c r="AW369" s="208"/>
      <c r="AX369" s="208"/>
      <c r="AY369" s="208"/>
      <c r="AZ369" s="208"/>
      <c r="BA369" s="208"/>
      <c r="BB369" s="208"/>
      <c r="BC369" s="208"/>
      <c r="BD369" s="208"/>
      <c r="BE369" s="208"/>
      <c r="BF369" s="208"/>
      <c r="BG369" s="28"/>
      <c r="BH369" s="28"/>
      <c r="BI369" s="28"/>
      <c r="BJ369" s="28"/>
    </row>
    <row r="370" spans="1:62" s="23" customFormat="1" ht="21" customHeight="1" thickBot="1" x14ac:dyDescent="0.25">
      <c r="A370" s="846" t="str">
        <f>IF($AN370="","",IFERROR(VLOOKUP(CONCATENATE(CTR1_Billing!$E$20,$AN370),'Local Data Previous Year'!$C$3:$D$20000,2,0),CTR1_Billing!$E$21&amp;"NEW"))</f>
        <v/>
      </c>
      <c r="B370" s="846" t="str">
        <f>IF($E370="","",IFERROR(VLOOKUP(CONCATENATE(CTR1_Billing!$E$20,CTR1_Local!$E370),'Local Data Previous Year'!$C$3:$D$20000,2,0),CTR1_Billing!$E$21&amp;"NEW"))</f>
        <v/>
      </c>
      <c r="C370" s="846">
        <v>338</v>
      </c>
      <c r="D370" s="755" t="str" cm="1">
        <f t="array" ref="D370">IF(ISERROR(INDEX('Local Data Previous Year'!$D$3:$D$20000,SMALL(IF(CTR1_Billing!$E$21='Local Data Previous Year'!$A$3:$A$20000,ROW('Local Data Previous Year'!$A$3:$A$20000)-ROW('Local Data Previous Year'!$A$3)+1),ROW(338:338)))),"",INDEX('Local Data Previous Year'!$D$3:$D$20000,SMALL(IF(CTR1_Billing!$E$21='Local Data Previous Year'!$A$3:$A$20000,ROW('Local Data Previous Year'!$A$3:$A$20000)-ROW('Local Data Previous Year'!$A$3)+1),ROW(338:338))))</f>
        <v/>
      </c>
      <c r="E370" s="755" t="str" cm="1">
        <f t="array" ref="E370">IF(ISERROR(INDEX('Local Data Previous Year'!$E$3:$E$20000,SMALL(IF(CTR1_Billing!$E$21='Local Data Previous Year'!$A$3:$A$20000,ROW('Local Data Previous Year'!$A$3:$A$20000)-ROW('Local Data Previous Year'!$A$3)+1),ROW(338:338)))),"",INDEX('Local Data Previous Year'!$E$3:$E$20000,SMALL(IF(CTR1_Billing!$E$21='Local Data Previous Year'!$A$3:$A$20000,ROW('Local Data Previous Year'!$A$3:$A$20000)-ROW('Local Data Previous Year'!$A$3)+1),ROW(338:338))))</f>
        <v/>
      </c>
      <c r="F370" s="756" t="str">
        <f>IF($D370="","",IF(ISNA(MATCH($D370,'Local Data Previous Year'!$D$3:$D$20000,0)),"New",IFERROR(VLOOKUP($B370,'Local Data Previous Year'!$D$3:$I$20000,6,0),"")))</f>
        <v/>
      </c>
      <c r="G370" s="757">
        <f t="shared" si="74"/>
        <v>0</v>
      </c>
      <c r="H370" s="758" t="str">
        <f>IFERROR(INDEX('Local Data Previous Year'!$F:$F, MATCH($D370, 'Local Data Previous Year'!$D:$D, 0)), "")</f>
        <v/>
      </c>
      <c r="I370" s="759">
        <f>IF(B370=CTR1_Billing!$E$21&amp;"NEW",1,0)</f>
        <v>0</v>
      </c>
      <c r="J370" s="760" t="str">
        <f>IFERROR(INDEX('Local Data Previous Year'!$G:$G, MATCH($D370, 'Local Data Previous Year'!$D:$D, 0)), "")</f>
        <v/>
      </c>
      <c r="K370" s="762"/>
      <c r="L370" s="760" t="str">
        <f>IFERROR(INDEX('Local Data Previous Year'!$H:$H, MATCH($D370, 'Local Data Previous Year'!$D:$D, 0)), "")</f>
        <v/>
      </c>
      <c r="M370" s="762"/>
      <c r="N370" s="763"/>
      <c r="O370" s="767"/>
      <c r="P370" s="765"/>
      <c r="Q370" s="767"/>
      <c r="R370" s="766" t="str">
        <f t="shared" si="75"/>
        <v/>
      </c>
      <c r="S370" s="754"/>
      <c r="T370" s="763"/>
      <c r="U370" s="754"/>
      <c r="V370" s="763"/>
      <c r="W370" s="763"/>
      <c r="X370" s="865" t="str">
        <f>VLOOKUP(CTR1_Billing!$E$21,Data!$C$6:$D$302,1,FALSE)</f>
        <v>EZZZZ</v>
      </c>
      <c r="Y370" s="205"/>
      <c r="Z370" s="205">
        <f t="shared" si="64"/>
        <v>0</v>
      </c>
      <c r="AA370" s="206" t="str">
        <f t="shared" si="40"/>
        <v/>
      </c>
      <c r="AB370" s="205">
        <f t="shared" si="65"/>
        <v>0</v>
      </c>
      <c r="AC370" s="208"/>
      <c r="AD370" s="208"/>
      <c r="AE370" s="208"/>
      <c r="AF370" s="208"/>
      <c r="AG370" s="209" t="str">
        <f>IFERROR(INDEX('Local Data Previous Year'!$F:$F, MATCH($D370, 'Local Data Previous Year'!$D:$D, 0)), "")</f>
        <v/>
      </c>
      <c r="AH370" s="209" t="str">
        <f>IFERROR(INDEX('Local Data Previous Year'!$G:$G, MATCH($D370, 'Local Data Previous Year'!$D:$D, 0)), "")</f>
        <v/>
      </c>
      <c r="AI370" s="209" t="str">
        <f>IFERROR(INDEX('Local Data Previous Year'!$H:$H, MATCH($D370, 'Local Data Previous Year'!$D:$D, 0)), "")</f>
        <v/>
      </c>
      <c r="AJ370" s="209" t="str">
        <f t="shared" si="66"/>
        <v/>
      </c>
      <c r="AK370" s="209" t="str">
        <f t="shared" si="67"/>
        <v/>
      </c>
      <c r="AL370" s="209" t="str">
        <f t="shared" si="68"/>
        <v/>
      </c>
      <c r="AM370" s="208" t="str">
        <f>IF($AN370="","",IFERROR(VLOOKUP(CONCATENATE(CTR1_Billing!$E$20,$AN370),'Local Data Previous Year'!$C$3:$D$50000,2,0),CTR1_Billing!$E$21&amp;"NEW"))</f>
        <v/>
      </c>
      <c r="AN370" s="209" t="str" cm="1">
        <f t="array" ref="AN370">IF(ISERROR(INDEX('Local Data Previous Year'!$E$3:$E$50000, SMALL(IF(CTR1_Billing!$E$21='Local Data Previous Year'!$A$3:$A$50000, ROW('Local Data Previous Year'!$A$3:$A$50000)-ROW('Local Data Previous Year'!$A$3)+1), ROW(338:338)))), "", INDEX('Local Data Previous Year'!$E$3:$E$50000, SMALL(IF(CTR1_Billing!$E$21='Local Data Previous Year'!$A$3:$A$50000, ROW('Local Data Previous Year'!$A$3:$A$50000)-ROW('Local Data Previous Year'!$A$3)+1), ROW(338:338))))</f>
        <v/>
      </c>
      <c r="AO370" s="209" t="str">
        <f t="shared" si="69"/>
        <v/>
      </c>
      <c r="AP370" s="208"/>
      <c r="AQ370" s="209" t="str">
        <f t="shared" si="70"/>
        <v/>
      </c>
      <c r="AR370" s="209" t="str">
        <f t="shared" si="71"/>
        <v/>
      </c>
      <c r="AS370" s="202" t="str">
        <f t="shared" si="72"/>
        <v/>
      </c>
      <c r="AT370" s="202" t="str">
        <f t="shared" si="73"/>
        <v/>
      </c>
      <c r="AU370" s="208"/>
      <c r="AV370" s="208"/>
      <c r="AW370" s="208"/>
      <c r="AX370" s="208"/>
      <c r="AY370" s="208"/>
      <c r="AZ370" s="208"/>
      <c r="BA370" s="208"/>
      <c r="BB370" s="208"/>
      <c r="BC370" s="208"/>
      <c r="BD370" s="208"/>
      <c r="BE370" s="208"/>
      <c r="BF370" s="208"/>
      <c r="BG370" s="28"/>
      <c r="BH370" s="28"/>
      <c r="BI370" s="28"/>
      <c r="BJ370" s="28"/>
    </row>
    <row r="371" spans="1:62" s="23" customFormat="1" ht="21" customHeight="1" thickBot="1" x14ac:dyDescent="0.25">
      <c r="A371" s="846" t="str">
        <f>IF($AN371="","",IFERROR(VLOOKUP(CONCATENATE(CTR1_Billing!$E$20,$AN371),'Local Data Previous Year'!$C$3:$D$20000,2,0),CTR1_Billing!$E$21&amp;"NEW"))</f>
        <v/>
      </c>
      <c r="B371" s="846" t="str">
        <f>IF($E371="","",IFERROR(VLOOKUP(CONCATENATE(CTR1_Billing!$E$20,CTR1_Local!$E371),'Local Data Previous Year'!$C$3:$D$20000,2,0),CTR1_Billing!$E$21&amp;"NEW"))</f>
        <v/>
      </c>
      <c r="C371" s="846">
        <v>339</v>
      </c>
      <c r="D371" s="755" t="str" cm="1">
        <f t="array" ref="D371">IF(ISERROR(INDEX('Local Data Previous Year'!$D$3:$D$20000,SMALL(IF(CTR1_Billing!$E$21='Local Data Previous Year'!$A$3:$A$20000,ROW('Local Data Previous Year'!$A$3:$A$20000)-ROW('Local Data Previous Year'!$A$3)+1),ROW(339:339)))),"",INDEX('Local Data Previous Year'!$D$3:$D$20000,SMALL(IF(CTR1_Billing!$E$21='Local Data Previous Year'!$A$3:$A$20000,ROW('Local Data Previous Year'!$A$3:$A$20000)-ROW('Local Data Previous Year'!$A$3)+1),ROW(339:339))))</f>
        <v/>
      </c>
      <c r="E371" s="755" t="str" cm="1">
        <f t="array" ref="E371">IF(ISERROR(INDEX('Local Data Previous Year'!$E$3:$E$20000,SMALL(IF(CTR1_Billing!$E$21='Local Data Previous Year'!$A$3:$A$20000,ROW('Local Data Previous Year'!$A$3:$A$20000)-ROW('Local Data Previous Year'!$A$3)+1),ROW(339:339)))),"",INDEX('Local Data Previous Year'!$E$3:$E$20000,SMALL(IF(CTR1_Billing!$E$21='Local Data Previous Year'!$A$3:$A$20000,ROW('Local Data Previous Year'!$A$3:$A$20000)-ROW('Local Data Previous Year'!$A$3)+1),ROW(339:339))))</f>
        <v/>
      </c>
      <c r="F371" s="756" t="str">
        <f>IF($D371="","",IF(ISNA(MATCH($D371,'Local Data Previous Year'!$D$3:$D$20000,0)),"New",IFERROR(VLOOKUP($B371,'Local Data Previous Year'!$D$3:$I$20000,6,0),"")))</f>
        <v/>
      </c>
      <c r="G371" s="757">
        <f t="shared" si="74"/>
        <v>0</v>
      </c>
      <c r="H371" s="758" t="str">
        <f>IFERROR(INDEX('Local Data Previous Year'!$F:$F, MATCH($D371, 'Local Data Previous Year'!$D:$D, 0)), "")</f>
        <v/>
      </c>
      <c r="I371" s="759">
        <f>IF(B371=CTR1_Billing!$E$21&amp;"NEW",1,0)</f>
        <v>0</v>
      </c>
      <c r="J371" s="760" t="str">
        <f>IFERROR(INDEX('Local Data Previous Year'!$G:$G, MATCH($D371, 'Local Data Previous Year'!$D:$D, 0)), "")</f>
        <v/>
      </c>
      <c r="K371" s="762"/>
      <c r="L371" s="760" t="str">
        <f>IFERROR(INDEX('Local Data Previous Year'!$H:$H, MATCH($D371, 'Local Data Previous Year'!$D:$D, 0)), "")</f>
        <v/>
      </c>
      <c r="M371" s="762"/>
      <c r="N371" s="763"/>
      <c r="O371" s="767"/>
      <c r="P371" s="765"/>
      <c r="Q371" s="767"/>
      <c r="R371" s="766" t="str">
        <f t="shared" si="75"/>
        <v/>
      </c>
      <c r="S371" s="754"/>
      <c r="T371" s="763"/>
      <c r="U371" s="754"/>
      <c r="V371" s="763"/>
      <c r="W371" s="763"/>
      <c r="X371" s="865" t="str">
        <f>VLOOKUP(CTR1_Billing!$E$21,Data!$C$6:$D$302,1,FALSE)</f>
        <v>EZZZZ</v>
      </c>
      <c r="Y371" s="205"/>
      <c r="Z371" s="205">
        <f t="shared" si="64"/>
        <v>0</v>
      </c>
      <c r="AA371" s="206" t="str">
        <f t="shared" si="40"/>
        <v/>
      </c>
      <c r="AB371" s="205">
        <f t="shared" si="65"/>
        <v>0</v>
      </c>
      <c r="AC371" s="208"/>
      <c r="AD371" s="208"/>
      <c r="AE371" s="208"/>
      <c r="AF371" s="208"/>
      <c r="AG371" s="209" t="str">
        <f>IFERROR(INDEX('Local Data Previous Year'!$F:$F, MATCH($D371, 'Local Data Previous Year'!$D:$D, 0)), "")</f>
        <v/>
      </c>
      <c r="AH371" s="209" t="str">
        <f>IFERROR(INDEX('Local Data Previous Year'!$G:$G, MATCH($D371, 'Local Data Previous Year'!$D:$D, 0)), "")</f>
        <v/>
      </c>
      <c r="AI371" s="209" t="str">
        <f>IFERROR(INDEX('Local Data Previous Year'!$H:$H, MATCH($D371, 'Local Data Previous Year'!$D:$D, 0)), "")</f>
        <v/>
      </c>
      <c r="AJ371" s="209" t="str">
        <f t="shared" si="66"/>
        <v/>
      </c>
      <c r="AK371" s="209" t="str">
        <f t="shared" si="67"/>
        <v/>
      </c>
      <c r="AL371" s="209" t="str">
        <f t="shared" si="68"/>
        <v/>
      </c>
      <c r="AM371" s="208" t="str">
        <f>IF($AN371="","",IFERROR(VLOOKUP(CONCATENATE(CTR1_Billing!$E$20,$AN371),'Local Data Previous Year'!$C$3:$D$50000,2,0),CTR1_Billing!$E$21&amp;"NEW"))</f>
        <v/>
      </c>
      <c r="AN371" s="209" t="str" cm="1">
        <f t="array" ref="AN371">IF(ISERROR(INDEX('Local Data Previous Year'!$E$3:$E$50000, SMALL(IF(CTR1_Billing!$E$21='Local Data Previous Year'!$A$3:$A$50000, ROW('Local Data Previous Year'!$A$3:$A$50000)-ROW('Local Data Previous Year'!$A$3)+1), ROW(339:339)))), "", INDEX('Local Data Previous Year'!$E$3:$E$50000, SMALL(IF(CTR1_Billing!$E$21='Local Data Previous Year'!$A$3:$A$50000, ROW('Local Data Previous Year'!$A$3:$A$50000)-ROW('Local Data Previous Year'!$A$3)+1), ROW(339:339))))</f>
        <v/>
      </c>
      <c r="AO371" s="209" t="str">
        <f t="shared" si="69"/>
        <v/>
      </c>
      <c r="AP371" s="208"/>
      <c r="AQ371" s="209" t="str">
        <f t="shared" si="70"/>
        <v/>
      </c>
      <c r="AR371" s="209" t="str">
        <f t="shared" si="71"/>
        <v/>
      </c>
      <c r="AS371" s="202" t="str">
        <f t="shared" si="72"/>
        <v/>
      </c>
      <c r="AT371" s="202" t="str">
        <f t="shared" si="73"/>
        <v/>
      </c>
      <c r="AU371" s="208"/>
      <c r="AV371" s="208"/>
      <c r="AW371" s="208"/>
      <c r="AX371" s="208"/>
      <c r="AY371" s="208"/>
      <c r="AZ371" s="208"/>
      <c r="BA371" s="208"/>
      <c r="BB371" s="208"/>
      <c r="BC371" s="208"/>
      <c r="BD371" s="208"/>
      <c r="BE371" s="208"/>
      <c r="BF371" s="208"/>
      <c r="BG371" s="28"/>
      <c r="BH371" s="28"/>
      <c r="BI371" s="28"/>
      <c r="BJ371" s="28"/>
    </row>
    <row r="372" spans="1:62" s="23" customFormat="1" ht="21" customHeight="1" thickBot="1" x14ac:dyDescent="0.25">
      <c r="A372" s="846" t="str">
        <f>IF($AN372="","",IFERROR(VLOOKUP(CONCATENATE(CTR1_Billing!$E$20,$AN372),'Local Data Previous Year'!$C$3:$D$20000,2,0),CTR1_Billing!$E$21&amp;"NEW"))</f>
        <v/>
      </c>
      <c r="B372" s="846" t="str">
        <f>IF($E372="","",IFERROR(VLOOKUP(CONCATENATE(CTR1_Billing!$E$20,CTR1_Local!$E372),'Local Data Previous Year'!$C$3:$D$20000,2,0),CTR1_Billing!$E$21&amp;"NEW"))</f>
        <v/>
      </c>
      <c r="C372" s="846">
        <v>340</v>
      </c>
      <c r="D372" s="755" t="str" cm="1">
        <f t="array" ref="D372">IF(ISERROR(INDEX('Local Data Previous Year'!$D$3:$D$20000,SMALL(IF(CTR1_Billing!$E$21='Local Data Previous Year'!$A$3:$A$20000,ROW('Local Data Previous Year'!$A$3:$A$20000)-ROW('Local Data Previous Year'!$A$3)+1),ROW(340:340)))),"",INDEX('Local Data Previous Year'!$D$3:$D$20000,SMALL(IF(CTR1_Billing!$E$21='Local Data Previous Year'!$A$3:$A$20000,ROW('Local Data Previous Year'!$A$3:$A$20000)-ROW('Local Data Previous Year'!$A$3)+1),ROW(340:340))))</f>
        <v/>
      </c>
      <c r="E372" s="755" t="str" cm="1">
        <f t="array" ref="E372">IF(ISERROR(INDEX('Local Data Previous Year'!$E$3:$E$20000,SMALL(IF(CTR1_Billing!$E$21='Local Data Previous Year'!$A$3:$A$20000,ROW('Local Data Previous Year'!$A$3:$A$20000)-ROW('Local Data Previous Year'!$A$3)+1),ROW(340:340)))),"",INDEX('Local Data Previous Year'!$E$3:$E$20000,SMALL(IF(CTR1_Billing!$E$21='Local Data Previous Year'!$A$3:$A$20000,ROW('Local Data Previous Year'!$A$3:$A$20000)-ROW('Local Data Previous Year'!$A$3)+1),ROW(340:340))))</f>
        <v/>
      </c>
      <c r="F372" s="756" t="str">
        <f>IF($D372="","",IF(ISNA(MATCH($D372,'Local Data Previous Year'!$D$3:$D$20000,0)),"New",IFERROR(VLOOKUP($B372,'Local Data Previous Year'!$D$3:$I$20000,6,0),"")))</f>
        <v/>
      </c>
      <c r="G372" s="757">
        <f t="shared" si="74"/>
        <v>0</v>
      </c>
      <c r="H372" s="758" t="str">
        <f>IFERROR(INDEX('Local Data Previous Year'!$F:$F, MATCH($D372, 'Local Data Previous Year'!$D:$D, 0)), "")</f>
        <v/>
      </c>
      <c r="I372" s="759">
        <f>IF(B372=CTR1_Billing!$E$21&amp;"NEW",1,0)</f>
        <v>0</v>
      </c>
      <c r="J372" s="760" t="str">
        <f>IFERROR(INDEX('Local Data Previous Year'!$G:$G, MATCH($D372, 'Local Data Previous Year'!$D:$D, 0)), "")</f>
        <v/>
      </c>
      <c r="K372" s="762"/>
      <c r="L372" s="760" t="str">
        <f>IFERROR(INDEX('Local Data Previous Year'!$H:$H, MATCH($D372, 'Local Data Previous Year'!$D:$D, 0)), "")</f>
        <v/>
      </c>
      <c r="M372" s="762"/>
      <c r="N372" s="763"/>
      <c r="O372" s="767"/>
      <c r="P372" s="765"/>
      <c r="Q372" s="767"/>
      <c r="R372" s="766" t="str">
        <f t="shared" si="75"/>
        <v/>
      </c>
      <c r="S372" s="754"/>
      <c r="T372" s="763"/>
      <c r="U372" s="754"/>
      <c r="V372" s="763"/>
      <c r="W372" s="763"/>
      <c r="X372" s="865" t="str">
        <f>VLOOKUP(CTR1_Billing!$E$21,Data!$C$6:$D$302,1,FALSE)</f>
        <v>EZZZZ</v>
      </c>
      <c r="Y372" s="205"/>
      <c r="Z372" s="205">
        <f t="shared" si="64"/>
        <v>0</v>
      </c>
      <c r="AA372" s="206" t="str">
        <f t="shared" si="40"/>
        <v/>
      </c>
      <c r="AB372" s="205">
        <f t="shared" si="65"/>
        <v>0</v>
      </c>
      <c r="AC372" s="208"/>
      <c r="AD372" s="208"/>
      <c r="AE372" s="208"/>
      <c r="AF372" s="208"/>
      <c r="AG372" s="209" t="str">
        <f>IFERROR(INDEX('Local Data Previous Year'!$F:$F, MATCH($D372, 'Local Data Previous Year'!$D:$D, 0)), "")</f>
        <v/>
      </c>
      <c r="AH372" s="209" t="str">
        <f>IFERROR(INDEX('Local Data Previous Year'!$G:$G, MATCH($D372, 'Local Data Previous Year'!$D:$D, 0)), "")</f>
        <v/>
      </c>
      <c r="AI372" s="209" t="str">
        <f>IFERROR(INDEX('Local Data Previous Year'!$H:$H, MATCH($D372, 'Local Data Previous Year'!$D:$D, 0)), "")</f>
        <v/>
      </c>
      <c r="AJ372" s="209" t="str">
        <f t="shared" si="66"/>
        <v/>
      </c>
      <c r="AK372" s="209" t="str">
        <f t="shared" si="67"/>
        <v/>
      </c>
      <c r="AL372" s="209" t="str">
        <f t="shared" si="68"/>
        <v/>
      </c>
      <c r="AM372" s="208" t="str">
        <f>IF($AN372="","",IFERROR(VLOOKUP(CONCATENATE(CTR1_Billing!$E$20,$AN372),'Local Data Previous Year'!$C$3:$D$50000,2,0),CTR1_Billing!$E$21&amp;"NEW"))</f>
        <v/>
      </c>
      <c r="AN372" s="209" t="str" cm="1">
        <f t="array" ref="AN372">IF(ISERROR(INDEX('Local Data Previous Year'!$E$3:$E$50000, SMALL(IF(CTR1_Billing!$E$21='Local Data Previous Year'!$A$3:$A$50000, ROW('Local Data Previous Year'!$A$3:$A$50000)-ROW('Local Data Previous Year'!$A$3)+1), ROW(340:340)))), "", INDEX('Local Data Previous Year'!$E$3:$E$50000, SMALL(IF(CTR1_Billing!$E$21='Local Data Previous Year'!$A$3:$A$50000, ROW('Local Data Previous Year'!$A$3:$A$50000)-ROW('Local Data Previous Year'!$A$3)+1), ROW(340:340))))</f>
        <v/>
      </c>
      <c r="AO372" s="209" t="str">
        <f t="shared" si="69"/>
        <v/>
      </c>
      <c r="AP372" s="208"/>
      <c r="AQ372" s="209" t="str">
        <f t="shared" si="70"/>
        <v/>
      </c>
      <c r="AR372" s="209" t="str">
        <f t="shared" si="71"/>
        <v/>
      </c>
      <c r="AS372" s="202" t="str">
        <f t="shared" si="72"/>
        <v/>
      </c>
      <c r="AT372" s="202" t="str">
        <f t="shared" si="73"/>
        <v/>
      </c>
      <c r="AU372" s="208"/>
      <c r="AV372" s="208"/>
      <c r="AW372" s="208"/>
      <c r="AX372" s="208"/>
      <c r="AY372" s="208"/>
      <c r="AZ372" s="208"/>
      <c r="BA372" s="208"/>
      <c r="BB372" s="208"/>
      <c r="BC372" s="208"/>
      <c r="BD372" s="208"/>
      <c r="BE372" s="208"/>
      <c r="BF372" s="208"/>
      <c r="BG372" s="28"/>
      <c r="BH372" s="28"/>
      <c r="BI372" s="28"/>
      <c r="BJ372" s="28"/>
    </row>
    <row r="373" spans="1:62" s="23" customFormat="1" ht="21" customHeight="1" thickBot="1" x14ac:dyDescent="0.25">
      <c r="A373" s="846" t="str">
        <f>IF($AN373="","",IFERROR(VLOOKUP(CONCATENATE(CTR1_Billing!$E$20,$AN373),'Local Data Previous Year'!$C$3:$D$20000,2,0),CTR1_Billing!$E$21&amp;"NEW"))</f>
        <v/>
      </c>
      <c r="B373" s="846" t="str">
        <f>IF($E373="","",IFERROR(VLOOKUP(CONCATENATE(CTR1_Billing!$E$20,CTR1_Local!$E373),'Local Data Previous Year'!$C$3:$D$20000,2,0),CTR1_Billing!$E$21&amp;"NEW"))</f>
        <v/>
      </c>
      <c r="C373" s="846">
        <v>341</v>
      </c>
      <c r="D373" s="755" t="str" cm="1">
        <f t="array" ref="D373">IF(ISERROR(INDEX('Local Data Previous Year'!$D$3:$D$20000,SMALL(IF(CTR1_Billing!$E$21='Local Data Previous Year'!$A$3:$A$20000,ROW('Local Data Previous Year'!$A$3:$A$20000)-ROW('Local Data Previous Year'!$A$3)+1),ROW(341:341)))),"",INDEX('Local Data Previous Year'!$D$3:$D$20000,SMALL(IF(CTR1_Billing!$E$21='Local Data Previous Year'!$A$3:$A$20000,ROW('Local Data Previous Year'!$A$3:$A$20000)-ROW('Local Data Previous Year'!$A$3)+1),ROW(341:341))))</f>
        <v/>
      </c>
      <c r="E373" s="755" t="str" cm="1">
        <f t="array" ref="E373">IF(ISERROR(INDEX('Local Data Previous Year'!$E$3:$E$20000,SMALL(IF(CTR1_Billing!$E$21='Local Data Previous Year'!$A$3:$A$20000,ROW('Local Data Previous Year'!$A$3:$A$20000)-ROW('Local Data Previous Year'!$A$3)+1),ROW(341:341)))),"",INDEX('Local Data Previous Year'!$E$3:$E$20000,SMALL(IF(CTR1_Billing!$E$21='Local Data Previous Year'!$A$3:$A$20000,ROW('Local Data Previous Year'!$A$3:$A$20000)-ROW('Local Data Previous Year'!$A$3)+1),ROW(341:341))))</f>
        <v/>
      </c>
      <c r="F373" s="756" t="str">
        <f>IF($D373="","",IF(ISNA(MATCH($D373,'Local Data Previous Year'!$D$3:$D$20000,0)),"New",IFERROR(VLOOKUP($B373,'Local Data Previous Year'!$D$3:$I$20000,6,0),"")))</f>
        <v/>
      </c>
      <c r="G373" s="757">
        <f t="shared" si="74"/>
        <v>0</v>
      </c>
      <c r="H373" s="758" t="str">
        <f>IFERROR(INDEX('Local Data Previous Year'!$F:$F, MATCH($D373, 'Local Data Previous Year'!$D:$D, 0)), "")</f>
        <v/>
      </c>
      <c r="I373" s="759">
        <f>IF(B373=CTR1_Billing!$E$21&amp;"NEW",1,0)</f>
        <v>0</v>
      </c>
      <c r="J373" s="760" t="str">
        <f>IFERROR(INDEX('Local Data Previous Year'!$G:$G, MATCH($D373, 'Local Data Previous Year'!$D:$D, 0)), "")</f>
        <v/>
      </c>
      <c r="K373" s="762"/>
      <c r="L373" s="760" t="str">
        <f>IFERROR(INDEX('Local Data Previous Year'!$H:$H, MATCH($D373, 'Local Data Previous Year'!$D:$D, 0)), "")</f>
        <v/>
      </c>
      <c r="M373" s="762"/>
      <c r="N373" s="763"/>
      <c r="O373" s="767"/>
      <c r="P373" s="765"/>
      <c r="Q373" s="767"/>
      <c r="R373" s="766" t="str">
        <f t="shared" si="75"/>
        <v/>
      </c>
      <c r="S373" s="754"/>
      <c r="T373" s="763"/>
      <c r="U373" s="754"/>
      <c r="V373" s="763"/>
      <c r="W373" s="763"/>
      <c r="X373" s="865" t="str">
        <f>VLOOKUP(CTR1_Billing!$E$21,Data!$C$6:$D$302,1,FALSE)</f>
        <v>EZZZZ</v>
      </c>
      <c r="Y373" s="205"/>
      <c r="Z373" s="205">
        <f t="shared" si="64"/>
        <v>0</v>
      </c>
      <c r="AA373" s="206" t="str">
        <f t="shared" si="40"/>
        <v/>
      </c>
      <c r="AB373" s="205">
        <f t="shared" si="65"/>
        <v>0</v>
      </c>
      <c r="AC373" s="208"/>
      <c r="AD373" s="208"/>
      <c r="AE373" s="208"/>
      <c r="AF373" s="208"/>
      <c r="AG373" s="209" t="str">
        <f>IFERROR(INDEX('Local Data Previous Year'!$F:$F, MATCH($D373, 'Local Data Previous Year'!$D:$D, 0)), "")</f>
        <v/>
      </c>
      <c r="AH373" s="209" t="str">
        <f>IFERROR(INDEX('Local Data Previous Year'!$G:$G, MATCH($D373, 'Local Data Previous Year'!$D:$D, 0)), "")</f>
        <v/>
      </c>
      <c r="AI373" s="209" t="str">
        <f>IFERROR(INDEX('Local Data Previous Year'!$H:$H, MATCH($D373, 'Local Data Previous Year'!$D:$D, 0)), "")</f>
        <v/>
      </c>
      <c r="AJ373" s="209" t="str">
        <f t="shared" si="66"/>
        <v/>
      </c>
      <c r="AK373" s="209" t="str">
        <f t="shared" si="67"/>
        <v/>
      </c>
      <c r="AL373" s="209" t="str">
        <f t="shared" si="68"/>
        <v/>
      </c>
      <c r="AM373" s="208" t="str">
        <f>IF($AN373="","",IFERROR(VLOOKUP(CONCATENATE(CTR1_Billing!$E$20,$AN373),'Local Data Previous Year'!$C$3:$D$50000,2,0),CTR1_Billing!$E$21&amp;"NEW"))</f>
        <v/>
      </c>
      <c r="AN373" s="209" t="str" cm="1">
        <f t="array" ref="AN373">IF(ISERROR(INDEX('Local Data Previous Year'!$E$3:$E$50000, SMALL(IF(CTR1_Billing!$E$21='Local Data Previous Year'!$A$3:$A$50000, ROW('Local Data Previous Year'!$A$3:$A$50000)-ROW('Local Data Previous Year'!$A$3)+1), ROW(341:341)))), "", INDEX('Local Data Previous Year'!$E$3:$E$50000, SMALL(IF(CTR1_Billing!$E$21='Local Data Previous Year'!$A$3:$A$50000, ROW('Local Data Previous Year'!$A$3:$A$50000)-ROW('Local Data Previous Year'!$A$3)+1), ROW(341:341))))</f>
        <v/>
      </c>
      <c r="AO373" s="209" t="str">
        <f t="shared" si="69"/>
        <v/>
      </c>
      <c r="AP373" s="208"/>
      <c r="AQ373" s="209" t="str">
        <f t="shared" si="70"/>
        <v/>
      </c>
      <c r="AR373" s="209" t="str">
        <f t="shared" si="71"/>
        <v/>
      </c>
      <c r="AS373" s="202" t="str">
        <f t="shared" si="72"/>
        <v/>
      </c>
      <c r="AT373" s="202" t="str">
        <f t="shared" si="73"/>
        <v/>
      </c>
      <c r="AU373" s="208"/>
      <c r="AV373" s="208"/>
      <c r="AW373" s="208"/>
      <c r="AX373" s="208"/>
      <c r="AY373" s="208"/>
      <c r="AZ373" s="208"/>
      <c r="BA373" s="208"/>
      <c r="BB373" s="208"/>
      <c r="BC373" s="208"/>
      <c r="BD373" s="208"/>
      <c r="BE373" s="208"/>
      <c r="BF373" s="208"/>
      <c r="BG373" s="28"/>
      <c r="BH373" s="28"/>
      <c r="BI373" s="28"/>
      <c r="BJ373" s="28"/>
    </row>
    <row r="374" spans="1:62" s="23" customFormat="1" ht="21" customHeight="1" thickBot="1" x14ac:dyDescent="0.25">
      <c r="A374" s="846" t="str">
        <f>IF($AN374="","",IFERROR(VLOOKUP(CONCATENATE(CTR1_Billing!$E$20,$AN374),'Local Data Previous Year'!$C$3:$D$20000,2,0),CTR1_Billing!$E$21&amp;"NEW"))</f>
        <v/>
      </c>
      <c r="B374" s="846" t="str">
        <f>IF($E374="","",IFERROR(VLOOKUP(CONCATENATE(CTR1_Billing!$E$20,CTR1_Local!$E374),'Local Data Previous Year'!$C$3:$D$20000,2,0),CTR1_Billing!$E$21&amp;"NEW"))</f>
        <v/>
      </c>
      <c r="C374" s="846">
        <v>342</v>
      </c>
      <c r="D374" s="755" t="str" cm="1">
        <f t="array" ref="D374">IF(ISERROR(INDEX('Local Data Previous Year'!$D$3:$D$20000,SMALL(IF(CTR1_Billing!$E$21='Local Data Previous Year'!$A$3:$A$20000,ROW('Local Data Previous Year'!$A$3:$A$20000)-ROW('Local Data Previous Year'!$A$3)+1),ROW(342:342)))),"",INDEX('Local Data Previous Year'!$D$3:$D$20000,SMALL(IF(CTR1_Billing!$E$21='Local Data Previous Year'!$A$3:$A$20000,ROW('Local Data Previous Year'!$A$3:$A$20000)-ROW('Local Data Previous Year'!$A$3)+1),ROW(342:342))))</f>
        <v/>
      </c>
      <c r="E374" s="755" t="str" cm="1">
        <f t="array" ref="E374">IF(ISERROR(INDEX('Local Data Previous Year'!$E$3:$E$20000,SMALL(IF(CTR1_Billing!$E$21='Local Data Previous Year'!$A$3:$A$20000,ROW('Local Data Previous Year'!$A$3:$A$20000)-ROW('Local Data Previous Year'!$A$3)+1),ROW(342:342)))),"",INDEX('Local Data Previous Year'!$E$3:$E$20000,SMALL(IF(CTR1_Billing!$E$21='Local Data Previous Year'!$A$3:$A$20000,ROW('Local Data Previous Year'!$A$3:$A$20000)-ROW('Local Data Previous Year'!$A$3)+1),ROW(342:342))))</f>
        <v/>
      </c>
      <c r="F374" s="756" t="str">
        <f>IF($D374="","",IF(ISNA(MATCH($D374,'Local Data Previous Year'!$D$3:$D$20000,0)),"New",IFERROR(VLOOKUP($B374,'Local Data Previous Year'!$D$3:$I$20000,6,0),"")))</f>
        <v/>
      </c>
      <c r="G374" s="757">
        <f t="shared" si="74"/>
        <v>0</v>
      </c>
      <c r="H374" s="758" t="str">
        <f>IFERROR(INDEX('Local Data Previous Year'!$F:$F, MATCH($D374, 'Local Data Previous Year'!$D:$D, 0)), "")</f>
        <v/>
      </c>
      <c r="I374" s="759">
        <f>IF(B374=CTR1_Billing!$E$21&amp;"NEW",1,0)</f>
        <v>0</v>
      </c>
      <c r="J374" s="760" t="str">
        <f>IFERROR(INDEX('Local Data Previous Year'!$G:$G, MATCH($D374, 'Local Data Previous Year'!$D:$D, 0)), "")</f>
        <v/>
      </c>
      <c r="K374" s="762"/>
      <c r="L374" s="760" t="str">
        <f>IFERROR(INDEX('Local Data Previous Year'!$H:$H, MATCH($D374, 'Local Data Previous Year'!$D:$D, 0)), "")</f>
        <v/>
      </c>
      <c r="M374" s="762"/>
      <c r="N374" s="763"/>
      <c r="O374" s="767"/>
      <c r="P374" s="765"/>
      <c r="Q374" s="767"/>
      <c r="R374" s="766" t="str">
        <f t="shared" si="75"/>
        <v/>
      </c>
      <c r="S374" s="754"/>
      <c r="T374" s="763"/>
      <c r="U374" s="754"/>
      <c r="V374" s="763"/>
      <c r="W374" s="763"/>
      <c r="X374" s="865" t="str">
        <f>VLOOKUP(CTR1_Billing!$E$21,Data!$C$6:$D$302,1,FALSE)</f>
        <v>EZZZZ</v>
      </c>
      <c r="Y374" s="205"/>
      <c r="Z374" s="205">
        <f t="shared" si="64"/>
        <v>0</v>
      </c>
      <c r="AA374" s="206" t="str">
        <f t="shared" si="40"/>
        <v/>
      </c>
      <c r="AB374" s="205">
        <f t="shared" si="65"/>
        <v>0</v>
      </c>
      <c r="AC374" s="208"/>
      <c r="AD374" s="208"/>
      <c r="AE374" s="208"/>
      <c r="AF374" s="208"/>
      <c r="AG374" s="209" t="str">
        <f>IFERROR(INDEX('Local Data Previous Year'!$F:$F, MATCH($D374, 'Local Data Previous Year'!$D:$D, 0)), "")</f>
        <v/>
      </c>
      <c r="AH374" s="209" t="str">
        <f>IFERROR(INDEX('Local Data Previous Year'!$G:$G, MATCH($D374, 'Local Data Previous Year'!$D:$D, 0)), "")</f>
        <v/>
      </c>
      <c r="AI374" s="209" t="str">
        <f>IFERROR(INDEX('Local Data Previous Year'!$H:$H, MATCH($D374, 'Local Data Previous Year'!$D:$D, 0)), "")</f>
        <v/>
      </c>
      <c r="AJ374" s="209" t="str">
        <f t="shared" si="66"/>
        <v/>
      </c>
      <c r="AK374" s="209" t="str">
        <f t="shared" si="67"/>
        <v/>
      </c>
      <c r="AL374" s="209" t="str">
        <f t="shared" si="68"/>
        <v/>
      </c>
      <c r="AM374" s="208" t="str">
        <f>IF($AN374="","",IFERROR(VLOOKUP(CONCATENATE(CTR1_Billing!$E$20,$AN374),'Local Data Previous Year'!$C$3:$D$50000,2,0),CTR1_Billing!$E$21&amp;"NEW"))</f>
        <v/>
      </c>
      <c r="AN374" s="209" t="str" cm="1">
        <f t="array" ref="AN374">IF(ISERROR(INDEX('Local Data Previous Year'!$E$3:$E$50000, SMALL(IF(CTR1_Billing!$E$21='Local Data Previous Year'!$A$3:$A$50000, ROW('Local Data Previous Year'!$A$3:$A$50000)-ROW('Local Data Previous Year'!$A$3)+1), ROW(342:342)))), "", INDEX('Local Data Previous Year'!$E$3:$E$50000, SMALL(IF(CTR1_Billing!$E$21='Local Data Previous Year'!$A$3:$A$50000, ROW('Local Data Previous Year'!$A$3:$A$50000)-ROW('Local Data Previous Year'!$A$3)+1), ROW(342:342))))</f>
        <v/>
      </c>
      <c r="AO374" s="209" t="str">
        <f t="shared" si="69"/>
        <v/>
      </c>
      <c r="AP374" s="208"/>
      <c r="AQ374" s="209" t="str">
        <f t="shared" si="70"/>
        <v/>
      </c>
      <c r="AR374" s="209" t="str">
        <f t="shared" si="71"/>
        <v/>
      </c>
      <c r="AS374" s="202" t="str">
        <f t="shared" si="72"/>
        <v/>
      </c>
      <c r="AT374" s="202" t="str">
        <f t="shared" si="73"/>
        <v/>
      </c>
      <c r="AU374" s="208"/>
      <c r="AV374" s="208"/>
      <c r="AW374" s="208"/>
      <c r="AX374" s="208"/>
      <c r="AY374" s="208"/>
      <c r="AZ374" s="208"/>
      <c r="BA374" s="208"/>
      <c r="BB374" s="208"/>
      <c r="BC374" s="208"/>
      <c r="BD374" s="208"/>
      <c r="BE374" s="208"/>
      <c r="BF374" s="208"/>
      <c r="BG374" s="28"/>
      <c r="BH374" s="28"/>
      <c r="BI374" s="28"/>
      <c r="BJ374" s="28"/>
    </row>
    <row r="375" spans="1:62" s="23" customFormat="1" ht="21" customHeight="1" thickBot="1" x14ac:dyDescent="0.25">
      <c r="A375" s="846" t="str">
        <f>IF($AN375="","",IFERROR(VLOOKUP(CONCATENATE(CTR1_Billing!$E$20,$AN375),'Local Data Previous Year'!$C$3:$D$20000,2,0),CTR1_Billing!$E$21&amp;"NEW"))</f>
        <v/>
      </c>
      <c r="B375" s="846" t="str">
        <f>IF($E375="","",IFERROR(VLOOKUP(CONCATENATE(CTR1_Billing!$E$20,CTR1_Local!$E375),'Local Data Previous Year'!$C$3:$D$20000,2,0),CTR1_Billing!$E$21&amp;"NEW"))</f>
        <v/>
      </c>
      <c r="C375" s="846">
        <v>343</v>
      </c>
      <c r="D375" s="755" t="str" cm="1">
        <f t="array" ref="D375">IF(ISERROR(INDEX('Local Data Previous Year'!$D$3:$D$20000,SMALL(IF(CTR1_Billing!$E$21='Local Data Previous Year'!$A$3:$A$20000,ROW('Local Data Previous Year'!$A$3:$A$20000)-ROW('Local Data Previous Year'!$A$3)+1),ROW(343:343)))),"",INDEX('Local Data Previous Year'!$D$3:$D$20000,SMALL(IF(CTR1_Billing!$E$21='Local Data Previous Year'!$A$3:$A$20000,ROW('Local Data Previous Year'!$A$3:$A$20000)-ROW('Local Data Previous Year'!$A$3)+1),ROW(343:343))))</f>
        <v/>
      </c>
      <c r="E375" s="755" t="str" cm="1">
        <f t="array" ref="E375">IF(ISERROR(INDEX('Local Data Previous Year'!$E$3:$E$20000,SMALL(IF(CTR1_Billing!$E$21='Local Data Previous Year'!$A$3:$A$20000,ROW('Local Data Previous Year'!$A$3:$A$20000)-ROW('Local Data Previous Year'!$A$3)+1),ROW(343:343)))),"",INDEX('Local Data Previous Year'!$E$3:$E$20000,SMALL(IF(CTR1_Billing!$E$21='Local Data Previous Year'!$A$3:$A$20000,ROW('Local Data Previous Year'!$A$3:$A$20000)-ROW('Local Data Previous Year'!$A$3)+1),ROW(343:343))))</f>
        <v/>
      </c>
      <c r="F375" s="756" t="str">
        <f>IF($D375="","",IF(ISNA(MATCH($D375,'Local Data Previous Year'!$D$3:$D$20000,0)),"New",IFERROR(VLOOKUP($B375,'Local Data Previous Year'!$D$3:$I$20000,6,0),"")))</f>
        <v/>
      </c>
      <c r="G375" s="757">
        <f t="shared" si="74"/>
        <v>0</v>
      </c>
      <c r="H375" s="758" t="str">
        <f>IFERROR(INDEX('Local Data Previous Year'!$F:$F, MATCH($D375, 'Local Data Previous Year'!$D:$D, 0)), "")</f>
        <v/>
      </c>
      <c r="I375" s="759">
        <f>IF(B375=CTR1_Billing!$E$21&amp;"NEW",1,0)</f>
        <v>0</v>
      </c>
      <c r="J375" s="760" t="str">
        <f>IFERROR(INDEX('Local Data Previous Year'!$G:$G, MATCH($D375, 'Local Data Previous Year'!$D:$D, 0)), "")</f>
        <v/>
      </c>
      <c r="K375" s="762"/>
      <c r="L375" s="760" t="str">
        <f>IFERROR(INDEX('Local Data Previous Year'!$H:$H, MATCH($D375, 'Local Data Previous Year'!$D:$D, 0)), "")</f>
        <v/>
      </c>
      <c r="M375" s="762"/>
      <c r="N375" s="763"/>
      <c r="O375" s="767"/>
      <c r="P375" s="765"/>
      <c r="Q375" s="767"/>
      <c r="R375" s="766" t="str">
        <f t="shared" si="75"/>
        <v/>
      </c>
      <c r="S375" s="754"/>
      <c r="T375" s="763"/>
      <c r="U375" s="754"/>
      <c r="V375" s="763"/>
      <c r="W375" s="763"/>
      <c r="X375" s="865" t="str">
        <f>VLOOKUP(CTR1_Billing!$E$21,Data!$C$6:$D$302,1,FALSE)</f>
        <v>EZZZZ</v>
      </c>
      <c r="Y375" s="205"/>
      <c r="Z375" s="205">
        <f t="shared" si="64"/>
        <v>0</v>
      </c>
      <c r="AA375" s="206" t="str">
        <f t="shared" si="40"/>
        <v/>
      </c>
      <c r="AB375" s="205">
        <f t="shared" si="65"/>
        <v>0</v>
      </c>
      <c r="AC375" s="208"/>
      <c r="AD375" s="208"/>
      <c r="AE375" s="208"/>
      <c r="AF375" s="208"/>
      <c r="AG375" s="209" t="str">
        <f>IFERROR(INDEX('Local Data Previous Year'!$F:$F, MATCH($D375, 'Local Data Previous Year'!$D:$D, 0)), "")</f>
        <v/>
      </c>
      <c r="AH375" s="209" t="str">
        <f>IFERROR(INDEX('Local Data Previous Year'!$G:$G, MATCH($D375, 'Local Data Previous Year'!$D:$D, 0)), "")</f>
        <v/>
      </c>
      <c r="AI375" s="209" t="str">
        <f>IFERROR(INDEX('Local Data Previous Year'!$H:$H, MATCH($D375, 'Local Data Previous Year'!$D:$D, 0)), "")</f>
        <v/>
      </c>
      <c r="AJ375" s="209" t="str">
        <f t="shared" si="66"/>
        <v/>
      </c>
      <c r="AK375" s="209" t="str">
        <f t="shared" si="67"/>
        <v/>
      </c>
      <c r="AL375" s="209" t="str">
        <f t="shared" si="68"/>
        <v/>
      </c>
      <c r="AM375" s="208" t="str">
        <f>IF($AN375="","",IFERROR(VLOOKUP(CONCATENATE(CTR1_Billing!$E$20,$AN375),'Local Data Previous Year'!$C$3:$D$50000,2,0),CTR1_Billing!$E$21&amp;"NEW"))</f>
        <v/>
      </c>
      <c r="AN375" s="209" t="str" cm="1">
        <f t="array" ref="AN375">IF(ISERROR(INDEX('Local Data Previous Year'!$E$3:$E$50000, SMALL(IF(CTR1_Billing!$E$21='Local Data Previous Year'!$A$3:$A$50000, ROW('Local Data Previous Year'!$A$3:$A$50000)-ROW('Local Data Previous Year'!$A$3)+1), ROW(343:343)))), "", INDEX('Local Data Previous Year'!$E$3:$E$50000, SMALL(IF(CTR1_Billing!$E$21='Local Data Previous Year'!$A$3:$A$50000, ROW('Local Data Previous Year'!$A$3:$A$50000)-ROW('Local Data Previous Year'!$A$3)+1), ROW(343:343))))</f>
        <v/>
      </c>
      <c r="AO375" s="209" t="str">
        <f t="shared" si="69"/>
        <v/>
      </c>
      <c r="AP375" s="208"/>
      <c r="AQ375" s="209" t="str">
        <f t="shared" si="70"/>
        <v/>
      </c>
      <c r="AR375" s="209" t="str">
        <f t="shared" si="71"/>
        <v/>
      </c>
      <c r="AS375" s="202" t="str">
        <f t="shared" si="72"/>
        <v/>
      </c>
      <c r="AT375" s="202" t="str">
        <f t="shared" si="73"/>
        <v/>
      </c>
      <c r="AU375" s="208"/>
      <c r="AV375" s="208"/>
      <c r="AW375" s="208"/>
      <c r="AX375" s="208"/>
      <c r="AY375" s="208"/>
      <c r="AZ375" s="208"/>
      <c r="BA375" s="208"/>
      <c r="BB375" s="208"/>
      <c r="BC375" s="208"/>
      <c r="BD375" s="208"/>
      <c r="BE375" s="208"/>
      <c r="BF375" s="208"/>
      <c r="BG375" s="28"/>
      <c r="BH375" s="28"/>
      <c r="BI375" s="28"/>
      <c r="BJ375" s="28"/>
    </row>
    <row r="376" spans="1:62" s="23" customFormat="1" ht="21" customHeight="1" thickBot="1" x14ac:dyDescent="0.25">
      <c r="A376" s="846" t="str">
        <f>IF($AN376="","",IFERROR(VLOOKUP(CONCATENATE(CTR1_Billing!$E$20,$AN376),'Local Data Previous Year'!$C$3:$D$20000,2,0),CTR1_Billing!$E$21&amp;"NEW"))</f>
        <v/>
      </c>
      <c r="B376" s="846" t="str">
        <f>IF($E376="","",IFERROR(VLOOKUP(CONCATENATE(CTR1_Billing!$E$20,CTR1_Local!$E376),'Local Data Previous Year'!$C$3:$D$20000,2,0),CTR1_Billing!$E$21&amp;"NEW"))</f>
        <v/>
      </c>
      <c r="C376" s="846">
        <v>344</v>
      </c>
      <c r="D376" s="755" t="str" cm="1">
        <f t="array" ref="D376">IF(ISERROR(INDEX('Local Data Previous Year'!$D$3:$D$20000,SMALL(IF(CTR1_Billing!$E$21='Local Data Previous Year'!$A$3:$A$20000,ROW('Local Data Previous Year'!$A$3:$A$20000)-ROW('Local Data Previous Year'!$A$3)+1),ROW(344:344)))),"",INDEX('Local Data Previous Year'!$D$3:$D$20000,SMALL(IF(CTR1_Billing!$E$21='Local Data Previous Year'!$A$3:$A$20000,ROW('Local Data Previous Year'!$A$3:$A$20000)-ROW('Local Data Previous Year'!$A$3)+1),ROW(344:344))))</f>
        <v/>
      </c>
      <c r="E376" s="755" t="str" cm="1">
        <f t="array" ref="E376">IF(ISERROR(INDEX('Local Data Previous Year'!$E$3:$E$20000,SMALL(IF(CTR1_Billing!$E$21='Local Data Previous Year'!$A$3:$A$20000,ROW('Local Data Previous Year'!$A$3:$A$20000)-ROW('Local Data Previous Year'!$A$3)+1),ROW(344:344)))),"",INDEX('Local Data Previous Year'!$E$3:$E$20000,SMALL(IF(CTR1_Billing!$E$21='Local Data Previous Year'!$A$3:$A$20000,ROW('Local Data Previous Year'!$A$3:$A$20000)-ROW('Local Data Previous Year'!$A$3)+1),ROW(344:344))))</f>
        <v/>
      </c>
      <c r="F376" s="756" t="str">
        <f>IF($D376="","",IF(ISNA(MATCH($D376,'Local Data Previous Year'!$D$3:$D$20000,0)),"New",IFERROR(VLOOKUP($B376,'Local Data Previous Year'!$D$3:$I$20000,6,0),"")))</f>
        <v/>
      </c>
      <c r="G376" s="757">
        <f t="shared" si="74"/>
        <v>0</v>
      </c>
      <c r="H376" s="758" t="str">
        <f>IFERROR(INDEX('Local Data Previous Year'!$F:$F, MATCH($D376, 'Local Data Previous Year'!$D:$D, 0)), "")</f>
        <v/>
      </c>
      <c r="I376" s="759">
        <f>IF(B376=CTR1_Billing!$E$21&amp;"NEW",1,0)</f>
        <v>0</v>
      </c>
      <c r="J376" s="760" t="str">
        <f>IFERROR(INDEX('Local Data Previous Year'!$G:$G, MATCH($D376, 'Local Data Previous Year'!$D:$D, 0)), "")</f>
        <v/>
      </c>
      <c r="K376" s="762"/>
      <c r="L376" s="760" t="str">
        <f>IFERROR(INDEX('Local Data Previous Year'!$H:$H, MATCH($D376, 'Local Data Previous Year'!$D:$D, 0)), "")</f>
        <v/>
      </c>
      <c r="M376" s="762"/>
      <c r="N376" s="763"/>
      <c r="O376" s="767"/>
      <c r="P376" s="765"/>
      <c r="Q376" s="767"/>
      <c r="R376" s="766" t="str">
        <f t="shared" si="75"/>
        <v/>
      </c>
      <c r="S376" s="754"/>
      <c r="T376" s="763"/>
      <c r="U376" s="754"/>
      <c r="V376" s="763"/>
      <c r="W376" s="763"/>
      <c r="X376" s="865" t="str">
        <f>VLOOKUP(CTR1_Billing!$E$21,Data!$C$6:$D$302,1,FALSE)</f>
        <v>EZZZZ</v>
      </c>
      <c r="Y376" s="205"/>
      <c r="Z376" s="205">
        <f t="shared" si="64"/>
        <v>0</v>
      </c>
      <c r="AA376" s="206" t="str">
        <f t="shared" si="40"/>
        <v/>
      </c>
      <c r="AB376" s="205">
        <f t="shared" si="65"/>
        <v>0</v>
      </c>
      <c r="AC376" s="208"/>
      <c r="AD376" s="208"/>
      <c r="AE376" s="208"/>
      <c r="AF376" s="208"/>
      <c r="AG376" s="209" t="str">
        <f>IFERROR(INDEX('Local Data Previous Year'!$F:$F, MATCH($D376, 'Local Data Previous Year'!$D:$D, 0)), "")</f>
        <v/>
      </c>
      <c r="AH376" s="209" t="str">
        <f>IFERROR(INDEX('Local Data Previous Year'!$G:$G, MATCH($D376, 'Local Data Previous Year'!$D:$D, 0)), "")</f>
        <v/>
      </c>
      <c r="AI376" s="209" t="str">
        <f>IFERROR(INDEX('Local Data Previous Year'!$H:$H, MATCH($D376, 'Local Data Previous Year'!$D:$D, 0)), "")</f>
        <v/>
      </c>
      <c r="AJ376" s="209" t="str">
        <f t="shared" si="66"/>
        <v/>
      </c>
      <c r="AK376" s="209" t="str">
        <f t="shared" si="67"/>
        <v/>
      </c>
      <c r="AL376" s="209" t="str">
        <f t="shared" si="68"/>
        <v/>
      </c>
      <c r="AM376" s="208" t="str">
        <f>IF($AN376="","",IFERROR(VLOOKUP(CONCATENATE(CTR1_Billing!$E$20,$AN376),'Local Data Previous Year'!$C$3:$D$50000,2,0),CTR1_Billing!$E$21&amp;"NEW"))</f>
        <v/>
      </c>
      <c r="AN376" s="209" t="str" cm="1">
        <f t="array" ref="AN376">IF(ISERROR(INDEX('Local Data Previous Year'!$E$3:$E$50000, SMALL(IF(CTR1_Billing!$E$21='Local Data Previous Year'!$A$3:$A$50000, ROW('Local Data Previous Year'!$A$3:$A$50000)-ROW('Local Data Previous Year'!$A$3)+1), ROW(344:344)))), "", INDEX('Local Data Previous Year'!$E$3:$E$50000, SMALL(IF(CTR1_Billing!$E$21='Local Data Previous Year'!$A$3:$A$50000, ROW('Local Data Previous Year'!$A$3:$A$50000)-ROW('Local Data Previous Year'!$A$3)+1), ROW(344:344))))</f>
        <v/>
      </c>
      <c r="AO376" s="209" t="str">
        <f t="shared" si="69"/>
        <v/>
      </c>
      <c r="AP376" s="208"/>
      <c r="AQ376" s="209" t="str">
        <f t="shared" si="70"/>
        <v/>
      </c>
      <c r="AR376" s="209" t="str">
        <f t="shared" si="71"/>
        <v/>
      </c>
      <c r="AS376" s="202" t="str">
        <f t="shared" si="72"/>
        <v/>
      </c>
      <c r="AT376" s="202" t="str">
        <f t="shared" si="73"/>
        <v/>
      </c>
      <c r="AU376" s="208"/>
      <c r="AV376" s="208"/>
      <c r="AW376" s="208"/>
      <c r="AX376" s="208"/>
      <c r="AY376" s="208"/>
      <c r="AZ376" s="208"/>
      <c r="BA376" s="208"/>
      <c r="BB376" s="208"/>
      <c r="BC376" s="208"/>
      <c r="BD376" s="208"/>
      <c r="BE376" s="208"/>
      <c r="BF376" s="208"/>
      <c r="BG376" s="28"/>
      <c r="BH376" s="28"/>
      <c r="BI376" s="28"/>
      <c r="BJ376" s="28"/>
    </row>
    <row r="377" spans="1:62" s="23" customFormat="1" ht="21" customHeight="1" thickBot="1" x14ac:dyDescent="0.25">
      <c r="A377" s="846" t="str">
        <f>IF($AN377="","",IFERROR(VLOOKUP(CONCATENATE(CTR1_Billing!$E$20,$AN377),'Local Data Previous Year'!$C$3:$D$20000,2,0),CTR1_Billing!$E$21&amp;"NEW"))</f>
        <v/>
      </c>
      <c r="B377" s="846" t="str">
        <f>IF($E377="","",IFERROR(VLOOKUP(CONCATENATE(CTR1_Billing!$E$20,CTR1_Local!$E377),'Local Data Previous Year'!$C$3:$D$20000,2,0),CTR1_Billing!$E$21&amp;"NEW"))</f>
        <v/>
      </c>
      <c r="C377" s="846">
        <v>345</v>
      </c>
      <c r="D377" s="755" t="str" cm="1">
        <f t="array" ref="D377">IF(ISERROR(INDEX('Local Data Previous Year'!$D$3:$D$20000,SMALL(IF(CTR1_Billing!$E$21='Local Data Previous Year'!$A$3:$A$20000,ROW('Local Data Previous Year'!$A$3:$A$20000)-ROW('Local Data Previous Year'!$A$3)+1),ROW(345:345)))),"",INDEX('Local Data Previous Year'!$D$3:$D$20000,SMALL(IF(CTR1_Billing!$E$21='Local Data Previous Year'!$A$3:$A$20000,ROW('Local Data Previous Year'!$A$3:$A$20000)-ROW('Local Data Previous Year'!$A$3)+1),ROW(345:345))))</f>
        <v/>
      </c>
      <c r="E377" s="755" t="str" cm="1">
        <f t="array" ref="E377">IF(ISERROR(INDEX('Local Data Previous Year'!$E$3:$E$20000,SMALL(IF(CTR1_Billing!$E$21='Local Data Previous Year'!$A$3:$A$20000,ROW('Local Data Previous Year'!$A$3:$A$20000)-ROW('Local Data Previous Year'!$A$3)+1),ROW(345:345)))),"",INDEX('Local Data Previous Year'!$E$3:$E$20000,SMALL(IF(CTR1_Billing!$E$21='Local Data Previous Year'!$A$3:$A$20000,ROW('Local Data Previous Year'!$A$3:$A$20000)-ROW('Local Data Previous Year'!$A$3)+1),ROW(345:345))))</f>
        <v/>
      </c>
      <c r="F377" s="756" t="str">
        <f>IF($D377="","",IF(ISNA(MATCH($D377,'Local Data Previous Year'!$D$3:$D$20000,0)),"New",IFERROR(VLOOKUP($B377,'Local Data Previous Year'!$D$3:$I$20000,6,0),"")))</f>
        <v/>
      </c>
      <c r="G377" s="757">
        <f t="shared" si="74"/>
        <v>0</v>
      </c>
      <c r="H377" s="758" t="str">
        <f>IFERROR(INDEX('Local Data Previous Year'!$F:$F, MATCH($D377, 'Local Data Previous Year'!$D:$D, 0)), "")</f>
        <v/>
      </c>
      <c r="I377" s="759">
        <f>IF(B377=CTR1_Billing!$E$21&amp;"NEW",1,0)</f>
        <v>0</v>
      </c>
      <c r="J377" s="760" t="str">
        <f>IFERROR(INDEX('Local Data Previous Year'!$G:$G, MATCH($D377, 'Local Data Previous Year'!$D:$D, 0)), "")</f>
        <v/>
      </c>
      <c r="K377" s="762"/>
      <c r="L377" s="760" t="str">
        <f>IFERROR(INDEX('Local Data Previous Year'!$H:$H, MATCH($D377, 'Local Data Previous Year'!$D:$D, 0)), "")</f>
        <v/>
      </c>
      <c r="M377" s="762"/>
      <c r="N377" s="763"/>
      <c r="O377" s="767"/>
      <c r="P377" s="765"/>
      <c r="Q377" s="767"/>
      <c r="R377" s="766" t="str">
        <f t="shared" si="75"/>
        <v/>
      </c>
      <c r="S377" s="754"/>
      <c r="T377" s="763"/>
      <c r="U377" s="754"/>
      <c r="V377" s="763"/>
      <c r="W377" s="763"/>
      <c r="X377" s="865" t="str">
        <f>VLOOKUP(CTR1_Billing!$E$21,Data!$C$6:$D$302,1,FALSE)</f>
        <v>EZZZZ</v>
      </c>
      <c r="Y377" s="205"/>
      <c r="Z377" s="205">
        <f t="shared" si="64"/>
        <v>0</v>
      </c>
      <c r="AA377" s="206" t="str">
        <f t="shared" si="40"/>
        <v/>
      </c>
      <c r="AB377" s="205">
        <f t="shared" si="65"/>
        <v>0</v>
      </c>
      <c r="AC377" s="208"/>
      <c r="AD377" s="208"/>
      <c r="AE377" s="208"/>
      <c r="AF377" s="208"/>
      <c r="AG377" s="209" t="str">
        <f>IFERROR(INDEX('Local Data Previous Year'!$F:$F, MATCH($D377, 'Local Data Previous Year'!$D:$D, 0)), "")</f>
        <v/>
      </c>
      <c r="AH377" s="209" t="str">
        <f>IFERROR(INDEX('Local Data Previous Year'!$G:$G, MATCH($D377, 'Local Data Previous Year'!$D:$D, 0)), "")</f>
        <v/>
      </c>
      <c r="AI377" s="209" t="str">
        <f>IFERROR(INDEX('Local Data Previous Year'!$H:$H, MATCH($D377, 'Local Data Previous Year'!$D:$D, 0)), "")</f>
        <v/>
      </c>
      <c r="AJ377" s="209" t="str">
        <f t="shared" si="66"/>
        <v/>
      </c>
      <c r="AK377" s="209" t="str">
        <f t="shared" si="67"/>
        <v/>
      </c>
      <c r="AL377" s="209" t="str">
        <f t="shared" si="68"/>
        <v/>
      </c>
      <c r="AM377" s="208" t="str">
        <f>IF($AN377="","",IFERROR(VLOOKUP(CONCATENATE(CTR1_Billing!$E$20,$AN377),'Local Data Previous Year'!$C$3:$D$50000,2,0),CTR1_Billing!$E$21&amp;"NEW"))</f>
        <v/>
      </c>
      <c r="AN377" s="209" t="str" cm="1">
        <f t="array" ref="AN377">IF(ISERROR(INDEX('Local Data Previous Year'!$E$3:$E$50000, SMALL(IF(CTR1_Billing!$E$21='Local Data Previous Year'!$A$3:$A$50000, ROW('Local Data Previous Year'!$A$3:$A$50000)-ROW('Local Data Previous Year'!$A$3)+1), ROW(345:345)))), "", INDEX('Local Data Previous Year'!$E$3:$E$50000, SMALL(IF(CTR1_Billing!$E$21='Local Data Previous Year'!$A$3:$A$50000, ROW('Local Data Previous Year'!$A$3:$A$50000)-ROW('Local Data Previous Year'!$A$3)+1), ROW(345:345))))</f>
        <v/>
      </c>
      <c r="AO377" s="209" t="str">
        <f t="shared" si="69"/>
        <v/>
      </c>
      <c r="AP377" s="208"/>
      <c r="AQ377" s="209" t="str">
        <f t="shared" si="70"/>
        <v/>
      </c>
      <c r="AR377" s="209" t="str">
        <f t="shared" si="71"/>
        <v/>
      </c>
      <c r="AS377" s="202" t="str">
        <f t="shared" si="72"/>
        <v/>
      </c>
      <c r="AT377" s="202" t="str">
        <f t="shared" si="73"/>
        <v/>
      </c>
      <c r="AU377" s="208"/>
      <c r="AV377" s="208"/>
      <c r="AW377" s="208"/>
      <c r="AX377" s="208"/>
      <c r="AY377" s="208"/>
      <c r="AZ377" s="208"/>
      <c r="BA377" s="208"/>
      <c r="BB377" s="208"/>
      <c r="BC377" s="208"/>
      <c r="BD377" s="208"/>
      <c r="BE377" s="208"/>
      <c r="BF377" s="208"/>
      <c r="BG377" s="28"/>
      <c r="BH377" s="28"/>
      <c r="BI377" s="28"/>
      <c r="BJ377" s="28"/>
    </row>
    <row r="378" spans="1:62" s="23" customFormat="1" ht="21" customHeight="1" thickBot="1" x14ac:dyDescent="0.25">
      <c r="A378" s="846" t="str">
        <f>IF($AN378="","",IFERROR(VLOOKUP(CONCATENATE(CTR1_Billing!$E$20,$AN378),'Local Data Previous Year'!$C$3:$D$20000,2,0),CTR1_Billing!$E$21&amp;"NEW"))</f>
        <v/>
      </c>
      <c r="B378" s="846" t="str">
        <f>IF($E378="","",IFERROR(VLOOKUP(CONCATENATE(CTR1_Billing!$E$20,CTR1_Local!$E378),'Local Data Previous Year'!$C$3:$D$20000,2,0),CTR1_Billing!$E$21&amp;"NEW"))</f>
        <v/>
      </c>
      <c r="C378" s="846">
        <v>346</v>
      </c>
      <c r="D378" s="755" t="str" cm="1">
        <f t="array" ref="D378">IF(ISERROR(INDEX('Local Data Previous Year'!$D$3:$D$20000,SMALL(IF(CTR1_Billing!$E$21='Local Data Previous Year'!$A$3:$A$20000,ROW('Local Data Previous Year'!$A$3:$A$20000)-ROW('Local Data Previous Year'!$A$3)+1),ROW(346:346)))),"",INDEX('Local Data Previous Year'!$D$3:$D$20000,SMALL(IF(CTR1_Billing!$E$21='Local Data Previous Year'!$A$3:$A$20000,ROW('Local Data Previous Year'!$A$3:$A$20000)-ROW('Local Data Previous Year'!$A$3)+1),ROW(346:346))))</f>
        <v/>
      </c>
      <c r="E378" s="755" t="str" cm="1">
        <f t="array" ref="E378">IF(ISERROR(INDEX('Local Data Previous Year'!$E$3:$E$20000,SMALL(IF(CTR1_Billing!$E$21='Local Data Previous Year'!$A$3:$A$20000,ROW('Local Data Previous Year'!$A$3:$A$20000)-ROW('Local Data Previous Year'!$A$3)+1),ROW(346:346)))),"",INDEX('Local Data Previous Year'!$E$3:$E$20000,SMALL(IF(CTR1_Billing!$E$21='Local Data Previous Year'!$A$3:$A$20000,ROW('Local Data Previous Year'!$A$3:$A$20000)-ROW('Local Data Previous Year'!$A$3)+1),ROW(346:346))))</f>
        <v/>
      </c>
      <c r="F378" s="756" t="str">
        <f>IF($D378="","",IF(ISNA(MATCH($D378,'Local Data Previous Year'!$D$3:$D$20000,0)),"New",IFERROR(VLOOKUP($B378,'Local Data Previous Year'!$D$3:$I$20000,6,0),"")))</f>
        <v/>
      </c>
      <c r="G378" s="757">
        <f t="shared" si="74"/>
        <v>0</v>
      </c>
      <c r="H378" s="758" t="str">
        <f>IFERROR(INDEX('Local Data Previous Year'!$F:$F, MATCH($D378, 'Local Data Previous Year'!$D:$D, 0)), "")</f>
        <v/>
      </c>
      <c r="I378" s="759">
        <f>IF(B378=CTR1_Billing!$E$21&amp;"NEW",1,0)</f>
        <v>0</v>
      </c>
      <c r="J378" s="760" t="str">
        <f>IFERROR(INDEX('Local Data Previous Year'!$G:$G, MATCH($D378, 'Local Data Previous Year'!$D:$D, 0)), "")</f>
        <v/>
      </c>
      <c r="K378" s="762"/>
      <c r="L378" s="760" t="str">
        <f>IFERROR(INDEX('Local Data Previous Year'!$H:$H, MATCH($D378, 'Local Data Previous Year'!$D:$D, 0)), "")</f>
        <v/>
      </c>
      <c r="M378" s="762"/>
      <c r="N378" s="763"/>
      <c r="O378" s="767"/>
      <c r="P378" s="765"/>
      <c r="Q378" s="767"/>
      <c r="R378" s="766" t="str">
        <f t="shared" si="75"/>
        <v/>
      </c>
      <c r="S378" s="754"/>
      <c r="T378" s="763"/>
      <c r="U378" s="754"/>
      <c r="V378" s="763"/>
      <c r="W378" s="763"/>
      <c r="X378" s="865" t="str">
        <f>VLOOKUP(CTR1_Billing!$E$21,Data!$C$6:$D$302,1,FALSE)</f>
        <v>EZZZZ</v>
      </c>
      <c r="Y378" s="205"/>
      <c r="Z378" s="205">
        <f t="shared" si="64"/>
        <v>0</v>
      </c>
      <c r="AA378" s="206" t="str">
        <f t="shared" si="40"/>
        <v/>
      </c>
      <c r="AB378" s="205">
        <f t="shared" si="65"/>
        <v>0</v>
      </c>
      <c r="AC378" s="208"/>
      <c r="AD378" s="208"/>
      <c r="AE378" s="208"/>
      <c r="AF378" s="208"/>
      <c r="AG378" s="209" t="str">
        <f>IFERROR(INDEX('Local Data Previous Year'!$F:$F, MATCH($D378, 'Local Data Previous Year'!$D:$D, 0)), "")</f>
        <v/>
      </c>
      <c r="AH378" s="209" t="str">
        <f>IFERROR(INDEX('Local Data Previous Year'!$G:$G, MATCH($D378, 'Local Data Previous Year'!$D:$D, 0)), "")</f>
        <v/>
      </c>
      <c r="AI378" s="209" t="str">
        <f>IFERROR(INDEX('Local Data Previous Year'!$H:$H, MATCH($D378, 'Local Data Previous Year'!$D:$D, 0)), "")</f>
        <v/>
      </c>
      <c r="AJ378" s="209" t="str">
        <f t="shared" si="66"/>
        <v/>
      </c>
      <c r="AK378" s="209" t="str">
        <f t="shared" si="67"/>
        <v/>
      </c>
      <c r="AL378" s="209" t="str">
        <f t="shared" si="68"/>
        <v/>
      </c>
      <c r="AM378" s="208" t="str">
        <f>IF($AN378="","",IFERROR(VLOOKUP(CONCATENATE(CTR1_Billing!$E$20,$AN378),'Local Data Previous Year'!$C$3:$D$50000,2,0),CTR1_Billing!$E$21&amp;"NEW"))</f>
        <v/>
      </c>
      <c r="AN378" s="209" t="str" cm="1">
        <f t="array" ref="AN378">IF(ISERROR(INDEX('Local Data Previous Year'!$E$3:$E$50000, SMALL(IF(CTR1_Billing!$E$21='Local Data Previous Year'!$A$3:$A$50000, ROW('Local Data Previous Year'!$A$3:$A$50000)-ROW('Local Data Previous Year'!$A$3)+1), ROW(346:346)))), "", INDEX('Local Data Previous Year'!$E$3:$E$50000, SMALL(IF(CTR1_Billing!$E$21='Local Data Previous Year'!$A$3:$A$50000, ROW('Local Data Previous Year'!$A$3:$A$50000)-ROW('Local Data Previous Year'!$A$3)+1), ROW(346:346))))</f>
        <v/>
      </c>
      <c r="AO378" s="209" t="str">
        <f t="shared" si="69"/>
        <v/>
      </c>
      <c r="AP378" s="208"/>
      <c r="AQ378" s="209" t="str">
        <f t="shared" si="70"/>
        <v/>
      </c>
      <c r="AR378" s="209" t="str">
        <f t="shared" si="71"/>
        <v/>
      </c>
      <c r="AS378" s="202" t="str">
        <f t="shared" si="72"/>
        <v/>
      </c>
      <c r="AT378" s="202" t="str">
        <f t="shared" si="73"/>
        <v/>
      </c>
      <c r="AU378" s="208"/>
      <c r="AV378" s="208"/>
      <c r="AW378" s="208"/>
      <c r="AX378" s="208"/>
      <c r="AY378" s="208"/>
      <c r="AZ378" s="208"/>
      <c r="BA378" s="208"/>
      <c r="BB378" s="208"/>
      <c r="BC378" s="208"/>
      <c r="BD378" s="208"/>
      <c r="BE378" s="208"/>
      <c r="BF378" s="208"/>
      <c r="BG378" s="28"/>
      <c r="BH378" s="28"/>
      <c r="BI378" s="28"/>
      <c r="BJ378" s="28"/>
    </row>
    <row r="379" spans="1:62" s="23" customFormat="1" ht="21" customHeight="1" thickBot="1" x14ac:dyDescent="0.25">
      <c r="A379" s="846" t="str">
        <f>IF($AN379="","",IFERROR(VLOOKUP(CONCATENATE(CTR1_Billing!$E$20,$AN379),'Local Data Previous Year'!$C$3:$D$20000,2,0),CTR1_Billing!$E$21&amp;"NEW"))</f>
        <v/>
      </c>
      <c r="B379" s="846" t="str">
        <f>IF($E379="","",IFERROR(VLOOKUP(CONCATENATE(CTR1_Billing!$E$20,CTR1_Local!$E379),'Local Data Previous Year'!$C$3:$D$20000,2,0),CTR1_Billing!$E$21&amp;"NEW"))</f>
        <v/>
      </c>
      <c r="C379" s="846">
        <v>347</v>
      </c>
      <c r="D379" s="755" t="str" cm="1">
        <f t="array" ref="D379">IF(ISERROR(INDEX('Local Data Previous Year'!$D$3:$D$20000,SMALL(IF(CTR1_Billing!$E$21='Local Data Previous Year'!$A$3:$A$20000,ROW('Local Data Previous Year'!$A$3:$A$20000)-ROW('Local Data Previous Year'!$A$3)+1),ROW(347:347)))),"",INDEX('Local Data Previous Year'!$D$3:$D$20000,SMALL(IF(CTR1_Billing!$E$21='Local Data Previous Year'!$A$3:$A$20000,ROW('Local Data Previous Year'!$A$3:$A$20000)-ROW('Local Data Previous Year'!$A$3)+1),ROW(347:347))))</f>
        <v/>
      </c>
      <c r="E379" s="755" t="str" cm="1">
        <f t="array" ref="E379">IF(ISERROR(INDEX('Local Data Previous Year'!$E$3:$E$20000,SMALL(IF(CTR1_Billing!$E$21='Local Data Previous Year'!$A$3:$A$20000,ROW('Local Data Previous Year'!$A$3:$A$20000)-ROW('Local Data Previous Year'!$A$3)+1),ROW(347:347)))),"",INDEX('Local Data Previous Year'!$E$3:$E$20000,SMALL(IF(CTR1_Billing!$E$21='Local Data Previous Year'!$A$3:$A$20000,ROW('Local Data Previous Year'!$A$3:$A$20000)-ROW('Local Data Previous Year'!$A$3)+1),ROW(347:347))))</f>
        <v/>
      </c>
      <c r="F379" s="756" t="str">
        <f>IF($D379="","",IF(ISNA(MATCH($D379,'Local Data Previous Year'!$D$3:$D$20000,0)),"New",IFERROR(VLOOKUP($B379,'Local Data Previous Year'!$D$3:$I$20000,6,0),"")))</f>
        <v/>
      </c>
      <c r="G379" s="757">
        <f t="shared" si="74"/>
        <v>0</v>
      </c>
      <c r="H379" s="758" t="str">
        <f>IFERROR(INDEX('Local Data Previous Year'!$F:$F, MATCH($D379, 'Local Data Previous Year'!$D:$D, 0)), "")</f>
        <v/>
      </c>
      <c r="I379" s="759">
        <f>IF(B379=CTR1_Billing!$E$21&amp;"NEW",1,0)</f>
        <v>0</v>
      </c>
      <c r="J379" s="760" t="str">
        <f>IFERROR(INDEX('Local Data Previous Year'!$G:$G, MATCH($D379, 'Local Data Previous Year'!$D:$D, 0)), "")</f>
        <v/>
      </c>
      <c r="K379" s="762"/>
      <c r="L379" s="760" t="str">
        <f>IFERROR(INDEX('Local Data Previous Year'!$H:$H, MATCH($D379, 'Local Data Previous Year'!$D:$D, 0)), "")</f>
        <v/>
      </c>
      <c r="M379" s="762"/>
      <c r="N379" s="763"/>
      <c r="O379" s="767"/>
      <c r="P379" s="765"/>
      <c r="Q379" s="767"/>
      <c r="R379" s="766" t="str">
        <f t="shared" si="75"/>
        <v/>
      </c>
      <c r="S379" s="754"/>
      <c r="T379" s="763"/>
      <c r="U379" s="754"/>
      <c r="V379" s="763"/>
      <c r="W379" s="763"/>
      <c r="X379" s="865" t="str">
        <f>VLOOKUP(CTR1_Billing!$E$21,Data!$C$6:$D$302,1,FALSE)</f>
        <v>EZZZZ</v>
      </c>
      <c r="Y379" s="205"/>
      <c r="Z379" s="205">
        <f t="shared" si="64"/>
        <v>0</v>
      </c>
      <c r="AA379" s="206" t="str">
        <f t="shared" si="40"/>
        <v/>
      </c>
      <c r="AB379" s="205">
        <f t="shared" si="65"/>
        <v>0</v>
      </c>
      <c r="AC379" s="208"/>
      <c r="AD379" s="208"/>
      <c r="AE379" s="208"/>
      <c r="AF379" s="208"/>
      <c r="AG379" s="209" t="str">
        <f>IFERROR(INDEX('Local Data Previous Year'!$F:$F, MATCH($D379, 'Local Data Previous Year'!$D:$D, 0)), "")</f>
        <v/>
      </c>
      <c r="AH379" s="209" t="str">
        <f>IFERROR(INDEX('Local Data Previous Year'!$G:$G, MATCH($D379, 'Local Data Previous Year'!$D:$D, 0)), "")</f>
        <v/>
      </c>
      <c r="AI379" s="209" t="str">
        <f>IFERROR(INDEX('Local Data Previous Year'!$H:$H, MATCH($D379, 'Local Data Previous Year'!$D:$D, 0)), "")</f>
        <v/>
      </c>
      <c r="AJ379" s="209" t="str">
        <f t="shared" si="66"/>
        <v/>
      </c>
      <c r="AK379" s="209" t="str">
        <f t="shared" si="67"/>
        <v/>
      </c>
      <c r="AL379" s="209" t="str">
        <f t="shared" si="68"/>
        <v/>
      </c>
      <c r="AM379" s="208" t="str">
        <f>IF($AN379="","",IFERROR(VLOOKUP(CONCATENATE(CTR1_Billing!$E$20,$AN379),'Local Data Previous Year'!$C$3:$D$50000,2,0),CTR1_Billing!$E$21&amp;"NEW"))</f>
        <v/>
      </c>
      <c r="AN379" s="209" t="str" cm="1">
        <f t="array" ref="AN379">IF(ISERROR(INDEX('Local Data Previous Year'!$E$3:$E$50000, SMALL(IF(CTR1_Billing!$E$21='Local Data Previous Year'!$A$3:$A$50000, ROW('Local Data Previous Year'!$A$3:$A$50000)-ROW('Local Data Previous Year'!$A$3)+1), ROW(347:347)))), "", INDEX('Local Data Previous Year'!$E$3:$E$50000, SMALL(IF(CTR1_Billing!$E$21='Local Data Previous Year'!$A$3:$A$50000, ROW('Local Data Previous Year'!$A$3:$A$50000)-ROW('Local Data Previous Year'!$A$3)+1), ROW(347:347))))</f>
        <v/>
      </c>
      <c r="AO379" s="209" t="str">
        <f t="shared" si="69"/>
        <v/>
      </c>
      <c r="AP379" s="208"/>
      <c r="AQ379" s="209" t="str">
        <f t="shared" si="70"/>
        <v/>
      </c>
      <c r="AR379" s="209" t="str">
        <f t="shared" si="71"/>
        <v/>
      </c>
      <c r="AS379" s="202" t="str">
        <f t="shared" si="72"/>
        <v/>
      </c>
      <c r="AT379" s="202" t="str">
        <f t="shared" si="73"/>
        <v/>
      </c>
      <c r="AU379" s="208"/>
      <c r="AV379" s="208"/>
      <c r="AW379" s="208"/>
      <c r="AX379" s="208"/>
      <c r="AY379" s="208"/>
      <c r="AZ379" s="208"/>
      <c r="BA379" s="208"/>
      <c r="BB379" s="208"/>
      <c r="BC379" s="208"/>
      <c r="BD379" s="208"/>
      <c r="BE379" s="208"/>
      <c r="BF379" s="208"/>
      <c r="BG379" s="28"/>
      <c r="BH379" s="28"/>
      <c r="BI379" s="28"/>
      <c r="BJ379" s="28"/>
    </row>
    <row r="380" spans="1:62" s="23" customFormat="1" ht="21" customHeight="1" thickBot="1" x14ac:dyDescent="0.25">
      <c r="A380" s="846" t="str">
        <f>IF($AN380="","",IFERROR(VLOOKUP(CONCATENATE(CTR1_Billing!$E$20,$AN380),'Local Data Previous Year'!$C$3:$D$20000,2,0),CTR1_Billing!$E$21&amp;"NEW"))</f>
        <v/>
      </c>
      <c r="B380" s="846" t="str">
        <f>IF($E380="","",IFERROR(VLOOKUP(CONCATENATE(CTR1_Billing!$E$20,CTR1_Local!$E380),'Local Data Previous Year'!$C$3:$D$20000,2,0),CTR1_Billing!$E$21&amp;"NEW"))</f>
        <v/>
      </c>
      <c r="C380" s="846">
        <v>348</v>
      </c>
      <c r="D380" s="755" t="str" cm="1">
        <f t="array" ref="D380">IF(ISERROR(INDEX('Local Data Previous Year'!$D$3:$D$20000,SMALL(IF(CTR1_Billing!$E$21='Local Data Previous Year'!$A$3:$A$20000,ROW('Local Data Previous Year'!$A$3:$A$20000)-ROW('Local Data Previous Year'!$A$3)+1),ROW(348:348)))),"",INDEX('Local Data Previous Year'!$D$3:$D$20000,SMALL(IF(CTR1_Billing!$E$21='Local Data Previous Year'!$A$3:$A$20000,ROW('Local Data Previous Year'!$A$3:$A$20000)-ROW('Local Data Previous Year'!$A$3)+1),ROW(348:348))))</f>
        <v/>
      </c>
      <c r="E380" s="755" t="str" cm="1">
        <f t="array" ref="E380">IF(ISERROR(INDEX('Local Data Previous Year'!$E$3:$E$20000,SMALL(IF(CTR1_Billing!$E$21='Local Data Previous Year'!$A$3:$A$20000,ROW('Local Data Previous Year'!$A$3:$A$20000)-ROW('Local Data Previous Year'!$A$3)+1),ROW(348:348)))),"",INDEX('Local Data Previous Year'!$E$3:$E$20000,SMALL(IF(CTR1_Billing!$E$21='Local Data Previous Year'!$A$3:$A$20000,ROW('Local Data Previous Year'!$A$3:$A$20000)-ROW('Local Data Previous Year'!$A$3)+1),ROW(348:348))))</f>
        <v/>
      </c>
      <c r="F380" s="756" t="str">
        <f>IF($D380="","",IF(ISNA(MATCH($D380,'Local Data Previous Year'!$D$3:$D$20000,0)),"New",IFERROR(VLOOKUP($B380,'Local Data Previous Year'!$D$3:$I$20000,6,0),"")))</f>
        <v/>
      </c>
      <c r="G380" s="757">
        <f t="shared" si="74"/>
        <v>0</v>
      </c>
      <c r="H380" s="758" t="str">
        <f>IFERROR(INDEX('Local Data Previous Year'!$F:$F, MATCH($D380, 'Local Data Previous Year'!$D:$D, 0)), "")</f>
        <v/>
      </c>
      <c r="I380" s="759">
        <f>IF(B380=CTR1_Billing!$E$21&amp;"NEW",1,0)</f>
        <v>0</v>
      </c>
      <c r="J380" s="760" t="str">
        <f>IFERROR(INDEX('Local Data Previous Year'!$G:$G, MATCH($D380, 'Local Data Previous Year'!$D:$D, 0)), "")</f>
        <v/>
      </c>
      <c r="K380" s="762"/>
      <c r="L380" s="760" t="str">
        <f>IFERROR(INDEX('Local Data Previous Year'!$H:$H, MATCH($D380, 'Local Data Previous Year'!$D:$D, 0)), "")</f>
        <v/>
      </c>
      <c r="M380" s="762"/>
      <c r="N380" s="763"/>
      <c r="O380" s="767"/>
      <c r="P380" s="765"/>
      <c r="Q380" s="767"/>
      <c r="R380" s="766" t="str">
        <f t="shared" si="75"/>
        <v/>
      </c>
      <c r="S380" s="754"/>
      <c r="T380" s="763"/>
      <c r="U380" s="754"/>
      <c r="V380" s="763"/>
      <c r="W380" s="763"/>
      <c r="X380" s="865" t="str">
        <f>VLOOKUP(CTR1_Billing!$E$21,Data!$C$6:$D$302,1,FALSE)</f>
        <v>EZZZZ</v>
      </c>
      <c r="Y380" s="205"/>
      <c r="Z380" s="205">
        <f t="shared" si="64"/>
        <v>0</v>
      </c>
      <c r="AA380" s="206" t="str">
        <f t="shared" si="40"/>
        <v/>
      </c>
      <c r="AB380" s="205">
        <f t="shared" si="65"/>
        <v>0</v>
      </c>
      <c r="AC380" s="208"/>
      <c r="AD380" s="208"/>
      <c r="AE380" s="208"/>
      <c r="AF380" s="208"/>
      <c r="AG380" s="209" t="str">
        <f>IFERROR(INDEX('Local Data Previous Year'!$F:$F, MATCH($D380, 'Local Data Previous Year'!$D:$D, 0)), "")</f>
        <v/>
      </c>
      <c r="AH380" s="209" t="str">
        <f>IFERROR(INDEX('Local Data Previous Year'!$G:$G, MATCH($D380, 'Local Data Previous Year'!$D:$D, 0)), "")</f>
        <v/>
      </c>
      <c r="AI380" s="209" t="str">
        <f>IFERROR(INDEX('Local Data Previous Year'!$H:$H, MATCH($D380, 'Local Data Previous Year'!$D:$D, 0)), "")</f>
        <v/>
      </c>
      <c r="AJ380" s="209" t="str">
        <f t="shared" si="66"/>
        <v/>
      </c>
      <c r="AK380" s="209" t="str">
        <f t="shared" si="67"/>
        <v/>
      </c>
      <c r="AL380" s="209" t="str">
        <f t="shared" si="68"/>
        <v/>
      </c>
      <c r="AM380" s="208" t="str">
        <f>IF($AN380="","",IFERROR(VLOOKUP(CONCATENATE(CTR1_Billing!$E$20,$AN380),'Local Data Previous Year'!$C$3:$D$50000,2,0),CTR1_Billing!$E$21&amp;"NEW"))</f>
        <v/>
      </c>
      <c r="AN380" s="209" t="str" cm="1">
        <f t="array" ref="AN380">IF(ISERROR(INDEX('Local Data Previous Year'!$E$3:$E$50000, SMALL(IF(CTR1_Billing!$E$21='Local Data Previous Year'!$A$3:$A$50000, ROW('Local Data Previous Year'!$A$3:$A$50000)-ROW('Local Data Previous Year'!$A$3)+1), ROW(348:348)))), "", INDEX('Local Data Previous Year'!$E$3:$E$50000, SMALL(IF(CTR1_Billing!$E$21='Local Data Previous Year'!$A$3:$A$50000, ROW('Local Data Previous Year'!$A$3:$A$50000)-ROW('Local Data Previous Year'!$A$3)+1), ROW(348:348))))</f>
        <v/>
      </c>
      <c r="AO380" s="209" t="str">
        <f t="shared" si="69"/>
        <v/>
      </c>
      <c r="AP380" s="208"/>
      <c r="AQ380" s="209" t="str">
        <f t="shared" si="70"/>
        <v/>
      </c>
      <c r="AR380" s="209" t="str">
        <f t="shared" si="71"/>
        <v/>
      </c>
      <c r="AS380" s="202" t="str">
        <f t="shared" si="72"/>
        <v/>
      </c>
      <c r="AT380" s="202" t="str">
        <f t="shared" si="73"/>
        <v/>
      </c>
      <c r="AU380" s="208"/>
      <c r="AV380" s="208"/>
      <c r="AW380" s="208"/>
      <c r="AX380" s="208"/>
      <c r="AY380" s="208"/>
      <c r="AZ380" s="208"/>
      <c r="BA380" s="208"/>
      <c r="BB380" s="208"/>
      <c r="BC380" s="208"/>
      <c r="BD380" s="208"/>
      <c r="BE380" s="208"/>
      <c r="BF380" s="208"/>
      <c r="BG380" s="28"/>
      <c r="BH380" s="28"/>
      <c r="BI380" s="28"/>
      <c r="BJ380" s="28"/>
    </row>
    <row r="381" spans="1:62" s="23" customFormat="1" ht="21" customHeight="1" thickBot="1" x14ac:dyDescent="0.25">
      <c r="A381" s="846" t="str">
        <f>IF($AN381="","",IFERROR(VLOOKUP(CONCATENATE(CTR1_Billing!$E$20,$AN381),'Local Data Previous Year'!$C$3:$D$20000,2,0),CTR1_Billing!$E$21&amp;"NEW"))</f>
        <v/>
      </c>
      <c r="B381" s="846" t="str">
        <f>IF($E381="","",IFERROR(VLOOKUP(CONCATENATE(CTR1_Billing!$E$20,CTR1_Local!$E381),'Local Data Previous Year'!$C$3:$D$20000,2,0),CTR1_Billing!$E$21&amp;"NEW"))</f>
        <v/>
      </c>
      <c r="C381" s="846">
        <v>349</v>
      </c>
      <c r="D381" s="755" t="str" cm="1">
        <f t="array" ref="D381">IF(ISERROR(INDEX('Local Data Previous Year'!$D$3:$D$20000,SMALL(IF(CTR1_Billing!$E$21='Local Data Previous Year'!$A$3:$A$20000,ROW('Local Data Previous Year'!$A$3:$A$20000)-ROW('Local Data Previous Year'!$A$3)+1),ROW(349:349)))),"",INDEX('Local Data Previous Year'!$D$3:$D$20000,SMALL(IF(CTR1_Billing!$E$21='Local Data Previous Year'!$A$3:$A$20000,ROW('Local Data Previous Year'!$A$3:$A$20000)-ROW('Local Data Previous Year'!$A$3)+1),ROW(349:349))))</f>
        <v/>
      </c>
      <c r="E381" s="755" t="str" cm="1">
        <f t="array" ref="E381">IF(ISERROR(INDEX('Local Data Previous Year'!$E$3:$E$20000,SMALL(IF(CTR1_Billing!$E$21='Local Data Previous Year'!$A$3:$A$20000,ROW('Local Data Previous Year'!$A$3:$A$20000)-ROW('Local Data Previous Year'!$A$3)+1),ROW(349:349)))),"",INDEX('Local Data Previous Year'!$E$3:$E$20000,SMALL(IF(CTR1_Billing!$E$21='Local Data Previous Year'!$A$3:$A$20000,ROW('Local Data Previous Year'!$A$3:$A$20000)-ROW('Local Data Previous Year'!$A$3)+1),ROW(349:349))))</f>
        <v/>
      </c>
      <c r="F381" s="756" t="str">
        <f>IF($D381="","",IF(ISNA(MATCH($D381,'Local Data Previous Year'!$D$3:$D$20000,0)),"New",IFERROR(VLOOKUP($B381,'Local Data Previous Year'!$D$3:$I$20000,6,0),"")))</f>
        <v/>
      </c>
      <c r="G381" s="757">
        <f t="shared" si="74"/>
        <v>0</v>
      </c>
      <c r="H381" s="758" t="str">
        <f>IFERROR(INDEX('Local Data Previous Year'!$F:$F, MATCH($D381, 'Local Data Previous Year'!$D:$D, 0)), "")</f>
        <v/>
      </c>
      <c r="I381" s="759">
        <f>IF(B381=CTR1_Billing!$E$21&amp;"NEW",1,0)</f>
        <v>0</v>
      </c>
      <c r="J381" s="760" t="str">
        <f>IFERROR(INDEX('Local Data Previous Year'!$G:$G, MATCH($D381, 'Local Data Previous Year'!$D:$D, 0)), "")</f>
        <v/>
      </c>
      <c r="K381" s="762"/>
      <c r="L381" s="760" t="str">
        <f>IFERROR(INDEX('Local Data Previous Year'!$H:$H, MATCH($D381, 'Local Data Previous Year'!$D:$D, 0)), "")</f>
        <v/>
      </c>
      <c r="M381" s="762"/>
      <c r="N381" s="763"/>
      <c r="O381" s="767"/>
      <c r="P381" s="765"/>
      <c r="Q381" s="767"/>
      <c r="R381" s="766" t="str">
        <f t="shared" si="75"/>
        <v/>
      </c>
      <c r="S381" s="754"/>
      <c r="T381" s="763"/>
      <c r="U381" s="754"/>
      <c r="V381" s="763"/>
      <c r="W381" s="763"/>
      <c r="X381" s="865" t="str">
        <f>VLOOKUP(CTR1_Billing!$E$21,Data!$C$6:$D$302,1,FALSE)</f>
        <v>EZZZZ</v>
      </c>
      <c r="Y381" s="205"/>
      <c r="Z381" s="205">
        <f t="shared" si="64"/>
        <v>0</v>
      </c>
      <c r="AA381" s="206" t="str">
        <f t="shared" si="40"/>
        <v/>
      </c>
      <c r="AB381" s="205">
        <f t="shared" si="65"/>
        <v>0</v>
      </c>
      <c r="AC381" s="208"/>
      <c r="AD381" s="208"/>
      <c r="AE381" s="208"/>
      <c r="AF381" s="208"/>
      <c r="AG381" s="209" t="str">
        <f>IFERROR(INDEX('Local Data Previous Year'!$F:$F, MATCH($D381, 'Local Data Previous Year'!$D:$D, 0)), "")</f>
        <v/>
      </c>
      <c r="AH381" s="209" t="str">
        <f>IFERROR(INDEX('Local Data Previous Year'!$G:$G, MATCH($D381, 'Local Data Previous Year'!$D:$D, 0)), "")</f>
        <v/>
      </c>
      <c r="AI381" s="209" t="str">
        <f>IFERROR(INDEX('Local Data Previous Year'!$H:$H, MATCH($D381, 'Local Data Previous Year'!$D:$D, 0)), "")</f>
        <v/>
      </c>
      <c r="AJ381" s="209" t="str">
        <f t="shared" si="66"/>
        <v/>
      </c>
      <c r="AK381" s="209" t="str">
        <f t="shared" si="67"/>
        <v/>
      </c>
      <c r="AL381" s="209" t="str">
        <f t="shared" si="68"/>
        <v/>
      </c>
      <c r="AM381" s="208" t="str">
        <f>IF($AN381="","",IFERROR(VLOOKUP(CONCATENATE(CTR1_Billing!$E$20,$AN381),'Local Data Previous Year'!$C$3:$D$50000,2,0),CTR1_Billing!$E$21&amp;"NEW"))</f>
        <v/>
      </c>
      <c r="AN381" s="209" t="str" cm="1">
        <f t="array" ref="AN381">IF(ISERROR(INDEX('Local Data Previous Year'!$E$3:$E$50000, SMALL(IF(CTR1_Billing!$E$21='Local Data Previous Year'!$A$3:$A$50000, ROW('Local Data Previous Year'!$A$3:$A$50000)-ROW('Local Data Previous Year'!$A$3)+1), ROW(349:349)))), "", INDEX('Local Data Previous Year'!$E$3:$E$50000, SMALL(IF(CTR1_Billing!$E$21='Local Data Previous Year'!$A$3:$A$50000, ROW('Local Data Previous Year'!$A$3:$A$50000)-ROW('Local Data Previous Year'!$A$3)+1), ROW(349:349))))</f>
        <v/>
      </c>
      <c r="AO381" s="209" t="str">
        <f t="shared" si="69"/>
        <v/>
      </c>
      <c r="AP381" s="208"/>
      <c r="AQ381" s="209" t="str">
        <f t="shared" si="70"/>
        <v/>
      </c>
      <c r="AR381" s="209" t="str">
        <f t="shared" si="71"/>
        <v/>
      </c>
      <c r="AS381" s="202" t="str">
        <f t="shared" si="72"/>
        <v/>
      </c>
      <c r="AT381" s="202" t="str">
        <f t="shared" si="73"/>
        <v/>
      </c>
      <c r="AU381" s="208"/>
      <c r="AV381" s="208"/>
      <c r="AW381" s="208"/>
      <c r="AX381" s="208"/>
      <c r="AY381" s="208"/>
      <c r="AZ381" s="208"/>
      <c r="BA381" s="208"/>
      <c r="BB381" s="208"/>
      <c r="BC381" s="208"/>
      <c r="BD381" s="208"/>
      <c r="BE381" s="208"/>
      <c r="BF381" s="208"/>
      <c r="BG381" s="28"/>
      <c r="BH381" s="28"/>
      <c r="BI381" s="28"/>
      <c r="BJ381" s="28"/>
    </row>
    <row r="382" spans="1:62" s="23" customFormat="1" ht="21" customHeight="1" thickBot="1" x14ac:dyDescent="0.25">
      <c r="A382" s="846" t="str">
        <f>IF($AN382="","",IFERROR(VLOOKUP(CONCATENATE(CTR1_Billing!$E$20,$AN382),'Local Data Previous Year'!$C$3:$D$20000,2,0),CTR1_Billing!$E$21&amp;"NEW"))</f>
        <v/>
      </c>
      <c r="B382" s="846" t="str">
        <f>IF($E382="","",IFERROR(VLOOKUP(CONCATENATE(CTR1_Billing!$E$20,CTR1_Local!$E382),'Local Data Previous Year'!$C$3:$D$20000,2,0),CTR1_Billing!$E$21&amp;"NEW"))</f>
        <v/>
      </c>
      <c r="C382" s="846">
        <v>350</v>
      </c>
      <c r="D382" s="755" t="str" cm="1">
        <f t="array" ref="D382">IF(ISERROR(INDEX('Local Data Previous Year'!$D$3:$D$20000,SMALL(IF(CTR1_Billing!$E$21='Local Data Previous Year'!$A$3:$A$20000,ROW('Local Data Previous Year'!$A$3:$A$20000)-ROW('Local Data Previous Year'!$A$3)+1),ROW(350:350)))),"",INDEX('Local Data Previous Year'!$D$3:$D$20000,SMALL(IF(CTR1_Billing!$E$21='Local Data Previous Year'!$A$3:$A$20000,ROW('Local Data Previous Year'!$A$3:$A$20000)-ROW('Local Data Previous Year'!$A$3)+1),ROW(350:350))))</f>
        <v/>
      </c>
      <c r="E382" s="755" t="str" cm="1">
        <f t="array" ref="E382">IF(ISERROR(INDEX('Local Data Previous Year'!$E$3:$E$20000,SMALL(IF(CTR1_Billing!$E$21='Local Data Previous Year'!$A$3:$A$20000,ROW('Local Data Previous Year'!$A$3:$A$20000)-ROW('Local Data Previous Year'!$A$3)+1),ROW(350:350)))),"",INDEX('Local Data Previous Year'!$E$3:$E$20000,SMALL(IF(CTR1_Billing!$E$21='Local Data Previous Year'!$A$3:$A$20000,ROW('Local Data Previous Year'!$A$3:$A$20000)-ROW('Local Data Previous Year'!$A$3)+1),ROW(350:350))))</f>
        <v/>
      </c>
      <c r="F382" s="756" t="str">
        <f>IF($D382="","",IF(ISNA(MATCH($D382,'Local Data Previous Year'!$D$3:$D$20000,0)),"New",IFERROR(VLOOKUP($B382,'Local Data Previous Year'!$D$3:$I$20000,6,0),"")))</f>
        <v/>
      </c>
      <c r="G382" s="757">
        <f t="shared" si="74"/>
        <v>0</v>
      </c>
      <c r="H382" s="758" t="str">
        <f>IFERROR(INDEX('Local Data Previous Year'!$F:$F, MATCH($D382, 'Local Data Previous Year'!$D:$D, 0)), "")</f>
        <v/>
      </c>
      <c r="I382" s="759">
        <f>IF(B382=CTR1_Billing!$E$21&amp;"NEW",1,0)</f>
        <v>0</v>
      </c>
      <c r="J382" s="760" t="str">
        <f>IFERROR(INDEX('Local Data Previous Year'!$G:$G, MATCH($D382, 'Local Data Previous Year'!$D:$D, 0)), "")</f>
        <v/>
      </c>
      <c r="K382" s="762"/>
      <c r="L382" s="760" t="str">
        <f>IFERROR(INDEX('Local Data Previous Year'!$H:$H, MATCH($D382, 'Local Data Previous Year'!$D:$D, 0)), "")</f>
        <v/>
      </c>
      <c r="M382" s="762"/>
      <c r="N382" s="763"/>
      <c r="O382" s="767"/>
      <c r="P382" s="765"/>
      <c r="Q382" s="767"/>
      <c r="R382" s="766" t="str">
        <f t="shared" si="75"/>
        <v/>
      </c>
      <c r="S382" s="754"/>
      <c r="T382" s="763"/>
      <c r="U382" s="754"/>
      <c r="V382" s="763"/>
      <c r="W382" s="763"/>
      <c r="X382" s="865" t="str">
        <f>VLOOKUP(CTR1_Billing!$E$21,Data!$C$6:$D$302,1,FALSE)</f>
        <v>EZZZZ</v>
      </c>
      <c r="Y382" s="205"/>
      <c r="Z382" s="205">
        <f t="shared" si="64"/>
        <v>0</v>
      </c>
      <c r="AA382" s="206" t="str">
        <f t="shared" si="40"/>
        <v/>
      </c>
      <c r="AB382" s="205">
        <f t="shared" si="65"/>
        <v>0</v>
      </c>
      <c r="AC382" s="208"/>
      <c r="AD382" s="208"/>
      <c r="AE382" s="208"/>
      <c r="AF382" s="208"/>
      <c r="AG382" s="209" t="str">
        <f>IFERROR(INDEX('Local Data Previous Year'!$F:$F, MATCH($D382, 'Local Data Previous Year'!$D:$D, 0)), "")</f>
        <v/>
      </c>
      <c r="AH382" s="209" t="str">
        <f>IFERROR(INDEX('Local Data Previous Year'!$G:$G, MATCH($D382, 'Local Data Previous Year'!$D:$D, 0)), "")</f>
        <v/>
      </c>
      <c r="AI382" s="209" t="str">
        <f>IFERROR(INDEX('Local Data Previous Year'!$H:$H, MATCH($D382, 'Local Data Previous Year'!$D:$D, 0)), "")</f>
        <v/>
      </c>
      <c r="AJ382" s="209" t="str">
        <f t="shared" si="66"/>
        <v/>
      </c>
      <c r="AK382" s="209" t="str">
        <f t="shared" si="67"/>
        <v/>
      </c>
      <c r="AL382" s="209" t="str">
        <f t="shared" si="68"/>
        <v/>
      </c>
      <c r="AM382" s="208" t="str">
        <f>IF($AN382="","",IFERROR(VLOOKUP(CONCATENATE(CTR1_Billing!$E$20,$AN382),'Local Data Previous Year'!$C$3:$D$50000,2,0),CTR1_Billing!$E$21&amp;"NEW"))</f>
        <v/>
      </c>
      <c r="AN382" s="209" t="str" cm="1">
        <f t="array" ref="AN382">IF(ISERROR(INDEX('Local Data Previous Year'!$E$3:$E$50000, SMALL(IF(CTR1_Billing!$E$21='Local Data Previous Year'!$A$3:$A$50000, ROW('Local Data Previous Year'!$A$3:$A$50000)-ROW('Local Data Previous Year'!$A$3)+1), ROW(350:350)))), "", INDEX('Local Data Previous Year'!$E$3:$E$50000, SMALL(IF(CTR1_Billing!$E$21='Local Data Previous Year'!$A$3:$A$50000, ROW('Local Data Previous Year'!$A$3:$A$50000)-ROW('Local Data Previous Year'!$A$3)+1), ROW(350:350))))</f>
        <v/>
      </c>
      <c r="AO382" s="209" t="str">
        <f t="shared" si="69"/>
        <v/>
      </c>
      <c r="AP382" s="208"/>
      <c r="AQ382" s="209" t="str">
        <f t="shared" si="70"/>
        <v/>
      </c>
      <c r="AR382" s="209" t="str">
        <f t="shared" si="71"/>
        <v/>
      </c>
      <c r="AS382" s="202" t="str">
        <f t="shared" si="72"/>
        <v/>
      </c>
      <c r="AT382" s="202" t="str">
        <f t="shared" si="73"/>
        <v/>
      </c>
      <c r="AU382" s="208"/>
      <c r="AV382" s="208"/>
      <c r="AW382" s="208"/>
      <c r="AX382" s="208"/>
      <c r="AY382" s="208"/>
      <c r="AZ382" s="208"/>
      <c r="BA382" s="208"/>
      <c r="BB382" s="208"/>
      <c r="BC382" s="208"/>
      <c r="BD382" s="208"/>
      <c r="BE382" s="208"/>
      <c r="BF382" s="208"/>
      <c r="BG382" s="28"/>
      <c r="BH382" s="28"/>
      <c r="BI382" s="28"/>
      <c r="BJ382" s="28"/>
    </row>
    <row r="383" spans="1:62" s="23" customFormat="1" ht="21" customHeight="1" thickBot="1" x14ac:dyDescent="0.25">
      <c r="A383" s="846" t="str">
        <f>IF($AN383="","",IFERROR(VLOOKUP(CONCATENATE(CTR1_Billing!$E$20,$AN383),'Local Data Previous Year'!$C$3:$D$20000,2,0),CTR1_Billing!$E$21&amp;"NEW"))</f>
        <v/>
      </c>
      <c r="B383" s="846" t="str">
        <f>IF($E383="","",IFERROR(VLOOKUP(CONCATENATE(CTR1_Billing!$E$20,CTR1_Local!$E383),'Local Data Previous Year'!$C$3:$D$20000,2,0),CTR1_Billing!$E$21&amp;"NEW"))</f>
        <v/>
      </c>
      <c r="C383" s="846">
        <v>351</v>
      </c>
      <c r="D383" s="755" t="str" cm="1">
        <f t="array" ref="D383">IF(ISERROR(INDEX('Local Data Previous Year'!$D$3:$D$20000,SMALL(IF(CTR1_Billing!$E$21='Local Data Previous Year'!$A$3:$A$20000,ROW('Local Data Previous Year'!$A$3:$A$20000)-ROW('Local Data Previous Year'!$A$3)+1),ROW(351:351)))),"",INDEX('Local Data Previous Year'!$D$3:$D$20000,SMALL(IF(CTR1_Billing!$E$21='Local Data Previous Year'!$A$3:$A$20000,ROW('Local Data Previous Year'!$A$3:$A$20000)-ROW('Local Data Previous Year'!$A$3)+1),ROW(351:351))))</f>
        <v/>
      </c>
      <c r="E383" s="755" t="str" cm="1">
        <f t="array" ref="E383">IF(ISERROR(INDEX('Local Data Previous Year'!$E$3:$E$20000,SMALL(IF(CTR1_Billing!$E$21='Local Data Previous Year'!$A$3:$A$20000,ROW('Local Data Previous Year'!$A$3:$A$20000)-ROW('Local Data Previous Year'!$A$3)+1),ROW(351:351)))),"",INDEX('Local Data Previous Year'!$E$3:$E$20000,SMALL(IF(CTR1_Billing!$E$21='Local Data Previous Year'!$A$3:$A$20000,ROW('Local Data Previous Year'!$A$3:$A$20000)-ROW('Local Data Previous Year'!$A$3)+1),ROW(351:351))))</f>
        <v/>
      </c>
      <c r="F383" s="756" t="str">
        <f>IF($D383="","",IF(ISNA(MATCH($D383,'Local Data Previous Year'!$D$3:$D$20000,0)),"New",IFERROR(VLOOKUP($B383,'Local Data Previous Year'!$D$3:$I$20000,6,0),"")))</f>
        <v/>
      </c>
      <c r="G383" s="757">
        <f t="shared" si="74"/>
        <v>0</v>
      </c>
      <c r="H383" s="758" t="str">
        <f>IFERROR(INDEX('Local Data Previous Year'!$F:$F, MATCH($D383, 'Local Data Previous Year'!$D:$D, 0)), "")</f>
        <v/>
      </c>
      <c r="I383" s="759">
        <f>IF(B383=CTR1_Billing!$E$21&amp;"NEW",1,0)</f>
        <v>0</v>
      </c>
      <c r="J383" s="760" t="str">
        <f>IFERROR(INDEX('Local Data Previous Year'!$G:$G, MATCH($D383, 'Local Data Previous Year'!$D:$D, 0)), "")</f>
        <v/>
      </c>
      <c r="K383" s="762"/>
      <c r="L383" s="760" t="str">
        <f>IFERROR(INDEX('Local Data Previous Year'!$H:$H, MATCH($D383, 'Local Data Previous Year'!$D:$D, 0)), "")</f>
        <v/>
      </c>
      <c r="M383" s="762"/>
      <c r="N383" s="763"/>
      <c r="O383" s="767"/>
      <c r="P383" s="765"/>
      <c r="Q383" s="767"/>
      <c r="R383" s="766" t="str">
        <f t="shared" si="75"/>
        <v/>
      </c>
      <c r="S383" s="754"/>
      <c r="T383" s="763"/>
      <c r="U383" s="754"/>
      <c r="V383" s="763"/>
      <c r="W383" s="763"/>
      <c r="X383" s="865" t="str">
        <f>VLOOKUP(CTR1_Billing!$E$21,Data!$C$6:$D$302,1,FALSE)</f>
        <v>EZZZZ</v>
      </c>
      <c r="Y383" s="205"/>
      <c r="Z383" s="205">
        <f t="shared" si="64"/>
        <v>0</v>
      </c>
      <c r="AA383" s="206" t="str">
        <f t="shared" si="40"/>
        <v/>
      </c>
      <c r="AB383" s="205">
        <f t="shared" si="65"/>
        <v>0</v>
      </c>
      <c r="AC383" s="208"/>
      <c r="AD383" s="208"/>
      <c r="AE383" s="208"/>
      <c r="AF383" s="208"/>
      <c r="AG383" s="209" t="str">
        <f>IFERROR(INDEX('Local Data Previous Year'!$F:$F, MATCH($D383, 'Local Data Previous Year'!$D:$D, 0)), "")</f>
        <v/>
      </c>
      <c r="AH383" s="209" t="str">
        <f>IFERROR(INDEX('Local Data Previous Year'!$G:$G, MATCH($D383, 'Local Data Previous Year'!$D:$D, 0)), "")</f>
        <v/>
      </c>
      <c r="AI383" s="209" t="str">
        <f>IFERROR(INDEX('Local Data Previous Year'!$H:$H, MATCH($D383, 'Local Data Previous Year'!$D:$D, 0)), "")</f>
        <v/>
      </c>
      <c r="AJ383" s="209" t="str">
        <f t="shared" si="66"/>
        <v/>
      </c>
      <c r="AK383" s="209" t="str">
        <f t="shared" si="67"/>
        <v/>
      </c>
      <c r="AL383" s="209" t="str">
        <f t="shared" si="68"/>
        <v/>
      </c>
      <c r="AM383" s="208" t="str">
        <f>IF($AN383="","",IFERROR(VLOOKUP(CONCATENATE(CTR1_Billing!$E$20,$AN383),'Local Data Previous Year'!$C$3:$D$50000,2,0),CTR1_Billing!$E$21&amp;"NEW"))</f>
        <v/>
      </c>
      <c r="AN383" s="209" t="str" cm="1">
        <f t="array" ref="AN383">IF(ISERROR(INDEX('Local Data Previous Year'!$E$3:$E$50000, SMALL(IF(CTR1_Billing!$E$21='Local Data Previous Year'!$A$3:$A$50000, ROW('Local Data Previous Year'!$A$3:$A$50000)-ROW('Local Data Previous Year'!$A$3)+1), ROW(351:351)))), "", INDEX('Local Data Previous Year'!$E$3:$E$50000, SMALL(IF(CTR1_Billing!$E$21='Local Data Previous Year'!$A$3:$A$50000, ROW('Local Data Previous Year'!$A$3:$A$50000)-ROW('Local Data Previous Year'!$A$3)+1), ROW(351:351))))</f>
        <v/>
      </c>
      <c r="AO383" s="209" t="str">
        <f t="shared" si="69"/>
        <v/>
      </c>
      <c r="AP383" s="208"/>
      <c r="AQ383" s="209" t="str">
        <f t="shared" si="70"/>
        <v/>
      </c>
      <c r="AR383" s="209" t="str">
        <f t="shared" si="71"/>
        <v/>
      </c>
      <c r="AS383" s="202" t="str">
        <f t="shared" si="72"/>
        <v/>
      </c>
      <c r="AT383" s="202" t="str">
        <f t="shared" si="73"/>
        <v/>
      </c>
      <c r="AU383" s="208"/>
      <c r="AV383" s="208"/>
      <c r="AW383" s="208"/>
      <c r="AX383" s="208"/>
      <c r="AY383" s="208"/>
      <c r="AZ383" s="208"/>
      <c r="BA383" s="208"/>
      <c r="BB383" s="208"/>
      <c r="BC383" s="208"/>
      <c r="BD383" s="208"/>
      <c r="BE383" s="208"/>
      <c r="BF383" s="208"/>
      <c r="BG383" s="28"/>
      <c r="BH383" s="28"/>
      <c r="BI383" s="28"/>
      <c r="BJ383" s="28"/>
    </row>
    <row r="384" spans="1:62" s="23" customFormat="1" ht="21" customHeight="1" thickBot="1" x14ac:dyDescent="0.25">
      <c r="A384" s="846" t="str">
        <f>IF($AN384="","",IFERROR(VLOOKUP(CONCATENATE(CTR1_Billing!$E$20,$AN384),'Local Data Previous Year'!$C$3:$D$20000,2,0),CTR1_Billing!$E$21&amp;"NEW"))</f>
        <v/>
      </c>
      <c r="B384" s="846" t="str">
        <f>IF($E384="","",IFERROR(VLOOKUP(CONCATENATE(CTR1_Billing!$E$20,CTR1_Local!$E384),'Local Data Previous Year'!$C$3:$D$20000,2,0),CTR1_Billing!$E$21&amp;"NEW"))</f>
        <v/>
      </c>
      <c r="C384" s="846">
        <v>352</v>
      </c>
      <c r="D384" s="755" t="str" cm="1">
        <f t="array" ref="D384">IF(ISERROR(INDEX('Local Data Previous Year'!$D$3:$D$20000,SMALL(IF(CTR1_Billing!$E$21='Local Data Previous Year'!$A$3:$A$20000,ROW('Local Data Previous Year'!$A$3:$A$20000)-ROW('Local Data Previous Year'!$A$3)+1),ROW(352:352)))),"",INDEX('Local Data Previous Year'!$D$3:$D$20000,SMALL(IF(CTR1_Billing!$E$21='Local Data Previous Year'!$A$3:$A$20000,ROW('Local Data Previous Year'!$A$3:$A$20000)-ROW('Local Data Previous Year'!$A$3)+1),ROW(352:352))))</f>
        <v/>
      </c>
      <c r="E384" s="755" t="str" cm="1">
        <f t="array" ref="E384">IF(ISERROR(INDEX('Local Data Previous Year'!$E$3:$E$20000,SMALL(IF(CTR1_Billing!$E$21='Local Data Previous Year'!$A$3:$A$20000,ROW('Local Data Previous Year'!$A$3:$A$20000)-ROW('Local Data Previous Year'!$A$3)+1),ROW(352:352)))),"",INDEX('Local Data Previous Year'!$E$3:$E$20000,SMALL(IF(CTR1_Billing!$E$21='Local Data Previous Year'!$A$3:$A$20000,ROW('Local Data Previous Year'!$A$3:$A$20000)-ROW('Local Data Previous Year'!$A$3)+1),ROW(352:352))))</f>
        <v/>
      </c>
      <c r="F384" s="756" t="str">
        <f>IF($D384="","",IF(ISNA(MATCH($D384,'Local Data Previous Year'!$D$3:$D$20000,0)),"New",IFERROR(VLOOKUP($B384,'Local Data Previous Year'!$D$3:$I$20000,6,0),"")))</f>
        <v/>
      </c>
      <c r="G384" s="757">
        <f t="shared" si="74"/>
        <v>0</v>
      </c>
      <c r="H384" s="758" t="str">
        <f>IFERROR(INDEX('Local Data Previous Year'!$F:$F, MATCH($D384, 'Local Data Previous Year'!$D:$D, 0)), "")</f>
        <v/>
      </c>
      <c r="I384" s="759">
        <f>IF(B384=CTR1_Billing!$E$21&amp;"NEW",1,0)</f>
        <v>0</v>
      </c>
      <c r="J384" s="760" t="str">
        <f>IFERROR(INDEX('Local Data Previous Year'!$G:$G, MATCH($D384, 'Local Data Previous Year'!$D:$D, 0)), "")</f>
        <v/>
      </c>
      <c r="K384" s="762"/>
      <c r="L384" s="760" t="str">
        <f>IFERROR(INDEX('Local Data Previous Year'!$H:$H, MATCH($D384, 'Local Data Previous Year'!$D:$D, 0)), "")</f>
        <v/>
      </c>
      <c r="M384" s="762"/>
      <c r="N384" s="763"/>
      <c r="O384" s="767"/>
      <c r="P384" s="765"/>
      <c r="Q384" s="767"/>
      <c r="R384" s="766" t="str">
        <f t="shared" si="75"/>
        <v/>
      </c>
      <c r="S384" s="754"/>
      <c r="T384" s="763"/>
      <c r="U384" s="754"/>
      <c r="V384" s="763"/>
      <c r="W384" s="763"/>
      <c r="X384" s="865" t="str">
        <f>VLOOKUP(CTR1_Billing!$E$21,Data!$C$6:$D$302,1,FALSE)</f>
        <v>EZZZZ</v>
      </c>
      <c r="Y384" s="205"/>
      <c r="Z384" s="205">
        <f t="shared" si="64"/>
        <v>0</v>
      </c>
      <c r="AA384" s="206" t="str">
        <f t="shared" si="40"/>
        <v/>
      </c>
      <c r="AB384" s="205">
        <f t="shared" si="65"/>
        <v>0</v>
      </c>
      <c r="AC384" s="208"/>
      <c r="AD384" s="208"/>
      <c r="AE384" s="208"/>
      <c r="AF384" s="208"/>
      <c r="AG384" s="209" t="str">
        <f>IFERROR(INDEX('Local Data Previous Year'!$F:$F, MATCH($D384, 'Local Data Previous Year'!$D:$D, 0)), "")</f>
        <v/>
      </c>
      <c r="AH384" s="209" t="str">
        <f>IFERROR(INDEX('Local Data Previous Year'!$G:$G, MATCH($D384, 'Local Data Previous Year'!$D:$D, 0)), "")</f>
        <v/>
      </c>
      <c r="AI384" s="209" t="str">
        <f>IFERROR(INDEX('Local Data Previous Year'!$H:$H, MATCH($D384, 'Local Data Previous Year'!$D:$D, 0)), "")</f>
        <v/>
      </c>
      <c r="AJ384" s="209" t="str">
        <f t="shared" si="66"/>
        <v/>
      </c>
      <c r="AK384" s="209" t="str">
        <f t="shared" si="67"/>
        <v/>
      </c>
      <c r="AL384" s="209" t="str">
        <f t="shared" si="68"/>
        <v/>
      </c>
      <c r="AM384" s="208" t="str">
        <f>IF($AN384="","",IFERROR(VLOOKUP(CONCATENATE(CTR1_Billing!$E$20,$AN384),'Local Data Previous Year'!$C$3:$D$50000,2,0),CTR1_Billing!$E$21&amp;"NEW"))</f>
        <v/>
      </c>
      <c r="AN384" s="209" t="str" cm="1">
        <f t="array" ref="AN384">IF(ISERROR(INDEX('Local Data Previous Year'!$E$3:$E$50000, SMALL(IF(CTR1_Billing!$E$21='Local Data Previous Year'!$A$3:$A$50000, ROW('Local Data Previous Year'!$A$3:$A$50000)-ROW('Local Data Previous Year'!$A$3)+1), ROW(352:352)))), "", INDEX('Local Data Previous Year'!$E$3:$E$50000, SMALL(IF(CTR1_Billing!$E$21='Local Data Previous Year'!$A$3:$A$50000, ROW('Local Data Previous Year'!$A$3:$A$50000)-ROW('Local Data Previous Year'!$A$3)+1), ROW(352:352))))</f>
        <v/>
      </c>
      <c r="AO384" s="209" t="str">
        <f t="shared" si="69"/>
        <v/>
      </c>
      <c r="AP384" s="208"/>
      <c r="AQ384" s="209" t="str">
        <f t="shared" si="70"/>
        <v/>
      </c>
      <c r="AR384" s="209" t="str">
        <f t="shared" si="71"/>
        <v/>
      </c>
      <c r="AS384" s="202" t="str">
        <f t="shared" si="72"/>
        <v/>
      </c>
      <c r="AT384" s="202" t="str">
        <f t="shared" si="73"/>
        <v/>
      </c>
      <c r="AU384" s="208"/>
      <c r="AV384" s="208"/>
      <c r="AW384" s="208"/>
      <c r="AX384" s="208"/>
      <c r="AY384" s="208"/>
      <c r="AZ384" s="208"/>
      <c r="BA384" s="208"/>
      <c r="BB384" s="208"/>
      <c r="BC384" s="208"/>
      <c r="BD384" s="208"/>
      <c r="BE384" s="208"/>
      <c r="BF384" s="208"/>
      <c r="BG384" s="28"/>
      <c r="BH384" s="28"/>
      <c r="BI384" s="28"/>
      <c r="BJ384" s="28"/>
    </row>
    <row r="385" spans="1:62" s="23" customFormat="1" ht="21" customHeight="1" thickBot="1" x14ac:dyDescent="0.25">
      <c r="A385" s="846" t="str">
        <f>IF($AN385="","",IFERROR(VLOOKUP(CONCATENATE(CTR1_Billing!$E$20,$AN385),'Local Data Previous Year'!$C$3:$D$20000,2,0),CTR1_Billing!$E$21&amp;"NEW"))</f>
        <v/>
      </c>
      <c r="B385" s="846" t="str">
        <f>IF($E385="","",IFERROR(VLOOKUP(CONCATENATE(CTR1_Billing!$E$20,CTR1_Local!$E385),'Local Data Previous Year'!$C$3:$D$20000,2,0),CTR1_Billing!$E$21&amp;"NEW"))</f>
        <v/>
      </c>
      <c r="C385" s="846">
        <v>353</v>
      </c>
      <c r="D385" s="755" t="str" cm="1">
        <f t="array" ref="D385">IF(ISERROR(INDEX('Local Data Previous Year'!$D$3:$D$20000,SMALL(IF(CTR1_Billing!$E$21='Local Data Previous Year'!$A$3:$A$20000,ROW('Local Data Previous Year'!$A$3:$A$20000)-ROW('Local Data Previous Year'!$A$3)+1),ROW(353:353)))),"",INDEX('Local Data Previous Year'!$D$3:$D$20000,SMALL(IF(CTR1_Billing!$E$21='Local Data Previous Year'!$A$3:$A$20000,ROW('Local Data Previous Year'!$A$3:$A$20000)-ROW('Local Data Previous Year'!$A$3)+1),ROW(353:353))))</f>
        <v/>
      </c>
      <c r="E385" s="755" t="str" cm="1">
        <f t="array" ref="E385">IF(ISERROR(INDEX('Local Data Previous Year'!$E$3:$E$20000,SMALL(IF(CTR1_Billing!$E$21='Local Data Previous Year'!$A$3:$A$20000,ROW('Local Data Previous Year'!$A$3:$A$20000)-ROW('Local Data Previous Year'!$A$3)+1),ROW(353:353)))),"",INDEX('Local Data Previous Year'!$E$3:$E$20000,SMALL(IF(CTR1_Billing!$E$21='Local Data Previous Year'!$A$3:$A$20000,ROW('Local Data Previous Year'!$A$3:$A$20000)-ROW('Local Data Previous Year'!$A$3)+1),ROW(353:353))))</f>
        <v/>
      </c>
      <c r="F385" s="756" t="str">
        <f>IF($D385="","",IF(ISNA(MATCH($D385,'Local Data Previous Year'!$D$3:$D$20000,0)),"New",IFERROR(VLOOKUP($B385,'Local Data Previous Year'!$D$3:$I$20000,6,0),"")))</f>
        <v/>
      </c>
      <c r="G385" s="757">
        <f t="shared" si="74"/>
        <v>0</v>
      </c>
      <c r="H385" s="758" t="str">
        <f>IFERROR(INDEX('Local Data Previous Year'!$F:$F, MATCH($D385, 'Local Data Previous Year'!$D:$D, 0)), "")</f>
        <v/>
      </c>
      <c r="I385" s="759">
        <f>IF(B385=CTR1_Billing!$E$21&amp;"NEW",1,0)</f>
        <v>0</v>
      </c>
      <c r="J385" s="760" t="str">
        <f>IFERROR(INDEX('Local Data Previous Year'!$G:$G, MATCH($D385, 'Local Data Previous Year'!$D:$D, 0)), "")</f>
        <v/>
      </c>
      <c r="K385" s="762"/>
      <c r="L385" s="760" t="str">
        <f>IFERROR(INDEX('Local Data Previous Year'!$H:$H, MATCH($D385, 'Local Data Previous Year'!$D:$D, 0)), "")</f>
        <v/>
      </c>
      <c r="M385" s="762"/>
      <c r="N385" s="763"/>
      <c r="O385" s="767"/>
      <c r="P385" s="765"/>
      <c r="Q385" s="767"/>
      <c r="R385" s="766" t="str">
        <f t="shared" si="75"/>
        <v/>
      </c>
      <c r="S385" s="754"/>
      <c r="T385" s="763"/>
      <c r="U385" s="754"/>
      <c r="V385" s="763"/>
      <c r="W385" s="763"/>
      <c r="X385" s="865" t="str">
        <f>VLOOKUP(CTR1_Billing!$E$21,Data!$C$6:$D$302,1,FALSE)</f>
        <v>EZZZZ</v>
      </c>
      <c r="Y385" s="205"/>
      <c r="Z385" s="205">
        <f t="shared" si="64"/>
        <v>0</v>
      </c>
      <c r="AA385" s="206" t="str">
        <f t="shared" si="40"/>
        <v/>
      </c>
      <c r="AB385" s="205">
        <f t="shared" si="65"/>
        <v>0</v>
      </c>
      <c r="AC385" s="208"/>
      <c r="AD385" s="208"/>
      <c r="AE385" s="208"/>
      <c r="AF385" s="208"/>
      <c r="AG385" s="209" t="str">
        <f>IFERROR(INDEX('Local Data Previous Year'!$F:$F, MATCH($D385, 'Local Data Previous Year'!$D:$D, 0)), "")</f>
        <v/>
      </c>
      <c r="AH385" s="209" t="str">
        <f>IFERROR(INDEX('Local Data Previous Year'!$G:$G, MATCH($D385, 'Local Data Previous Year'!$D:$D, 0)), "")</f>
        <v/>
      </c>
      <c r="AI385" s="209" t="str">
        <f>IFERROR(INDEX('Local Data Previous Year'!$H:$H, MATCH($D385, 'Local Data Previous Year'!$D:$D, 0)), "")</f>
        <v/>
      </c>
      <c r="AJ385" s="209" t="str">
        <f t="shared" si="66"/>
        <v/>
      </c>
      <c r="AK385" s="209" t="str">
        <f t="shared" si="67"/>
        <v/>
      </c>
      <c r="AL385" s="209" t="str">
        <f t="shared" si="68"/>
        <v/>
      </c>
      <c r="AM385" s="208" t="str">
        <f>IF($AN385="","",IFERROR(VLOOKUP(CONCATENATE(CTR1_Billing!$E$20,$AN385),'Local Data Previous Year'!$C$3:$D$50000,2,0),CTR1_Billing!$E$21&amp;"NEW"))</f>
        <v/>
      </c>
      <c r="AN385" s="209" t="str" cm="1">
        <f t="array" ref="AN385">IF(ISERROR(INDEX('Local Data Previous Year'!$E$3:$E$50000, SMALL(IF(CTR1_Billing!$E$21='Local Data Previous Year'!$A$3:$A$50000, ROW('Local Data Previous Year'!$A$3:$A$50000)-ROW('Local Data Previous Year'!$A$3)+1), ROW(353:353)))), "", INDEX('Local Data Previous Year'!$E$3:$E$50000, SMALL(IF(CTR1_Billing!$E$21='Local Data Previous Year'!$A$3:$A$50000, ROW('Local Data Previous Year'!$A$3:$A$50000)-ROW('Local Data Previous Year'!$A$3)+1), ROW(353:353))))</f>
        <v/>
      </c>
      <c r="AO385" s="209" t="str">
        <f t="shared" si="69"/>
        <v/>
      </c>
      <c r="AP385" s="208"/>
      <c r="AQ385" s="209" t="str">
        <f t="shared" si="70"/>
        <v/>
      </c>
      <c r="AR385" s="209" t="str">
        <f t="shared" si="71"/>
        <v/>
      </c>
      <c r="AS385" s="202" t="str">
        <f t="shared" si="72"/>
        <v/>
      </c>
      <c r="AT385" s="202" t="str">
        <f t="shared" si="73"/>
        <v/>
      </c>
      <c r="AU385" s="208"/>
      <c r="AV385" s="208"/>
      <c r="AW385" s="208"/>
      <c r="AX385" s="208"/>
      <c r="AY385" s="208"/>
      <c r="AZ385" s="208"/>
      <c r="BA385" s="208"/>
      <c r="BB385" s="208"/>
      <c r="BC385" s="208"/>
      <c r="BD385" s="208"/>
      <c r="BE385" s="208"/>
      <c r="BF385" s="208"/>
      <c r="BG385" s="28"/>
      <c r="BH385" s="28"/>
      <c r="BI385" s="28"/>
      <c r="BJ385" s="28"/>
    </row>
    <row r="386" spans="1:62" s="23" customFormat="1" ht="21" customHeight="1" thickBot="1" x14ac:dyDescent="0.25">
      <c r="A386" s="846" t="str">
        <f>IF($AN386="","",IFERROR(VLOOKUP(CONCATENATE(CTR1_Billing!$E$20,$AN386),'Local Data Previous Year'!$C$3:$D$20000,2,0),CTR1_Billing!$E$21&amp;"NEW"))</f>
        <v/>
      </c>
      <c r="B386" s="846" t="str">
        <f>IF($E386="","",IFERROR(VLOOKUP(CONCATENATE(CTR1_Billing!$E$20,CTR1_Local!$E386),'Local Data Previous Year'!$C$3:$D$20000,2,0),CTR1_Billing!$E$21&amp;"NEW"))</f>
        <v/>
      </c>
      <c r="C386" s="846">
        <v>354</v>
      </c>
      <c r="D386" s="755" t="str" cm="1">
        <f t="array" ref="D386">IF(ISERROR(INDEX('Local Data Previous Year'!$D$3:$D$20000,SMALL(IF(CTR1_Billing!$E$21='Local Data Previous Year'!$A$3:$A$20000,ROW('Local Data Previous Year'!$A$3:$A$20000)-ROW('Local Data Previous Year'!$A$3)+1),ROW(354:354)))),"",INDEX('Local Data Previous Year'!$D$3:$D$20000,SMALL(IF(CTR1_Billing!$E$21='Local Data Previous Year'!$A$3:$A$20000,ROW('Local Data Previous Year'!$A$3:$A$20000)-ROW('Local Data Previous Year'!$A$3)+1),ROW(354:354))))</f>
        <v/>
      </c>
      <c r="E386" s="755" t="str" cm="1">
        <f t="array" ref="E386">IF(ISERROR(INDEX('Local Data Previous Year'!$E$3:$E$20000,SMALL(IF(CTR1_Billing!$E$21='Local Data Previous Year'!$A$3:$A$20000,ROW('Local Data Previous Year'!$A$3:$A$20000)-ROW('Local Data Previous Year'!$A$3)+1),ROW(354:354)))),"",INDEX('Local Data Previous Year'!$E$3:$E$20000,SMALL(IF(CTR1_Billing!$E$21='Local Data Previous Year'!$A$3:$A$20000,ROW('Local Data Previous Year'!$A$3:$A$20000)-ROW('Local Data Previous Year'!$A$3)+1),ROW(354:354))))</f>
        <v/>
      </c>
      <c r="F386" s="756" t="str">
        <f>IF($D386="","",IF(ISNA(MATCH($D386,'Local Data Previous Year'!$D$3:$D$20000,0)),"New",IFERROR(VLOOKUP($B386,'Local Data Previous Year'!$D$3:$I$20000,6,0),"")))</f>
        <v/>
      </c>
      <c r="G386" s="757">
        <f t="shared" si="74"/>
        <v>0</v>
      </c>
      <c r="H386" s="758" t="str">
        <f>IFERROR(INDEX('Local Data Previous Year'!$F:$F, MATCH($D386, 'Local Data Previous Year'!$D:$D, 0)), "")</f>
        <v/>
      </c>
      <c r="I386" s="759">
        <f>IF(B386=CTR1_Billing!$E$21&amp;"NEW",1,0)</f>
        <v>0</v>
      </c>
      <c r="J386" s="760" t="str">
        <f>IFERROR(INDEX('Local Data Previous Year'!$G:$G, MATCH($D386, 'Local Data Previous Year'!$D:$D, 0)), "")</f>
        <v/>
      </c>
      <c r="K386" s="762"/>
      <c r="L386" s="760" t="str">
        <f>IFERROR(INDEX('Local Data Previous Year'!$H:$H, MATCH($D386, 'Local Data Previous Year'!$D:$D, 0)), "")</f>
        <v/>
      </c>
      <c r="M386" s="762"/>
      <c r="N386" s="763"/>
      <c r="O386" s="767"/>
      <c r="P386" s="765"/>
      <c r="Q386" s="767"/>
      <c r="R386" s="766" t="str">
        <f t="shared" si="75"/>
        <v/>
      </c>
      <c r="S386" s="754"/>
      <c r="T386" s="763"/>
      <c r="U386" s="754"/>
      <c r="V386" s="763"/>
      <c r="W386" s="763"/>
      <c r="X386" s="865" t="str">
        <f>VLOOKUP(CTR1_Billing!$E$21,Data!$C$6:$D$302,1,FALSE)</f>
        <v>EZZZZ</v>
      </c>
      <c r="Y386" s="205"/>
      <c r="Z386" s="205">
        <f t="shared" si="64"/>
        <v>0</v>
      </c>
      <c r="AA386" s="206" t="str">
        <f t="shared" si="40"/>
        <v/>
      </c>
      <c r="AB386" s="205">
        <f t="shared" si="65"/>
        <v>0</v>
      </c>
      <c r="AC386" s="208"/>
      <c r="AD386" s="208"/>
      <c r="AE386" s="208"/>
      <c r="AF386" s="208"/>
      <c r="AG386" s="209" t="str">
        <f>IFERROR(INDEX('Local Data Previous Year'!$F:$F, MATCH($D386, 'Local Data Previous Year'!$D:$D, 0)), "")</f>
        <v/>
      </c>
      <c r="AH386" s="209" t="str">
        <f>IFERROR(INDEX('Local Data Previous Year'!$G:$G, MATCH($D386, 'Local Data Previous Year'!$D:$D, 0)), "")</f>
        <v/>
      </c>
      <c r="AI386" s="209" t="str">
        <f>IFERROR(INDEX('Local Data Previous Year'!$H:$H, MATCH($D386, 'Local Data Previous Year'!$D:$D, 0)), "")</f>
        <v/>
      </c>
      <c r="AJ386" s="209" t="str">
        <f t="shared" si="66"/>
        <v/>
      </c>
      <c r="AK386" s="209" t="str">
        <f t="shared" si="67"/>
        <v/>
      </c>
      <c r="AL386" s="209" t="str">
        <f t="shared" si="68"/>
        <v/>
      </c>
      <c r="AM386" s="208" t="str">
        <f>IF($AN386="","",IFERROR(VLOOKUP(CONCATENATE(CTR1_Billing!$E$20,$AN386),'Local Data Previous Year'!$C$3:$D$50000,2,0),CTR1_Billing!$E$21&amp;"NEW"))</f>
        <v/>
      </c>
      <c r="AN386" s="209" t="str" cm="1">
        <f t="array" ref="AN386">IF(ISERROR(INDEX('Local Data Previous Year'!$E$3:$E$50000, SMALL(IF(CTR1_Billing!$E$21='Local Data Previous Year'!$A$3:$A$50000, ROW('Local Data Previous Year'!$A$3:$A$50000)-ROW('Local Data Previous Year'!$A$3)+1), ROW(354:354)))), "", INDEX('Local Data Previous Year'!$E$3:$E$50000, SMALL(IF(CTR1_Billing!$E$21='Local Data Previous Year'!$A$3:$A$50000, ROW('Local Data Previous Year'!$A$3:$A$50000)-ROW('Local Data Previous Year'!$A$3)+1), ROW(354:354))))</f>
        <v/>
      </c>
      <c r="AO386" s="209" t="str">
        <f t="shared" si="69"/>
        <v/>
      </c>
      <c r="AP386" s="208"/>
      <c r="AQ386" s="209" t="str">
        <f t="shared" si="70"/>
        <v/>
      </c>
      <c r="AR386" s="209" t="str">
        <f t="shared" si="71"/>
        <v/>
      </c>
      <c r="AS386" s="202" t="str">
        <f t="shared" si="72"/>
        <v/>
      </c>
      <c r="AT386" s="202" t="str">
        <f t="shared" si="73"/>
        <v/>
      </c>
      <c r="AU386" s="208"/>
      <c r="AV386" s="208"/>
      <c r="AW386" s="208"/>
      <c r="AX386" s="208"/>
      <c r="AY386" s="208"/>
      <c r="AZ386" s="208"/>
      <c r="BA386" s="208"/>
      <c r="BB386" s="208"/>
      <c r="BC386" s="208"/>
      <c r="BD386" s="208"/>
      <c r="BE386" s="208"/>
      <c r="BF386" s="208"/>
      <c r="BG386" s="28"/>
      <c r="BH386" s="28"/>
      <c r="BI386" s="28"/>
      <c r="BJ386" s="28"/>
    </row>
    <row r="387" spans="1:62" s="23" customFormat="1" ht="21" customHeight="1" thickBot="1" x14ac:dyDescent="0.25">
      <c r="A387" s="846" t="str">
        <f>IF($AN387="","",IFERROR(VLOOKUP(CONCATENATE(CTR1_Billing!$E$20,$AN387),'Local Data Previous Year'!$C$3:$D$20000,2,0),CTR1_Billing!$E$21&amp;"NEW"))</f>
        <v/>
      </c>
      <c r="B387" s="846" t="str">
        <f>IF($E387="","",IFERROR(VLOOKUP(CONCATENATE(CTR1_Billing!$E$20,CTR1_Local!$E387),'Local Data Previous Year'!$C$3:$D$20000,2,0),CTR1_Billing!$E$21&amp;"NEW"))</f>
        <v/>
      </c>
      <c r="C387" s="846">
        <v>355</v>
      </c>
      <c r="D387" s="755" t="str" cm="1">
        <f t="array" ref="D387">IF(ISERROR(INDEX('Local Data Previous Year'!$D$3:$D$20000,SMALL(IF(CTR1_Billing!$E$21='Local Data Previous Year'!$A$3:$A$20000,ROW('Local Data Previous Year'!$A$3:$A$20000)-ROW('Local Data Previous Year'!$A$3)+1),ROW(355:355)))),"",INDEX('Local Data Previous Year'!$D$3:$D$20000,SMALL(IF(CTR1_Billing!$E$21='Local Data Previous Year'!$A$3:$A$20000,ROW('Local Data Previous Year'!$A$3:$A$20000)-ROW('Local Data Previous Year'!$A$3)+1),ROW(355:355))))</f>
        <v/>
      </c>
      <c r="E387" s="755" t="str" cm="1">
        <f t="array" ref="E387">IF(ISERROR(INDEX('Local Data Previous Year'!$E$3:$E$20000,SMALL(IF(CTR1_Billing!$E$21='Local Data Previous Year'!$A$3:$A$20000,ROW('Local Data Previous Year'!$A$3:$A$20000)-ROW('Local Data Previous Year'!$A$3)+1),ROW(355:355)))),"",INDEX('Local Data Previous Year'!$E$3:$E$20000,SMALL(IF(CTR1_Billing!$E$21='Local Data Previous Year'!$A$3:$A$20000,ROW('Local Data Previous Year'!$A$3:$A$20000)-ROW('Local Data Previous Year'!$A$3)+1),ROW(355:355))))</f>
        <v/>
      </c>
      <c r="F387" s="756" t="str">
        <f>IF($D387="","",IF(ISNA(MATCH($D387,'Local Data Previous Year'!$D$3:$D$20000,0)),"New",IFERROR(VLOOKUP($B387,'Local Data Previous Year'!$D$3:$I$20000,6,0),"")))</f>
        <v/>
      </c>
      <c r="G387" s="757">
        <f t="shared" si="74"/>
        <v>0</v>
      </c>
      <c r="H387" s="758" t="str">
        <f>IFERROR(INDEX('Local Data Previous Year'!$F:$F, MATCH($D387, 'Local Data Previous Year'!$D:$D, 0)), "")</f>
        <v/>
      </c>
      <c r="I387" s="759">
        <f>IF(B387=CTR1_Billing!$E$21&amp;"NEW",1,0)</f>
        <v>0</v>
      </c>
      <c r="J387" s="760" t="str">
        <f>IFERROR(INDEX('Local Data Previous Year'!$G:$G, MATCH($D387, 'Local Data Previous Year'!$D:$D, 0)), "")</f>
        <v/>
      </c>
      <c r="K387" s="762"/>
      <c r="L387" s="760" t="str">
        <f>IFERROR(INDEX('Local Data Previous Year'!$H:$H, MATCH($D387, 'Local Data Previous Year'!$D:$D, 0)), "")</f>
        <v/>
      </c>
      <c r="M387" s="762"/>
      <c r="N387" s="763"/>
      <c r="O387" s="767"/>
      <c r="P387" s="765"/>
      <c r="Q387" s="767"/>
      <c r="R387" s="766" t="str">
        <f t="shared" si="75"/>
        <v/>
      </c>
      <c r="S387" s="754"/>
      <c r="T387" s="763"/>
      <c r="U387" s="754"/>
      <c r="V387" s="763"/>
      <c r="W387" s="763"/>
      <c r="X387" s="865" t="str">
        <f>VLOOKUP(CTR1_Billing!$E$21,Data!$C$6:$D$302,1,FALSE)</f>
        <v>EZZZZ</v>
      </c>
      <c r="Y387" s="205"/>
      <c r="Z387" s="205">
        <f t="shared" si="64"/>
        <v>0</v>
      </c>
      <c r="AA387" s="206" t="str">
        <f t="shared" si="40"/>
        <v/>
      </c>
      <c r="AB387" s="205">
        <f t="shared" si="65"/>
        <v>0</v>
      </c>
      <c r="AC387" s="208"/>
      <c r="AD387" s="208"/>
      <c r="AE387" s="208"/>
      <c r="AF387" s="208"/>
      <c r="AG387" s="209" t="str">
        <f>IFERROR(INDEX('Local Data Previous Year'!$F:$F, MATCH($D387, 'Local Data Previous Year'!$D:$D, 0)), "")</f>
        <v/>
      </c>
      <c r="AH387" s="209" t="str">
        <f>IFERROR(INDEX('Local Data Previous Year'!$G:$G, MATCH($D387, 'Local Data Previous Year'!$D:$D, 0)), "")</f>
        <v/>
      </c>
      <c r="AI387" s="209" t="str">
        <f>IFERROR(INDEX('Local Data Previous Year'!$H:$H, MATCH($D387, 'Local Data Previous Year'!$D:$D, 0)), "")</f>
        <v/>
      </c>
      <c r="AJ387" s="209" t="str">
        <f t="shared" si="66"/>
        <v/>
      </c>
      <c r="AK387" s="209" t="str">
        <f t="shared" si="67"/>
        <v/>
      </c>
      <c r="AL387" s="209" t="str">
        <f t="shared" si="68"/>
        <v/>
      </c>
      <c r="AM387" s="208" t="str">
        <f>IF($AN387="","",IFERROR(VLOOKUP(CONCATENATE(CTR1_Billing!$E$20,$AN387),'Local Data Previous Year'!$C$3:$D$50000,2,0),CTR1_Billing!$E$21&amp;"NEW"))</f>
        <v/>
      </c>
      <c r="AN387" s="209" t="str" cm="1">
        <f t="array" ref="AN387">IF(ISERROR(INDEX('Local Data Previous Year'!$E$3:$E$50000, SMALL(IF(CTR1_Billing!$E$21='Local Data Previous Year'!$A$3:$A$50000, ROW('Local Data Previous Year'!$A$3:$A$50000)-ROW('Local Data Previous Year'!$A$3)+1), ROW(355:355)))), "", INDEX('Local Data Previous Year'!$E$3:$E$50000, SMALL(IF(CTR1_Billing!$E$21='Local Data Previous Year'!$A$3:$A$50000, ROW('Local Data Previous Year'!$A$3:$A$50000)-ROW('Local Data Previous Year'!$A$3)+1), ROW(355:355))))</f>
        <v/>
      </c>
      <c r="AO387" s="209" t="str">
        <f t="shared" si="69"/>
        <v/>
      </c>
      <c r="AP387" s="208"/>
      <c r="AQ387" s="209" t="str">
        <f t="shared" si="70"/>
        <v/>
      </c>
      <c r="AR387" s="209" t="str">
        <f t="shared" si="71"/>
        <v/>
      </c>
      <c r="AS387" s="202" t="str">
        <f t="shared" si="72"/>
        <v/>
      </c>
      <c r="AT387" s="202" t="str">
        <f t="shared" si="73"/>
        <v/>
      </c>
      <c r="AU387" s="208"/>
      <c r="AV387" s="208"/>
      <c r="AW387" s="208"/>
      <c r="AX387" s="208"/>
      <c r="AY387" s="208"/>
      <c r="AZ387" s="208"/>
      <c r="BA387" s="208"/>
      <c r="BB387" s="208"/>
      <c r="BC387" s="208"/>
      <c r="BD387" s="208"/>
      <c r="BE387" s="208"/>
      <c r="BF387" s="208"/>
      <c r="BG387" s="28"/>
      <c r="BH387" s="28"/>
      <c r="BI387" s="28"/>
      <c r="BJ387" s="28"/>
    </row>
    <row r="388" spans="1:62" s="23" customFormat="1" ht="21" customHeight="1" thickBot="1" x14ac:dyDescent="0.25">
      <c r="A388" s="846" t="str">
        <f>IF($AN388="","",IFERROR(VLOOKUP(CONCATENATE(CTR1_Billing!$E$20,$AN388),'Local Data Previous Year'!$C$3:$D$20000,2,0),CTR1_Billing!$E$21&amp;"NEW"))</f>
        <v/>
      </c>
      <c r="B388" s="846" t="str">
        <f>IF($E388="","",IFERROR(VLOOKUP(CONCATENATE(CTR1_Billing!$E$20,CTR1_Local!$E388),'Local Data Previous Year'!$C$3:$D$20000,2,0),CTR1_Billing!$E$21&amp;"NEW"))</f>
        <v/>
      </c>
      <c r="C388" s="846">
        <v>356</v>
      </c>
      <c r="D388" s="755" t="str" cm="1">
        <f t="array" ref="D388">IF(ISERROR(INDEX('Local Data Previous Year'!$D$3:$D$20000,SMALL(IF(CTR1_Billing!$E$21='Local Data Previous Year'!$A$3:$A$20000,ROW('Local Data Previous Year'!$A$3:$A$20000)-ROW('Local Data Previous Year'!$A$3)+1),ROW(356:356)))),"",INDEX('Local Data Previous Year'!$D$3:$D$20000,SMALL(IF(CTR1_Billing!$E$21='Local Data Previous Year'!$A$3:$A$20000,ROW('Local Data Previous Year'!$A$3:$A$20000)-ROW('Local Data Previous Year'!$A$3)+1),ROW(356:356))))</f>
        <v/>
      </c>
      <c r="E388" s="755" t="str" cm="1">
        <f t="array" ref="E388">IF(ISERROR(INDEX('Local Data Previous Year'!$E$3:$E$20000,SMALL(IF(CTR1_Billing!$E$21='Local Data Previous Year'!$A$3:$A$20000,ROW('Local Data Previous Year'!$A$3:$A$20000)-ROW('Local Data Previous Year'!$A$3)+1),ROW(356:356)))),"",INDEX('Local Data Previous Year'!$E$3:$E$20000,SMALL(IF(CTR1_Billing!$E$21='Local Data Previous Year'!$A$3:$A$20000,ROW('Local Data Previous Year'!$A$3:$A$20000)-ROW('Local Data Previous Year'!$A$3)+1),ROW(356:356))))</f>
        <v/>
      </c>
      <c r="F388" s="756" t="str">
        <f>IF($D388="","",IF(ISNA(MATCH($D388,'Local Data Previous Year'!$D$3:$D$20000,0)),"New",IFERROR(VLOOKUP($B388,'Local Data Previous Year'!$D$3:$I$20000,6,0),"")))</f>
        <v/>
      </c>
      <c r="G388" s="757">
        <f t="shared" si="74"/>
        <v>0</v>
      </c>
      <c r="H388" s="758" t="str">
        <f>IFERROR(INDEX('Local Data Previous Year'!$F:$F, MATCH($D388, 'Local Data Previous Year'!$D:$D, 0)), "")</f>
        <v/>
      </c>
      <c r="I388" s="759">
        <f>IF(B388=CTR1_Billing!$E$21&amp;"NEW",1,0)</f>
        <v>0</v>
      </c>
      <c r="J388" s="760" t="str">
        <f>IFERROR(INDEX('Local Data Previous Year'!$G:$G, MATCH($D388, 'Local Data Previous Year'!$D:$D, 0)), "")</f>
        <v/>
      </c>
      <c r="K388" s="762"/>
      <c r="L388" s="760" t="str">
        <f>IFERROR(INDEX('Local Data Previous Year'!$H:$H, MATCH($D388, 'Local Data Previous Year'!$D:$D, 0)), "")</f>
        <v/>
      </c>
      <c r="M388" s="762"/>
      <c r="N388" s="763"/>
      <c r="O388" s="767"/>
      <c r="P388" s="765"/>
      <c r="Q388" s="767"/>
      <c r="R388" s="766" t="str">
        <f t="shared" si="75"/>
        <v/>
      </c>
      <c r="S388" s="754"/>
      <c r="T388" s="763"/>
      <c r="U388" s="754"/>
      <c r="V388" s="763"/>
      <c r="W388" s="763"/>
      <c r="X388" s="865" t="str">
        <f>VLOOKUP(CTR1_Billing!$E$21,Data!$C$6:$D$302,1,FALSE)</f>
        <v>EZZZZ</v>
      </c>
      <c r="Y388" s="205"/>
      <c r="Z388" s="205">
        <f t="shared" si="64"/>
        <v>0</v>
      </c>
      <c r="AA388" s="206" t="str">
        <f t="shared" si="40"/>
        <v/>
      </c>
      <c r="AB388" s="205">
        <f t="shared" si="65"/>
        <v>0</v>
      </c>
      <c r="AC388" s="208"/>
      <c r="AD388" s="208"/>
      <c r="AE388" s="208"/>
      <c r="AF388" s="208"/>
      <c r="AG388" s="209" t="str">
        <f>IFERROR(INDEX('Local Data Previous Year'!$F:$F, MATCH($D388, 'Local Data Previous Year'!$D:$D, 0)), "")</f>
        <v/>
      </c>
      <c r="AH388" s="209" t="str">
        <f>IFERROR(INDEX('Local Data Previous Year'!$G:$G, MATCH($D388, 'Local Data Previous Year'!$D:$D, 0)), "")</f>
        <v/>
      </c>
      <c r="AI388" s="209" t="str">
        <f>IFERROR(INDEX('Local Data Previous Year'!$H:$H, MATCH($D388, 'Local Data Previous Year'!$D:$D, 0)), "")</f>
        <v/>
      </c>
      <c r="AJ388" s="209" t="str">
        <f t="shared" si="66"/>
        <v/>
      </c>
      <c r="AK388" s="209" t="str">
        <f t="shared" si="67"/>
        <v/>
      </c>
      <c r="AL388" s="209" t="str">
        <f t="shared" si="68"/>
        <v/>
      </c>
      <c r="AM388" s="208" t="str">
        <f>IF($AN388="","",IFERROR(VLOOKUP(CONCATENATE(CTR1_Billing!$E$20,$AN388),'Local Data Previous Year'!$C$3:$D$50000,2,0),CTR1_Billing!$E$21&amp;"NEW"))</f>
        <v/>
      </c>
      <c r="AN388" s="209" t="str" cm="1">
        <f t="array" ref="AN388">IF(ISERROR(INDEX('Local Data Previous Year'!$E$3:$E$50000, SMALL(IF(CTR1_Billing!$E$21='Local Data Previous Year'!$A$3:$A$50000, ROW('Local Data Previous Year'!$A$3:$A$50000)-ROW('Local Data Previous Year'!$A$3)+1), ROW(356:356)))), "", INDEX('Local Data Previous Year'!$E$3:$E$50000, SMALL(IF(CTR1_Billing!$E$21='Local Data Previous Year'!$A$3:$A$50000, ROW('Local Data Previous Year'!$A$3:$A$50000)-ROW('Local Data Previous Year'!$A$3)+1), ROW(356:356))))</f>
        <v/>
      </c>
      <c r="AO388" s="209" t="str">
        <f t="shared" si="69"/>
        <v/>
      </c>
      <c r="AP388" s="208"/>
      <c r="AQ388" s="209" t="str">
        <f t="shared" si="70"/>
        <v/>
      </c>
      <c r="AR388" s="209" t="str">
        <f t="shared" si="71"/>
        <v/>
      </c>
      <c r="AS388" s="202" t="str">
        <f t="shared" si="72"/>
        <v/>
      </c>
      <c r="AT388" s="202" t="str">
        <f t="shared" si="73"/>
        <v/>
      </c>
      <c r="AU388" s="208"/>
      <c r="AV388" s="208"/>
      <c r="AW388" s="208"/>
      <c r="AX388" s="208"/>
      <c r="AY388" s="208"/>
      <c r="AZ388" s="208"/>
      <c r="BA388" s="208"/>
      <c r="BB388" s="208"/>
      <c r="BC388" s="208"/>
      <c r="BD388" s="208"/>
      <c r="BE388" s="208"/>
      <c r="BF388" s="208"/>
      <c r="BG388" s="28"/>
      <c r="BH388" s="28"/>
      <c r="BI388" s="28"/>
      <c r="BJ388" s="28"/>
    </row>
    <row r="389" spans="1:62" s="23" customFormat="1" ht="21" customHeight="1" thickBot="1" x14ac:dyDescent="0.25">
      <c r="A389" s="846" t="str">
        <f>IF($AN389="","",IFERROR(VLOOKUP(CONCATENATE(CTR1_Billing!$E$20,$AN389),'Local Data Previous Year'!$C$3:$D$20000,2,0),CTR1_Billing!$E$21&amp;"NEW"))</f>
        <v/>
      </c>
      <c r="B389" s="846" t="str">
        <f>IF($E389="","",IFERROR(VLOOKUP(CONCATENATE(CTR1_Billing!$E$20,CTR1_Local!$E389),'Local Data Previous Year'!$C$3:$D$20000,2,0),CTR1_Billing!$E$21&amp;"NEW"))</f>
        <v/>
      </c>
      <c r="C389" s="846">
        <v>357</v>
      </c>
      <c r="D389" s="755" t="str" cm="1">
        <f t="array" ref="D389">IF(ISERROR(INDEX('Local Data Previous Year'!$D$3:$D$20000,SMALL(IF(CTR1_Billing!$E$21='Local Data Previous Year'!$A$3:$A$20000,ROW('Local Data Previous Year'!$A$3:$A$20000)-ROW('Local Data Previous Year'!$A$3)+1),ROW(357:357)))),"",INDEX('Local Data Previous Year'!$D$3:$D$20000,SMALL(IF(CTR1_Billing!$E$21='Local Data Previous Year'!$A$3:$A$20000,ROW('Local Data Previous Year'!$A$3:$A$20000)-ROW('Local Data Previous Year'!$A$3)+1),ROW(357:357))))</f>
        <v/>
      </c>
      <c r="E389" s="755" t="str" cm="1">
        <f t="array" ref="E389">IF(ISERROR(INDEX('Local Data Previous Year'!$E$3:$E$20000,SMALL(IF(CTR1_Billing!$E$21='Local Data Previous Year'!$A$3:$A$20000,ROW('Local Data Previous Year'!$A$3:$A$20000)-ROW('Local Data Previous Year'!$A$3)+1),ROW(357:357)))),"",INDEX('Local Data Previous Year'!$E$3:$E$20000,SMALL(IF(CTR1_Billing!$E$21='Local Data Previous Year'!$A$3:$A$20000,ROW('Local Data Previous Year'!$A$3:$A$20000)-ROW('Local Data Previous Year'!$A$3)+1),ROW(357:357))))</f>
        <v/>
      </c>
      <c r="F389" s="756" t="str">
        <f>IF($D389="","",IF(ISNA(MATCH($D389,'Local Data Previous Year'!$D$3:$D$20000,0)),"New",IFERROR(VLOOKUP($B389,'Local Data Previous Year'!$D$3:$I$20000,6,0),"")))</f>
        <v/>
      </c>
      <c r="G389" s="757">
        <f t="shared" si="74"/>
        <v>0</v>
      </c>
      <c r="H389" s="758" t="str">
        <f>IFERROR(INDEX('Local Data Previous Year'!$F:$F, MATCH($D389, 'Local Data Previous Year'!$D:$D, 0)), "")</f>
        <v/>
      </c>
      <c r="I389" s="759">
        <f>IF(B389=CTR1_Billing!$E$21&amp;"NEW",1,0)</f>
        <v>0</v>
      </c>
      <c r="J389" s="760" t="str">
        <f>IFERROR(INDEX('Local Data Previous Year'!$G:$G, MATCH($D389, 'Local Data Previous Year'!$D:$D, 0)), "")</f>
        <v/>
      </c>
      <c r="K389" s="762"/>
      <c r="L389" s="760" t="str">
        <f>IFERROR(INDEX('Local Data Previous Year'!$H:$H, MATCH($D389, 'Local Data Previous Year'!$D:$D, 0)), "")</f>
        <v/>
      </c>
      <c r="M389" s="762"/>
      <c r="N389" s="763"/>
      <c r="O389" s="767"/>
      <c r="P389" s="765"/>
      <c r="Q389" s="767"/>
      <c r="R389" s="766" t="str">
        <f t="shared" si="75"/>
        <v/>
      </c>
      <c r="S389" s="754"/>
      <c r="T389" s="763"/>
      <c r="U389" s="754"/>
      <c r="V389" s="763"/>
      <c r="W389" s="763"/>
      <c r="X389" s="865" t="str">
        <f>VLOOKUP(CTR1_Billing!$E$21,Data!$C$6:$D$302,1,FALSE)</f>
        <v>EZZZZ</v>
      </c>
      <c r="Y389" s="205"/>
      <c r="Z389" s="205">
        <f t="shared" si="64"/>
        <v>0</v>
      </c>
      <c r="AA389" s="206" t="str">
        <f t="shared" si="40"/>
        <v/>
      </c>
      <c r="AB389" s="205">
        <f t="shared" si="65"/>
        <v>0</v>
      </c>
      <c r="AC389" s="208"/>
      <c r="AD389" s="208"/>
      <c r="AE389" s="208"/>
      <c r="AF389" s="208"/>
      <c r="AG389" s="209" t="str">
        <f>IFERROR(INDEX('Local Data Previous Year'!$F:$F, MATCH($D389, 'Local Data Previous Year'!$D:$D, 0)), "")</f>
        <v/>
      </c>
      <c r="AH389" s="209" t="str">
        <f>IFERROR(INDEX('Local Data Previous Year'!$G:$G, MATCH($D389, 'Local Data Previous Year'!$D:$D, 0)), "")</f>
        <v/>
      </c>
      <c r="AI389" s="209" t="str">
        <f>IFERROR(INDEX('Local Data Previous Year'!$H:$H, MATCH($D389, 'Local Data Previous Year'!$D:$D, 0)), "")</f>
        <v/>
      </c>
      <c r="AJ389" s="209" t="str">
        <f t="shared" si="66"/>
        <v/>
      </c>
      <c r="AK389" s="209" t="str">
        <f t="shared" si="67"/>
        <v/>
      </c>
      <c r="AL389" s="209" t="str">
        <f t="shared" si="68"/>
        <v/>
      </c>
      <c r="AM389" s="208" t="str">
        <f>IF($AN389="","",IFERROR(VLOOKUP(CONCATENATE(CTR1_Billing!$E$20,$AN389),'Local Data Previous Year'!$C$3:$D$50000,2,0),CTR1_Billing!$E$21&amp;"NEW"))</f>
        <v/>
      </c>
      <c r="AN389" s="209" t="str" cm="1">
        <f t="array" ref="AN389">IF(ISERROR(INDEX('Local Data Previous Year'!$E$3:$E$50000, SMALL(IF(CTR1_Billing!$E$21='Local Data Previous Year'!$A$3:$A$50000, ROW('Local Data Previous Year'!$A$3:$A$50000)-ROW('Local Data Previous Year'!$A$3)+1), ROW(357:357)))), "", INDEX('Local Data Previous Year'!$E$3:$E$50000, SMALL(IF(CTR1_Billing!$E$21='Local Data Previous Year'!$A$3:$A$50000, ROW('Local Data Previous Year'!$A$3:$A$50000)-ROW('Local Data Previous Year'!$A$3)+1), ROW(357:357))))</f>
        <v/>
      </c>
      <c r="AO389" s="209" t="str">
        <f t="shared" si="69"/>
        <v/>
      </c>
      <c r="AP389" s="208"/>
      <c r="AQ389" s="209" t="str">
        <f t="shared" si="70"/>
        <v/>
      </c>
      <c r="AR389" s="209" t="str">
        <f t="shared" si="71"/>
        <v/>
      </c>
      <c r="AS389" s="202" t="str">
        <f t="shared" si="72"/>
        <v/>
      </c>
      <c r="AT389" s="202" t="str">
        <f t="shared" si="73"/>
        <v/>
      </c>
      <c r="AU389" s="208"/>
      <c r="AV389" s="208"/>
      <c r="AW389" s="208"/>
      <c r="AX389" s="208"/>
      <c r="AY389" s="208"/>
      <c r="AZ389" s="208"/>
      <c r="BA389" s="208"/>
      <c r="BB389" s="208"/>
      <c r="BC389" s="208"/>
      <c r="BD389" s="208"/>
      <c r="BE389" s="208"/>
      <c r="BF389" s="208"/>
      <c r="BG389" s="28"/>
      <c r="BH389" s="28"/>
      <c r="BI389" s="28"/>
      <c r="BJ389" s="28"/>
    </row>
    <row r="390" spans="1:62" s="23" customFormat="1" ht="21" customHeight="1" thickBot="1" x14ac:dyDescent="0.25">
      <c r="A390" s="846" t="str">
        <f>IF($AN390="","",IFERROR(VLOOKUP(CONCATENATE(CTR1_Billing!$E$20,$AN390),'Local Data Previous Year'!$C$3:$D$20000,2,0),CTR1_Billing!$E$21&amp;"NEW"))</f>
        <v/>
      </c>
      <c r="B390" s="846" t="str">
        <f>IF($E390="","",IFERROR(VLOOKUP(CONCATENATE(CTR1_Billing!$E$20,CTR1_Local!$E390),'Local Data Previous Year'!$C$3:$D$20000,2,0),CTR1_Billing!$E$21&amp;"NEW"))</f>
        <v/>
      </c>
      <c r="C390" s="846">
        <v>358</v>
      </c>
      <c r="D390" s="755" t="str" cm="1">
        <f t="array" ref="D390">IF(ISERROR(INDEX('Local Data Previous Year'!$D$3:$D$20000,SMALL(IF(CTR1_Billing!$E$21='Local Data Previous Year'!$A$3:$A$20000,ROW('Local Data Previous Year'!$A$3:$A$20000)-ROW('Local Data Previous Year'!$A$3)+1),ROW(358:358)))),"",INDEX('Local Data Previous Year'!$D$3:$D$20000,SMALL(IF(CTR1_Billing!$E$21='Local Data Previous Year'!$A$3:$A$20000,ROW('Local Data Previous Year'!$A$3:$A$20000)-ROW('Local Data Previous Year'!$A$3)+1),ROW(358:358))))</f>
        <v/>
      </c>
      <c r="E390" s="755" t="str" cm="1">
        <f t="array" ref="E390">IF(ISERROR(INDEX('Local Data Previous Year'!$E$3:$E$20000,SMALL(IF(CTR1_Billing!$E$21='Local Data Previous Year'!$A$3:$A$20000,ROW('Local Data Previous Year'!$A$3:$A$20000)-ROW('Local Data Previous Year'!$A$3)+1),ROW(358:358)))),"",INDEX('Local Data Previous Year'!$E$3:$E$20000,SMALL(IF(CTR1_Billing!$E$21='Local Data Previous Year'!$A$3:$A$20000,ROW('Local Data Previous Year'!$A$3:$A$20000)-ROW('Local Data Previous Year'!$A$3)+1),ROW(358:358))))</f>
        <v/>
      </c>
      <c r="F390" s="756" t="str">
        <f>IF($D390="","",IF(ISNA(MATCH($D390,'Local Data Previous Year'!$D$3:$D$20000,0)),"New",IFERROR(VLOOKUP($B390,'Local Data Previous Year'!$D$3:$I$20000,6,0),"")))</f>
        <v/>
      </c>
      <c r="G390" s="757">
        <f t="shared" si="74"/>
        <v>0</v>
      </c>
      <c r="H390" s="758" t="str">
        <f>IFERROR(INDEX('Local Data Previous Year'!$F:$F, MATCH($D390, 'Local Data Previous Year'!$D:$D, 0)), "")</f>
        <v/>
      </c>
      <c r="I390" s="759">
        <f>IF(B390=CTR1_Billing!$E$21&amp;"NEW",1,0)</f>
        <v>0</v>
      </c>
      <c r="J390" s="760" t="str">
        <f>IFERROR(INDEX('Local Data Previous Year'!$G:$G, MATCH($D390, 'Local Data Previous Year'!$D:$D, 0)), "")</f>
        <v/>
      </c>
      <c r="K390" s="762"/>
      <c r="L390" s="760" t="str">
        <f>IFERROR(INDEX('Local Data Previous Year'!$H:$H, MATCH($D390, 'Local Data Previous Year'!$D:$D, 0)), "")</f>
        <v/>
      </c>
      <c r="M390" s="762"/>
      <c r="N390" s="763"/>
      <c r="O390" s="767"/>
      <c r="P390" s="765"/>
      <c r="Q390" s="767"/>
      <c r="R390" s="766" t="str">
        <f t="shared" si="75"/>
        <v/>
      </c>
      <c r="S390" s="754"/>
      <c r="T390" s="763"/>
      <c r="U390" s="754"/>
      <c r="V390" s="763"/>
      <c r="W390" s="763"/>
      <c r="X390" s="865" t="str">
        <f>VLOOKUP(CTR1_Billing!$E$21,Data!$C$6:$D$302,1,FALSE)</f>
        <v>EZZZZ</v>
      </c>
      <c r="Y390" s="205"/>
      <c r="Z390" s="205">
        <f t="shared" si="64"/>
        <v>0</v>
      </c>
      <c r="AA390" s="206" t="str">
        <f t="shared" si="40"/>
        <v/>
      </c>
      <c r="AB390" s="205">
        <f t="shared" si="65"/>
        <v>0</v>
      </c>
      <c r="AC390" s="208"/>
      <c r="AD390" s="208"/>
      <c r="AE390" s="208"/>
      <c r="AF390" s="208"/>
      <c r="AG390" s="209" t="str">
        <f>IFERROR(INDEX('Local Data Previous Year'!$F:$F, MATCH($D390, 'Local Data Previous Year'!$D:$D, 0)), "")</f>
        <v/>
      </c>
      <c r="AH390" s="209" t="str">
        <f>IFERROR(INDEX('Local Data Previous Year'!$G:$G, MATCH($D390, 'Local Data Previous Year'!$D:$D, 0)), "")</f>
        <v/>
      </c>
      <c r="AI390" s="209" t="str">
        <f>IFERROR(INDEX('Local Data Previous Year'!$H:$H, MATCH($D390, 'Local Data Previous Year'!$D:$D, 0)), "")</f>
        <v/>
      </c>
      <c r="AJ390" s="209" t="str">
        <f t="shared" si="66"/>
        <v/>
      </c>
      <c r="AK390" s="209" t="str">
        <f t="shared" si="67"/>
        <v/>
      </c>
      <c r="AL390" s="209" t="str">
        <f t="shared" si="68"/>
        <v/>
      </c>
      <c r="AM390" s="208" t="str">
        <f>IF($AN390="","",IFERROR(VLOOKUP(CONCATENATE(CTR1_Billing!$E$20,$AN390),'Local Data Previous Year'!$C$3:$D$50000,2,0),CTR1_Billing!$E$21&amp;"NEW"))</f>
        <v/>
      </c>
      <c r="AN390" s="209" t="str" cm="1">
        <f t="array" ref="AN390">IF(ISERROR(INDEX('Local Data Previous Year'!$E$3:$E$50000, SMALL(IF(CTR1_Billing!$E$21='Local Data Previous Year'!$A$3:$A$50000, ROW('Local Data Previous Year'!$A$3:$A$50000)-ROW('Local Data Previous Year'!$A$3)+1), ROW(358:358)))), "", INDEX('Local Data Previous Year'!$E$3:$E$50000, SMALL(IF(CTR1_Billing!$E$21='Local Data Previous Year'!$A$3:$A$50000, ROW('Local Data Previous Year'!$A$3:$A$50000)-ROW('Local Data Previous Year'!$A$3)+1), ROW(358:358))))</f>
        <v/>
      </c>
      <c r="AO390" s="209" t="str">
        <f t="shared" si="69"/>
        <v/>
      </c>
      <c r="AP390" s="208"/>
      <c r="AQ390" s="209" t="str">
        <f t="shared" si="70"/>
        <v/>
      </c>
      <c r="AR390" s="209" t="str">
        <f t="shared" si="71"/>
        <v/>
      </c>
      <c r="AS390" s="202" t="str">
        <f t="shared" si="72"/>
        <v/>
      </c>
      <c r="AT390" s="202" t="str">
        <f t="shared" si="73"/>
        <v/>
      </c>
      <c r="AU390" s="208"/>
      <c r="AV390" s="208"/>
      <c r="AW390" s="208"/>
      <c r="AX390" s="208"/>
      <c r="AY390" s="208"/>
      <c r="AZ390" s="208"/>
      <c r="BA390" s="208"/>
      <c r="BB390" s="208"/>
      <c r="BC390" s="208"/>
      <c r="BD390" s="208"/>
      <c r="BE390" s="208"/>
      <c r="BF390" s="208"/>
      <c r="BG390" s="28"/>
      <c r="BH390" s="28"/>
      <c r="BI390" s="28"/>
      <c r="BJ390" s="28"/>
    </row>
    <row r="391" spans="1:62" s="23" customFormat="1" ht="21" customHeight="1" thickBot="1" x14ac:dyDescent="0.25">
      <c r="A391" s="846" t="str">
        <f>IF($AN391="","",IFERROR(VLOOKUP(CONCATENATE(CTR1_Billing!$E$20,$AN391),'Local Data Previous Year'!$C$3:$D$20000,2,0),CTR1_Billing!$E$21&amp;"NEW"))</f>
        <v/>
      </c>
      <c r="B391" s="846" t="str">
        <f>IF($E391="","",IFERROR(VLOOKUP(CONCATENATE(CTR1_Billing!$E$20,CTR1_Local!$E391),'Local Data Previous Year'!$C$3:$D$20000,2,0),CTR1_Billing!$E$21&amp;"NEW"))</f>
        <v/>
      </c>
      <c r="C391" s="846">
        <v>359</v>
      </c>
      <c r="D391" s="755" t="str" cm="1">
        <f t="array" ref="D391">IF(ISERROR(INDEX('Local Data Previous Year'!$D$3:$D$20000,SMALL(IF(CTR1_Billing!$E$21='Local Data Previous Year'!$A$3:$A$20000,ROW('Local Data Previous Year'!$A$3:$A$20000)-ROW('Local Data Previous Year'!$A$3)+1),ROW(359:359)))),"",INDEX('Local Data Previous Year'!$D$3:$D$20000,SMALL(IF(CTR1_Billing!$E$21='Local Data Previous Year'!$A$3:$A$20000,ROW('Local Data Previous Year'!$A$3:$A$20000)-ROW('Local Data Previous Year'!$A$3)+1),ROW(359:359))))</f>
        <v/>
      </c>
      <c r="E391" s="755" t="str" cm="1">
        <f t="array" ref="E391">IF(ISERROR(INDEX('Local Data Previous Year'!$E$3:$E$20000,SMALL(IF(CTR1_Billing!$E$21='Local Data Previous Year'!$A$3:$A$20000,ROW('Local Data Previous Year'!$A$3:$A$20000)-ROW('Local Data Previous Year'!$A$3)+1),ROW(359:359)))),"",INDEX('Local Data Previous Year'!$E$3:$E$20000,SMALL(IF(CTR1_Billing!$E$21='Local Data Previous Year'!$A$3:$A$20000,ROW('Local Data Previous Year'!$A$3:$A$20000)-ROW('Local Data Previous Year'!$A$3)+1),ROW(359:359))))</f>
        <v/>
      </c>
      <c r="F391" s="756" t="str">
        <f>IF($D391="","",IF(ISNA(MATCH($D391,'Local Data Previous Year'!$D$3:$D$20000,0)),"New",IFERROR(VLOOKUP($B391,'Local Data Previous Year'!$D$3:$I$20000,6,0),"")))</f>
        <v/>
      </c>
      <c r="G391" s="757">
        <f t="shared" si="74"/>
        <v>0</v>
      </c>
      <c r="H391" s="758" t="str">
        <f>IFERROR(INDEX('Local Data Previous Year'!$F:$F, MATCH($D391, 'Local Data Previous Year'!$D:$D, 0)), "")</f>
        <v/>
      </c>
      <c r="I391" s="759">
        <f>IF(B391=CTR1_Billing!$E$21&amp;"NEW",1,0)</f>
        <v>0</v>
      </c>
      <c r="J391" s="760" t="str">
        <f>IFERROR(INDEX('Local Data Previous Year'!$G:$G, MATCH($D391, 'Local Data Previous Year'!$D:$D, 0)), "")</f>
        <v/>
      </c>
      <c r="K391" s="762"/>
      <c r="L391" s="760" t="str">
        <f>IFERROR(INDEX('Local Data Previous Year'!$H:$H, MATCH($D391, 'Local Data Previous Year'!$D:$D, 0)), "")</f>
        <v/>
      </c>
      <c r="M391" s="762"/>
      <c r="N391" s="763"/>
      <c r="O391" s="767"/>
      <c r="P391" s="765"/>
      <c r="Q391" s="767"/>
      <c r="R391" s="766" t="str">
        <f t="shared" si="75"/>
        <v/>
      </c>
      <c r="S391" s="754"/>
      <c r="T391" s="763"/>
      <c r="U391" s="754"/>
      <c r="V391" s="763"/>
      <c r="W391" s="763"/>
      <c r="X391" s="865" t="str">
        <f>VLOOKUP(CTR1_Billing!$E$21,Data!$C$6:$D$302,1,FALSE)</f>
        <v>EZZZZ</v>
      </c>
      <c r="Y391" s="205"/>
      <c r="Z391" s="205">
        <f t="shared" si="64"/>
        <v>0</v>
      </c>
      <c r="AA391" s="206" t="str">
        <f t="shared" si="40"/>
        <v/>
      </c>
      <c r="AB391" s="205">
        <f t="shared" si="65"/>
        <v>0</v>
      </c>
      <c r="AC391" s="208"/>
      <c r="AD391" s="208"/>
      <c r="AE391" s="208"/>
      <c r="AF391" s="208"/>
      <c r="AG391" s="209" t="str">
        <f>IFERROR(INDEX('Local Data Previous Year'!$F:$F, MATCH($D391, 'Local Data Previous Year'!$D:$D, 0)), "")</f>
        <v/>
      </c>
      <c r="AH391" s="209" t="str">
        <f>IFERROR(INDEX('Local Data Previous Year'!$G:$G, MATCH($D391, 'Local Data Previous Year'!$D:$D, 0)), "")</f>
        <v/>
      </c>
      <c r="AI391" s="209" t="str">
        <f>IFERROR(INDEX('Local Data Previous Year'!$H:$H, MATCH($D391, 'Local Data Previous Year'!$D:$D, 0)), "")</f>
        <v/>
      </c>
      <c r="AJ391" s="209" t="str">
        <f t="shared" si="66"/>
        <v/>
      </c>
      <c r="AK391" s="209" t="str">
        <f t="shared" si="67"/>
        <v/>
      </c>
      <c r="AL391" s="209" t="str">
        <f t="shared" si="68"/>
        <v/>
      </c>
      <c r="AM391" s="208" t="str">
        <f>IF($AN391="","",IFERROR(VLOOKUP(CONCATENATE(CTR1_Billing!$E$20,$AN391),'Local Data Previous Year'!$C$3:$D$50000,2,0),CTR1_Billing!$E$21&amp;"NEW"))</f>
        <v/>
      </c>
      <c r="AN391" s="209" t="str" cm="1">
        <f t="array" ref="AN391">IF(ISERROR(INDEX('Local Data Previous Year'!$E$3:$E$50000, SMALL(IF(CTR1_Billing!$E$21='Local Data Previous Year'!$A$3:$A$50000, ROW('Local Data Previous Year'!$A$3:$A$50000)-ROW('Local Data Previous Year'!$A$3)+1), ROW(359:359)))), "", INDEX('Local Data Previous Year'!$E$3:$E$50000, SMALL(IF(CTR1_Billing!$E$21='Local Data Previous Year'!$A$3:$A$50000, ROW('Local Data Previous Year'!$A$3:$A$50000)-ROW('Local Data Previous Year'!$A$3)+1), ROW(359:359))))</f>
        <v/>
      </c>
      <c r="AO391" s="209" t="str">
        <f t="shared" si="69"/>
        <v/>
      </c>
      <c r="AP391" s="208"/>
      <c r="AQ391" s="209" t="str">
        <f t="shared" si="70"/>
        <v/>
      </c>
      <c r="AR391" s="209" t="str">
        <f t="shared" si="71"/>
        <v/>
      </c>
      <c r="AS391" s="202" t="str">
        <f t="shared" si="72"/>
        <v/>
      </c>
      <c r="AT391" s="202" t="str">
        <f t="shared" si="73"/>
        <v/>
      </c>
      <c r="AU391" s="208"/>
      <c r="AV391" s="208"/>
      <c r="AW391" s="208"/>
      <c r="AX391" s="208"/>
      <c r="AY391" s="208"/>
      <c r="AZ391" s="208"/>
      <c r="BA391" s="208"/>
      <c r="BB391" s="208"/>
      <c r="BC391" s="208"/>
      <c r="BD391" s="208"/>
      <c r="BE391" s="208"/>
      <c r="BF391" s="208"/>
      <c r="BG391" s="28"/>
      <c r="BH391" s="28"/>
      <c r="BI391" s="28"/>
      <c r="BJ391" s="28"/>
    </row>
    <row r="392" spans="1:62" s="23" customFormat="1" ht="21" customHeight="1" thickBot="1" x14ac:dyDescent="0.25">
      <c r="A392" s="846" t="str">
        <f>IF($AN392="","",IFERROR(VLOOKUP(CONCATENATE(CTR1_Billing!$E$20,$AN392),'Local Data Previous Year'!$C$3:$D$20000,2,0),CTR1_Billing!$E$21&amp;"NEW"))</f>
        <v/>
      </c>
      <c r="B392" s="846" t="str">
        <f>IF($E392="","",IFERROR(VLOOKUP(CONCATENATE(CTR1_Billing!$E$20,CTR1_Local!$E392),'Local Data Previous Year'!$C$3:$D$20000,2,0),CTR1_Billing!$E$21&amp;"NEW"))</f>
        <v/>
      </c>
      <c r="C392" s="846">
        <v>360</v>
      </c>
      <c r="D392" s="755" t="str" cm="1">
        <f t="array" ref="D392">IF(ISERROR(INDEX('Local Data Previous Year'!$D$3:$D$20000,SMALL(IF(CTR1_Billing!$E$21='Local Data Previous Year'!$A$3:$A$20000,ROW('Local Data Previous Year'!$A$3:$A$20000)-ROW('Local Data Previous Year'!$A$3)+1),ROW(360:360)))),"",INDEX('Local Data Previous Year'!$D$3:$D$20000,SMALL(IF(CTR1_Billing!$E$21='Local Data Previous Year'!$A$3:$A$20000,ROW('Local Data Previous Year'!$A$3:$A$20000)-ROW('Local Data Previous Year'!$A$3)+1),ROW(360:360))))</f>
        <v/>
      </c>
      <c r="E392" s="755" t="str" cm="1">
        <f t="array" ref="E392">IF(ISERROR(INDEX('Local Data Previous Year'!$E$3:$E$20000,SMALL(IF(CTR1_Billing!$E$21='Local Data Previous Year'!$A$3:$A$20000,ROW('Local Data Previous Year'!$A$3:$A$20000)-ROW('Local Data Previous Year'!$A$3)+1),ROW(360:360)))),"",INDEX('Local Data Previous Year'!$E$3:$E$20000,SMALL(IF(CTR1_Billing!$E$21='Local Data Previous Year'!$A$3:$A$20000,ROW('Local Data Previous Year'!$A$3:$A$20000)-ROW('Local Data Previous Year'!$A$3)+1),ROW(360:360))))</f>
        <v/>
      </c>
      <c r="F392" s="756" t="str">
        <f>IF($D392="","",IF(ISNA(MATCH($D392,'Local Data Previous Year'!$D$3:$D$20000,0)),"New",IFERROR(VLOOKUP($B392,'Local Data Previous Year'!$D$3:$I$20000,6,0),"")))</f>
        <v/>
      </c>
      <c r="G392" s="757">
        <f t="shared" si="74"/>
        <v>0</v>
      </c>
      <c r="H392" s="758" t="str">
        <f>IFERROR(INDEX('Local Data Previous Year'!$F:$F, MATCH($D392, 'Local Data Previous Year'!$D:$D, 0)), "")</f>
        <v/>
      </c>
      <c r="I392" s="759">
        <f>IF(B392=CTR1_Billing!$E$21&amp;"NEW",1,0)</f>
        <v>0</v>
      </c>
      <c r="J392" s="760" t="str">
        <f>IFERROR(INDEX('Local Data Previous Year'!$G:$G, MATCH($D392, 'Local Data Previous Year'!$D:$D, 0)), "")</f>
        <v/>
      </c>
      <c r="K392" s="762"/>
      <c r="L392" s="760" t="str">
        <f>IFERROR(INDEX('Local Data Previous Year'!$H:$H, MATCH($D392, 'Local Data Previous Year'!$D:$D, 0)), "")</f>
        <v/>
      </c>
      <c r="M392" s="762"/>
      <c r="N392" s="763"/>
      <c r="O392" s="767"/>
      <c r="P392" s="765"/>
      <c r="Q392" s="767"/>
      <c r="R392" s="766" t="str">
        <f t="shared" si="75"/>
        <v/>
      </c>
      <c r="S392" s="754"/>
      <c r="T392" s="763"/>
      <c r="U392" s="754"/>
      <c r="V392" s="763"/>
      <c r="W392" s="763"/>
      <c r="X392" s="865" t="str">
        <f>VLOOKUP(CTR1_Billing!$E$21,Data!$C$6:$D$302,1,FALSE)</f>
        <v>EZZZZ</v>
      </c>
      <c r="Y392" s="205"/>
      <c r="Z392" s="205">
        <f t="shared" si="64"/>
        <v>0</v>
      </c>
      <c r="AA392" s="206" t="str">
        <f t="shared" si="40"/>
        <v/>
      </c>
      <c r="AB392" s="205">
        <f t="shared" si="65"/>
        <v>0</v>
      </c>
      <c r="AC392" s="208"/>
      <c r="AD392" s="208"/>
      <c r="AE392" s="208"/>
      <c r="AF392" s="208"/>
      <c r="AG392" s="209" t="str">
        <f>IFERROR(INDEX('Local Data Previous Year'!$F:$F, MATCH($D392, 'Local Data Previous Year'!$D:$D, 0)), "")</f>
        <v/>
      </c>
      <c r="AH392" s="209" t="str">
        <f>IFERROR(INDEX('Local Data Previous Year'!$G:$G, MATCH($D392, 'Local Data Previous Year'!$D:$D, 0)), "")</f>
        <v/>
      </c>
      <c r="AI392" s="209" t="str">
        <f>IFERROR(INDEX('Local Data Previous Year'!$H:$H, MATCH($D392, 'Local Data Previous Year'!$D:$D, 0)), "")</f>
        <v/>
      </c>
      <c r="AJ392" s="209" t="str">
        <f t="shared" si="66"/>
        <v/>
      </c>
      <c r="AK392" s="209" t="str">
        <f t="shared" si="67"/>
        <v/>
      </c>
      <c r="AL392" s="209" t="str">
        <f t="shared" si="68"/>
        <v/>
      </c>
      <c r="AM392" s="208" t="str">
        <f>IF($AN392="","",IFERROR(VLOOKUP(CONCATENATE(CTR1_Billing!$E$20,$AN392),'Local Data Previous Year'!$C$3:$D$50000,2,0),CTR1_Billing!$E$21&amp;"NEW"))</f>
        <v/>
      </c>
      <c r="AN392" s="209" t="str" cm="1">
        <f t="array" ref="AN392">IF(ISERROR(INDEX('Local Data Previous Year'!$E$3:$E$50000, SMALL(IF(CTR1_Billing!$E$21='Local Data Previous Year'!$A$3:$A$50000, ROW('Local Data Previous Year'!$A$3:$A$50000)-ROW('Local Data Previous Year'!$A$3)+1), ROW(360:360)))), "", INDEX('Local Data Previous Year'!$E$3:$E$50000, SMALL(IF(CTR1_Billing!$E$21='Local Data Previous Year'!$A$3:$A$50000, ROW('Local Data Previous Year'!$A$3:$A$50000)-ROW('Local Data Previous Year'!$A$3)+1), ROW(360:360))))</f>
        <v/>
      </c>
      <c r="AO392" s="209" t="str">
        <f t="shared" si="69"/>
        <v/>
      </c>
      <c r="AP392" s="208"/>
      <c r="AQ392" s="209" t="str">
        <f t="shared" si="70"/>
        <v/>
      </c>
      <c r="AR392" s="209" t="str">
        <f t="shared" si="71"/>
        <v/>
      </c>
      <c r="AS392" s="202" t="str">
        <f t="shared" si="72"/>
        <v/>
      </c>
      <c r="AT392" s="202" t="str">
        <f t="shared" si="73"/>
        <v/>
      </c>
      <c r="AU392" s="208"/>
      <c r="AV392" s="208"/>
      <c r="AW392" s="208"/>
      <c r="AX392" s="208"/>
      <c r="AY392" s="208"/>
      <c r="AZ392" s="208"/>
      <c r="BA392" s="208"/>
      <c r="BB392" s="208"/>
      <c r="BC392" s="208"/>
      <c r="BD392" s="208"/>
      <c r="BE392" s="208"/>
      <c r="BF392" s="208"/>
      <c r="BG392" s="28"/>
      <c r="BH392" s="28"/>
      <c r="BI392" s="28"/>
      <c r="BJ392" s="28"/>
    </row>
    <row r="393" spans="1:62" s="23" customFormat="1" ht="21" customHeight="1" thickBot="1" x14ac:dyDescent="0.25">
      <c r="A393" s="846" t="str">
        <f>IF($AN393="","",IFERROR(VLOOKUP(CONCATENATE(CTR1_Billing!$E$20,$AN393),'Local Data Previous Year'!$C$3:$D$20000,2,0),CTR1_Billing!$E$21&amp;"NEW"))</f>
        <v/>
      </c>
      <c r="B393" s="846" t="str">
        <f>IF($E393="","",IFERROR(VLOOKUP(CONCATENATE(CTR1_Billing!$E$20,CTR1_Local!$E393),'Local Data Previous Year'!$C$3:$D$20000,2,0),CTR1_Billing!$E$21&amp;"NEW"))</f>
        <v/>
      </c>
      <c r="C393" s="846">
        <v>361</v>
      </c>
      <c r="D393" s="755" t="str" cm="1">
        <f t="array" ref="D393">IF(ISERROR(INDEX('Local Data Previous Year'!$D$3:$D$20000,SMALL(IF(CTR1_Billing!$E$21='Local Data Previous Year'!$A$3:$A$20000,ROW('Local Data Previous Year'!$A$3:$A$20000)-ROW('Local Data Previous Year'!$A$3)+1),ROW(361:361)))),"",INDEX('Local Data Previous Year'!$D$3:$D$20000,SMALL(IF(CTR1_Billing!$E$21='Local Data Previous Year'!$A$3:$A$20000,ROW('Local Data Previous Year'!$A$3:$A$20000)-ROW('Local Data Previous Year'!$A$3)+1),ROW(361:361))))</f>
        <v/>
      </c>
      <c r="E393" s="755" t="str" cm="1">
        <f t="array" ref="E393">IF(ISERROR(INDEX('Local Data Previous Year'!$E$3:$E$20000,SMALL(IF(CTR1_Billing!$E$21='Local Data Previous Year'!$A$3:$A$20000,ROW('Local Data Previous Year'!$A$3:$A$20000)-ROW('Local Data Previous Year'!$A$3)+1),ROW(361:361)))),"",INDEX('Local Data Previous Year'!$E$3:$E$20000,SMALL(IF(CTR1_Billing!$E$21='Local Data Previous Year'!$A$3:$A$20000,ROW('Local Data Previous Year'!$A$3:$A$20000)-ROW('Local Data Previous Year'!$A$3)+1),ROW(361:361))))</f>
        <v/>
      </c>
      <c r="F393" s="756" t="str">
        <f>IF($D393="","",IF(ISNA(MATCH($D393,'Local Data Previous Year'!$D$3:$D$20000,0)),"New",IFERROR(VLOOKUP($B393,'Local Data Previous Year'!$D$3:$I$20000,6,0),"")))</f>
        <v/>
      </c>
      <c r="G393" s="757">
        <f t="shared" si="74"/>
        <v>0</v>
      </c>
      <c r="H393" s="758" t="str">
        <f>IFERROR(INDEX('Local Data Previous Year'!$F:$F, MATCH($D393, 'Local Data Previous Year'!$D:$D, 0)), "")</f>
        <v/>
      </c>
      <c r="I393" s="759">
        <f>IF(B393=CTR1_Billing!$E$21&amp;"NEW",1,0)</f>
        <v>0</v>
      </c>
      <c r="J393" s="760" t="str">
        <f>IFERROR(INDEX('Local Data Previous Year'!$G:$G, MATCH($D393, 'Local Data Previous Year'!$D:$D, 0)), "")</f>
        <v/>
      </c>
      <c r="K393" s="762"/>
      <c r="L393" s="760" t="str">
        <f>IFERROR(INDEX('Local Data Previous Year'!$H:$H, MATCH($D393, 'Local Data Previous Year'!$D:$D, 0)), "")</f>
        <v/>
      </c>
      <c r="M393" s="762"/>
      <c r="N393" s="763"/>
      <c r="O393" s="767"/>
      <c r="P393" s="765"/>
      <c r="Q393" s="767"/>
      <c r="R393" s="766" t="str">
        <f t="shared" si="75"/>
        <v/>
      </c>
      <c r="S393" s="754"/>
      <c r="T393" s="763"/>
      <c r="U393" s="754"/>
      <c r="V393" s="763"/>
      <c r="W393" s="763"/>
      <c r="X393" s="865" t="str">
        <f>VLOOKUP(CTR1_Billing!$E$21,Data!$C$6:$D$302,1,FALSE)</f>
        <v>EZZZZ</v>
      </c>
      <c r="Y393" s="205"/>
      <c r="Z393" s="205">
        <f t="shared" si="64"/>
        <v>0</v>
      </c>
      <c r="AA393" s="206" t="str">
        <f t="shared" si="40"/>
        <v/>
      </c>
      <c r="AB393" s="205">
        <f t="shared" si="65"/>
        <v>0</v>
      </c>
      <c r="AC393" s="208"/>
      <c r="AD393" s="208"/>
      <c r="AE393" s="208"/>
      <c r="AF393" s="208"/>
      <c r="AG393" s="209" t="str">
        <f>IFERROR(INDEX('Local Data Previous Year'!$F:$F, MATCH($D393, 'Local Data Previous Year'!$D:$D, 0)), "")</f>
        <v/>
      </c>
      <c r="AH393" s="209" t="str">
        <f>IFERROR(INDEX('Local Data Previous Year'!$G:$G, MATCH($D393, 'Local Data Previous Year'!$D:$D, 0)), "")</f>
        <v/>
      </c>
      <c r="AI393" s="209" t="str">
        <f>IFERROR(INDEX('Local Data Previous Year'!$H:$H, MATCH($D393, 'Local Data Previous Year'!$D:$D, 0)), "")</f>
        <v/>
      </c>
      <c r="AJ393" s="209" t="str">
        <f t="shared" si="66"/>
        <v/>
      </c>
      <c r="AK393" s="209" t="str">
        <f t="shared" si="67"/>
        <v/>
      </c>
      <c r="AL393" s="209" t="str">
        <f t="shared" si="68"/>
        <v/>
      </c>
      <c r="AM393" s="208" t="str">
        <f>IF($AN393="","",IFERROR(VLOOKUP(CONCATENATE(CTR1_Billing!$E$20,$AN393),'Local Data Previous Year'!$C$3:$D$50000,2,0),CTR1_Billing!$E$21&amp;"NEW"))</f>
        <v/>
      </c>
      <c r="AN393" s="209" t="str" cm="1">
        <f t="array" ref="AN393">IF(ISERROR(INDEX('Local Data Previous Year'!$E$3:$E$50000, SMALL(IF(CTR1_Billing!$E$21='Local Data Previous Year'!$A$3:$A$50000, ROW('Local Data Previous Year'!$A$3:$A$50000)-ROW('Local Data Previous Year'!$A$3)+1), ROW(361:361)))), "", INDEX('Local Data Previous Year'!$E$3:$E$50000, SMALL(IF(CTR1_Billing!$E$21='Local Data Previous Year'!$A$3:$A$50000, ROW('Local Data Previous Year'!$A$3:$A$50000)-ROW('Local Data Previous Year'!$A$3)+1), ROW(361:361))))</f>
        <v/>
      </c>
      <c r="AO393" s="209" t="str">
        <f t="shared" si="69"/>
        <v/>
      </c>
      <c r="AP393" s="208"/>
      <c r="AQ393" s="209" t="str">
        <f t="shared" si="70"/>
        <v/>
      </c>
      <c r="AR393" s="209" t="str">
        <f t="shared" si="71"/>
        <v/>
      </c>
      <c r="AS393" s="202" t="str">
        <f t="shared" si="72"/>
        <v/>
      </c>
      <c r="AT393" s="202" t="str">
        <f t="shared" si="73"/>
        <v/>
      </c>
      <c r="AU393" s="208"/>
      <c r="AV393" s="208"/>
      <c r="AW393" s="208"/>
      <c r="AX393" s="208"/>
      <c r="AY393" s="208"/>
      <c r="AZ393" s="208"/>
      <c r="BA393" s="208"/>
      <c r="BB393" s="208"/>
      <c r="BC393" s="208"/>
      <c r="BD393" s="208"/>
      <c r="BE393" s="208"/>
      <c r="BF393" s="208"/>
      <c r="BG393" s="28"/>
      <c r="BH393" s="28"/>
      <c r="BI393" s="28"/>
      <c r="BJ393" s="28"/>
    </row>
    <row r="394" spans="1:62" s="23" customFormat="1" ht="21" customHeight="1" thickBot="1" x14ac:dyDescent="0.25">
      <c r="A394" s="846" t="str">
        <f>IF($AN394="","",IFERROR(VLOOKUP(CONCATENATE(CTR1_Billing!$E$20,$AN394),'Local Data Previous Year'!$C$3:$D$20000,2,0),CTR1_Billing!$E$21&amp;"NEW"))</f>
        <v/>
      </c>
      <c r="B394" s="846" t="str">
        <f>IF($E394="","",IFERROR(VLOOKUP(CONCATENATE(CTR1_Billing!$E$20,CTR1_Local!$E394),'Local Data Previous Year'!$C$3:$D$20000,2,0),CTR1_Billing!$E$21&amp;"NEW"))</f>
        <v/>
      </c>
      <c r="C394" s="846">
        <v>362</v>
      </c>
      <c r="D394" s="755" t="str" cm="1">
        <f t="array" ref="D394">IF(ISERROR(INDEX('Local Data Previous Year'!$D$3:$D$20000,SMALL(IF(CTR1_Billing!$E$21='Local Data Previous Year'!$A$3:$A$20000,ROW('Local Data Previous Year'!$A$3:$A$20000)-ROW('Local Data Previous Year'!$A$3)+1),ROW(362:362)))),"",INDEX('Local Data Previous Year'!$D$3:$D$20000,SMALL(IF(CTR1_Billing!$E$21='Local Data Previous Year'!$A$3:$A$20000,ROW('Local Data Previous Year'!$A$3:$A$20000)-ROW('Local Data Previous Year'!$A$3)+1),ROW(362:362))))</f>
        <v/>
      </c>
      <c r="E394" s="755" t="str" cm="1">
        <f t="array" ref="E394">IF(ISERROR(INDEX('Local Data Previous Year'!$E$3:$E$20000,SMALL(IF(CTR1_Billing!$E$21='Local Data Previous Year'!$A$3:$A$20000,ROW('Local Data Previous Year'!$A$3:$A$20000)-ROW('Local Data Previous Year'!$A$3)+1),ROW(362:362)))),"",INDEX('Local Data Previous Year'!$E$3:$E$20000,SMALL(IF(CTR1_Billing!$E$21='Local Data Previous Year'!$A$3:$A$20000,ROW('Local Data Previous Year'!$A$3:$A$20000)-ROW('Local Data Previous Year'!$A$3)+1),ROW(362:362))))</f>
        <v/>
      </c>
      <c r="F394" s="756" t="str">
        <f>IF($D394="","",IF(ISNA(MATCH($D394,'Local Data Previous Year'!$D$3:$D$20000,0)),"New",IFERROR(VLOOKUP($B394,'Local Data Previous Year'!$D$3:$I$20000,6,0),"")))</f>
        <v/>
      </c>
      <c r="G394" s="757">
        <f t="shared" si="74"/>
        <v>0</v>
      </c>
      <c r="H394" s="758" t="str">
        <f>IFERROR(INDEX('Local Data Previous Year'!$F:$F, MATCH($D394, 'Local Data Previous Year'!$D:$D, 0)), "")</f>
        <v/>
      </c>
      <c r="I394" s="759">
        <f>IF(B394=CTR1_Billing!$E$21&amp;"NEW",1,0)</f>
        <v>0</v>
      </c>
      <c r="J394" s="760" t="str">
        <f>IFERROR(INDEX('Local Data Previous Year'!$G:$G, MATCH($D394, 'Local Data Previous Year'!$D:$D, 0)), "")</f>
        <v/>
      </c>
      <c r="K394" s="762"/>
      <c r="L394" s="760" t="str">
        <f>IFERROR(INDEX('Local Data Previous Year'!$H:$H, MATCH($D394, 'Local Data Previous Year'!$D:$D, 0)), "")</f>
        <v/>
      </c>
      <c r="M394" s="762"/>
      <c r="N394" s="763"/>
      <c r="O394" s="767"/>
      <c r="P394" s="765"/>
      <c r="Q394" s="767"/>
      <c r="R394" s="766" t="str">
        <f t="shared" si="75"/>
        <v/>
      </c>
      <c r="S394" s="754"/>
      <c r="T394" s="763"/>
      <c r="U394" s="754"/>
      <c r="V394" s="763"/>
      <c r="W394" s="763"/>
      <c r="X394" s="865" t="str">
        <f>VLOOKUP(CTR1_Billing!$E$21,Data!$C$6:$D$302,1,FALSE)</f>
        <v>EZZZZ</v>
      </c>
      <c r="Y394" s="205"/>
      <c r="Z394" s="205">
        <f t="shared" si="64"/>
        <v>0</v>
      </c>
      <c r="AA394" s="206" t="str">
        <f t="shared" si="40"/>
        <v/>
      </c>
      <c r="AB394" s="205">
        <f t="shared" si="65"/>
        <v>0</v>
      </c>
      <c r="AC394" s="208"/>
      <c r="AD394" s="208"/>
      <c r="AE394" s="208"/>
      <c r="AF394" s="208"/>
      <c r="AG394" s="209" t="str">
        <f>IFERROR(INDEX('Local Data Previous Year'!$F:$F, MATCH($D394, 'Local Data Previous Year'!$D:$D, 0)), "")</f>
        <v/>
      </c>
      <c r="AH394" s="209" t="str">
        <f>IFERROR(INDEX('Local Data Previous Year'!$G:$G, MATCH($D394, 'Local Data Previous Year'!$D:$D, 0)), "")</f>
        <v/>
      </c>
      <c r="AI394" s="209" t="str">
        <f>IFERROR(INDEX('Local Data Previous Year'!$H:$H, MATCH($D394, 'Local Data Previous Year'!$D:$D, 0)), "")</f>
        <v/>
      </c>
      <c r="AJ394" s="209" t="str">
        <f t="shared" si="66"/>
        <v/>
      </c>
      <c r="AK394" s="209" t="str">
        <f t="shared" si="67"/>
        <v/>
      </c>
      <c r="AL394" s="209" t="str">
        <f t="shared" si="68"/>
        <v/>
      </c>
      <c r="AM394" s="208" t="str">
        <f>IF($AN394="","",IFERROR(VLOOKUP(CONCATENATE(CTR1_Billing!$E$20,$AN394),'Local Data Previous Year'!$C$3:$D$50000,2,0),CTR1_Billing!$E$21&amp;"NEW"))</f>
        <v/>
      </c>
      <c r="AN394" s="209" t="str" cm="1">
        <f t="array" ref="AN394">IF(ISERROR(INDEX('Local Data Previous Year'!$E$3:$E$50000, SMALL(IF(CTR1_Billing!$E$21='Local Data Previous Year'!$A$3:$A$50000, ROW('Local Data Previous Year'!$A$3:$A$50000)-ROW('Local Data Previous Year'!$A$3)+1), ROW(362:362)))), "", INDEX('Local Data Previous Year'!$E$3:$E$50000, SMALL(IF(CTR1_Billing!$E$21='Local Data Previous Year'!$A$3:$A$50000, ROW('Local Data Previous Year'!$A$3:$A$50000)-ROW('Local Data Previous Year'!$A$3)+1), ROW(362:362))))</f>
        <v/>
      </c>
      <c r="AO394" s="209" t="str">
        <f t="shared" si="69"/>
        <v/>
      </c>
      <c r="AP394" s="208"/>
      <c r="AQ394" s="209" t="str">
        <f t="shared" si="70"/>
        <v/>
      </c>
      <c r="AR394" s="209" t="str">
        <f t="shared" si="71"/>
        <v/>
      </c>
      <c r="AS394" s="202" t="str">
        <f t="shared" si="72"/>
        <v/>
      </c>
      <c r="AT394" s="202" t="str">
        <f t="shared" si="73"/>
        <v/>
      </c>
      <c r="AU394" s="208"/>
      <c r="AV394" s="208"/>
      <c r="AW394" s="208"/>
      <c r="AX394" s="208"/>
      <c r="AY394" s="208"/>
      <c r="AZ394" s="208"/>
      <c r="BA394" s="208"/>
      <c r="BB394" s="208"/>
      <c r="BC394" s="208"/>
      <c r="BD394" s="208"/>
      <c r="BE394" s="208"/>
      <c r="BF394" s="208"/>
      <c r="BG394" s="28"/>
      <c r="BH394" s="28"/>
      <c r="BI394" s="28"/>
      <c r="BJ394" s="28"/>
    </row>
    <row r="395" spans="1:62" s="23" customFormat="1" ht="21" customHeight="1" thickBot="1" x14ac:dyDescent="0.25">
      <c r="A395" s="846" t="str">
        <f>IF($AN395="","",IFERROR(VLOOKUP(CONCATENATE(CTR1_Billing!$E$20,$AN395),'Local Data Previous Year'!$C$3:$D$20000,2,0),CTR1_Billing!$E$21&amp;"NEW"))</f>
        <v/>
      </c>
      <c r="B395" s="846" t="str">
        <f>IF($E395="","",IFERROR(VLOOKUP(CONCATENATE(CTR1_Billing!$E$20,CTR1_Local!$E395),'Local Data Previous Year'!$C$3:$D$20000,2,0),CTR1_Billing!$E$21&amp;"NEW"))</f>
        <v/>
      </c>
      <c r="C395" s="846">
        <v>363</v>
      </c>
      <c r="D395" s="755" t="str" cm="1">
        <f t="array" ref="D395">IF(ISERROR(INDEX('Local Data Previous Year'!$D$3:$D$20000,SMALL(IF(CTR1_Billing!$E$21='Local Data Previous Year'!$A$3:$A$20000,ROW('Local Data Previous Year'!$A$3:$A$20000)-ROW('Local Data Previous Year'!$A$3)+1),ROW(363:363)))),"",INDEX('Local Data Previous Year'!$D$3:$D$20000,SMALL(IF(CTR1_Billing!$E$21='Local Data Previous Year'!$A$3:$A$20000,ROW('Local Data Previous Year'!$A$3:$A$20000)-ROW('Local Data Previous Year'!$A$3)+1),ROW(363:363))))</f>
        <v/>
      </c>
      <c r="E395" s="755" t="str" cm="1">
        <f t="array" ref="E395">IF(ISERROR(INDEX('Local Data Previous Year'!$E$3:$E$20000,SMALL(IF(CTR1_Billing!$E$21='Local Data Previous Year'!$A$3:$A$20000,ROW('Local Data Previous Year'!$A$3:$A$20000)-ROW('Local Data Previous Year'!$A$3)+1),ROW(363:363)))),"",INDEX('Local Data Previous Year'!$E$3:$E$20000,SMALL(IF(CTR1_Billing!$E$21='Local Data Previous Year'!$A$3:$A$20000,ROW('Local Data Previous Year'!$A$3:$A$20000)-ROW('Local Data Previous Year'!$A$3)+1),ROW(363:363))))</f>
        <v/>
      </c>
      <c r="F395" s="756" t="str">
        <f>IF($D395="","",IF(ISNA(MATCH($D395,'Local Data Previous Year'!$D$3:$D$20000,0)),"New",IFERROR(VLOOKUP($B395,'Local Data Previous Year'!$D$3:$I$20000,6,0),"")))</f>
        <v/>
      </c>
      <c r="G395" s="757">
        <f t="shared" si="74"/>
        <v>0</v>
      </c>
      <c r="H395" s="758" t="str">
        <f>IFERROR(INDEX('Local Data Previous Year'!$F:$F, MATCH($D395, 'Local Data Previous Year'!$D:$D, 0)), "")</f>
        <v/>
      </c>
      <c r="I395" s="759">
        <f>IF(B395=CTR1_Billing!$E$21&amp;"NEW",1,0)</f>
        <v>0</v>
      </c>
      <c r="J395" s="760" t="str">
        <f>IFERROR(INDEX('Local Data Previous Year'!$G:$G, MATCH($D395, 'Local Data Previous Year'!$D:$D, 0)), "")</f>
        <v/>
      </c>
      <c r="K395" s="762"/>
      <c r="L395" s="760" t="str">
        <f>IFERROR(INDEX('Local Data Previous Year'!$H:$H, MATCH($D395, 'Local Data Previous Year'!$D:$D, 0)), "")</f>
        <v/>
      </c>
      <c r="M395" s="762"/>
      <c r="N395" s="763"/>
      <c r="O395" s="767"/>
      <c r="P395" s="765"/>
      <c r="Q395" s="767"/>
      <c r="R395" s="766" t="str">
        <f t="shared" si="75"/>
        <v/>
      </c>
      <c r="S395" s="754"/>
      <c r="T395" s="763"/>
      <c r="U395" s="754"/>
      <c r="V395" s="763"/>
      <c r="W395" s="763"/>
      <c r="X395" s="865" t="str">
        <f>VLOOKUP(CTR1_Billing!$E$21,Data!$C$6:$D$302,1,FALSE)</f>
        <v>EZZZZ</v>
      </c>
      <c r="Y395" s="205"/>
      <c r="Z395" s="205">
        <f t="shared" si="64"/>
        <v>0</v>
      </c>
      <c r="AA395" s="206" t="str">
        <f t="shared" si="40"/>
        <v/>
      </c>
      <c r="AB395" s="205">
        <f t="shared" si="65"/>
        <v>0</v>
      </c>
      <c r="AC395" s="208"/>
      <c r="AD395" s="208"/>
      <c r="AE395" s="208"/>
      <c r="AF395" s="208"/>
      <c r="AG395" s="209" t="str">
        <f>IFERROR(INDEX('Local Data Previous Year'!$F:$F, MATCH($D395, 'Local Data Previous Year'!$D:$D, 0)), "")</f>
        <v/>
      </c>
      <c r="AH395" s="209" t="str">
        <f>IFERROR(INDEX('Local Data Previous Year'!$G:$G, MATCH($D395, 'Local Data Previous Year'!$D:$D, 0)), "")</f>
        <v/>
      </c>
      <c r="AI395" s="209" t="str">
        <f>IFERROR(INDEX('Local Data Previous Year'!$H:$H, MATCH($D395, 'Local Data Previous Year'!$D:$D, 0)), "")</f>
        <v/>
      </c>
      <c r="AJ395" s="209" t="str">
        <f t="shared" si="66"/>
        <v/>
      </c>
      <c r="AK395" s="209" t="str">
        <f t="shared" si="67"/>
        <v/>
      </c>
      <c r="AL395" s="209" t="str">
        <f t="shared" si="68"/>
        <v/>
      </c>
      <c r="AM395" s="208" t="str">
        <f>IF($AN395="","",IFERROR(VLOOKUP(CONCATENATE(CTR1_Billing!$E$20,$AN395),'Local Data Previous Year'!$C$3:$D$50000,2,0),CTR1_Billing!$E$21&amp;"NEW"))</f>
        <v/>
      </c>
      <c r="AN395" s="209" t="str" cm="1">
        <f t="array" ref="AN395">IF(ISERROR(INDEX('Local Data Previous Year'!$E$3:$E$50000, SMALL(IF(CTR1_Billing!$E$21='Local Data Previous Year'!$A$3:$A$50000, ROW('Local Data Previous Year'!$A$3:$A$50000)-ROW('Local Data Previous Year'!$A$3)+1), ROW(363:363)))), "", INDEX('Local Data Previous Year'!$E$3:$E$50000, SMALL(IF(CTR1_Billing!$E$21='Local Data Previous Year'!$A$3:$A$50000, ROW('Local Data Previous Year'!$A$3:$A$50000)-ROW('Local Data Previous Year'!$A$3)+1), ROW(363:363))))</f>
        <v/>
      </c>
      <c r="AO395" s="209" t="str">
        <f t="shared" si="69"/>
        <v/>
      </c>
      <c r="AP395" s="208"/>
      <c r="AQ395" s="209" t="str">
        <f t="shared" si="70"/>
        <v/>
      </c>
      <c r="AR395" s="209" t="str">
        <f t="shared" si="71"/>
        <v/>
      </c>
      <c r="AS395" s="202" t="str">
        <f t="shared" si="72"/>
        <v/>
      </c>
      <c r="AT395" s="202" t="str">
        <f t="shared" si="73"/>
        <v/>
      </c>
      <c r="AU395" s="208"/>
      <c r="AV395" s="208"/>
      <c r="AW395" s="208"/>
      <c r="AX395" s="208"/>
      <c r="AY395" s="208"/>
      <c r="AZ395" s="208"/>
      <c r="BA395" s="208"/>
      <c r="BB395" s="208"/>
      <c r="BC395" s="208"/>
      <c r="BD395" s="208"/>
      <c r="BE395" s="208"/>
      <c r="BF395" s="208"/>
      <c r="BG395" s="28"/>
      <c r="BH395" s="28"/>
      <c r="BI395" s="28"/>
      <c r="BJ395" s="28"/>
    </row>
    <row r="396" spans="1:62" s="23" customFormat="1" ht="21" customHeight="1" thickBot="1" x14ac:dyDescent="0.25">
      <c r="A396" s="846" t="str">
        <f>IF($AN396="","",IFERROR(VLOOKUP(CONCATENATE(CTR1_Billing!$E$20,$AN396),'Local Data Previous Year'!$C$3:$D$20000,2,0),CTR1_Billing!$E$21&amp;"NEW"))</f>
        <v/>
      </c>
      <c r="B396" s="846" t="str">
        <f>IF($E396="","",IFERROR(VLOOKUP(CONCATENATE(CTR1_Billing!$E$20,CTR1_Local!$E396),'Local Data Previous Year'!$C$3:$D$20000,2,0),CTR1_Billing!$E$21&amp;"NEW"))</f>
        <v/>
      </c>
      <c r="C396" s="846">
        <v>364</v>
      </c>
      <c r="D396" s="755" t="str" cm="1">
        <f t="array" ref="D396">IF(ISERROR(INDEX('Local Data Previous Year'!$D$3:$D$20000,SMALL(IF(CTR1_Billing!$E$21='Local Data Previous Year'!$A$3:$A$20000,ROW('Local Data Previous Year'!$A$3:$A$20000)-ROW('Local Data Previous Year'!$A$3)+1),ROW(364:364)))),"",INDEX('Local Data Previous Year'!$D$3:$D$20000,SMALL(IF(CTR1_Billing!$E$21='Local Data Previous Year'!$A$3:$A$20000,ROW('Local Data Previous Year'!$A$3:$A$20000)-ROW('Local Data Previous Year'!$A$3)+1),ROW(364:364))))</f>
        <v/>
      </c>
      <c r="E396" s="755" t="str" cm="1">
        <f t="array" ref="E396">IF(ISERROR(INDEX('Local Data Previous Year'!$E$3:$E$20000,SMALL(IF(CTR1_Billing!$E$21='Local Data Previous Year'!$A$3:$A$20000,ROW('Local Data Previous Year'!$A$3:$A$20000)-ROW('Local Data Previous Year'!$A$3)+1),ROW(364:364)))),"",INDEX('Local Data Previous Year'!$E$3:$E$20000,SMALL(IF(CTR1_Billing!$E$21='Local Data Previous Year'!$A$3:$A$20000,ROW('Local Data Previous Year'!$A$3:$A$20000)-ROW('Local Data Previous Year'!$A$3)+1),ROW(364:364))))</f>
        <v/>
      </c>
      <c r="F396" s="756" t="str">
        <f>IF($D396="","",IF(ISNA(MATCH($D396,'Local Data Previous Year'!$D$3:$D$20000,0)),"New",IFERROR(VLOOKUP($B396,'Local Data Previous Year'!$D$3:$I$20000,6,0),"")))</f>
        <v/>
      </c>
      <c r="G396" s="757">
        <f t="shared" si="74"/>
        <v>0</v>
      </c>
      <c r="H396" s="758" t="str">
        <f>IFERROR(INDEX('Local Data Previous Year'!$F:$F, MATCH($D396, 'Local Data Previous Year'!$D:$D, 0)), "")</f>
        <v/>
      </c>
      <c r="I396" s="759">
        <f>IF(B396=CTR1_Billing!$E$21&amp;"NEW",1,0)</f>
        <v>0</v>
      </c>
      <c r="J396" s="760" t="str">
        <f>IFERROR(INDEX('Local Data Previous Year'!$G:$G, MATCH($D396, 'Local Data Previous Year'!$D:$D, 0)), "")</f>
        <v/>
      </c>
      <c r="K396" s="762"/>
      <c r="L396" s="760" t="str">
        <f>IFERROR(INDEX('Local Data Previous Year'!$H:$H, MATCH($D396, 'Local Data Previous Year'!$D:$D, 0)), "")</f>
        <v/>
      </c>
      <c r="M396" s="762"/>
      <c r="N396" s="763"/>
      <c r="O396" s="767"/>
      <c r="P396" s="765"/>
      <c r="Q396" s="767"/>
      <c r="R396" s="766" t="str">
        <f t="shared" si="75"/>
        <v/>
      </c>
      <c r="S396" s="754"/>
      <c r="T396" s="763"/>
      <c r="U396" s="754"/>
      <c r="V396" s="763"/>
      <c r="W396" s="763"/>
      <c r="X396" s="865" t="str">
        <f>VLOOKUP(CTR1_Billing!$E$21,Data!$C$6:$D$302,1,FALSE)</f>
        <v>EZZZZ</v>
      </c>
      <c r="Y396" s="205"/>
      <c r="Z396" s="205">
        <f t="shared" si="64"/>
        <v>0</v>
      </c>
      <c r="AA396" s="206" t="str">
        <f t="shared" si="40"/>
        <v/>
      </c>
      <c r="AB396" s="205">
        <f t="shared" si="65"/>
        <v>0</v>
      </c>
      <c r="AC396" s="208"/>
      <c r="AD396" s="208"/>
      <c r="AE396" s="208"/>
      <c r="AF396" s="208"/>
      <c r="AG396" s="209" t="str">
        <f>IFERROR(INDEX('Local Data Previous Year'!$F:$F, MATCH($D396, 'Local Data Previous Year'!$D:$D, 0)), "")</f>
        <v/>
      </c>
      <c r="AH396" s="209" t="str">
        <f>IFERROR(INDEX('Local Data Previous Year'!$G:$G, MATCH($D396, 'Local Data Previous Year'!$D:$D, 0)), "")</f>
        <v/>
      </c>
      <c r="AI396" s="209" t="str">
        <f>IFERROR(INDEX('Local Data Previous Year'!$H:$H, MATCH($D396, 'Local Data Previous Year'!$D:$D, 0)), "")</f>
        <v/>
      </c>
      <c r="AJ396" s="209" t="str">
        <f t="shared" si="66"/>
        <v/>
      </c>
      <c r="AK396" s="209" t="str">
        <f t="shared" si="67"/>
        <v/>
      </c>
      <c r="AL396" s="209" t="str">
        <f t="shared" si="68"/>
        <v/>
      </c>
      <c r="AM396" s="208" t="str">
        <f>IF($AN396="","",IFERROR(VLOOKUP(CONCATENATE(CTR1_Billing!$E$20,$AN396),'Local Data Previous Year'!$C$3:$D$50000,2,0),CTR1_Billing!$E$21&amp;"NEW"))</f>
        <v/>
      </c>
      <c r="AN396" s="209" t="str" cm="1">
        <f t="array" ref="AN396">IF(ISERROR(INDEX('Local Data Previous Year'!$E$3:$E$50000, SMALL(IF(CTR1_Billing!$E$21='Local Data Previous Year'!$A$3:$A$50000, ROW('Local Data Previous Year'!$A$3:$A$50000)-ROW('Local Data Previous Year'!$A$3)+1), ROW(364:364)))), "", INDEX('Local Data Previous Year'!$E$3:$E$50000, SMALL(IF(CTR1_Billing!$E$21='Local Data Previous Year'!$A$3:$A$50000, ROW('Local Data Previous Year'!$A$3:$A$50000)-ROW('Local Data Previous Year'!$A$3)+1), ROW(364:364))))</f>
        <v/>
      </c>
      <c r="AO396" s="209" t="str">
        <f t="shared" si="69"/>
        <v/>
      </c>
      <c r="AP396" s="208"/>
      <c r="AQ396" s="209" t="str">
        <f t="shared" si="70"/>
        <v/>
      </c>
      <c r="AR396" s="209" t="str">
        <f t="shared" si="71"/>
        <v/>
      </c>
      <c r="AS396" s="202" t="str">
        <f t="shared" si="72"/>
        <v/>
      </c>
      <c r="AT396" s="202" t="str">
        <f t="shared" si="73"/>
        <v/>
      </c>
      <c r="AU396" s="208"/>
      <c r="AV396" s="208"/>
      <c r="AW396" s="208"/>
      <c r="AX396" s="208"/>
      <c r="AY396" s="208"/>
      <c r="AZ396" s="208"/>
      <c r="BA396" s="208"/>
      <c r="BB396" s="208"/>
      <c r="BC396" s="208"/>
      <c r="BD396" s="208"/>
      <c r="BE396" s="208"/>
      <c r="BF396" s="208"/>
      <c r="BG396" s="28"/>
      <c r="BH396" s="28"/>
      <c r="BI396" s="28"/>
      <c r="BJ396" s="28"/>
    </row>
    <row r="397" spans="1:62" s="23" customFormat="1" ht="21" customHeight="1" thickBot="1" x14ac:dyDescent="0.25">
      <c r="A397" s="846" t="str">
        <f>IF($AN397="","",IFERROR(VLOOKUP(CONCATENATE(CTR1_Billing!$E$20,$AN397),'Local Data Previous Year'!$C$3:$D$20000,2,0),CTR1_Billing!$E$21&amp;"NEW"))</f>
        <v/>
      </c>
      <c r="B397" s="846" t="str">
        <f>IF($E397="","",IFERROR(VLOOKUP(CONCATENATE(CTR1_Billing!$E$20,CTR1_Local!$E397),'Local Data Previous Year'!$C$3:$D$20000,2,0),CTR1_Billing!$E$21&amp;"NEW"))</f>
        <v/>
      </c>
      <c r="C397" s="846">
        <v>365</v>
      </c>
      <c r="D397" s="755" t="str" cm="1">
        <f t="array" ref="D397">IF(ISERROR(INDEX('Local Data Previous Year'!$D$3:$D$20000,SMALL(IF(CTR1_Billing!$E$21='Local Data Previous Year'!$A$3:$A$20000,ROW('Local Data Previous Year'!$A$3:$A$20000)-ROW('Local Data Previous Year'!$A$3)+1),ROW(365:365)))),"",INDEX('Local Data Previous Year'!$D$3:$D$20000,SMALL(IF(CTR1_Billing!$E$21='Local Data Previous Year'!$A$3:$A$20000,ROW('Local Data Previous Year'!$A$3:$A$20000)-ROW('Local Data Previous Year'!$A$3)+1),ROW(365:365))))</f>
        <v/>
      </c>
      <c r="E397" s="755" t="str" cm="1">
        <f t="array" ref="E397">IF(ISERROR(INDEX('Local Data Previous Year'!$E$3:$E$20000,SMALL(IF(CTR1_Billing!$E$21='Local Data Previous Year'!$A$3:$A$20000,ROW('Local Data Previous Year'!$A$3:$A$20000)-ROW('Local Data Previous Year'!$A$3)+1),ROW(365:365)))),"",INDEX('Local Data Previous Year'!$E$3:$E$20000,SMALL(IF(CTR1_Billing!$E$21='Local Data Previous Year'!$A$3:$A$20000,ROW('Local Data Previous Year'!$A$3:$A$20000)-ROW('Local Data Previous Year'!$A$3)+1),ROW(365:365))))</f>
        <v/>
      </c>
      <c r="F397" s="756" t="str">
        <f>IF($D397="","",IF(ISNA(MATCH($D397,'Local Data Previous Year'!$D$3:$D$20000,0)),"New",IFERROR(VLOOKUP($B397,'Local Data Previous Year'!$D$3:$I$20000,6,0),"")))</f>
        <v/>
      </c>
      <c r="G397" s="757">
        <f t="shared" si="74"/>
        <v>0</v>
      </c>
      <c r="H397" s="758" t="str">
        <f>IFERROR(INDEX('Local Data Previous Year'!$F:$F, MATCH($D397, 'Local Data Previous Year'!$D:$D, 0)), "")</f>
        <v/>
      </c>
      <c r="I397" s="759">
        <f>IF(B397=CTR1_Billing!$E$21&amp;"NEW",1,0)</f>
        <v>0</v>
      </c>
      <c r="J397" s="760" t="str">
        <f>IFERROR(INDEX('Local Data Previous Year'!$G:$G, MATCH($D397, 'Local Data Previous Year'!$D:$D, 0)), "")</f>
        <v/>
      </c>
      <c r="K397" s="762"/>
      <c r="L397" s="760" t="str">
        <f>IFERROR(INDEX('Local Data Previous Year'!$H:$H, MATCH($D397, 'Local Data Previous Year'!$D:$D, 0)), "")</f>
        <v/>
      </c>
      <c r="M397" s="762"/>
      <c r="N397" s="763"/>
      <c r="O397" s="767"/>
      <c r="P397" s="765"/>
      <c r="Q397" s="767"/>
      <c r="R397" s="766" t="str">
        <f t="shared" si="75"/>
        <v/>
      </c>
      <c r="S397" s="754"/>
      <c r="T397" s="763"/>
      <c r="U397" s="754"/>
      <c r="V397" s="763"/>
      <c r="W397" s="763"/>
      <c r="X397" s="865" t="str">
        <f>VLOOKUP(CTR1_Billing!$E$21,Data!$C$6:$D$302,1,FALSE)</f>
        <v>EZZZZ</v>
      </c>
      <c r="Y397" s="205"/>
      <c r="Z397" s="205">
        <f t="shared" si="64"/>
        <v>0</v>
      </c>
      <c r="AA397" s="206" t="str">
        <f t="shared" si="40"/>
        <v/>
      </c>
      <c r="AB397" s="205">
        <f t="shared" si="65"/>
        <v>0</v>
      </c>
      <c r="AC397" s="208"/>
      <c r="AD397" s="208"/>
      <c r="AE397" s="208"/>
      <c r="AF397" s="208"/>
      <c r="AG397" s="209" t="str">
        <f>IFERROR(INDEX('Local Data Previous Year'!$F:$F, MATCH($D397, 'Local Data Previous Year'!$D:$D, 0)), "")</f>
        <v/>
      </c>
      <c r="AH397" s="209" t="str">
        <f>IFERROR(INDEX('Local Data Previous Year'!$G:$G, MATCH($D397, 'Local Data Previous Year'!$D:$D, 0)), "")</f>
        <v/>
      </c>
      <c r="AI397" s="209" t="str">
        <f>IFERROR(INDEX('Local Data Previous Year'!$H:$H, MATCH($D397, 'Local Data Previous Year'!$D:$D, 0)), "")</f>
        <v/>
      </c>
      <c r="AJ397" s="209" t="str">
        <f t="shared" si="66"/>
        <v/>
      </c>
      <c r="AK397" s="209" t="str">
        <f t="shared" si="67"/>
        <v/>
      </c>
      <c r="AL397" s="209" t="str">
        <f t="shared" si="68"/>
        <v/>
      </c>
      <c r="AM397" s="208" t="str">
        <f>IF($AN397="","",IFERROR(VLOOKUP(CONCATENATE(CTR1_Billing!$E$20,$AN397),'Local Data Previous Year'!$C$3:$D$50000,2,0),CTR1_Billing!$E$21&amp;"NEW"))</f>
        <v/>
      </c>
      <c r="AN397" s="209" t="str" cm="1">
        <f t="array" ref="AN397">IF(ISERROR(INDEX('Local Data Previous Year'!$E$3:$E$50000, SMALL(IF(CTR1_Billing!$E$21='Local Data Previous Year'!$A$3:$A$50000, ROW('Local Data Previous Year'!$A$3:$A$50000)-ROW('Local Data Previous Year'!$A$3)+1), ROW(365:365)))), "", INDEX('Local Data Previous Year'!$E$3:$E$50000, SMALL(IF(CTR1_Billing!$E$21='Local Data Previous Year'!$A$3:$A$50000, ROW('Local Data Previous Year'!$A$3:$A$50000)-ROW('Local Data Previous Year'!$A$3)+1), ROW(365:365))))</f>
        <v/>
      </c>
      <c r="AO397" s="209" t="str">
        <f t="shared" si="69"/>
        <v/>
      </c>
      <c r="AP397" s="208"/>
      <c r="AQ397" s="209" t="str">
        <f t="shared" si="70"/>
        <v/>
      </c>
      <c r="AR397" s="209" t="str">
        <f t="shared" si="71"/>
        <v/>
      </c>
      <c r="AS397" s="202" t="str">
        <f t="shared" si="72"/>
        <v/>
      </c>
      <c r="AT397" s="202" t="str">
        <f t="shared" si="73"/>
        <v/>
      </c>
      <c r="AU397" s="208"/>
      <c r="AV397" s="208"/>
      <c r="AW397" s="208"/>
      <c r="AX397" s="208"/>
      <c r="AY397" s="208"/>
      <c r="AZ397" s="208"/>
      <c r="BA397" s="208"/>
      <c r="BB397" s="208"/>
      <c r="BC397" s="208"/>
      <c r="BD397" s="208"/>
      <c r="BE397" s="208"/>
      <c r="BF397" s="208"/>
      <c r="BG397" s="28"/>
      <c r="BH397" s="28"/>
      <c r="BI397" s="28"/>
      <c r="BJ397" s="28"/>
    </row>
    <row r="398" spans="1:62" s="23" customFormat="1" ht="21" customHeight="1" thickBot="1" x14ac:dyDescent="0.25">
      <c r="A398" s="846" t="str">
        <f>IF($AN398="","",IFERROR(VLOOKUP(CONCATENATE(CTR1_Billing!$E$20,$AN398),'Local Data Previous Year'!$C$3:$D$20000,2,0),CTR1_Billing!$E$21&amp;"NEW"))</f>
        <v/>
      </c>
      <c r="B398" s="846" t="str">
        <f>IF($E398="","",IFERROR(VLOOKUP(CONCATENATE(CTR1_Billing!$E$20,CTR1_Local!$E398),'Local Data Previous Year'!$C$3:$D$20000,2,0),CTR1_Billing!$E$21&amp;"NEW"))</f>
        <v/>
      </c>
      <c r="C398" s="846">
        <v>366</v>
      </c>
      <c r="D398" s="755" t="str" cm="1">
        <f t="array" ref="D398">IF(ISERROR(INDEX('Local Data Previous Year'!$D$3:$D$20000,SMALL(IF(CTR1_Billing!$E$21='Local Data Previous Year'!$A$3:$A$20000,ROW('Local Data Previous Year'!$A$3:$A$20000)-ROW('Local Data Previous Year'!$A$3)+1),ROW(366:366)))),"",INDEX('Local Data Previous Year'!$D$3:$D$20000,SMALL(IF(CTR1_Billing!$E$21='Local Data Previous Year'!$A$3:$A$20000,ROW('Local Data Previous Year'!$A$3:$A$20000)-ROW('Local Data Previous Year'!$A$3)+1),ROW(366:366))))</f>
        <v/>
      </c>
      <c r="E398" s="755" t="str" cm="1">
        <f t="array" ref="E398">IF(ISERROR(INDEX('Local Data Previous Year'!$E$3:$E$20000,SMALL(IF(CTR1_Billing!$E$21='Local Data Previous Year'!$A$3:$A$20000,ROW('Local Data Previous Year'!$A$3:$A$20000)-ROW('Local Data Previous Year'!$A$3)+1),ROW(366:366)))),"",INDEX('Local Data Previous Year'!$E$3:$E$20000,SMALL(IF(CTR1_Billing!$E$21='Local Data Previous Year'!$A$3:$A$20000,ROW('Local Data Previous Year'!$A$3:$A$20000)-ROW('Local Data Previous Year'!$A$3)+1),ROW(366:366))))</f>
        <v/>
      </c>
      <c r="F398" s="756" t="str">
        <f>IF($D398="","",IF(ISNA(MATCH($D398,'Local Data Previous Year'!$D$3:$D$20000,0)),"New",IFERROR(VLOOKUP($B398,'Local Data Previous Year'!$D$3:$I$20000,6,0),"")))</f>
        <v/>
      </c>
      <c r="G398" s="757">
        <f t="shared" si="74"/>
        <v>0</v>
      </c>
      <c r="H398" s="758" t="str">
        <f>IFERROR(INDEX('Local Data Previous Year'!$F:$F, MATCH($D398, 'Local Data Previous Year'!$D:$D, 0)), "")</f>
        <v/>
      </c>
      <c r="I398" s="759">
        <f>IF(B398=CTR1_Billing!$E$21&amp;"NEW",1,0)</f>
        <v>0</v>
      </c>
      <c r="J398" s="760" t="str">
        <f>IFERROR(INDEX('Local Data Previous Year'!$G:$G, MATCH($D398, 'Local Data Previous Year'!$D:$D, 0)), "")</f>
        <v/>
      </c>
      <c r="K398" s="762"/>
      <c r="L398" s="760" t="str">
        <f>IFERROR(INDEX('Local Data Previous Year'!$H:$H, MATCH($D398, 'Local Data Previous Year'!$D:$D, 0)), "")</f>
        <v/>
      </c>
      <c r="M398" s="762"/>
      <c r="N398" s="763"/>
      <c r="O398" s="767"/>
      <c r="P398" s="765"/>
      <c r="Q398" s="767"/>
      <c r="R398" s="766" t="str">
        <f t="shared" si="75"/>
        <v/>
      </c>
      <c r="S398" s="754"/>
      <c r="T398" s="763"/>
      <c r="U398" s="754"/>
      <c r="V398" s="763"/>
      <c r="W398" s="763"/>
      <c r="X398" s="865" t="str">
        <f>VLOOKUP(CTR1_Billing!$E$21,Data!$C$6:$D$302,1,FALSE)</f>
        <v>EZZZZ</v>
      </c>
      <c r="Y398" s="205"/>
      <c r="Z398" s="205">
        <f t="shared" si="64"/>
        <v>0</v>
      </c>
      <c r="AA398" s="206" t="str">
        <f t="shared" si="40"/>
        <v/>
      </c>
      <c r="AB398" s="205">
        <f t="shared" si="65"/>
        <v>0</v>
      </c>
      <c r="AC398" s="208"/>
      <c r="AD398" s="208"/>
      <c r="AE398" s="208"/>
      <c r="AF398" s="208"/>
      <c r="AG398" s="209" t="str">
        <f>IFERROR(INDEX('Local Data Previous Year'!$F:$F, MATCH($D398, 'Local Data Previous Year'!$D:$D, 0)), "")</f>
        <v/>
      </c>
      <c r="AH398" s="209" t="str">
        <f>IFERROR(INDEX('Local Data Previous Year'!$G:$G, MATCH($D398, 'Local Data Previous Year'!$D:$D, 0)), "")</f>
        <v/>
      </c>
      <c r="AI398" s="209" t="str">
        <f>IFERROR(INDEX('Local Data Previous Year'!$H:$H, MATCH($D398, 'Local Data Previous Year'!$D:$D, 0)), "")</f>
        <v/>
      </c>
      <c r="AJ398" s="209" t="str">
        <f t="shared" si="66"/>
        <v/>
      </c>
      <c r="AK398" s="209" t="str">
        <f t="shared" si="67"/>
        <v/>
      </c>
      <c r="AL398" s="209" t="str">
        <f t="shared" si="68"/>
        <v/>
      </c>
      <c r="AM398" s="208" t="str">
        <f>IF($AN398="","",IFERROR(VLOOKUP(CONCATENATE(CTR1_Billing!$E$20,$AN398),'Local Data Previous Year'!$C$3:$D$50000,2,0),CTR1_Billing!$E$21&amp;"NEW"))</f>
        <v/>
      </c>
      <c r="AN398" s="209" t="str" cm="1">
        <f t="array" ref="AN398">IF(ISERROR(INDEX('Local Data Previous Year'!$E$3:$E$50000, SMALL(IF(CTR1_Billing!$E$21='Local Data Previous Year'!$A$3:$A$50000, ROW('Local Data Previous Year'!$A$3:$A$50000)-ROW('Local Data Previous Year'!$A$3)+1), ROW(366:366)))), "", INDEX('Local Data Previous Year'!$E$3:$E$50000, SMALL(IF(CTR1_Billing!$E$21='Local Data Previous Year'!$A$3:$A$50000, ROW('Local Data Previous Year'!$A$3:$A$50000)-ROW('Local Data Previous Year'!$A$3)+1), ROW(366:366))))</f>
        <v/>
      </c>
      <c r="AO398" s="209" t="str">
        <f t="shared" si="69"/>
        <v/>
      </c>
      <c r="AP398" s="208"/>
      <c r="AQ398" s="209" t="str">
        <f t="shared" si="70"/>
        <v/>
      </c>
      <c r="AR398" s="209" t="str">
        <f t="shared" si="71"/>
        <v/>
      </c>
      <c r="AS398" s="202" t="str">
        <f t="shared" si="72"/>
        <v/>
      </c>
      <c r="AT398" s="202" t="str">
        <f t="shared" si="73"/>
        <v/>
      </c>
      <c r="AU398" s="208"/>
      <c r="AV398" s="208"/>
      <c r="AW398" s="208"/>
      <c r="AX398" s="208"/>
      <c r="AY398" s="208"/>
      <c r="AZ398" s="208"/>
      <c r="BA398" s="208"/>
      <c r="BB398" s="208"/>
      <c r="BC398" s="208"/>
      <c r="BD398" s="208"/>
      <c r="BE398" s="208"/>
      <c r="BF398" s="208"/>
      <c r="BG398" s="28"/>
      <c r="BH398" s="28"/>
      <c r="BI398" s="28"/>
      <c r="BJ398" s="28"/>
    </row>
    <row r="399" spans="1:62" s="23" customFormat="1" ht="21" customHeight="1" thickBot="1" x14ac:dyDescent="0.25">
      <c r="A399" s="846" t="str">
        <f>IF($AN399="","",IFERROR(VLOOKUP(CONCATENATE(CTR1_Billing!$E$20,$AN399),'Local Data Previous Year'!$C$3:$D$20000,2,0),CTR1_Billing!$E$21&amp;"NEW"))</f>
        <v/>
      </c>
      <c r="B399" s="846" t="str">
        <f>IF($E399="","",IFERROR(VLOOKUP(CONCATENATE(CTR1_Billing!$E$20,CTR1_Local!$E399),'Local Data Previous Year'!$C$3:$D$20000,2,0),CTR1_Billing!$E$21&amp;"NEW"))</f>
        <v/>
      </c>
      <c r="C399" s="846">
        <v>367</v>
      </c>
      <c r="D399" s="755" t="str" cm="1">
        <f t="array" ref="D399">IF(ISERROR(INDEX('Local Data Previous Year'!$D$3:$D$20000,SMALL(IF(CTR1_Billing!$E$21='Local Data Previous Year'!$A$3:$A$20000,ROW('Local Data Previous Year'!$A$3:$A$20000)-ROW('Local Data Previous Year'!$A$3)+1),ROW(367:367)))),"",INDEX('Local Data Previous Year'!$D$3:$D$20000,SMALL(IF(CTR1_Billing!$E$21='Local Data Previous Year'!$A$3:$A$20000,ROW('Local Data Previous Year'!$A$3:$A$20000)-ROW('Local Data Previous Year'!$A$3)+1),ROW(367:367))))</f>
        <v/>
      </c>
      <c r="E399" s="755" t="str" cm="1">
        <f t="array" ref="E399">IF(ISERROR(INDEX('Local Data Previous Year'!$E$3:$E$20000,SMALL(IF(CTR1_Billing!$E$21='Local Data Previous Year'!$A$3:$A$20000,ROW('Local Data Previous Year'!$A$3:$A$20000)-ROW('Local Data Previous Year'!$A$3)+1),ROW(367:367)))),"",INDEX('Local Data Previous Year'!$E$3:$E$20000,SMALL(IF(CTR1_Billing!$E$21='Local Data Previous Year'!$A$3:$A$20000,ROW('Local Data Previous Year'!$A$3:$A$20000)-ROW('Local Data Previous Year'!$A$3)+1),ROW(367:367))))</f>
        <v/>
      </c>
      <c r="F399" s="756" t="str">
        <f>IF($D399="","",IF(ISNA(MATCH($D399,'Local Data Previous Year'!$D$3:$D$20000,0)),"New",IFERROR(VLOOKUP($B399,'Local Data Previous Year'!$D$3:$I$20000,6,0),"")))</f>
        <v/>
      </c>
      <c r="G399" s="757">
        <f t="shared" si="74"/>
        <v>0</v>
      </c>
      <c r="H399" s="758" t="str">
        <f>IFERROR(INDEX('Local Data Previous Year'!$F:$F, MATCH($D399, 'Local Data Previous Year'!$D:$D, 0)), "")</f>
        <v/>
      </c>
      <c r="I399" s="759">
        <f>IF(B399=CTR1_Billing!$E$21&amp;"NEW",1,0)</f>
        <v>0</v>
      </c>
      <c r="J399" s="760" t="str">
        <f>IFERROR(INDEX('Local Data Previous Year'!$G:$G, MATCH($D399, 'Local Data Previous Year'!$D:$D, 0)), "")</f>
        <v/>
      </c>
      <c r="K399" s="762"/>
      <c r="L399" s="760" t="str">
        <f>IFERROR(INDEX('Local Data Previous Year'!$H:$H, MATCH($D399, 'Local Data Previous Year'!$D:$D, 0)), "")</f>
        <v/>
      </c>
      <c r="M399" s="762"/>
      <c r="N399" s="763"/>
      <c r="O399" s="767"/>
      <c r="P399" s="765"/>
      <c r="Q399" s="767"/>
      <c r="R399" s="766" t="str">
        <f t="shared" si="75"/>
        <v/>
      </c>
      <c r="S399" s="754"/>
      <c r="T399" s="763"/>
      <c r="U399" s="754"/>
      <c r="V399" s="763"/>
      <c r="W399" s="763"/>
      <c r="X399" s="865" t="str">
        <f>VLOOKUP(CTR1_Billing!$E$21,Data!$C$6:$D$302,1,FALSE)</f>
        <v>EZZZZ</v>
      </c>
      <c r="Y399" s="205"/>
      <c r="Z399" s="205">
        <f t="shared" si="64"/>
        <v>0</v>
      </c>
      <c r="AA399" s="206" t="str">
        <f t="shared" si="40"/>
        <v/>
      </c>
      <c r="AB399" s="205">
        <f t="shared" si="65"/>
        <v>0</v>
      </c>
      <c r="AC399" s="208"/>
      <c r="AD399" s="208"/>
      <c r="AE399" s="208"/>
      <c r="AF399" s="208"/>
      <c r="AG399" s="209" t="str">
        <f>IFERROR(INDEX('Local Data Previous Year'!$F:$F, MATCH($D399, 'Local Data Previous Year'!$D:$D, 0)), "")</f>
        <v/>
      </c>
      <c r="AH399" s="209" t="str">
        <f>IFERROR(INDEX('Local Data Previous Year'!$G:$G, MATCH($D399, 'Local Data Previous Year'!$D:$D, 0)), "")</f>
        <v/>
      </c>
      <c r="AI399" s="209" t="str">
        <f>IFERROR(INDEX('Local Data Previous Year'!$H:$H, MATCH($D399, 'Local Data Previous Year'!$D:$D, 0)), "")</f>
        <v/>
      </c>
      <c r="AJ399" s="209" t="str">
        <f t="shared" si="66"/>
        <v/>
      </c>
      <c r="AK399" s="209" t="str">
        <f t="shared" si="67"/>
        <v/>
      </c>
      <c r="AL399" s="209" t="str">
        <f t="shared" si="68"/>
        <v/>
      </c>
      <c r="AM399" s="208" t="str">
        <f>IF($AN399="","",IFERROR(VLOOKUP(CONCATENATE(CTR1_Billing!$E$20,$AN399),'Local Data Previous Year'!$C$3:$D$50000,2,0),CTR1_Billing!$E$21&amp;"NEW"))</f>
        <v/>
      </c>
      <c r="AN399" s="209" t="str" cm="1">
        <f t="array" ref="AN399">IF(ISERROR(INDEX('Local Data Previous Year'!$E$3:$E$50000, SMALL(IF(CTR1_Billing!$E$21='Local Data Previous Year'!$A$3:$A$50000, ROW('Local Data Previous Year'!$A$3:$A$50000)-ROW('Local Data Previous Year'!$A$3)+1), ROW(367:367)))), "", INDEX('Local Data Previous Year'!$E$3:$E$50000, SMALL(IF(CTR1_Billing!$E$21='Local Data Previous Year'!$A$3:$A$50000, ROW('Local Data Previous Year'!$A$3:$A$50000)-ROW('Local Data Previous Year'!$A$3)+1), ROW(367:367))))</f>
        <v/>
      </c>
      <c r="AO399" s="209" t="str">
        <f t="shared" si="69"/>
        <v/>
      </c>
      <c r="AP399" s="208"/>
      <c r="AQ399" s="209" t="str">
        <f t="shared" si="70"/>
        <v/>
      </c>
      <c r="AR399" s="209" t="str">
        <f t="shared" si="71"/>
        <v/>
      </c>
      <c r="AS399" s="202" t="str">
        <f t="shared" si="72"/>
        <v/>
      </c>
      <c r="AT399" s="202" t="str">
        <f t="shared" si="73"/>
        <v/>
      </c>
      <c r="AU399" s="208"/>
      <c r="AV399" s="208"/>
      <c r="AW399" s="208"/>
      <c r="AX399" s="208"/>
      <c r="AY399" s="208"/>
      <c r="AZ399" s="208"/>
      <c r="BA399" s="208"/>
      <c r="BB399" s="208"/>
      <c r="BC399" s="208"/>
      <c r="BD399" s="208"/>
      <c r="BE399" s="208"/>
      <c r="BF399" s="208"/>
      <c r="BG399" s="28"/>
      <c r="BH399" s="28"/>
      <c r="BI399" s="28"/>
      <c r="BJ399" s="28"/>
    </row>
    <row r="400" spans="1:62" s="23" customFormat="1" ht="21" customHeight="1" thickBot="1" x14ac:dyDescent="0.25">
      <c r="A400" s="846" t="str">
        <f>IF($AN400="","",IFERROR(VLOOKUP(CONCATENATE(CTR1_Billing!$E$20,$AN400),'Local Data Previous Year'!$C$3:$D$20000,2,0),CTR1_Billing!$E$21&amp;"NEW"))</f>
        <v/>
      </c>
      <c r="B400" s="846" t="str">
        <f>IF($E400="","",IFERROR(VLOOKUP(CONCATENATE(CTR1_Billing!$E$20,CTR1_Local!$E400),'Local Data Previous Year'!$C$3:$D$20000,2,0),CTR1_Billing!$E$21&amp;"NEW"))</f>
        <v/>
      </c>
      <c r="C400" s="846">
        <v>368</v>
      </c>
      <c r="D400" s="755" t="str" cm="1">
        <f t="array" ref="D400">IF(ISERROR(INDEX('Local Data Previous Year'!$D$3:$D$20000,SMALL(IF(CTR1_Billing!$E$21='Local Data Previous Year'!$A$3:$A$20000,ROW('Local Data Previous Year'!$A$3:$A$20000)-ROW('Local Data Previous Year'!$A$3)+1),ROW(368:368)))),"",INDEX('Local Data Previous Year'!$D$3:$D$20000,SMALL(IF(CTR1_Billing!$E$21='Local Data Previous Year'!$A$3:$A$20000,ROW('Local Data Previous Year'!$A$3:$A$20000)-ROW('Local Data Previous Year'!$A$3)+1),ROW(368:368))))</f>
        <v/>
      </c>
      <c r="E400" s="755" t="str" cm="1">
        <f t="array" ref="E400">IF(ISERROR(INDEX('Local Data Previous Year'!$E$3:$E$20000,SMALL(IF(CTR1_Billing!$E$21='Local Data Previous Year'!$A$3:$A$20000,ROW('Local Data Previous Year'!$A$3:$A$20000)-ROW('Local Data Previous Year'!$A$3)+1),ROW(368:368)))),"",INDEX('Local Data Previous Year'!$E$3:$E$20000,SMALL(IF(CTR1_Billing!$E$21='Local Data Previous Year'!$A$3:$A$20000,ROW('Local Data Previous Year'!$A$3:$A$20000)-ROW('Local Data Previous Year'!$A$3)+1),ROW(368:368))))</f>
        <v/>
      </c>
      <c r="F400" s="756" t="str">
        <f>IF($D400="","",IF(ISNA(MATCH($D400,'Local Data Previous Year'!$D$3:$D$20000,0)),"New",IFERROR(VLOOKUP($B400,'Local Data Previous Year'!$D$3:$I$20000,6,0),"")))</f>
        <v/>
      </c>
      <c r="G400" s="757">
        <f t="shared" si="74"/>
        <v>0</v>
      </c>
      <c r="H400" s="758" t="str">
        <f>IFERROR(INDEX('Local Data Previous Year'!$F:$F, MATCH($D400, 'Local Data Previous Year'!$D:$D, 0)), "")</f>
        <v/>
      </c>
      <c r="I400" s="759">
        <f>IF(B400=CTR1_Billing!$E$21&amp;"NEW",1,0)</f>
        <v>0</v>
      </c>
      <c r="J400" s="760" t="str">
        <f>IFERROR(INDEX('Local Data Previous Year'!$G:$G, MATCH($D400, 'Local Data Previous Year'!$D:$D, 0)), "")</f>
        <v/>
      </c>
      <c r="K400" s="762"/>
      <c r="L400" s="760" t="str">
        <f>IFERROR(INDEX('Local Data Previous Year'!$H:$H, MATCH($D400, 'Local Data Previous Year'!$D:$D, 0)), "")</f>
        <v/>
      </c>
      <c r="M400" s="762"/>
      <c r="N400" s="763"/>
      <c r="O400" s="767"/>
      <c r="P400" s="765"/>
      <c r="Q400" s="767"/>
      <c r="R400" s="766" t="str">
        <f t="shared" si="75"/>
        <v/>
      </c>
      <c r="S400" s="754"/>
      <c r="T400" s="763"/>
      <c r="U400" s="754"/>
      <c r="V400" s="763"/>
      <c r="W400" s="763"/>
      <c r="X400" s="865" t="str">
        <f>VLOOKUP(CTR1_Billing!$E$21,Data!$C$6:$D$302,1,FALSE)</f>
        <v>EZZZZ</v>
      </c>
      <c r="Y400" s="205"/>
      <c r="Z400" s="205">
        <f t="shared" si="64"/>
        <v>0</v>
      </c>
      <c r="AA400" s="206" t="str">
        <f t="shared" si="40"/>
        <v/>
      </c>
      <c r="AB400" s="205">
        <f t="shared" si="65"/>
        <v>0</v>
      </c>
      <c r="AC400" s="208"/>
      <c r="AD400" s="208"/>
      <c r="AE400" s="208"/>
      <c r="AF400" s="208"/>
      <c r="AG400" s="209" t="str">
        <f>IFERROR(INDEX('Local Data Previous Year'!$F:$F, MATCH($D400, 'Local Data Previous Year'!$D:$D, 0)), "")</f>
        <v/>
      </c>
      <c r="AH400" s="209" t="str">
        <f>IFERROR(INDEX('Local Data Previous Year'!$G:$G, MATCH($D400, 'Local Data Previous Year'!$D:$D, 0)), "")</f>
        <v/>
      </c>
      <c r="AI400" s="209" t="str">
        <f>IFERROR(INDEX('Local Data Previous Year'!$H:$H, MATCH($D400, 'Local Data Previous Year'!$D:$D, 0)), "")</f>
        <v/>
      </c>
      <c r="AJ400" s="209" t="str">
        <f t="shared" si="66"/>
        <v/>
      </c>
      <c r="AK400" s="209" t="str">
        <f t="shared" si="67"/>
        <v/>
      </c>
      <c r="AL400" s="209" t="str">
        <f t="shared" si="68"/>
        <v/>
      </c>
      <c r="AM400" s="208" t="str">
        <f>IF($AN400="","",IFERROR(VLOOKUP(CONCATENATE(CTR1_Billing!$E$20,$AN400),'Local Data Previous Year'!$C$3:$D$50000,2,0),CTR1_Billing!$E$21&amp;"NEW"))</f>
        <v/>
      </c>
      <c r="AN400" s="209" t="str" cm="1">
        <f t="array" ref="AN400">IF(ISERROR(INDEX('Local Data Previous Year'!$E$3:$E$50000, SMALL(IF(CTR1_Billing!$E$21='Local Data Previous Year'!$A$3:$A$50000, ROW('Local Data Previous Year'!$A$3:$A$50000)-ROW('Local Data Previous Year'!$A$3)+1), ROW(368:368)))), "", INDEX('Local Data Previous Year'!$E$3:$E$50000, SMALL(IF(CTR1_Billing!$E$21='Local Data Previous Year'!$A$3:$A$50000, ROW('Local Data Previous Year'!$A$3:$A$50000)-ROW('Local Data Previous Year'!$A$3)+1), ROW(368:368))))</f>
        <v/>
      </c>
      <c r="AO400" s="209" t="str">
        <f t="shared" si="69"/>
        <v/>
      </c>
      <c r="AP400" s="208"/>
      <c r="AQ400" s="209" t="str">
        <f t="shared" si="70"/>
        <v/>
      </c>
      <c r="AR400" s="209" t="str">
        <f t="shared" si="71"/>
        <v/>
      </c>
      <c r="AS400" s="202" t="str">
        <f t="shared" si="72"/>
        <v/>
      </c>
      <c r="AT400" s="202" t="str">
        <f t="shared" si="73"/>
        <v/>
      </c>
      <c r="AU400" s="208"/>
      <c r="AV400" s="208"/>
      <c r="AW400" s="208"/>
      <c r="AX400" s="208"/>
      <c r="AY400" s="208"/>
      <c r="AZ400" s="208"/>
      <c r="BA400" s="208"/>
      <c r="BB400" s="208"/>
      <c r="BC400" s="208"/>
      <c r="BD400" s="208"/>
      <c r="BE400" s="208"/>
      <c r="BF400" s="208"/>
      <c r="BG400" s="28"/>
      <c r="BH400" s="28"/>
      <c r="BI400" s="28"/>
      <c r="BJ400" s="28"/>
    </row>
    <row r="401" spans="1:62" s="23" customFormat="1" ht="21" customHeight="1" thickBot="1" x14ac:dyDescent="0.25">
      <c r="A401" s="846" t="str">
        <f>IF($AN401="","",IFERROR(VLOOKUP(CONCATENATE(CTR1_Billing!$E$20,$AN401),'Local Data Previous Year'!$C$3:$D$20000,2,0),CTR1_Billing!$E$21&amp;"NEW"))</f>
        <v/>
      </c>
      <c r="B401" s="846" t="str">
        <f>IF($E401="","",IFERROR(VLOOKUP(CONCATENATE(CTR1_Billing!$E$20,CTR1_Local!$E401),'Local Data Previous Year'!$C$3:$D$20000,2,0),CTR1_Billing!$E$21&amp;"NEW"))</f>
        <v/>
      </c>
      <c r="C401" s="846">
        <v>369</v>
      </c>
      <c r="D401" s="755" t="str" cm="1">
        <f t="array" ref="D401">IF(ISERROR(INDEX('Local Data Previous Year'!$D$3:$D$20000,SMALL(IF(CTR1_Billing!$E$21='Local Data Previous Year'!$A$3:$A$20000,ROW('Local Data Previous Year'!$A$3:$A$20000)-ROW('Local Data Previous Year'!$A$3)+1),ROW(369:369)))),"",INDEX('Local Data Previous Year'!$D$3:$D$20000,SMALL(IF(CTR1_Billing!$E$21='Local Data Previous Year'!$A$3:$A$20000,ROW('Local Data Previous Year'!$A$3:$A$20000)-ROW('Local Data Previous Year'!$A$3)+1),ROW(369:369))))</f>
        <v/>
      </c>
      <c r="E401" s="755" t="str" cm="1">
        <f t="array" ref="E401">IF(ISERROR(INDEX('Local Data Previous Year'!$E$3:$E$20000,SMALL(IF(CTR1_Billing!$E$21='Local Data Previous Year'!$A$3:$A$20000,ROW('Local Data Previous Year'!$A$3:$A$20000)-ROW('Local Data Previous Year'!$A$3)+1),ROW(369:369)))),"",INDEX('Local Data Previous Year'!$E$3:$E$20000,SMALL(IF(CTR1_Billing!$E$21='Local Data Previous Year'!$A$3:$A$20000,ROW('Local Data Previous Year'!$A$3:$A$20000)-ROW('Local Data Previous Year'!$A$3)+1),ROW(369:369))))</f>
        <v/>
      </c>
      <c r="F401" s="756" t="str">
        <f>IF($D401="","",IF(ISNA(MATCH($D401,'Local Data Previous Year'!$D$3:$D$20000,0)),"New",IFERROR(VLOOKUP($B401,'Local Data Previous Year'!$D$3:$I$20000,6,0),"")))</f>
        <v/>
      </c>
      <c r="G401" s="757">
        <f t="shared" si="74"/>
        <v>0</v>
      </c>
      <c r="H401" s="758" t="str">
        <f>IFERROR(INDEX('Local Data Previous Year'!$F:$F, MATCH($D401, 'Local Data Previous Year'!$D:$D, 0)), "")</f>
        <v/>
      </c>
      <c r="I401" s="759">
        <f>IF(B401=CTR1_Billing!$E$21&amp;"NEW",1,0)</f>
        <v>0</v>
      </c>
      <c r="J401" s="760" t="str">
        <f>IFERROR(INDEX('Local Data Previous Year'!$G:$G, MATCH($D401, 'Local Data Previous Year'!$D:$D, 0)), "")</f>
        <v/>
      </c>
      <c r="K401" s="762"/>
      <c r="L401" s="760" t="str">
        <f>IFERROR(INDEX('Local Data Previous Year'!$H:$H, MATCH($D401, 'Local Data Previous Year'!$D:$D, 0)), "")</f>
        <v/>
      </c>
      <c r="M401" s="762"/>
      <c r="N401" s="763"/>
      <c r="O401" s="767"/>
      <c r="P401" s="765"/>
      <c r="Q401" s="767"/>
      <c r="R401" s="766" t="str">
        <f t="shared" si="75"/>
        <v/>
      </c>
      <c r="S401" s="754"/>
      <c r="T401" s="763"/>
      <c r="U401" s="754"/>
      <c r="V401" s="763"/>
      <c r="W401" s="763"/>
      <c r="X401" s="865" t="str">
        <f>VLOOKUP(CTR1_Billing!$E$21,Data!$C$6:$D$302,1,FALSE)</f>
        <v>EZZZZ</v>
      </c>
      <c r="Y401" s="205"/>
      <c r="Z401" s="205">
        <f t="shared" si="64"/>
        <v>0</v>
      </c>
      <c r="AA401" s="206" t="str">
        <f t="shared" si="40"/>
        <v/>
      </c>
      <c r="AB401" s="205">
        <f t="shared" si="65"/>
        <v>0</v>
      </c>
      <c r="AC401" s="208"/>
      <c r="AD401" s="208"/>
      <c r="AE401" s="208"/>
      <c r="AF401" s="208"/>
      <c r="AG401" s="209" t="str">
        <f>IFERROR(INDEX('Local Data Previous Year'!$F:$F, MATCH($D401, 'Local Data Previous Year'!$D:$D, 0)), "")</f>
        <v/>
      </c>
      <c r="AH401" s="209" t="str">
        <f>IFERROR(INDEX('Local Data Previous Year'!$G:$G, MATCH($D401, 'Local Data Previous Year'!$D:$D, 0)), "")</f>
        <v/>
      </c>
      <c r="AI401" s="209" t="str">
        <f>IFERROR(INDEX('Local Data Previous Year'!$H:$H, MATCH($D401, 'Local Data Previous Year'!$D:$D, 0)), "")</f>
        <v/>
      </c>
      <c r="AJ401" s="209" t="str">
        <f t="shared" si="66"/>
        <v/>
      </c>
      <c r="AK401" s="209" t="str">
        <f t="shared" si="67"/>
        <v/>
      </c>
      <c r="AL401" s="209" t="str">
        <f t="shared" si="68"/>
        <v/>
      </c>
      <c r="AM401" s="208" t="str">
        <f>IF($AN401="","",IFERROR(VLOOKUP(CONCATENATE(CTR1_Billing!$E$20,$AN401),'Local Data Previous Year'!$C$3:$D$50000,2,0),CTR1_Billing!$E$21&amp;"NEW"))</f>
        <v/>
      </c>
      <c r="AN401" s="209" t="str" cm="1">
        <f t="array" ref="AN401">IF(ISERROR(INDEX('Local Data Previous Year'!$E$3:$E$50000, SMALL(IF(CTR1_Billing!$E$21='Local Data Previous Year'!$A$3:$A$50000, ROW('Local Data Previous Year'!$A$3:$A$50000)-ROW('Local Data Previous Year'!$A$3)+1), ROW(369:369)))), "", INDEX('Local Data Previous Year'!$E$3:$E$50000, SMALL(IF(CTR1_Billing!$E$21='Local Data Previous Year'!$A$3:$A$50000, ROW('Local Data Previous Year'!$A$3:$A$50000)-ROW('Local Data Previous Year'!$A$3)+1), ROW(369:369))))</f>
        <v/>
      </c>
      <c r="AO401" s="209" t="str">
        <f t="shared" si="69"/>
        <v/>
      </c>
      <c r="AP401" s="208"/>
      <c r="AQ401" s="209" t="str">
        <f t="shared" si="70"/>
        <v/>
      </c>
      <c r="AR401" s="209" t="str">
        <f t="shared" si="71"/>
        <v/>
      </c>
      <c r="AS401" s="202" t="str">
        <f t="shared" si="72"/>
        <v/>
      </c>
      <c r="AT401" s="202" t="str">
        <f t="shared" si="73"/>
        <v/>
      </c>
      <c r="AU401" s="208"/>
      <c r="AV401" s="208"/>
      <c r="AW401" s="208"/>
      <c r="AX401" s="208"/>
      <c r="AY401" s="208"/>
      <c r="AZ401" s="208"/>
      <c r="BA401" s="208"/>
      <c r="BB401" s="208"/>
      <c r="BC401" s="208"/>
      <c r="BD401" s="208"/>
      <c r="BE401" s="208"/>
      <c r="BF401" s="208"/>
      <c r="BG401" s="28"/>
      <c r="BH401" s="28"/>
      <c r="BI401" s="28"/>
      <c r="BJ401" s="28"/>
    </row>
    <row r="402" spans="1:62" s="23" customFormat="1" ht="21" customHeight="1" thickBot="1" x14ac:dyDescent="0.25">
      <c r="A402" s="846" t="str">
        <f>IF($AN402="","",IFERROR(VLOOKUP(CONCATENATE(CTR1_Billing!$E$20,$AN402),'Local Data Previous Year'!$C$3:$D$20000,2,0),CTR1_Billing!$E$21&amp;"NEW"))</f>
        <v/>
      </c>
      <c r="B402" s="846" t="str">
        <f>IF($E402="","",IFERROR(VLOOKUP(CONCATENATE(CTR1_Billing!$E$20,CTR1_Local!$E402),'Local Data Previous Year'!$C$3:$D$20000,2,0),CTR1_Billing!$E$21&amp;"NEW"))</f>
        <v/>
      </c>
      <c r="C402" s="846">
        <v>370</v>
      </c>
      <c r="D402" s="755" t="str" cm="1">
        <f t="array" ref="D402">IF(ISERROR(INDEX('Local Data Previous Year'!$D$3:$D$20000,SMALL(IF(CTR1_Billing!$E$21='Local Data Previous Year'!$A$3:$A$20000,ROW('Local Data Previous Year'!$A$3:$A$20000)-ROW('Local Data Previous Year'!$A$3)+1),ROW(370:370)))),"",INDEX('Local Data Previous Year'!$D$3:$D$20000,SMALL(IF(CTR1_Billing!$E$21='Local Data Previous Year'!$A$3:$A$20000,ROW('Local Data Previous Year'!$A$3:$A$20000)-ROW('Local Data Previous Year'!$A$3)+1),ROW(370:370))))</f>
        <v/>
      </c>
      <c r="E402" s="755" t="str" cm="1">
        <f t="array" ref="E402">IF(ISERROR(INDEX('Local Data Previous Year'!$E$3:$E$20000,SMALL(IF(CTR1_Billing!$E$21='Local Data Previous Year'!$A$3:$A$20000,ROW('Local Data Previous Year'!$A$3:$A$20000)-ROW('Local Data Previous Year'!$A$3)+1),ROW(370:370)))),"",INDEX('Local Data Previous Year'!$E$3:$E$20000,SMALL(IF(CTR1_Billing!$E$21='Local Data Previous Year'!$A$3:$A$20000,ROW('Local Data Previous Year'!$A$3:$A$20000)-ROW('Local Data Previous Year'!$A$3)+1),ROW(370:370))))</f>
        <v/>
      </c>
      <c r="F402" s="756" t="str">
        <f>IF($D402="","",IF(ISNA(MATCH($D402,'Local Data Previous Year'!$D$3:$D$20000,0)),"New",IFERROR(VLOOKUP($B402,'Local Data Previous Year'!$D$3:$I$20000,6,0),"")))</f>
        <v/>
      </c>
      <c r="G402" s="757">
        <f t="shared" si="74"/>
        <v>0</v>
      </c>
      <c r="H402" s="758" t="str">
        <f>IFERROR(INDEX('Local Data Previous Year'!$F:$F, MATCH($D402, 'Local Data Previous Year'!$D:$D, 0)), "")</f>
        <v/>
      </c>
      <c r="I402" s="759">
        <f>IF(B402=CTR1_Billing!$E$21&amp;"NEW",1,0)</f>
        <v>0</v>
      </c>
      <c r="J402" s="760" t="str">
        <f>IFERROR(INDEX('Local Data Previous Year'!$G:$G, MATCH($D402, 'Local Data Previous Year'!$D:$D, 0)), "")</f>
        <v/>
      </c>
      <c r="K402" s="762"/>
      <c r="L402" s="760" t="str">
        <f>IFERROR(INDEX('Local Data Previous Year'!$H:$H, MATCH($D402, 'Local Data Previous Year'!$D:$D, 0)), "")</f>
        <v/>
      </c>
      <c r="M402" s="762"/>
      <c r="N402" s="763"/>
      <c r="O402" s="767"/>
      <c r="P402" s="765"/>
      <c r="Q402" s="767"/>
      <c r="R402" s="766" t="str">
        <f t="shared" si="75"/>
        <v/>
      </c>
      <c r="S402" s="754"/>
      <c r="T402" s="763"/>
      <c r="U402" s="754"/>
      <c r="V402" s="763"/>
      <c r="W402" s="763"/>
      <c r="X402" s="865" t="str">
        <f>VLOOKUP(CTR1_Billing!$E$21,Data!$C$6:$D$302,1,FALSE)</f>
        <v>EZZZZ</v>
      </c>
      <c r="Y402" s="205"/>
      <c r="Z402" s="205">
        <f t="shared" si="64"/>
        <v>0</v>
      </c>
      <c r="AA402" s="206" t="str">
        <f t="shared" si="40"/>
        <v/>
      </c>
      <c r="AB402" s="205">
        <f t="shared" si="65"/>
        <v>0</v>
      </c>
      <c r="AC402" s="208"/>
      <c r="AD402" s="208"/>
      <c r="AE402" s="208"/>
      <c r="AF402" s="208"/>
      <c r="AG402" s="209" t="str">
        <f>IFERROR(INDEX('Local Data Previous Year'!$F:$F, MATCH($D402, 'Local Data Previous Year'!$D:$D, 0)), "")</f>
        <v/>
      </c>
      <c r="AH402" s="209" t="str">
        <f>IFERROR(INDEX('Local Data Previous Year'!$G:$G, MATCH($D402, 'Local Data Previous Year'!$D:$D, 0)), "")</f>
        <v/>
      </c>
      <c r="AI402" s="209" t="str">
        <f>IFERROR(INDEX('Local Data Previous Year'!$H:$H, MATCH($D402, 'Local Data Previous Year'!$D:$D, 0)), "")</f>
        <v/>
      </c>
      <c r="AJ402" s="209" t="str">
        <f t="shared" si="66"/>
        <v/>
      </c>
      <c r="AK402" s="209" t="str">
        <f t="shared" si="67"/>
        <v/>
      </c>
      <c r="AL402" s="209" t="str">
        <f t="shared" si="68"/>
        <v/>
      </c>
      <c r="AM402" s="208" t="str">
        <f>IF($AN402="","",IFERROR(VLOOKUP(CONCATENATE(CTR1_Billing!$E$20,$AN402),'Local Data Previous Year'!$C$3:$D$50000,2,0),CTR1_Billing!$E$21&amp;"NEW"))</f>
        <v/>
      </c>
      <c r="AN402" s="209" t="str" cm="1">
        <f t="array" ref="AN402">IF(ISERROR(INDEX('Local Data Previous Year'!$E$3:$E$50000, SMALL(IF(CTR1_Billing!$E$21='Local Data Previous Year'!$A$3:$A$50000, ROW('Local Data Previous Year'!$A$3:$A$50000)-ROW('Local Data Previous Year'!$A$3)+1), ROW(370:370)))), "", INDEX('Local Data Previous Year'!$E$3:$E$50000, SMALL(IF(CTR1_Billing!$E$21='Local Data Previous Year'!$A$3:$A$50000, ROW('Local Data Previous Year'!$A$3:$A$50000)-ROW('Local Data Previous Year'!$A$3)+1), ROW(370:370))))</f>
        <v/>
      </c>
      <c r="AO402" s="209" t="str">
        <f t="shared" si="69"/>
        <v/>
      </c>
      <c r="AP402" s="208"/>
      <c r="AQ402" s="209" t="str">
        <f t="shared" si="70"/>
        <v/>
      </c>
      <c r="AR402" s="209" t="str">
        <f t="shared" si="71"/>
        <v/>
      </c>
      <c r="AS402" s="202" t="str">
        <f t="shared" si="72"/>
        <v/>
      </c>
      <c r="AT402" s="202" t="str">
        <f t="shared" si="73"/>
        <v/>
      </c>
      <c r="AU402" s="208"/>
      <c r="AV402" s="208"/>
      <c r="AW402" s="208"/>
      <c r="AX402" s="208"/>
      <c r="AY402" s="208"/>
      <c r="AZ402" s="208"/>
      <c r="BA402" s="208"/>
      <c r="BB402" s="208"/>
      <c r="BC402" s="208"/>
      <c r="BD402" s="208"/>
      <c r="BE402" s="208"/>
      <c r="BF402" s="208"/>
      <c r="BG402" s="28"/>
      <c r="BH402" s="28"/>
      <c r="BI402" s="28"/>
      <c r="BJ402" s="28"/>
    </row>
    <row r="403" spans="1:62" s="23" customFormat="1" ht="21" customHeight="1" thickBot="1" x14ac:dyDescent="0.25">
      <c r="A403" s="846" t="str">
        <f>IF($AN403="","",IFERROR(VLOOKUP(CONCATENATE(CTR1_Billing!$E$20,$AN403),'Local Data Previous Year'!$C$3:$D$20000,2,0),CTR1_Billing!$E$21&amp;"NEW"))</f>
        <v/>
      </c>
      <c r="B403" s="846" t="str">
        <f>IF($E403="","",IFERROR(VLOOKUP(CONCATENATE(CTR1_Billing!$E$20,CTR1_Local!$E403),'Local Data Previous Year'!$C$3:$D$20000,2,0),CTR1_Billing!$E$21&amp;"NEW"))</f>
        <v/>
      </c>
      <c r="C403" s="846">
        <v>371</v>
      </c>
      <c r="D403" s="755" t="str" cm="1">
        <f t="array" ref="D403">IF(ISERROR(INDEX('Local Data Previous Year'!$D$3:$D$20000,SMALL(IF(CTR1_Billing!$E$21='Local Data Previous Year'!$A$3:$A$20000,ROW('Local Data Previous Year'!$A$3:$A$20000)-ROW('Local Data Previous Year'!$A$3)+1),ROW(371:371)))),"",INDEX('Local Data Previous Year'!$D$3:$D$20000,SMALL(IF(CTR1_Billing!$E$21='Local Data Previous Year'!$A$3:$A$20000,ROW('Local Data Previous Year'!$A$3:$A$20000)-ROW('Local Data Previous Year'!$A$3)+1),ROW(371:371))))</f>
        <v/>
      </c>
      <c r="E403" s="755" t="str" cm="1">
        <f t="array" ref="E403">IF(ISERROR(INDEX('Local Data Previous Year'!$E$3:$E$20000,SMALL(IF(CTR1_Billing!$E$21='Local Data Previous Year'!$A$3:$A$20000,ROW('Local Data Previous Year'!$A$3:$A$20000)-ROW('Local Data Previous Year'!$A$3)+1),ROW(371:371)))),"",INDEX('Local Data Previous Year'!$E$3:$E$20000,SMALL(IF(CTR1_Billing!$E$21='Local Data Previous Year'!$A$3:$A$20000,ROW('Local Data Previous Year'!$A$3:$A$20000)-ROW('Local Data Previous Year'!$A$3)+1),ROW(371:371))))</f>
        <v/>
      </c>
      <c r="F403" s="756" t="str">
        <f>IF($D403="","",IF(ISNA(MATCH($D403,'Local Data Previous Year'!$D$3:$D$20000,0)),"New",IFERROR(VLOOKUP($B403,'Local Data Previous Year'!$D$3:$I$20000,6,0),"")))</f>
        <v/>
      </c>
      <c r="G403" s="757">
        <f t="shared" si="74"/>
        <v>0</v>
      </c>
      <c r="H403" s="758" t="str">
        <f>IFERROR(INDEX('Local Data Previous Year'!$F:$F, MATCH($D403, 'Local Data Previous Year'!$D:$D, 0)), "")</f>
        <v/>
      </c>
      <c r="I403" s="759">
        <f>IF(B403=CTR1_Billing!$E$21&amp;"NEW",1,0)</f>
        <v>0</v>
      </c>
      <c r="J403" s="760" t="str">
        <f>IFERROR(INDEX('Local Data Previous Year'!$G:$G, MATCH($D403, 'Local Data Previous Year'!$D:$D, 0)), "")</f>
        <v/>
      </c>
      <c r="K403" s="762"/>
      <c r="L403" s="760" t="str">
        <f>IFERROR(INDEX('Local Data Previous Year'!$H:$H, MATCH($D403, 'Local Data Previous Year'!$D:$D, 0)), "")</f>
        <v/>
      </c>
      <c r="M403" s="762"/>
      <c r="N403" s="763"/>
      <c r="O403" s="767"/>
      <c r="P403" s="765"/>
      <c r="Q403" s="767"/>
      <c r="R403" s="766" t="str">
        <f t="shared" si="75"/>
        <v/>
      </c>
      <c r="S403" s="754"/>
      <c r="T403" s="763"/>
      <c r="U403" s="754"/>
      <c r="V403" s="763"/>
      <c r="W403" s="763"/>
      <c r="X403" s="865" t="str">
        <f>VLOOKUP(CTR1_Billing!$E$21,Data!$C$6:$D$302,1,FALSE)</f>
        <v>EZZZZ</v>
      </c>
      <c r="Y403" s="205"/>
      <c r="Z403" s="205">
        <f t="shared" si="64"/>
        <v>0</v>
      </c>
      <c r="AA403" s="206" t="str">
        <f t="shared" si="40"/>
        <v/>
      </c>
      <c r="AB403" s="205">
        <f t="shared" si="65"/>
        <v>0</v>
      </c>
      <c r="AC403" s="208"/>
      <c r="AD403" s="208"/>
      <c r="AE403" s="208"/>
      <c r="AF403" s="208"/>
      <c r="AG403" s="209" t="str">
        <f>IFERROR(INDEX('Local Data Previous Year'!$F:$F, MATCH($D403, 'Local Data Previous Year'!$D:$D, 0)), "")</f>
        <v/>
      </c>
      <c r="AH403" s="209" t="str">
        <f>IFERROR(INDEX('Local Data Previous Year'!$G:$G, MATCH($D403, 'Local Data Previous Year'!$D:$D, 0)), "")</f>
        <v/>
      </c>
      <c r="AI403" s="209" t="str">
        <f>IFERROR(INDEX('Local Data Previous Year'!$H:$H, MATCH($D403, 'Local Data Previous Year'!$D:$D, 0)), "")</f>
        <v/>
      </c>
      <c r="AJ403" s="209" t="str">
        <f t="shared" si="66"/>
        <v/>
      </c>
      <c r="AK403" s="209" t="str">
        <f t="shared" si="67"/>
        <v/>
      </c>
      <c r="AL403" s="209" t="str">
        <f t="shared" si="68"/>
        <v/>
      </c>
      <c r="AM403" s="208" t="str">
        <f>IF($AN403="","",IFERROR(VLOOKUP(CONCATENATE(CTR1_Billing!$E$20,$AN403),'Local Data Previous Year'!$C$3:$D$50000,2,0),CTR1_Billing!$E$21&amp;"NEW"))</f>
        <v/>
      </c>
      <c r="AN403" s="209" t="str" cm="1">
        <f t="array" ref="AN403">IF(ISERROR(INDEX('Local Data Previous Year'!$E$3:$E$50000, SMALL(IF(CTR1_Billing!$E$21='Local Data Previous Year'!$A$3:$A$50000, ROW('Local Data Previous Year'!$A$3:$A$50000)-ROW('Local Data Previous Year'!$A$3)+1), ROW(371:371)))), "", INDEX('Local Data Previous Year'!$E$3:$E$50000, SMALL(IF(CTR1_Billing!$E$21='Local Data Previous Year'!$A$3:$A$50000, ROW('Local Data Previous Year'!$A$3:$A$50000)-ROW('Local Data Previous Year'!$A$3)+1), ROW(371:371))))</f>
        <v/>
      </c>
      <c r="AO403" s="209" t="str">
        <f t="shared" si="69"/>
        <v/>
      </c>
      <c r="AP403" s="208"/>
      <c r="AQ403" s="209" t="str">
        <f t="shared" si="70"/>
        <v/>
      </c>
      <c r="AR403" s="209" t="str">
        <f t="shared" si="71"/>
        <v/>
      </c>
      <c r="AS403" s="202" t="str">
        <f t="shared" si="72"/>
        <v/>
      </c>
      <c r="AT403" s="202" t="str">
        <f t="shared" si="73"/>
        <v/>
      </c>
      <c r="AU403" s="208"/>
      <c r="AV403" s="208"/>
      <c r="AW403" s="208"/>
      <c r="AX403" s="208"/>
      <c r="AY403" s="208"/>
      <c r="AZ403" s="208"/>
      <c r="BA403" s="208"/>
      <c r="BB403" s="208"/>
      <c r="BC403" s="208"/>
      <c r="BD403" s="208"/>
      <c r="BE403" s="208"/>
      <c r="BF403" s="208"/>
      <c r="BG403" s="28"/>
      <c r="BH403" s="28"/>
      <c r="BI403" s="28"/>
      <c r="BJ403" s="28"/>
    </row>
    <row r="404" spans="1:62" s="23" customFormat="1" ht="21" customHeight="1" thickBot="1" x14ac:dyDescent="0.25">
      <c r="A404" s="846" t="str">
        <f>IF($AN404="","",IFERROR(VLOOKUP(CONCATENATE(CTR1_Billing!$E$20,$AN404),'Local Data Previous Year'!$C$3:$D$20000,2,0),CTR1_Billing!$E$21&amp;"NEW"))</f>
        <v/>
      </c>
      <c r="B404" s="846" t="str">
        <f>IF($E404="","",IFERROR(VLOOKUP(CONCATENATE(CTR1_Billing!$E$20,CTR1_Local!$E404),'Local Data Previous Year'!$C$3:$D$20000,2,0),CTR1_Billing!$E$21&amp;"NEW"))</f>
        <v/>
      </c>
      <c r="C404" s="846">
        <v>372</v>
      </c>
      <c r="D404" s="755" t="str" cm="1">
        <f t="array" ref="D404">IF(ISERROR(INDEX('Local Data Previous Year'!$D$3:$D$20000,SMALL(IF(CTR1_Billing!$E$21='Local Data Previous Year'!$A$3:$A$20000,ROW('Local Data Previous Year'!$A$3:$A$20000)-ROW('Local Data Previous Year'!$A$3)+1),ROW(372:372)))),"",INDEX('Local Data Previous Year'!$D$3:$D$20000,SMALL(IF(CTR1_Billing!$E$21='Local Data Previous Year'!$A$3:$A$20000,ROW('Local Data Previous Year'!$A$3:$A$20000)-ROW('Local Data Previous Year'!$A$3)+1),ROW(372:372))))</f>
        <v/>
      </c>
      <c r="E404" s="755" t="str" cm="1">
        <f t="array" ref="E404">IF(ISERROR(INDEX('Local Data Previous Year'!$E$3:$E$20000,SMALL(IF(CTR1_Billing!$E$21='Local Data Previous Year'!$A$3:$A$20000,ROW('Local Data Previous Year'!$A$3:$A$20000)-ROW('Local Data Previous Year'!$A$3)+1),ROW(372:372)))),"",INDEX('Local Data Previous Year'!$E$3:$E$20000,SMALL(IF(CTR1_Billing!$E$21='Local Data Previous Year'!$A$3:$A$20000,ROW('Local Data Previous Year'!$A$3:$A$20000)-ROW('Local Data Previous Year'!$A$3)+1),ROW(372:372))))</f>
        <v/>
      </c>
      <c r="F404" s="756" t="str">
        <f>IF($D404="","",IF(ISNA(MATCH($D404,'Local Data Previous Year'!$D$3:$D$20000,0)),"New",IFERROR(VLOOKUP($B404,'Local Data Previous Year'!$D$3:$I$20000,6,0),"")))</f>
        <v/>
      </c>
      <c r="G404" s="757">
        <f t="shared" si="74"/>
        <v>0</v>
      </c>
      <c r="H404" s="758" t="str">
        <f>IFERROR(INDEX('Local Data Previous Year'!$F:$F, MATCH($D404, 'Local Data Previous Year'!$D:$D, 0)), "")</f>
        <v/>
      </c>
      <c r="I404" s="759">
        <f>IF(B404=CTR1_Billing!$E$21&amp;"NEW",1,0)</f>
        <v>0</v>
      </c>
      <c r="J404" s="760" t="str">
        <f>IFERROR(INDEX('Local Data Previous Year'!$G:$G, MATCH($D404, 'Local Data Previous Year'!$D:$D, 0)), "")</f>
        <v/>
      </c>
      <c r="K404" s="762"/>
      <c r="L404" s="760" t="str">
        <f>IFERROR(INDEX('Local Data Previous Year'!$H:$H, MATCH($D404, 'Local Data Previous Year'!$D:$D, 0)), "")</f>
        <v/>
      </c>
      <c r="M404" s="762"/>
      <c r="N404" s="763"/>
      <c r="O404" s="767"/>
      <c r="P404" s="765"/>
      <c r="Q404" s="767"/>
      <c r="R404" s="766" t="str">
        <f t="shared" si="75"/>
        <v/>
      </c>
      <c r="S404" s="754"/>
      <c r="T404" s="763"/>
      <c r="U404" s="754"/>
      <c r="V404" s="763"/>
      <c r="W404" s="763"/>
      <c r="X404" s="865" t="str">
        <f>VLOOKUP(CTR1_Billing!$E$21,Data!$C$6:$D$302,1,FALSE)</f>
        <v>EZZZZ</v>
      </c>
      <c r="Y404" s="205"/>
      <c r="Z404" s="205">
        <f t="shared" si="64"/>
        <v>0</v>
      </c>
      <c r="AA404" s="206" t="str">
        <f t="shared" si="40"/>
        <v/>
      </c>
      <c r="AB404" s="205">
        <f t="shared" si="65"/>
        <v>0</v>
      </c>
      <c r="AC404" s="208"/>
      <c r="AD404" s="208"/>
      <c r="AE404" s="208"/>
      <c r="AF404" s="208"/>
      <c r="AG404" s="209" t="str">
        <f>IFERROR(INDEX('Local Data Previous Year'!$F:$F, MATCH($D404, 'Local Data Previous Year'!$D:$D, 0)), "")</f>
        <v/>
      </c>
      <c r="AH404" s="209" t="str">
        <f>IFERROR(INDEX('Local Data Previous Year'!$G:$G, MATCH($D404, 'Local Data Previous Year'!$D:$D, 0)), "")</f>
        <v/>
      </c>
      <c r="AI404" s="209" t="str">
        <f>IFERROR(INDEX('Local Data Previous Year'!$H:$H, MATCH($D404, 'Local Data Previous Year'!$D:$D, 0)), "")</f>
        <v/>
      </c>
      <c r="AJ404" s="209" t="str">
        <f t="shared" si="66"/>
        <v/>
      </c>
      <c r="AK404" s="209" t="str">
        <f t="shared" si="67"/>
        <v/>
      </c>
      <c r="AL404" s="209" t="str">
        <f t="shared" si="68"/>
        <v/>
      </c>
      <c r="AM404" s="208" t="str">
        <f>IF($AN404="","",IFERROR(VLOOKUP(CONCATENATE(CTR1_Billing!$E$20,$AN404),'Local Data Previous Year'!$C$3:$D$50000,2,0),CTR1_Billing!$E$21&amp;"NEW"))</f>
        <v/>
      </c>
      <c r="AN404" s="209" t="str" cm="1">
        <f t="array" ref="AN404">IF(ISERROR(INDEX('Local Data Previous Year'!$E$3:$E$50000, SMALL(IF(CTR1_Billing!$E$21='Local Data Previous Year'!$A$3:$A$50000, ROW('Local Data Previous Year'!$A$3:$A$50000)-ROW('Local Data Previous Year'!$A$3)+1), ROW(372:372)))), "", INDEX('Local Data Previous Year'!$E$3:$E$50000, SMALL(IF(CTR1_Billing!$E$21='Local Data Previous Year'!$A$3:$A$50000, ROW('Local Data Previous Year'!$A$3:$A$50000)-ROW('Local Data Previous Year'!$A$3)+1), ROW(372:372))))</f>
        <v/>
      </c>
      <c r="AO404" s="209" t="str">
        <f t="shared" si="69"/>
        <v/>
      </c>
      <c r="AP404" s="208"/>
      <c r="AQ404" s="209" t="str">
        <f t="shared" si="70"/>
        <v/>
      </c>
      <c r="AR404" s="209" t="str">
        <f t="shared" si="71"/>
        <v/>
      </c>
      <c r="AS404" s="202" t="str">
        <f t="shared" si="72"/>
        <v/>
      </c>
      <c r="AT404" s="202" t="str">
        <f t="shared" si="73"/>
        <v/>
      </c>
      <c r="AU404" s="208"/>
      <c r="AV404" s="208"/>
      <c r="AW404" s="208"/>
      <c r="AX404" s="208"/>
      <c r="AY404" s="208"/>
      <c r="AZ404" s="208"/>
      <c r="BA404" s="208"/>
      <c r="BB404" s="208"/>
      <c r="BC404" s="208"/>
      <c r="BD404" s="208"/>
      <c r="BE404" s="208"/>
      <c r="BF404" s="208"/>
      <c r="BG404" s="28"/>
      <c r="BH404" s="28"/>
      <c r="BI404" s="28"/>
      <c r="BJ404" s="28"/>
    </row>
    <row r="405" spans="1:62" s="23" customFormat="1" ht="21" customHeight="1" thickBot="1" x14ac:dyDescent="0.25">
      <c r="A405" s="846" t="str">
        <f>IF($AN405="","",IFERROR(VLOOKUP(CONCATENATE(CTR1_Billing!$E$20,$AN405),'Local Data Previous Year'!$C$3:$D$20000,2,0),CTR1_Billing!$E$21&amp;"NEW"))</f>
        <v/>
      </c>
      <c r="B405" s="846" t="str">
        <f>IF($E405="","",IFERROR(VLOOKUP(CONCATENATE(CTR1_Billing!$E$20,CTR1_Local!$E405),'Local Data Previous Year'!$C$3:$D$20000,2,0),CTR1_Billing!$E$21&amp;"NEW"))</f>
        <v/>
      </c>
      <c r="C405" s="846">
        <v>373</v>
      </c>
      <c r="D405" s="755" t="str" cm="1">
        <f t="array" ref="D405">IF(ISERROR(INDEX('Local Data Previous Year'!$D$3:$D$20000,SMALL(IF(CTR1_Billing!$E$21='Local Data Previous Year'!$A$3:$A$20000,ROW('Local Data Previous Year'!$A$3:$A$20000)-ROW('Local Data Previous Year'!$A$3)+1),ROW(373:373)))),"",INDEX('Local Data Previous Year'!$D$3:$D$20000,SMALL(IF(CTR1_Billing!$E$21='Local Data Previous Year'!$A$3:$A$20000,ROW('Local Data Previous Year'!$A$3:$A$20000)-ROW('Local Data Previous Year'!$A$3)+1),ROW(373:373))))</f>
        <v/>
      </c>
      <c r="E405" s="755" t="str" cm="1">
        <f t="array" ref="E405">IF(ISERROR(INDEX('Local Data Previous Year'!$E$3:$E$20000,SMALL(IF(CTR1_Billing!$E$21='Local Data Previous Year'!$A$3:$A$20000,ROW('Local Data Previous Year'!$A$3:$A$20000)-ROW('Local Data Previous Year'!$A$3)+1),ROW(373:373)))),"",INDEX('Local Data Previous Year'!$E$3:$E$20000,SMALL(IF(CTR1_Billing!$E$21='Local Data Previous Year'!$A$3:$A$20000,ROW('Local Data Previous Year'!$A$3:$A$20000)-ROW('Local Data Previous Year'!$A$3)+1),ROW(373:373))))</f>
        <v/>
      </c>
      <c r="F405" s="756" t="str">
        <f>IF($D405="","",IF(ISNA(MATCH($D405,'Local Data Previous Year'!$D$3:$D$20000,0)),"New",IFERROR(VLOOKUP($B405,'Local Data Previous Year'!$D$3:$I$20000,6,0),"")))</f>
        <v/>
      </c>
      <c r="G405" s="757">
        <f t="shared" si="74"/>
        <v>0</v>
      </c>
      <c r="H405" s="758" t="str">
        <f>IFERROR(INDEX('Local Data Previous Year'!$F:$F, MATCH($D405, 'Local Data Previous Year'!$D:$D, 0)), "")</f>
        <v/>
      </c>
      <c r="I405" s="759">
        <f>IF(B405=CTR1_Billing!$E$21&amp;"NEW",1,0)</f>
        <v>0</v>
      </c>
      <c r="J405" s="760" t="str">
        <f>IFERROR(INDEX('Local Data Previous Year'!$G:$G, MATCH($D405, 'Local Data Previous Year'!$D:$D, 0)), "")</f>
        <v/>
      </c>
      <c r="K405" s="762"/>
      <c r="L405" s="760" t="str">
        <f>IFERROR(INDEX('Local Data Previous Year'!$H:$H, MATCH($D405, 'Local Data Previous Year'!$D:$D, 0)), "")</f>
        <v/>
      </c>
      <c r="M405" s="762"/>
      <c r="N405" s="763"/>
      <c r="O405" s="767"/>
      <c r="P405" s="765"/>
      <c r="Q405" s="767"/>
      <c r="R405" s="766" t="str">
        <f t="shared" si="75"/>
        <v/>
      </c>
      <c r="S405" s="754"/>
      <c r="T405" s="763"/>
      <c r="U405" s="754"/>
      <c r="V405" s="763"/>
      <c r="W405" s="763"/>
      <c r="X405" s="865" t="str">
        <f>VLOOKUP(CTR1_Billing!$E$21,Data!$C$6:$D$302,1,FALSE)</f>
        <v>EZZZZ</v>
      </c>
      <c r="Y405" s="205"/>
      <c r="Z405" s="205">
        <f t="shared" si="64"/>
        <v>0</v>
      </c>
      <c r="AA405" s="206" t="str">
        <f t="shared" si="40"/>
        <v/>
      </c>
      <c r="AB405" s="205">
        <f t="shared" si="65"/>
        <v>0</v>
      </c>
      <c r="AC405" s="208"/>
      <c r="AD405" s="208"/>
      <c r="AE405" s="208"/>
      <c r="AF405" s="208"/>
      <c r="AG405" s="209" t="str">
        <f>IFERROR(INDEX('Local Data Previous Year'!$F:$F, MATCH($D405, 'Local Data Previous Year'!$D:$D, 0)), "")</f>
        <v/>
      </c>
      <c r="AH405" s="209" t="str">
        <f>IFERROR(INDEX('Local Data Previous Year'!$G:$G, MATCH($D405, 'Local Data Previous Year'!$D:$D, 0)), "")</f>
        <v/>
      </c>
      <c r="AI405" s="209" t="str">
        <f>IFERROR(INDEX('Local Data Previous Year'!$H:$H, MATCH($D405, 'Local Data Previous Year'!$D:$D, 0)), "")</f>
        <v/>
      </c>
      <c r="AJ405" s="209" t="str">
        <f t="shared" si="66"/>
        <v/>
      </c>
      <c r="AK405" s="209" t="str">
        <f t="shared" si="67"/>
        <v/>
      </c>
      <c r="AL405" s="209" t="str">
        <f t="shared" si="68"/>
        <v/>
      </c>
      <c r="AM405" s="208" t="str">
        <f>IF($AN405="","",IFERROR(VLOOKUP(CONCATENATE(CTR1_Billing!$E$20,$AN405),'Local Data Previous Year'!$C$3:$D$50000,2,0),CTR1_Billing!$E$21&amp;"NEW"))</f>
        <v/>
      </c>
      <c r="AN405" s="209" t="str" cm="1">
        <f t="array" ref="AN405">IF(ISERROR(INDEX('Local Data Previous Year'!$E$3:$E$50000, SMALL(IF(CTR1_Billing!$E$21='Local Data Previous Year'!$A$3:$A$50000, ROW('Local Data Previous Year'!$A$3:$A$50000)-ROW('Local Data Previous Year'!$A$3)+1), ROW(373:373)))), "", INDEX('Local Data Previous Year'!$E$3:$E$50000, SMALL(IF(CTR1_Billing!$E$21='Local Data Previous Year'!$A$3:$A$50000, ROW('Local Data Previous Year'!$A$3:$A$50000)-ROW('Local Data Previous Year'!$A$3)+1), ROW(373:373))))</f>
        <v/>
      </c>
      <c r="AO405" s="209" t="str">
        <f t="shared" si="69"/>
        <v/>
      </c>
      <c r="AP405" s="208"/>
      <c r="AQ405" s="209" t="str">
        <f t="shared" si="70"/>
        <v/>
      </c>
      <c r="AR405" s="209" t="str">
        <f t="shared" si="71"/>
        <v/>
      </c>
      <c r="AS405" s="202" t="str">
        <f t="shared" si="72"/>
        <v/>
      </c>
      <c r="AT405" s="202" t="str">
        <f t="shared" si="73"/>
        <v/>
      </c>
      <c r="AU405" s="208"/>
      <c r="AV405" s="208"/>
      <c r="AW405" s="208"/>
      <c r="AX405" s="208"/>
      <c r="AY405" s="208"/>
      <c r="AZ405" s="208"/>
      <c r="BA405" s="208"/>
      <c r="BB405" s="208"/>
      <c r="BC405" s="208"/>
      <c r="BD405" s="208"/>
      <c r="BE405" s="208"/>
      <c r="BF405" s="208"/>
      <c r="BG405" s="28"/>
      <c r="BH405" s="28"/>
      <c r="BI405" s="28"/>
      <c r="BJ405" s="28"/>
    </row>
    <row r="406" spans="1:62" s="23" customFormat="1" ht="21" customHeight="1" thickBot="1" x14ac:dyDescent="0.25">
      <c r="A406" s="846" t="str">
        <f>IF($AN406="","",IFERROR(VLOOKUP(CONCATENATE(CTR1_Billing!$E$20,$AN406),'Local Data Previous Year'!$C$3:$D$20000,2,0),CTR1_Billing!$E$21&amp;"NEW"))</f>
        <v/>
      </c>
      <c r="B406" s="846" t="str">
        <f>IF($E406="","",IFERROR(VLOOKUP(CONCATENATE(CTR1_Billing!$E$20,CTR1_Local!$E406),'Local Data Previous Year'!$C$3:$D$20000,2,0),CTR1_Billing!$E$21&amp;"NEW"))</f>
        <v/>
      </c>
      <c r="C406" s="846">
        <v>374</v>
      </c>
      <c r="D406" s="755" t="str" cm="1">
        <f t="array" ref="D406">IF(ISERROR(INDEX('Local Data Previous Year'!$D$3:$D$20000,SMALL(IF(CTR1_Billing!$E$21='Local Data Previous Year'!$A$3:$A$20000,ROW('Local Data Previous Year'!$A$3:$A$20000)-ROW('Local Data Previous Year'!$A$3)+1),ROW(374:374)))),"",INDEX('Local Data Previous Year'!$D$3:$D$20000,SMALL(IF(CTR1_Billing!$E$21='Local Data Previous Year'!$A$3:$A$20000,ROW('Local Data Previous Year'!$A$3:$A$20000)-ROW('Local Data Previous Year'!$A$3)+1),ROW(374:374))))</f>
        <v/>
      </c>
      <c r="E406" s="755" t="str" cm="1">
        <f t="array" ref="E406">IF(ISERROR(INDEX('Local Data Previous Year'!$E$3:$E$20000,SMALL(IF(CTR1_Billing!$E$21='Local Data Previous Year'!$A$3:$A$20000,ROW('Local Data Previous Year'!$A$3:$A$20000)-ROW('Local Data Previous Year'!$A$3)+1),ROW(374:374)))),"",INDEX('Local Data Previous Year'!$E$3:$E$20000,SMALL(IF(CTR1_Billing!$E$21='Local Data Previous Year'!$A$3:$A$20000,ROW('Local Data Previous Year'!$A$3:$A$20000)-ROW('Local Data Previous Year'!$A$3)+1),ROW(374:374))))</f>
        <v/>
      </c>
      <c r="F406" s="756" t="str">
        <f>IF($D406="","",IF(ISNA(MATCH($D406,'Local Data Previous Year'!$D$3:$D$20000,0)),"New",IFERROR(VLOOKUP($B406,'Local Data Previous Year'!$D$3:$I$20000,6,0),"")))</f>
        <v/>
      </c>
      <c r="G406" s="757">
        <f t="shared" si="74"/>
        <v>0</v>
      </c>
      <c r="H406" s="758" t="str">
        <f>IFERROR(INDEX('Local Data Previous Year'!$F:$F, MATCH($D406, 'Local Data Previous Year'!$D:$D, 0)), "")</f>
        <v/>
      </c>
      <c r="I406" s="759">
        <f>IF(B406=CTR1_Billing!$E$21&amp;"NEW",1,0)</f>
        <v>0</v>
      </c>
      <c r="J406" s="760" t="str">
        <f>IFERROR(INDEX('Local Data Previous Year'!$G:$G, MATCH($D406, 'Local Data Previous Year'!$D:$D, 0)), "")</f>
        <v/>
      </c>
      <c r="K406" s="762"/>
      <c r="L406" s="760" t="str">
        <f>IFERROR(INDEX('Local Data Previous Year'!$H:$H, MATCH($D406, 'Local Data Previous Year'!$D:$D, 0)), "")</f>
        <v/>
      </c>
      <c r="M406" s="762"/>
      <c r="N406" s="763"/>
      <c r="O406" s="767"/>
      <c r="P406" s="765"/>
      <c r="Q406" s="767"/>
      <c r="R406" s="766" t="str">
        <f t="shared" si="75"/>
        <v/>
      </c>
      <c r="S406" s="754"/>
      <c r="T406" s="763"/>
      <c r="U406" s="754"/>
      <c r="V406" s="763"/>
      <c r="W406" s="763"/>
      <c r="X406" s="865" t="str">
        <f>VLOOKUP(CTR1_Billing!$E$21,Data!$C$6:$D$302,1,FALSE)</f>
        <v>EZZZZ</v>
      </c>
      <c r="Y406" s="205"/>
      <c r="Z406" s="205">
        <f t="shared" si="64"/>
        <v>0</v>
      </c>
      <c r="AA406" s="206" t="str">
        <f t="shared" si="40"/>
        <v/>
      </c>
      <c r="AB406" s="205">
        <f t="shared" si="65"/>
        <v>0</v>
      </c>
      <c r="AC406" s="208"/>
      <c r="AD406" s="208"/>
      <c r="AE406" s="208"/>
      <c r="AF406" s="208"/>
      <c r="AG406" s="209" t="str">
        <f>IFERROR(INDEX('Local Data Previous Year'!$F:$F, MATCH($D406, 'Local Data Previous Year'!$D:$D, 0)), "")</f>
        <v/>
      </c>
      <c r="AH406" s="209" t="str">
        <f>IFERROR(INDEX('Local Data Previous Year'!$G:$G, MATCH($D406, 'Local Data Previous Year'!$D:$D, 0)), "")</f>
        <v/>
      </c>
      <c r="AI406" s="209" t="str">
        <f>IFERROR(INDEX('Local Data Previous Year'!$H:$H, MATCH($D406, 'Local Data Previous Year'!$D:$D, 0)), "")</f>
        <v/>
      </c>
      <c r="AJ406" s="209" t="str">
        <f t="shared" si="66"/>
        <v/>
      </c>
      <c r="AK406" s="209" t="str">
        <f t="shared" si="67"/>
        <v/>
      </c>
      <c r="AL406" s="209" t="str">
        <f t="shared" si="68"/>
        <v/>
      </c>
      <c r="AM406" s="208" t="str">
        <f>IF($AN406="","",IFERROR(VLOOKUP(CONCATENATE(CTR1_Billing!$E$20,$AN406),'Local Data Previous Year'!$C$3:$D$50000,2,0),CTR1_Billing!$E$21&amp;"NEW"))</f>
        <v/>
      </c>
      <c r="AN406" s="209" t="str" cm="1">
        <f t="array" ref="AN406">IF(ISERROR(INDEX('Local Data Previous Year'!$E$3:$E$50000, SMALL(IF(CTR1_Billing!$E$21='Local Data Previous Year'!$A$3:$A$50000, ROW('Local Data Previous Year'!$A$3:$A$50000)-ROW('Local Data Previous Year'!$A$3)+1), ROW(374:374)))), "", INDEX('Local Data Previous Year'!$E$3:$E$50000, SMALL(IF(CTR1_Billing!$E$21='Local Data Previous Year'!$A$3:$A$50000, ROW('Local Data Previous Year'!$A$3:$A$50000)-ROW('Local Data Previous Year'!$A$3)+1), ROW(374:374))))</f>
        <v/>
      </c>
      <c r="AO406" s="209" t="str">
        <f t="shared" si="69"/>
        <v/>
      </c>
      <c r="AP406" s="208"/>
      <c r="AQ406" s="209" t="str">
        <f t="shared" si="70"/>
        <v/>
      </c>
      <c r="AR406" s="209" t="str">
        <f t="shared" si="71"/>
        <v/>
      </c>
      <c r="AS406" s="202" t="str">
        <f t="shared" si="72"/>
        <v/>
      </c>
      <c r="AT406" s="202" t="str">
        <f t="shared" si="73"/>
        <v/>
      </c>
      <c r="AU406" s="208"/>
      <c r="AV406" s="208"/>
      <c r="AW406" s="208"/>
      <c r="AX406" s="208"/>
      <c r="AY406" s="208"/>
      <c r="AZ406" s="208"/>
      <c r="BA406" s="208"/>
      <c r="BB406" s="208"/>
      <c r="BC406" s="208"/>
      <c r="BD406" s="208"/>
      <c r="BE406" s="208"/>
      <c r="BF406" s="208"/>
      <c r="BG406" s="28"/>
      <c r="BH406" s="28"/>
      <c r="BI406" s="28"/>
      <c r="BJ406" s="28"/>
    </row>
    <row r="407" spans="1:62" s="23" customFormat="1" ht="21" customHeight="1" thickBot="1" x14ac:dyDescent="0.25">
      <c r="A407" s="846" t="str">
        <f>IF($AN407="","",IFERROR(VLOOKUP(CONCATENATE(CTR1_Billing!$E$20,$AN407),'Local Data Previous Year'!$C$3:$D$20000,2,0),CTR1_Billing!$E$21&amp;"NEW"))</f>
        <v/>
      </c>
      <c r="B407" s="846" t="str">
        <f>IF($E407="","",IFERROR(VLOOKUP(CONCATENATE(CTR1_Billing!$E$20,CTR1_Local!$E407),'Local Data Previous Year'!$C$3:$D$20000,2,0),CTR1_Billing!$E$21&amp;"NEW"))</f>
        <v/>
      </c>
      <c r="C407" s="846">
        <v>375</v>
      </c>
      <c r="D407" s="755" t="str" cm="1">
        <f t="array" ref="D407">IF(ISERROR(INDEX('Local Data Previous Year'!$D$3:$D$20000,SMALL(IF(CTR1_Billing!$E$21='Local Data Previous Year'!$A$3:$A$20000,ROW('Local Data Previous Year'!$A$3:$A$20000)-ROW('Local Data Previous Year'!$A$3)+1),ROW(375:375)))),"",INDEX('Local Data Previous Year'!$D$3:$D$20000,SMALL(IF(CTR1_Billing!$E$21='Local Data Previous Year'!$A$3:$A$20000,ROW('Local Data Previous Year'!$A$3:$A$20000)-ROW('Local Data Previous Year'!$A$3)+1),ROW(375:375))))</f>
        <v/>
      </c>
      <c r="E407" s="755" t="str" cm="1">
        <f t="array" ref="E407">IF(ISERROR(INDEX('Local Data Previous Year'!$E$3:$E$20000,SMALL(IF(CTR1_Billing!$E$21='Local Data Previous Year'!$A$3:$A$20000,ROW('Local Data Previous Year'!$A$3:$A$20000)-ROW('Local Data Previous Year'!$A$3)+1),ROW(375:375)))),"",INDEX('Local Data Previous Year'!$E$3:$E$20000,SMALL(IF(CTR1_Billing!$E$21='Local Data Previous Year'!$A$3:$A$20000,ROW('Local Data Previous Year'!$A$3:$A$20000)-ROW('Local Data Previous Year'!$A$3)+1),ROW(375:375))))</f>
        <v/>
      </c>
      <c r="F407" s="756" t="str">
        <f>IF($D407="","",IF(ISNA(MATCH($D407,'Local Data Previous Year'!$D$3:$D$20000,0)),"New",IFERROR(VLOOKUP($B407,'Local Data Previous Year'!$D$3:$I$20000,6,0),"")))</f>
        <v/>
      </c>
      <c r="G407" s="757">
        <f t="shared" si="74"/>
        <v>0</v>
      </c>
      <c r="H407" s="758" t="str">
        <f>IFERROR(INDEX('Local Data Previous Year'!$F:$F, MATCH($D407, 'Local Data Previous Year'!$D:$D, 0)), "")</f>
        <v/>
      </c>
      <c r="I407" s="759">
        <f>IF(B407=CTR1_Billing!$E$21&amp;"NEW",1,0)</f>
        <v>0</v>
      </c>
      <c r="J407" s="760" t="str">
        <f>IFERROR(INDEX('Local Data Previous Year'!$G:$G, MATCH($D407, 'Local Data Previous Year'!$D:$D, 0)), "")</f>
        <v/>
      </c>
      <c r="K407" s="762"/>
      <c r="L407" s="760" t="str">
        <f>IFERROR(INDEX('Local Data Previous Year'!$H:$H, MATCH($D407, 'Local Data Previous Year'!$D:$D, 0)), "")</f>
        <v/>
      </c>
      <c r="M407" s="762"/>
      <c r="N407" s="763"/>
      <c r="O407" s="767"/>
      <c r="P407" s="765"/>
      <c r="Q407" s="767"/>
      <c r="R407" s="766" t="str">
        <f t="shared" si="75"/>
        <v/>
      </c>
      <c r="S407" s="754"/>
      <c r="T407" s="763"/>
      <c r="U407" s="754"/>
      <c r="V407" s="763"/>
      <c r="W407" s="763"/>
      <c r="X407" s="865" t="str">
        <f>VLOOKUP(CTR1_Billing!$E$21,Data!$C$6:$D$302,1,FALSE)</f>
        <v>EZZZZ</v>
      </c>
      <c r="Y407" s="205"/>
      <c r="Z407" s="205">
        <f t="shared" si="64"/>
        <v>0</v>
      </c>
      <c r="AA407" s="206" t="str">
        <f t="shared" si="40"/>
        <v/>
      </c>
      <c r="AB407" s="205">
        <f t="shared" si="65"/>
        <v>0</v>
      </c>
      <c r="AC407" s="208"/>
      <c r="AD407" s="208"/>
      <c r="AE407" s="208"/>
      <c r="AF407" s="208"/>
      <c r="AG407" s="209" t="str">
        <f>IFERROR(INDEX('Local Data Previous Year'!$F:$F, MATCH($D407, 'Local Data Previous Year'!$D:$D, 0)), "")</f>
        <v/>
      </c>
      <c r="AH407" s="209" t="str">
        <f>IFERROR(INDEX('Local Data Previous Year'!$G:$G, MATCH($D407, 'Local Data Previous Year'!$D:$D, 0)), "")</f>
        <v/>
      </c>
      <c r="AI407" s="209" t="str">
        <f>IFERROR(INDEX('Local Data Previous Year'!$H:$H, MATCH($D407, 'Local Data Previous Year'!$D:$D, 0)), "")</f>
        <v/>
      </c>
      <c r="AJ407" s="209" t="str">
        <f t="shared" si="66"/>
        <v/>
      </c>
      <c r="AK407" s="209" t="str">
        <f t="shared" si="67"/>
        <v/>
      </c>
      <c r="AL407" s="209" t="str">
        <f t="shared" si="68"/>
        <v/>
      </c>
      <c r="AM407" s="208" t="str">
        <f>IF($AN407="","",IFERROR(VLOOKUP(CONCATENATE(CTR1_Billing!$E$20,$AN407),'Local Data Previous Year'!$C$3:$D$50000,2,0),CTR1_Billing!$E$21&amp;"NEW"))</f>
        <v/>
      </c>
      <c r="AN407" s="209" t="str" cm="1">
        <f t="array" ref="AN407">IF(ISERROR(INDEX('Local Data Previous Year'!$E$3:$E$50000, SMALL(IF(CTR1_Billing!$E$21='Local Data Previous Year'!$A$3:$A$50000, ROW('Local Data Previous Year'!$A$3:$A$50000)-ROW('Local Data Previous Year'!$A$3)+1), ROW(375:375)))), "", INDEX('Local Data Previous Year'!$E$3:$E$50000, SMALL(IF(CTR1_Billing!$E$21='Local Data Previous Year'!$A$3:$A$50000, ROW('Local Data Previous Year'!$A$3:$A$50000)-ROW('Local Data Previous Year'!$A$3)+1), ROW(375:375))))</f>
        <v/>
      </c>
      <c r="AO407" s="209" t="str">
        <f t="shared" si="69"/>
        <v/>
      </c>
      <c r="AP407" s="208"/>
      <c r="AQ407" s="209" t="str">
        <f t="shared" si="70"/>
        <v/>
      </c>
      <c r="AR407" s="209" t="str">
        <f t="shared" si="71"/>
        <v/>
      </c>
      <c r="AS407" s="202" t="str">
        <f t="shared" si="72"/>
        <v/>
      </c>
      <c r="AT407" s="202" t="str">
        <f t="shared" si="73"/>
        <v/>
      </c>
      <c r="AU407" s="208"/>
      <c r="AV407" s="208"/>
      <c r="AW407" s="208"/>
      <c r="AX407" s="208"/>
      <c r="AY407" s="208"/>
      <c r="AZ407" s="208"/>
      <c r="BA407" s="208"/>
      <c r="BB407" s="208"/>
      <c r="BC407" s="208"/>
      <c r="BD407" s="208"/>
      <c r="BE407" s="208"/>
      <c r="BF407" s="208"/>
      <c r="BG407" s="28"/>
      <c r="BH407" s="28"/>
      <c r="BI407" s="28"/>
      <c r="BJ407" s="28"/>
    </row>
    <row r="408" spans="1:62" s="23" customFormat="1" ht="21" customHeight="1" thickBot="1" x14ac:dyDescent="0.25">
      <c r="A408" s="846" t="str">
        <f>IF($AN408="","",IFERROR(VLOOKUP(CONCATENATE(CTR1_Billing!$E$20,$AN408),'Local Data Previous Year'!$C$3:$D$20000,2,0),CTR1_Billing!$E$21&amp;"NEW"))</f>
        <v/>
      </c>
      <c r="B408" s="846" t="str">
        <f>IF($E408="","",IFERROR(VLOOKUP(CONCATENATE(CTR1_Billing!$E$20,CTR1_Local!$E408),'Local Data Previous Year'!$C$3:$D$20000,2,0),CTR1_Billing!$E$21&amp;"NEW"))</f>
        <v/>
      </c>
      <c r="C408" s="846">
        <v>376</v>
      </c>
      <c r="D408" s="755" t="str" cm="1">
        <f t="array" ref="D408">IF(ISERROR(INDEX('Local Data Previous Year'!$D$3:$D$20000,SMALL(IF(CTR1_Billing!$E$21='Local Data Previous Year'!$A$3:$A$20000,ROW('Local Data Previous Year'!$A$3:$A$20000)-ROW('Local Data Previous Year'!$A$3)+1),ROW(376:376)))),"",INDEX('Local Data Previous Year'!$D$3:$D$20000,SMALL(IF(CTR1_Billing!$E$21='Local Data Previous Year'!$A$3:$A$20000,ROW('Local Data Previous Year'!$A$3:$A$20000)-ROW('Local Data Previous Year'!$A$3)+1),ROW(376:376))))</f>
        <v/>
      </c>
      <c r="E408" s="755" t="str" cm="1">
        <f t="array" ref="E408">IF(ISERROR(INDEX('Local Data Previous Year'!$E$3:$E$20000,SMALL(IF(CTR1_Billing!$E$21='Local Data Previous Year'!$A$3:$A$20000,ROW('Local Data Previous Year'!$A$3:$A$20000)-ROW('Local Data Previous Year'!$A$3)+1),ROW(376:376)))),"",INDEX('Local Data Previous Year'!$E$3:$E$20000,SMALL(IF(CTR1_Billing!$E$21='Local Data Previous Year'!$A$3:$A$20000,ROW('Local Data Previous Year'!$A$3:$A$20000)-ROW('Local Data Previous Year'!$A$3)+1),ROW(376:376))))</f>
        <v/>
      </c>
      <c r="F408" s="756" t="str">
        <f>IF($D408="","",IF(ISNA(MATCH($D408,'Local Data Previous Year'!$D$3:$D$20000,0)),"New",IFERROR(VLOOKUP($B408,'Local Data Previous Year'!$D$3:$I$20000,6,0),"")))</f>
        <v/>
      </c>
      <c r="G408" s="757">
        <f t="shared" si="74"/>
        <v>0</v>
      </c>
      <c r="H408" s="758" t="str">
        <f>IFERROR(INDEX('Local Data Previous Year'!$F:$F, MATCH($D408, 'Local Data Previous Year'!$D:$D, 0)), "")</f>
        <v/>
      </c>
      <c r="I408" s="759">
        <f>IF(B408=CTR1_Billing!$E$21&amp;"NEW",1,0)</f>
        <v>0</v>
      </c>
      <c r="J408" s="760" t="str">
        <f>IFERROR(INDEX('Local Data Previous Year'!$G:$G, MATCH($D408, 'Local Data Previous Year'!$D:$D, 0)), "")</f>
        <v/>
      </c>
      <c r="K408" s="762"/>
      <c r="L408" s="760" t="str">
        <f>IFERROR(INDEX('Local Data Previous Year'!$H:$H, MATCH($D408, 'Local Data Previous Year'!$D:$D, 0)), "")</f>
        <v/>
      </c>
      <c r="M408" s="762"/>
      <c r="N408" s="763"/>
      <c r="O408" s="767"/>
      <c r="P408" s="765"/>
      <c r="Q408" s="767"/>
      <c r="R408" s="766" t="str">
        <f t="shared" si="75"/>
        <v/>
      </c>
      <c r="S408" s="754"/>
      <c r="T408" s="763"/>
      <c r="U408" s="754"/>
      <c r="V408" s="763"/>
      <c r="W408" s="763"/>
      <c r="X408" s="865" t="str">
        <f>VLOOKUP(CTR1_Billing!$E$21,Data!$C$6:$D$302,1,FALSE)</f>
        <v>EZZZZ</v>
      </c>
      <c r="Y408" s="205"/>
      <c r="Z408" s="205">
        <f t="shared" si="64"/>
        <v>0</v>
      </c>
      <c r="AA408" s="206" t="str">
        <f t="shared" si="40"/>
        <v/>
      </c>
      <c r="AB408" s="205">
        <f t="shared" si="65"/>
        <v>0</v>
      </c>
      <c r="AC408" s="208"/>
      <c r="AD408" s="208"/>
      <c r="AE408" s="208"/>
      <c r="AF408" s="208"/>
      <c r="AG408" s="209" t="str">
        <f>IFERROR(INDEX('Local Data Previous Year'!$F:$F, MATCH($D408, 'Local Data Previous Year'!$D:$D, 0)), "")</f>
        <v/>
      </c>
      <c r="AH408" s="209" t="str">
        <f>IFERROR(INDEX('Local Data Previous Year'!$G:$G, MATCH($D408, 'Local Data Previous Year'!$D:$D, 0)), "")</f>
        <v/>
      </c>
      <c r="AI408" s="209" t="str">
        <f>IFERROR(INDEX('Local Data Previous Year'!$H:$H, MATCH($D408, 'Local Data Previous Year'!$D:$D, 0)), "")</f>
        <v/>
      </c>
      <c r="AJ408" s="209" t="str">
        <f t="shared" si="66"/>
        <v/>
      </c>
      <c r="AK408" s="209" t="str">
        <f t="shared" si="67"/>
        <v/>
      </c>
      <c r="AL408" s="209" t="str">
        <f t="shared" si="68"/>
        <v/>
      </c>
      <c r="AM408" s="208" t="str">
        <f>IF($AN408="","",IFERROR(VLOOKUP(CONCATENATE(CTR1_Billing!$E$20,$AN408),'Local Data Previous Year'!$C$3:$D$50000,2,0),CTR1_Billing!$E$21&amp;"NEW"))</f>
        <v/>
      </c>
      <c r="AN408" s="209" t="str" cm="1">
        <f t="array" ref="AN408">IF(ISERROR(INDEX('Local Data Previous Year'!$E$3:$E$50000, SMALL(IF(CTR1_Billing!$E$21='Local Data Previous Year'!$A$3:$A$50000, ROW('Local Data Previous Year'!$A$3:$A$50000)-ROW('Local Data Previous Year'!$A$3)+1), ROW(376:376)))), "", INDEX('Local Data Previous Year'!$E$3:$E$50000, SMALL(IF(CTR1_Billing!$E$21='Local Data Previous Year'!$A$3:$A$50000, ROW('Local Data Previous Year'!$A$3:$A$50000)-ROW('Local Data Previous Year'!$A$3)+1), ROW(376:376))))</f>
        <v/>
      </c>
      <c r="AO408" s="209" t="str">
        <f t="shared" si="69"/>
        <v/>
      </c>
      <c r="AP408" s="208"/>
      <c r="AQ408" s="209" t="str">
        <f t="shared" si="70"/>
        <v/>
      </c>
      <c r="AR408" s="209" t="str">
        <f t="shared" si="71"/>
        <v/>
      </c>
      <c r="AS408" s="202" t="str">
        <f t="shared" si="72"/>
        <v/>
      </c>
      <c r="AT408" s="202" t="str">
        <f t="shared" si="73"/>
        <v/>
      </c>
      <c r="AU408" s="208"/>
      <c r="AV408" s="208"/>
      <c r="AW408" s="208"/>
      <c r="AX408" s="208"/>
      <c r="AY408" s="208"/>
      <c r="AZ408" s="208"/>
      <c r="BA408" s="208"/>
      <c r="BB408" s="208"/>
      <c r="BC408" s="208"/>
      <c r="BD408" s="208"/>
      <c r="BE408" s="208"/>
      <c r="BF408" s="208"/>
      <c r="BG408" s="28"/>
      <c r="BH408" s="28"/>
      <c r="BI408" s="28"/>
      <c r="BJ408" s="28"/>
    </row>
    <row r="409" spans="1:62" s="23" customFormat="1" ht="21" customHeight="1" thickBot="1" x14ac:dyDescent="0.25">
      <c r="A409" s="846" t="str">
        <f>IF($AN409="","",IFERROR(VLOOKUP(CONCATENATE(CTR1_Billing!$E$20,$AN409),'Local Data Previous Year'!$C$3:$D$20000,2,0),CTR1_Billing!$E$21&amp;"NEW"))</f>
        <v/>
      </c>
      <c r="B409" s="846" t="str">
        <f>IF($E409="","",IFERROR(VLOOKUP(CONCATENATE(CTR1_Billing!$E$20,CTR1_Local!$E409),'Local Data Previous Year'!$C$3:$D$20000,2,0),CTR1_Billing!$E$21&amp;"NEW"))</f>
        <v/>
      </c>
      <c r="C409" s="846">
        <v>377</v>
      </c>
      <c r="D409" s="755" t="str" cm="1">
        <f t="array" ref="D409">IF(ISERROR(INDEX('Local Data Previous Year'!$D$3:$D$20000,SMALL(IF(CTR1_Billing!$E$21='Local Data Previous Year'!$A$3:$A$20000,ROW('Local Data Previous Year'!$A$3:$A$20000)-ROW('Local Data Previous Year'!$A$3)+1),ROW(377:377)))),"",INDEX('Local Data Previous Year'!$D$3:$D$20000,SMALL(IF(CTR1_Billing!$E$21='Local Data Previous Year'!$A$3:$A$20000,ROW('Local Data Previous Year'!$A$3:$A$20000)-ROW('Local Data Previous Year'!$A$3)+1),ROW(377:377))))</f>
        <v/>
      </c>
      <c r="E409" s="755" t="str" cm="1">
        <f t="array" ref="E409">IF(ISERROR(INDEX('Local Data Previous Year'!$E$3:$E$20000,SMALL(IF(CTR1_Billing!$E$21='Local Data Previous Year'!$A$3:$A$20000,ROW('Local Data Previous Year'!$A$3:$A$20000)-ROW('Local Data Previous Year'!$A$3)+1),ROW(377:377)))),"",INDEX('Local Data Previous Year'!$E$3:$E$20000,SMALL(IF(CTR1_Billing!$E$21='Local Data Previous Year'!$A$3:$A$20000,ROW('Local Data Previous Year'!$A$3:$A$20000)-ROW('Local Data Previous Year'!$A$3)+1),ROW(377:377))))</f>
        <v/>
      </c>
      <c r="F409" s="756" t="str">
        <f>IF($D409="","",IF(ISNA(MATCH($D409,'Local Data Previous Year'!$D$3:$D$20000,0)),"New",IFERROR(VLOOKUP($B409,'Local Data Previous Year'!$D$3:$I$20000,6,0),"")))</f>
        <v/>
      </c>
      <c r="G409" s="757">
        <f t="shared" si="74"/>
        <v>0</v>
      </c>
      <c r="H409" s="758" t="str">
        <f>IFERROR(INDEX('Local Data Previous Year'!$F:$F, MATCH($D409, 'Local Data Previous Year'!$D:$D, 0)), "")</f>
        <v/>
      </c>
      <c r="I409" s="759">
        <f>IF(B409=CTR1_Billing!$E$21&amp;"NEW",1,0)</f>
        <v>0</v>
      </c>
      <c r="J409" s="760" t="str">
        <f>IFERROR(INDEX('Local Data Previous Year'!$G:$G, MATCH($D409, 'Local Data Previous Year'!$D:$D, 0)), "")</f>
        <v/>
      </c>
      <c r="K409" s="762"/>
      <c r="L409" s="760" t="str">
        <f>IFERROR(INDEX('Local Data Previous Year'!$H:$H, MATCH($D409, 'Local Data Previous Year'!$D:$D, 0)), "")</f>
        <v/>
      </c>
      <c r="M409" s="762"/>
      <c r="N409" s="763"/>
      <c r="O409" s="767"/>
      <c r="P409" s="765"/>
      <c r="Q409" s="767"/>
      <c r="R409" s="766" t="str">
        <f t="shared" si="75"/>
        <v/>
      </c>
      <c r="S409" s="754"/>
      <c r="T409" s="763"/>
      <c r="U409" s="754"/>
      <c r="V409" s="763"/>
      <c r="W409" s="763"/>
      <c r="X409" s="865" t="str">
        <f>VLOOKUP(CTR1_Billing!$E$21,Data!$C$6:$D$302,1,FALSE)</f>
        <v>EZZZZ</v>
      </c>
      <c r="Y409" s="205"/>
      <c r="Z409" s="205">
        <f t="shared" si="64"/>
        <v>0</v>
      </c>
      <c r="AA409" s="206" t="str">
        <f t="shared" si="40"/>
        <v/>
      </c>
      <c r="AB409" s="205">
        <f t="shared" si="65"/>
        <v>0</v>
      </c>
      <c r="AC409" s="208"/>
      <c r="AD409" s="208"/>
      <c r="AE409" s="208"/>
      <c r="AF409" s="208"/>
      <c r="AG409" s="209" t="str">
        <f>IFERROR(INDEX('Local Data Previous Year'!$F:$F, MATCH($D409, 'Local Data Previous Year'!$D:$D, 0)), "")</f>
        <v/>
      </c>
      <c r="AH409" s="209" t="str">
        <f>IFERROR(INDEX('Local Data Previous Year'!$G:$G, MATCH($D409, 'Local Data Previous Year'!$D:$D, 0)), "")</f>
        <v/>
      </c>
      <c r="AI409" s="209" t="str">
        <f>IFERROR(INDEX('Local Data Previous Year'!$H:$H, MATCH($D409, 'Local Data Previous Year'!$D:$D, 0)), "")</f>
        <v/>
      </c>
      <c r="AJ409" s="209" t="str">
        <f t="shared" si="66"/>
        <v/>
      </c>
      <c r="AK409" s="209" t="str">
        <f t="shared" si="67"/>
        <v/>
      </c>
      <c r="AL409" s="209" t="str">
        <f t="shared" si="68"/>
        <v/>
      </c>
      <c r="AM409" s="208" t="str">
        <f>IF($AN409="","",IFERROR(VLOOKUP(CONCATENATE(CTR1_Billing!$E$20,$AN409),'Local Data Previous Year'!$C$3:$D$50000,2,0),CTR1_Billing!$E$21&amp;"NEW"))</f>
        <v/>
      </c>
      <c r="AN409" s="209" t="str" cm="1">
        <f t="array" ref="AN409">IF(ISERROR(INDEX('Local Data Previous Year'!$E$3:$E$50000, SMALL(IF(CTR1_Billing!$E$21='Local Data Previous Year'!$A$3:$A$50000, ROW('Local Data Previous Year'!$A$3:$A$50000)-ROW('Local Data Previous Year'!$A$3)+1), ROW(377:377)))), "", INDEX('Local Data Previous Year'!$E$3:$E$50000, SMALL(IF(CTR1_Billing!$E$21='Local Data Previous Year'!$A$3:$A$50000, ROW('Local Data Previous Year'!$A$3:$A$50000)-ROW('Local Data Previous Year'!$A$3)+1), ROW(377:377))))</f>
        <v/>
      </c>
      <c r="AO409" s="209" t="str">
        <f t="shared" si="69"/>
        <v/>
      </c>
      <c r="AP409" s="208"/>
      <c r="AQ409" s="209" t="str">
        <f t="shared" si="70"/>
        <v/>
      </c>
      <c r="AR409" s="209" t="str">
        <f t="shared" si="71"/>
        <v/>
      </c>
      <c r="AS409" s="202" t="str">
        <f t="shared" si="72"/>
        <v/>
      </c>
      <c r="AT409" s="202" t="str">
        <f t="shared" si="73"/>
        <v/>
      </c>
      <c r="AU409" s="208"/>
      <c r="AV409" s="208"/>
      <c r="AW409" s="208"/>
      <c r="AX409" s="208"/>
      <c r="AY409" s="208"/>
      <c r="AZ409" s="208"/>
      <c r="BA409" s="208"/>
      <c r="BB409" s="208"/>
      <c r="BC409" s="208"/>
      <c r="BD409" s="208"/>
      <c r="BE409" s="208"/>
      <c r="BF409" s="208"/>
      <c r="BG409" s="28"/>
      <c r="BH409" s="28"/>
      <c r="BI409" s="28"/>
      <c r="BJ409" s="28"/>
    </row>
    <row r="410" spans="1:62" s="23" customFormat="1" ht="21" customHeight="1" thickBot="1" x14ac:dyDescent="0.25">
      <c r="A410" s="846" t="str">
        <f>IF($AN410="","",IFERROR(VLOOKUP(CONCATENATE(CTR1_Billing!$E$20,$AN410),'Local Data Previous Year'!$C$3:$D$20000,2,0),CTR1_Billing!$E$21&amp;"NEW"))</f>
        <v/>
      </c>
      <c r="B410" s="846" t="str">
        <f>IF($E410="","",IFERROR(VLOOKUP(CONCATENATE(CTR1_Billing!$E$20,CTR1_Local!$E410),'Local Data Previous Year'!$C$3:$D$20000,2,0),CTR1_Billing!$E$21&amp;"NEW"))</f>
        <v/>
      </c>
      <c r="C410" s="846">
        <v>378</v>
      </c>
      <c r="D410" s="755" t="str" cm="1">
        <f t="array" ref="D410">IF(ISERROR(INDEX('Local Data Previous Year'!$D$3:$D$20000,SMALL(IF(CTR1_Billing!$E$21='Local Data Previous Year'!$A$3:$A$20000,ROW('Local Data Previous Year'!$A$3:$A$20000)-ROW('Local Data Previous Year'!$A$3)+1),ROW(378:378)))),"",INDEX('Local Data Previous Year'!$D$3:$D$20000,SMALL(IF(CTR1_Billing!$E$21='Local Data Previous Year'!$A$3:$A$20000,ROW('Local Data Previous Year'!$A$3:$A$20000)-ROW('Local Data Previous Year'!$A$3)+1),ROW(378:378))))</f>
        <v/>
      </c>
      <c r="E410" s="755" t="str" cm="1">
        <f t="array" ref="E410">IF(ISERROR(INDEX('Local Data Previous Year'!$E$3:$E$20000,SMALL(IF(CTR1_Billing!$E$21='Local Data Previous Year'!$A$3:$A$20000,ROW('Local Data Previous Year'!$A$3:$A$20000)-ROW('Local Data Previous Year'!$A$3)+1),ROW(378:378)))),"",INDEX('Local Data Previous Year'!$E$3:$E$20000,SMALL(IF(CTR1_Billing!$E$21='Local Data Previous Year'!$A$3:$A$20000,ROW('Local Data Previous Year'!$A$3:$A$20000)-ROW('Local Data Previous Year'!$A$3)+1),ROW(378:378))))</f>
        <v/>
      </c>
      <c r="F410" s="756" t="str">
        <f>IF($D410="","",IF(ISNA(MATCH($D410,'Local Data Previous Year'!$D$3:$D$20000,0)),"New",IFERROR(VLOOKUP($B410,'Local Data Previous Year'!$D$3:$I$20000,6,0),"")))</f>
        <v/>
      </c>
      <c r="G410" s="757">
        <f t="shared" si="74"/>
        <v>0</v>
      </c>
      <c r="H410" s="758" t="str">
        <f>IFERROR(INDEX('Local Data Previous Year'!$F:$F, MATCH($D410, 'Local Data Previous Year'!$D:$D, 0)), "")</f>
        <v/>
      </c>
      <c r="I410" s="759">
        <f>IF(B410=CTR1_Billing!$E$21&amp;"NEW",1,0)</f>
        <v>0</v>
      </c>
      <c r="J410" s="760" t="str">
        <f>IFERROR(INDEX('Local Data Previous Year'!$G:$G, MATCH($D410, 'Local Data Previous Year'!$D:$D, 0)), "")</f>
        <v/>
      </c>
      <c r="K410" s="762"/>
      <c r="L410" s="760" t="str">
        <f>IFERROR(INDEX('Local Data Previous Year'!$H:$H, MATCH($D410, 'Local Data Previous Year'!$D:$D, 0)), "")</f>
        <v/>
      </c>
      <c r="M410" s="762"/>
      <c r="N410" s="763"/>
      <c r="O410" s="767"/>
      <c r="P410" s="765"/>
      <c r="Q410" s="767"/>
      <c r="R410" s="766" t="str">
        <f t="shared" si="75"/>
        <v/>
      </c>
      <c r="S410" s="754"/>
      <c r="T410" s="763"/>
      <c r="U410" s="754"/>
      <c r="V410" s="763"/>
      <c r="W410" s="763"/>
      <c r="X410" s="865" t="str">
        <f>VLOOKUP(CTR1_Billing!$E$21,Data!$C$6:$D$302,1,FALSE)</f>
        <v>EZZZZ</v>
      </c>
      <c r="Y410" s="205"/>
      <c r="Z410" s="205">
        <f t="shared" si="64"/>
        <v>0</v>
      </c>
      <c r="AA410" s="206" t="str">
        <f t="shared" si="40"/>
        <v/>
      </c>
      <c r="AB410" s="205">
        <f t="shared" si="65"/>
        <v>0</v>
      </c>
      <c r="AC410" s="208"/>
      <c r="AD410" s="208"/>
      <c r="AE410" s="208"/>
      <c r="AF410" s="208"/>
      <c r="AG410" s="209" t="str">
        <f>IFERROR(INDEX('Local Data Previous Year'!$F:$F, MATCH($D410, 'Local Data Previous Year'!$D:$D, 0)), "")</f>
        <v/>
      </c>
      <c r="AH410" s="209" t="str">
        <f>IFERROR(INDEX('Local Data Previous Year'!$G:$G, MATCH($D410, 'Local Data Previous Year'!$D:$D, 0)), "")</f>
        <v/>
      </c>
      <c r="AI410" s="209" t="str">
        <f>IFERROR(INDEX('Local Data Previous Year'!$H:$H, MATCH($D410, 'Local Data Previous Year'!$D:$D, 0)), "")</f>
        <v/>
      </c>
      <c r="AJ410" s="209" t="str">
        <f t="shared" si="66"/>
        <v/>
      </c>
      <c r="AK410" s="209" t="str">
        <f t="shared" si="67"/>
        <v/>
      </c>
      <c r="AL410" s="209" t="str">
        <f t="shared" si="68"/>
        <v/>
      </c>
      <c r="AM410" s="208" t="str">
        <f>IF($AN410="","",IFERROR(VLOOKUP(CONCATENATE(CTR1_Billing!$E$20,$AN410),'Local Data Previous Year'!$C$3:$D$50000,2,0),CTR1_Billing!$E$21&amp;"NEW"))</f>
        <v/>
      </c>
      <c r="AN410" s="209" t="str" cm="1">
        <f t="array" ref="AN410">IF(ISERROR(INDEX('Local Data Previous Year'!$E$3:$E$50000, SMALL(IF(CTR1_Billing!$E$21='Local Data Previous Year'!$A$3:$A$50000, ROW('Local Data Previous Year'!$A$3:$A$50000)-ROW('Local Data Previous Year'!$A$3)+1), ROW(378:378)))), "", INDEX('Local Data Previous Year'!$E$3:$E$50000, SMALL(IF(CTR1_Billing!$E$21='Local Data Previous Year'!$A$3:$A$50000, ROW('Local Data Previous Year'!$A$3:$A$50000)-ROW('Local Data Previous Year'!$A$3)+1), ROW(378:378))))</f>
        <v/>
      </c>
      <c r="AO410" s="209" t="str">
        <f t="shared" si="69"/>
        <v/>
      </c>
      <c r="AP410" s="208"/>
      <c r="AQ410" s="209" t="str">
        <f t="shared" si="70"/>
        <v/>
      </c>
      <c r="AR410" s="209" t="str">
        <f t="shared" si="71"/>
        <v/>
      </c>
      <c r="AS410" s="202" t="str">
        <f t="shared" si="72"/>
        <v/>
      </c>
      <c r="AT410" s="202" t="str">
        <f t="shared" si="73"/>
        <v/>
      </c>
      <c r="AU410" s="208"/>
      <c r="AV410" s="208"/>
      <c r="AW410" s="208"/>
      <c r="AX410" s="208"/>
      <c r="AY410" s="208"/>
      <c r="AZ410" s="208"/>
      <c r="BA410" s="208"/>
      <c r="BB410" s="208"/>
      <c r="BC410" s="208"/>
      <c r="BD410" s="208"/>
      <c r="BE410" s="208"/>
      <c r="BF410" s="208"/>
      <c r="BG410" s="28"/>
      <c r="BH410" s="28"/>
      <c r="BI410" s="28"/>
      <c r="BJ410" s="28"/>
    </row>
    <row r="411" spans="1:62" s="23" customFormat="1" ht="21" customHeight="1" thickBot="1" x14ac:dyDescent="0.25">
      <c r="A411" s="846" t="str">
        <f>IF($AN411="","",IFERROR(VLOOKUP(CONCATENATE(CTR1_Billing!$E$20,$AN411),'Local Data Previous Year'!$C$3:$D$20000,2,0),CTR1_Billing!$E$21&amp;"NEW"))</f>
        <v/>
      </c>
      <c r="B411" s="846" t="str">
        <f>IF($E411="","",IFERROR(VLOOKUP(CONCATENATE(CTR1_Billing!$E$20,CTR1_Local!$E411),'Local Data Previous Year'!$C$3:$D$20000,2,0),CTR1_Billing!$E$21&amp;"NEW"))</f>
        <v/>
      </c>
      <c r="C411" s="846">
        <v>379</v>
      </c>
      <c r="D411" s="755" t="str" cm="1">
        <f t="array" ref="D411">IF(ISERROR(INDEX('Local Data Previous Year'!$D$3:$D$20000,SMALL(IF(CTR1_Billing!$E$21='Local Data Previous Year'!$A$3:$A$20000,ROW('Local Data Previous Year'!$A$3:$A$20000)-ROW('Local Data Previous Year'!$A$3)+1),ROW(379:379)))),"",INDEX('Local Data Previous Year'!$D$3:$D$20000,SMALL(IF(CTR1_Billing!$E$21='Local Data Previous Year'!$A$3:$A$20000,ROW('Local Data Previous Year'!$A$3:$A$20000)-ROW('Local Data Previous Year'!$A$3)+1),ROW(379:379))))</f>
        <v/>
      </c>
      <c r="E411" s="755" t="str" cm="1">
        <f t="array" ref="E411">IF(ISERROR(INDEX('Local Data Previous Year'!$E$3:$E$20000,SMALL(IF(CTR1_Billing!$E$21='Local Data Previous Year'!$A$3:$A$20000,ROW('Local Data Previous Year'!$A$3:$A$20000)-ROW('Local Data Previous Year'!$A$3)+1),ROW(379:379)))),"",INDEX('Local Data Previous Year'!$E$3:$E$20000,SMALL(IF(CTR1_Billing!$E$21='Local Data Previous Year'!$A$3:$A$20000,ROW('Local Data Previous Year'!$A$3:$A$20000)-ROW('Local Data Previous Year'!$A$3)+1),ROW(379:379))))</f>
        <v/>
      </c>
      <c r="F411" s="756" t="str">
        <f>IF($D411="","",IF(ISNA(MATCH($D411,'Local Data Previous Year'!$D$3:$D$20000,0)),"New",IFERROR(VLOOKUP($B411,'Local Data Previous Year'!$D$3:$I$20000,6,0),"")))</f>
        <v/>
      </c>
      <c r="G411" s="757">
        <f t="shared" si="74"/>
        <v>0</v>
      </c>
      <c r="H411" s="758" t="str">
        <f>IFERROR(INDEX('Local Data Previous Year'!$F:$F, MATCH($D411, 'Local Data Previous Year'!$D:$D, 0)), "")</f>
        <v/>
      </c>
      <c r="I411" s="759">
        <f>IF(B411=CTR1_Billing!$E$21&amp;"NEW",1,0)</f>
        <v>0</v>
      </c>
      <c r="J411" s="760" t="str">
        <f>IFERROR(INDEX('Local Data Previous Year'!$G:$G, MATCH($D411, 'Local Data Previous Year'!$D:$D, 0)), "")</f>
        <v/>
      </c>
      <c r="K411" s="762"/>
      <c r="L411" s="760" t="str">
        <f>IFERROR(INDEX('Local Data Previous Year'!$H:$H, MATCH($D411, 'Local Data Previous Year'!$D:$D, 0)), "")</f>
        <v/>
      </c>
      <c r="M411" s="762"/>
      <c r="N411" s="763"/>
      <c r="O411" s="767"/>
      <c r="P411" s="765"/>
      <c r="Q411" s="767"/>
      <c r="R411" s="766" t="str">
        <f t="shared" si="75"/>
        <v/>
      </c>
      <c r="S411" s="754"/>
      <c r="T411" s="763"/>
      <c r="U411" s="754"/>
      <c r="V411" s="763"/>
      <c r="W411" s="763"/>
      <c r="X411" s="865" t="str">
        <f>VLOOKUP(CTR1_Billing!$E$21,Data!$C$6:$D$302,1,FALSE)</f>
        <v>EZZZZ</v>
      </c>
      <c r="Y411" s="205"/>
      <c r="Z411" s="205">
        <f t="shared" si="64"/>
        <v>0</v>
      </c>
      <c r="AA411" s="206" t="str">
        <f t="shared" si="40"/>
        <v/>
      </c>
      <c r="AB411" s="205">
        <f t="shared" si="65"/>
        <v>0</v>
      </c>
      <c r="AC411" s="208"/>
      <c r="AD411" s="208"/>
      <c r="AE411" s="208"/>
      <c r="AF411" s="208"/>
      <c r="AG411" s="209" t="str">
        <f>IFERROR(INDEX('Local Data Previous Year'!$F:$F, MATCH($D411, 'Local Data Previous Year'!$D:$D, 0)), "")</f>
        <v/>
      </c>
      <c r="AH411" s="209" t="str">
        <f>IFERROR(INDEX('Local Data Previous Year'!$G:$G, MATCH($D411, 'Local Data Previous Year'!$D:$D, 0)), "")</f>
        <v/>
      </c>
      <c r="AI411" s="209" t="str">
        <f>IFERROR(INDEX('Local Data Previous Year'!$H:$H, MATCH($D411, 'Local Data Previous Year'!$D:$D, 0)), "")</f>
        <v/>
      </c>
      <c r="AJ411" s="209" t="str">
        <f t="shared" si="66"/>
        <v/>
      </c>
      <c r="AK411" s="209" t="str">
        <f t="shared" si="67"/>
        <v/>
      </c>
      <c r="AL411" s="209" t="str">
        <f t="shared" si="68"/>
        <v/>
      </c>
      <c r="AM411" s="208" t="str">
        <f>IF($AN411="","",IFERROR(VLOOKUP(CONCATENATE(CTR1_Billing!$E$20,$AN411),'Local Data Previous Year'!$C$3:$D$50000,2,0),CTR1_Billing!$E$21&amp;"NEW"))</f>
        <v/>
      </c>
      <c r="AN411" s="209" t="str" cm="1">
        <f t="array" ref="AN411">IF(ISERROR(INDEX('Local Data Previous Year'!$E$3:$E$50000, SMALL(IF(CTR1_Billing!$E$21='Local Data Previous Year'!$A$3:$A$50000, ROW('Local Data Previous Year'!$A$3:$A$50000)-ROW('Local Data Previous Year'!$A$3)+1), ROW(379:379)))), "", INDEX('Local Data Previous Year'!$E$3:$E$50000, SMALL(IF(CTR1_Billing!$E$21='Local Data Previous Year'!$A$3:$A$50000, ROW('Local Data Previous Year'!$A$3:$A$50000)-ROW('Local Data Previous Year'!$A$3)+1), ROW(379:379))))</f>
        <v/>
      </c>
      <c r="AO411" s="209" t="str">
        <f t="shared" si="69"/>
        <v/>
      </c>
      <c r="AP411" s="208"/>
      <c r="AQ411" s="209" t="str">
        <f t="shared" si="70"/>
        <v/>
      </c>
      <c r="AR411" s="209" t="str">
        <f t="shared" si="71"/>
        <v/>
      </c>
      <c r="AS411" s="202" t="str">
        <f t="shared" si="72"/>
        <v/>
      </c>
      <c r="AT411" s="202" t="str">
        <f t="shared" si="73"/>
        <v/>
      </c>
      <c r="AU411" s="208"/>
      <c r="AV411" s="208"/>
      <c r="AW411" s="208"/>
      <c r="AX411" s="208"/>
      <c r="AY411" s="208"/>
      <c r="AZ411" s="208"/>
      <c r="BA411" s="208"/>
      <c r="BB411" s="208"/>
      <c r="BC411" s="208"/>
      <c r="BD411" s="208"/>
      <c r="BE411" s="208"/>
      <c r="BF411" s="208"/>
      <c r="BG411" s="28"/>
      <c r="BH411" s="28"/>
      <c r="BI411" s="28"/>
      <c r="BJ411" s="28"/>
    </row>
    <row r="412" spans="1:62" s="23" customFormat="1" ht="21" customHeight="1" thickBot="1" x14ac:dyDescent="0.25">
      <c r="A412" s="846" t="str">
        <f>IF($AN412="","",IFERROR(VLOOKUP(CONCATENATE(CTR1_Billing!$E$20,$AN412),'Local Data Previous Year'!$C$3:$D$20000,2,0),CTR1_Billing!$E$21&amp;"NEW"))</f>
        <v/>
      </c>
      <c r="B412" s="846" t="str">
        <f>IF($E412="","",IFERROR(VLOOKUP(CONCATENATE(CTR1_Billing!$E$20,CTR1_Local!$E412),'Local Data Previous Year'!$C$3:$D$20000,2,0),CTR1_Billing!$E$21&amp;"NEW"))</f>
        <v/>
      </c>
      <c r="C412" s="846">
        <v>380</v>
      </c>
      <c r="D412" s="755" t="str" cm="1">
        <f t="array" ref="D412">IF(ISERROR(INDEX('Local Data Previous Year'!$D$3:$D$20000,SMALL(IF(CTR1_Billing!$E$21='Local Data Previous Year'!$A$3:$A$20000,ROW('Local Data Previous Year'!$A$3:$A$20000)-ROW('Local Data Previous Year'!$A$3)+1),ROW(380:380)))),"",INDEX('Local Data Previous Year'!$D$3:$D$20000,SMALL(IF(CTR1_Billing!$E$21='Local Data Previous Year'!$A$3:$A$20000,ROW('Local Data Previous Year'!$A$3:$A$20000)-ROW('Local Data Previous Year'!$A$3)+1),ROW(380:380))))</f>
        <v/>
      </c>
      <c r="E412" s="755" t="str" cm="1">
        <f t="array" ref="E412">IF(ISERROR(INDEX('Local Data Previous Year'!$E$3:$E$20000,SMALL(IF(CTR1_Billing!$E$21='Local Data Previous Year'!$A$3:$A$20000,ROW('Local Data Previous Year'!$A$3:$A$20000)-ROW('Local Data Previous Year'!$A$3)+1),ROW(380:380)))),"",INDEX('Local Data Previous Year'!$E$3:$E$20000,SMALL(IF(CTR1_Billing!$E$21='Local Data Previous Year'!$A$3:$A$20000,ROW('Local Data Previous Year'!$A$3:$A$20000)-ROW('Local Data Previous Year'!$A$3)+1),ROW(380:380))))</f>
        <v/>
      </c>
      <c r="F412" s="756" t="str">
        <f>IF($D412="","",IF(ISNA(MATCH($D412,'Local Data Previous Year'!$D$3:$D$20000,0)),"New",IFERROR(VLOOKUP($B412,'Local Data Previous Year'!$D$3:$I$20000,6,0),"")))</f>
        <v/>
      </c>
      <c r="G412" s="757">
        <f t="shared" si="74"/>
        <v>0</v>
      </c>
      <c r="H412" s="758" t="str">
        <f>IFERROR(INDEX('Local Data Previous Year'!$F:$F, MATCH($D412, 'Local Data Previous Year'!$D:$D, 0)), "")</f>
        <v/>
      </c>
      <c r="I412" s="759">
        <f>IF(B412=CTR1_Billing!$E$21&amp;"NEW",1,0)</f>
        <v>0</v>
      </c>
      <c r="J412" s="760" t="str">
        <f>IFERROR(INDEX('Local Data Previous Year'!$G:$G, MATCH($D412, 'Local Data Previous Year'!$D:$D, 0)), "")</f>
        <v/>
      </c>
      <c r="K412" s="762"/>
      <c r="L412" s="760" t="str">
        <f>IFERROR(INDEX('Local Data Previous Year'!$H:$H, MATCH($D412, 'Local Data Previous Year'!$D:$D, 0)), "")</f>
        <v/>
      </c>
      <c r="M412" s="762"/>
      <c r="N412" s="763"/>
      <c r="O412" s="767"/>
      <c r="P412" s="765"/>
      <c r="Q412" s="767"/>
      <c r="R412" s="766" t="str">
        <f t="shared" si="75"/>
        <v/>
      </c>
      <c r="S412" s="754"/>
      <c r="T412" s="763"/>
      <c r="U412" s="754"/>
      <c r="V412" s="763"/>
      <c r="W412" s="763"/>
      <c r="X412" s="865" t="str">
        <f>VLOOKUP(CTR1_Billing!$E$21,Data!$C$6:$D$302,1,FALSE)</f>
        <v>EZZZZ</v>
      </c>
      <c r="Y412" s="205"/>
      <c r="Z412" s="205">
        <f t="shared" si="64"/>
        <v>0</v>
      </c>
      <c r="AA412" s="206" t="str">
        <f t="shared" si="40"/>
        <v/>
      </c>
      <c r="AB412" s="205">
        <f t="shared" si="65"/>
        <v>0</v>
      </c>
      <c r="AC412" s="208"/>
      <c r="AD412" s="208"/>
      <c r="AE412" s="208"/>
      <c r="AF412" s="208"/>
      <c r="AG412" s="209" t="str">
        <f>IFERROR(INDEX('Local Data Previous Year'!$F:$F, MATCH($D412, 'Local Data Previous Year'!$D:$D, 0)), "")</f>
        <v/>
      </c>
      <c r="AH412" s="209" t="str">
        <f>IFERROR(INDEX('Local Data Previous Year'!$G:$G, MATCH($D412, 'Local Data Previous Year'!$D:$D, 0)), "")</f>
        <v/>
      </c>
      <c r="AI412" s="209" t="str">
        <f>IFERROR(INDEX('Local Data Previous Year'!$H:$H, MATCH($D412, 'Local Data Previous Year'!$D:$D, 0)), "")</f>
        <v/>
      </c>
      <c r="AJ412" s="209" t="str">
        <f t="shared" si="66"/>
        <v/>
      </c>
      <c r="AK412" s="209" t="str">
        <f t="shared" si="67"/>
        <v/>
      </c>
      <c r="AL412" s="209" t="str">
        <f t="shared" si="68"/>
        <v/>
      </c>
      <c r="AM412" s="208" t="str">
        <f>IF($AN412="","",IFERROR(VLOOKUP(CONCATENATE(CTR1_Billing!$E$20,$AN412),'Local Data Previous Year'!$C$3:$D$50000,2,0),CTR1_Billing!$E$21&amp;"NEW"))</f>
        <v/>
      </c>
      <c r="AN412" s="209" t="str" cm="1">
        <f t="array" ref="AN412">IF(ISERROR(INDEX('Local Data Previous Year'!$E$3:$E$50000, SMALL(IF(CTR1_Billing!$E$21='Local Data Previous Year'!$A$3:$A$50000, ROW('Local Data Previous Year'!$A$3:$A$50000)-ROW('Local Data Previous Year'!$A$3)+1), ROW(380:380)))), "", INDEX('Local Data Previous Year'!$E$3:$E$50000, SMALL(IF(CTR1_Billing!$E$21='Local Data Previous Year'!$A$3:$A$50000, ROW('Local Data Previous Year'!$A$3:$A$50000)-ROW('Local Data Previous Year'!$A$3)+1), ROW(380:380))))</f>
        <v/>
      </c>
      <c r="AO412" s="209" t="str">
        <f t="shared" si="69"/>
        <v/>
      </c>
      <c r="AP412" s="208"/>
      <c r="AQ412" s="209" t="str">
        <f t="shared" si="70"/>
        <v/>
      </c>
      <c r="AR412" s="209" t="str">
        <f t="shared" si="71"/>
        <v/>
      </c>
      <c r="AS412" s="202" t="str">
        <f t="shared" si="72"/>
        <v/>
      </c>
      <c r="AT412" s="202" t="str">
        <f t="shared" si="73"/>
        <v/>
      </c>
      <c r="AU412" s="208"/>
      <c r="AV412" s="208"/>
      <c r="AW412" s="208"/>
      <c r="AX412" s="208"/>
      <c r="AY412" s="208"/>
      <c r="AZ412" s="208"/>
      <c r="BA412" s="208"/>
      <c r="BB412" s="208"/>
      <c r="BC412" s="208"/>
      <c r="BD412" s="208"/>
      <c r="BE412" s="208"/>
      <c r="BF412" s="208"/>
      <c r="BG412" s="28"/>
      <c r="BH412" s="28"/>
      <c r="BI412" s="28"/>
      <c r="BJ412" s="28"/>
    </row>
    <row r="413" spans="1:62" s="23" customFormat="1" ht="21" customHeight="1" thickBot="1" x14ac:dyDescent="0.25">
      <c r="A413" s="846" t="str">
        <f>IF($AN413="","",IFERROR(VLOOKUP(CONCATENATE(CTR1_Billing!$E$20,$AN413),'Local Data Previous Year'!$C$3:$D$20000,2,0),CTR1_Billing!$E$21&amp;"NEW"))</f>
        <v/>
      </c>
      <c r="B413" s="846" t="str">
        <f>IF($E413="","",IFERROR(VLOOKUP(CONCATENATE(CTR1_Billing!$E$20,CTR1_Local!$E413),'Local Data Previous Year'!$C$3:$D$20000,2,0),CTR1_Billing!$E$21&amp;"NEW"))</f>
        <v/>
      </c>
      <c r="C413" s="846">
        <v>381</v>
      </c>
      <c r="D413" s="755" t="str" cm="1">
        <f t="array" ref="D413">IF(ISERROR(INDEX('Local Data Previous Year'!$D$3:$D$20000,SMALL(IF(CTR1_Billing!$E$21='Local Data Previous Year'!$A$3:$A$20000,ROW('Local Data Previous Year'!$A$3:$A$20000)-ROW('Local Data Previous Year'!$A$3)+1),ROW(381:381)))),"",INDEX('Local Data Previous Year'!$D$3:$D$20000,SMALL(IF(CTR1_Billing!$E$21='Local Data Previous Year'!$A$3:$A$20000,ROW('Local Data Previous Year'!$A$3:$A$20000)-ROW('Local Data Previous Year'!$A$3)+1),ROW(381:381))))</f>
        <v/>
      </c>
      <c r="E413" s="755" t="str" cm="1">
        <f t="array" ref="E413">IF(ISERROR(INDEX('Local Data Previous Year'!$E$3:$E$20000,SMALL(IF(CTR1_Billing!$E$21='Local Data Previous Year'!$A$3:$A$20000,ROW('Local Data Previous Year'!$A$3:$A$20000)-ROW('Local Data Previous Year'!$A$3)+1),ROW(381:381)))),"",INDEX('Local Data Previous Year'!$E$3:$E$20000,SMALL(IF(CTR1_Billing!$E$21='Local Data Previous Year'!$A$3:$A$20000,ROW('Local Data Previous Year'!$A$3:$A$20000)-ROW('Local Data Previous Year'!$A$3)+1),ROW(381:381))))</f>
        <v/>
      </c>
      <c r="F413" s="756" t="str">
        <f>IF($D413="","",IF(ISNA(MATCH($D413,'Local Data Previous Year'!$D$3:$D$20000,0)),"New",IFERROR(VLOOKUP($B413,'Local Data Previous Year'!$D$3:$I$20000,6,0),"")))</f>
        <v/>
      </c>
      <c r="G413" s="757">
        <f t="shared" si="74"/>
        <v>0</v>
      </c>
      <c r="H413" s="758" t="str">
        <f>IFERROR(INDEX('Local Data Previous Year'!$F:$F, MATCH($D413, 'Local Data Previous Year'!$D:$D, 0)), "")</f>
        <v/>
      </c>
      <c r="I413" s="759">
        <f>IF(B413=CTR1_Billing!$E$21&amp;"NEW",1,0)</f>
        <v>0</v>
      </c>
      <c r="J413" s="760" t="str">
        <f>IFERROR(INDEX('Local Data Previous Year'!$G:$G, MATCH($D413, 'Local Data Previous Year'!$D:$D, 0)), "")</f>
        <v/>
      </c>
      <c r="K413" s="762"/>
      <c r="L413" s="760" t="str">
        <f>IFERROR(INDEX('Local Data Previous Year'!$H:$H, MATCH($D413, 'Local Data Previous Year'!$D:$D, 0)), "")</f>
        <v/>
      </c>
      <c r="M413" s="762"/>
      <c r="N413" s="763"/>
      <c r="O413" s="767"/>
      <c r="P413" s="765"/>
      <c r="Q413" s="767"/>
      <c r="R413" s="766" t="str">
        <f t="shared" si="75"/>
        <v/>
      </c>
      <c r="S413" s="754"/>
      <c r="T413" s="763"/>
      <c r="U413" s="754"/>
      <c r="V413" s="763"/>
      <c r="W413" s="763"/>
      <c r="X413" s="865" t="str">
        <f>VLOOKUP(CTR1_Billing!$E$21,Data!$C$6:$D$302,1,FALSE)</f>
        <v>EZZZZ</v>
      </c>
      <c r="Y413" s="205"/>
      <c r="Z413" s="205">
        <f t="shared" si="64"/>
        <v>0</v>
      </c>
      <c r="AA413" s="206" t="str">
        <f t="shared" si="40"/>
        <v/>
      </c>
      <c r="AB413" s="205">
        <f t="shared" si="65"/>
        <v>0</v>
      </c>
      <c r="AC413" s="208"/>
      <c r="AD413" s="208"/>
      <c r="AE413" s="208"/>
      <c r="AF413" s="208"/>
      <c r="AG413" s="209" t="str">
        <f>IFERROR(INDEX('Local Data Previous Year'!$F:$F, MATCH($D413, 'Local Data Previous Year'!$D:$D, 0)), "")</f>
        <v/>
      </c>
      <c r="AH413" s="209" t="str">
        <f>IFERROR(INDEX('Local Data Previous Year'!$G:$G, MATCH($D413, 'Local Data Previous Year'!$D:$D, 0)), "")</f>
        <v/>
      </c>
      <c r="AI413" s="209" t="str">
        <f>IFERROR(INDEX('Local Data Previous Year'!$H:$H, MATCH($D413, 'Local Data Previous Year'!$D:$D, 0)), "")</f>
        <v/>
      </c>
      <c r="AJ413" s="209" t="str">
        <f t="shared" si="66"/>
        <v/>
      </c>
      <c r="AK413" s="209" t="str">
        <f t="shared" si="67"/>
        <v/>
      </c>
      <c r="AL413" s="209" t="str">
        <f t="shared" si="68"/>
        <v/>
      </c>
      <c r="AM413" s="208" t="str">
        <f>IF($AN413="","",IFERROR(VLOOKUP(CONCATENATE(CTR1_Billing!$E$20,$AN413),'Local Data Previous Year'!$C$3:$D$50000,2,0),CTR1_Billing!$E$21&amp;"NEW"))</f>
        <v/>
      </c>
      <c r="AN413" s="209" t="str" cm="1">
        <f t="array" ref="AN413">IF(ISERROR(INDEX('Local Data Previous Year'!$E$3:$E$50000, SMALL(IF(CTR1_Billing!$E$21='Local Data Previous Year'!$A$3:$A$50000, ROW('Local Data Previous Year'!$A$3:$A$50000)-ROW('Local Data Previous Year'!$A$3)+1), ROW(381:381)))), "", INDEX('Local Data Previous Year'!$E$3:$E$50000, SMALL(IF(CTR1_Billing!$E$21='Local Data Previous Year'!$A$3:$A$50000, ROW('Local Data Previous Year'!$A$3:$A$50000)-ROW('Local Data Previous Year'!$A$3)+1), ROW(381:381))))</f>
        <v/>
      </c>
      <c r="AO413" s="209" t="str">
        <f t="shared" si="69"/>
        <v/>
      </c>
      <c r="AP413" s="208"/>
      <c r="AQ413" s="209" t="str">
        <f t="shared" si="70"/>
        <v/>
      </c>
      <c r="AR413" s="209" t="str">
        <f t="shared" si="71"/>
        <v/>
      </c>
      <c r="AS413" s="202" t="str">
        <f t="shared" si="72"/>
        <v/>
      </c>
      <c r="AT413" s="202" t="str">
        <f t="shared" si="73"/>
        <v/>
      </c>
      <c r="AU413" s="208"/>
      <c r="AV413" s="208"/>
      <c r="AW413" s="208"/>
      <c r="AX413" s="208"/>
      <c r="AY413" s="208"/>
      <c r="AZ413" s="208"/>
      <c r="BA413" s="208"/>
      <c r="BB413" s="208"/>
      <c r="BC413" s="208"/>
      <c r="BD413" s="208"/>
      <c r="BE413" s="208"/>
      <c r="BF413" s="208"/>
      <c r="BG413" s="28"/>
      <c r="BH413" s="28"/>
      <c r="BI413" s="28"/>
      <c r="BJ413" s="28"/>
    </row>
    <row r="414" spans="1:62" s="23" customFormat="1" ht="21" customHeight="1" thickBot="1" x14ac:dyDescent="0.25">
      <c r="A414" s="846" t="str">
        <f>IF($AN414="","",IFERROR(VLOOKUP(CONCATENATE(CTR1_Billing!$E$20,$AN414),'Local Data Previous Year'!$C$3:$D$20000,2,0),CTR1_Billing!$E$21&amp;"NEW"))</f>
        <v/>
      </c>
      <c r="B414" s="846" t="str">
        <f>IF($E414="","",IFERROR(VLOOKUP(CONCATENATE(CTR1_Billing!$E$20,CTR1_Local!$E414),'Local Data Previous Year'!$C$3:$D$20000,2,0),CTR1_Billing!$E$21&amp;"NEW"))</f>
        <v/>
      </c>
      <c r="C414" s="846">
        <v>382</v>
      </c>
      <c r="D414" s="755" t="str" cm="1">
        <f t="array" ref="D414">IF(ISERROR(INDEX('Local Data Previous Year'!$D$3:$D$20000,SMALL(IF(CTR1_Billing!$E$21='Local Data Previous Year'!$A$3:$A$20000,ROW('Local Data Previous Year'!$A$3:$A$20000)-ROW('Local Data Previous Year'!$A$3)+1),ROW(382:382)))),"",INDEX('Local Data Previous Year'!$D$3:$D$20000,SMALL(IF(CTR1_Billing!$E$21='Local Data Previous Year'!$A$3:$A$20000,ROW('Local Data Previous Year'!$A$3:$A$20000)-ROW('Local Data Previous Year'!$A$3)+1),ROW(382:382))))</f>
        <v/>
      </c>
      <c r="E414" s="755" t="str" cm="1">
        <f t="array" ref="E414">IF(ISERROR(INDEX('Local Data Previous Year'!$E$3:$E$20000,SMALL(IF(CTR1_Billing!$E$21='Local Data Previous Year'!$A$3:$A$20000,ROW('Local Data Previous Year'!$A$3:$A$20000)-ROW('Local Data Previous Year'!$A$3)+1),ROW(382:382)))),"",INDEX('Local Data Previous Year'!$E$3:$E$20000,SMALL(IF(CTR1_Billing!$E$21='Local Data Previous Year'!$A$3:$A$20000,ROW('Local Data Previous Year'!$A$3:$A$20000)-ROW('Local Data Previous Year'!$A$3)+1),ROW(382:382))))</f>
        <v/>
      </c>
      <c r="F414" s="756" t="str">
        <f>IF($D414="","",IF(ISNA(MATCH($D414,'Local Data Previous Year'!$D$3:$D$20000,0)),"New",IFERROR(VLOOKUP($B414,'Local Data Previous Year'!$D$3:$I$20000,6,0),"")))</f>
        <v/>
      </c>
      <c r="G414" s="757">
        <f t="shared" si="74"/>
        <v>0</v>
      </c>
      <c r="H414" s="758" t="str">
        <f>IFERROR(INDEX('Local Data Previous Year'!$F:$F, MATCH($D414, 'Local Data Previous Year'!$D:$D, 0)), "")</f>
        <v/>
      </c>
      <c r="I414" s="759">
        <f>IF(B414=CTR1_Billing!$E$21&amp;"NEW",1,0)</f>
        <v>0</v>
      </c>
      <c r="J414" s="760" t="str">
        <f>IFERROR(INDEX('Local Data Previous Year'!$G:$G, MATCH($D414, 'Local Data Previous Year'!$D:$D, 0)), "")</f>
        <v/>
      </c>
      <c r="K414" s="762"/>
      <c r="L414" s="760" t="str">
        <f>IFERROR(INDEX('Local Data Previous Year'!$H:$H, MATCH($D414, 'Local Data Previous Year'!$D:$D, 0)), "")</f>
        <v/>
      </c>
      <c r="M414" s="762"/>
      <c r="N414" s="763"/>
      <c r="O414" s="767"/>
      <c r="P414" s="765"/>
      <c r="Q414" s="767"/>
      <c r="R414" s="766" t="str">
        <f t="shared" si="75"/>
        <v/>
      </c>
      <c r="S414" s="754"/>
      <c r="T414" s="763"/>
      <c r="U414" s="754"/>
      <c r="V414" s="763"/>
      <c r="W414" s="763"/>
      <c r="X414" s="865" t="str">
        <f>VLOOKUP(CTR1_Billing!$E$21,Data!$C$6:$D$302,1,FALSE)</f>
        <v>EZZZZ</v>
      </c>
      <c r="Y414" s="205"/>
      <c r="Z414" s="205">
        <f t="shared" si="64"/>
        <v>0</v>
      </c>
      <c r="AA414" s="206" t="str">
        <f t="shared" si="40"/>
        <v/>
      </c>
      <c r="AB414" s="205">
        <f t="shared" si="65"/>
        <v>0</v>
      </c>
      <c r="AC414" s="208"/>
      <c r="AD414" s="208"/>
      <c r="AE414" s="208"/>
      <c r="AF414" s="208"/>
      <c r="AG414" s="209" t="str">
        <f>IFERROR(INDEX('Local Data Previous Year'!$F:$F, MATCH($D414, 'Local Data Previous Year'!$D:$D, 0)), "")</f>
        <v/>
      </c>
      <c r="AH414" s="209" t="str">
        <f>IFERROR(INDEX('Local Data Previous Year'!$G:$G, MATCH($D414, 'Local Data Previous Year'!$D:$D, 0)), "")</f>
        <v/>
      </c>
      <c r="AI414" s="209" t="str">
        <f>IFERROR(INDEX('Local Data Previous Year'!$H:$H, MATCH($D414, 'Local Data Previous Year'!$D:$D, 0)), "")</f>
        <v/>
      </c>
      <c r="AJ414" s="209" t="str">
        <f t="shared" si="66"/>
        <v/>
      </c>
      <c r="AK414" s="209" t="str">
        <f t="shared" si="67"/>
        <v/>
      </c>
      <c r="AL414" s="209" t="str">
        <f t="shared" si="68"/>
        <v/>
      </c>
      <c r="AM414" s="208" t="str">
        <f>IF($AN414="","",IFERROR(VLOOKUP(CONCATENATE(CTR1_Billing!$E$20,$AN414),'Local Data Previous Year'!$C$3:$D$50000,2,0),CTR1_Billing!$E$21&amp;"NEW"))</f>
        <v/>
      </c>
      <c r="AN414" s="209" t="str" cm="1">
        <f t="array" ref="AN414">IF(ISERROR(INDEX('Local Data Previous Year'!$E$3:$E$50000, SMALL(IF(CTR1_Billing!$E$21='Local Data Previous Year'!$A$3:$A$50000, ROW('Local Data Previous Year'!$A$3:$A$50000)-ROW('Local Data Previous Year'!$A$3)+1), ROW(382:382)))), "", INDEX('Local Data Previous Year'!$E$3:$E$50000, SMALL(IF(CTR1_Billing!$E$21='Local Data Previous Year'!$A$3:$A$50000, ROW('Local Data Previous Year'!$A$3:$A$50000)-ROW('Local Data Previous Year'!$A$3)+1), ROW(382:382))))</f>
        <v/>
      </c>
      <c r="AO414" s="209" t="str">
        <f t="shared" si="69"/>
        <v/>
      </c>
      <c r="AP414" s="208"/>
      <c r="AQ414" s="209" t="str">
        <f t="shared" si="70"/>
        <v/>
      </c>
      <c r="AR414" s="209" t="str">
        <f t="shared" si="71"/>
        <v/>
      </c>
      <c r="AS414" s="202" t="str">
        <f t="shared" si="72"/>
        <v/>
      </c>
      <c r="AT414" s="202" t="str">
        <f t="shared" si="73"/>
        <v/>
      </c>
      <c r="AU414" s="208"/>
      <c r="AV414" s="208"/>
      <c r="AW414" s="208"/>
      <c r="AX414" s="208"/>
      <c r="AY414" s="208"/>
      <c r="AZ414" s="208"/>
      <c r="BA414" s="208"/>
      <c r="BB414" s="208"/>
      <c r="BC414" s="208"/>
      <c r="BD414" s="208"/>
      <c r="BE414" s="208"/>
      <c r="BF414" s="208"/>
      <c r="BG414" s="28"/>
      <c r="BH414" s="28"/>
      <c r="BI414" s="28"/>
      <c r="BJ414" s="28"/>
    </row>
    <row r="415" spans="1:62" s="23" customFormat="1" ht="21" customHeight="1" thickBot="1" x14ac:dyDescent="0.25">
      <c r="A415" s="846" t="str">
        <f>IF($AN415="","",IFERROR(VLOOKUP(CONCATENATE(CTR1_Billing!$E$20,$AN415),'Local Data Previous Year'!$C$3:$D$20000,2,0),CTR1_Billing!$E$21&amp;"NEW"))</f>
        <v/>
      </c>
      <c r="B415" s="846" t="str">
        <f>IF($E415="","",IFERROR(VLOOKUP(CONCATENATE(CTR1_Billing!$E$20,CTR1_Local!$E415),'Local Data Previous Year'!$C$3:$D$20000,2,0),CTR1_Billing!$E$21&amp;"NEW"))</f>
        <v/>
      </c>
      <c r="C415" s="846">
        <v>383</v>
      </c>
      <c r="D415" s="755" t="str" cm="1">
        <f t="array" ref="D415">IF(ISERROR(INDEX('Local Data Previous Year'!$D$3:$D$20000,SMALL(IF(CTR1_Billing!$E$21='Local Data Previous Year'!$A$3:$A$20000,ROW('Local Data Previous Year'!$A$3:$A$20000)-ROW('Local Data Previous Year'!$A$3)+1),ROW(383:383)))),"",INDEX('Local Data Previous Year'!$D$3:$D$20000,SMALL(IF(CTR1_Billing!$E$21='Local Data Previous Year'!$A$3:$A$20000,ROW('Local Data Previous Year'!$A$3:$A$20000)-ROW('Local Data Previous Year'!$A$3)+1),ROW(383:383))))</f>
        <v/>
      </c>
      <c r="E415" s="755" t="str" cm="1">
        <f t="array" ref="E415">IF(ISERROR(INDEX('Local Data Previous Year'!$E$3:$E$20000,SMALL(IF(CTR1_Billing!$E$21='Local Data Previous Year'!$A$3:$A$20000,ROW('Local Data Previous Year'!$A$3:$A$20000)-ROW('Local Data Previous Year'!$A$3)+1),ROW(383:383)))),"",INDEX('Local Data Previous Year'!$E$3:$E$20000,SMALL(IF(CTR1_Billing!$E$21='Local Data Previous Year'!$A$3:$A$20000,ROW('Local Data Previous Year'!$A$3:$A$20000)-ROW('Local Data Previous Year'!$A$3)+1),ROW(383:383))))</f>
        <v/>
      </c>
      <c r="F415" s="756" t="str">
        <f>IF($D415="","",IF(ISNA(MATCH($D415,'Local Data Previous Year'!$D$3:$D$20000,0)),"New",IFERROR(VLOOKUP($B415,'Local Data Previous Year'!$D$3:$I$20000,6,0),"")))</f>
        <v/>
      </c>
      <c r="G415" s="757">
        <f t="shared" si="74"/>
        <v>0</v>
      </c>
      <c r="H415" s="758" t="str">
        <f>IFERROR(INDEX('Local Data Previous Year'!$F:$F, MATCH($D415, 'Local Data Previous Year'!$D:$D, 0)), "")</f>
        <v/>
      </c>
      <c r="I415" s="759">
        <f>IF(B415=CTR1_Billing!$E$21&amp;"NEW",1,0)</f>
        <v>0</v>
      </c>
      <c r="J415" s="760" t="str">
        <f>IFERROR(INDEX('Local Data Previous Year'!$G:$G, MATCH($D415, 'Local Data Previous Year'!$D:$D, 0)), "")</f>
        <v/>
      </c>
      <c r="K415" s="762"/>
      <c r="L415" s="760" t="str">
        <f>IFERROR(INDEX('Local Data Previous Year'!$H:$H, MATCH($D415, 'Local Data Previous Year'!$D:$D, 0)), "")</f>
        <v/>
      </c>
      <c r="M415" s="762"/>
      <c r="N415" s="763"/>
      <c r="O415" s="767"/>
      <c r="P415" s="765"/>
      <c r="Q415" s="767"/>
      <c r="R415" s="766" t="str">
        <f t="shared" si="75"/>
        <v/>
      </c>
      <c r="S415" s="754"/>
      <c r="T415" s="763"/>
      <c r="U415" s="754"/>
      <c r="V415" s="763"/>
      <c r="W415" s="763"/>
      <c r="X415" s="865" t="str">
        <f>VLOOKUP(CTR1_Billing!$E$21,Data!$C$6:$D$302,1,FALSE)</f>
        <v>EZZZZ</v>
      </c>
      <c r="Y415" s="205"/>
      <c r="Z415" s="205">
        <f t="shared" si="64"/>
        <v>0</v>
      </c>
      <c r="AA415" s="206" t="str">
        <f t="shared" si="40"/>
        <v/>
      </c>
      <c r="AB415" s="205">
        <f t="shared" si="65"/>
        <v>0</v>
      </c>
      <c r="AC415" s="208"/>
      <c r="AD415" s="208"/>
      <c r="AE415" s="208"/>
      <c r="AF415" s="208"/>
      <c r="AG415" s="209" t="str">
        <f>IFERROR(INDEX('Local Data Previous Year'!$F:$F, MATCH($D415, 'Local Data Previous Year'!$D:$D, 0)), "")</f>
        <v/>
      </c>
      <c r="AH415" s="209" t="str">
        <f>IFERROR(INDEX('Local Data Previous Year'!$G:$G, MATCH($D415, 'Local Data Previous Year'!$D:$D, 0)), "")</f>
        <v/>
      </c>
      <c r="AI415" s="209" t="str">
        <f>IFERROR(INDEX('Local Data Previous Year'!$H:$H, MATCH($D415, 'Local Data Previous Year'!$D:$D, 0)), "")</f>
        <v/>
      </c>
      <c r="AJ415" s="209" t="str">
        <f t="shared" si="66"/>
        <v/>
      </c>
      <c r="AK415" s="209" t="str">
        <f t="shared" si="67"/>
        <v/>
      </c>
      <c r="AL415" s="209" t="str">
        <f t="shared" si="68"/>
        <v/>
      </c>
      <c r="AM415" s="208" t="str">
        <f>IF($AN415="","",IFERROR(VLOOKUP(CONCATENATE(CTR1_Billing!$E$20,$AN415),'Local Data Previous Year'!$C$3:$D$50000,2,0),CTR1_Billing!$E$21&amp;"NEW"))</f>
        <v/>
      </c>
      <c r="AN415" s="209" t="str" cm="1">
        <f t="array" ref="AN415">IF(ISERROR(INDEX('Local Data Previous Year'!$E$3:$E$50000, SMALL(IF(CTR1_Billing!$E$21='Local Data Previous Year'!$A$3:$A$50000, ROW('Local Data Previous Year'!$A$3:$A$50000)-ROW('Local Data Previous Year'!$A$3)+1), ROW(383:383)))), "", INDEX('Local Data Previous Year'!$E$3:$E$50000, SMALL(IF(CTR1_Billing!$E$21='Local Data Previous Year'!$A$3:$A$50000, ROW('Local Data Previous Year'!$A$3:$A$50000)-ROW('Local Data Previous Year'!$A$3)+1), ROW(383:383))))</f>
        <v/>
      </c>
      <c r="AO415" s="209" t="str">
        <f t="shared" si="69"/>
        <v/>
      </c>
      <c r="AP415" s="208"/>
      <c r="AQ415" s="209" t="str">
        <f t="shared" si="70"/>
        <v/>
      </c>
      <c r="AR415" s="209" t="str">
        <f t="shared" si="71"/>
        <v/>
      </c>
      <c r="AS415" s="202" t="str">
        <f t="shared" si="72"/>
        <v/>
      </c>
      <c r="AT415" s="202" t="str">
        <f t="shared" si="73"/>
        <v/>
      </c>
      <c r="AU415" s="208"/>
      <c r="AV415" s="208"/>
      <c r="AW415" s="208"/>
      <c r="AX415" s="208"/>
      <c r="AY415" s="208"/>
      <c r="AZ415" s="208"/>
      <c r="BA415" s="208"/>
      <c r="BB415" s="208"/>
      <c r="BC415" s="208"/>
      <c r="BD415" s="208"/>
      <c r="BE415" s="208"/>
      <c r="BF415" s="208"/>
      <c r="BG415" s="28"/>
      <c r="BH415" s="28"/>
      <c r="BI415" s="28"/>
      <c r="BJ415" s="28"/>
    </row>
    <row r="416" spans="1:62" s="23" customFormat="1" ht="21" customHeight="1" thickBot="1" x14ac:dyDescent="0.25">
      <c r="A416" s="846" t="str">
        <f>IF($AN416="","",IFERROR(VLOOKUP(CONCATENATE(CTR1_Billing!$E$20,$AN416),'Local Data Previous Year'!$C$3:$D$20000,2,0),CTR1_Billing!$E$21&amp;"NEW"))</f>
        <v/>
      </c>
      <c r="B416" s="846" t="str">
        <f>IF($E416="","",IFERROR(VLOOKUP(CONCATENATE(CTR1_Billing!$E$20,CTR1_Local!$E416),'Local Data Previous Year'!$C$3:$D$20000,2,0),CTR1_Billing!$E$21&amp;"NEW"))</f>
        <v/>
      </c>
      <c r="C416" s="846">
        <v>384</v>
      </c>
      <c r="D416" s="755" t="str" cm="1">
        <f t="array" ref="D416">IF(ISERROR(INDEX('Local Data Previous Year'!$D$3:$D$20000,SMALL(IF(CTR1_Billing!$E$21='Local Data Previous Year'!$A$3:$A$20000,ROW('Local Data Previous Year'!$A$3:$A$20000)-ROW('Local Data Previous Year'!$A$3)+1),ROW(384:384)))),"",INDEX('Local Data Previous Year'!$D$3:$D$20000,SMALL(IF(CTR1_Billing!$E$21='Local Data Previous Year'!$A$3:$A$20000,ROW('Local Data Previous Year'!$A$3:$A$20000)-ROW('Local Data Previous Year'!$A$3)+1),ROW(384:384))))</f>
        <v/>
      </c>
      <c r="E416" s="755" t="str" cm="1">
        <f t="array" ref="E416">IF(ISERROR(INDEX('Local Data Previous Year'!$E$3:$E$20000,SMALL(IF(CTR1_Billing!$E$21='Local Data Previous Year'!$A$3:$A$20000,ROW('Local Data Previous Year'!$A$3:$A$20000)-ROW('Local Data Previous Year'!$A$3)+1),ROW(384:384)))),"",INDEX('Local Data Previous Year'!$E$3:$E$20000,SMALL(IF(CTR1_Billing!$E$21='Local Data Previous Year'!$A$3:$A$20000,ROW('Local Data Previous Year'!$A$3:$A$20000)-ROW('Local Data Previous Year'!$A$3)+1),ROW(384:384))))</f>
        <v/>
      </c>
      <c r="F416" s="756" t="str">
        <f>IF($D416="","",IF(ISNA(MATCH($D416,'Local Data Previous Year'!$D$3:$D$20000,0)),"New",IFERROR(VLOOKUP($B416,'Local Data Previous Year'!$D$3:$I$20000,6,0),"")))</f>
        <v/>
      </c>
      <c r="G416" s="757">
        <f t="shared" si="74"/>
        <v>0</v>
      </c>
      <c r="H416" s="758" t="str">
        <f>IFERROR(INDEX('Local Data Previous Year'!$F:$F, MATCH($D416, 'Local Data Previous Year'!$D:$D, 0)), "")</f>
        <v/>
      </c>
      <c r="I416" s="759">
        <f>IF(B416=CTR1_Billing!$E$21&amp;"NEW",1,0)</f>
        <v>0</v>
      </c>
      <c r="J416" s="760" t="str">
        <f>IFERROR(INDEX('Local Data Previous Year'!$G:$G, MATCH($D416, 'Local Data Previous Year'!$D:$D, 0)), "")</f>
        <v/>
      </c>
      <c r="K416" s="762"/>
      <c r="L416" s="760" t="str">
        <f>IFERROR(INDEX('Local Data Previous Year'!$H:$H, MATCH($D416, 'Local Data Previous Year'!$D:$D, 0)), "")</f>
        <v/>
      </c>
      <c r="M416" s="762"/>
      <c r="N416" s="763"/>
      <c r="O416" s="767"/>
      <c r="P416" s="765"/>
      <c r="Q416" s="767"/>
      <c r="R416" s="766" t="str">
        <f t="shared" si="75"/>
        <v/>
      </c>
      <c r="S416" s="754"/>
      <c r="T416" s="763"/>
      <c r="U416" s="754"/>
      <c r="V416" s="763"/>
      <c r="W416" s="763"/>
      <c r="X416" s="865" t="str">
        <f>VLOOKUP(CTR1_Billing!$E$21,Data!$C$6:$D$302,1,FALSE)</f>
        <v>EZZZZ</v>
      </c>
      <c r="Y416" s="205"/>
      <c r="Z416" s="205">
        <f t="shared" si="64"/>
        <v>0</v>
      </c>
      <c r="AA416" s="206" t="str">
        <f t="shared" si="40"/>
        <v/>
      </c>
      <c r="AB416" s="205">
        <f t="shared" si="65"/>
        <v>0</v>
      </c>
      <c r="AC416" s="208"/>
      <c r="AD416" s="208"/>
      <c r="AE416" s="208"/>
      <c r="AF416" s="208"/>
      <c r="AG416" s="209" t="str">
        <f>IFERROR(INDEX('Local Data Previous Year'!$F:$F, MATCH($D416, 'Local Data Previous Year'!$D:$D, 0)), "")</f>
        <v/>
      </c>
      <c r="AH416" s="209" t="str">
        <f>IFERROR(INDEX('Local Data Previous Year'!$G:$G, MATCH($D416, 'Local Data Previous Year'!$D:$D, 0)), "")</f>
        <v/>
      </c>
      <c r="AI416" s="209" t="str">
        <f>IFERROR(INDEX('Local Data Previous Year'!$H:$H, MATCH($D416, 'Local Data Previous Year'!$D:$D, 0)), "")</f>
        <v/>
      </c>
      <c r="AJ416" s="209" t="str">
        <f t="shared" si="66"/>
        <v/>
      </c>
      <c r="AK416" s="209" t="str">
        <f t="shared" si="67"/>
        <v/>
      </c>
      <c r="AL416" s="209" t="str">
        <f t="shared" si="68"/>
        <v/>
      </c>
      <c r="AM416" s="208" t="str">
        <f>IF($AN416="","",IFERROR(VLOOKUP(CONCATENATE(CTR1_Billing!$E$20,$AN416),'Local Data Previous Year'!$C$3:$D$50000,2,0),CTR1_Billing!$E$21&amp;"NEW"))</f>
        <v/>
      </c>
      <c r="AN416" s="209" t="str" cm="1">
        <f t="array" ref="AN416">IF(ISERROR(INDEX('Local Data Previous Year'!$E$3:$E$50000, SMALL(IF(CTR1_Billing!$E$21='Local Data Previous Year'!$A$3:$A$50000, ROW('Local Data Previous Year'!$A$3:$A$50000)-ROW('Local Data Previous Year'!$A$3)+1), ROW(384:384)))), "", INDEX('Local Data Previous Year'!$E$3:$E$50000, SMALL(IF(CTR1_Billing!$E$21='Local Data Previous Year'!$A$3:$A$50000, ROW('Local Data Previous Year'!$A$3:$A$50000)-ROW('Local Data Previous Year'!$A$3)+1), ROW(384:384))))</f>
        <v/>
      </c>
      <c r="AO416" s="209" t="str">
        <f t="shared" si="69"/>
        <v/>
      </c>
      <c r="AP416" s="208"/>
      <c r="AQ416" s="209" t="str">
        <f t="shared" si="70"/>
        <v/>
      </c>
      <c r="AR416" s="209" t="str">
        <f t="shared" si="71"/>
        <v/>
      </c>
      <c r="AS416" s="202" t="str">
        <f t="shared" si="72"/>
        <v/>
      </c>
      <c r="AT416" s="202" t="str">
        <f t="shared" si="73"/>
        <v/>
      </c>
      <c r="AU416" s="208"/>
      <c r="AV416" s="208"/>
      <c r="AW416" s="208"/>
      <c r="AX416" s="208"/>
      <c r="AY416" s="208"/>
      <c r="AZ416" s="208"/>
      <c r="BA416" s="208"/>
      <c r="BB416" s="208"/>
      <c r="BC416" s="208"/>
      <c r="BD416" s="208"/>
      <c r="BE416" s="208"/>
      <c r="BF416" s="208"/>
      <c r="BG416" s="28"/>
      <c r="BH416" s="28"/>
      <c r="BI416" s="28"/>
      <c r="BJ416" s="28"/>
    </row>
    <row r="417" spans="1:62" s="23" customFormat="1" ht="21" customHeight="1" thickBot="1" x14ac:dyDescent="0.25">
      <c r="A417" s="846" t="str">
        <f>IF($AN417="","",IFERROR(VLOOKUP(CONCATENATE(CTR1_Billing!$E$20,$AN417),'Local Data Previous Year'!$C$3:$D$20000,2,0),CTR1_Billing!$E$21&amp;"NEW"))</f>
        <v/>
      </c>
      <c r="B417" s="846" t="str">
        <f>IF($E417="","",IFERROR(VLOOKUP(CONCATENATE(CTR1_Billing!$E$20,CTR1_Local!$E417),'Local Data Previous Year'!$C$3:$D$20000,2,0),CTR1_Billing!$E$21&amp;"NEW"))</f>
        <v/>
      </c>
      <c r="C417" s="846">
        <v>385</v>
      </c>
      <c r="D417" s="755" t="str" cm="1">
        <f t="array" ref="D417">IF(ISERROR(INDEX('Local Data Previous Year'!$D$3:$D$20000,SMALL(IF(CTR1_Billing!$E$21='Local Data Previous Year'!$A$3:$A$20000,ROW('Local Data Previous Year'!$A$3:$A$20000)-ROW('Local Data Previous Year'!$A$3)+1),ROW(385:385)))),"",INDEX('Local Data Previous Year'!$D$3:$D$20000,SMALL(IF(CTR1_Billing!$E$21='Local Data Previous Year'!$A$3:$A$20000,ROW('Local Data Previous Year'!$A$3:$A$20000)-ROW('Local Data Previous Year'!$A$3)+1),ROW(385:385))))</f>
        <v/>
      </c>
      <c r="E417" s="755" t="str" cm="1">
        <f t="array" ref="E417">IF(ISERROR(INDEX('Local Data Previous Year'!$E$3:$E$20000,SMALL(IF(CTR1_Billing!$E$21='Local Data Previous Year'!$A$3:$A$20000,ROW('Local Data Previous Year'!$A$3:$A$20000)-ROW('Local Data Previous Year'!$A$3)+1),ROW(385:385)))),"",INDEX('Local Data Previous Year'!$E$3:$E$20000,SMALL(IF(CTR1_Billing!$E$21='Local Data Previous Year'!$A$3:$A$20000,ROW('Local Data Previous Year'!$A$3:$A$20000)-ROW('Local Data Previous Year'!$A$3)+1),ROW(385:385))))</f>
        <v/>
      </c>
      <c r="F417" s="756" t="str">
        <f>IF($D417="","",IF(ISNA(MATCH($D417,'Local Data Previous Year'!$D$3:$D$20000,0)),"New",IFERROR(VLOOKUP($B417,'Local Data Previous Year'!$D$3:$I$20000,6,0),"")))</f>
        <v/>
      </c>
      <c r="G417" s="757">
        <f t="shared" si="74"/>
        <v>0</v>
      </c>
      <c r="H417" s="758" t="str">
        <f>IFERROR(INDEX('Local Data Previous Year'!$F:$F, MATCH($D417, 'Local Data Previous Year'!$D:$D, 0)), "")</f>
        <v/>
      </c>
      <c r="I417" s="759">
        <f>IF(B417=CTR1_Billing!$E$21&amp;"NEW",1,0)</f>
        <v>0</v>
      </c>
      <c r="J417" s="760" t="str">
        <f>IFERROR(INDEX('Local Data Previous Year'!$G:$G, MATCH($D417, 'Local Data Previous Year'!$D:$D, 0)), "")</f>
        <v/>
      </c>
      <c r="K417" s="762"/>
      <c r="L417" s="760" t="str">
        <f>IFERROR(INDEX('Local Data Previous Year'!$H:$H, MATCH($D417, 'Local Data Previous Year'!$D:$D, 0)), "")</f>
        <v/>
      </c>
      <c r="M417" s="762"/>
      <c r="N417" s="763"/>
      <c r="O417" s="767"/>
      <c r="P417" s="765"/>
      <c r="Q417" s="767"/>
      <c r="R417" s="766" t="str">
        <f t="shared" si="75"/>
        <v/>
      </c>
      <c r="S417" s="754"/>
      <c r="T417" s="763"/>
      <c r="U417" s="754"/>
      <c r="V417" s="763"/>
      <c r="W417" s="763"/>
      <c r="X417" s="865" t="str">
        <f>VLOOKUP(CTR1_Billing!$E$21,Data!$C$6:$D$302,1,FALSE)</f>
        <v>EZZZZ</v>
      </c>
      <c r="Y417" s="205"/>
      <c r="Z417" s="205">
        <f t="shared" ref="Z417:Z480" si="76">IF(OR(P417&gt;AQ417,P417&lt;AR417),1,0)</f>
        <v>0</v>
      </c>
      <c r="AA417" s="206" t="str">
        <f t="shared" si="40"/>
        <v/>
      </c>
      <c r="AB417" s="205">
        <f t="shared" ref="AB417:AB480" si="77">IF(OR(R417&gt;AS417,R417&lt;AT417),1,0)</f>
        <v>0</v>
      </c>
      <c r="AC417" s="208"/>
      <c r="AD417" s="208"/>
      <c r="AE417" s="208"/>
      <c r="AF417" s="208"/>
      <c r="AG417" s="209" t="str">
        <f>IFERROR(INDEX('Local Data Previous Year'!$F:$F, MATCH($D417, 'Local Data Previous Year'!$D:$D, 0)), "")</f>
        <v/>
      </c>
      <c r="AH417" s="209" t="str">
        <f>IFERROR(INDEX('Local Data Previous Year'!$G:$G, MATCH($D417, 'Local Data Previous Year'!$D:$D, 0)), "")</f>
        <v/>
      </c>
      <c r="AI417" s="209" t="str">
        <f>IFERROR(INDEX('Local Data Previous Year'!$H:$H, MATCH($D417, 'Local Data Previous Year'!$D:$D, 0)), "")</f>
        <v/>
      </c>
      <c r="AJ417" s="209" t="str">
        <f t="shared" ref="AJ417:AJ480" si="78">IF(AG417=H417,"","change")</f>
        <v/>
      </c>
      <c r="AK417" s="209" t="str">
        <f t="shared" ref="AK417:AK480" si="79">IF(AH417=J417,"","change")</f>
        <v/>
      </c>
      <c r="AL417" s="209" t="str">
        <f t="shared" ref="AL417:AL480" si="80">IF(AI417=L417,"","change")</f>
        <v/>
      </c>
      <c r="AM417" s="208" t="str">
        <f>IF($AN417="","",IFERROR(VLOOKUP(CONCATENATE(CTR1_Billing!$E$20,$AN417),'Local Data Previous Year'!$C$3:$D$50000,2,0),CTR1_Billing!$E$21&amp;"NEW"))</f>
        <v/>
      </c>
      <c r="AN417" s="209" t="str" cm="1">
        <f t="array" ref="AN417">IF(ISERROR(INDEX('Local Data Previous Year'!$E$3:$E$50000, SMALL(IF(CTR1_Billing!$E$21='Local Data Previous Year'!$A$3:$A$50000, ROW('Local Data Previous Year'!$A$3:$A$50000)-ROW('Local Data Previous Year'!$A$3)+1), ROW(385:385)))), "", INDEX('Local Data Previous Year'!$E$3:$E$50000, SMALL(IF(CTR1_Billing!$E$21='Local Data Previous Year'!$A$3:$A$50000, ROW('Local Data Previous Year'!$A$3:$A$50000)-ROW('Local Data Previous Year'!$A$3)+1), ROW(385:385))))</f>
        <v/>
      </c>
      <c r="AO417" s="209" t="str">
        <f t="shared" ref="AO417:AO480" si="81">IF(AN417=E417,"","change")</f>
        <v/>
      </c>
      <c r="AP417" s="208"/>
      <c r="AQ417" s="209" t="str">
        <f t="shared" ref="AQ417:AQ480" si="82">IFERROR(J417*1.1,"")</f>
        <v/>
      </c>
      <c r="AR417" s="209" t="str">
        <f t="shared" ref="AR417:AR480" si="83">IFERROR(J417*0.9,"")</f>
        <v/>
      </c>
      <c r="AS417" s="202" t="str">
        <f t="shared" ref="AS417:AS480" si="84">IFERROR(L417+20,"")</f>
        <v/>
      </c>
      <c r="AT417" s="202" t="str">
        <f t="shared" ref="AT417:AT480" si="85">IFERROR(L417-20,"")</f>
        <v/>
      </c>
      <c r="AU417" s="208"/>
      <c r="AV417" s="208"/>
      <c r="AW417" s="208"/>
      <c r="AX417" s="208"/>
      <c r="AY417" s="208"/>
      <c r="AZ417" s="208"/>
      <c r="BA417" s="208"/>
      <c r="BB417" s="208"/>
      <c r="BC417" s="208"/>
      <c r="BD417" s="208"/>
      <c r="BE417" s="208"/>
      <c r="BF417" s="208"/>
      <c r="BG417" s="28"/>
      <c r="BH417" s="28"/>
      <c r="BI417" s="28"/>
      <c r="BJ417" s="28"/>
    </row>
    <row r="418" spans="1:62" s="23" customFormat="1" ht="21" customHeight="1" thickBot="1" x14ac:dyDescent="0.25">
      <c r="A418" s="846" t="str">
        <f>IF($AN418="","",IFERROR(VLOOKUP(CONCATENATE(CTR1_Billing!$E$20,$AN418),'Local Data Previous Year'!$C$3:$D$20000,2,0),CTR1_Billing!$E$21&amp;"NEW"))</f>
        <v/>
      </c>
      <c r="B418" s="846" t="str">
        <f>IF($E418="","",IFERROR(VLOOKUP(CONCATENATE(CTR1_Billing!$E$20,CTR1_Local!$E418),'Local Data Previous Year'!$C$3:$D$20000,2,0),CTR1_Billing!$E$21&amp;"NEW"))</f>
        <v/>
      </c>
      <c r="C418" s="846">
        <v>386</v>
      </c>
      <c r="D418" s="755" t="str" cm="1">
        <f t="array" ref="D418">IF(ISERROR(INDEX('Local Data Previous Year'!$D$3:$D$20000,SMALL(IF(CTR1_Billing!$E$21='Local Data Previous Year'!$A$3:$A$20000,ROW('Local Data Previous Year'!$A$3:$A$20000)-ROW('Local Data Previous Year'!$A$3)+1),ROW(386:386)))),"",INDEX('Local Data Previous Year'!$D$3:$D$20000,SMALL(IF(CTR1_Billing!$E$21='Local Data Previous Year'!$A$3:$A$20000,ROW('Local Data Previous Year'!$A$3:$A$20000)-ROW('Local Data Previous Year'!$A$3)+1),ROW(386:386))))</f>
        <v/>
      </c>
      <c r="E418" s="755" t="str" cm="1">
        <f t="array" ref="E418">IF(ISERROR(INDEX('Local Data Previous Year'!$E$3:$E$20000,SMALL(IF(CTR1_Billing!$E$21='Local Data Previous Year'!$A$3:$A$20000,ROW('Local Data Previous Year'!$A$3:$A$20000)-ROW('Local Data Previous Year'!$A$3)+1),ROW(386:386)))),"",INDEX('Local Data Previous Year'!$E$3:$E$20000,SMALL(IF(CTR1_Billing!$E$21='Local Data Previous Year'!$A$3:$A$20000,ROW('Local Data Previous Year'!$A$3:$A$20000)-ROW('Local Data Previous Year'!$A$3)+1),ROW(386:386))))</f>
        <v/>
      </c>
      <c r="F418" s="756" t="str">
        <f>IF($D418="","",IF(ISNA(MATCH($D418,'Local Data Previous Year'!$D$3:$D$20000,0)),"New",IFERROR(VLOOKUP($B418,'Local Data Previous Year'!$D$3:$I$20000,6,0),"")))</f>
        <v/>
      </c>
      <c r="G418" s="757">
        <f t="shared" ref="G418:G481" si="86">IF(F418="Charter Trustee",1,0)</f>
        <v>0</v>
      </c>
      <c r="H418" s="758" t="str">
        <f>IFERROR(INDEX('Local Data Previous Year'!$F:$F, MATCH($D418, 'Local Data Previous Year'!$D:$D, 0)), "")</f>
        <v/>
      </c>
      <c r="I418" s="759">
        <f>IF(B418=CTR1_Billing!$E$21&amp;"NEW",1,0)</f>
        <v>0</v>
      </c>
      <c r="J418" s="760" t="str">
        <f>IFERROR(INDEX('Local Data Previous Year'!$G:$G, MATCH($D418, 'Local Data Previous Year'!$D:$D, 0)), "")</f>
        <v/>
      </c>
      <c r="K418" s="762"/>
      <c r="L418" s="760" t="str">
        <f>IFERROR(INDEX('Local Data Previous Year'!$H:$H, MATCH($D418, 'Local Data Previous Year'!$D:$D, 0)), "")</f>
        <v/>
      </c>
      <c r="M418" s="762"/>
      <c r="N418" s="763"/>
      <c r="O418" s="767"/>
      <c r="P418" s="765"/>
      <c r="Q418" s="767"/>
      <c r="R418" s="766" t="str">
        <f t="shared" si="75"/>
        <v/>
      </c>
      <c r="S418" s="754"/>
      <c r="T418" s="763"/>
      <c r="U418" s="754"/>
      <c r="V418" s="763"/>
      <c r="W418" s="763"/>
      <c r="X418" s="865" t="str">
        <f>VLOOKUP(CTR1_Billing!$E$21,Data!$C$6:$D$302,1,FALSE)</f>
        <v>EZZZZ</v>
      </c>
      <c r="Y418" s="205"/>
      <c r="Z418" s="205">
        <f t="shared" si="76"/>
        <v>0</v>
      </c>
      <c r="AA418" s="206" t="str">
        <f t="shared" si="40"/>
        <v/>
      </c>
      <c r="AB418" s="205">
        <f t="shared" si="77"/>
        <v>0</v>
      </c>
      <c r="AC418" s="208"/>
      <c r="AD418" s="208"/>
      <c r="AE418" s="208"/>
      <c r="AF418" s="208"/>
      <c r="AG418" s="209" t="str">
        <f>IFERROR(INDEX('Local Data Previous Year'!$F:$F, MATCH($D418, 'Local Data Previous Year'!$D:$D, 0)), "")</f>
        <v/>
      </c>
      <c r="AH418" s="209" t="str">
        <f>IFERROR(INDEX('Local Data Previous Year'!$G:$G, MATCH($D418, 'Local Data Previous Year'!$D:$D, 0)), "")</f>
        <v/>
      </c>
      <c r="AI418" s="209" t="str">
        <f>IFERROR(INDEX('Local Data Previous Year'!$H:$H, MATCH($D418, 'Local Data Previous Year'!$D:$D, 0)), "")</f>
        <v/>
      </c>
      <c r="AJ418" s="209" t="str">
        <f t="shared" si="78"/>
        <v/>
      </c>
      <c r="AK418" s="209" t="str">
        <f t="shared" si="79"/>
        <v/>
      </c>
      <c r="AL418" s="209" t="str">
        <f t="shared" si="80"/>
        <v/>
      </c>
      <c r="AM418" s="208" t="str">
        <f>IF($AN418="","",IFERROR(VLOOKUP(CONCATENATE(CTR1_Billing!$E$20,$AN418),'Local Data Previous Year'!$C$3:$D$50000,2,0),CTR1_Billing!$E$21&amp;"NEW"))</f>
        <v/>
      </c>
      <c r="AN418" s="209" t="str" cm="1">
        <f t="array" ref="AN418">IF(ISERROR(INDEX('Local Data Previous Year'!$E$3:$E$50000, SMALL(IF(CTR1_Billing!$E$21='Local Data Previous Year'!$A$3:$A$50000, ROW('Local Data Previous Year'!$A$3:$A$50000)-ROW('Local Data Previous Year'!$A$3)+1), ROW(386:386)))), "", INDEX('Local Data Previous Year'!$E$3:$E$50000, SMALL(IF(CTR1_Billing!$E$21='Local Data Previous Year'!$A$3:$A$50000, ROW('Local Data Previous Year'!$A$3:$A$50000)-ROW('Local Data Previous Year'!$A$3)+1), ROW(386:386))))</f>
        <v/>
      </c>
      <c r="AO418" s="209" t="str">
        <f t="shared" si="81"/>
        <v/>
      </c>
      <c r="AP418" s="208"/>
      <c r="AQ418" s="209" t="str">
        <f t="shared" si="82"/>
        <v/>
      </c>
      <c r="AR418" s="209" t="str">
        <f t="shared" si="83"/>
        <v/>
      </c>
      <c r="AS418" s="202" t="str">
        <f t="shared" si="84"/>
        <v/>
      </c>
      <c r="AT418" s="202" t="str">
        <f t="shared" si="85"/>
        <v/>
      </c>
      <c r="AU418" s="208"/>
      <c r="AV418" s="208"/>
      <c r="AW418" s="208"/>
      <c r="AX418" s="208"/>
      <c r="AY418" s="208"/>
      <c r="AZ418" s="208"/>
      <c r="BA418" s="208"/>
      <c r="BB418" s="208"/>
      <c r="BC418" s="208"/>
      <c r="BD418" s="208"/>
      <c r="BE418" s="208"/>
      <c r="BF418" s="208"/>
      <c r="BG418" s="28"/>
      <c r="BH418" s="28"/>
      <c r="BI418" s="28"/>
      <c r="BJ418" s="28"/>
    </row>
    <row r="419" spans="1:62" s="23" customFormat="1" ht="21" customHeight="1" thickBot="1" x14ac:dyDescent="0.25">
      <c r="A419" s="846" t="str">
        <f>IF($AN419="","",IFERROR(VLOOKUP(CONCATENATE(CTR1_Billing!$E$20,$AN419),'Local Data Previous Year'!$C$3:$D$20000,2,0),CTR1_Billing!$E$21&amp;"NEW"))</f>
        <v/>
      </c>
      <c r="B419" s="846" t="str">
        <f>IF($E419="","",IFERROR(VLOOKUP(CONCATENATE(CTR1_Billing!$E$20,CTR1_Local!$E419),'Local Data Previous Year'!$C$3:$D$20000,2,0),CTR1_Billing!$E$21&amp;"NEW"))</f>
        <v/>
      </c>
      <c r="C419" s="846">
        <v>387</v>
      </c>
      <c r="D419" s="755" t="str" cm="1">
        <f t="array" ref="D419">IF(ISERROR(INDEX('Local Data Previous Year'!$D$3:$D$20000,SMALL(IF(CTR1_Billing!$E$21='Local Data Previous Year'!$A$3:$A$20000,ROW('Local Data Previous Year'!$A$3:$A$20000)-ROW('Local Data Previous Year'!$A$3)+1),ROW(387:387)))),"",INDEX('Local Data Previous Year'!$D$3:$D$20000,SMALL(IF(CTR1_Billing!$E$21='Local Data Previous Year'!$A$3:$A$20000,ROW('Local Data Previous Year'!$A$3:$A$20000)-ROW('Local Data Previous Year'!$A$3)+1),ROW(387:387))))</f>
        <v/>
      </c>
      <c r="E419" s="755" t="str" cm="1">
        <f t="array" ref="E419">IF(ISERROR(INDEX('Local Data Previous Year'!$E$3:$E$20000,SMALL(IF(CTR1_Billing!$E$21='Local Data Previous Year'!$A$3:$A$20000,ROW('Local Data Previous Year'!$A$3:$A$20000)-ROW('Local Data Previous Year'!$A$3)+1),ROW(387:387)))),"",INDEX('Local Data Previous Year'!$E$3:$E$20000,SMALL(IF(CTR1_Billing!$E$21='Local Data Previous Year'!$A$3:$A$20000,ROW('Local Data Previous Year'!$A$3:$A$20000)-ROW('Local Data Previous Year'!$A$3)+1),ROW(387:387))))</f>
        <v/>
      </c>
      <c r="F419" s="756" t="str">
        <f>IF($D419="","",IF(ISNA(MATCH($D419,'Local Data Previous Year'!$D$3:$D$20000,0)),"New",IFERROR(VLOOKUP($B419,'Local Data Previous Year'!$D$3:$I$20000,6,0),"")))</f>
        <v/>
      </c>
      <c r="G419" s="757">
        <f t="shared" si="86"/>
        <v>0</v>
      </c>
      <c r="H419" s="758" t="str">
        <f>IFERROR(INDEX('Local Data Previous Year'!$F:$F, MATCH($D419, 'Local Data Previous Year'!$D:$D, 0)), "")</f>
        <v/>
      </c>
      <c r="I419" s="759">
        <f>IF(B419=CTR1_Billing!$E$21&amp;"NEW",1,0)</f>
        <v>0</v>
      </c>
      <c r="J419" s="760" t="str">
        <f>IFERROR(INDEX('Local Data Previous Year'!$G:$G, MATCH($D419, 'Local Data Previous Year'!$D:$D, 0)), "")</f>
        <v/>
      </c>
      <c r="K419" s="762"/>
      <c r="L419" s="760" t="str">
        <f>IFERROR(INDEX('Local Data Previous Year'!$H:$H, MATCH($D419, 'Local Data Previous Year'!$D:$D, 0)), "")</f>
        <v/>
      </c>
      <c r="M419" s="762"/>
      <c r="N419" s="763"/>
      <c r="O419" s="767"/>
      <c r="P419" s="765"/>
      <c r="Q419" s="767"/>
      <c r="R419" s="766" t="str">
        <f t="shared" ref="R419:R482" si="87">+IF(N419="","",IF(N419+P419=0,0,+N419/P419))</f>
        <v/>
      </c>
      <c r="S419" s="754"/>
      <c r="T419" s="763"/>
      <c r="U419" s="754"/>
      <c r="V419" s="763"/>
      <c r="W419" s="763"/>
      <c r="X419" s="865" t="str">
        <f>VLOOKUP(CTR1_Billing!$E$21,Data!$C$6:$D$302,1,FALSE)</f>
        <v>EZZZZ</v>
      </c>
      <c r="Y419" s="205"/>
      <c r="Z419" s="205">
        <f t="shared" si="76"/>
        <v>0</v>
      </c>
      <c r="AA419" s="206" t="str">
        <f t="shared" si="40"/>
        <v/>
      </c>
      <c r="AB419" s="205">
        <f t="shared" si="77"/>
        <v>0</v>
      </c>
      <c r="AC419" s="208"/>
      <c r="AD419" s="208"/>
      <c r="AE419" s="208"/>
      <c r="AF419" s="208"/>
      <c r="AG419" s="209" t="str">
        <f>IFERROR(INDEX('Local Data Previous Year'!$F:$F, MATCH($D419, 'Local Data Previous Year'!$D:$D, 0)), "")</f>
        <v/>
      </c>
      <c r="AH419" s="209" t="str">
        <f>IFERROR(INDEX('Local Data Previous Year'!$G:$G, MATCH($D419, 'Local Data Previous Year'!$D:$D, 0)), "")</f>
        <v/>
      </c>
      <c r="AI419" s="209" t="str">
        <f>IFERROR(INDEX('Local Data Previous Year'!$H:$H, MATCH($D419, 'Local Data Previous Year'!$D:$D, 0)), "")</f>
        <v/>
      </c>
      <c r="AJ419" s="209" t="str">
        <f t="shared" si="78"/>
        <v/>
      </c>
      <c r="AK419" s="209" t="str">
        <f t="shared" si="79"/>
        <v/>
      </c>
      <c r="AL419" s="209" t="str">
        <f t="shared" si="80"/>
        <v/>
      </c>
      <c r="AM419" s="208" t="str">
        <f>IF($AN419="","",IFERROR(VLOOKUP(CONCATENATE(CTR1_Billing!$E$20,$AN419),'Local Data Previous Year'!$C$3:$D$50000,2,0),CTR1_Billing!$E$21&amp;"NEW"))</f>
        <v/>
      </c>
      <c r="AN419" s="209" t="str" cm="1">
        <f t="array" ref="AN419">IF(ISERROR(INDEX('Local Data Previous Year'!$E$3:$E$50000, SMALL(IF(CTR1_Billing!$E$21='Local Data Previous Year'!$A$3:$A$50000, ROW('Local Data Previous Year'!$A$3:$A$50000)-ROW('Local Data Previous Year'!$A$3)+1), ROW(387:387)))), "", INDEX('Local Data Previous Year'!$E$3:$E$50000, SMALL(IF(CTR1_Billing!$E$21='Local Data Previous Year'!$A$3:$A$50000, ROW('Local Data Previous Year'!$A$3:$A$50000)-ROW('Local Data Previous Year'!$A$3)+1), ROW(387:387))))</f>
        <v/>
      </c>
      <c r="AO419" s="209" t="str">
        <f t="shared" si="81"/>
        <v/>
      </c>
      <c r="AP419" s="208"/>
      <c r="AQ419" s="209" t="str">
        <f t="shared" si="82"/>
        <v/>
      </c>
      <c r="AR419" s="209" t="str">
        <f t="shared" si="83"/>
        <v/>
      </c>
      <c r="AS419" s="202" t="str">
        <f t="shared" si="84"/>
        <v/>
      </c>
      <c r="AT419" s="202" t="str">
        <f t="shared" si="85"/>
        <v/>
      </c>
      <c r="AU419" s="208"/>
      <c r="AV419" s="208"/>
      <c r="AW419" s="208"/>
      <c r="AX419" s="208"/>
      <c r="AY419" s="208"/>
      <c r="AZ419" s="208"/>
      <c r="BA419" s="208"/>
      <c r="BB419" s="208"/>
      <c r="BC419" s="208"/>
      <c r="BD419" s="208"/>
      <c r="BE419" s="208"/>
      <c r="BF419" s="208"/>
      <c r="BG419" s="28"/>
      <c r="BH419" s="28"/>
      <c r="BI419" s="28"/>
      <c r="BJ419" s="28"/>
    </row>
    <row r="420" spans="1:62" s="23" customFormat="1" ht="21" customHeight="1" thickBot="1" x14ac:dyDescent="0.25">
      <c r="A420" s="846" t="str">
        <f>IF($AN420="","",IFERROR(VLOOKUP(CONCATENATE(CTR1_Billing!$E$20,$AN420),'Local Data Previous Year'!$C$3:$D$20000,2,0),CTR1_Billing!$E$21&amp;"NEW"))</f>
        <v/>
      </c>
      <c r="B420" s="846" t="str">
        <f>IF($E420="","",IFERROR(VLOOKUP(CONCATENATE(CTR1_Billing!$E$20,CTR1_Local!$E420),'Local Data Previous Year'!$C$3:$D$20000,2,0),CTR1_Billing!$E$21&amp;"NEW"))</f>
        <v/>
      </c>
      <c r="C420" s="846">
        <v>388</v>
      </c>
      <c r="D420" s="755" t="str" cm="1">
        <f t="array" ref="D420">IF(ISERROR(INDEX('Local Data Previous Year'!$D$3:$D$20000,SMALL(IF(CTR1_Billing!$E$21='Local Data Previous Year'!$A$3:$A$20000,ROW('Local Data Previous Year'!$A$3:$A$20000)-ROW('Local Data Previous Year'!$A$3)+1),ROW(388:388)))),"",INDEX('Local Data Previous Year'!$D$3:$D$20000,SMALL(IF(CTR1_Billing!$E$21='Local Data Previous Year'!$A$3:$A$20000,ROW('Local Data Previous Year'!$A$3:$A$20000)-ROW('Local Data Previous Year'!$A$3)+1),ROW(388:388))))</f>
        <v/>
      </c>
      <c r="E420" s="755" t="str" cm="1">
        <f t="array" ref="E420">IF(ISERROR(INDEX('Local Data Previous Year'!$E$3:$E$20000,SMALL(IF(CTR1_Billing!$E$21='Local Data Previous Year'!$A$3:$A$20000,ROW('Local Data Previous Year'!$A$3:$A$20000)-ROW('Local Data Previous Year'!$A$3)+1),ROW(388:388)))),"",INDEX('Local Data Previous Year'!$E$3:$E$20000,SMALL(IF(CTR1_Billing!$E$21='Local Data Previous Year'!$A$3:$A$20000,ROW('Local Data Previous Year'!$A$3:$A$20000)-ROW('Local Data Previous Year'!$A$3)+1),ROW(388:388))))</f>
        <v/>
      </c>
      <c r="F420" s="756" t="str">
        <f>IF($D420="","",IF(ISNA(MATCH($D420,'Local Data Previous Year'!$D$3:$D$20000,0)),"New",IFERROR(VLOOKUP($B420,'Local Data Previous Year'!$D$3:$I$20000,6,0),"")))</f>
        <v/>
      </c>
      <c r="G420" s="757">
        <f t="shared" si="86"/>
        <v>0</v>
      </c>
      <c r="H420" s="758" t="str">
        <f>IFERROR(INDEX('Local Data Previous Year'!$F:$F, MATCH($D420, 'Local Data Previous Year'!$D:$D, 0)), "")</f>
        <v/>
      </c>
      <c r="I420" s="759">
        <f>IF(B420=CTR1_Billing!$E$21&amp;"NEW",1,0)</f>
        <v>0</v>
      </c>
      <c r="J420" s="760" t="str">
        <f>IFERROR(INDEX('Local Data Previous Year'!$G:$G, MATCH($D420, 'Local Data Previous Year'!$D:$D, 0)), "")</f>
        <v/>
      </c>
      <c r="K420" s="762"/>
      <c r="L420" s="760" t="str">
        <f>IFERROR(INDEX('Local Data Previous Year'!$H:$H, MATCH($D420, 'Local Data Previous Year'!$D:$D, 0)), "")</f>
        <v/>
      </c>
      <c r="M420" s="762"/>
      <c r="N420" s="763"/>
      <c r="O420" s="767"/>
      <c r="P420" s="765"/>
      <c r="Q420" s="767"/>
      <c r="R420" s="766" t="str">
        <f t="shared" si="87"/>
        <v/>
      </c>
      <c r="S420" s="754"/>
      <c r="T420" s="763"/>
      <c r="U420" s="754"/>
      <c r="V420" s="763"/>
      <c r="W420" s="763"/>
      <c r="X420" s="865" t="str">
        <f>VLOOKUP(CTR1_Billing!$E$21,Data!$C$6:$D$302,1,FALSE)</f>
        <v>EZZZZ</v>
      </c>
      <c r="Y420" s="205"/>
      <c r="Z420" s="205">
        <f t="shared" si="76"/>
        <v>0</v>
      </c>
      <c r="AA420" s="206" t="str">
        <f t="shared" si="40"/>
        <v/>
      </c>
      <c r="AB420" s="205">
        <f t="shared" si="77"/>
        <v>0</v>
      </c>
      <c r="AC420" s="208"/>
      <c r="AD420" s="208"/>
      <c r="AE420" s="208"/>
      <c r="AF420" s="208"/>
      <c r="AG420" s="209" t="str">
        <f>IFERROR(INDEX('Local Data Previous Year'!$F:$F, MATCH($D420, 'Local Data Previous Year'!$D:$D, 0)), "")</f>
        <v/>
      </c>
      <c r="AH420" s="209" t="str">
        <f>IFERROR(INDEX('Local Data Previous Year'!$G:$G, MATCH($D420, 'Local Data Previous Year'!$D:$D, 0)), "")</f>
        <v/>
      </c>
      <c r="AI420" s="209" t="str">
        <f>IFERROR(INDEX('Local Data Previous Year'!$H:$H, MATCH($D420, 'Local Data Previous Year'!$D:$D, 0)), "")</f>
        <v/>
      </c>
      <c r="AJ420" s="209" t="str">
        <f t="shared" si="78"/>
        <v/>
      </c>
      <c r="AK420" s="209" t="str">
        <f t="shared" si="79"/>
        <v/>
      </c>
      <c r="AL420" s="209" t="str">
        <f t="shared" si="80"/>
        <v/>
      </c>
      <c r="AM420" s="208" t="str">
        <f>IF($AN420="","",IFERROR(VLOOKUP(CONCATENATE(CTR1_Billing!$E$20,$AN420),'Local Data Previous Year'!$C$3:$D$50000,2,0),CTR1_Billing!$E$21&amp;"NEW"))</f>
        <v/>
      </c>
      <c r="AN420" s="209" t="str" cm="1">
        <f t="array" ref="AN420">IF(ISERROR(INDEX('Local Data Previous Year'!$E$3:$E$50000, SMALL(IF(CTR1_Billing!$E$21='Local Data Previous Year'!$A$3:$A$50000, ROW('Local Data Previous Year'!$A$3:$A$50000)-ROW('Local Data Previous Year'!$A$3)+1), ROW(388:388)))), "", INDEX('Local Data Previous Year'!$E$3:$E$50000, SMALL(IF(CTR1_Billing!$E$21='Local Data Previous Year'!$A$3:$A$50000, ROW('Local Data Previous Year'!$A$3:$A$50000)-ROW('Local Data Previous Year'!$A$3)+1), ROW(388:388))))</f>
        <v/>
      </c>
      <c r="AO420" s="209" t="str">
        <f t="shared" si="81"/>
        <v/>
      </c>
      <c r="AP420" s="208"/>
      <c r="AQ420" s="209" t="str">
        <f t="shared" si="82"/>
        <v/>
      </c>
      <c r="AR420" s="209" t="str">
        <f t="shared" si="83"/>
        <v/>
      </c>
      <c r="AS420" s="202" t="str">
        <f t="shared" si="84"/>
        <v/>
      </c>
      <c r="AT420" s="202" t="str">
        <f t="shared" si="85"/>
        <v/>
      </c>
      <c r="AU420" s="208"/>
      <c r="AV420" s="208"/>
      <c r="AW420" s="208"/>
      <c r="AX420" s="208"/>
      <c r="AY420" s="208"/>
      <c r="AZ420" s="208"/>
      <c r="BA420" s="208"/>
      <c r="BB420" s="208"/>
      <c r="BC420" s="208"/>
      <c r="BD420" s="208"/>
      <c r="BE420" s="208"/>
      <c r="BF420" s="208"/>
      <c r="BG420" s="28"/>
      <c r="BH420" s="28"/>
      <c r="BI420" s="28"/>
      <c r="BJ420" s="28"/>
    </row>
    <row r="421" spans="1:62" s="23" customFormat="1" ht="21" customHeight="1" thickBot="1" x14ac:dyDescent="0.25">
      <c r="A421" s="846" t="str">
        <f>IF($AN421="","",IFERROR(VLOOKUP(CONCATENATE(CTR1_Billing!$E$20,$AN421),'Local Data Previous Year'!$C$3:$D$20000,2,0),CTR1_Billing!$E$21&amp;"NEW"))</f>
        <v/>
      </c>
      <c r="B421" s="846" t="str">
        <f>IF($E421="","",IFERROR(VLOOKUP(CONCATENATE(CTR1_Billing!$E$20,CTR1_Local!$E421),'Local Data Previous Year'!$C$3:$D$20000,2,0),CTR1_Billing!$E$21&amp;"NEW"))</f>
        <v/>
      </c>
      <c r="C421" s="846">
        <v>389</v>
      </c>
      <c r="D421" s="755" t="str" cm="1">
        <f t="array" ref="D421">IF(ISERROR(INDEX('Local Data Previous Year'!$D$3:$D$20000,SMALL(IF(CTR1_Billing!$E$21='Local Data Previous Year'!$A$3:$A$20000,ROW('Local Data Previous Year'!$A$3:$A$20000)-ROW('Local Data Previous Year'!$A$3)+1),ROW(389:389)))),"",INDEX('Local Data Previous Year'!$D$3:$D$20000,SMALL(IF(CTR1_Billing!$E$21='Local Data Previous Year'!$A$3:$A$20000,ROW('Local Data Previous Year'!$A$3:$A$20000)-ROW('Local Data Previous Year'!$A$3)+1),ROW(389:389))))</f>
        <v/>
      </c>
      <c r="E421" s="755" t="str" cm="1">
        <f t="array" ref="E421">IF(ISERROR(INDEX('Local Data Previous Year'!$E$3:$E$20000,SMALL(IF(CTR1_Billing!$E$21='Local Data Previous Year'!$A$3:$A$20000,ROW('Local Data Previous Year'!$A$3:$A$20000)-ROW('Local Data Previous Year'!$A$3)+1),ROW(389:389)))),"",INDEX('Local Data Previous Year'!$E$3:$E$20000,SMALL(IF(CTR1_Billing!$E$21='Local Data Previous Year'!$A$3:$A$20000,ROW('Local Data Previous Year'!$A$3:$A$20000)-ROW('Local Data Previous Year'!$A$3)+1),ROW(389:389))))</f>
        <v/>
      </c>
      <c r="F421" s="756" t="str">
        <f>IF($D421="","",IF(ISNA(MATCH($D421,'Local Data Previous Year'!$D$3:$D$20000,0)),"New",IFERROR(VLOOKUP($B421,'Local Data Previous Year'!$D$3:$I$20000,6,0),"")))</f>
        <v/>
      </c>
      <c r="G421" s="757">
        <f t="shared" si="86"/>
        <v>0</v>
      </c>
      <c r="H421" s="758" t="str">
        <f>IFERROR(INDEX('Local Data Previous Year'!$F:$F, MATCH($D421, 'Local Data Previous Year'!$D:$D, 0)), "")</f>
        <v/>
      </c>
      <c r="I421" s="759">
        <f>IF(B421=CTR1_Billing!$E$21&amp;"NEW",1,0)</f>
        <v>0</v>
      </c>
      <c r="J421" s="760" t="str">
        <f>IFERROR(INDEX('Local Data Previous Year'!$G:$G, MATCH($D421, 'Local Data Previous Year'!$D:$D, 0)), "")</f>
        <v/>
      </c>
      <c r="K421" s="762"/>
      <c r="L421" s="760" t="str">
        <f>IFERROR(INDEX('Local Data Previous Year'!$H:$H, MATCH($D421, 'Local Data Previous Year'!$D:$D, 0)), "")</f>
        <v/>
      </c>
      <c r="M421" s="762"/>
      <c r="N421" s="763"/>
      <c r="O421" s="767"/>
      <c r="P421" s="765"/>
      <c r="Q421" s="767"/>
      <c r="R421" s="766" t="str">
        <f t="shared" si="87"/>
        <v/>
      </c>
      <c r="S421" s="754"/>
      <c r="T421" s="763"/>
      <c r="U421" s="754"/>
      <c r="V421" s="763"/>
      <c r="W421" s="763"/>
      <c r="X421" s="865" t="str">
        <f>VLOOKUP(CTR1_Billing!$E$21,Data!$C$6:$D$302,1,FALSE)</f>
        <v>EZZZZ</v>
      </c>
      <c r="Y421" s="205"/>
      <c r="Z421" s="205">
        <f t="shared" si="76"/>
        <v>0</v>
      </c>
      <c r="AA421" s="206" t="str">
        <f t="shared" si="40"/>
        <v/>
      </c>
      <c r="AB421" s="205">
        <f t="shared" si="77"/>
        <v>0</v>
      </c>
      <c r="AC421" s="208"/>
      <c r="AD421" s="208"/>
      <c r="AE421" s="208"/>
      <c r="AF421" s="208"/>
      <c r="AG421" s="209" t="str">
        <f>IFERROR(INDEX('Local Data Previous Year'!$F:$F, MATCH($D421, 'Local Data Previous Year'!$D:$D, 0)), "")</f>
        <v/>
      </c>
      <c r="AH421" s="209" t="str">
        <f>IFERROR(INDEX('Local Data Previous Year'!$G:$G, MATCH($D421, 'Local Data Previous Year'!$D:$D, 0)), "")</f>
        <v/>
      </c>
      <c r="AI421" s="209" t="str">
        <f>IFERROR(INDEX('Local Data Previous Year'!$H:$H, MATCH($D421, 'Local Data Previous Year'!$D:$D, 0)), "")</f>
        <v/>
      </c>
      <c r="AJ421" s="209" t="str">
        <f t="shared" si="78"/>
        <v/>
      </c>
      <c r="AK421" s="209" t="str">
        <f t="shared" si="79"/>
        <v/>
      </c>
      <c r="AL421" s="209" t="str">
        <f t="shared" si="80"/>
        <v/>
      </c>
      <c r="AM421" s="208" t="str">
        <f>IF($AN421="","",IFERROR(VLOOKUP(CONCATENATE(CTR1_Billing!$E$20,$AN421),'Local Data Previous Year'!$C$3:$D$50000,2,0),CTR1_Billing!$E$21&amp;"NEW"))</f>
        <v/>
      </c>
      <c r="AN421" s="209" t="str" cm="1">
        <f t="array" ref="AN421">IF(ISERROR(INDEX('Local Data Previous Year'!$E$3:$E$50000, SMALL(IF(CTR1_Billing!$E$21='Local Data Previous Year'!$A$3:$A$50000, ROW('Local Data Previous Year'!$A$3:$A$50000)-ROW('Local Data Previous Year'!$A$3)+1), ROW(389:389)))), "", INDEX('Local Data Previous Year'!$E$3:$E$50000, SMALL(IF(CTR1_Billing!$E$21='Local Data Previous Year'!$A$3:$A$50000, ROW('Local Data Previous Year'!$A$3:$A$50000)-ROW('Local Data Previous Year'!$A$3)+1), ROW(389:389))))</f>
        <v/>
      </c>
      <c r="AO421" s="209" t="str">
        <f t="shared" si="81"/>
        <v/>
      </c>
      <c r="AP421" s="208"/>
      <c r="AQ421" s="209" t="str">
        <f t="shared" si="82"/>
        <v/>
      </c>
      <c r="AR421" s="209" t="str">
        <f t="shared" si="83"/>
        <v/>
      </c>
      <c r="AS421" s="202" t="str">
        <f t="shared" si="84"/>
        <v/>
      </c>
      <c r="AT421" s="202" t="str">
        <f t="shared" si="85"/>
        <v/>
      </c>
      <c r="AU421" s="208"/>
      <c r="AV421" s="208"/>
      <c r="AW421" s="208"/>
      <c r="AX421" s="208"/>
      <c r="AY421" s="208"/>
      <c r="AZ421" s="208"/>
      <c r="BA421" s="208"/>
      <c r="BB421" s="208"/>
      <c r="BC421" s="208"/>
      <c r="BD421" s="208"/>
      <c r="BE421" s="208"/>
      <c r="BF421" s="208"/>
      <c r="BG421" s="28"/>
      <c r="BH421" s="28"/>
      <c r="BI421" s="28"/>
      <c r="BJ421" s="28"/>
    </row>
    <row r="422" spans="1:62" s="23" customFormat="1" ht="21" customHeight="1" thickBot="1" x14ac:dyDescent="0.25">
      <c r="A422" s="846" t="str">
        <f>IF($AN422="","",IFERROR(VLOOKUP(CONCATENATE(CTR1_Billing!$E$20,$AN422),'Local Data Previous Year'!$C$3:$D$20000,2,0),CTR1_Billing!$E$21&amp;"NEW"))</f>
        <v/>
      </c>
      <c r="B422" s="846" t="str">
        <f>IF($E422="","",IFERROR(VLOOKUP(CONCATENATE(CTR1_Billing!$E$20,CTR1_Local!$E422),'Local Data Previous Year'!$C$3:$D$20000,2,0),CTR1_Billing!$E$21&amp;"NEW"))</f>
        <v/>
      </c>
      <c r="C422" s="846">
        <v>390</v>
      </c>
      <c r="D422" s="755" t="str" cm="1">
        <f t="array" ref="D422">IF(ISERROR(INDEX('Local Data Previous Year'!$D$3:$D$20000,SMALL(IF(CTR1_Billing!$E$21='Local Data Previous Year'!$A$3:$A$20000,ROW('Local Data Previous Year'!$A$3:$A$20000)-ROW('Local Data Previous Year'!$A$3)+1),ROW(390:390)))),"",INDEX('Local Data Previous Year'!$D$3:$D$20000,SMALL(IF(CTR1_Billing!$E$21='Local Data Previous Year'!$A$3:$A$20000,ROW('Local Data Previous Year'!$A$3:$A$20000)-ROW('Local Data Previous Year'!$A$3)+1),ROW(390:390))))</f>
        <v/>
      </c>
      <c r="E422" s="755" t="str" cm="1">
        <f t="array" ref="E422">IF(ISERROR(INDEX('Local Data Previous Year'!$E$3:$E$20000,SMALL(IF(CTR1_Billing!$E$21='Local Data Previous Year'!$A$3:$A$20000,ROW('Local Data Previous Year'!$A$3:$A$20000)-ROW('Local Data Previous Year'!$A$3)+1),ROW(390:390)))),"",INDEX('Local Data Previous Year'!$E$3:$E$20000,SMALL(IF(CTR1_Billing!$E$21='Local Data Previous Year'!$A$3:$A$20000,ROW('Local Data Previous Year'!$A$3:$A$20000)-ROW('Local Data Previous Year'!$A$3)+1),ROW(390:390))))</f>
        <v/>
      </c>
      <c r="F422" s="756" t="str">
        <f>IF($D422="","",IF(ISNA(MATCH($D422,'Local Data Previous Year'!$D$3:$D$20000,0)),"New",IFERROR(VLOOKUP($B422,'Local Data Previous Year'!$D$3:$I$20000,6,0),"")))</f>
        <v/>
      </c>
      <c r="G422" s="757">
        <f t="shared" si="86"/>
        <v>0</v>
      </c>
      <c r="H422" s="758" t="str">
        <f>IFERROR(INDEX('Local Data Previous Year'!$F:$F, MATCH($D422, 'Local Data Previous Year'!$D:$D, 0)), "")</f>
        <v/>
      </c>
      <c r="I422" s="759">
        <f>IF(B422=CTR1_Billing!$E$21&amp;"NEW",1,0)</f>
        <v>0</v>
      </c>
      <c r="J422" s="760" t="str">
        <f>IFERROR(INDEX('Local Data Previous Year'!$G:$G, MATCH($D422, 'Local Data Previous Year'!$D:$D, 0)), "")</f>
        <v/>
      </c>
      <c r="K422" s="762"/>
      <c r="L422" s="760" t="str">
        <f>IFERROR(INDEX('Local Data Previous Year'!$H:$H, MATCH($D422, 'Local Data Previous Year'!$D:$D, 0)), "")</f>
        <v/>
      </c>
      <c r="M422" s="762"/>
      <c r="N422" s="763"/>
      <c r="O422" s="767"/>
      <c r="P422" s="765"/>
      <c r="Q422" s="767"/>
      <c r="R422" s="766" t="str">
        <f t="shared" si="87"/>
        <v/>
      </c>
      <c r="S422" s="754"/>
      <c r="T422" s="763"/>
      <c r="U422" s="754"/>
      <c r="V422" s="763"/>
      <c r="W422" s="763"/>
      <c r="X422" s="865" t="str">
        <f>VLOOKUP(CTR1_Billing!$E$21,Data!$C$6:$D$302,1,FALSE)</f>
        <v>EZZZZ</v>
      </c>
      <c r="Y422" s="205"/>
      <c r="Z422" s="205">
        <f t="shared" si="76"/>
        <v>0</v>
      </c>
      <c r="AA422" s="206" t="str">
        <f t="shared" si="40"/>
        <v/>
      </c>
      <c r="AB422" s="205">
        <f t="shared" si="77"/>
        <v>0</v>
      </c>
      <c r="AC422" s="208"/>
      <c r="AD422" s="208"/>
      <c r="AE422" s="208"/>
      <c r="AF422" s="208"/>
      <c r="AG422" s="209" t="str">
        <f>IFERROR(INDEX('Local Data Previous Year'!$F:$F, MATCH($D422, 'Local Data Previous Year'!$D:$D, 0)), "")</f>
        <v/>
      </c>
      <c r="AH422" s="209" t="str">
        <f>IFERROR(INDEX('Local Data Previous Year'!$G:$G, MATCH($D422, 'Local Data Previous Year'!$D:$D, 0)), "")</f>
        <v/>
      </c>
      <c r="AI422" s="209" t="str">
        <f>IFERROR(INDEX('Local Data Previous Year'!$H:$H, MATCH($D422, 'Local Data Previous Year'!$D:$D, 0)), "")</f>
        <v/>
      </c>
      <c r="AJ422" s="209" t="str">
        <f t="shared" si="78"/>
        <v/>
      </c>
      <c r="AK422" s="209" t="str">
        <f t="shared" si="79"/>
        <v/>
      </c>
      <c r="AL422" s="209" t="str">
        <f t="shared" si="80"/>
        <v/>
      </c>
      <c r="AM422" s="208" t="str">
        <f>IF($AN422="","",IFERROR(VLOOKUP(CONCATENATE(CTR1_Billing!$E$20,$AN422),'Local Data Previous Year'!$C$3:$D$50000,2,0),CTR1_Billing!$E$21&amp;"NEW"))</f>
        <v/>
      </c>
      <c r="AN422" s="209" t="str" cm="1">
        <f t="array" ref="AN422">IF(ISERROR(INDEX('Local Data Previous Year'!$E$3:$E$50000, SMALL(IF(CTR1_Billing!$E$21='Local Data Previous Year'!$A$3:$A$50000, ROW('Local Data Previous Year'!$A$3:$A$50000)-ROW('Local Data Previous Year'!$A$3)+1), ROW(390:390)))), "", INDEX('Local Data Previous Year'!$E$3:$E$50000, SMALL(IF(CTR1_Billing!$E$21='Local Data Previous Year'!$A$3:$A$50000, ROW('Local Data Previous Year'!$A$3:$A$50000)-ROW('Local Data Previous Year'!$A$3)+1), ROW(390:390))))</f>
        <v/>
      </c>
      <c r="AO422" s="209" t="str">
        <f t="shared" si="81"/>
        <v/>
      </c>
      <c r="AP422" s="208"/>
      <c r="AQ422" s="209" t="str">
        <f t="shared" si="82"/>
        <v/>
      </c>
      <c r="AR422" s="209" t="str">
        <f t="shared" si="83"/>
        <v/>
      </c>
      <c r="AS422" s="202" t="str">
        <f t="shared" si="84"/>
        <v/>
      </c>
      <c r="AT422" s="202" t="str">
        <f t="shared" si="85"/>
        <v/>
      </c>
      <c r="AU422" s="208"/>
      <c r="AV422" s="208"/>
      <c r="AW422" s="208"/>
      <c r="AX422" s="208"/>
      <c r="AY422" s="208"/>
      <c r="AZ422" s="208"/>
      <c r="BA422" s="208"/>
      <c r="BB422" s="208"/>
      <c r="BC422" s="208"/>
      <c r="BD422" s="208"/>
      <c r="BE422" s="208"/>
      <c r="BF422" s="208"/>
      <c r="BG422" s="28"/>
      <c r="BH422" s="28"/>
      <c r="BI422" s="28"/>
      <c r="BJ422" s="28"/>
    </row>
    <row r="423" spans="1:62" s="23" customFormat="1" ht="21" customHeight="1" thickBot="1" x14ac:dyDescent="0.25">
      <c r="A423" s="846" t="str">
        <f>IF($AN423="","",IFERROR(VLOOKUP(CONCATENATE(CTR1_Billing!$E$20,$AN423),'Local Data Previous Year'!$C$3:$D$20000,2,0),CTR1_Billing!$E$21&amp;"NEW"))</f>
        <v/>
      </c>
      <c r="B423" s="846" t="str">
        <f>IF($E423="","",IFERROR(VLOOKUP(CONCATENATE(CTR1_Billing!$E$20,CTR1_Local!$E423),'Local Data Previous Year'!$C$3:$D$20000,2,0),CTR1_Billing!$E$21&amp;"NEW"))</f>
        <v/>
      </c>
      <c r="C423" s="846">
        <v>391</v>
      </c>
      <c r="D423" s="755" t="str" cm="1">
        <f t="array" ref="D423">IF(ISERROR(INDEX('Local Data Previous Year'!$D$3:$D$20000,SMALL(IF(CTR1_Billing!$E$21='Local Data Previous Year'!$A$3:$A$20000,ROW('Local Data Previous Year'!$A$3:$A$20000)-ROW('Local Data Previous Year'!$A$3)+1),ROW(391:391)))),"",INDEX('Local Data Previous Year'!$D$3:$D$20000,SMALL(IF(CTR1_Billing!$E$21='Local Data Previous Year'!$A$3:$A$20000,ROW('Local Data Previous Year'!$A$3:$A$20000)-ROW('Local Data Previous Year'!$A$3)+1),ROW(391:391))))</f>
        <v/>
      </c>
      <c r="E423" s="755" t="str" cm="1">
        <f t="array" ref="E423">IF(ISERROR(INDEX('Local Data Previous Year'!$E$3:$E$20000,SMALL(IF(CTR1_Billing!$E$21='Local Data Previous Year'!$A$3:$A$20000,ROW('Local Data Previous Year'!$A$3:$A$20000)-ROW('Local Data Previous Year'!$A$3)+1),ROW(391:391)))),"",INDEX('Local Data Previous Year'!$E$3:$E$20000,SMALL(IF(CTR1_Billing!$E$21='Local Data Previous Year'!$A$3:$A$20000,ROW('Local Data Previous Year'!$A$3:$A$20000)-ROW('Local Data Previous Year'!$A$3)+1),ROW(391:391))))</f>
        <v/>
      </c>
      <c r="F423" s="756" t="str">
        <f>IF($D423="","",IF(ISNA(MATCH($D423,'Local Data Previous Year'!$D$3:$D$20000,0)),"New",IFERROR(VLOOKUP($B423,'Local Data Previous Year'!$D$3:$I$20000,6,0),"")))</f>
        <v/>
      </c>
      <c r="G423" s="757">
        <f t="shared" si="86"/>
        <v>0</v>
      </c>
      <c r="H423" s="758" t="str">
        <f>IFERROR(INDEX('Local Data Previous Year'!$F:$F, MATCH($D423, 'Local Data Previous Year'!$D:$D, 0)), "")</f>
        <v/>
      </c>
      <c r="I423" s="759">
        <f>IF(B423=CTR1_Billing!$E$21&amp;"NEW",1,0)</f>
        <v>0</v>
      </c>
      <c r="J423" s="760" t="str">
        <f>IFERROR(INDEX('Local Data Previous Year'!$G:$G, MATCH($D423, 'Local Data Previous Year'!$D:$D, 0)), "")</f>
        <v/>
      </c>
      <c r="K423" s="762"/>
      <c r="L423" s="760" t="str">
        <f>IFERROR(INDEX('Local Data Previous Year'!$H:$H, MATCH($D423, 'Local Data Previous Year'!$D:$D, 0)), "")</f>
        <v/>
      </c>
      <c r="M423" s="762"/>
      <c r="N423" s="763"/>
      <c r="O423" s="767"/>
      <c r="P423" s="765"/>
      <c r="Q423" s="767"/>
      <c r="R423" s="766" t="str">
        <f t="shared" si="87"/>
        <v/>
      </c>
      <c r="S423" s="754"/>
      <c r="T423" s="763"/>
      <c r="U423" s="754"/>
      <c r="V423" s="763"/>
      <c r="W423" s="763"/>
      <c r="X423" s="865" t="str">
        <f>VLOOKUP(CTR1_Billing!$E$21,Data!$C$6:$D$302,1,FALSE)</f>
        <v>EZZZZ</v>
      </c>
      <c r="Y423" s="205"/>
      <c r="Z423" s="205">
        <f t="shared" si="76"/>
        <v>0</v>
      </c>
      <c r="AA423" s="206" t="str">
        <f t="shared" si="40"/>
        <v/>
      </c>
      <c r="AB423" s="205">
        <f t="shared" si="77"/>
        <v>0</v>
      </c>
      <c r="AC423" s="208"/>
      <c r="AD423" s="208"/>
      <c r="AE423" s="208"/>
      <c r="AF423" s="208"/>
      <c r="AG423" s="209" t="str">
        <f>IFERROR(INDEX('Local Data Previous Year'!$F:$F, MATCH($D423, 'Local Data Previous Year'!$D:$D, 0)), "")</f>
        <v/>
      </c>
      <c r="AH423" s="209" t="str">
        <f>IFERROR(INDEX('Local Data Previous Year'!$G:$G, MATCH($D423, 'Local Data Previous Year'!$D:$D, 0)), "")</f>
        <v/>
      </c>
      <c r="AI423" s="209" t="str">
        <f>IFERROR(INDEX('Local Data Previous Year'!$H:$H, MATCH($D423, 'Local Data Previous Year'!$D:$D, 0)), "")</f>
        <v/>
      </c>
      <c r="AJ423" s="209" t="str">
        <f t="shared" si="78"/>
        <v/>
      </c>
      <c r="AK423" s="209" t="str">
        <f t="shared" si="79"/>
        <v/>
      </c>
      <c r="AL423" s="209" t="str">
        <f t="shared" si="80"/>
        <v/>
      </c>
      <c r="AM423" s="208" t="str">
        <f>IF($AN423="","",IFERROR(VLOOKUP(CONCATENATE(CTR1_Billing!$E$20,$AN423),'Local Data Previous Year'!$C$3:$D$50000,2,0),CTR1_Billing!$E$21&amp;"NEW"))</f>
        <v/>
      </c>
      <c r="AN423" s="209" t="str" cm="1">
        <f t="array" ref="AN423">IF(ISERROR(INDEX('Local Data Previous Year'!$E$3:$E$50000, SMALL(IF(CTR1_Billing!$E$21='Local Data Previous Year'!$A$3:$A$50000, ROW('Local Data Previous Year'!$A$3:$A$50000)-ROW('Local Data Previous Year'!$A$3)+1), ROW(391:391)))), "", INDEX('Local Data Previous Year'!$E$3:$E$50000, SMALL(IF(CTR1_Billing!$E$21='Local Data Previous Year'!$A$3:$A$50000, ROW('Local Data Previous Year'!$A$3:$A$50000)-ROW('Local Data Previous Year'!$A$3)+1), ROW(391:391))))</f>
        <v/>
      </c>
      <c r="AO423" s="209" t="str">
        <f t="shared" si="81"/>
        <v/>
      </c>
      <c r="AP423" s="208"/>
      <c r="AQ423" s="209" t="str">
        <f t="shared" si="82"/>
        <v/>
      </c>
      <c r="AR423" s="209" t="str">
        <f t="shared" si="83"/>
        <v/>
      </c>
      <c r="AS423" s="202" t="str">
        <f t="shared" si="84"/>
        <v/>
      </c>
      <c r="AT423" s="202" t="str">
        <f t="shared" si="85"/>
        <v/>
      </c>
      <c r="AU423" s="208"/>
      <c r="AV423" s="208"/>
      <c r="AW423" s="208"/>
      <c r="AX423" s="208"/>
      <c r="AY423" s="208"/>
      <c r="AZ423" s="208"/>
      <c r="BA423" s="208"/>
      <c r="BB423" s="208"/>
      <c r="BC423" s="208"/>
      <c r="BD423" s="208"/>
      <c r="BE423" s="208"/>
      <c r="BF423" s="208"/>
      <c r="BG423" s="28"/>
      <c r="BH423" s="28"/>
      <c r="BI423" s="28"/>
      <c r="BJ423" s="28"/>
    </row>
    <row r="424" spans="1:62" s="23" customFormat="1" ht="21" customHeight="1" thickBot="1" x14ac:dyDescent="0.25">
      <c r="A424" s="846" t="str">
        <f>IF($AN424="","",IFERROR(VLOOKUP(CONCATENATE(CTR1_Billing!$E$20,$AN424),'Local Data Previous Year'!$C$3:$D$20000,2,0),CTR1_Billing!$E$21&amp;"NEW"))</f>
        <v/>
      </c>
      <c r="B424" s="846" t="str">
        <f>IF($E424="","",IFERROR(VLOOKUP(CONCATENATE(CTR1_Billing!$E$20,CTR1_Local!$E424),'Local Data Previous Year'!$C$3:$D$20000,2,0),CTR1_Billing!$E$21&amp;"NEW"))</f>
        <v/>
      </c>
      <c r="C424" s="846">
        <v>392</v>
      </c>
      <c r="D424" s="755" t="str" cm="1">
        <f t="array" ref="D424">IF(ISERROR(INDEX('Local Data Previous Year'!$D$3:$D$20000,SMALL(IF(CTR1_Billing!$E$21='Local Data Previous Year'!$A$3:$A$20000,ROW('Local Data Previous Year'!$A$3:$A$20000)-ROW('Local Data Previous Year'!$A$3)+1),ROW(392:392)))),"",INDEX('Local Data Previous Year'!$D$3:$D$20000,SMALL(IF(CTR1_Billing!$E$21='Local Data Previous Year'!$A$3:$A$20000,ROW('Local Data Previous Year'!$A$3:$A$20000)-ROW('Local Data Previous Year'!$A$3)+1),ROW(392:392))))</f>
        <v/>
      </c>
      <c r="E424" s="755" t="str" cm="1">
        <f t="array" ref="E424">IF(ISERROR(INDEX('Local Data Previous Year'!$E$3:$E$20000,SMALL(IF(CTR1_Billing!$E$21='Local Data Previous Year'!$A$3:$A$20000,ROW('Local Data Previous Year'!$A$3:$A$20000)-ROW('Local Data Previous Year'!$A$3)+1),ROW(392:392)))),"",INDEX('Local Data Previous Year'!$E$3:$E$20000,SMALL(IF(CTR1_Billing!$E$21='Local Data Previous Year'!$A$3:$A$20000,ROW('Local Data Previous Year'!$A$3:$A$20000)-ROW('Local Data Previous Year'!$A$3)+1),ROW(392:392))))</f>
        <v/>
      </c>
      <c r="F424" s="756" t="str">
        <f>IF($D424="","",IF(ISNA(MATCH($D424,'Local Data Previous Year'!$D$3:$D$20000,0)),"New",IFERROR(VLOOKUP($B424,'Local Data Previous Year'!$D$3:$I$20000,6,0),"")))</f>
        <v/>
      </c>
      <c r="G424" s="757">
        <f t="shared" si="86"/>
        <v>0</v>
      </c>
      <c r="H424" s="758" t="str">
        <f>IFERROR(INDEX('Local Data Previous Year'!$F:$F, MATCH($D424, 'Local Data Previous Year'!$D:$D, 0)), "")</f>
        <v/>
      </c>
      <c r="I424" s="759">
        <f>IF(B424=CTR1_Billing!$E$21&amp;"NEW",1,0)</f>
        <v>0</v>
      </c>
      <c r="J424" s="760" t="str">
        <f>IFERROR(INDEX('Local Data Previous Year'!$G:$G, MATCH($D424, 'Local Data Previous Year'!$D:$D, 0)), "")</f>
        <v/>
      </c>
      <c r="K424" s="762"/>
      <c r="L424" s="760" t="str">
        <f>IFERROR(INDEX('Local Data Previous Year'!$H:$H, MATCH($D424, 'Local Data Previous Year'!$D:$D, 0)), "")</f>
        <v/>
      </c>
      <c r="M424" s="762"/>
      <c r="N424" s="763"/>
      <c r="O424" s="767"/>
      <c r="P424" s="765"/>
      <c r="Q424" s="767"/>
      <c r="R424" s="766" t="str">
        <f t="shared" si="87"/>
        <v/>
      </c>
      <c r="S424" s="754"/>
      <c r="T424" s="763"/>
      <c r="U424" s="754"/>
      <c r="V424" s="763"/>
      <c r="W424" s="763"/>
      <c r="X424" s="865" t="str">
        <f>VLOOKUP(CTR1_Billing!$E$21,Data!$C$6:$D$302,1,FALSE)</f>
        <v>EZZZZ</v>
      </c>
      <c r="Y424" s="205"/>
      <c r="Z424" s="205">
        <f t="shared" si="76"/>
        <v>0</v>
      </c>
      <c r="AA424" s="206" t="str">
        <f t="shared" si="40"/>
        <v/>
      </c>
      <c r="AB424" s="205">
        <f t="shared" si="77"/>
        <v>0</v>
      </c>
      <c r="AC424" s="208"/>
      <c r="AD424" s="208"/>
      <c r="AE424" s="208"/>
      <c r="AF424" s="208"/>
      <c r="AG424" s="209" t="str">
        <f>IFERROR(INDEX('Local Data Previous Year'!$F:$F, MATCH($D424, 'Local Data Previous Year'!$D:$D, 0)), "")</f>
        <v/>
      </c>
      <c r="AH424" s="209" t="str">
        <f>IFERROR(INDEX('Local Data Previous Year'!$G:$G, MATCH($D424, 'Local Data Previous Year'!$D:$D, 0)), "")</f>
        <v/>
      </c>
      <c r="AI424" s="209" t="str">
        <f>IFERROR(INDEX('Local Data Previous Year'!$H:$H, MATCH($D424, 'Local Data Previous Year'!$D:$D, 0)), "")</f>
        <v/>
      </c>
      <c r="AJ424" s="209" t="str">
        <f t="shared" si="78"/>
        <v/>
      </c>
      <c r="AK424" s="209" t="str">
        <f t="shared" si="79"/>
        <v/>
      </c>
      <c r="AL424" s="209" t="str">
        <f t="shared" si="80"/>
        <v/>
      </c>
      <c r="AM424" s="208" t="str">
        <f>IF($AN424="","",IFERROR(VLOOKUP(CONCATENATE(CTR1_Billing!$E$20,$AN424),'Local Data Previous Year'!$C$3:$D$50000,2,0),CTR1_Billing!$E$21&amp;"NEW"))</f>
        <v/>
      </c>
      <c r="AN424" s="209" t="str" cm="1">
        <f t="array" ref="AN424">IF(ISERROR(INDEX('Local Data Previous Year'!$E$3:$E$50000, SMALL(IF(CTR1_Billing!$E$21='Local Data Previous Year'!$A$3:$A$50000, ROW('Local Data Previous Year'!$A$3:$A$50000)-ROW('Local Data Previous Year'!$A$3)+1), ROW(392:392)))), "", INDEX('Local Data Previous Year'!$E$3:$E$50000, SMALL(IF(CTR1_Billing!$E$21='Local Data Previous Year'!$A$3:$A$50000, ROW('Local Data Previous Year'!$A$3:$A$50000)-ROW('Local Data Previous Year'!$A$3)+1), ROW(392:392))))</f>
        <v/>
      </c>
      <c r="AO424" s="209" t="str">
        <f t="shared" si="81"/>
        <v/>
      </c>
      <c r="AP424" s="208"/>
      <c r="AQ424" s="209" t="str">
        <f t="shared" si="82"/>
        <v/>
      </c>
      <c r="AR424" s="209" t="str">
        <f t="shared" si="83"/>
        <v/>
      </c>
      <c r="AS424" s="202" t="str">
        <f t="shared" si="84"/>
        <v/>
      </c>
      <c r="AT424" s="202" t="str">
        <f t="shared" si="85"/>
        <v/>
      </c>
      <c r="AU424" s="208"/>
      <c r="AV424" s="208"/>
      <c r="AW424" s="208"/>
      <c r="AX424" s="208"/>
      <c r="AY424" s="208"/>
      <c r="AZ424" s="208"/>
      <c r="BA424" s="208"/>
      <c r="BB424" s="208"/>
      <c r="BC424" s="208"/>
      <c r="BD424" s="208"/>
      <c r="BE424" s="208"/>
      <c r="BF424" s="208"/>
      <c r="BG424" s="28"/>
      <c r="BH424" s="28"/>
      <c r="BI424" s="28"/>
      <c r="BJ424" s="28"/>
    </row>
    <row r="425" spans="1:62" s="23" customFormat="1" ht="21" customHeight="1" thickBot="1" x14ac:dyDescent="0.25">
      <c r="A425" s="846" t="str">
        <f>IF($AN425="","",IFERROR(VLOOKUP(CONCATENATE(CTR1_Billing!$E$20,$AN425),'Local Data Previous Year'!$C$3:$D$20000,2,0),CTR1_Billing!$E$21&amp;"NEW"))</f>
        <v/>
      </c>
      <c r="B425" s="846" t="str">
        <f>IF($E425="","",IFERROR(VLOOKUP(CONCATENATE(CTR1_Billing!$E$20,CTR1_Local!$E425),'Local Data Previous Year'!$C$3:$D$20000,2,0),CTR1_Billing!$E$21&amp;"NEW"))</f>
        <v/>
      </c>
      <c r="C425" s="846">
        <v>393</v>
      </c>
      <c r="D425" s="755" t="str" cm="1">
        <f t="array" ref="D425">IF(ISERROR(INDEX('Local Data Previous Year'!$D$3:$D$20000,SMALL(IF(CTR1_Billing!$E$21='Local Data Previous Year'!$A$3:$A$20000,ROW('Local Data Previous Year'!$A$3:$A$20000)-ROW('Local Data Previous Year'!$A$3)+1),ROW(393:393)))),"",INDEX('Local Data Previous Year'!$D$3:$D$20000,SMALL(IF(CTR1_Billing!$E$21='Local Data Previous Year'!$A$3:$A$20000,ROW('Local Data Previous Year'!$A$3:$A$20000)-ROW('Local Data Previous Year'!$A$3)+1),ROW(393:393))))</f>
        <v/>
      </c>
      <c r="E425" s="755" t="str" cm="1">
        <f t="array" ref="E425">IF(ISERROR(INDEX('Local Data Previous Year'!$E$3:$E$20000,SMALL(IF(CTR1_Billing!$E$21='Local Data Previous Year'!$A$3:$A$20000,ROW('Local Data Previous Year'!$A$3:$A$20000)-ROW('Local Data Previous Year'!$A$3)+1),ROW(393:393)))),"",INDEX('Local Data Previous Year'!$E$3:$E$20000,SMALL(IF(CTR1_Billing!$E$21='Local Data Previous Year'!$A$3:$A$20000,ROW('Local Data Previous Year'!$A$3:$A$20000)-ROW('Local Data Previous Year'!$A$3)+1),ROW(393:393))))</f>
        <v/>
      </c>
      <c r="F425" s="756" t="str">
        <f>IF($D425="","",IF(ISNA(MATCH($D425,'Local Data Previous Year'!$D$3:$D$20000,0)),"New",IFERROR(VLOOKUP($B425,'Local Data Previous Year'!$D$3:$I$20000,6,0),"")))</f>
        <v/>
      </c>
      <c r="G425" s="757">
        <f t="shared" si="86"/>
        <v>0</v>
      </c>
      <c r="H425" s="758" t="str">
        <f>IFERROR(INDEX('Local Data Previous Year'!$F:$F, MATCH($D425, 'Local Data Previous Year'!$D:$D, 0)), "")</f>
        <v/>
      </c>
      <c r="I425" s="759">
        <f>IF(B425=CTR1_Billing!$E$21&amp;"NEW",1,0)</f>
        <v>0</v>
      </c>
      <c r="J425" s="760" t="str">
        <f>IFERROR(INDEX('Local Data Previous Year'!$G:$G, MATCH($D425, 'Local Data Previous Year'!$D:$D, 0)), "")</f>
        <v/>
      </c>
      <c r="K425" s="762"/>
      <c r="L425" s="760" t="str">
        <f>IFERROR(INDEX('Local Data Previous Year'!$H:$H, MATCH($D425, 'Local Data Previous Year'!$D:$D, 0)), "")</f>
        <v/>
      </c>
      <c r="M425" s="762"/>
      <c r="N425" s="763"/>
      <c r="O425" s="767"/>
      <c r="P425" s="765"/>
      <c r="Q425" s="767"/>
      <c r="R425" s="766" t="str">
        <f t="shared" si="87"/>
        <v/>
      </c>
      <c r="S425" s="754"/>
      <c r="T425" s="763"/>
      <c r="U425" s="754"/>
      <c r="V425" s="763"/>
      <c r="W425" s="763"/>
      <c r="X425" s="865" t="str">
        <f>VLOOKUP(CTR1_Billing!$E$21,Data!$C$6:$D$302,1,FALSE)</f>
        <v>EZZZZ</v>
      </c>
      <c r="Y425" s="205"/>
      <c r="Z425" s="205">
        <f t="shared" si="76"/>
        <v>0</v>
      </c>
      <c r="AA425" s="206" t="str">
        <f t="shared" si="40"/>
        <v/>
      </c>
      <c r="AB425" s="205">
        <f t="shared" si="77"/>
        <v>0</v>
      </c>
      <c r="AC425" s="208"/>
      <c r="AD425" s="208"/>
      <c r="AE425" s="208"/>
      <c r="AF425" s="208"/>
      <c r="AG425" s="209" t="str">
        <f>IFERROR(INDEX('Local Data Previous Year'!$F:$F, MATCH($D425, 'Local Data Previous Year'!$D:$D, 0)), "")</f>
        <v/>
      </c>
      <c r="AH425" s="209" t="str">
        <f>IFERROR(INDEX('Local Data Previous Year'!$G:$G, MATCH($D425, 'Local Data Previous Year'!$D:$D, 0)), "")</f>
        <v/>
      </c>
      <c r="AI425" s="209" t="str">
        <f>IFERROR(INDEX('Local Data Previous Year'!$H:$H, MATCH($D425, 'Local Data Previous Year'!$D:$D, 0)), "")</f>
        <v/>
      </c>
      <c r="AJ425" s="209" t="str">
        <f t="shared" si="78"/>
        <v/>
      </c>
      <c r="AK425" s="209" t="str">
        <f t="shared" si="79"/>
        <v/>
      </c>
      <c r="AL425" s="209" t="str">
        <f t="shared" si="80"/>
        <v/>
      </c>
      <c r="AM425" s="208" t="str">
        <f>IF($AN425="","",IFERROR(VLOOKUP(CONCATENATE(CTR1_Billing!$E$20,$AN425),'Local Data Previous Year'!$C$3:$D$50000,2,0),CTR1_Billing!$E$21&amp;"NEW"))</f>
        <v/>
      </c>
      <c r="AN425" s="209" t="str" cm="1">
        <f t="array" ref="AN425">IF(ISERROR(INDEX('Local Data Previous Year'!$E$3:$E$50000, SMALL(IF(CTR1_Billing!$E$21='Local Data Previous Year'!$A$3:$A$50000, ROW('Local Data Previous Year'!$A$3:$A$50000)-ROW('Local Data Previous Year'!$A$3)+1), ROW(393:393)))), "", INDEX('Local Data Previous Year'!$E$3:$E$50000, SMALL(IF(CTR1_Billing!$E$21='Local Data Previous Year'!$A$3:$A$50000, ROW('Local Data Previous Year'!$A$3:$A$50000)-ROW('Local Data Previous Year'!$A$3)+1), ROW(393:393))))</f>
        <v/>
      </c>
      <c r="AO425" s="209" t="str">
        <f t="shared" si="81"/>
        <v/>
      </c>
      <c r="AP425" s="208"/>
      <c r="AQ425" s="209" t="str">
        <f t="shared" si="82"/>
        <v/>
      </c>
      <c r="AR425" s="209" t="str">
        <f t="shared" si="83"/>
        <v/>
      </c>
      <c r="AS425" s="202" t="str">
        <f t="shared" si="84"/>
        <v/>
      </c>
      <c r="AT425" s="202" t="str">
        <f t="shared" si="85"/>
        <v/>
      </c>
      <c r="AU425" s="208"/>
      <c r="AV425" s="208"/>
      <c r="AW425" s="208"/>
      <c r="AX425" s="208"/>
      <c r="AY425" s="208"/>
      <c r="AZ425" s="208"/>
      <c r="BA425" s="208"/>
      <c r="BB425" s="208"/>
      <c r="BC425" s="208"/>
      <c r="BD425" s="208"/>
      <c r="BE425" s="208"/>
      <c r="BF425" s="208"/>
      <c r="BG425" s="28"/>
      <c r="BH425" s="28"/>
      <c r="BI425" s="28"/>
      <c r="BJ425" s="28"/>
    </row>
    <row r="426" spans="1:62" s="23" customFormat="1" ht="21" customHeight="1" thickBot="1" x14ac:dyDescent="0.25">
      <c r="A426" s="846" t="str">
        <f>IF($AN426="","",IFERROR(VLOOKUP(CONCATENATE(CTR1_Billing!$E$20,$AN426),'Local Data Previous Year'!$C$3:$D$20000,2,0),CTR1_Billing!$E$21&amp;"NEW"))</f>
        <v/>
      </c>
      <c r="B426" s="846" t="str">
        <f>IF($E426="","",IFERROR(VLOOKUP(CONCATENATE(CTR1_Billing!$E$20,CTR1_Local!$E426),'Local Data Previous Year'!$C$3:$D$20000,2,0),CTR1_Billing!$E$21&amp;"NEW"))</f>
        <v/>
      </c>
      <c r="C426" s="846">
        <v>394</v>
      </c>
      <c r="D426" s="755" t="str" cm="1">
        <f t="array" ref="D426">IF(ISERROR(INDEX('Local Data Previous Year'!$D$3:$D$20000,SMALL(IF(CTR1_Billing!$E$21='Local Data Previous Year'!$A$3:$A$20000,ROW('Local Data Previous Year'!$A$3:$A$20000)-ROW('Local Data Previous Year'!$A$3)+1),ROW(394:394)))),"",INDEX('Local Data Previous Year'!$D$3:$D$20000,SMALL(IF(CTR1_Billing!$E$21='Local Data Previous Year'!$A$3:$A$20000,ROW('Local Data Previous Year'!$A$3:$A$20000)-ROW('Local Data Previous Year'!$A$3)+1),ROW(394:394))))</f>
        <v/>
      </c>
      <c r="E426" s="755" t="str" cm="1">
        <f t="array" ref="E426">IF(ISERROR(INDEX('Local Data Previous Year'!$E$3:$E$20000,SMALL(IF(CTR1_Billing!$E$21='Local Data Previous Year'!$A$3:$A$20000,ROW('Local Data Previous Year'!$A$3:$A$20000)-ROW('Local Data Previous Year'!$A$3)+1),ROW(394:394)))),"",INDEX('Local Data Previous Year'!$E$3:$E$20000,SMALL(IF(CTR1_Billing!$E$21='Local Data Previous Year'!$A$3:$A$20000,ROW('Local Data Previous Year'!$A$3:$A$20000)-ROW('Local Data Previous Year'!$A$3)+1),ROW(394:394))))</f>
        <v/>
      </c>
      <c r="F426" s="756" t="str">
        <f>IF($D426="","",IF(ISNA(MATCH($D426,'Local Data Previous Year'!$D$3:$D$20000,0)),"New",IFERROR(VLOOKUP($B426,'Local Data Previous Year'!$D$3:$I$20000,6,0),"")))</f>
        <v/>
      </c>
      <c r="G426" s="757">
        <f t="shared" si="86"/>
        <v>0</v>
      </c>
      <c r="H426" s="758" t="str">
        <f>IFERROR(INDEX('Local Data Previous Year'!$F:$F, MATCH($D426, 'Local Data Previous Year'!$D:$D, 0)), "")</f>
        <v/>
      </c>
      <c r="I426" s="759">
        <f>IF(B426=CTR1_Billing!$E$21&amp;"NEW",1,0)</f>
        <v>0</v>
      </c>
      <c r="J426" s="760" t="str">
        <f>IFERROR(INDEX('Local Data Previous Year'!$G:$G, MATCH($D426, 'Local Data Previous Year'!$D:$D, 0)), "")</f>
        <v/>
      </c>
      <c r="K426" s="762"/>
      <c r="L426" s="760" t="str">
        <f>IFERROR(INDEX('Local Data Previous Year'!$H:$H, MATCH($D426, 'Local Data Previous Year'!$D:$D, 0)), "")</f>
        <v/>
      </c>
      <c r="M426" s="762"/>
      <c r="N426" s="763"/>
      <c r="O426" s="767"/>
      <c r="P426" s="765"/>
      <c r="Q426" s="767"/>
      <c r="R426" s="766" t="str">
        <f t="shared" si="87"/>
        <v/>
      </c>
      <c r="S426" s="754"/>
      <c r="T426" s="763"/>
      <c r="U426" s="754"/>
      <c r="V426" s="763"/>
      <c r="W426" s="763"/>
      <c r="X426" s="865" t="str">
        <f>VLOOKUP(CTR1_Billing!$E$21,Data!$C$6:$D$302,1,FALSE)</f>
        <v>EZZZZ</v>
      </c>
      <c r="Y426" s="205"/>
      <c r="Z426" s="205">
        <f t="shared" si="76"/>
        <v>0</v>
      </c>
      <c r="AA426" s="206" t="str">
        <f t="shared" si="40"/>
        <v/>
      </c>
      <c r="AB426" s="205">
        <f t="shared" si="77"/>
        <v>0</v>
      </c>
      <c r="AC426" s="208"/>
      <c r="AD426" s="208"/>
      <c r="AE426" s="208"/>
      <c r="AF426" s="208"/>
      <c r="AG426" s="209" t="str">
        <f>IFERROR(INDEX('Local Data Previous Year'!$F:$F, MATCH($D426, 'Local Data Previous Year'!$D:$D, 0)), "")</f>
        <v/>
      </c>
      <c r="AH426" s="209" t="str">
        <f>IFERROR(INDEX('Local Data Previous Year'!$G:$G, MATCH($D426, 'Local Data Previous Year'!$D:$D, 0)), "")</f>
        <v/>
      </c>
      <c r="AI426" s="209" t="str">
        <f>IFERROR(INDEX('Local Data Previous Year'!$H:$H, MATCH($D426, 'Local Data Previous Year'!$D:$D, 0)), "")</f>
        <v/>
      </c>
      <c r="AJ426" s="209" t="str">
        <f t="shared" si="78"/>
        <v/>
      </c>
      <c r="AK426" s="209" t="str">
        <f t="shared" si="79"/>
        <v/>
      </c>
      <c r="AL426" s="209" t="str">
        <f t="shared" si="80"/>
        <v/>
      </c>
      <c r="AM426" s="208" t="str">
        <f>IF($AN426="","",IFERROR(VLOOKUP(CONCATENATE(CTR1_Billing!$E$20,$AN426),'Local Data Previous Year'!$C$3:$D$50000,2,0),CTR1_Billing!$E$21&amp;"NEW"))</f>
        <v/>
      </c>
      <c r="AN426" s="209" t="str" cm="1">
        <f t="array" ref="AN426">IF(ISERROR(INDEX('Local Data Previous Year'!$E$3:$E$50000, SMALL(IF(CTR1_Billing!$E$21='Local Data Previous Year'!$A$3:$A$50000, ROW('Local Data Previous Year'!$A$3:$A$50000)-ROW('Local Data Previous Year'!$A$3)+1), ROW(394:394)))), "", INDEX('Local Data Previous Year'!$E$3:$E$50000, SMALL(IF(CTR1_Billing!$E$21='Local Data Previous Year'!$A$3:$A$50000, ROW('Local Data Previous Year'!$A$3:$A$50000)-ROW('Local Data Previous Year'!$A$3)+1), ROW(394:394))))</f>
        <v/>
      </c>
      <c r="AO426" s="209" t="str">
        <f t="shared" si="81"/>
        <v/>
      </c>
      <c r="AP426" s="208"/>
      <c r="AQ426" s="209" t="str">
        <f t="shared" si="82"/>
        <v/>
      </c>
      <c r="AR426" s="209" t="str">
        <f t="shared" si="83"/>
        <v/>
      </c>
      <c r="AS426" s="202" t="str">
        <f t="shared" si="84"/>
        <v/>
      </c>
      <c r="AT426" s="202" t="str">
        <f t="shared" si="85"/>
        <v/>
      </c>
      <c r="AU426" s="208"/>
      <c r="AV426" s="208"/>
      <c r="AW426" s="208"/>
      <c r="AX426" s="208"/>
      <c r="AY426" s="208"/>
      <c r="AZ426" s="208"/>
      <c r="BA426" s="208"/>
      <c r="BB426" s="208"/>
      <c r="BC426" s="208"/>
      <c r="BD426" s="208"/>
      <c r="BE426" s="208"/>
      <c r="BF426" s="208"/>
      <c r="BG426" s="28"/>
      <c r="BH426" s="28"/>
      <c r="BI426" s="28"/>
      <c r="BJ426" s="28"/>
    </row>
    <row r="427" spans="1:62" s="23" customFormat="1" ht="21" customHeight="1" thickBot="1" x14ac:dyDescent="0.25">
      <c r="A427" s="846" t="str">
        <f>IF($AN427="","",IFERROR(VLOOKUP(CONCATENATE(CTR1_Billing!$E$20,$AN427),'Local Data Previous Year'!$C$3:$D$20000,2,0),CTR1_Billing!$E$21&amp;"NEW"))</f>
        <v/>
      </c>
      <c r="B427" s="846" t="str">
        <f>IF($E427="","",IFERROR(VLOOKUP(CONCATENATE(CTR1_Billing!$E$20,CTR1_Local!$E427),'Local Data Previous Year'!$C$3:$D$20000,2,0),CTR1_Billing!$E$21&amp;"NEW"))</f>
        <v/>
      </c>
      <c r="C427" s="846">
        <v>395</v>
      </c>
      <c r="D427" s="755" t="str" cm="1">
        <f t="array" ref="D427">IF(ISERROR(INDEX('Local Data Previous Year'!$D$3:$D$20000,SMALL(IF(CTR1_Billing!$E$21='Local Data Previous Year'!$A$3:$A$20000,ROW('Local Data Previous Year'!$A$3:$A$20000)-ROW('Local Data Previous Year'!$A$3)+1),ROW(395:395)))),"",INDEX('Local Data Previous Year'!$D$3:$D$20000,SMALL(IF(CTR1_Billing!$E$21='Local Data Previous Year'!$A$3:$A$20000,ROW('Local Data Previous Year'!$A$3:$A$20000)-ROW('Local Data Previous Year'!$A$3)+1),ROW(395:395))))</f>
        <v/>
      </c>
      <c r="E427" s="755" t="str" cm="1">
        <f t="array" ref="E427">IF(ISERROR(INDEX('Local Data Previous Year'!$E$3:$E$20000,SMALL(IF(CTR1_Billing!$E$21='Local Data Previous Year'!$A$3:$A$20000,ROW('Local Data Previous Year'!$A$3:$A$20000)-ROW('Local Data Previous Year'!$A$3)+1),ROW(395:395)))),"",INDEX('Local Data Previous Year'!$E$3:$E$20000,SMALL(IF(CTR1_Billing!$E$21='Local Data Previous Year'!$A$3:$A$20000,ROW('Local Data Previous Year'!$A$3:$A$20000)-ROW('Local Data Previous Year'!$A$3)+1),ROW(395:395))))</f>
        <v/>
      </c>
      <c r="F427" s="756" t="str">
        <f>IF($D427="","",IF(ISNA(MATCH($D427,'Local Data Previous Year'!$D$3:$D$20000,0)),"New",IFERROR(VLOOKUP($B427,'Local Data Previous Year'!$D$3:$I$20000,6,0),"")))</f>
        <v/>
      </c>
      <c r="G427" s="757">
        <f t="shared" si="86"/>
        <v>0</v>
      </c>
      <c r="H427" s="758" t="str">
        <f>IFERROR(INDEX('Local Data Previous Year'!$F:$F, MATCH($D427, 'Local Data Previous Year'!$D:$D, 0)), "")</f>
        <v/>
      </c>
      <c r="I427" s="759">
        <f>IF(B427=CTR1_Billing!$E$21&amp;"NEW",1,0)</f>
        <v>0</v>
      </c>
      <c r="J427" s="760" t="str">
        <f>IFERROR(INDEX('Local Data Previous Year'!$G:$G, MATCH($D427, 'Local Data Previous Year'!$D:$D, 0)), "")</f>
        <v/>
      </c>
      <c r="K427" s="762"/>
      <c r="L427" s="760" t="str">
        <f>IFERROR(INDEX('Local Data Previous Year'!$H:$H, MATCH($D427, 'Local Data Previous Year'!$D:$D, 0)), "")</f>
        <v/>
      </c>
      <c r="M427" s="762"/>
      <c r="N427" s="763"/>
      <c r="O427" s="767"/>
      <c r="P427" s="765"/>
      <c r="Q427" s="767"/>
      <c r="R427" s="766" t="str">
        <f t="shared" si="87"/>
        <v/>
      </c>
      <c r="S427" s="754"/>
      <c r="T427" s="763"/>
      <c r="U427" s="754"/>
      <c r="V427" s="763"/>
      <c r="W427" s="763"/>
      <c r="X427" s="865" t="str">
        <f>VLOOKUP(CTR1_Billing!$E$21,Data!$C$6:$D$302,1,FALSE)</f>
        <v>EZZZZ</v>
      </c>
      <c r="Y427" s="205"/>
      <c r="Z427" s="205">
        <f t="shared" si="76"/>
        <v>0</v>
      </c>
      <c r="AA427" s="206" t="str">
        <f t="shared" si="40"/>
        <v/>
      </c>
      <c r="AB427" s="205">
        <f t="shared" si="77"/>
        <v>0</v>
      </c>
      <c r="AC427" s="208"/>
      <c r="AD427" s="208"/>
      <c r="AE427" s="208"/>
      <c r="AF427" s="208"/>
      <c r="AG427" s="209" t="str">
        <f>IFERROR(INDEX('Local Data Previous Year'!$F:$F, MATCH($D427, 'Local Data Previous Year'!$D:$D, 0)), "")</f>
        <v/>
      </c>
      <c r="AH427" s="209" t="str">
        <f>IFERROR(INDEX('Local Data Previous Year'!$G:$G, MATCH($D427, 'Local Data Previous Year'!$D:$D, 0)), "")</f>
        <v/>
      </c>
      <c r="AI427" s="209" t="str">
        <f>IFERROR(INDEX('Local Data Previous Year'!$H:$H, MATCH($D427, 'Local Data Previous Year'!$D:$D, 0)), "")</f>
        <v/>
      </c>
      <c r="AJ427" s="209" t="str">
        <f t="shared" si="78"/>
        <v/>
      </c>
      <c r="AK427" s="209" t="str">
        <f t="shared" si="79"/>
        <v/>
      </c>
      <c r="AL427" s="209" t="str">
        <f t="shared" si="80"/>
        <v/>
      </c>
      <c r="AM427" s="208" t="str">
        <f>IF($AN427="","",IFERROR(VLOOKUP(CONCATENATE(CTR1_Billing!$E$20,$AN427),'Local Data Previous Year'!$C$3:$D$50000,2,0),CTR1_Billing!$E$21&amp;"NEW"))</f>
        <v/>
      </c>
      <c r="AN427" s="209" t="str" cm="1">
        <f t="array" ref="AN427">IF(ISERROR(INDEX('Local Data Previous Year'!$E$3:$E$50000, SMALL(IF(CTR1_Billing!$E$21='Local Data Previous Year'!$A$3:$A$50000, ROW('Local Data Previous Year'!$A$3:$A$50000)-ROW('Local Data Previous Year'!$A$3)+1), ROW(395:395)))), "", INDEX('Local Data Previous Year'!$E$3:$E$50000, SMALL(IF(CTR1_Billing!$E$21='Local Data Previous Year'!$A$3:$A$50000, ROW('Local Data Previous Year'!$A$3:$A$50000)-ROW('Local Data Previous Year'!$A$3)+1), ROW(395:395))))</f>
        <v/>
      </c>
      <c r="AO427" s="209" t="str">
        <f t="shared" si="81"/>
        <v/>
      </c>
      <c r="AP427" s="208"/>
      <c r="AQ427" s="209" t="str">
        <f t="shared" si="82"/>
        <v/>
      </c>
      <c r="AR427" s="209" t="str">
        <f t="shared" si="83"/>
        <v/>
      </c>
      <c r="AS427" s="202" t="str">
        <f t="shared" si="84"/>
        <v/>
      </c>
      <c r="AT427" s="202" t="str">
        <f t="shared" si="85"/>
        <v/>
      </c>
      <c r="AU427" s="208"/>
      <c r="AV427" s="208"/>
      <c r="AW427" s="208"/>
      <c r="AX427" s="208"/>
      <c r="AY427" s="208"/>
      <c r="AZ427" s="208"/>
      <c r="BA427" s="208"/>
      <c r="BB427" s="208"/>
      <c r="BC427" s="208"/>
      <c r="BD427" s="208"/>
      <c r="BE427" s="208"/>
      <c r="BF427" s="208"/>
      <c r="BG427" s="28"/>
      <c r="BH427" s="28"/>
      <c r="BI427" s="28"/>
      <c r="BJ427" s="28"/>
    </row>
    <row r="428" spans="1:62" s="23" customFormat="1" ht="21" customHeight="1" thickBot="1" x14ac:dyDescent="0.25">
      <c r="A428" s="846" t="str">
        <f>IF($AN428="","",IFERROR(VLOOKUP(CONCATENATE(CTR1_Billing!$E$20,$AN428),'Local Data Previous Year'!$C$3:$D$20000,2,0),CTR1_Billing!$E$21&amp;"NEW"))</f>
        <v/>
      </c>
      <c r="B428" s="846" t="str">
        <f>IF($E428="","",IFERROR(VLOOKUP(CONCATENATE(CTR1_Billing!$E$20,CTR1_Local!$E428),'Local Data Previous Year'!$C$3:$D$20000,2,0),CTR1_Billing!$E$21&amp;"NEW"))</f>
        <v/>
      </c>
      <c r="C428" s="846">
        <v>396</v>
      </c>
      <c r="D428" s="755" t="str" cm="1">
        <f t="array" ref="D428">IF(ISERROR(INDEX('Local Data Previous Year'!$D$3:$D$20000,SMALL(IF(CTR1_Billing!$E$21='Local Data Previous Year'!$A$3:$A$20000,ROW('Local Data Previous Year'!$A$3:$A$20000)-ROW('Local Data Previous Year'!$A$3)+1),ROW(396:396)))),"",INDEX('Local Data Previous Year'!$D$3:$D$20000,SMALL(IF(CTR1_Billing!$E$21='Local Data Previous Year'!$A$3:$A$20000,ROW('Local Data Previous Year'!$A$3:$A$20000)-ROW('Local Data Previous Year'!$A$3)+1),ROW(396:396))))</f>
        <v/>
      </c>
      <c r="E428" s="755" t="str" cm="1">
        <f t="array" ref="E428">IF(ISERROR(INDEX('Local Data Previous Year'!$E$3:$E$20000,SMALL(IF(CTR1_Billing!$E$21='Local Data Previous Year'!$A$3:$A$20000,ROW('Local Data Previous Year'!$A$3:$A$20000)-ROW('Local Data Previous Year'!$A$3)+1),ROW(396:396)))),"",INDEX('Local Data Previous Year'!$E$3:$E$20000,SMALL(IF(CTR1_Billing!$E$21='Local Data Previous Year'!$A$3:$A$20000,ROW('Local Data Previous Year'!$A$3:$A$20000)-ROW('Local Data Previous Year'!$A$3)+1),ROW(396:396))))</f>
        <v/>
      </c>
      <c r="F428" s="756" t="str">
        <f>IF($D428="","",IF(ISNA(MATCH($D428,'Local Data Previous Year'!$D$3:$D$20000,0)),"New",IFERROR(VLOOKUP($B428,'Local Data Previous Year'!$D$3:$I$20000,6,0),"")))</f>
        <v/>
      </c>
      <c r="G428" s="757">
        <f t="shared" si="86"/>
        <v>0</v>
      </c>
      <c r="H428" s="758" t="str">
        <f>IFERROR(INDEX('Local Data Previous Year'!$F:$F, MATCH($D428, 'Local Data Previous Year'!$D:$D, 0)), "")</f>
        <v/>
      </c>
      <c r="I428" s="759">
        <f>IF(B428=CTR1_Billing!$E$21&amp;"NEW",1,0)</f>
        <v>0</v>
      </c>
      <c r="J428" s="760" t="str">
        <f>IFERROR(INDEX('Local Data Previous Year'!$G:$G, MATCH($D428, 'Local Data Previous Year'!$D:$D, 0)), "")</f>
        <v/>
      </c>
      <c r="K428" s="762"/>
      <c r="L428" s="760" t="str">
        <f>IFERROR(INDEX('Local Data Previous Year'!$H:$H, MATCH($D428, 'Local Data Previous Year'!$D:$D, 0)), "")</f>
        <v/>
      </c>
      <c r="M428" s="762"/>
      <c r="N428" s="763"/>
      <c r="O428" s="767"/>
      <c r="P428" s="765"/>
      <c r="Q428" s="767"/>
      <c r="R428" s="766" t="str">
        <f t="shared" si="87"/>
        <v/>
      </c>
      <c r="S428" s="754"/>
      <c r="T428" s="763"/>
      <c r="U428" s="754"/>
      <c r="V428" s="763"/>
      <c r="W428" s="763"/>
      <c r="X428" s="865" t="str">
        <f>VLOOKUP(CTR1_Billing!$E$21,Data!$C$6:$D$302,1,FALSE)</f>
        <v>EZZZZ</v>
      </c>
      <c r="Y428" s="205"/>
      <c r="Z428" s="205">
        <f t="shared" si="76"/>
        <v>0</v>
      </c>
      <c r="AA428" s="206" t="str">
        <f t="shared" si="40"/>
        <v/>
      </c>
      <c r="AB428" s="205">
        <f t="shared" si="77"/>
        <v>0</v>
      </c>
      <c r="AC428" s="208"/>
      <c r="AD428" s="208"/>
      <c r="AE428" s="208"/>
      <c r="AF428" s="208"/>
      <c r="AG428" s="209" t="str">
        <f>IFERROR(INDEX('Local Data Previous Year'!$F:$F, MATCH($D428, 'Local Data Previous Year'!$D:$D, 0)), "")</f>
        <v/>
      </c>
      <c r="AH428" s="209" t="str">
        <f>IFERROR(INDEX('Local Data Previous Year'!$G:$G, MATCH($D428, 'Local Data Previous Year'!$D:$D, 0)), "")</f>
        <v/>
      </c>
      <c r="AI428" s="209" t="str">
        <f>IFERROR(INDEX('Local Data Previous Year'!$H:$H, MATCH($D428, 'Local Data Previous Year'!$D:$D, 0)), "")</f>
        <v/>
      </c>
      <c r="AJ428" s="209" t="str">
        <f t="shared" si="78"/>
        <v/>
      </c>
      <c r="AK428" s="209" t="str">
        <f t="shared" si="79"/>
        <v/>
      </c>
      <c r="AL428" s="209" t="str">
        <f t="shared" si="80"/>
        <v/>
      </c>
      <c r="AM428" s="208" t="str">
        <f>IF($AN428="","",IFERROR(VLOOKUP(CONCATENATE(CTR1_Billing!$E$20,$AN428),'Local Data Previous Year'!$C$3:$D$50000,2,0),CTR1_Billing!$E$21&amp;"NEW"))</f>
        <v/>
      </c>
      <c r="AN428" s="209" t="str" cm="1">
        <f t="array" ref="AN428">IF(ISERROR(INDEX('Local Data Previous Year'!$E$3:$E$50000, SMALL(IF(CTR1_Billing!$E$21='Local Data Previous Year'!$A$3:$A$50000, ROW('Local Data Previous Year'!$A$3:$A$50000)-ROW('Local Data Previous Year'!$A$3)+1), ROW(396:396)))), "", INDEX('Local Data Previous Year'!$E$3:$E$50000, SMALL(IF(CTR1_Billing!$E$21='Local Data Previous Year'!$A$3:$A$50000, ROW('Local Data Previous Year'!$A$3:$A$50000)-ROW('Local Data Previous Year'!$A$3)+1), ROW(396:396))))</f>
        <v/>
      </c>
      <c r="AO428" s="209" t="str">
        <f t="shared" si="81"/>
        <v/>
      </c>
      <c r="AP428" s="208"/>
      <c r="AQ428" s="209" t="str">
        <f t="shared" si="82"/>
        <v/>
      </c>
      <c r="AR428" s="209" t="str">
        <f t="shared" si="83"/>
        <v/>
      </c>
      <c r="AS428" s="202" t="str">
        <f t="shared" si="84"/>
        <v/>
      </c>
      <c r="AT428" s="202" t="str">
        <f t="shared" si="85"/>
        <v/>
      </c>
      <c r="AU428" s="208"/>
      <c r="AV428" s="208"/>
      <c r="AW428" s="208"/>
      <c r="AX428" s="208"/>
      <c r="AY428" s="208"/>
      <c r="AZ428" s="208"/>
      <c r="BA428" s="208"/>
      <c r="BB428" s="208"/>
      <c r="BC428" s="208"/>
      <c r="BD428" s="208"/>
      <c r="BE428" s="208"/>
      <c r="BF428" s="208"/>
      <c r="BG428" s="28"/>
      <c r="BH428" s="28"/>
      <c r="BI428" s="28"/>
      <c r="BJ428" s="28"/>
    </row>
    <row r="429" spans="1:62" s="23" customFormat="1" ht="21" customHeight="1" thickBot="1" x14ac:dyDescent="0.25">
      <c r="A429" s="846" t="str">
        <f>IF($AN429="","",IFERROR(VLOOKUP(CONCATENATE(CTR1_Billing!$E$20,$AN429),'Local Data Previous Year'!$C$3:$D$20000,2,0),CTR1_Billing!$E$21&amp;"NEW"))</f>
        <v/>
      </c>
      <c r="B429" s="846" t="str">
        <f>IF($E429="","",IFERROR(VLOOKUP(CONCATENATE(CTR1_Billing!$E$20,CTR1_Local!$E429),'Local Data Previous Year'!$C$3:$D$20000,2,0),CTR1_Billing!$E$21&amp;"NEW"))</f>
        <v/>
      </c>
      <c r="C429" s="846">
        <v>397</v>
      </c>
      <c r="D429" s="755" t="str" cm="1">
        <f t="array" ref="D429">IF(ISERROR(INDEX('Local Data Previous Year'!$D$3:$D$20000,SMALL(IF(CTR1_Billing!$E$21='Local Data Previous Year'!$A$3:$A$20000,ROW('Local Data Previous Year'!$A$3:$A$20000)-ROW('Local Data Previous Year'!$A$3)+1),ROW(397:397)))),"",INDEX('Local Data Previous Year'!$D$3:$D$20000,SMALL(IF(CTR1_Billing!$E$21='Local Data Previous Year'!$A$3:$A$20000,ROW('Local Data Previous Year'!$A$3:$A$20000)-ROW('Local Data Previous Year'!$A$3)+1),ROW(397:397))))</f>
        <v/>
      </c>
      <c r="E429" s="755" t="str" cm="1">
        <f t="array" ref="E429">IF(ISERROR(INDEX('Local Data Previous Year'!$E$3:$E$20000,SMALL(IF(CTR1_Billing!$E$21='Local Data Previous Year'!$A$3:$A$20000,ROW('Local Data Previous Year'!$A$3:$A$20000)-ROW('Local Data Previous Year'!$A$3)+1),ROW(397:397)))),"",INDEX('Local Data Previous Year'!$E$3:$E$20000,SMALL(IF(CTR1_Billing!$E$21='Local Data Previous Year'!$A$3:$A$20000,ROW('Local Data Previous Year'!$A$3:$A$20000)-ROW('Local Data Previous Year'!$A$3)+1),ROW(397:397))))</f>
        <v/>
      </c>
      <c r="F429" s="756" t="str">
        <f>IF($D429="","",IF(ISNA(MATCH($D429,'Local Data Previous Year'!$D$3:$D$20000,0)),"New",IFERROR(VLOOKUP($B429,'Local Data Previous Year'!$D$3:$I$20000,6,0),"")))</f>
        <v/>
      </c>
      <c r="G429" s="757">
        <f t="shared" si="86"/>
        <v>0</v>
      </c>
      <c r="H429" s="758" t="str">
        <f>IFERROR(INDEX('Local Data Previous Year'!$F:$F, MATCH($D429, 'Local Data Previous Year'!$D:$D, 0)), "")</f>
        <v/>
      </c>
      <c r="I429" s="759">
        <f>IF(B429=CTR1_Billing!$E$21&amp;"NEW",1,0)</f>
        <v>0</v>
      </c>
      <c r="J429" s="760" t="str">
        <f>IFERROR(INDEX('Local Data Previous Year'!$G:$G, MATCH($D429, 'Local Data Previous Year'!$D:$D, 0)), "")</f>
        <v/>
      </c>
      <c r="K429" s="762"/>
      <c r="L429" s="760" t="str">
        <f>IFERROR(INDEX('Local Data Previous Year'!$H:$H, MATCH($D429, 'Local Data Previous Year'!$D:$D, 0)), "")</f>
        <v/>
      </c>
      <c r="M429" s="762"/>
      <c r="N429" s="763"/>
      <c r="O429" s="767"/>
      <c r="P429" s="765"/>
      <c r="Q429" s="767"/>
      <c r="R429" s="766" t="str">
        <f t="shared" si="87"/>
        <v/>
      </c>
      <c r="S429" s="754"/>
      <c r="T429" s="763"/>
      <c r="U429" s="754"/>
      <c r="V429" s="763"/>
      <c r="W429" s="763"/>
      <c r="X429" s="865" t="str">
        <f>VLOOKUP(CTR1_Billing!$E$21,Data!$C$6:$D$302,1,FALSE)</f>
        <v>EZZZZ</v>
      </c>
      <c r="Y429" s="205"/>
      <c r="Z429" s="205">
        <f t="shared" si="76"/>
        <v>0</v>
      </c>
      <c r="AA429" s="206" t="str">
        <f t="shared" si="40"/>
        <v/>
      </c>
      <c r="AB429" s="205">
        <f t="shared" si="77"/>
        <v>0</v>
      </c>
      <c r="AC429" s="208"/>
      <c r="AD429" s="208"/>
      <c r="AE429" s="208"/>
      <c r="AF429" s="208"/>
      <c r="AG429" s="209" t="str">
        <f>IFERROR(INDEX('Local Data Previous Year'!$F:$F, MATCH($D429, 'Local Data Previous Year'!$D:$D, 0)), "")</f>
        <v/>
      </c>
      <c r="AH429" s="209" t="str">
        <f>IFERROR(INDEX('Local Data Previous Year'!$G:$G, MATCH($D429, 'Local Data Previous Year'!$D:$D, 0)), "")</f>
        <v/>
      </c>
      <c r="AI429" s="209" t="str">
        <f>IFERROR(INDEX('Local Data Previous Year'!$H:$H, MATCH($D429, 'Local Data Previous Year'!$D:$D, 0)), "")</f>
        <v/>
      </c>
      <c r="AJ429" s="209" t="str">
        <f t="shared" si="78"/>
        <v/>
      </c>
      <c r="AK429" s="209" t="str">
        <f t="shared" si="79"/>
        <v/>
      </c>
      <c r="AL429" s="209" t="str">
        <f t="shared" si="80"/>
        <v/>
      </c>
      <c r="AM429" s="208" t="str">
        <f>IF($AN429="","",IFERROR(VLOOKUP(CONCATENATE(CTR1_Billing!$E$20,$AN429),'Local Data Previous Year'!$C$3:$D$50000,2,0),CTR1_Billing!$E$21&amp;"NEW"))</f>
        <v/>
      </c>
      <c r="AN429" s="209" t="str" cm="1">
        <f t="array" ref="AN429">IF(ISERROR(INDEX('Local Data Previous Year'!$E$3:$E$50000, SMALL(IF(CTR1_Billing!$E$21='Local Data Previous Year'!$A$3:$A$50000, ROW('Local Data Previous Year'!$A$3:$A$50000)-ROW('Local Data Previous Year'!$A$3)+1), ROW(397:397)))), "", INDEX('Local Data Previous Year'!$E$3:$E$50000, SMALL(IF(CTR1_Billing!$E$21='Local Data Previous Year'!$A$3:$A$50000, ROW('Local Data Previous Year'!$A$3:$A$50000)-ROW('Local Data Previous Year'!$A$3)+1), ROW(397:397))))</f>
        <v/>
      </c>
      <c r="AO429" s="209" t="str">
        <f t="shared" si="81"/>
        <v/>
      </c>
      <c r="AP429" s="208"/>
      <c r="AQ429" s="209" t="str">
        <f t="shared" si="82"/>
        <v/>
      </c>
      <c r="AR429" s="209" t="str">
        <f t="shared" si="83"/>
        <v/>
      </c>
      <c r="AS429" s="202" t="str">
        <f t="shared" si="84"/>
        <v/>
      </c>
      <c r="AT429" s="202" t="str">
        <f t="shared" si="85"/>
        <v/>
      </c>
      <c r="AU429" s="208"/>
      <c r="AV429" s="208"/>
      <c r="AW429" s="208"/>
      <c r="AX429" s="208"/>
      <c r="AY429" s="208"/>
      <c r="AZ429" s="208"/>
      <c r="BA429" s="208"/>
      <c r="BB429" s="208"/>
      <c r="BC429" s="208"/>
      <c r="BD429" s="208"/>
      <c r="BE429" s="208"/>
      <c r="BF429" s="208"/>
      <c r="BG429" s="28"/>
      <c r="BH429" s="28"/>
      <c r="BI429" s="28"/>
      <c r="BJ429" s="28"/>
    </row>
    <row r="430" spans="1:62" s="23" customFormat="1" ht="21" customHeight="1" thickBot="1" x14ac:dyDescent="0.25">
      <c r="A430" s="846" t="str">
        <f>IF($AN430="","",IFERROR(VLOOKUP(CONCATENATE(CTR1_Billing!$E$20,$AN430),'Local Data Previous Year'!$C$3:$D$20000,2,0),CTR1_Billing!$E$21&amp;"NEW"))</f>
        <v/>
      </c>
      <c r="B430" s="846" t="str">
        <f>IF($E430="","",IFERROR(VLOOKUP(CONCATENATE(CTR1_Billing!$E$20,CTR1_Local!$E430),'Local Data Previous Year'!$C$3:$D$20000,2,0),CTR1_Billing!$E$21&amp;"NEW"))</f>
        <v/>
      </c>
      <c r="C430" s="846">
        <v>398</v>
      </c>
      <c r="D430" s="755" t="str" cm="1">
        <f t="array" ref="D430">IF(ISERROR(INDEX('Local Data Previous Year'!$D$3:$D$20000,SMALL(IF(CTR1_Billing!$E$21='Local Data Previous Year'!$A$3:$A$20000,ROW('Local Data Previous Year'!$A$3:$A$20000)-ROW('Local Data Previous Year'!$A$3)+1),ROW(398:398)))),"",INDEX('Local Data Previous Year'!$D$3:$D$20000,SMALL(IF(CTR1_Billing!$E$21='Local Data Previous Year'!$A$3:$A$20000,ROW('Local Data Previous Year'!$A$3:$A$20000)-ROW('Local Data Previous Year'!$A$3)+1),ROW(398:398))))</f>
        <v/>
      </c>
      <c r="E430" s="755" t="str" cm="1">
        <f t="array" ref="E430">IF(ISERROR(INDEX('Local Data Previous Year'!$E$3:$E$20000,SMALL(IF(CTR1_Billing!$E$21='Local Data Previous Year'!$A$3:$A$20000,ROW('Local Data Previous Year'!$A$3:$A$20000)-ROW('Local Data Previous Year'!$A$3)+1),ROW(398:398)))),"",INDEX('Local Data Previous Year'!$E$3:$E$20000,SMALL(IF(CTR1_Billing!$E$21='Local Data Previous Year'!$A$3:$A$20000,ROW('Local Data Previous Year'!$A$3:$A$20000)-ROW('Local Data Previous Year'!$A$3)+1),ROW(398:398))))</f>
        <v/>
      </c>
      <c r="F430" s="756" t="str">
        <f>IF($D430="","",IF(ISNA(MATCH($D430,'Local Data Previous Year'!$D$3:$D$20000,0)),"New",IFERROR(VLOOKUP($B430,'Local Data Previous Year'!$D$3:$I$20000,6,0),"")))</f>
        <v/>
      </c>
      <c r="G430" s="757">
        <f t="shared" si="86"/>
        <v>0</v>
      </c>
      <c r="H430" s="758" t="str">
        <f>IFERROR(INDEX('Local Data Previous Year'!$F:$F, MATCH($D430, 'Local Data Previous Year'!$D:$D, 0)), "")</f>
        <v/>
      </c>
      <c r="I430" s="759">
        <f>IF(B430=CTR1_Billing!$E$21&amp;"NEW",1,0)</f>
        <v>0</v>
      </c>
      <c r="J430" s="760" t="str">
        <f>IFERROR(INDEX('Local Data Previous Year'!$G:$G, MATCH($D430, 'Local Data Previous Year'!$D:$D, 0)), "")</f>
        <v/>
      </c>
      <c r="K430" s="762"/>
      <c r="L430" s="760" t="str">
        <f>IFERROR(INDEX('Local Data Previous Year'!$H:$H, MATCH($D430, 'Local Data Previous Year'!$D:$D, 0)), "")</f>
        <v/>
      </c>
      <c r="M430" s="762"/>
      <c r="N430" s="763"/>
      <c r="O430" s="767"/>
      <c r="P430" s="765"/>
      <c r="Q430" s="767"/>
      <c r="R430" s="766" t="str">
        <f t="shared" si="87"/>
        <v/>
      </c>
      <c r="S430" s="754"/>
      <c r="T430" s="763"/>
      <c r="U430" s="754"/>
      <c r="V430" s="763"/>
      <c r="W430" s="763"/>
      <c r="X430" s="865" t="str">
        <f>VLOOKUP(CTR1_Billing!$E$21,Data!$C$6:$D$302,1,FALSE)</f>
        <v>EZZZZ</v>
      </c>
      <c r="Y430" s="205"/>
      <c r="Z430" s="205">
        <f t="shared" si="76"/>
        <v>0</v>
      </c>
      <c r="AA430" s="206" t="str">
        <f t="shared" si="40"/>
        <v/>
      </c>
      <c r="AB430" s="205">
        <f t="shared" si="77"/>
        <v>0</v>
      </c>
      <c r="AC430" s="208"/>
      <c r="AD430" s="208"/>
      <c r="AE430" s="208"/>
      <c r="AF430" s="208"/>
      <c r="AG430" s="209" t="str">
        <f>IFERROR(INDEX('Local Data Previous Year'!$F:$F, MATCH($D430, 'Local Data Previous Year'!$D:$D, 0)), "")</f>
        <v/>
      </c>
      <c r="AH430" s="209" t="str">
        <f>IFERROR(INDEX('Local Data Previous Year'!$G:$G, MATCH($D430, 'Local Data Previous Year'!$D:$D, 0)), "")</f>
        <v/>
      </c>
      <c r="AI430" s="209" t="str">
        <f>IFERROR(INDEX('Local Data Previous Year'!$H:$H, MATCH($D430, 'Local Data Previous Year'!$D:$D, 0)), "")</f>
        <v/>
      </c>
      <c r="AJ430" s="209" t="str">
        <f t="shared" si="78"/>
        <v/>
      </c>
      <c r="AK430" s="209" t="str">
        <f t="shared" si="79"/>
        <v/>
      </c>
      <c r="AL430" s="209" t="str">
        <f t="shared" si="80"/>
        <v/>
      </c>
      <c r="AM430" s="208" t="str">
        <f>IF($AN430="","",IFERROR(VLOOKUP(CONCATENATE(CTR1_Billing!$E$20,$AN430),'Local Data Previous Year'!$C$3:$D$50000,2,0),CTR1_Billing!$E$21&amp;"NEW"))</f>
        <v/>
      </c>
      <c r="AN430" s="209" t="str" cm="1">
        <f t="array" ref="AN430">IF(ISERROR(INDEX('Local Data Previous Year'!$E$3:$E$50000, SMALL(IF(CTR1_Billing!$E$21='Local Data Previous Year'!$A$3:$A$50000, ROW('Local Data Previous Year'!$A$3:$A$50000)-ROW('Local Data Previous Year'!$A$3)+1), ROW(398:398)))), "", INDEX('Local Data Previous Year'!$E$3:$E$50000, SMALL(IF(CTR1_Billing!$E$21='Local Data Previous Year'!$A$3:$A$50000, ROW('Local Data Previous Year'!$A$3:$A$50000)-ROW('Local Data Previous Year'!$A$3)+1), ROW(398:398))))</f>
        <v/>
      </c>
      <c r="AO430" s="209" t="str">
        <f t="shared" si="81"/>
        <v/>
      </c>
      <c r="AP430" s="208"/>
      <c r="AQ430" s="209" t="str">
        <f t="shared" si="82"/>
        <v/>
      </c>
      <c r="AR430" s="209" t="str">
        <f t="shared" si="83"/>
        <v/>
      </c>
      <c r="AS430" s="202" t="str">
        <f t="shared" si="84"/>
        <v/>
      </c>
      <c r="AT430" s="202" t="str">
        <f t="shared" si="85"/>
        <v/>
      </c>
      <c r="AU430" s="208"/>
      <c r="AV430" s="208"/>
      <c r="AW430" s="208"/>
      <c r="AX430" s="208"/>
      <c r="AY430" s="208"/>
      <c r="AZ430" s="208"/>
      <c r="BA430" s="208"/>
      <c r="BB430" s="208"/>
      <c r="BC430" s="208"/>
      <c r="BD430" s="208"/>
      <c r="BE430" s="208"/>
      <c r="BF430" s="208"/>
      <c r="BG430" s="28"/>
      <c r="BH430" s="28"/>
      <c r="BI430" s="28"/>
      <c r="BJ430" s="28"/>
    </row>
    <row r="431" spans="1:62" s="23" customFormat="1" ht="21" customHeight="1" thickBot="1" x14ac:dyDescent="0.25">
      <c r="A431" s="846" t="str">
        <f>IF($AN431="","",IFERROR(VLOOKUP(CONCATENATE(CTR1_Billing!$E$20,$AN431),'Local Data Previous Year'!$C$3:$D$20000,2,0),CTR1_Billing!$E$21&amp;"NEW"))</f>
        <v/>
      </c>
      <c r="B431" s="846" t="str">
        <f>IF($E431="","",IFERROR(VLOOKUP(CONCATENATE(CTR1_Billing!$E$20,CTR1_Local!$E431),'Local Data Previous Year'!$C$3:$D$20000,2,0),CTR1_Billing!$E$21&amp;"NEW"))</f>
        <v/>
      </c>
      <c r="C431" s="846">
        <v>399</v>
      </c>
      <c r="D431" s="755" t="str" cm="1">
        <f t="array" ref="D431">IF(ISERROR(INDEX('Local Data Previous Year'!$D$3:$D$20000,SMALL(IF(CTR1_Billing!$E$21='Local Data Previous Year'!$A$3:$A$20000,ROW('Local Data Previous Year'!$A$3:$A$20000)-ROW('Local Data Previous Year'!$A$3)+1),ROW(399:399)))),"",INDEX('Local Data Previous Year'!$D$3:$D$20000,SMALL(IF(CTR1_Billing!$E$21='Local Data Previous Year'!$A$3:$A$20000,ROW('Local Data Previous Year'!$A$3:$A$20000)-ROW('Local Data Previous Year'!$A$3)+1),ROW(399:399))))</f>
        <v/>
      </c>
      <c r="E431" s="755" t="str" cm="1">
        <f t="array" ref="E431">IF(ISERROR(INDEX('Local Data Previous Year'!$E$3:$E$20000,SMALL(IF(CTR1_Billing!$E$21='Local Data Previous Year'!$A$3:$A$20000,ROW('Local Data Previous Year'!$A$3:$A$20000)-ROW('Local Data Previous Year'!$A$3)+1),ROW(399:399)))),"",INDEX('Local Data Previous Year'!$E$3:$E$20000,SMALL(IF(CTR1_Billing!$E$21='Local Data Previous Year'!$A$3:$A$20000,ROW('Local Data Previous Year'!$A$3:$A$20000)-ROW('Local Data Previous Year'!$A$3)+1),ROW(399:399))))</f>
        <v/>
      </c>
      <c r="F431" s="756" t="str">
        <f>IF($D431="","",IF(ISNA(MATCH($D431,'Local Data Previous Year'!$D$3:$D$20000,0)),"New",IFERROR(VLOOKUP($B431,'Local Data Previous Year'!$D$3:$I$20000,6,0),"")))</f>
        <v/>
      </c>
      <c r="G431" s="757">
        <f t="shared" si="86"/>
        <v>0</v>
      </c>
      <c r="H431" s="758" t="str">
        <f>IFERROR(INDEX('Local Data Previous Year'!$F:$F, MATCH($D431, 'Local Data Previous Year'!$D:$D, 0)), "")</f>
        <v/>
      </c>
      <c r="I431" s="759">
        <f>IF(B431=CTR1_Billing!$E$21&amp;"NEW",1,0)</f>
        <v>0</v>
      </c>
      <c r="J431" s="760" t="str">
        <f>IFERROR(INDEX('Local Data Previous Year'!$G:$G, MATCH($D431, 'Local Data Previous Year'!$D:$D, 0)), "")</f>
        <v/>
      </c>
      <c r="K431" s="762"/>
      <c r="L431" s="760" t="str">
        <f>IFERROR(INDEX('Local Data Previous Year'!$H:$H, MATCH($D431, 'Local Data Previous Year'!$D:$D, 0)), "")</f>
        <v/>
      </c>
      <c r="M431" s="762"/>
      <c r="N431" s="763"/>
      <c r="O431" s="767"/>
      <c r="P431" s="765"/>
      <c r="Q431" s="767"/>
      <c r="R431" s="766" t="str">
        <f t="shared" si="87"/>
        <v/>
      </c>
      <c r="S431" s="754"/>
      <c r="T431" s="763"/>
      <c r="U431" s="754"/>
      <c r="V431" s="763"/>
      <c r="W431" s="763"/>
      <c r="X431" s="865" t="str">
        <f>VLOOKUP(CTR1_Billing!$E$21,Data!$C$6:$D$302,1,FALSE)</f>
        <v>EZZZZ</v>
      </c>
      <c r="Y431" s="205"/>
      <c r="Z431" s="205">
        <f t="shared" si="76"/>
        <v>0</v>
      </c>
      <c r="AA431" s="206" t="str">
        <f t="shared" si="40"/>
        <v/>
      </c>
      <c r="AB431" s="205">
        <f t="shared" si="77"/>
        <v>0</v>
      </c>
      <c r="AC431" s="208"/>
      <c r="AD431" s="208"/>
      <c r="AE431" s="208"/>
      <c r="AF431" s="208"/>
      <c r="AG431" s="209" t="str">
        <f>IFERROR(INDEX('Local Data Previous Year'!$F:$F, MATCH($D431, 'Local Data Previous Year'!$D:$D, 0)), "")</f>
        <v/>
      </c>
      <c r="AH431" s="209" t="str">
        <f>IFERROR(INDEX('Local Data Previous Year'!$G:$G, MATCH($D431, 'Local Data Previous Year'!$D:$D, 0)), "")</f>
        <v/>
      </c>
      <c r="AI431" s="209" t="str">
        <f>IFERROR(INDEX('Local Data Previous Year'!$H:$H, MATCH($D431, 'Local Data Previous Year'!$D:$D, 0)), "")</f>
        <v/>
      </c>
      <c r="AJ431" s="209" t="str">
        <f t="shared" si="78"/>
        <v/>
      </c>
      <c r="AK431" s="209" t="str">
        <f t="shared" si="79"/>
        <v/>
      </c>
      <c r="AL431" s="209" t="str">
        <f t="shared" si="80"/>
        <v/>
      </c>
      <c r="AM431" s="208" t="str">
        <f>IF($AN431="","",IFERROR(VLOOKUP(CONCATENATE(CTR1_Billing!$E$20,$AN431),'Local Data Previous Year'!$C$3:$D$50000,2,0),CTR1_Billing!$E$21&amp;"NEW"))</f>
        <v/>
      </c>
      <c r="AN431" s="209" t="str" cm="1">
        <f t="array" ref="AN431">IF(ISERROR(INDEX('Local Data Previous Year'!$E$3:$E$50000, SMALL(IF(CTR1_Billing!$E$21='Local Data Previous Year'!$A$3:$A$50000, ROW('Local Data Previous Year'!$A$3:$A$50000)-ROW('Local Data Previous Year'!$A$3)+1), ROW(399:399)))), "", INDEX('Local Data Previous Year'!$E$3:$E$50000, SMALL(IF(CTR1_Billing!$E$21='Local Data Previous Year'!$A$3:$A$50000, ROW('Local Data Previous Year'!$A$3:$A$50000)-ROW('Local Data Previous Year'!$A$3)+1), ROW(399:399))))</f>
        <v/>
      </c>
      <c r="AO431" s="209" t="str">
        <f t="shared" si="81"/>
        <v/>
      </c>
      <c r="AP431" s="208"/>
      <c r="AQ431" s="209" t="str">
        <f t="shared" si="82"/>
        <v/>
      </c>
      <c r="AR431" s="209" t="str">
        <f t="shared" si="83"/>
        <v/>
      </c>
      <c r="AS431" s="202" t="str">
        <f t="shared" si="84"/>
        <v/>
      </c>
      <c r="AT431" s="202" t="str">
        <f t="shared" si="85"/>
        <v/>
      </c>
      <c r="AU431" s="208"/>
      <c r="AV431" s="208"/>
      <c r="AW431" s="208"/>
      <c r="AX431" s="208"/>
      <c r="AY431" s="208"/>
      <c r="AZ431" s="208"/>
      <c r="BA431" s="208"/>
      <c r="BB431" s="208"/>
      <c r="BC431" s="208"/>
      <c r="BD431" s="208"/>
      <c r="BE431" s="208"/>
      <c r="BF431" s="208"/>
      <c r="BG431" s="28"/>
      <c r="BH431" s="28"/>
      <c r="BI431" s="28"/>
      <c r="BJ431" s="28"/>
    </row>
    <row r="432" spans="1:62" s="23" customFormat="1" ht="21" customHeight="1" thickBot="1" x14ac:dyDescent="0.25">
      <c r="A432" s="846" t="str">
        <f>IF($AN432="","",IFERROR(VLOOKUP(CONCATENATE(CTR1_Billing!$E$20,$AN432),'Local Data Previous Year'!$C$3:$D$20000,2,0),CTR1_Billing!$E$21&amp;"NEW"))</f>
        <v/>
      </c>
      <c r="B432" s="846" t="str">
        <f>IF($E432="","",IFERROR(VLOOKUP(CONCATENATE(CTR1_Billing!$E$20,CTR1_Local!$E432),'Local Data Previous Year'!$C$3:$D$20000,2,0),CTR1_Billing!$E$21&amp;"NEW"))</f>
        <v/>
      </c>
      <c r="C432" s="846">
        <v>400</v>
      </c>
      <c r="D432" s="755" t="str" cm="1">
        <f t="array" ref="D432">IF(ISERROR(INDEX('Local Data Previous Year'!$D$3:$D$20000,SMALL(IF(CTR1_Billing!$E$21='Local Data Previous Year'!$A$3:$A$20000,ROW('Local Data Previous Year'!$A$3:$A$20000)-ROW('Local Data Previous Year'!$A$3)+1),ROW(400:400)))),"",INDEX('Local Data Previous Year'!$D$3:$D$20000,SMALL(IF(CTR1_Billing!$E$21='Local Data Previous Year'!$A$3:$A$20000,ROW('Local Data Previous Year'!$A$3:$A$20000)-ROW('Local Data Previous Year'!$A$3)+1),ROW(400:400))))</f>
        <v/>
      </c>
      <c r="E432" s="755" t="str" cm="1">
        <f t="array" ref="E432">IF(ISERROR(INDEX('Local Data Previous Year'!$E$3:$E$20000,SMALL(IF(CTR1_Billing!$E$21='Local Data Previous Year'!$A$3:$A$20000,ROW('Local Data Previous Year'!$A$3:$A$20000)-ROW('Local Data Previous Year'!$A$3)+1),ROW(400:400)))),"",INDEX('Local Data Previous Year'!$E$3:$E$20000,SMALL(IF(CTR1_Billing!$E$21='Local Data Previous Year'!$A$3:$A$20000,ROW('Local Data Previous Year'!$A$3:$A$20000)-ROW('Local Data Previous Year'!$A$3)+1),ROW(400:400))))</f>
        <v/>
      </c>
      <c r="F432" s="756" t="str">
        <f>IF($D432="","",IF(ISNA(MATCH($D432,'Local Data Previous Year'!$D$3:$D$20000,0)),"New",IFERROR(VLOOKUP($B432,'Local Data Previous Year'!$D$3:$I$20000,6,0),"")))</f>
        <v/>
      </c>
      <c r="G432" s="757">
        <f t="shared" si="86"/>
        <v>0</v>
      </c>
      <c r="H432" s="758" t="str">
        <f>IFERROR(INDEX('Local Data Previous Year'!$F:$F, MATCH($D432, 'Local Data Previous Year'!$D:$D, 0)), "")</f>
        <v/>
      </c>
      <c r="I432" s="759">
        <f>IF(B432=CTR1_Billing!$E$21&amp;"NEW",1,0)</f>
        <v>0</v>
      </c>
      <c r="J432" s="760" t="str">
        <f>IFERROR(INDEX('Local Data Previous Year'!$G:$G, MATCH($D432, 'Local Data Previous Year'!$D:$D, 0)), "")</f>
        <v/>
      </c>
      <c r="K432" s="762"/>
      <c r="L432" s="760" t="str">
        <f>IFERROR(INDEX('Local Data Previous Year'!$H:$H, MATCH($D432, 'Local Data Previous Year'!$D:$D, 0)), "")</f>
        <v/>
      </c>
      <c r="M432" s="762"/>
      <c r="N432" s="763"/>
      <c r="O432" s="767"/>
      <c r="P432" s="765"/>
      <c r="Q432" s="767"/>
      <c r="R432" s="766" t="str">
        <f t="shared" si="87"/>
        <v/>
      </c>
      <c r="S432" s="754"/>
      <c r="T432" s="763"/>
      <c r="U432" s="754"/>
      <c r="V432" s="763"/>
      <c r="W432" s="763"/>
      <c r="X432" s="865" t="str">
        <f>VLOOKUP(CTR1_Billing!$E$21,Data!$C$6:$D$302,1,FALSE)</f>
        <v>EZZZZ</v>
      </c>
      <c r="Y432" s="205"/>
      <c r="Z432" s="205">
        <f t="shared" si="76"/>
        <v>0</v>
      </c>
      <c r="AA432" s="206" t="str">
        <f t="shared" si="40"/>
        <v/>
      </c>
      <c r="AB432" s="205">
        <f t="shared" si="77"/>
        <v>0</v>
      </c>
      <c r="AC432" s="208"/>
      <c r="AD432" s="208"/>
      <c r="AE432" s="208"/>
      <c r="AF432" s="208"/>
      <c r="AG432" s="209" t="str">
        <f>IFERROR(INDEX('Local Data Previous Year'!$F:$F, MATCH($D432, 'Local Data Previous Year'!$D:$D, 0)), "")</f>
        <v/>
      </c>
      <c r="AH432" s="209" t="str">
        <f>IFERROR(INDEX('Local Data Previous Year'!$G:$G, MATCH($D432, 'Local Data Previous Year'!$D:$D, 0)), "")</f>
        <v/>
      </c>
      <c r="AI432" s="209" t="str">
        <f>IFERROR(INDEX('Local Data Previous Year'!$H:$H, MATCH($D432, 'Local Data Previous Year'!$D:$D, 0)), "")</f>
        <v/>
      </c>
      <c r="AJ432" s="209" t="str">
        <f t="shared" si="78"/>
        <v/>
      </c>
      <c r="AK432" s="209" t="str">
        <f t="shared" si="79"/>
        <v/>
      </c>
      <c r="AL432" s="209" t="str">
        <f t="shared" si="80"/>
        <v/>
      </c>
      <c r="AM432" s="208" t="str">
        <f>IF($AN432="","",IFERROR(VLOOKUP(CONCATENATE(CTR1_Billing!$E$20,$AN432),'Local Data Previous Year'!$C$3:$D$50000,2,0),CTR1_Billing!$E$21&amp;"NEW"))</f>
        <v/>
      </c>
      <c r="AN432" s="209" t="str" cm="1">
        <f t="array" ref="AN432">IF(ISERROR(INDEX('Local Data Previous Year'!$E$3:$E$50000, SMALL(IF(CTR1_Billing!$E$21='Local Data Previous Year'!$A$3:$A$50000, ROW('Local Data Previous Year'!$A$3:$A$50000)-ROW('Local Data Previous Year'!$A$3)+1), ROW(400:400)))), "", INDEX('Local Data Previous Year'!$E$3:$E$50000, SMALL(IF(CTR1_Billing!$E$21='Local Data Previous Year'!$A$3:$A$50000, ROW('Local Data Previous Year'!$A$3:$A$50000)-ROW('Local Data Previous Year'!$A$3)+1), ROW(400:400))))</f>
        <v/>
      </c>
      <c r="AO432" s="209" t="str">
        <f t="shared" si="81"/>
        <v/>
      </c>
      <c r="AP432" s="208"/>
      <c r="AQ432" s="209" t="str">
        <f t="shared" si="82"/>
        <v/>
      </c>
      <c r="AR432" s="209" t="str">
        <f t="shared" si="83"/>
        <v/>
      </c>
      <c r="AS432" s="202" t="str">
        <f t="shared" si="84"/>
        <v/>
      </c>
      <c r="AT432" s="202" t="str">
        <f t="shared" si="85"/>
        <v/>
      </c>
      <c r="AU432" s="208"/>
      <c r="AV432" s="208"/>
      <c r="AW432" s="208"/>
      <c r="AX432" s="208"/>
      <c r="AY432" s="208"/>
      <c r="AZ432" s="208"/>
      <c r="BA432" s="208"/>
      <c r="BB432" s="208"/>
      <c r="BC432" s="208"/>
      <c r="BD432" s="208"/>
      <c r="BE432" s="208"/>
      <c r="BF432" s="208"/>
      <c r="BG432" s="28"/>
      <c r="BH432" s="28"/>
      <c r="BI432" s="28"/>
      <c r="BJ432" s="28"/>
    </row>
    <row r="433" spans="1:62" s="23" customFormat="1" ht="21" customHeight="1" thickBot="1" x14ac:dyDescent="0.25">
      <c r="A433" s="846" t="str">
        <f>IF($AN433="","",IFERROR(VLOOKUP(CONCATENATE(CTR1_Billing!$E$20,$AN433),'Local Data Previous Year'!$C$3:$D$20000,2,0),CTR1_Billing!$E$21&amp;"NEW"))</f>
        <v/>
      </c>
      <c r="B433" s="846" t="str">
        <f>IF($E433="","",IFERROR(VLOOKUP(CONCATENATE(CTR1_Billing!$E$20,CTR1_Local!$E433),'Local Data Previous Year'!$C$3:$D$20000,2,0),CTR1_Billing!$E$21&amp;"NEW"))</f>
        <v/>
      </c>
      <c r="C433" s="846">
        <v>401</v>
      </c>
      <c r="D433" s="755" t="str" cm="1">
        <f t="array" ref="D433">IF(ISERROR(INDEX('Local Data Previous Year'!$D$3:$D$20000,SMALL(IF(CTR1_Billing!$E$21='Local Data Previous Year'!$A$3:$A$20000,ROW('Local Data Previous Year'!$A$3:$A$20000)-ROW('Local Data Previous Year'!$A$3)+1),ROW(401:401)))),"",INDEX('Local Data Previous Year'!$D$3:$D$20000,SMALL(IF(CTR1_Billing!$E$21='Local Data Previous Year'!$A$3:$A$20000,ROW('Local Data Previous Year'!$A$3:$A$20000)-ROW('Local Data Previous Year'!$A$3)+1),ROW(401:401))))</f>
        <v/>
      </c>
      <c r="E433" s="755" t="str" cm="1">
        <f t="array" ref="E433">IF(ISERROR(INDEX('Local Data Previous Year'!$E$3:$E$20000,SMALL(IF(CTR1_Billing!$E$21='Local Data Previous Year'!$A$3:$A$20000,ROW('Local Data Previous Year'!$A$3:$A$20000)-ROW('Local Data Previous Year'!$A$3)+1),ROW(401:401)))),"",INDEX('Local Data Previous Year'!$E$3:$E$20000,SMALL(IF(CTR1_Billing!$E$21='Local Data Previous Year'!$A$3:$A$20000,ROW('Local Data Previous Year'!$A$3:$A$20000)-ROW('Local Data Previous Year'!$A$3)+1),ROW(401:401))))</f>
        <v/>
      </c>
      <c r="F433" s="756" t="str">
        <f>IF($D433="","",IF(ISNA(MATCH($D433,'Local Data Previous Year'!$D$3:$D$20000,0)),"New",IFERROR(VLOOKUP($B433,'Local Data Previous Year'!$D$3:$I$20000,6,0),"")))</f>
        <v/>
      </c>
      <c r="G433" s="757">
        <f t="shared" si="86"/>
        <v>0</v>
      </c>
      <c r="H433" s="758" t="str">
        <f>IFERROR(INDEX('Local Data Previous Year'!$F:$F, MATCH($D433, 'Local Data Previous Year'!$D:$D, 0)), "")</f>
        <v/>
      </c>
      <c r="I433" s="759">
        <f>IF(B433=CTR1_Billing!$E$21&amp;"NEW",1,0)</f>
        <v>0</v>
      </c>
      <c r="J433" s="760" t="str">
        <f>IFERROR(INDEX('Local Data Previous Year'!$G:$G, MATCH($D433, 'Local Data Previous Year'!$D:$D, 0)), "")</f>
        <v/>
      </c>
      <c r="K433" s="762"/>
      <c r="L433" s="760" t="str">
        <f>IFERROR(INDEX('Local Data Previous Year'!$H:$H, MATCH($D433, 'Local Data Previous Year'!$D:$D, 0)), "")</f>
        <v/>
      </c>
      <c r="M433" s="762"/>
      <c r="N433" s="763"/>
      <c r="O433" s="767"/>
      <c r="P433" s="765"/>
      <c r="Q433" s="767"/>
      <c r="R433" s="766" t="str">
        <f t="shared" si="87"/>
        <v/>
      </c>
      <c r="S433" s="754"/>
      <c r="T433" s="763"/>
      <c r="U433" s="754"/>
      <c r="V433" s="763"/>
      <c r="W433" s="763"/>
      <c r="X433" s="865" t="str">
        <f>VLOOKUP(CTR1_Billing!$E$21,Data!$C$6:$D$302,1,FALSE)</f>
        <v>EZZZZ</v>
      </c>
      <c r="Y433" s="205"/>
      <c r="Z433" s="205">
        <f t="shared" si="76"/>
        <v>0</v>
      </c>
      <c r="AA433" s="206" t="str">
        <f t="shared" si="40"/>
        <v/>
      </c>
      <c r="AB433" s="205">
        <f t="shared" si="77"/>
        <v>0</v>
      </c>
      <c r="AC433" s="208"/>
      <c r="AD433" s="208"/>
      <c r="AE433" s="208"/>
      <c r="AF433" s="208"/>
      <c r="AG433" s="209" t="str">
        <f>IFERROR(INDEX('Local Data Previous Year'!$F:$F, MATCH($D433, 'Local Data Previous Year'!$D:$D, 0)), "")</f>
        <v/>
      </c>
      <c r="AH433" s="209" t="str">
        <f>IFERROR(INDEX('Local Data Previous Year'!$G:$G, MATCH($D433, 'Local Data Previous Year'!$D:$D, 0)), "")</f>
        <v/>
      </c>
      <c r="AI433" s="209" t="str">
        <f>IFERROR(INDEX('Local Data Previous Year'!$H:$H, MATCH($D433, 'Local Data Previous Year'!$D:$D, 0)), "")</f>
        <v/>
      </c>
      <c r="AJ433" s="209" t="str">
        <f t="shared" si="78"/>
        <v/>
      </c>
      <c r="AK433" s="209" t="str">
        <f t="shared" si="79"/>
        <v/>
      </c>
      <c r="AL433" s="209" t="str">
        <f t="shared" si="80"/>
        <v/>
      </c>
      <c r="AM433" s="208" t="str">
        <f>IF($AN433="","",IFERROR(VLOOKUP(CONCATENATE(CTR1_Billing!$E$20,$AN433),'Local Data Previous Year'!$C$3:$D$50000,2,0),CTR1_Billing!$E$21&amp;"NEW"))</f>
        <v/>
      </c>
      <c r="AN433" s="209" t="str" cm="1">
        <f t="array" ref="AN433">IF(ISERROR(INDEX('Local Data Previous Year'!$E$3:$E$50000, SMALL(IF(CTR1_Billing!$E$21='Local Data Previous Year'!$A$3:$A$50000, ROW('Local Data Previous Year'!$A$3:$A$50000)-ROW('Local Data Previous Year'!$A$3)+1), ROW(401:401)))), "", INDEX('Local Data Previous Year'!$E$3:$E$50000, SMALL(IF(CTR1_Billing!$E$21='Local Data Previous Year'!$A$3:$A$50000, ROW('Local Data Previous Year'!$A$3:$A$50000)-ROW('Local Data Previous Year'!$A$3)+1), ROW(401:401))))</f>
        <v/>
      </c>
      <c r="AO433" s="209" t="str">
        <f t="shared" si="81"/>
        <v/>
      </c>
      <c r="AP433" s="208"/>
      <c r="AQ433" s="209" t="str">
        <f t="shared" si="82"/>
        <v/>
      </c>
      <c r="AR433" s="209" t="str">
        <f t="shared" si="83"/>
        <v/>
      </c>
      <c r="AS433" s="202" t="str">
        <f t="shared" si="84"/>
        <v/>
      </c>
      <c r="AT433" s="202" t="str">
        <f t="shared" si="85"/>
        <v/>
      </c>
      <c r="AU433" s="208"/>
      <c r="AV433" s="208"/>
      <c r="AW433" s="208"/>
      <c r="AX433" s="208"/>
      <c r="AY433" s="208"/>
      <c r="AZ433" s="208"/>
      <c r="BA433" s="208"/>
      <c r="BB433" s="208"/>
      <c r="BC433" s="208"/>
      <c r="BD433" s="208"/>
      <c r="BE433" s="208"/>
      <c r="BF433" s="208"/>
      <c r="BG433" s="28"/>
      <c r="BH433" s="28"/>
      <c r="BI433" s="28"/>
      <c r="BJ433" s="28"/>
    </row>
    <row r="434" spans="1:62" s="23" customFormat="1" ht="21" customHeight="1" thickBot="1" x14ac:dyDescent="0.25">
      <c r="A434" s="846" t="str">
        <f>IF($AN434="","",IFERROR(VLOOKUP(CONCATENATE(CTR1_Billing!$E$20,$AN434),'Local Data Previous Year'!$C$3:$D$20000,2,0),CTR1_Billing!$E$21&amp;"NEW"))</f>
        <v/>
      </c>
      <c r="B434" s="846" t="str">
        <f>IF($E434="","",IFERROR(VLOOKUP(CONCATENATE(CTR1_Billing!$E$20,CTR1_Local!$E434),'Local Data Previous Year'!$C$3:$D$20000,2,0),CTR1_Billing!$E$21&amp;"NEW"))</f>
        <v/>
      </c>
      <c r="C434" s="846">
        <v>402</v>
      </c>
      <c r="D434" s="755" t="str" cm="1">
        <f t="array" ref="D434">IF(ISERROR(INDEX('Local Data Previous Year'!$D$3:$D$20000,SMALL(IF(CTR1_Billing!$E$21='Local Data Previous Year'!$A$3:$A$20000,ROW('Local Data Previous Year'!$A$3:$A$20000)-ROW('Local Data Previous Year'!$A$3)+1),ROW(402:402)))),"",INDEX('Local Data Previous Year'!$D$3:$D$20000,SMALL(IF(CTR1_Billing!$E$21='Local Data Previous Year'!$A$3:$A$20000,ROW('Local Data Previous Year'!$A$3:$A$20000)-ROW('Local Data Previous Year'!$A$3)+1),ROW(402:402))))</f>
        <v/>
      </c>
      <c r="E434" s="755" t="str" cm="1">
        <f t="array" ref="E434">IF(ISERROR(INDEX('Local Data Previous Year'!$E$3:$E$20000,SMALL(IF(CTR1_Billing!$E$21='Local Data Previous Year'!$A$3:$A$20000,ROW('Local Data Previous Year'!$A$3:$A$20000)-ROW('Local Data Previous Year'!$A$3)+1),ROW(402:402)))),"",INDEX('Local Data Previous Year'!$E$3:$E$20000,SMALL(IF(CTR1_Billing!$E$21='Local Data Previous Year'!$A$3:$A$20000,ROW('Local Data Previous Year'!$A$3:$A$20000)-ROW('Local Data Previous Year'!$A$3)+1),ROW(402:402))))</f>
        <v/>
      </c>
      <c r="F434" s="756" t="str">
        <f>IF($D434="","",IF(ISNA(MATCH($D434,'Local Data Previous Year'!$D$3:$D$20000,0)),"New",IFERROR(VLOOKUP($B434,'Local Data Previous Year'!$D$3:$I$20000,6,0),"")))</f>
        <v/>
      </c>
      <c r="G434" s="757">
        <f t="shared" si="86"/>
        <v>0</v>
      </c>
      <c r="H434" s="758" t="str">
        <f>IFERROR(INDEX('Local Data Previous Year'!$F:$F, MATCH($D434, 'Local Data Previous Year'!$D:$D, 0)), "")</f>
        <v/>
      </c>
      <c r="I434" s="759">
        <f>IF(B434=CTR1_Billing!$E$21&amp;"NEW",1,0)</f>
        <v>0</v>
      </c>
      <c r="J434" s="760" t="str">
        <f>IFERROR(INDEX('Local Data Previous Year'!$G:$G, MATCH($D434, 'Local Data Previous Year'!$D:$D, 0)), "")</f>
        <v/>
      </c>
      <c r="K434" s="762"/>
      <c r="L434" s="760" t="str">
        <f>IFERROR(INDEX('Local Data Previous Year'!$H:$H, MATCH($D434, 'Local Data Previous Year'!$D:$D, 0)), "")</f>
        <v/>
      </c>
      <c r="M434" s="762"/>
      <c r="N434" s="763"/>
      <c r="O434" s="767"/>
      <c r="P434" s="765"/>
      <c r="Q434" s="767"/>
      <c r="R434" s="766" t="str">
        <f t="shared" si="87"/>
        <v/>
      </c>
      <c r="S434" s="754"/>
      <c r="T434" s="763"/>
      <c r="U434" s="754"/>
      <c r="V434" s="763"/>
      <c r="W434" s="763"/>
      <c r="X434" s="865" t="str">
        <f>VLOOKUP(CTR1_Billing!$E$21,Data!$C$6:$D$302,1,FALSE)</f>
        <v>EZZZZ</v>
      </c>
      <c r="Y434" s="205"/>
      <c r="Z434" s="205">
        <f t="shared" si="76"/>
        <v>0</v>
      </c>
      <c r="AA434" s="206" t="str">
        <f t="shared" si="40"/>
        <v/>
      </c>
      <c r="AB434" s="205">
        <f t="shared" si="77"/>
        <v>0</v>
      </c>
      <c r="AC434" s="208"/>
      <c r="AD434" s="208"/>
      <c r="AE434" s="208"/>
      <c r="AF434" s="208"/>
      <c r="AG434" s="209" t="str">
        <f>IFERROR(INDEX('Local Data Previous Year'!$F:$F, MATCH($D434, 'Local Data Previous Year'!$D:$D, 0)), "")</f>
        <v/>
      </c>
      <c r="AH434" s="209" t="str">
        <f>IFERROR(INDEX('Local Data Previous Year'!$G:$G, MATCH($D434, 'Local Data Previous Year'!$D:$D, 0)), "")</f>
        <v/>
      </c>
      <c r="AI434" s="209" t="str">
        <f>IFERROR(INDEX('Local Data Previous Year'!$H:$H, MATCH($D434, 'Local Data Previous Year'!$D:$D, 0)), "")</f>
        <v/>
      </c>
      <c r="AJ434" s="209" t="str">
        <f t="shared" si="78"/>
        <v/>
      </c>
      <c r="AK434" s="209" t="str">
        <f t="shared" si="79"/>
        <v/>
      </c>
      <c r="AL434" s="209" t="str">
        <f t="shared" si="80"/>
        <v/>
      </c>
      <c r="AM434" s="208" t="str">
        <f>IF($AN434="","",IFERROR(VLOOKUP(CONCATENATE(CTR1_Billing!$E$20,$AN434),'Local Data Previous Year'!$C$3:$D$50000,2,0),CTR1_Billing!$E$21&amp;"NEW"))</f>
        <v/>
      </c>
      <c r="AN434" s="209" t="str" cm="1">
        <f t="array" ref="AN434">IF(ISERROR(INDEX('Local Data Previous Year'!$E$3:$E$50000, SMALL(IF(CTR1_Billing!$E$21='Local Data Previous Year'!$A$3:$A$50000, ROW('Local Data Previous Year'!$A$3:$A$50000)-ROW('Local Data Previous Year'!$A$3)+1), ROW(402:402)))), "", INDEX('Local Data Previous Year'!$E$3:$E$50000, SMALL(IF(CTR1_Billing!$E$21='Local Data Previous Year'!$A$3:$A$50000, ROW('Local Data Previous Year'!$A$3:$A$50000)-ROW('Local Data Previous Year'!$A$3)+1), ROW(402:402))))</f>
        <v/>
      </c>
      <c r="AO434" s="209" t="str">
        <f t="shared" si="81"/>
        <v/>
      </c>
      <c r="AP434" s="208"/>
      <c r="AQ434" s="209" t="str">
        <f t="shared" si="82"/>
        <v/>
      </c>
      <c r="AR434" s="209" t="str">
        <f t="shared" si="83"/>
        <v/>
      </c>
      <c r="AS434" s="202" t="str">
        <f t="shared" si="84"/>
        <v/>
      </c>
      <c r="AT434" s="202" t="str">
        <f t="shared" si="85"/>
        <v/>
      </c>
      <c r="AU434" s="208"/>
      <c r="AV434" s="208"/>
      <c r="AW434" s="208"/>
      <c r="AX434" s="208"/>
      <c r="AY434" s="208"/>
      <c r="AZ434" s="208"/>
      <c r="BA434" s="208"/>
      <c r="BB434" s="208"/>
      <c r="BC434" s="208"/>
      <c r="BD434" s="208"/>
      <c r="BE434" s="208"/>
      <c r="BF434" s="208"/>
      <c r="BG434" s="28"/>
      <c r="BH434" s="28"/>
      <c r="BI434" s="28"/>
      <c r="BJ434" s="28"/>
    </row>
    <row r="435" spans="1:62" s="23" customFormat="1" ht="21" customHeight="1" thickBot="1" x14ac:dyDescent="0.25">
      <c r="A435" s="846" t="str">
        <f>IF($AN435="","",IFERROR(VLOOKUP(CONCATENATE(CTR1_Billing!$E$20,$AN435),'Local Data Previous Year'!$C$3:$D$20000,2,0),CTR1_Billing!$E$21&amp;"NEW"))</f>
        <v/>
      </c>
      <c r="B435" s="846" t="str">
        <f>IF($E435="","",IFERROR(VLOOKUP(CONCATENATE(CTR1_Billing!$E$20,CTR1_Local!$E435),'Local Data Previous Year'!$C$3:$D$20000,2,0),CTR1_Billing!$E$21&amp;"NEW"))</f>
        <v/>
      </c>
      <c r="C435" s="846">
        <v>403</v>
      </c>
      <c r="D435" s="755" t="str" cm="1">
        <f t="array" ref="D435">IF(ISERROR(INDEX('Local Data Previous Year'!$D$3:$D$20000,SMALL(IF(CTR1_Billing!$E$21='Local Data Previous Year'!$A$3:$A$20000,ROW('Local Data Previous Year'!$A$3:$A$20000)-ROW('Local Data Previous Year'!$A$3)+1),ROW(403:403)))),"",INDEX('Local Data Previous Year'!$D$3:$D$20000,SMALL(IF(CTR1_Billing!$E$21='Local Data Previous Year'!$A$3:$A$20000,ROW('Local Data Previous Year'!$A$3:$A$20000)-ROW('Local Data Previous Year'!$A$3)+1),ROW(403:403))))</f>
        <v/>
      </c>
      <c r="E435" s="755" t="str" cm="1">
        <f t="array" ref="E435">IF(ISERROR(INDEX('Local Data Previous Year'!$E$3:$E$20000,SMALL(IF(CTR1_Billing!$E$21='Local Data Previous Year'!$A$3:$A$20000,ROW('Local Data Previous Year'!$A$3:$A$20000)-ROW('Local Data Previous Year'!$A$3)+1),ROW(403:403)))),"",INDEX('Local Data Previous Year'!$E$3:$E$20000,SMALL(IF(CTR1_Billing!$E$21='Local Data Previous Year'!$A$3:$A$20000,ROW('Local Data Previous Year'!$A$3:$A$20000)-ROW('Local Data Previous Year'!$A$3)+1),ROW(403:403))))</f>
        <v/>
      </c>
      <c r="F435" s="756" t="str">
        <f>IF($D435="","",IF(ISNA(MATCH($D435,'Local Data Previous Year'!$D$3:$D$20000,0)),"New",IFERROR(VLOOKUP($B435,'Local Data Previous Year'!$D$3:$I$20000,6,0),"")))</f>
        <v/>
      </c>
      <c r="G435" s="757">
        <f t="shared" si="86"/>
        <v>0</v>
      </c>
      <c r="H435" s="758" t="str">
        <f>IFERROR(INDEX('Local Data Previous Year'!$F:$F, MATCH($D435, 'Local Data Previous Year'!$D:$D, 0)), "")</f>
        <v/>
      </c>
      <c r="I435" s="759">
        <f>IF(B435=CTR1_Billing!$E$21&amp;"NEW",1,0)</f>
        <v>0</v>
      </c>
      <c r="J435" s="760" t="str">
        <f>IFERROR(INDEX('Local Data Previous Year'!$G:$G, MATCH($D435, 'Local Data Previous Year'!$D:$D, 0)), "")</f>
        <v/>
      </c>
      <c r="K435" s="762"/>
      <c r="L435" s="760" t="str">
        <f>IFERROR(INDEX('Local Data Previous Year'!$H:$H, MATCH($D435, 'Local Data Previous Year'!$D:$D, 0)), "")</f>
        <v/>
      </c>
      <c r="M435" s="762"/>
      <c r="N435" s="763"/>
      <c r="O435" s="767"/>
      <c r="P435" s="765"/>
      <c r="Q435" s="767"/>
      <c r="R435" s="766" t="str">
        <f t="shared" si="87"/>
        <v/>
      </c>
      <c r="S435" s="754"/>
      <c r="T435" s="763"/>
      <c r="U435" s="754"/>
      <c r="V435" s="763"/>
      <c r="W435" s="763"/>
      <c r="X435" s="865" t="str">
        <f>VLOOKUP(CTR1_Billing!$E$21,Data!$C$6:$D$302,1,FALSE)</f>
        <v>EZZZZ</v>
      </c>
      <c r="Y435" s="205"/>
      <c r="Z435" s="205">
        <f t="shared" si="76"/>
        <v>0</v>
      </c>
      <c r="AA435" s="206" t="str">
        <f t="shared" si="40"/>
        <v/>
      </c>
      <c r="AB435" s="205">
        <f t="shared" si="77"/>
        <v>0</v>
      </c>
      <c r="AC435" s="208"/>
      <c r="AD435" s="208"/>
      <c r="AE435" s="208"/>
      <c r="AF435" s="208"/>
      <c r="AG435" s="209" t="str">
        <f>IFERROR(INDEX('Local Data Previous Year'!$F:$F, MATCH($D435, 'Local Data Previous Year'!$D:$D, 0)), "")</f>
        <v/>
      </c>
      <c r="AH435" s="209" t="str">
        <f>IFERROR(INDEX('Local Data Previous Year'!$G:$G, MATCH($D435, 'Local Data Previous Year'!$D:$D, 0)), "")</f>
        <v/>
      </c>
      <c r="AI435" s="209" t="str">
        <f>IFERROR(INDEX('Local Data Previous Year'!$H:$H, MATCH($D435, 'Local Data Previous Year'!$D:$D, 0)), "")</f>
        <v/>
      </c>
      <c r="AJ435" s="209" t="str">
        <f t="shared" si="78"/>
        <v/>
      </c>
      <c r="AK435" s="209" t="str">
        <f t="shared" si="79"/>
        <v/>
      </c>
      <c r="AL435" s="209" t="str">
        <f t="shared" si="80"/>
        <v/>
      </c>
      <c r="AM435" s="208" t="str">
        <f>IF($AN435="","",IFERROR(VLOOKUP(CONCATENATE(CTR1_Billing!$E$20,$AN435),'Local Data Previous Year'!$C$3:$D$50000,2,0),CTR1_Billing!$E$21&amp;"NEW"))</f>
        <v/>
      </c>
      <c r="AN435" s="209" t="str" cm="1">
        <f t="array" ref="AN435">IF(ISERROR(INDEX('Local Data Previous Year'!$E$3:$E$50000, SMALL(IF(CTR1_Billing!$E$21='Local Data Previous Year'!$A$3:$A$50000, ROW('Local Data Previous Year'!$A$3:$A$50000)-ROW('Local Data Previous Year'!$A$3)+1), ROW(403:403)))), "", INDEX('Local Data Previous Year'!$E$3:$E$50000, SMALL(IF(CTR1_Billing!$E$21='Local Data Previous Year'!$A$3:$A$50000, ROW('Local Data Previous Year'!$A$3:$A$50000)-ROW('Local Data Previous Year'!$A$3)+1), ROW(403:403))))</f>
        <v/>
      </c>
      <c r="AO435" s="209" t="str">
        <f t="shared" si="81"/>
        <v/>
      </c>
      <c r="AP435" s="208"/>
      <c r="AQ435" s="209" t="str">
        <f t="shared" si="82"/>
        <v/>
      </c>
      <c r="AR435" s="209" t="str">
        <f t="shared" si="83"/>
        <v/>
      </c>
      <c r="AS435" s="202" t="str">
        <f t="shared" si="84"/>
        <v/>
      </c>
      <c r="AT435" s="202" t="str">
        <f t="shared" si="85"/>
        <v/>
      </c>
      <c r="AU435" s="208"/>
      <c r="AV435" s="208"/>
      <c r="AW435" s="208"/>
      <c r="AX435" s="208"/>
      <c r="AY435" s="208"/>
      <c r="AZ435" s="208"/>
      <c r="BA435" s="208"/>
      <c r="BB435" s="208"/>
      <c r="BC435" s="208"/>
      <c r="BD435" s="208"/>
      <c r="BE435" s="208"/>
      <c r="BF435" s="208"/>
      <c r="BG435" s="28"/>
      <c r="BH435" s="28"/>
      <c r="BI435" s="28"/>
      <c r="BJ435" s="28"/>
    </row>
    <row r="436" spans="1:62" s="23" customFormat="1" ht="21" customHeight="1" thickBot="1" x14ac:dyDescent="0.25">
      <c r="A436" s="846" t="str">
        <f>IF($AN436="","",IFERROR(VLOOKUP(CONCATENATE(CTR1_Billing!$E$20,$AN436),'Local Data Previous Year'!$C$3:$D$20000,2,0),CTR1_Billing!$E$21&amp;"NEW"))</f>
        <v/>
      </c>
      <c r="B436" s="846" t="str">
        <f>IF($E436="","",IFERROR(VLOOKUP(CONCATENATE(CTR1_Billing!$E$20,CTR1_Local!$E436),'Local Data Previous Year'!$C$3:$D$20000,2,0),CTR1_Billing!$E$21&amp;"NEW"))</f>
        <v/>
      </c>
      <c r="C436" s="846">
        <v>404</v>
      </c>
      <c r="D436" s="755" t="str" cm="1">
        <f t="array" ref="D436">IF(ISERROR(INDEX('Local Data Previous Year'!$D$3:$D$20000,SMALL(IF(CTR1_Billing!$E$21='Local Data Previous Year'!$A$3:$A$20000,ROW('Local Data Previous Year'!$A$3:$A$20000)-ROW('Local Data Previous Year'!$A$3)+1),ROW(404:404)))),"",INDEX('Local Data Previous Year'!$D$3:$D$20000,SMALL(IF(CTR1_Billing!$E$21='Local Data Previous Year'!$A$3:$A$20000,ROW('Local Data Previous Year'!$A$3:$A$20000)-ROW('Local Data Previous Year'!$A$3)+1),ROW(404:404))))</f>
        <v/>
      </c>
      <c r="E436" s="755" t="str" cm="1">
        <f t="array" ref="E436">IF(ISERROR(INDEX('Local Data Previous Year'!$E$3:$E$20000,SMALL(IF(CTR1_Billing!$E$21='Local Data Previous Year'!$A$3:$A$20000,ROW('Local Data Previous Year'!$A$3:$A$20000)-ROW('Local Data Previous Year'!$A$3)+1),ROW(404:404)))),"",INDEX('Local Data Previous Year'!$E$3:$E$20000,SMALL(IF(CTR1_Billing!$E$21='Local Data Previous Year'!$A$3:$A$20000,ROW('Local Data Previous Year'!$A$3:$A$20000)-ROW('Local Data Previous Year'!$A$3)+1),ROW(404:404))))</f>
        <v/>
      </c>
      <c r="F436" s="756" t="str">
        <f>IF($D436="","",IF(ISNA(MATCH($D436,'Local Data Previous Year'!$D$3:$D$20000,0)),"New",IFERROR(VLOOKUP($B436,'Local Data Previous Year'!$D$3:$I$20000,6,0),"")))</f>
        <v/>
      </c>
      <c r="G436" s="757">
        <f t="shared" si="86"/>
        <v>0</v>
      </c>
      <c r="H436" s="758" t="str">
        <f>IFERROR(INDEX('Local Data Previous Year'!$F:$F, MATCH($D436, 'Local Data Previous Year'!$D:$D, 0)), "")</f>
        <v/>
      </c>
      <c r="I436" s="759">
        <f>IF(B436=CTR1_Billing!$E$21&amp;"NEW",1,0)</f>
        <v>0</v>
      </c>
      <c r="J436" s="760" t="str">
        <f>IFERROR(INDEX('Local Data Previous Year'!$G:$G, MATCH($D436, 'Local Data Previous Year'!$D:$D, 0)), "")</f>
        <v/>
      </c>
      <c r="K436" s="762"/>
      <c r="L436" s="760" t="str">
        <f>IFERROR(INDEX('Local Data Previous Year'!$H:$H, MATCH($D436, 'Local Data Previous Year'!$D:$D, 0)), "")</f>
        <v/>
      </c>
      <c r="M436" s="762"/>
      <c r="N436" s="763"/>
      <c r="O436" s="767"/>
      <c r="P436" s="765"/>
      <c r="Q436" s="767"/>
      <c r="R436" s="766" t="str">
        <f t="shared" si="87"/>
        <v/>
      </c>
      <c r="S436" s="754"/>
      <c r="T436" s="763"/>
      <c r="U436" s="754"/>
      <c r="V436" s="763"/>
      <c r="W436" s="763"/>
      <c r="X436" s="865" t="str">
        <f>VLOOKUP(CTR1_Billing!$E$21,Data!$C$6:$D$302,1,FALSE)</f>
        <v>EZZZZ</v>
      </c>
      <c r="Y436" s="205"/>
      <c r="Z436" s="205">
        <f t="shared" si="76"/>
        <v>0</v>
      </c>
      <c r="AA436" s="206" t="str">
        <f t="shared" si="40"/>
        <v/>
      </c>
      <c r="AB436" s="205">
        <f t="shared" si="77"/>
        <v>0</v>
      </c>
      <c r="AC436" s="208"/>
      <c r="AD436" s="208"/>
      <c r="AE436" s="208"/>
      <c r="AF436" s="208"/>
      <c r="AG436" s="209" t="str">
        <f>IFERROR(INDEX('Local Data Previous Year'!$F:$F, MATCH($D436, 'Local Data Previous Year'!$D:$D, 0)), "")</f>
        <v/>
      </c>
      <c r="AH436" s="209" t="str">
        <f>IFERROR(INDEX('Local Data Previous Year'!$G:$G, MATCH($D436, 'Local Data Previous Year'!$D:$D, 0)), "")</f>
        <v/>
      </c>
      <c r="AI436" s="209" t="str">
        <f>IFERROR(INDEX('Local Data Previous Year'!$H:$H, MATCH($D436, 'Local Data Previous Year'!$D:$D, 0)), "")</f>
        <v/>
      </c>
      <c r="AJ436" s="209" t="str">
        <f t="shared" si="78"/>
        <v/>
      </c>
      <c r="AK436" s="209" t="str">
        <f t="shared" si="79"/>
        <v/>
      </c>
      <c r="AL436" s="209" t="str">
        <f t="shared" si="80"/>
        <v/>
      </c>
      <c r="AM436" s="208" t="str">
        <f>IF($AN436="","",IFERROR(VLOOKUP(CONCATENATE(CTR1_Billing!$E$20,$AN436),'Local Data Previous Year'!$C$3:$D$50000,2,0),CTR1_Billing!$E$21&amp;"NEW"))</f>
        <v/>
      </c>
      <c r="AN436" s="209" t="str" cm="1">
        <f t="array" ref="AN436">IF(ISERROR(INDEX('Local Data Previous Year'!$E$3:$E$50000, SMALL(IF(CTR1_Billing!$E$21='Local Data Previous Year'!$A$3:$A$50000, ROW('Local Data Previous Year'!$A$3:$A$50000)-ROW('Local Data Previous Year'!$A$3)+1), ROW(404:404)))), "", INDEX('Local Data Previous Year'!$E$3:$E$50000, SMALL(IF(CTR1_Billing!$E$21='Local Data Previous Year'!$A$3:$A$50000, ROW('Local Data Previous Year'!$A$3:$A$50000)-ROW('Local Data Previous Year'!$A$3)+1), ROW(404:404))))</f>
        <v/>
      </c>
      <c r="AO436" s="209" t="str">
        <f t="shared" si="81"/>
        <v/>
      </c>
      <c r="AP436" s="208"/>
      <c r="AQ436" s="209" t="str">
        <f t="shared" si="82"/>
        <v/>
      </c>
      <c r="AR436" s="209" t="str">
        <f t="shared" si="83"/>
        <v/>
      </c>
      <c r="AS436" s="202" t="str">
        <f t="shared" si="84"/>
        <v/>
      </c>
      <c r="AT436" s="202" t="str">
        <f t="shared" si="85"/>
        <v/>
      </c>
      <c r="AU436" s="208"/>
      <c r="AV436" s="208"/>
      <c r="AW436" s="208"/>
      <c r="AX436" s="208"/>
      <c r="AY436" s="208"/>
      <c r="AZ436" s="208"/>
      <c r="BA436" s="208"/>
      <c r="BB436" s="208"/>
      <c r="BC436" s="208"/>
      <c r="BD436" s="208"/>
      <c r="BE436" s="208"/>
      <c r="BF436" s="208"/>
      <c r="BG436" s="28"/>
      <c r="BH436" s="28"/>
      <c r="BI436" s="28"/>
      <c r="BJ436" s="28"/>
    </row>
    <row r="437" spans="1:62" s="23" customFormat="1" ht="21" customHeight="1" thickBot="1" x14ac:dyDescent="0.25">
      <c r="A437" s="846" t="str">
        <f>IF($AN437="","",IFERROR(VLOOKUP(CONCATENATE(CTR1_Billing!$E$20,$AN437),'Local Data Previous Year'!$C$3:$D$20000,2,0),CTR1_Billing!$E$21&amp;"NEW"))</f>
        <v/>
      </c>
      <c r="B437" s="846" t="str">
        <f>IF($E437="","",IFERROR(VLOOKUP(CONCATENATE(CTR1_Billing!$E$20,CTR1_Local!$E437),'Local Data Previous Year'!$C$3:$D$20000,2,0),CTR1_Billing!$E$21&amp;"NEW"))</f>
        <v/>
      </c>
      <c r="C437" s="846">
        <v>405</v>
      </c>
      <c r="D437" s="755" t="str" cm="1">
        <f t="array" ref="D437">IF(ISERROR(INDEX('Local Data Previous Year'!$D$3:$D$20000,SMALL(IF(CTR1_Billing!$E$21='Local Data Previous Year'!$A$3:$A$20000,ROW('Local Data Previous Year'!$A$3:$A$20000)-ROW('Local Data Previous Year'!$A$3)+1),ROW(405:405)))),"",INDEX('Local Data Previous Year'!$D$3:$D$20000,SMALL(IF(CTR1_Billing!$E$21='Local Data Previous Year'!$A$3:$A$20000,ROW('Local Data Previous Year'!$A$3:$A$20000)-ROW('Local Data Previous Year'!$A$3)+1),ROW(405:405))))</f>
        <v/>
      </c>
      <c r="E437" s="755" t="str" cm="1">
        <f t="array" ref="E437">IF(ISERROR(INDEX('Local Data Previous Year'!$E$3:$E$20000,SMALL(IF(CTR1_Billing!$E$21='Local Data Previous Year'!$A$3:$A$20000,ROW('Local Data Previous Year'!$A$3:$A$20000)-ROW('Local Data Previous Year'!$A$3)+1),ROW(405:405)))),"",INDEX('Local Data Previous Year'!$E$3:$E$20000,SMALL(IF(CTR1_Billing!$E$21='Local Data Previous Year'!$A$3:$A$20000,ROW('Local Data Previous Year'!$A$3:$A$20000)-ROW('Local Data Previous Year'!$A$3)+1),ROW(405:405))))</f>
        <v/>
      </c>
      <c r="F437" s="756" t="str">
        <f>IF($D437="","",IF(ISNA(MATCH($D437,'Local Data Previous Year'!$D$3:$D$20000,0)),"New",IFERROR(VLOOKUP($B437,'Local Data Previous Year'!$D$3:$I$20000,6,0),"")))</f>
        <v/>
      </c>
      <c r="G437" s="757">
        <f t="shared" si="86"/>
        <v>0</v>
      </c>
      <c r="H437" s="758" t="str">
        <f>IFERROR(INDEX('Local Data Previous Year'!$F:$F, MATCH($D437, 'Local Data Previous Year'!$D:$D, 0)), "")</f>
        <v/>
      </c>
      <c r="I437" s="759">
        <f>IF(B437=CTR1_Billing!$E$21&amp;"NEW",1,0)</f>
        <v>0</v>
      </c>
      <c r="J437" s="760" t="str">
        <f>IFERROR(INDEX('Local Data Previous Year'!$G:$G, MATCH($D437, 'Local Data Previous Year'!$D:$D, 0)), "")</f>
        <v/>
      </c>
      <c r="K437" s="762"/>
      <c r="L437" s="760" t="str">
        <f>IFERROR(INDEX('Local Data Previous Year'!$H:$H, MATCH($D437, 'Local Data Previous Year'!$D:$D, 0)), "")</f>
        <v/>
      </c>
      <c r="M437" s="762"/>
      <c r="N437" s="763"/>
      <c r="O437" s="767"/>
      <c r="P437" s="765"/>
      <c r="Q437" s="767"/>
      <c r="R437" s="766" t="str">
        <f t="shared" si="87"/>
        <v/>
      </c>
      <c r="S437" s="754"/>
      <c r="T437" s="763"/>
      <c r="U437" s="754"/>
      <c r="V437" s="763"/>
      <c r="W437" s="763"/>
      <c r="X437" s="865" t="str">
        <f>VLOOKUP(CTR1_Billing!$E$21,Data!$C$6:$D$302,1,FALSE)</f>
        <v>EZZZZ</v>
      </c>
      <c r="Y437" s="205"/>
      <c r="Z437" s="205">
        <f t="shared" si="76"/>
        <v>0</v>
      </c>
      <c r="AA437" s="206" t="str">
        <f t="shared" si="40"/>
        <v/>
      </c>
      <c r="AB437" s="205">
        <f t="shared" si="77"/>
        <v>0</v>
      </c>
      <c r="AC437" s="208"/>
      <c r="AD437" s="208"/>
      <c r="AE437" s="208"/>
      <c r="AF437" s="208"/>
      <c r="AG437" s="209" t="str">
        <f>IFERROR(INDEX('Local Data Previous Year'!$F:$F, MATCH($D437, 'Local Data Previous Year'!$D:$D, 0)), "")</f>
        <v/>
      </c>
      <c r="AH437" s="209" t="str">
        <f>IFERROR(INDEX('Local Data Previous Year'!$G:$G, MATCH($D437, 'Local Data Previous Year'!$D:$D, 0)), "")</f>
        <v/>
      </c>
      <c r="AI437" s="209" t="str">
        <f>IFERROR(INDEX('Local Data Previous Year'!$H:$H, MATCH($D437, 'Local Data Previous Year'!$D:$D, 0)), "")</f>
        <v/>
      </c>
      <c r="AJ437" s="209" t="str">
        <f t="shared" si="78"/>
        <v/>
      </c>
      <c r="AK437" s="209" t="str">
        <f t="shared" si="79"/>
        <v/>
      </c>
      <c r="AL437" s="209" t="str">
        <f t="shared" si="80"/>
        <v/>
      </c>
      <c r="AM437" s="208" t="str">
        <f>IF($AN437="","",IFERROR(VLOOKUP(CONCATENATE(CTR1_Billing!$E$20,$AN437),'Local Data Previous Year'!$C$3:$D$50000,2,0),CTR1_Billing!$E$21&amp;"NEW"))</f>
        <v/>
      </c>
      <c r="AN437" s="209" t="str" cm="1">
        <f t="array" ref="AN437">IF(ISERROR(INDEX('Local Data Previous Year'!$E$3:$E$50000, SMALL(IF(CTR1_Billing!$E$21='Local Data Previous Year'!$A$3:$A$50000, ROW('Local Data Previous Year'!$A$3:$A$50000)-ROW('Local Data Previous Year'!$A$3)+1), ROW(405:405)))), "", INDEX('Local Data Previous Year'!$E$3:$E$50000, SMALL(IF(CTR1_Billing!$E$21='Local Data Previous Year'!$A$3:$A$50000, ROW('Local Data Previous Year'!$A$3:$A$50000)-ROW('Local Data Previous Year'!$A$3)+1), ROW(405:405))))</f>
        <v/>
      </c>
      <c r="AO437" s="209" t="str">
        <f t="shared" si="81"/>
        <v/>
      </c>
      <c r="AP437" s="208"/>
      <c r="AQ437" s="209" t="str">
        <f t="shared" si="82"/>
        <v/>
      </c>
      <c r="AR437" s="209" t="str">
        <f t="shared" si="83"/>
        <v/>
      </c>
      <c r="AS437" s="202" t="str">
        <f t="shared" si="84"/>
        <v/>
      </c>
      <c r="AT437" s="202" t="str">
        <f t="shared" si="85"/>
        <v/>
      </c>
      <c r="AU437" s="208"/>
      <c r="AV437" s="208"/>
      <c r="AW437" s="208"/>
      <c r="AX437" s="208"/>
      <c r="AY437" s="208"/>
      <c r="AZ437" s="208"/>
      <c r="BA437" s="208"/>
      <c r="BB437" s="208"/>
      <c r="BC437" s="208"/>
      <c r="BD437" s="208"/>
      <c r="BE437" s="208"/>
      <c r="BF437" s="208"/>
      <c r="BG437" s="28"/>
      <c r="BH437" s="28"/>
      <c r="BI437" s="28"/>
      <c r="BJ437" s="28"/>
    </row>
    <row r="438" spans="1:62" s="23" customFormat="1" ht="21" customHeight="1" thickBot="1" x14ac:dyDescent="0.25">
      <c r="A438" s="846" t="str">
        <f>IF($AN438="","",IFERROR(VLOOKUP(CONCATENATE(CTR1_Billing!$E$20,$AN438),'Local Data Previous Year'!$C$3:$D$20000,2,0),CTR1_Billing!$E$21&amp;"NEW"))</f>
        <v/>
      </c>
      <c r="B438" s="846" t="str">
        <f>IF($E438="","",IFERROR(VLOOKUP(CONCATENATE(CTR1_Billing!$E$20,CTR1_Local!$E438),'Local Data Previous Year'!$C$3:$D$20000,2,0),CTR1_Billing!$E$21&amp;"NEW"))</f>
        <v/>
      </c>
      <c r="C438" s="846">
        <v>406</v>
      </c>
      <c r="D438" s="755" t="str" cm="1">
        <f t="array" ref="D438">IF(ISERROR(INDEX('Local Data Previous Year'!$D$3:$D$20000,SMALL(IF(CTR1_Billing!$E$21='Local Data Previous Year'!$A$3:$A$20000,ROW('Local Data Previous Year'!$A$3:$A$20000)-ROW('Local Data Previous Year'!$A$3)+1),ROW(406:406)))),"",INDEX('Local Data Previous Year'!$D$3:$D$20000,SMALL(IF(CTR1_Billing!$E$21='Local Data Previous Year'!$A$3:$A$20000,ROW('Local Data Previous Year'!$A$3:$A$20000)-ROW('Local Data Previous Year'!$A$3)+1),ROW(406:406))))</f>
        <v/>
      </c>
      <c r="E438" s="755" t="str" cm="1">
        <f t="array" ref="E438">IF(ISERROR(INDEX('Local Data Previous Year'!$E$3:$E$20000,SMALL(IF(CTR1_Billing!$E$21='Local Data Previous Year'!$A$3:$A$20000,ROW('Local Data Previous Year'!$A$3:$A$20000)-ROW('Local Data Previous Year'!$A$3)+1),ROW(406:406)))),"",INDEX('Local Data Previous Year'!$E$3:$E$20000,SMALL(IF(CTR1_Billing!$E$21='Local Data Previous Year'!$A$3:$A$20000,ROW('Local Data Previous Year'!$A$3:$A$20000)-ROW('Local Data Previous Year'!$A$3)+1),ROW(406:406))))</f>
        <v/>
      </c>
      <c r="F438" s="756" t="str">
        <f>IF($D438="","",IF(ISNA(MATCH($D438,'Local Data Previous Year'!$D$3:$D$20000,0)),"New",IFERROR(VLOOKUP($B438,'Local Data Previous Year'!$D$3:$I$20000,6,0),"")))</f>
        <v/>
      </c>
      <c r="G438" s="757">
        <f t="shared" si="86"/>
        <v>0</v>
      </c>
      <c r="H438" s="758" t="str">
        <f>IFERROR(INDEX('Local Data Previous Year'!$F:$F, MATCH($D438, 'Local Data Previous Year'!$D:$D, 0)), "")</f>
        <v/>
      </c>
      <c r="I438" s="759">
        <f>IF(B438=CTR1_Billing!$E$21&amp;"NEW",1,0)</f>
        <v>0</v>
      </c>
      <c r="J438" s="760" t="str">
        <f>IFERROR(INDEX('Local Data Previous Year'!$G:$G, MATCH($D438, 'Local Data Previous Year'!$D:$D, 0)), "")</f>
        <v/>
      </c>
      <c r="K438" s="762"/>
      <c r="L438" s="760" t="str">
        <f>IFERROR(INDEX('Local Data Previous Year'!$H:$H, MATCH($D438, 'Local Data Previous Year'!$D:$D, 0)), "")</f>
        <v/>
      </c>
      <c r="M438" s="762"/>
      <c r="N438" s="763"/>
      <c r="O438" s="767"/>
      <c r="P438" s="765"/>
      <c r="Q438" s="767"/>
      <c r="R438" s="766" t="str">
        <f t="shared" si="87"/>
        <v/>
      </c>
      <c r="S438" s="754"/>
      <c r="T438" s="763"/>
      <c r="U438" s="754"/>
      <c r="V438" s="763"/>
      <c r="W438" s="763"/>
      <c r="X438" s="865" t="str">
        <f>VLOOKUP(CTR1_Billing!$E$21,Data!$C$6:$D$302,1,FALSE)</f>
        <v>EZZZZ</v>
      </c>
      <c r="Y438" s="205"/>
      <c r="Z438" s="205">
        <f t="shared" si="76"/>
        <v>0</v>
      </c>
      <c r="AA438" s="206" t="str">
        <f t="shared" si="40"/>
        <v/>
      </c>
      <c r="AB438" s="205">
        <f t="shared" si="77"/>
        <v>0</v>
      </c>
      <c r="AC438" s="208"/>
      <c r="AD438" s="208"/>
      <c r="AE438" s="208"/>
      <c r="AF438" s="208"/>
      <c r="AG438" s="209" t="str">
        <f>IFERROR(INDEX('Local Data Previous Year'!$F:$F, MATCH($D438, 'Local Data Previous Year'!$D:$D, 0)), "")</f>
        <v/>
      </c>
      <c r="AH438" s="209" t="str">
        <f>IFERROR(INDEX('Local Data Previous Year'!$G:$G, MATCH($D438, 'Local Data Previous Year'!$D:$D, 0)), "")</f>
        <v/>
      </c>
      <c r="AI438" s="209" t="str">
        <f>IFERROR(INDEX('Local Data Previous Year'!$H:$H, MATCH($D438, 'Local Data Previous Year'!$D:$D, 0)), "")</f>
        <v/>
      </c>
      <c r="AJ438" s="209" t="str">
        <f t="shared" si="78"/>
        <v/>
      </c>
      <c r="AK438" s="209" t="str">
        <f t="shared" si="79"/>
        <v/>
      </c>
      <c r="AL438" s="209" t="str">
        <f t="shared" si="80"/>
        <v/>
      </c>
      <c r="AM438" s="208" t="str">
        <f>IF($AN438="","",IFERROR(VLOOKUP(CONCATENATE(CTR1_Billing!$E$20,$AN438),'Local Data Previous Year'!$C$3:$D$50000,2,0),CTR1_Billing!$E$21&amp;"NEW"))</f>
        <v/>
      </c>
      <c r="AN438" s="209" t="str" cm="1">
        <f t="array" ref="AN438">IF(ISERROR(INDEX('Local Data Previous Year'!$E$3:$E$50000, SMALL(IF(CTR1_Billing!$E$21='Local Data Previous Year'!$A$3:$A$50000, ROW('Local Data Previous Year'!$A$3:$A$50000)-ROW('Local Data Previous Year'!$A$3)+1), ROW(406:406)))), "", INDEX('Local Data Previous Year'!$E$3:$E$50000, SMALL(IF(CTR1_Billing!$E$21='Local Data Previous Year'!$A$3:$A$50000, ROW('Local Data Previous Year'!$A$3:$A$50000)-ROW('Local Data Previous Year'!$A$3)+1), ROW(406:406))))</f>
        <v/>
      </c>
      <c r="AO438" s="209" t="str">
        <f t="shared" si="81"/>
        <v/>
      </c>
      <c r="AP438" s="208"/>
      <c r="AQ438" s="209" t="str">
        <f t="shared" si="82"/>
        <v/>
      </c>
      <c r="AR438" s="209" t="str">
        <f t="shared" si="83"/>
        <v/>
      </c>
      <c r="AS438" s="202" t="str">
        <f t="shared" si="84"/>
        <v/>
      </c>
      <c r="AT438" s="202" t="str">
        <f t="shared" si="85"/>
        <v/>
      </c>
      <c r="AU438" s="208"/>
      <c r="AV438" s="208"/>
      <c r="AW438" s="208"/>
      <c r="AX438" s="208"/>
      <c r="AY438" s="208"/>
      <c r="AZ438" s="208"/>
      <c r="BA438" s="208"/>
      <c r="BB438" s="208"/>
      <c r="BC438" s="208"/>
      <c r="BD438" s="208"/>
      <c r="BE438" s="208"/>
      <c r="BF438" s="208"/>
      <c r="BG438" s="28"/>
      <c r="BH438" s="28"/>
      <c r="BI438" s="28"/>
      <c r="BJ438" s="28"/>
    </row>
    <row r="439" spans="1:62" s="23" customFormat="1" ht="21" customHeight="1" thickBot="1" x14ac:dyDescent="0.25">
      <c r="A439" s="846" t="str">
        <f>IF($AN439="","",IFERROR(VLOOKUP(CONCATENATE(CTR1_Billing!$E$20,$AN439),'Local Data Previous Year'!$C$3:$D$20000,2,0),CTR1_Billing!$E$21&amp;"NEW"))</f>
        <v/>
      </c>
      <c r="B439" s="846" t="str">
        <f>IF($E439="","",IFERROR(VLOOKUP(CONCATENATE(CTR1_Billing!$E$20,CTR1_Local!$E439),'Local Data Previous Year'!$C$3:$D$20000,2,0),CTR1_Billing!$E$21&amp;"NEW"))</f>
        <v/>
      </c>
      <c r="C439" s="846">
        <v>407</v>
      </c>
      <c r="D439" s="755" t="str" cm="1">
        <f t="array" ref="D439">IF(ISERROR(INDEX('Local Data Previous Year'!$D$3:$D$20000,SMALL(IF(CTR1_Billing!$E$21='Local Data Previous Year'!$A$3:$A$20000,ROW('Local Data Previous Year'!$A$3:$A$20000)-ROW('Local Data Previous Year'!$A$3)+1),ROW(407:407)))),"",INDEX('Local Data Previous Year'!$D$3:$D$20000,SMALL(IF(CTR1_Billing!$E$21='Local Data Previous Year'!$A$3:$A$20000,ROW('Local Data Previous Year'!$A$3:$A$20000)-ROW('Local Data Previous Year'!$A$3)+1),ROW(407:407))))</f>
        <v/>
      </c>
      <c r="E439" s="755" t="str" cm="1">
        <f t="array" ref="E439">IF(ISERROR(INDEX('Local Data Previous Year'!$E$3:$E$20000,SMALL(IF(CTR1_Billing!$E$21='Local Data Previous Year'!$A$3:$A$20000,ROW('Local Data Previous Year'!$A$3:$A$20000)-ROW('Local Data Previous Year'!$A$3)+1),ROW(407:407)))),"",INDEX('Local Data Previous Year'!$E$3:$E$20000,SMALL(IF(CTR1_Billing!$E$21='Local Data Previous Year'!$A$3:$A$20000,ROW('Local Data Previous Year'!$A$3:$A$20000)-ROW('Local Data Previous Year'!$A$3)+1),ROW(407:407))))</f>
        <v/>
      </c>
      <c r="F439" s="756" t="str">
        <f>IF($D439="","",IF(ISNA(MATCH($D439,'Local Data Previous Year'!$D$3:$D$20000,0)),"New",IFERROR(VLOOKUP($B439,'Local Data Previous Year'!$D$3:$I$20000,6,0),"")))</f>
        <v/>
      </c>
      <c r="G439" s="757">
        <f t="shared" si="86"/>
        <v>0</v>
      </c>
      <c r="H439" s="758" t="str">
        <f>IFERROR(INDEX('Local Data Previous Year'!$F:$F, MATCH($D439, 'Local Data Previous Year'!$D:$D, 0)), "")</f>
        <v/>
      </c>
      <c r="I439" s="759">
        <f>IF(B439=CTR1_Billing!$E$21&amp;"NEW",1,0)</f>
        <v>0</v>
      </c>
      <c r="J439" s="760" t="str">
        <f>IFERROR(INDEX('Local Data Previous Year'!$G:$G, MATCH($D439, 'Local Data Previous Year'!$D:$D, 0)), "")</f>
        <v/>
      </c>
      <c r="K439" s="762"/>
      <c r="L439" s="760" t="str">
        <f>IFERROR(INDEX('Local Data Previous Year'!$H:$H, MATCH($D439, 'Local Data Previous Year'!$D:$D, 0)), "")</f>
        <v/>
      </c>
      <c r="M439" s="762"/>
      <c r="N439" s="763"/>
      <c r="O439" s="767"/>
      <c r="P439" s="765"/>
      <c r="Q439" s="767"/>
      <c r="R439" s="766" t="str">
        <f t="shared" si="87"/>
        <v/>
      </c>
      <c r="S439" s="754"/>
      <c r="T439" s="763"/>
      <c r="U439" s="754"/>
      <c r="V439" s="763"/>
      <c r="W439" s="763"/>
      <c r="X439" s="865" t="str">
        <f>VLOOKUP(CTR1_Billing!$E$21,Data!$C$6:$D$302,1,FALSE)</f>
        <v>EZZZZ</v>
      </c>
      <c r="Y439" s="205"/>
      <c r="Z439" s="205">
        <f t="shared" si="76"/>
        <v>0</v>
      </c>
      <c r="AA439" s="206" t="str">
        <f t="shared" si="40"/>
        <v/>
      </c>
      <c r="AB439" s="205">
        <f t="shared" si="77"/>
        <v>0</v>
      </c>
      <c r="AC439" s="208"/>
      <c r="AD439" s="208"/>
      <c r="AE439" s="208"/>
      <c r="AF439" s="208"/>
      <c r="AG439" s="209" t="str">
        <f>IFERROR(INDEX('Local Data Previous Year'!$F:$F, MATCH($D439, 'Local Data Previous Year'!$D:$D, 0)), "")</f>
        <v/>
      </c>
      <c r="AH439" s="209" t="str">
        <f>IFERROR(INDEX('Local Data Previous Year'!$G:$G, MATCH($D439, 'Local Data Previous Year'!$D:$D, 0)), "")</f>
        <v/>
      </c>
      <c r="AI439" s="209" t="str">
        <f>IFERROR(INDEX('Local Data Previous Year'!$H:$H, MATCH($D439, 'Local Data Previous Year'!$D:$D, 0)), "")</f>
        <v/>
      </c>
      <c r="AJ439" s="209" t="str">
        <f t="shared" si="78"/>
        <v/>
      </c>
      <c r="AK439" s="209" t="str">
        <f t="shared" si="79"/>
        <v/>
      </c>
      <c r="AL439" s="209" t="str">
        <f t="shared" si="80"/>
        <v/>
      </c>
      <c r="AM439" s="208" t="str">
        <f>IF($AN439="","",IFERROR(VLOOKUP(CONCATENATE(CTR1_Billing!$E$20,$AN439),'Local Data Previous Year'!$C$3:$D$50000,2,0),CTR1_Billing!$E$21&amp;"NEW"))</f>
        <v/>
      </c>
      <c r="AN439" s="209" t="str" cm="1">
        <f t="array" ref="AN439">IF(ISERROR(INDEX('Local Data Previous Year'!$E$3:$E$50000, SMALL(IF(CTR1_Billing!$E$21='Local Data Previous Year'!$A$3:$A$50000, ROW('Local Data Previous Year'!$A$3:$A$50000)-ROW('Local Data Previous Year'!$A$3)+1), ROW(407:407)))), "", INDEX('Local Data Previous Year'!$E$3:$E$50000, SMALL(IF(CTR1_Billing!$E$21='Local Data Previous Year'!$A$3:$A$50000, ROW('Local Data Previous Year'!$A$3:$A$50000)-ROW('Local Data Previous Year'!$A$3)+1), ROW(407:407))))</f>
        <v/>
      </c>
      <c r="AO439" s="209" t="str">
        <f t="shared" si="81"/>
        <v/>
      </c>
      <c r="AP439" s="208"/>
      <c r="AQ439" s="209" t="str">
        <f t="shared" si="82"/>
        <v/>
      </c>
      <c r="AR439" s="209" t="str">
        <f t="shared" si="83"/>
        <v/>
      </c>
      <c r="AS439" s="202" t="str">
        <f t="shared" si="84"/>
        <v/>
      </c>
      <c r="AT439" s="202" t="str">
        <f t="shared" si="85"/>
        <v/>
      </c>
      <c r="AU439" s="208"/>
      <c r="AV439" s="208"/>
      <c r="AW439" s="208"/>
      <c r="AX439" s="208"/>
      <c r="AY439" s="208"/>
      <c r="AZ439" s="208"/>
      <c r="BA439" s="208"/>
      <c r="BB439" s="208"/>
      <c r="BC439" s="208"/>
      <c r="BD439" s="208"/>
      <c r="BE439" s="208"/>
      <c r="BF439" s="208"/>
      <c r="BG439" s="28"/>
      <c r="BH439" s="28"/>
      <c r="BI439" s="28"/>
      <c r="BJ439" s="28"/>
    </row>
    <row r="440" spans="1:62" s="23" customFormat="1" ht="21" customHeight="1" thickBot="1" x14ac:dyDescent="0.25">
      <c r="A440" s="846" t="str">
        <f>IF($AN440="","",IFERROR(VLOOKUP(CONCATENATE(CTR1_Billing!$E$20,$AN440),'Local Data Previous Year'!$C$3:$D$20000,2,0),CTR1_Billing!$E$21&amp;"NEW"))</f>
        <v/>
      </c>
      <c r="B440" s="846" t="str">
        <f>IF($E440="","",IFERROR(VLOOKUP(CONCATENATE(CTR1_Billing!$E$20,CTR1_Local!$E440),'Local Data Previous Year'!$C$3:$D$20000,2,0),CTR1_Billing!$E$21&amp;"NEW"))</f>
        <v/>
      </c>
      <c r="C440" s="846">
        <v>408</v>
      </c>
      <c r="D440" s="755" t="str" cm="1">
        <f t="array" ref="D440">IF(ISERROR(INDEX('Local Data Previous Year'!$D$3:$D$20000,SMALL(IF(CTR1_Billing!$E$21='Local Data Previous Year'!$A$3:$A$20000,ROW('Local Data Previous Year'!$A$3:$A$20000)-ROW('Local Data Previous Year'!$A$3)+1),ROW(408:408)))),"",INDEX('Local Data Previous Year'!$D$3:$D$20000,SMALL(IF(CTR1_Billing!$E$21='Local Data Previous Year'!$A$3:$A$20000,ROW('Local Data Previous Year'!$A$3:$A$20000)-ROW('Local Data Previous Year'!$A$3)+1),ROW(408:408))))</f>
        <v/>
      </c>
      <c r="E440" s="755" t="str" cm="1">
        <f t="array" ref="E440">IF(ISERROR(INDEX('Local Data Previous Year'!$E$3:$E$20000,SMALL(IF(CTR1_Billing!$E$21='Local Data Previous Year'!$A$3:$A$20000,ROW('Local Data Previous Year'!$A$3:$A$20000)-ROW('Local Data Previous Year'!$A$3)+1),ROW(408:408)))),"",INDEX('Local Data Previous Year'!$E$3:$E$20000,SMALL(IF(CTR1_Billing!$E$21='Local Data Previous Year'!$A$3:$A$20000,ROW('Local Data Previous Year'!$A$3:$A$20000)-ROW('Local Data Previous Year'!$A$3)+1),ROW(408:408))))</f>
        <v/>
      </c>
      <c r="F440" s="756" t="str">
        <f>IF($D440="","",IF(ISNA(MATCH($D440,'Local Data Previous Year'!$D$3:$D$20000,0)),"New",IFERROR(VLOOKUP($B440,'Local Data Previous Year'!$D$3:$I$20000,6,0),"")))</f>
        <v/>
      </c>
      <c r="G440" s="757">
        <f t="shared" si="86"/>
        <v>0</v>
      </c>
      <c r="H440" s="758" t="str">
        <f>IFERROR(INDEX('Local Data Previous Year'!$F:$F, MATCH($D440, 'Local Data Previous Year'!$D:$D, 0)), "")</f>
        <v/>
      </c>
      <c r="I440" s="759">
        <f>IF(B440=CTR1_Billing!$E$21&amp;"NEW",1,0)</f>
        <v>0</v>
      </c>
      <c r="J440" s="760" t="str">
        <f>IFERROR(INDEX('Local Data Previous Year'!$G:$G, MATCH($D440, 'Local Data Previous Year'!$D:$D, 0)), "")</f>
        <v/>
      </c>
      <c r="K440" s="762"/>
      <c r="L440" s="760" t="str">
        <f>IFERROR(INDEX('Local Data Previous Year'!$H:$H, MATCH($D440, 'Local Data Previous Year'!$D:$D, 0)), "")</f>
        <v/>
      </c>
      <c r="M440" s="762"/>
      <c r="N440" s="763"/>
      <c r="O440" s="767"/>
      <c r="P440" s="765"/>
      <c r="Q440" s="767"/>
      <c r="R440" s="766" t="str">
        <f t="shared" si="87"/>
        <v/>
      </c>
      <c r="S440" s="754"/>
      <c r="T440" s="763"/>
      <c r="U440" s="754"/>
      <c r="V440" s="763"/>
      <c r="W440" s="763"/>
      <c r="X440" s="865" t="str">
        <f>VLOOKUP(CTR1_Billing!$E$21,Data!$C$6:$D$302,1,FALSE)</f>
        <v>EZZZZ</v>
      </c>
      <c r="Y440" s="205"/>
      <c r="Z440" s="205">
        <f t="shared" si="76"/>
        <v>0</v>
      </c>
      <c r="AA440" s="206" t="str">
        <f t="shared" si="40"/>
        <v/>
      </c>
      <c r="AB440" s="205">
        <f t="shared" si="77"/>
        <v>0</v>
      </c>
      <c r="AC440" s="208"/>
      <c r="AD440" s="208"/>
      <c r="AE440" s="208"/>
      <c r="AF440" s="208"/>
      <c r="AG440" s="209" t="str">
        <f>IFERROR(INDEX('Local Data Previous Year'!$F:$F, MATCH($D440, 'Local Data Previous Year'!$D:$D, 0)), "")</f>
        <v/>
      </c>
      <c r="AH440" s="209" t="str">
        <f>IFERROR(INDEX('Local Data Previous Year'!$G:$G, MATCH($D440, 'Local Data Previous Year'!$D:$D, 0)), "")</f>
        <v/>
      </c>
      <c r="AI440" s="209" t="str">
        <f>IFERROR(INDEX('Local Data Previous Year'!$H:$H, MATCH($D440, 'Local Data Previous Year'!$D:$D, 0)), "")</f>
        <v/>
      </c>
      <c r="AJ440" s="209" t="str">
        <f t="shared" si="78"/>
        <v/>
      </c>
      <c r="AK440" s="209" t="str">
        <f t="shared" si="79"/>
        <v/>
      </c>
      <c r="AL440" s="209" t="str">
        <f t="shared" si="80"/>
        <v/>
      </c>
      <c r="AM440" s="208" t="str">
        <f>IF($AN440="","",IFERROR(VLOOKUP(CONCATENATE(CTR1_Billing!$E$20,$AN440),'Local Data Previous Year'!$C$3:$D$50000,2,0),CTR1_Billing!$E$21&amp;"NEW"))</f>
        <v/>
      </c>
      <c r="AN440" s="209" t="str" cm="1">
        <f t="array" ref="AN440">IF(ISERROR(INDEX('Local Data Previous Year'!$E$3:$E$50000, SMALL(IF(CTR1_Billing!$E$21='Local Data Previous Year'!$A$3:$A$50000, ROW('Local Data Previous Year'!$A$3:$A$50000)-ROW('Local Data Previous Year'!$A$3)+1), ROW(408:408)))), "", INDEX('Local Data Previous Year'!$E$3:$E$50000, SMALL(IF(CTR1_Billing!$E$21='Local Data Previous Year'!$A$3:$A$50000, ROW('Local Data Previous Year'!$A$3:$A$50000)-ROW('Local Data Previous Year'!$A$3)+1), ROW(408:408))))</f>
        <v/>
      </c>
      <c r="AO440" s="209" t="str">
        <f t="shared" si="81"/>
        <v/>
      </c>
      <c r="AP440" s="208"/>
      <c r="AQ440" s="209" t="str">
        <f t="shared" si="82"/>
        <v/>
      </c>
      <c r="AR440" s="209" t="str">
        <f t="shared" si="83"/>
        <v/>
      </c>
      <c r="AS440" s="202" t="str">
        <f t="shared" si="84"/>
        <v/>
      </c>
      <c r="AT440" s="202" t="str">
        <f t="shared" si="85"/>
        <v/>
      </c>
      <c r="AU440" s="208"/>
      <c r="AV440" s="208"/>
      <c r="AW440" s="208"/>
      <c r="AX440" s="208"/>
      <c r="AY440" s="208"/>
      <c r="AZ440" s="208"/>
      <c r="BA440" s="208"/>
      <c r="BB440" s="208"/>
      <c r="BC440" s="208"/>
      <c r="BD440" s="208"/>
      <c r="BE440" s="208"/>
      <c r="BF440" s="208"/>
      <c r="BG440" s="28"/>
      <c r="BH440" s="28"/>
      <c r="BI440" s="28"/>
      <c r="BJ440" s="28"/>
    </row>
    <row r="441" spans="1:62" s="23" customFormat="1" ht="21" customHeight="1" thickBot="1" x14ac:dyDescent="0.25">
      <c r="A441" s="846" t="str">
        <f>IF($AN441="","",IFERROR(VLOOKUP(CONCATENATE(CTR1_Billing!$E$20,$AN441),'Local Data Previous Year'!$C$3:$D$20000,2,0),CTR1_Billing!$E$21&amp;"NEW"))</f>
        <v/>
      </c>
      <c r="B441" s="846" t="str">
        <f>IF($E441="","",IFERROR(VLOOKUP(CONCATENATE(CTR1_Billing!$E$20,CTR1_Local!$E441),'Local Data Previous Year'!$C$3:$D$20000,2,0),CTR1_Billing!$E$21&amp;"NEW"))</f>
        <v/>
      </c>
      <c r="C441" s="846">
        <v>409</v>
      </c>
      <c r="D441" s="755" t="str" cm="1">
        <f t="array" ref="D441">IF(ISERROR(INDEX('Local Data Previous Year'!$D$3:$D$20000,SMALL(IF(CTR1_Billing!$E$21='Local Data Previous Year'!$A$3:$A$20000,ROW('Local Data Previous Year'!$A$3:$A$20000)-ROW('Local Data Previous Year'!$A$3)+1),ROW(409:409)))),"",INDEX('Local Data Previous Year'!$D$3:$D$20000,SMALL(IF(CTR1_Billing!$E$21='Local Data Previous Year'!$A$3:$A$20000,ROW('Local Data Previous Year'!$A$3:$A$20000)-ROW('Local Data Previous Year'!$A$3)+1),ROW(409:409))))</f>
        <v/>
      </c>
      <c r="E441" s="755" t="str" cm="1">
        <f t="array" ref="E441">IF(ISERROR(INDEX('Local Data Previous Year'!$E$3:$E$20000,SMALL(IF(CTR1_Billing!$E$21='Local Data Previous Year'!$A$3:$A$20000,ROW('Local Data Previous Year'!$A$3:$A$20000)-ROW('Local Data Previous Year'!$A$3)+1),ROW(409:409)))),"",INDEX('Local Data Previous Year'!$E$3:$E$20000,SMALL(IF(CTR1_Billing!$E$21='Local Data Previous Year'!$A$3:$A$20000,ROW('Local Data Previous Year'!$A$3:$A$20000)-ROW('Local Data Previous Year'!$A$3)+1),ROW(409:409))))</f>
        <v/>
      </c>
      <c r="F441" s="756" t="str">
        <f>IF($D441="","",IF(ISNA(MATCH($D441,'Local Data Previous Year'!$D$3:$D$20000,0)),"New",IFERROR(VLOOKUP($B441,'Local Data Previous Year'!$D$3:$I$20000,6,0),"")))</f>
        <v/>
      </c>
      <c r="G441" s="757">
        <f t="shared" si="86"/>
        <v>0</v>
      </c>
      <c r="H441" s="758" t="str">
        <f>IFERROR(INDEX('Local Data Previous Year'!$F:$F, MATCH($D441, 'Local Data Previous Year'!$D:$D, 0)), "")</f>
        <v/>
      </c>
      <c r="I441" s="759">
        <f>IF(B441=CTR1_Billing!$E$21&amp;"NEW",1,0)</f>
        <v>0</v>
      </c>
      <c r="J441" s="760" t="str">
        <f>IFERROR(INDEX('Local Data Previous Year'!$G:$G, MATCH($D441, 'Local Data Previous Year'!$D:$D, 0)), "")</f>
        <v/>
      </c>
      <c r="K441" s="762"/>
      <c r="L441" s="760" t="str">
        <f>IFERROR(INDEX('Local Data Previous Year'!$H:$H, MATCH($D441, 'Local Data Previous Year'!$D:$D, 0)), "")</f>
        <v/>
      </c>
      <c r="M441" s="762"/>
      <c r="N441" s="763"/>
      <c r="O441" s="767"/>
      <c r="P441" s="765"/>
      <c r="Q441" s="767"/>
      <c r="R441" s="766" t="str">
        <f t="shared" si="87"/>
        <v/>
      </c>
      <c r="S441" s="754"/>
      <c r="T441" s="763"/>
      <c r="U441" s="754"/>
      <c r="V441" s="763"/>
      <c r="W441" s="763"/>
      <c r="X441" s="865" t="str">
        <f>VLOOKUP(CTR1_Billing!$E$21,Data!$C$6:$D$302,1,FALSE)</f>
        <v>EZZZZ</v>
      </c>
      <c r="Y441" s="205"/>
      <c r="Z441" s="205">
        <f t="shared" si="76"/>
        <v>0</v>
      </c>
      <c r="AA441" s="206" t="str">
        <f t="shared" si="40"/>
        <v/>
      </c>
      <c r="AB441" s="205">
        <f t="shared" si="77"/>
        <v>0</v>
      </c>
      <c r="AC441" s="208"/>
      <c r="AD441" s="208"/>
      <c r="AE441" s="208"/>
      <c r="AF441" s="208"/>
      <c r="AG441" s="209" t="str">
        <f>IFERROR(INDEX('Local Data Previous Year'!$F:$F, MATCH($D441, 'Local Data Previous Year'!$D:$D, 0)), "")</f>
        <v/>
      </c>
      <c r="AH441" s="209" t="str">
        <f>IFERROR(INDEX('Local Data Previous Year'!$G:$G, MATCH($D441, 'Local Data Previous Year'!$D:$D, 0)), "")</f>
        <v/>
      </c>
      <c r="AI441" s="209" t="str">
        <f>IFERROR(INDEX('Local Data Previous Year'!$H:$H, MATCH($D441, 'Local Data Previous Year'!$D:$D, 0)), "")</f>
        <v/>
      </c>
      <c r="AJ441" s="209" t="str">
        <f t="shared" si="78"/>
        <v/>
      </c>
      <c r="AK441" s="209" t="str">
        <f t="shared" si="79"/>
        <v/>
      </c>
      <c r="AL441" s="209" t="str">
        <f t="shared" si="80"/>
        <v/>
      </c>
      <c r="AM441" s="208" t="str">
        <f>IF($AN441="","",IFERROR(VLOOKUP(CONCATENATE(CTR1_Billing!$E$20,$AN441),'Local Data Previous Year'!$C$3:$D$50000,2,0),CTR1_Billing!$E$21&amp;"NEW"))</f>
        <v/>
      </c>
      <c r="AN441" s="209" t="str" cm="1">
        <f t="array" ref="AN441">IF(ISERROR(INDEX('Local Data Previous Year'!$E$3:$E$50000, SMALL(IF(CTR1_Billing!$E$21='Local Data Previous Year'!$A$3:$A$50000, ROW('Local Data Previous Year'!$A$3:$A$50000)-ROW('Local Data Previous Year'!$A$3)+1), ROW(409:409)))), "", INDEX('Local Data Previous Year'!$E$3:$E$50000, SMALL(IF(CTR1_Billing!$E$21='Local Data Previous Year'!$A$3:$A$50000, ROW('Local Data Previous Year'!$A$3:$A$50000)-ROW('Local Data Previous Year'!$A$3)+1), ROW(409:409))))</f>
        <v/>
      </c>
      <c r="AO441" s="209" t="str">
        <f t="shared" si="81"/>
        <v/>
      </c>
      <c r="AP441" s="208"/>
      <c r="AQ441" s="209" t="str">
        <f t="shared" si="82"/>
        <v/>
      </c>
      <c r="AR441" s="209" t="str">
        <f t="shared" si="83"/>
        <v/>
      </c>
      <c r="AS441" s="202" t="str">
        <f t="shared" si="84"/>
        <v/>
      </c>
      <c r="AT441" s="202" t="str">
        <f t="shared" si="85"/>
        <v/>
      </c>
      <c r="AU441" s="208"/>
      <c r="AV441" s="208"/>
      <c r="AW441" s="208"/>
      <c r="AX441" s="208"/>
      <c r="AY441" s="208"/>
      <c r="AZ441" s="208"/>
      <c r="BA441" s="208"/>
      <c r="BB441" s="208"/>
      <c r="BC441" s="208"/>
      <c r="BD441" s="208"/>
      <c r="BE441" s="208"/>
      <c r="BF441" s="208"/>
      <c r="BG441" s="28"/>
      <c r="BH441" s="28"/>
      <c r="BI441" s="28"/>
      <c r="BJ441" s="28"/>
    </row>
    <row r="442" spans="1:62" s="23" customFormat="1" ht="21" customHeight="1" thickBot="1" x14ac:dyDescent="0.25">
      <c r="A442" s="846" t="str">
        <f>IF($AN442="","",IFERROR(VLOOKUP(CONCATENATE(CTR1_Billing!$E$20,$AN442),'Local Data Previous Year'!$C$3:$D$20000,2,0),CTR1_Billing!$E$21&amp;"NEW"))</f>
        <v/>
      </c>
      <c r="B442" s="846" t="str">
        <f>IF($E442="","",IFERROR(VLOOKUP(CONCATENATE(CTR1_Billing!$E$20,CTR1_Local!$E442),'Local Data Previous Year'!$C$3:$D$20000,2,0),CTR1_Billing!$E$21&amp;"NEW"))</f>
        <v/>
      </c>
      <c r="C442" s="846">
        <v>410</v>
      </c>
      <c r="D442" s="755" t="str" cm="1">
        <f t="array" ref="D442">IF(ISERROR(INDEX('Local Data Previous Year'!$D$3:$D$20000,SMALL(IF(CTR1_Billing!$E$21='Local Data Previous Year'!$A$3:$A$20000,ROW('Local Data Previous Year'!$A$3:$A$20000)-ROW('Local Data Previous Year'!$A$3)+1),ROW(410:410)))),"",INDEX('Local Data Previous Year'!$D$3:$D$20000,SMALL(IF(CTR1_Billing!$E$21='Local Data Previous Year'!$A$3:$A$20000,ROW('Local Data Previous Year'!$A$3:$A$20000)-ROW('Local Data Previous Year'!$A$3)+1),ROW(410:410))))</f>
        <v/>
      </c>
      <c r="E442" s="755" t="str" cm="1">
        <f t="array" ref="E442">IF(ISERROR(INDEX('Local Data Previous Year'!$E$3:$E$20000,SMALL(IF(CTR1_Billing!$E$21='Local Data Previous Year'!$A$3:$A$20000,ROW('Local Data Previous Year'!$A$3:$A$20000)-ROW('Local Data Previous Year'!$A$3)+1),ROW(410:410)))),"",INDEX('Local Data Previous Year'!$E$3:$E$20000,SMALL(IF(CTR1_Billing!$E$21='Local Data Previous Year'!$A$3:$A$20000,ROW('Local Data Previous Year'!$A$3:$A$20000)-ROW('Local Data Previous Year'!$A$3)+1),ROW(410:410))))</f>
        <v/>
      </c>
      <c r="F442" s="756" t="str">
        <f>IF($D442="","",IF(ISNA(MATCH($D442,'Local Data Previous Year'!$D$3:$D$20000,0)),"New",IFERROR(VLOOKUP($B442,'Local Data Previous Year'!$D$3:$I$20000,6,0),"")))</f>
        <v/>
      </c>
      <c r="G442" s="757">
        <f t="shared" si="86"/>
        <v>0</v>
      </c>
      <c r="H442" s="758" t="str">
        <f>IFERROR(INDEX('Local Data Previous Year'!$F:$F, MATCH($D442, 'Local Data Previous Year'!$D:$D, 0)), "")</f>
        <v/>
      </c>
      <c r="I442" s="759">
        <f>IF(B442=CTR1_Billing!$E$21&amp;"NEW",1,0)</f>
        <v>0</v>
      </c>
      <c r="J442" s="760" t="str">
        <f>IFERROR(INDEX('Local Data Previous Year'!$G:$G, MATCH($D442, 'Local Data Previous Year'!$D:$D, 0)), "")</f>
        <v/>
      </c>
      <c r="K442" s="762"/>
      <c r="L442" s="760" t="str">
        <f>IFERROR(INDEX('Local Data Previous Year'!$H:$H, MATCH($D442, 'Local Data Previous Year'!$D:$D, 0)), "")</f>
        <v/>
      </c>
      <c r="M442" s="762"/>
      <c r="N442" s="763"/>
      <c r="O442" s="767"/>
      <c r="P442" s="765"/>
      <c r="Q442" s="767"/>
      <c r="R442" s="766" t="str">
        <f t="shared" si="87"/>
        <v/>
      </c>
      <c r="S442" s="754"/>
      <c r="T442" s="763"/>
      <c r="U442" s="754"/>
      <c r="V442" s="763"/>
      <c r="W442" s="763"/>
      <c r="X442" s="865" t="str">
        <f>VLOOKUP(CTR1_Billing!$E$21,Data!$C$6:$D$302,1,FALSE)</f>
        <v>EZZZZ</v>
      </c>
      <c r="Y442" s="205"/>
      <c r="Z442" s="205">
        <f t="shared" si="76"/>
        <v>0</v>
      </c>
      <c r="AA442" s="206" t="str">
        <f t="shared" si="40"/>
        <v/>
      </c>
      <c r="AB442" s="205">
        <f t="shared" si="77"/>
        <v>0</v>
      </c>
      <c r="AC442" s="208"/>
      <c r="AD442" s="208"/>
      <c r="AE442" s="208"/>
      <c r="AF442" s="208"/>
      <c r="AG442" s="209" t="str">
        <f>IFERROR(INDEX('Local Data Previous Year'!$F:$F, MATCH($D442, 'Local Data Previous Year'!$D:$D, 0)), "")</f>
        <v/>
      </c>
      <c r="AH442" s="209" t="str">
        <f>IFERROR(INDEX('Local Data Previous Year'!$G:$G, MATCH($D442, 'Local Data Previous Year'!$D:$D, 0)), "")</f>
        <v/>
      </c>
      <c r="AI442" s="209" t="str">
        <f>IFERROR(INDEX('Local Data Previous Year'!$H:$H, MATCH($D442, 'Local Data Previous Year'!$D:$D, 0)), "")</f>
        <v/>
      </c>
      <c r="AJ442" s="209" t="str">
        <f t="shared" si="78"/>
        <v/>
      </c>
      <c r="AK442" s="209" t="str">
        <f t="shared" si="79"/>
        <v/>
      </c>
      <c r="AL442" s="209" t="str">
        <f t="shared" si="80"/>
        <v/>
      </c>
      <c r="AM442" s="208" t="str">
        <f>IF($AN442="","",IFERROR(VLOOKUP(CONCATENATE(CTR1_Billing!$E$20,$AN442),'Local Data Previous Year'!$C$3:$D$50000,2,0),CTR1_Billing!$E$21&amp;"NEW"))</f>
        <v/>
      </c>
      <c r="AN442" s="209" t="str" cm="1">
        <f t="array" ref="AN442">IF(ISERROR(INDEX('Local Data Previous Year'!$E$3:$E$50000, SMALL(IF(CTR1_Billing!$E$21='Local Data Previous Year'!$A$3:$A$50000, ROW('Local Data Previous Year'!$A$3:$A$50000)-ROW('Local Data Previous Year'!$A$3)+1), ROW(410:410)))), "", INDEX('Local Data Previous Year'!$E$3:$E$50000, SMALL(IF(CTR1_Billing!$E$21='Local Data Previous Year'!$A$3:$A$50000, ROW('Local Data Previous Year'!$A$3:$A$50000)-ROW('Local Data Previous Year'!$A$3)+1), ROW(410:410))))</f>
        <v/>
      </c>
      <c r="AO442" s="209" t="str">
        <f t="shared" si="81"/>
        <v/>
      </c>
      <c r="AP442" s="208"/>
      <c r="AQ442" s="209" t="str">
        <f t="shared" si="82"/>
        <v/>
      </c>
      <c r="AR442" s="209" t="str">
        <f t="shared" si="83"/>
        <v/>
      </c>
      <c r="AS442" s="202" t="str">
        <f t="shared" si="84"/>
        <v/>
      </c>
      <c r="AT442" s="202" t="str">
        <f t="shared" si="85"/>
        <v/>
      </c>
      <c r="AU442" s="208"/>
      <c r="AV442" s="208"/>
      <c r="AW442" s="208"/>
      <c r="AX442" s="208"/>
      <c r="AY442" s="208"/>
      <c r="AZ442" s="208"/>
      <c r="BA442" s="208"/>
      <c r="BB442" s="208"/>
      <c r="BC442" s="208"/>
      <c r="BD442" s="208"/>
      <c r="BE442" s="208"/>
      <c r="BF442" s="208"/>
      <c r="BG442" s="28"/>
      <c r="BH442" s="28"/>
      <c r="BI442" s="28"/>
      <c r="BJ442" s="28"/>
    </row>
    <row r="443" spans="1:62" s="23" customFormat="1" ht="21" customHeight="1" thickBot="1" x14ac:dyDescent="0.25">
      <c r="A443" s="846" t="str">
        <f>IF($AN443="","",IFERROR(VLOOKUP(CONCATENATE(CTR1_Billing!$E$20,$AN443),'Local Data Previous Year'!$C$3:$D$20000,2,0),CTR1_Billing!$E$21&amp;"NEW"))</f>
        <v/>
      </c>
      <c r="B443" s="846" t="str">
        <f>IF($E443="","",IFERROR(VLOOKUP(CONCATENATE(CTR1_Billing!$E$20,CTR1_Local!$E443),'Local Data Previous Year'!$C$3:$D$20000,2,0),CTR1_Billing!$E$21&amp;"NEW"))</f>
        <v/>
      </c>
      <c r="C443" s="846">
        <v>411</v>
      </c>
      <c r="D443" s="755" t="str" cm="1">
        <f t="array" ref="D443">IF(ISERROR(INDEX('Local Data Previous Year'!$D$3:$D$20000,SMALL(IF(CTR1_Billing!$E$21='Local Data Previous Year'!$A$3:$A$20000,ROW('Local Data Previous Year'!$A$3:$A$20000)-ROW('Local Data Previous Year'!$A$3)+1),ROW(411:411)))),"",INDEX('Local Data Previous Year'!$D$3:$D$20000,SMALL(IF(CTR1_Billing!$E$21='Local Data Previous Year'!$A$3:$A$20000,ROW('Local Data Previous Year'!$A$3:$A$20000)-ROW('Local Data Previous Year'!$A$3)+1),ROW(411:411))))</f>
        <v/>
      </c>
      <c r="E443" s="755" t="str" cm="1">
        <f t="array" ref="E443">IF(ISERROR(INDEX('Local Data Previous Year'!$E$3:$E$20000,SMALL(IF(CTR1_Billing!$E$21='Local Data Previous Year'!$A$3:$A$20000,ROW('Local Data Previous Year'!$A$3:$A$20000)-ROW('Local Data Previous Year'!$A$3)+1),ROW(411:411)))),"",INDEX('Local Data Previous Year'!$E$3:$E$20000,SMALL(IF(CTR1_Billing!$E$21='Local Data Previous Year'!$A$3:$A$20000,ROW('Local Data Previous Year'!$A$3:$A$20000)-ROW('Local Data Previous Year'!$A$3)+1),ROW(411:411))))</f>
        <v/>
      </c>
      <c r="F443" s="756" t="str">
        <f>IF($D443="","",IF(ISNA(MATCH($D443,'Local Data Previous Year'!$D$3:$D$20000,0)),"New",IFERROR(VLOOKUP($B443,'Local Data Previous Year'!$D$3:$I$20000,6,0),"")))</f>
        <v/>
      </c>
      <c r="G443" s="757">
        <f t="shared" si="86"/>
        <v>0</v>
      </c>
      <c r="H443" s="758" t="str">
        <f>IFERROR(INDEX('Local Data Previous Year'!$F:$F, MATCH($D443, 'Local Data Previous Year'!$D:$D, 0)), "")</f>
        <v/>
      </c>
      <c r="I443" s="759">
        <f>IF(B443=CTR1_Billing!$E$21&amp;"NEW",1,0)</f>
        <v>0</v>
      </c>
      <c r="J443" s="760" t="str">
        <f>IFERROR(INDEX('Local Data Previous Year'!$G:$G, MATCH($D443, 'Local Data Previous Year'!$D:$D, 0)), "")</f>
        <v/>
      </c>
      <c r="K443" s="762"/>
      <c r="L443" s="760" t="str">
        <f>IFERROR(INDEX('Local Data Previous Year'!$H:$H, MATCH($D443, 'Local Data Previous Year'!$D:$D, 0)), "")</f>
        <v/>
      </c>
      <c r="M443" s="762"/>
      <c r="N443" s="763"/>
      <c r="O443" s="767"/>
      <c r="P443" s="765"/>
      <c r="Q443" s="767"/>
      <c r="R443" s="766" t="str">
        <f t="shared" si="87"/>
        <v/>
      </c>
      <c r="S443" s="754"/>
      <c r="T443" s="763"/>
      <c r="U443" s="754"/>
      <c r="V443" s="763"/>
      <c r="W443" s="763"/>
      <c r="X443" s="865" t="str">
        <f>VLOOKUP(CTR1_Billing!$E$21,Data!$C$6:$D$302,1,FALSE)</f>
        <v>EZZZZ</v>
      </c>
      <c r="Y443" s="205"/>
      <c r="Z443" s="205">
        <f t="shared" si="76"/>
        <v>0</v>
      </c>
      <c r="AA443" s="206" t="str">
        <f t="shared" si="40"/>
        <v/>
      </c>
      <c r="AB443" s="205">
        <f t="shared" si="77"/>
        <v>0</v>
      </c>
      <c r="AC443" s="208"/>
      <c r="AD443" s="208"/>
      <c r="AE443" s="208"/>
      <c r="AF443" s="208"/>
      <c r="AG443" s="209" t="str">
        <f>IFERROR(INDEX('Local Data Previous Year'!$F:$F, MATCH($D443, 'Local Data Previous Year'!$D:$D, 0)), "")</f>
        <v/>
      </c>
      <c r="AH443" s="209" t="str">
        <f>IFERROR(INDEX('Local Data Previous Year'!$G:$G, MATCH($D443, 'Local Data Previous Year'!$D:$D, 0)), "")</f>
        <v/>
      </c>
      <c r="AI443" s="209" t="str">
        <f>IFERROR(INDEX('Local Data Previous Year'!$H:$H, MATCH($D443, 'Local Data Previous Year'!$D:$D, 0)), "")</f>
        <v/>
      </c>
      <c r="AJ443" s="209" t="str">
        <f t="shared" si="78"/>
        <v/>
      </c>
      <c r="AK443" s="209" t="str">
        <f t="shared" si="79"/>
        <v/>
      </c>
      <c r="AL443" s="209" t="str">
        <f t="shared" si="80"/>
        <v/>
      </c>
      <c r="AM443" s="208" t="str">
        <f>IF($AN443="","",IFERROR(VLOOKUP(CONCATENATE(CTR1_Billing!$E$20,$AN443),'Local Data Previous Year'!$C$3:$D$50000,2,0),CTR1_Billing!$E$21&amp;"NEW"))</f>
        <v/>
      </c>
      <c r="AN443" s="209" t="str" cm="1">
        <f t="array" ref="AN443">IF(ISERROR(INDEX('Local Data Previous Year'!$E$3:$E$50000, SMALL(IF(CTR1_Billing!$E$21='Local Data Previous Year'!$A$3:$A$50000, ROW('Local Data Previous Year'!$A$3:$A$50000)-ROW('Local Data Previous Year'!$A$3)+1), ROW(411:411)))), "", INDEX('Local Data Previous Year'!$E$3:$E$50000, SMALL(IF(CTR1_Billing!$E$21='Local Data Previous Year'!$A$3:$A$50000, ROW('Local Data Previous Year'!$A$3:$A$50000)-ROW('Local Data Previous Year'!$A$3)+1), ROW(411:411))))</f>
        <v/>
      </c>
      <c r="AO443" s="209" t="str">
        <f t="shared" si="81"/>
        <v/>
      </c>
      <c r="AP443" s="208"/>
      <c r="AQ443" s="209" t="str">
        <f t="shared" si="82"/>
        <v/>
      </c>
      <c r="AR443" s="209" t="str">
        <f t="shared" si="83"/>
        <v/>
      </c>
      <c r="AS443" s="202" t="str">
        <f t="shared" si="84"/>
        <v/>
      </c>
      <c r="AT443" s="202" t="str">
        <f t="shared" si="85"/>
        <v/>
      </c>
      <c r="AU443" s="208"/>
      <c r="AV443" s="208"/>
      <c r="AW443" s="208"/>
      <c r="AX443" s="208"/>
      <c r="AY443" s="208"/>
      <c r="AZ443" s="208"/>
      <c r="BA443" s="208"/>
      <c r="BB443" s="208"/>
      <c r="BC443" s="208"/>
      <c r="BD443" s="208"/>
      <c r="BE443" s="208"/>
      <c r="BF443" s="208"/>
      <c r="BG443" s="28"/>
      <c r="BH443" s="28"/>
      <c r="BI443" s="28"/>
      <c r="BJ443" s="28"/>
    </row>
    <row r="444" spans="1:62" s="23" customFormat="1" ht="21" customHeight="1" thickBot="1" x14ac:dyDescent="0.25">
      <c r="A444" s="846" t="str">
        <f>IF($AN444="","",IFERROR(VLOOKUP(CONCATENATE(CTR1_Billing!$E$20,$AN444),'Local Data Previous Year'!$C$3:$D$20000,2,0),CTR1_Billing!$E$21&amp;"NEW"))</f>
        <v/>
      </c>
      <c r="B444" s="846" t="str">
        <f>IF($E444="","",IFERROR(VLOOKUP(CONCATENATE(CTR1_Billing!$E$20,CTR1_Local!$E444),'Local Data Previous Year'!$C$3:$D$20000,2,0),CTR1_Billing!$E$21&amp;"NEW"))</f>
        <v/>
      </c>
      <c r="C444" s="846">
        <v>412</v>
      </c>
      <c r="D444" s="755" t="str" cm="1">
        <f t="array" ref="D444">IF(ISERROR(INDEX('Local Data Previous Year'!$D$3:$D$20000,SMALL(IF(CTR1_Billing!$E$21='Local Data Previous Year'!$A$3:$A$20000,ROW('Local Data Previous Year'!$A$3:$A$20000)-ROW('Local Data Previous Year'!$A$3)+1),ROW(412:412)))),"",INDEX('Local Data Previous Year'!$D$3:$D$20000,SMALL(IF(CTR1_Billing!$E$21='Local Data Previous Year'!$A$3:$A$20000,ROW('Local Data Previous Year'!$A$3:$A$20000)-ROW('Local Data Previous Year'!$A$3)+1),ROW(412:412))))</f>
        <v/>
      </c>
      <c r="E444" s="755" t="str" cm="1">
        <f t="array" ref="E444">IF(ISERROR(INDEX('Local Data Previous Year'!$E$3:$E$20000,SMALL(IF(CTR1_Billing!$E$21='Local Data Previous Year'!$A$3:$A$20000,ROW('Local Data Previous Year'!$A$3:$A$20000)-ROW('Local Data Previous Year'!$A$3)+1),ROW(412:412)))),"",INDEX('Local Data Previous Year'!$E$3:$E$20000,SMALL(IF(CTR1_Billing!$E$21='Local Data Previous Year'!$A$3:$A$20000,ROW('Local Data Previous Year'!$A$3:$A$20000)-ROW('Local Data Previous Year'!$A$3)+1),ROW(412:412))))</f>
        <v/>
      </c>
      <c r="F444" s="756" t="str">
        <f>IF($D444="","",IF(ISNA(MATCH($D444,'Local Data Previous Year'!$D$3:$D$20000,0)),"New",IFERROR(VLOOKUP($B444,'Local Data Previous Year'!$D$3:$I$20000,6,0),"")))</f>
        <v/>
      </c>
      <c r="G444" s="757">
        <f t="shared" si="86"/>
        <v>0</v>
      </c>
      <c r="H444" s="758" t="str">
        <f>IFERROR(INDEX('Local Data Previous Year'!$F:$F, MATCH($D444, 'Local Data Previous Year'!$D:$D, 0)), "")</f>
        <v/>
      </c>
      <c r="I444" s="759">
        <f>IF(B444=CTR1_Billing!$E$21&amp;"NEW",1,0)</f>
        <v>0</v>
      </c>
      <c r="J444" s="760" t="str">
        <f>IFERROR(INDEX('Local Data Previous Year'!$G:$G, MATCH($D444, 'Local Data Previous Year'!$D:$D, 0)), "")</f>
        <v/>
      </c>
      <c r="K444" s="762"/>
      <c r="L444" s="760" t="str">
        <f>IFERROR(INDEX('Local Data Previous Year'!$H:$H, MATCH($D444, 'Local Data Previous Year'!$D:$D, 0)), "")</f>
        <v/>
      </c>
      <c r="M444" s="762"/>
      <c r="N444" s="763"/>
      <c r="O444" s="767"/>
      <c r="P444" s="765"/>
      <c r="Q444" s="767"/>
      <c r="R444" s="766" t="str">
        <f t="shared" si="87"/>
        <v/>
      </c>
      <c r="S444" s="754"/>
      <c r="T444" s="763"/>
      <c r="U444" s="754"/>
      <c r="V444" s="763"/>
      <c r="W444" s="763"/>
      <c r="X444" s="865" t="str">
        <f>VLOOKUP(CTR1_Billing!$E$21,Data!$C$6:$D$302,1,FALSE)</f>
        <v>EZZZZ</v>
      </c>
      <c r="Y444" s="205"/>
      <c r="Z444" s="205">
        <f t="shared" si="76"/>
        <v>0</v>
      </c>
      <c r="AA444" s="206" t="str">
        <f t="shared" si="40"/>
        <v/>
      </c>
      <c r="AB444" s="205">
        <f t="shared" si="77"/>
        <v>0</v>
      </c>
      <c r="AC444" s="208"/>
      <c r="AD444" s="208"/>
      <c r="AE444" s="208"/>
      <c r="AF444" s="208"/>
      <c r="AG444" s="209" t="str">
        <f>IFERROR(INDEX('Local Data Previous Year'!$F:$F, MATCH($D444, 'Local Data Previous Year'!$D:$D, 0)), "")</f>
        <v/>
      </c>
      <c r="AH444" s="209" t="str">
        <f>IFERROR(INDEX('Local Data Previous Year'!$G:$G, MATCH($D444, 'Local Data Previous Year'!$D:$D, 0)), "")</f>
        <v/>
      </c>
      <c r="AI444" s="209" t="str">
        <f>IFERROR(INDEX('Local Data Previous Year'!$H:$H, MATCH($D444, 'Local Data Previous Year'!$D:$D, 0)), "")</f>
        <v/>
      </c>
      <c r="AJ444" s="209" t="str">
        <f t="shared" si="78"/>
        <v/>
      </c>
      <c r="AK444" s="209" t="str">
        <f t="shared" si="79"/>
        <v/>
      </c>
      <c r="AL444" s="209" t="str">
        <f t="shared" si="80"/>
        <v/>
      </c>
      <c r="AM444" s="208" t="str">
        <f>IF($AN444="","",IFERROR(VLOOKUP(CONCATENATE(CTR1_Billing!$E$20,$AN444),'Local Data Previous Year'!$C$3:$D$50000,2,0),CTR1_Billing!$E$21&amp;"NEW"))</f>
        <v/>
      </c>
      <c r="AN444" s="209" t="str" cm="1">
        <f t="array" ref="AN444">IF(ISERROR(INDEX('Local Data Previous Year'!$E$3:$E$50000, SMALL(IF(CTR1_Billing!$E$21='Local Data Previous Year'!$A$3:$A$50000, ROW('Local Data Previous Year'!$A$3:$A$50000)-ROW('Local Data Previous Year'!$A$3)+1), ROW(412:412)))), "", INDEX('Local Data Previous Year'!$E$3:$E$50000, SMALL(IF(CTR1_Billing!$E$21='Local Data Previous Year'!$A$3:$A$50000, ROW('Local Data Previous Year'!$A$3:$A$50000)-ROW('Local Data Previous Year'!$A$3)+1), ROW(412:412))))</f>
        <v/>
      </c>
      <c r="AO444" s="209" t="str">
        <f t="shared" si="81"/>
        <v/>
      </c>
      <c r="AP444" s="208"/>
      <c r="AQ444" s="209" t="str">
        <f t="shared" si="82"/>
        <v/>
      </c>
      <c r="AR444" s="209" t="str">
        <f t="shared" si="83"/>
        <v/>
      </c>
      <c r="AS444" s="202" t="str">
        <f t="shared" si="84"/>
        <v/>
      </c>
      <c r="AT444" s="202" t="str">
        <f t="shared" si="85"/>
        <v/>
      </c>
      <c r="AU444" s="208"/>
      <c r="AV444" s="208"/>
      <c r="AW444" s="208"/>
      <c r="AX444" s="208"/>
      <c r="AY444" s="208"/>
      <c r="AZ444" s="208"/>
      <c r="BA444" s="208"/>
      <c r="BB444" s="208"/>
      <c r="BC444" s="208"/>
      <c r="BD444" s="208"/>
      <c r="BE444" s="208"/>
      <c r="BF444" s="208"/>
      <c r="BG444" s="28"/>
      <c r="BH444" s="28"/>
      <c r="BI444" s="28"/>
      <c r="BJ444" s="28"/>
    </row>
    <row r="445" spans="1:62" s="23" customFormat="1" ht="21" customHeight="1" thickBot="1" x14ac:dyDescent="0.25">
      <c r="A445" s="846" t="str">
        <f>IF($AN445="","",IFERROR(VLOOKUP(CONCATENATE(CTR1_Billing!$E$20,$AN445),'Local Data Previous Year'!$C$3:$D$20000,2,0),CTR1_Billing!$E$21&amp;"NEW"))</f>
        <v/>
      </c>
      <c r="B445" s="846" t="str">
        <f>IF($E445="","",IFERROR(VLOOKUP(CONCATENATE(CTR1_Billing!$E$20,CTR1_Local!$E445),'Local Data Previous Year'!$C$3:$D$20000,2,0),CTR1_Billing!$E$21&amp;"NEW"))</f>
        <v/>
      </c>
      <c r="C445" s="846">
        <v>413</v>
      </c>
      <c r="D445" s="755" t="str" cm="1">
        <f t="array" ref="D445">IF(ISERROR(INDEX('Local Data Previous Year'!$D$3:$D$20000,SMALL(IF(CTR1_Billing!$E$21='Local Data Previous Year'!$A$3:$A$20000,ROW('Local Data Previous Year'!$A$3:$A$20000)-ROW('Local Data Previous Year'!$A$3)+1),ROW(413:413)))),"",INDEX('Local Data Previous Year'!$D$3:$D$20000,SMALL(IF(CTR1_Billing!$E$21='Local Data Previous Year'!$A$3:$A$20000,ROW('Local Data Previous Year'!$A$3:$A$20000)-ROW('Local Data Previous Year'!$A$3)+1),ROW(413:413))))</f>
        <v/>
      </c>
      <c r="E445" s="755" t="str" cm="1">
        <f t="array" ref="E445">IF(ISERROR(INDEX('Local Data Previous Year'!$E$3:$E$20000,SMALL(IF(CTR1_Billing!$E$21='Local Data Previous Year'!$A$3:$A$20000,ROW('Local Data Previous Year'!$A$3:$A$20000)-ROW('Local Data Previous Year'!$A$3)+1),ROW(413:413)))),"",INDEX('Local Data Previous Year'!$E$3:$E$20000,SMALL(IF(CTR1_Billing!$E$21='Local Data Previous Year'!$A$3:$A$20000,ROW('Local Data Previous Year'!$A$3:$A$20000)-ROW('Local Data Previous Year'!$A$3)+1),ROW(413:413))))</f>
        <v/>
      </c>
      <c r="F445" s="756" t="str">
        <f>IF($D445="","",IF(ISNA(MATCH($D445,'Local Data Previous Year'!$D$3:$D$20000,0)),"New",IFERROR(VLOOKUP($B445,'Local Data Previous Year'!$D$3:$I$20000,6,0),"")))</f>
        <v/>
      </c>
      <c r="G445" s="757">
        <f t="shared" si="86"/>
        <v>0</v>
      </c>
      <c r="H445" s="758" t="str">
        <f>IFERROR(INDEX('Local Data Previous Year'!$F:$F, MATCH($D445, 'Local Data Previous Year'!$D:$D, 0)), "")</f>
        <v/>
      </c>
      <c r="I445" s="759">
        <f>IF(B445=CTR1_Billing!$E$21&amp;"NEW",1,0)</f>
        <v>0</v>
      </c>
      <c r="J445" s="760" t="str">
        <f>IFERROR(INDEX('Local Data Previous Year'!$G:$G, MATCH($D445, 'Local Data Previous Year'!$D:$D, 0)), "")</f>
        <v/>
      </c>
      <c r="K445" s="762"/>
      <c r="L445" s="760" t="str">
        <f>IFERROR(INDEX('Local Data Previous Year'!$H:$H, MATCH($D445, 'Local Data Previous Year'!$D:$D, 0)), "")</f>
        <v/>
      </c>
      <c r="M445" s="762"/>
      <c r="N445" s="763"/>
      <c r="O445" s="767"/>
      <c r="P445" s="765"/>
      <c r="Q445" s="767"/>
      <c r="R445" s="766" t="str">
        <f t="shared" si="87"/>
        <v/>
      </c>
      <c r="S445" s="754"/>
      <c r="T445" s="763"/>
      <c r="U445" s="754"/>
      <c r="V445" s="763"/>
      <c r="W445" s="763"/>
      <c r="X445" s="865" t="str">
        <f>VLOOKUP(CTR1_Billing!$E$21,Data!$C$6:$D$302,1,FALSE)</f>
        <v>EZZZZ</v>
      </c>
      <c r="Y445" s="205"/>
      <c r="Z445" s="205">
        <f t="shared" si="76"/>
        <v>0</v>
      </c>
      <c r="AA445" s="206" t="str">
        <f t="shared" si="40"/>
        <v/>
      </c>
      <c r="AB445" s="205">
        <f t="shared" si="77"/>
        <v>0</v>
      </c>
      <c r="AC445" s="208"/>
      <c r="AD445" s="208"/>
      <c r="AE445" s="208"/>
      <c r="AF445" s="208"/>
      <c r="AG445" s="209" t="str">
        <f>IFERROR(INDEX('Local Data Previous Year'!$F:$F, MATCH($D445, 'Local Data Previous Year'!$D:$D, 0)), "")</f>
        <v/>
      </c>
      <c r="AH445" s="209" t="str">
        <f>IFERROR(INDEX('Local Data Previous Year'!$G:$G, MATCH($D445, 'Local Data Previous Year'!$D:$D, 0)), "")</f>
        <v/>
      </c>
      <c r="AI445" s="209" t="str">
        <f>IFERROR(INDEX('Local Data Previous Year'!$H:$H, MATCH($D445, 'Local Data Previous Year'!$D:$D, 0)), "")</f>
        <v/>
      </c>
      <c r="AJ445" s="209" t="str">
        <f t="shared" si="78"/>
        <v/>
      </c>
      <c r="AK445" s="209" t="str">
        <f t="shared" si="79"/>
        <v/>
      </c>
      <c r="AL445" s="209" t="str">
        <f t="shared" si="80"/>
        <v/>
      </c>
      <c r="AM445" s="208" t="str">
        <f>IF($AN445="","",IFERROR(VLOOKUP(CONCATENATE(CTR1_Billing!$E$20,$AN445),'Local Data Previous Year'!$C$3:$D$50000,2,0),CTR1_Billing!$E$21&amp;"NEW"))</f>
        <v/>
      </c>
      <c r="AN445" s="209" t="str" cm="1">
        <f t="array" ref="AN445">IF(ISERROR(INDEX('Local Data Previous Year'!$E$3:$E$50000, SMALL(IF(CTR1_Billing!$E$21='Local Data Previous Year'!$A$3:$A$50000, ROW('Local Data Previous Year'!$A$3:$A$50000)-ROW('Local Data Previous Year'!$A$3)+1), ROW(413:413)))), "", INDEX('Local Data Previous Year'!$E$3:$E$50000, SMALL(IF(CTR1_Billing!$E$21='Local Data Previous Year'!$A$3:$A$50000, ROW('Local Data Previous Year'!$A$3:$A$50000)-ROW('Local Data Previous Year'!$A$3)+1), ROW(413:413))))</f>
        <v/>
      </c>
      <c r="AO445" s="209" t="str">
        <f t="shared" si="81"/>
        <v/>
      </c>
      <c r="AP445" s="208"/>
      <c r="AQ445" s="209" t="str">
        <f t="shared" si="82"/>
        <v/>
      </c>
      <c r="AR445" s="209" t="str">
        <f t="shared" si="83"/>
        <v/>
      </c>
      <c r="AS445" s="202" t="str">
        <f t="shared" si="84"/>
        <v/>
      </c>
      <c r="AT445" s="202" t="str">
        <f t="shared" si="85"/>
        <v/>
      </c>
      <c r="AU445" s="208"/>
      <c r="AV445" s="208"/>
      <c r="AW445" s="208"/>
      <c r="AX445" s="208"/>
      <c r="AY445" s="208"/>
      <c r="AZ445" s="208"/>
      <c r="BA445" s="208"/>
      <c r="BB445" s="208"/>
      <c r="BC445" s="208"/>
      <c r="BD445" s="208"/>
      <c r="BE445" s="208"/>
      <c r="BF445" s="208"/>
      <c r="BG445" s="28"/>
      <c r="BH445" s="28"/>
      <c r="BI445" s="28"/>
      <c r="BJ445" s="28"/>
    </row>
    <row r="446" spans="1:62" s="23" customFormat="1" ht="21" customHeight="1" thickBot="1" x14ac:dyDescent="0.25">
      <c r="A446" s="846" t="str">
        <f>IF($AN446="","",IFERROR(VLOOKUP(CONCATENATE(CTR1_Billing!$E$20,$AN446),'Local Data Previous Year'!$C$3:$D$20000,2,0),CTR1_Billing!$E$21&amp;"NEW"))</f>
        <v/>
      </c>
      <c r="B446" s="846" t="str">
        <f>IF($E446="","",IFERROR(VLOOKUP(CONCATENATE(CTR1_Billing!$E$20,CTR1_Local!$E446),'Local Data Previous Year'!$C$3:$D$20000,2,0),CTR1_Billing!$E$21&amp;"NEW"))</f>
        <v/>
      </c>
      <c r="C446" s="846">
        <v>414</v>
      </c>
      <c r="D446" s="755" t="str" cm="1">
        <f t="array" ref="D446">IF(ISERROR(INDEX('Local Data Previous Year'!$D$3:$D$20000,SMALL(IF(CTR1_Billing!$E$21='Local Data Previous Year'!$A$3:$A$20000,ROW('Local Data Previous Year'!$A$3:$A$20000)-ROW('Local Data Previous Year'!$A$3)+1),ROW(414:414)))),"",INDEX('Local Data Previous Year'!$D$3:$D$20000,SMALL(IF(CTR1_Billing!$E$21='Local Data Previous Year'!$A$3:$A$20000,ROW('Local Data Previous Year'!$A$3:$A$20000)-ROW('Local Data Previous Year'!$A$3)+1),ROW(414:414))))</f>
        <v/>
      </c>
      <c r="E446" s="755" t="str" cm="1">
        <f t="array" ref="E446">IF(ISERROR(INDEX('Local Data Previous Year'!$E$3:$E$20000,SMALL(IF(CTR1_Billing!$E$21='Local Data Previous Year'!$A$3:$A$20000,ROW('Local Data Previous Year'!$A$3:$A$20000)-ROW('Local Data Previous Year'!$A$3)+1),ROW(414:414)))),"",INDEX('Local Data Previous Year'!$E$3:$E$20000,SMALL(IF(CTR1_Billing!$E$21='Local Data Previous Year'!$A$3:$A$20000,ROW('Local Data Previous Year'!$A$3:$A$20000)-ROW('Local Data Previous Year'!$A$3)+1),ROW(414:414))))</f>
        <v/>
      </c>
      <c r="F446" s="756" t="str">
        <f>IF($D446="","",IF(ISNA(MATCH($D446,'Local Data Previous Year'!$D$3:$D$20000,0)),"New",IFERROR(VLOOKUP($B446,'Local Data Previous Year'!$D$3:$I$20000,6,0),"")))</f>
        <v/>
      </c>
      <c r="G446" s="757">
        <f t="shared" si="86"/>
        <v>0</v>
      </c>
      <c r="H446" s="758" t="str">
        <f>IFERROR(INDEX('Local Data Previous Year'!$F:$F, MATCH($D446, 'Local Data Previous Year'!$D:$D, 0)), "")</f>
        <v/>
      </c>
      <c r="I446" s="759">
        <f>IF(B446=CTR1_Billing!$E$21&amp;"NEW",1,0)</f>
        <v>0</v>
      </c>
      <c r="J446" s="760" t="str">
        <f>IFERROR(INDEX('Local Data Previous Year'!$G:$G, MATCH($D446, 'Local Data Previous Year'!$D:$D, 0)), "")</f>
        <v/>
      </c>
      <c r="K446" s="762"/>
      <c r="L446" s="760" t="str">
        <f>IFERROR(INDEX('Local Data Previous Year'!$H:$H, MATCH($D446, 'Local Data Previous Year'!$D:$D, 0)), "")</f>
        <v/>
      </c>
      <c r="M446" s="762"/>
      <c r="N446" s="763"/>
      <c r="O446" s="767"/>
      <c r="P446" s="765"/>
      <c r="Q446" s="767"/>
      <c r="R446" s="766" t="str">
        <f t="shared" si="87"/>
        <v/>
      </c>
      <c r="S446" s="754"/>
      <c r="T446" s="763"/>
      <c r="U446" s="754"/>
      <c r="V446" s="763"/>
      <c r="W446" s="763"/>
      <c r="X446" s="865" t="str">
        <f>VLOOKUP(CTR1_Billing!$E$21,Data!$C$6:$D$302,1,FALSE)</f>
        <v>EZZZZ</v>
      </c>
      <c r="Y446" s="205"/>
      <c r="Z446" s="205">
        <f t="shared" si="76"/>
        <v>0</v>
      </c>
      <c r="AA446" s="206" t="str">
        <f t="shared" si="40"/>
        <v/>
      </c>
      <c r="AB446" s="205">
        <f t="shared" si="77"/>
        <v>0</v>
      </c>
      <c r="AC446" s="208"/>
      <c r="AD446" s="208"/>
      <c r="AE446" s="208"/>
      <c r="AF446" s="208"/>
      <c r="AG446" s="209" t="str">
        <f>IFERROR(INDEX('Local Data Previous Year'!$F:$F, MATCH($D446, 'Local Data Previous Year'!$D:$D, 0)), "")</f>
        <v/>
      </c>
      <c r="AH446" s="209" t="str">
        <f>IFERROR(INDEX('Local Data Previous Year'!$G:$G, MATCH($D446, 'Local Data Previous Year'!$D:$D, 0)), "")</f>
        <v/>
      </c>
      <c r="AI446" s="209" t="str">
        <f>IFERROR(INDEX('Local Data Previous Year'!$H:$H, MATCH($D446, 'Local Data Previous Year'!$D:$D, 0)), "")</f>
        <v/>
      </c>
      <c r="AJ446" s="209" t="str">
        <f t="shared" si="78"/>
        <v/>
      </c>
      <c r="AK446" s="209" t="str">
        <f t="shared" si="79"/>
        <v/>
      </c>
      <c r="AL446" s="209" t="str">
        <f t="shared" si="80"/>
        <v/>
      </c>
      <c r="AM446" s="208" t="str">
        <f>IF($AN446="","",IFERROR(VLOOKUP(CONCATENATE(CTR1_Billing!$E$20,$AN446),'Local Data Previous Year'!$C$3:$D$50000,2,0),CTR1_Billing!$E$21&amp;"NEW"))</f>
        <v/>
      </c>
      <c r="AN446" s="209" t="str" cm="1">
        <f t="array" ref="AN446">IF(ISERROR(INDEX('Local Data Previous Year'!$E$3:$E$50000, SMALL(IF(CTR1_Billing!$E$21='Local Data Previous Year'!$A$3:$A$50000, ROW('Local Data Previous Year'!$A$3:$A$50000)-ROW('Local Data Previous Year'!$A$3)+1), ROW(414:414)))), "", INDEX('Local Data Previous Year'!$E$3:$E$50000, SMALL(IF(CTR1_Billing!$E$21='Local Data Previous Year'!$A$3:$A$50000, ROW('Local Data Previous Year'!$A$3:$A$50000)-ROW('Local Data Previous Year'!$A$3)+1), ROW(414:414))))</f>
        <v/>
      </c>
      <c r="AO446" s="209" t="str">
        <f t="shared" si="81"/>
        <v/>
      </c>
      <c r="AP446" s="208"/>
      <c r="AQ446" s="209" t="str">
        <f t="shared" si="82"/>
        <v/>
      </c>
      <c r="AR446" s="209" t="str">
        <f t="shared" si="83"/>
        <v/>
      </c>
      <c r="AS446" s="202" t="str">
        <f t="shared" si="84"/>
        <v/>
      </c>
      <c r="AT446" s="202" t="str">
        <f t="shared" si="85"/>
        <v/>
      </c>
      <c r="AU446" s="208"/>
      <c r="AV446" s="208"/>
      <c r="AW446" s="208"/>
      <c r="AX446" s="208"/>
      <c r="AY446" s="208"/>
      <c r="AZ446" s="208"/>
      <c r="BA446" s="208"/>
      <c r="BB446" s="208"/>
      <c r="BC446" s="208"/>
      <c r="BD446" s="208"/>
      <c r="BE446" s="208"/>
      <c r="BF446" s="208"/>
      <c r="BG446" s="28"/>
      <c r="BH446" s="28"/>
      <c r="BI446" s="28"/>
      <c r="BJ446" s="28"/>
    </row>
    <row r="447" spans="1:62" s="23" customFormat="1" ht="21" customHeight="1" thickBot="1" x14ac:dyDescent="0.25">
      <c r="A447" s="846" t="str">
        <f>IF($AN447="","",IFERROR(VLOOKUP(CONCATENATE(CTR1_Billing!$E$20,$AN447),'Local Data Previous Year'!$C$3:$D$20000,2,0),CTR1_Billing!$E$21&amp;"NEW"))</f>
        <v/>
      </c>
      <c r="B447" s="846" t="str">
        <f>IF($E447="","",IFERROR(VLOOKUP(CONCATENATE(CTR1_Billing!$E$20,CTR1_Local!$E447),'Local Data Previous Year'!$C$3:$D$20000,2,0),CTR1_Billing!$E$21&amp;"NEW"))</f>
        <v/>
      </c>
      <c r="C447" s="846">
        <v>415</v>
      </c>
      <c r="D447" s="755" t="str" cm="1">
        <f t="array" ref="D447">IF(ISERROR(INDEX('Local Data Previous Year'!$D$3:$D$20000,SMALL(IF(CTR1_Billing!$E$21='Local Data Previous Year'!$A$3:$A$20000,ROW('Local Data Previous Year'!$A$3:$A$20000)-ROW('Local Data Previous Year'!$A$3)+1),ROW(415:415)))),"",INDEX('Local Data Previous Year'!$D$3:$D$20000,SMALL(IF(CTR1_Billing!$E$21='Local Data Previous Year'!$A$3:$A$20000,ROW('Local Data Previous Year'!$A$3:$A$20000)-ROW('Local Data Previous Year'!$A$3)+1),ROW(415:415))))</f>
        <v/>
      </c>
      <c r="E447" s="755" t="str" cm="1">
        <f t="array" ref="E447">IF(ISERROR(INDEX('Local Data Previous Year'!$E$3:$E$20000,SMALL(IF(CTR1_Billing!$E$21='Local Data Previous Year'!$A$3:$A$20000,ROW('Local Data Previous Year'!$A$3:$A$20000)-ROW('Local Data Previous Year'!$A$3)+1),ROW(415:415)))),"",INDEX('Local Data Previous Year'!$E$3:$E$20000,SMALL(IF(CTR1_Billing!$E$21='Local Data Previous Year'!$A$3:$A$20000,ROW('Local Data Previous Year'!$A$3:$A$20000)-ROW('Local Data Previous Year'!$A$3)+1),ROW(415:415))))</f>
        <v/>
      </c>
      <c r="F447" s="756" t="str">
        <f>IF($D447="","",IF(ISNA(MATCH($D447,'Local Data Previous Year'!$D$3:$D$20000,0)),"New",IFERROR(VLOOKUP($B447,'Local Data Previous Year'!$D$3:$I$20000,6,0),"")))</f>
        <v/>
      </c>
      <c r="G447" s="757">
        <f t="shared" si="86"/>
        <v>0</v>
      </c>
      <c r="H447" s="758" t="str">
        <f>IFERROR(INDEX('Local Data Previous Year'!$F:$F, MATCH($D447, 'Local Data Previous Year'!$D:$D, 0)), "")</f>
        <v/>
      </c>
      <c r="I447" s="759">
        <f>IF(B447=CTR1_Billing!$E$21&amp;"NEW",1,0)</f>
        <v>0</v>
      </c>
      <c r="J447" s="760" t="str">
        <f>IFERROR(INDEX('Local Data Previous Year'!$G:$G, MATCH($D447, 'Local Data Previous Year'!$D:$D, 0)), "")</f>
        <v/>
      </c>
      <c r="K447" s="762"/>
      <c r="L447" s="760" t="str">
        <f>IFERROR(INDEX('Local Data Previous Year'!$H:$H, MATCH($D447, 'Local Data Previous Year'!$D:$D, 0)), "")</f>
        <v/>
      </c>
      <c r="M447" s="762"/>
      <c r="N447" s="763"/>
      <c r="O447" s="767"/>
      <c r="P447" s="765"/>
      <c r="Q447" s="767"/>
      <c r="R447" s="766" t="str">
        <f t="shared" si="87"/>
        <v/>
      </c>
      <c r="S447" s="754"/>
      <c r="T447" s="763"/>
      <c r="U447" s="754"/>
      <c r="V447" s="763"/>
      <c r="W447" s="763"/>
      <c r="X447" s="865" t="str">
        <f>VLOOKUP(CTR1_Billing!$E$21,Data!$C$6:$D$302,1,FALSE)</f>
        <v>EZZZZ</v>
      </c>
      <c r="Y447" s="205"/>
      <c r="Z447" s="205">
        <f t="shared" si="76"/>
        <v>0</v>
      </c>
      <c r="AA447" s="206" t="str">
        <f t="shared" si="40"/>
        <v/>
      </c>
      <c r="AB447" s="205">
        <f t="shared" si="77"/>
        <v>0</v>
      </c>
      <c r="AC447" s="208"/>
      <c r="AD447" s="208"/>
      <c r="AE447" s="208"/>
      <c r="AF447" s="208"/>
      <c r="AG447" s="209" t="str">
        <f>IFERROR(INDEX('Local Data Previous Year'!$F:$F, MATCH($D447, 'Local Data Previous Year'!$D:$D, 0)), "")</f>
        <v/>
      </c>
      <c r="AH447" s="209" t="str">
        <f>IFERROR(INDEX('Local Data Previous Year'!$G:$G, MATCH($D447, 'Local Data Previous Year'!$D:$D, 0)), "")</f>
        <v/>
      </c>
      <c r="AI447" s="209" t="str">
        <f>IFERROR(INDEX('Local Data Previous Year'!$H:$H, MATCH($D447, 'Local Data Previous Year'!$D:$D, 0)), "")</f>
        <v/>
      </c>
      <c r="AJ447" s="209" t="str">
        <f t="shared" si="78"/>
        <v/>
      </c>
      <c r="AK447" s="209" t="str">
        <f t="shared" si="79"/>
        <v/>
      </c>
      <c r="AL447" s="209" t="str">
        <f t="shared" si="80"/>
        <v/>
      </c>
      <c r="AM447" s="208" t="str">
        <f>IF($AN447="","",IFERROR(VLOOKUP(CONCATENATE(CTR1_Billing!$E$20,$AN447),'Local Data Previous Year'!$C$3:$D$50000,2,0),CTR1_Billing!$E$21&amp;"NEW"))</f>
        <v/>
      </c>
      <c r="AN447" s="209" t="str" cm="1">
        <f t="array" ref="AN447">IF(ISERROR(INDEX('Local Data Previous Year'!$E$3:$E$50000, SMALL(IF(CTR1_Billing!$E$21='Local Data Previous Year'!$A$3:$A$50000, ROW('Local Data Previous Year'!$A$3:$A$50000)-ROW('Local Data Previous Year'!$A$3)+1), ROW(415:415)))), "", INDEX('Local Data Previous Year'!$E$3:$E$50000, SMALL(IF(CTR1_Billing!$E$21='Local Data Previous Year'!$A$3:$A$50000, ROW('Local Data Previous Year'!$A$3:$A$50000)-ROW('Local Data Previous Year'!$A$3)+1), ROW(415:415))))</f>
        <v/>
      </c>
      <c r="AO447" s="209" t="str">
        <f t="shared" si="81"/>
        <v/>
      </c>
      <c r="AP447" s="208"/>
      <c r="AQ447" s="209" t="str">
        <f t="shared" si="82"/>
        <v/>
      </c>
      <c r="AR447" s="209" t="str">
        <f t="shared" si="83"/>
        <v/>
      </c>
      <c r="AS447" s="202" t="str">
        <f t="shared" si="84"/>
        <v/>
      </c>
      <c r="AT447" s="202" t="str">
        <f t="shared" si="85"/>
        <v/>
      </c>
      <c r="AU447" s="208"/>
      <c r="AV447" s="208"/>
      <c r="AW447" s="208"/>
      <c r="AX447" s="208"/>
      <c r="AY447" s="208"/>
      <c r="AZ447" s="208"/>
      <c r="BA447" s="208"/>
      <c r="BB447" s="208"/>
      <c r="BC447" s="208"/>
      <c r="BD447" s="208"/>
      <c r="BE447" s="208"/>
      <c r="BF447" s="208"/>
      <c r="BG447" s="28"/>
      <c r="BH447" s="28"/>
      <c r="BI447" s="28"/>
      <c r="BJ447" s="28"/>
    </row>
    <row r="448" spans="1:62" s="23" customFormat="1" ht="21" customHeight="1" thickBot="1" x14ac:dyDescent="0.25">
      <c r="A448" s="846" t="str">
        <f>IF($AN448="","",IFERROR(VLOOKUP(CONCATENATE(CTR1_Billing!$E$20,$AN448),'Local Data Previous Year'!$C$3:$D$20000,2,0),CTR1_Billing!$E$21&amp;"NEW"))</f>
        <v/>
      </c>
      <c r="B448" s="846" t="str">
        <f>IF($E448="","",IFERROR(VLOOKUP(CONCATENATE(CTR1_Billing!$E$20,CTR1_Local!$E448),'Local Data Previous Year'!$C$3:$D$20000,2,0),CTR1_Billing!$E$21&amp;"NEW"))</f>
        <v/>
      </c>
      <c r="C448" s="846">
        <v>416</v>
      </c>
      <c r="D448" s="755" t="str" cm="1">
        <f t="array" ref="D448">IF(ISERROR(INDEX('Local Data Previous Year'!$D$3:$D$20000,SMALL(IF(CTR1_Billing!$E$21='Local Data Previous Year'!$A$3:$A$20000,ROW('Local Data Previous Year'!$A$3:$A$20000)-ROW('Local Data Previous Year'!$A$3)+1),ROW(416:416)))),"",INDEX('Local Data Previous Year'!$D$3:$D$20000,SMALL(IF(CTR1_Billing!$E$21='Local Data Previous Year'!$A$3:$A$20000,ROW('Local Data Previous Year'!$A$3:$A$20000)-ROW('Local Data Previous Year'!$A$3)+1),ROW(416:416))))</f>
        <v/>
      </c>
      <c r="E448" s="755" t="str" cm="1">
        <f t="array" ref="E448">IF(ISERROR(INDEX('Local Data Previous Year'!$E$3:$E$20000,SMALL(IF(CTR1_Billing!$E$21='Local Data Previous Year'!$A$3:$A$20000,ROW('Local Data Previous Year'!$A$3:$A$20000)-ROW('Local Data Previous Year'!$A$3)+1),ROW(416:416)))),"",INDEX('Local Data Previous Year'!$E$3:$E$20000,SMALL(IF(CTR1_Billing!$E$21='Local Data Previous Year'!$A$3:$A$20000,ROW('Local Data Previous Year'!$A$3:$A$20000)-ROW('Local Data Previous Year'!$A$3)+1),ROW(416:416))))</f>
        <v/>
      </c>
      <c r="F448" s="756" t="str">
        <f>IF($D448="","",IF(ISNA(MATCH($D448,'Local Data Previous Year'!$D$3:$D$20000,0)),"New",IFERROR(VLOOKUP($B448,'Local Data Previous Year'!$D$3:$I$20000,6,0),"")))</f>
        <v/>
      </c>
      <c r="G448" s="757">
        <f t="shared" si="86"/>
        <v>0</v>
      </c>
      <c r="H448" s="758" t="str">
        <f>IFERROR(INDEX('Local Data Previous Year'!$F:$F, MATCH($D448, 'Local Data Previous Year'!$D:$D, 0)), "")</f>
        <v/>
      </c>
      <c r="I448" s="759">
        <f>IF(B448=CTR1_Billing!$E$21&amp;"NEW",1,0)</f>
        <v>0</v>
      </c>
      <c r="J448" s="760" t="str">
        <f>IFERROR(INDEX('Local Data Previous Year'!$G:$G, MATCH($D448, 'Local Data Previous Year'!$D:$D, 0)), "")</f>
        <v/>
      </c>
      <c r="K448" s="762"/>
      <c r="L448" s="760" t="str">
        <f>IFERROR(INDEX('Local Data Previous Year'!$H:$H, MATCH($D448, 'Local Data Previous Year'!$D:$D, 0)), "")</f>
        <v/>
      </c>
      <c r="M448" s="762"/>
      <c r="N448" s="763"/>
      <c r="O448" s="767"/>
      <c r="P448" s="765"/>
      <c r="Q448" s="767"/>
      <c r="R448" s="766" t="str">
        <f t="shared" si="87"/>
        <v/>
      </c>
      <c r="S448" s="754"/>
      <c r="T448" s="763"/>
      <c r="U448" s="754"/>
      <c r="V448" s="763"/>
      <c r="W448" s="763"/>
      <c r="X448" s="865" t="str">
        <f>VLOOKUP(CTR1_Billing!$E$21,Data!$C$6:$D$302,1,FALSE)</f>
        <v>EZZZZ</v>
      </c>
      <c r="Y448" s="205"/>
      <c r="Z448" s="205">
        <f t="shared" si="76"/>
        <v>0</v>
      </c>
      <c r="AA448" s="206" t="str">
        <f t="shared" si="40"/>
        <v/>
      </c>
      <c r="AB448" s="205">
        <f t="shared" si="77"/>
        <v>0</v>
      </c>
      <c r="AC448" s="208"/>
      <c r="AD448" s="208"/>
      <c r="AE448" s="208"/>
      <c r="AF448" s="208"/>
      <c r="AG448" s="209" t="str">
        <f>IFERROR(INDEX('Local Data Previous Year'!$F:$F, MATCH($D448, 'Local Data Previous Year'!$D:$D, 0)), "")</f>
        <v/>
      </c>
      <c r="AH448" s="209" t="str">
        <f>IFERROR(INDEX('Local Data Previous Year'!$G:$G, MATCH($D448, 'Local Data Previous Year'!$D:$D, 0)), "")</f>
        <v/>
      </c>
      <c r="AI448" s="209" t="str">
        <f>IFERROR(INDEX('Local Data Previous Year'!$H:$H, MATCH($D448, 'Local Data Previous Year'!$D:$D, 0)), "")</f>
        <v/>
      </c>
      <c r="AJ448" s="209" t="str">
        <f t="shared" si="78"/>
        <v/>
      </c>
      <c r="AK448" s="209" t="str">
        <f t="shared" si="79"/>
        <v/>
      </c>
      <c r="AL448" s="209" t="str">
        <f t="shared" si="80"/>
        <v/>
      </c>
      <c r="AM448" s="208" t="str">
        <f>IF($AN448="","",IFERROR(VLOOKUP(CONCATENATE(CTR1_Billing!$E$20,$AN448),'Local Data Previous Year'!$C$3:$D$50000,2,0),CTR1_Billing!$E$21&amp;"NEW"))</f>
        <v/>
      </c>
      <c r="AN448" s="209" t="str" cm="1">
        <f t="array" ref="AN448">IF(ISERROR(INDEX('Local Data Previous Year'!$E$3:$E$50000, SMALL(IF(CTR1_Billing!$E$21='Local Data Previous Year'!$A$3:$A$50000, ROW('Local Data Previous Year'!$A$3:$A$50000)-ROW('Local Data Previous Year'!$A$3)+1), ROW(416:416)))), "", INDEX('Local Data Previous Year'!$E$3:$E$50000, SMALL(IF(CTR1_Billing!$E$21='Local Data Previous Year'!$A$3:$A$50000, ROW('Local Data Previous Year'!$A$3:$A$50000)-ROW('Local Data Previous Year'!$A$3)+1), ROW(416:416))))</f>
        <v/>
      </c>
      <c r="AO448" s="209" t="str">
        <f t="shared" si="81"/>
        <v/>
      </c>
      <c r="AP448" s="208"/>
      <c r="AQ448" s="209" t="str">
        <f t="shared" si="82"/>
        <v/>
      </c>
      <c r="AR448" s="209" t="str">
        <f t="shared" si="83"/>
        <v/>
      </c>
      <c r="AS448" s="202" t="str">
        <f t="shared" si="84"/>
        <v/>
      </c>
      <c r="AT448" s="202" t="str">
        <f t="shared" si="85"/>
        <v/>
      </c>
      <c r="AU448" s="208"/>
      <c r="AV448" s="208"/>
      <c r="AW448" s="208"/>
      <c r="AX448" s="208"/>
      <c r="AY448" s="208"/>
      <c r="AZ448" s="208"/>
      <c r="BA448" s="208"/>
      <c r="BB448" s="208"/>
      <c r="BC448" s="208"/>
      <c r="BD448" s="208"/>
      <c r="BE448" s="208"/>
      <c r="BF448" s="208"/>
      <c r="BG448" s="28"/>
      <c r="BH448" s="28"/>
      <c r="BI448" s="28"/>
      <c r="BJ448" s="28"/>
    </row>
    <row r="449" spans="1:62" s="23" customFormat="1" ht="21" customHeight="1" thickBot="1" x14ac:dyDescent="0.25">
      <c r="A449" s="846" t="str">
        <f>IF($AN449="","",IFERROR(VLOOKUP(CONCATENATE(CTR1_Billing!$E$20,$AN449),'Local Data Previous Year'!$C$3:$D$20000,2,0),CTR1_Billing!$E$21&amp;"NEW"))</f>
        <v/>
      </c>
      <c r="B449" s="846" t="str">
        <f>IF($E449="","",IFERROR(VLOOKUP(CONCATENATE(CTR1_Billing!$E$20,CTR1_Local!$E449),'Local Data Previous Year'!$C$3:$D$20000,2,0),CTR1_Billing!$E$21&amp;"NEW"))</f>
        <v/>
      </c>
      <c r="C449" s="846">
        <v>417</v>
      </c>
      <c r="D449" s="755" t="str" cm="1">
        <f t="array" ref="D449">IF(ISERROR(INDEX('Local Data Previous Year'!$D$3:$D$20000,SMALL(IF(CTR1_Billing!$E$21='Local Data Previous Year'!$A$3:$A$20000,ROW('Local Data Previous Year'!$A$3:$A$20000)-ROW('Local Data Previous Year'!$A$3)+1),ROW(417:417)))),"",INDEX('Local Data Previous Year'!$D$3:$D$20000,SMALL(IF(CTR1_Billing!$E$21='Local Data Previous Year'!$A$3:$A$20000,ROW('Local Data Previous Year'!$A$3:$A$20000)-ROW('Local Data Previous Year'!$A$3)+1),ROW(417:417))))</f>
        <v/>
      </c>
      <c r="E449" s="755" t="str" cm="1">
        <f t="array" ref="E449">IF(ISERROR(INDEX('Local Data Previous Year'!$E$3:$E$20000,SMALL(IF(CTR1_Billing!$E$21='Local Data Previous Year'!$A$3:$A$20000,ROW('Local Data Previous Year'!$A$3:$A$20000)-ROW('Local Data Previous Year'!$A$3)+1),ROW(417:417)))),"",INDEX('Local Data Previous Year'!$E$3:$E$20000,SMALL(IF(CTR1_Billing!$E$21='Local Data Previous Year'!$A$3:$A$20000,ROW('Local Data Previous Year'!$A$3:$A$20000)-ROW('Local Data Previous Year'!$A$3)+1),ROW(417:417))))</f>
        <v/>
      </c>
      <c r="F449" s="756" t="str">
        <f>IF($D449="","",IF(ISNA(MATCH($D449,'Local Data Previous Year'!$D$3:$D$20000,0)),"New",IFERROR(VLOOKUP($B449,'Local Data Previous Year'!$D$3:$I$20000,6,0),"")))</f>
        <v/>
      </c>
      <c r="G449" s="757">
        <f t="shared" si="86"/>
        <v>0</v>
      </c>
      <c r="H449" s="758" t="str">
        <f>IFERROR(INDEX('Local Data Previous Year'!$F:$F, MATCH($D449, 'Local Data Previous Year'!$D:$D, 0)), "")</f>
        <v/>
      </c>
      <c r="I449" s="759">
        <f>IF(B449=CTR1_Billing!$E$21&amp;"NEW",1,0)</f>
        <v>0</v>
      </c>
      <c r="J449" s="760" t="str">
        <f>IFERROR(INDEX('Local Data Previous Year'!$G:$G, MATCH($D449, 'Local Data Previous Year'!$D:$D, 0)), "")</f>
        <v/>
      </c>
      <c r="K449" s="762"/>
      <c r="L449" s="760" t="str">
        <f>IFERROR(INDEX('Local Data Previous Year'!$H:$H, MATCH($D449, 'Local Data Previous Year'!$D:$D, 0)), "")</f>
        <v/>
      </c>
      <c r="M449" s="762"/>
      <c r="N449" s="763"/>
      <c r="O449" s="767"/>
      <c r="P449" s="765"/>
      <c r="Q449" s="767"/>
      <c r="R449" s="766" t="str">
        <f t="shared" si="87"/>
        <v/>
      </c>
      <c r="S449" s="754"/>
      <c r="T449" s="763"/>
      <c r="U449" s="754"/>
      <c r="V449" s="763"/>
      <c r="W449" s="763"/>
      <c r="X449" s="865" t="str">
        <f>VLOOKUP(CTR1_Billing!$E$21,Data!$C$6:$D$302,1,FALSE)</f>
        <v>EZZZZ</v>
      </c>
      <c r="Y449" s="205"/>
      <c r="Z449" s="205">
        <f t="shared" si="76"/>
        <v>0</v>
      </c>
      <c r="AA449" s="206" t="str">
        <f t="shared" si="40"/>
        <v/>
      </c>
      <c r="AB449" s="205">
        <f t="shared" si="77"/>
        <v>0</v>
      </c>
      <c r="AC449" s="208"/>
      <c r="AD449" s="208"/>
      <c r="AE449" s="208"/>
      <c r="AF449" s="208"/>
      <c r="AG449" s="209" t="str">
        <f>IFERROR(INDEX('Local Data Previous Year'!$F:$F, MATCH($D449, 'Local Data Previous Year'!$D:$D, 0)), "")</f>
        <v/>
      </c>
      <c r="AH449" s="209" t="str">
        <f>IFERROR(INDEX('Local Data Previous Year'!$G:$G, MATCH($D449, 'Local Data Previous Year'!$D:$D, 0)), "")</f>
        <v/>
      </c>
      <c r="AI449" s="209" t="str">
        <f>IFERROR(INDEX('Local Data Previous Year'!$H:$H, MATCH($D449, 'Local Data Previous Year'!$D:$D, 0)), "")</f>
        <v/>
      </c>
      <c r="AJ449" s="209" t="str">
        <f t="shared" si="78"/>
        <v/>
      </c>
      <c r="AK449" s="209" t="str">
        <f t="shared" si="79"/>
        <v/>
      </c>
      <c r="AL449" s="209" t="str">
        <f t="shared" si="80"/>
        <v/>
      </c>
      <c r="AM449" s="208" t="str">
        <f>IF($AN449="","",IFERROR(VLOOKUP(CONCATENATE(CTR1_Billing!$E$20,$AN449),'Local Data Previous Year'!$C$3:$D$50000,2,0),CTR1_Billing!$E$21&amp;"NEW"))</f>
        <v/>
      </c>
      <c r="AN449" s="209" t="str" cm="1">
        <f t="array" ref="AN449">IF(ISERROR(INDEX('Local Data Previous Year'!$E$3:$E$50000, SMALL(IF(CTR1_Billing!$E$21='Local Data Previous Year'!$A$3:$A$50000, ROW('Local Data Previous Year'!$A$3:$A$50000)-ROW('Local Data Previous Year'!$A$3)+1), ROW(417:417)))), "", INDEX('Local Data Previous Year'!$E$3:$E$50000, SMALL(IF(CTR1_Billing!$E$21='Local Data Previous Year'!$A$3:$A$50000, ROW('Local Data Previous Year'!$A$3:$A$50000)-ROW('Local Data Previous Year'!$A$3)+1), ROW(417:417))))</f>
        <v/>
      </c>
      <c r="AO449" s="209" t="str">
        <f t="shared" si="81"/>
        <v/>
      </c>
      <c r="AP449" s="208"/>
      <c r="AQ449" s="209" t="str">
        <f t="shared" si="82"/>
        <v/>
      </c>
      <c r="AR449" s="209" t="str">
        <f t="shared" si="83"/>
        <v/>
      </c>
      <c r="AS449" s="202" t="str">
        <f t="shared" si="84"/>
        <v/>
      </c>
      <c r="AT449" s="202" t="str">
        <f t="shared" si="85"/>
        <v/>
      </c>
      <c r="AU449" s="208"/>
      <c r="AV449" s="208"/>
      <c r="AW449" s="208"/>
      <c r="AX449" s="208"/>
      <c r="AY449" s="208"/>
      <c r="AZ449" s="208"/>
      <c r="BA449" s="208"/>
      <c r="BB449" s="208"/>
      <c r="BC449" s="208"/>
      <c r="BD449" s="208"/>
      <c r="BE449" s="208"/>
      <c r="BF449" s="208"/>
      <c r="BG449" s="28"/>
      <c r="BH449" s="28"/>
      <c r="BI449" s="28"/>
      <c r="BJ449" s="28"/>
    </row>
    <row r="450" spans="1:62" s="23" customFormat="1" ht="21" customHeight="1" thickBot="1" x14ac:dyDescent="0.25">
      <c r="A450" s="846" t="str">
        <f>IF($AN450="","",IFERROR(VLOOKUP(CONCATENATE(CTR1_Billing!$E$20,$AN450),'Local Data Previous Year'!$C$3:$D$20000,2,0),CTR1_Billing!$E$21&amp;"NEW"))</f>
        <v/>
      </c>
      <c r="B450" s="846" t="str">
        <f>IF($E450="","",IFERROR(VLOOKUP(CONCATENATE(CTR1_Billing!$E$20,CTR1_Local!$E450),'Local Data Previous Year'!$C$3:$D$20000,2,0),CTR1_Billing!$E$21&amp;"NEW"))</f>
        <v/>
      </c>
      <c r="C450" s="846">
        <v>418</v>
      </c>
      <c r="D450" s="755" t="str" cm="1">
        <f t="array" ref="D450">IF(ISERROR(INDEX('Local Data Previous Year'!$D$3:$D$20000,SMALL(IF(CTR1_Billing!$E$21='Local Data Previous Year'!$A$3:$A$20000,ROW('Local Data Previous Year'!$A$3:$A$20000)-ROW('Local Data Previous Year'!$A$3)+1),ROW(418:418)))),"",INDEX('Local Data Previous Year'!$D$3:$D$20000,SMALL(IF(CTR1_Billing!$E$21='Local Data Previous Year'!$A$3:$A$20000,ROW('Local Data Previous Year'!$A$3:$A$20000)-ROW('Local Data Previous Year'!$A$3)+1),ROW(418:418))))</f>
        <v/>
      </c>
      <c r="E450" s="755" t="str" cm="1">
        <f t="array" ref="E450">IF(ISERROR(INDEX('Local Data Previous Year'!$E$3:$E$20000,SMALL(IF(CTR1_Billing!$E$21='Local Data Previous Year'!$A$3:$A$20000,ROW('Local Data Previous Year'!$A$3:$A$20000)-ROW('Local Data Previous Year'!$A$3)+1),ROW(418:418)))),"",INDEX('Local Data Previous Year'!$E$3:$E$20000,SMALL(IF(CTR1_Billing!$E$21='Local Data Previous Year'!$A$3:$A$20000,ROW('Local Data Previous Year'!$A$3:$A$20000)-ROW('Local Data Previous Year'!$A$3)+1),ROW(418:418))))</f>
        <v/>
      </c>
      <c r="F450" s="756" t="str">
        <f>IF($D450="","",IF(ISNA(MATCH($D450,'Local Data Previous Year'!$D$3:$D$20000,0)),"New",IFERROR(VLOOKUP($B450,'Local Data Previous Year'!$D$3:$I$20000,6,0),"")))</f>
        <v/>
      </c>
      <c r="G450" s="757">
        <f t="shared" si="86"/>
        <v>0</v>
      </c>
      <c r="H450" s="758" t="str">
        <f>IFERROR(INDEX('Local Data Previous Year'!$F:$F, MATCH($D450, 'Local Data Previous Year'!$D:$D, 0)), "")</f>
        <v/>
      </c>
      <c r="I450" s="759">
        <f>IF(B450=CTR1_Billing!$E$21&amp;"NEW",1,0)</f>
        <v>0</v>
      </c>
      <c r="J450" s="760" t="str">
        <f>IFERROR(INDEX('Local Data Previous Year'!$G:$G, MATCH($D450, 'Local Data Previous Year'!$D:$D, 0)), "")</f>
        <v/>
      </c>
      <c r="K450" s="762"/>
      <c r="L450" s="760" t="str">
        <f>IFERROR(INDEX('Local Data Previous Year'!$H:$H, MATCH($D450, 'Local Data Previous Year'!$D:$D, 0)), "")</f>
        <v/>
      </c>
      <c r="M450" s="762"/>
      <c r="N450" s="763"/>
      <c r="O450" s="767"/>
      <c r="P450" s="765"/>
      <c r="Q450" s="767"/>
      <c r="R450" s="766" t="str">
        <f t="shared" si="87"/>
        <v/>
      </c>
      <c r="S450" s="754"/>
      <c r="T450" s="763"/>
      <c r="U450" s="754"/>
      <c r="V450" s="763"/>
      <c r="W450" s="763"/>
      <c r="X450" s="865" t="str">
        <f>VLOOKUP(CTR1_Billing!$E$21,Data!$C$6:$D$302,1,FALSE)</f>
        <v>EZZZZ</v>
      </c>
      <c r="Y450" s="205"/>
      <c r="Z450" s="205">
        <f t="shared" si="76"/>
        <v>0</v>
      </c>
      <c r="AA450" s="206" t="str">
        <f t="shared" si="40"/>
        <v/>
      </c>
      <c r="AB450" s="205">
        <f t="shared" si="77"/>
        <v>0</v>
      </c>
      <c r="AC450" s="208"/>
      <c r="AD450" s="208"/>
      <c r="AE450" s="208"/>
      <c r="AF450" s="208"/>
      <c r="AG450" s="209" t="str">
        <f>IFERROR(INDEX('Local Data Previous Year'!$F:$F, MATCH($D450, 'Local Data Previous Year'!$D:$D, 0)), "")</f>
        <v/>
      </c>
      <c r="AH450" s="209" t="str">
        <f>IFERROR(INDEX('Local Data Previous Year'!$G:$G, MATCH($D450, 'Local Data Previous Year'!$D:$D, 0)), "")</f>
        <v/>
      </c>
      <c r="AI450" s="209" t="str">
        <f>IFERROR(INDEX('Local Data Previous Year'!$H:$H, MATCH($D450, 'Local Data Previous Year'!$D:$D, 0)), "")</f>
        <v/>
      </c>
      <c r="AJ450" s="209" t="str">
        <f t="shared" si="78"/>
        <v/>
      </c>
      <c r="AK450" s="209" t="str">
        <f t="shared" si="79"/>
        <v/>
      </c>
      <c r="AL450" s="209" t="str">
        <f t="shared" si="80"/>
        <v/>
      </c>
      <c r="AM450" s="208" t="str">
        <f>IF($AN450="","",IFERROR(VLOOKUP(CONCATENATE(CTR1_Billing!$E$20,$AN450),'Local Data Previous Year'!$C$3:$D$50000,2,0),CTR1_Billing!$E$21&amp;"NEW"))</f>
        <v/>
      </c>
      <c r="AN450" s="209" t="str" cm="1">
        <f t="array" ref="AN450">IF(ISERROR(INDEX('Local Data Previous Year'!$E$3:$E$50000, SMALL(IF(CTR1_Billing!$E$21='Local Data Previous Year'!$A$3:$A$50000, ROW('Local Data Previous Year'!$A$3:$A$50000)-ROW('Local Data Previous Year'!$A$3)+1), ROW(418:418)))), "", INDEX('Local Data Previous Year'!$E$3:$E$50000, SMALL(IF(CTR1_Billing!$E$21='Local Data Previous Year'!$A$3:$A$50000, ROW('Local Data Previous Year'!$A$3:$A$50000)-ROW('Local Data Previous Year'!$A$3)+1), ROW(418:418))))</f>
        <v/>
      </c>
      <c r="AO450" s="209" t="str">
        <f t="shared" si="81"/>
        <v/>
      </c>
      <c r="AP450" s="208"/>
      <c r="AQ450" s="209" t="str">
        <f t="shared" si="82"/>
        <v/>
      </c>
      <c r="AR450" s="209" t="str">
        <f t="shared" si="83"/>
        <v/>
      </c>
      <c r="AS450" s="202" t="str">
        <f t="shared" si="84"/>
        <v/>
      </c>
      <c r="AT450" s="202" t="str">
        <f t="shared" si="85"/>
        <v/>
      </c>
      <c r="AU450" s="208"/>
      <c r="AV450" s="208"/>
      <c r="AW450" s="208"/>
      <c r="AX450" s="208"/>
      <c r="AY450" s="208"/>
      <c r="AZ450" s="208"/>
      <c r="BA450" s="208"/>
      <c r="BB450" s="208"/>
      <c r="BC450" s="208"/>
      <c r="BD450" s="208"/>
      <c r="BE450" s="208"/>
      <c r="BF450" s="208"/>
      <c r="BG450" s="28"/>
      <c r="BH450" s="28"/>
      <c r="BI450" s="28"/>
      <c r="BJ450" s="28"/>
    </row>
    <row r="451" spans="1:62" s="23" customFormat="1" ht="21" customHeight="1" thickBot="1" x14ac:dyDescent="0.25">
      <c r="A451" s="846" t="str">
        <f>IF($AN451="","",IFERROR(VLOOKUP(CONCATENATE(CTR1_Billing!$E$20,$AN451),'Local Data Previous Year'!$C$3:$D$20000,2,0),CTR1_Billing!$E$21&amp;"NEW"))</f>
        <v/>
      </c>
      <c r="B451" s="846" t="str">
        <f>IF($E451="","",IFERROR(VLOOKUP(CONCATENATE(CTR1_Billing!$E$20,CTR1_Local!$E451),'Local Data Previous Year'!$C$3:$D$20000,2,0),CTR1_Billing!$E$21&amp;"NEW"))</f>
        <v/>
      </c>
      <c r="C451" s="846">
        <v>419</v>
      </c>
      <c r="D451" s="755" t="str" cm="1">
        <f t="array" ref="D451">IF(ISERROR(INDEX('Local Data Previous Year'!$D$3:$D$20000,SMALL(IF(CTR1_Billing!$E$21='Local Data Previous Year'!$A$3:$A$20000,ROW('Local Data Previous Year'!$A$3:$A$20000)-ROW('Local Data Previous Year'!$A$3)+1),ROW(419:419)))),"",INDEX('Local Data Previous Year'!$D$3:$D$20000,SMALL(IF(CTR1_Billing!$E$21='Local Data Previous Year'!$A$3:$A$20000,ROW('Local Data Previous Year'!$A$3:$A$20000)-ROW('Local Data Previous Year'!$A$3)+1),ROW(419:419))))</f>
        <v/>
      </c>
      <c r="E451" s="755" t="str" cm="1">
        <f t="array" ref="E451">IF(ISERROR(INDEX('Local Data Previous Year'!$E$3:$E$20000,SMALL(IF(CTR1_Billing!$E$21='Local Data Previous Year'!$A$3:$A$20000,ROW('Local Data Previous Year'!$A$3:$A$20000)-ROW('Local Data Previous Year'!$A$3)+1),ROW(419:419)))),"",INDEX('Local Data Previous Year'!$E$3:$E$20000,SMALL(IF(CTR1_Billing!$E$21='Local Data Previous Year'!$A$3:$A$20000,ROW('Local Data Previous Year'!$A$3:$A$20000)-ROW('Local Data Previous Year'!$A$3)+1),ROW(419:419))))</f>
        <v/>
      </c>
      <c r="F451" s="756" t="str">
        <f>IF($D451="","",IF(ISNA(MATCH($D451,'Local Data Previous Year'!$D$3:$D$20000,0)),"New",IFERROR(VLOOKUP($B451,'Local Data Previous Year'!$D$3:$I$20000,6,0),"")))</f>
        <v/>
      </c>
      <c r="G451" s="757">
        <f t="shared" si="86"/>
        <v>0</v>
      </c>
      <c r="H451" s="758" t="str">
        <f>IFERROR(INDEX('Local Data Previous Year'!$F:$F, MATCH($D451, 'Local Data Previous Year'!$D:$D, 0)), "")</f>
        <v/>
      </c>
      <c r="I451" s="759">
        <f>IF(B451=CTR1_Billing!$E$21&amp;"NEW",1,0)</f>
        <v>0</v>
      </c>
      <c r="J451" s="760" t="str">
        <f>IFERROR(INDEX('Local Data Previous Year'!$G:$G, MATCH($D451, 'Local Data Previous Year'!$D:$D, 0)), "")</f>
        <v/>
      </c>
      <c r="K451" s="762"/>
      <c r="L451" s="760" t="str">
        <f>IFERROR(INDEX('Local Data Previous Year'!$H:$H, MATCH($D451, 'Local Data Previous Year'!$D:$D, 0)), "")</f>
        <v/>
      </c>
      <c r="M451" s="762"/>
      <c r="N451" s="763"/>
      <c r="O451" s="767"/>
      <c r="P451" s="765"/>
      <c r="Q451" s="767"/>
      <c r="R451" s="766" t="str">
        <f t="shared" si="87"/>
        <v/>
      </c>
      <c r="S451" s="754"/>
      <c r="T451" s="763"/>
      <c r="U451" s="754"/>
      <c r="V451" s="763"/>
      <c r="W451" s="763"/>
      <c r="X451" s="865" t="str">
        <f>VLOOKUP(CTR1_Billing!$E$21,Data!$C$6:$D$302,1,FALSE)</f>
        <v>EZZZZ</v>
      </c>
      <c r="Y451" s="205"/>
      <c r="Z451" s="205">
        <f t="shared" si="76"/>
        <v>0</v>
      </c>
      <c r="AA451" s="206" t="str">
        <f t="shared" si="40"/>
        <v/>
      </c>
      <c r="AB451" s="205">
        <f t="shared" si="77"/>
        <v>0</v>
      </c>
      <c r="AC451" s="208"/>
      <c r="AD451" s="208"/>
      <c r="AE451" s="208"/>
      <c r="AF451" s="208"/>
      <c r="AG451" s="209" t="str">
        <f>IFERROR(INDEX('Local Data Previous Year'!$F:$F, MATCH($D451, 'Local Data Previous Year'!$D:$D, 0)), "")</f>
        <v/>
      </c>
      <c r="AH451" s="209" t="str">
        <f>IFERROR(INDEX('Local Data Previous Year'!$G:$G, MATCH($D451, 'Local Data Previous Year'!$D:$D, 0)), "")</f>
        <v/>
      </c>
      <c r="AI451" s="209" t="str">
        <f>IFERROR(INDEX('Local Data Previous Year'!$H:$H, MATCH($D451, 'Local Data Previous Year'!$D:$D, 0)), "")</f>
        <v/>
      </c>
      <c r="AJ451" s="209" t="str">
        <f t="shared" si="78"/>
        <v/>
      </c>
      <c r="AK451" s="209" t="str">
        <f t="shared" si="79"/>
        <v/>
      </c>
      <c r="AL451" s="209" t="str">
        <f t="shared" si="80"/>
        <v/>
      </c>
      <c r="AM451" s="208" t="str">
        <f>IF($AN451="","",IFERROR(VLOOKUP(CONCATENATE(CTR1_Billing!$E$20,$AN451),'Local Data Previous Year'!$C$3:$D$50000,2,0),CTR1_Billing!$E$21&amp;"NEW"))</f>
        <v/>
      </c>
      <c r="AN451" s="209" t="str" cm="1">
        <f t="array" ref="AN451">IF(ISERROR(INDEX('Local Data Previous Year'!$E$3:$E$50000, SMALL(IF(CTR1_Billing!$E$21='Local Data Previous Year'!$A$3:$A$50000, ROW('Local Data Previous Year'!$A$3:$A$50000)-ROW('Local Data Previous Year'!$A$3)+1), ROW(419:419)))), "", INDEX('Local Data Previous Year'!$E$3:$E$50000, SMALL(IF(CTR1_Billing!$E$21='Local Data Previous Year'!$A$3:$A$50000, ROW('Local Data Previous Year'!$A$3:$A$50000)-ROW('Local Data Previous Year'!$A$3)+1), ROW(419:419))))</f>
        <v/>
      </c>
      <c r="AO451" s="209" t="str">
        <f t="shared" si="81"/>
        <v/>
      </c>
      <c r="AP451" s="208"/>
      <c r="AQ451" s="209" t="str">
        <f t="shared" si="82"/>
        <v/>
      </c>
      <c r="AR451" s="209" t="str">
        <f t="shared" si="83"/>
        <v/>
      </c>
      <c r="AS451" s="202" t="str">
        <f t="shared" si="84"/>
        <v/>
      </c>
      <c r="AT451" s="202" t="str">
        <f t="shared" si="85"/>
        <v/>
      </c>
      <c r="AU451" s="208"/>
      <c r="AV451" s="208"/>
      <c r="AW451" s="208"/>
      <c r="AX451" s="208"/>
      <c r="AY451" s="208"/>
      <c r="AZ451" s="208"/>
      <c r="BA451" s="208"/>
      <c r="BB451" s="208"/>
      <c r="BC451" s="208"/>
      <c r="BD451" s="208"/>
      <c r="BE451" s="208"/>
      <c r="BF451" s="208"/>
      <c r="BG451" s="28"/>
      <c r="BH451" s="28"/>
      <c r="BI451" s="28"/>
      <c r="BJ451" s="28"/>
    </row>
    <row r="452" spans="1:62" s="23" customFormat="1" ht="21" customHeight="1" thickBot="1" x14ac:dyDescent="0.25">
      <c r="A452" s="846" t="str">
        <f>IF($AN452="","",IFERROR(VLOOKUP(CONCATENATE(CTR1_Billing!$E$20,$AN452),'Local Data Previous Year'!$C$3:$D$20000,2,0),CTR1_Billing!$E$21&amp;"NEW"))</f>
        <v/>
      </c>
      <c r="B452" s="846" t="str">
        <f>IF($E452="","",IFERROR(VLOOKUP(CONCATENATE(CTR1_Billing!$E$20,CTR1_Local!$E452),'Local Data Previous Year'!$C$3:$D$20000,2,0),CTR1_Billing!$E$21&amp;"NEW"))</f>
        <v/>
      </c>
      <c r="C452" s="846">
        <v>420</v>
      </c>
      <c r="D452" s="755" t="str" cm="1">
        <f t="array" ref="D452">IF(ISERROR(INDEX('Local Data Previous Year'!$D$3:$D$20000,SMALL(IF(CTR1_Billing!$E$21='Local Data Previous Year'!$A$3:$A$20000,ROW('Local Data Previous Year'!$A$3:$A$20000)-ROW('Local Data Previous Year'!$A$3)+1),ROW(420:420)))),"",INDEX('Local Data Previous Year'!$D$3:$D$20000,SMALL(IF(CTR1_Billing!$E$21='Local Data Previous Year'!$A$3:$A$20000,ROW('Local Data Previous Year'!$A$3:$A$20000)-ROW('Local Data Previous Year'!$A$3)+1),ROW(420:420))))</f>
        <v/>
      </c>
      <c r="E452" s="755" t="str" cm="1">
        <f t="array" ref="E452">IF(ISERROR(INDEX('Local Data Previous Year'!$E$3:$E$20000,SMALL(IF(CTR1_Billing!$E$21='Local Data Previous Year'!$A$3:$A$20000,ROW('Local Data Previous Year'!$A$3:$A$20000)-ROW('Local Data Previous Year'!$A$3)+1),ROW(420:420)))),"",INDEX('Local Data Previous Year'!$E$3:$E$20000,SMALL(IF(CTR1_Billing!$E$21='Local Data Previous Year'!$A$3:$A$20000,ROW('Local Data Previous Year'!$A$3:$A$20000)-ROW('Local Data Previous Year'!$A$3)+1),ROW(420:420))))</f>
        <v/>
      </c>
      <c r="F452" s="756" t="str">
        <f>IF($D452="","",IF(ISNA(MATCH($D452,'Local Data Previous Year'!$D$3:$D$20000,0)),"New",IFERROR(VLOOKUP($B452,'Local Data Previous Year'!$D$3:$I$20000,6,0),"")))</f>
        <v/>
      </c>
      <c r="G452" s="757">
        <f t="shared" si="86"/>
        <v>0</v>
      </c>
      <c r="H452" s="758" t="str">
        <f>IFERROR(INDEX('Local Data Previous Year'!$F:$F, MATCH($D452, 'Local Data Previous Year'!$D:$D, 0)), "")</f>
        <v/>
      </c>
      <c r="I452" s="759">
        <f>IF(B452=CTR1_Billing!$E$21&amp;"NEW",1,0)</f>
        <v>0</v>
      </c>
      <c r="J452" s="760" t="str">
        <f>IFERROR(INDEX('Local Data Previous Year'!$G:$G, MATCH($D452, 'Local Data Previous Year'!$D:$D, 0)), "")</f>
        <v/>
      </c>
      <c r="K452" s="762"/>
      <c r="L452" s="760" t="str">
        <f>IFERROR(INDEX('Local Data Previous Year'!$H:$H, MATCH($D452, 'Local Data Previous Year'!$D:$D, 0)), "")</f>
        <v/>
      </c>
      <c r="M452" s="762"/>
      <c r="N452" s="763"/>
      <c r="O452" s="767"/>
      <c r="P452" s="765"/>
      <c r="Q452" s="767"/>
      <c r="R452" s="766" t="str">
        <f t="shared" si="87"/>
        <v/>
      </c>
      <c r="S452" s="754"/>
      <c r="T452" s="763"/>
      <c r="U452" s="754"/>
      <c r="V452" s="763"/>
      <c r="W452" s="763"/>
      <c r="X452" s="865" t="str">
        <f>VLOOKUP(CTR1_Billing!$E$21,Data!$C$6:$D$302,1,FALSE)</f>
        <v>EZZZZ</v>
      </c>
      <c r="Y452" s="205"/>
      <c r="Z452" s="205">
        <f t="shared" si="76"/>
        <v>0</v>
      </c>
      <c r="AA452" s="206" t="str">
        <f t="shared" si="40"/>
        <v/>
      </c>
      <c r="AB452" s="205">
        <f t="shared" si="77"/>
        <v>0</v>
      </c>
      <c r="AC452" s="208"/>
      <c r="AD452" s="208"/>
      <c r="AE452" s="208"/>
      <c r="AF452" s="208"/>
      <c r="AG452" s="209" t="str">
        <f>IFERROR(INDEX('Local Data Previous Year'!$F:$F, MATCH($D452, 'Local Data Previous Year'!$D:$D, 0)), "")</f>
        <v/>
      </c>
      <c r="AH452" s="209" t="str">
        <f>IFERROR(INDEX('Local Data Previous Year'!$G:$G, MATCH($D452, 'Local Data Previous Year'!$D:$D, 0)), "")</f>
        <v/>
      </c>
      <c r="AI452" s="209" t="str">
        <f>IFERROR(INDEX('Local Data Previous Year'!$H:$H, MATCH($D452, 'Local Data Previous Year'!$D:$D, 0)), "")</f>
        <v/>
      </c>
      <c r="AJ452" s="209" t="str">
        <f t="shared" si="78"/>
        <v/>
      </c>
      <c r="AK452" s="209" t="str">
        <f t="shared" si="79"/>
        <v/>
      </c>
      <c r="AL452" s="209" t="str">
        <f t="shared" si="80"/>
        <v/>
      </c>
      <c r="AM452" s="208" t="str">
        <f>IF($AN452="","",IFERROR(VLOOKUP(CONCATENATE(CTR1_Billing!$E$20,$AN452),'Local Data Previous Year'!$C$3:$D$50000,2,0),CTR1_Billing!$E$21&amp;"NEW"))</f>
        <v/>
      </c>
      <c r="AN452" s="209" t="str" cm="1">
        <f t="array" ref="AN452">IF(ISERROR(INDEX('Local Data Previous Year'!$E$3:$E$50000, SMALL(IF(CTR1_Billing!$E$21='Local Data Previous Year'!$A$3:$A$50000, ROW('Local Data Previous Year'!$A$3:$A$50000)-ROW('Local Data Previous Year'!$A$3)+1), ROW(420:420)))), "", INDEX('Local Data Previous Year'!$E$3:$E$50000, SMALL(IF(CTR1_Billing!$E$21='Local Data Previous Year'!$A$3:$A$50000, ROW('Local Data Previous Year'!$A$3:$A$50000)-ROW('Local Data Previous Year'!$A$3)+1), ROW(420:420))))</f>
        <v/>
      </c>
      <c r="AO452" s="209" t="str">
        <f t="shared" si="81"/>
        <v/>
      </c>
      <c r="AP452" s="208"/>
      <c r="AQ452" s="209" t="str">
        <f t="shared" si="82"/>
        <v/>
      </c>
      <c r="AR452" s="209" t="str">
        <f t="shared" si="83"/>
        <v/>
      </c>
      <c r="AS452" s="202" t="str">
        <f t="shared" si="84"/>
        <v/>
      </c>
      <c r="AT452" s="202" t="str">
        <f t="shared" si="85"/>
        <v/>
      </c>
      <c r="AU452" s="208"/>
      <c r="AV452" s="208"/>
      <c r="AW452" s="208"/>
      <c r="AX452" s="208"/>
      <c r="AY452" s="208"/>
      <c r="AZ452" s="208"/>
      <c r="BA452" s="208"/>
      <c r="BB452" s="208"/>
      <c r="BC452" s="208"/>
      <c r="BD452" s="208"/>
      <c r="BE452" s="208"/>
      <c r="BF452" s="208"/>
      <c r="BG452" s="28"/>
      <c r="BH452" s="28"/>
      <c r="BI452" s="28"/>
      <c r="BJ452" s="28"/>
    </row>
    <row r="453" spans="1:62" s="23" customFormat="1" ht="21" customHeight="1" thickBot="1" x14ac:dyDescent="0.25">
      <c r="A453" s="846" t="str">
        <f>IF($AN453="","",IFERROR(VLOOKUP(CONCATENATE(CTR1_Billing!$E$20,$AN453),'Local Data Previous Year'!$C$3:$D$20000,2,0),CTR1_Billing!$E$21&amp;"NEW"))</f>
        <v/>
      </c>
      <c r="B453" s="846" t="str">
        <f>IF($E453="","",IFERROR(VLOOKUP(CONCATENATE(CTR1_Billing!$E$20,CTR1_Local!$E453),'Local Data Previous Year'!$C$3:$D$20000,2,0),CTR1_Billing!$E$21&amp;"NEW"))</f>
        <v/>
      </c>
      <c r="C453" s="846">
        <v>421</v>
      </c>
      <c r="D453" s="755" t="str" cm="1">
        <f t="array" ref="D453">IF(ISERROR(INDEX('Local Data Previous Year'!$D$3:$D$20000,SMALL(IF(CTR1_Billing!$E$21='Local Data Previous Year'!$A$3:$A$20000,ROW('Local Data Previous Year'!$A$3:$A$20000)-ROW('Local Data Previous Year'!$A$3)+1),ROW(421:421)))),"",INDEX('Local Data Previous Year'!$D$3:$D$20000,SMALL(IF(CTR1_Billing!$E$21='Local Data Previous Year'!$A$3:$A$20000,ROW('Local Data Previous Year'!$A$3:$A$20000)-ROW('Local Data Previous Year'!$A$3)+1),ROW(421:421))))</f>
        <v/>
      </c>
      <c r="E453" s="755" t="str" cm="1">
        <f t="array" ref="E453">IF(ISERROR(INDEX('Local Data Previous Year'!$E$3:$E$20000,SMALL(IF(CTR1_Billing!$E$21='Local Data Previous Year'!$A$3:$A$20000,ROW('Local Data Previous Year'!$A$3:$A$20000)-ROW('Local Data Previous Year'!$A$3)+1),ROW(421:421)))),"",INDEX('Local Data Previous Year'!$E$3:$E$20000,SMALL(IF(CTR1_Billing!$E$21='Local Data Previous Year'!$A$3:$A$20000,ROW('Local Data Previous Year'!$A$3:$A$20000)-ROW('Local Data Previous Year'!$A$3)+1),ROW(421:421))))</f>
        <v/>
      </c>
      <c r="F453" s="756" t="str">
        <f>IF($D453="","",IF(ISNA(MATCH($D453,'Local Data Previous Year'!$D$3:$D$20000,0)),"New",IFERROR(VLOOKUP($B453,'Local Data Previous Year'!$D$3:$I$20000,6,0),"")))</f>
        <v/>
      </c>
      <c r="G453" s="757">
        <f t="shared" si="86"/>
        <v>0</v>
      </c>
      <c r="H453" s="758" t="str">
        <f>IFERROR(INDEX('Local Data Previous Year'!$F:$F, MATCH($D453, 'Local Data Previous Year'!$D:$D, 0)), "")</f>
        <v/>
      </c>
      <c r="I453" s="759">
        <f>IF(B453=CTR1_Billing!$E$21&amp;"NEW",1,0)</f>
        <v>0</v>
      </c>
      <c r="J453" s="760" t="str">
        <f>IFERROR(INDEX('Local Data Previous Year'!$G:$G, MATCH($D453, 'Local Data Previous Year'!$D:$D, 0)), "")</f>
        <v/>
      </c>
      <c r="K453" s="762"/>
      <c r="L453" s="760" t="str">
        <f>IFERROR(INDEX('Local Data Previous Year'!$H:$H, MATCH($D453, 'Local Data Previous Year'!$D:$D, 0)), "")</f>
        <v/>
      </c>
      <c r="M453" s="762"/>
      <c r="N453" s="763"/>
      <c r="O453" s="767"/>
      <c r="P453" s="765"/>
      <c r="Q453" s="767"/>
      <c r="R453" s="766" t="str">
        <f t="shared" si="87"/>
        <v/>
      </c>
      <c r="S453" s="754"/>
      <c r="T453" s="763"/>
      <c r="U453" s="754"/>
      <c r="V453" s="763"/>
      <c r="W453" s="763"/>
      <c r="X453" s="865" t="str">
        <f>VLOOKUP(CTR1_Billing!$E$21,Data!$C$6:$D$302,1,FALSE)</f>
        <v>EZZZZ</v>
      </c>
      <c r="Y453" s="205"/>
      <c r="Z453" s="205">
        <f t="shared" si="76"/>
        <v>0</v>
      </c>
      <c r="AA453" s="206" t="str">
        <f t="shared" si="40"/>
        <v/>
      </c>
      <c r="AB453" s="205">
        <f t="shared" si="77"/>
        <v>0</v>
      </c>
      <c r="AC453" s="208"/>
      <c r="AD453" s="208"/>
      <c r="AE453" s="208"/>
      <c r="AF453" s="208"/>
      <c r="AG453" s="209" t="str">
        <f>IFERROR(INDEX('Local Data Previous Year'!$F:$F, MATCH($D453, 'Local Data Previous Year'!$D:$D, 0)), "")</f>
        <v/>
      </c>
      <c r="AH453" s="209" t="str">
        <f>IFERROR(INDEX('Local Data Previous Year'!$G:$G, MATCH($D453, 'Local Data Previous Year'!$D:$D, 0)), "")</f>
        <v/>
      </c>
      <c r="AI453" s="209" t="str">
        <f>IFERROR(INDEX('Local Data Previous Year'!$H:$H, MATCH($D453, 'Local Data Previous Year'!$D:$D, 0)), "")</f>
        <v/>
      </c>
      <c r="AJ453" s="209" t="str">
        <f t="shared" si="78"/>
        <v/>
      </c>
      <c r="AK453" s="209" t="str">
        <f t="shared" si="79"/>
        <v/>
      </c>
      <c r="AL453" s="209" t="str">
        <f t="shared" si="80"/>
        <v/>
      </c>
      <c r="AM453" s="208" t="str">
        <f>IF($AN453="","",IFERROR(VLOOKUP(CONCATENATE(CTR1_Billing!$E$20,$AN453),'Local Data Previous Year'!$C$3:$D$50000,2,0),CTR1_Billing!$E$21&amp;"NEW"))</f>
        <v/>
      </c>
      <c r="AN453" s="209" t="str" cm="1">
        <f t="array" ref="AN453">IF(ISERROR(INDEX('Local Data Previous Year'!$E$3:$E$50000, SMALL(IF(CTR1_Billing!$E$21='Local Data Previous Year'!$A$3:$A$50000, ROW('Local Data Previous Year'!$A$3:$A$50000)-ROW('Local Data Previous Year'!$A$3)+1), ROW(421:421)))), "", INDEX('Local Data Previous Year'!$E$3:$E$50000, SMALL(IF(CTR1_Billing!$E$21='Local Data Previous Year'!$A$3:$A$50000, ROW('Local Data Previous Year'!$A$3:$A$50000)-ROW('Local Data Previous Year'!$A$3)+1), ROW(421:421))))</f>
        <v/>
      </c>
      <c r="AO453" s="209" t="str">
        <f t="shared" si="81"/>
        <v/>
      </c>
      <c r="AP453" s="208"/>
      <c r="AQ453" s="209" t="str">
        <f t="shared" si="82"/>
        <v/>
      </c>
      <c r="AR453" s="209" t="str">
        <f t="shared" si="83"/>
        <v/>
      </c>
      <c r="AS453" s="202" t="str">
        <f t="shared" si="84"/>
        <v/>
      </c>
      <c r="AT453" s="202" t="str">
        <f t="shared" si="85"/>
        <v/>
      </c>
      <c r="AU453" s="208"/>
      <c r="AV453" s="208"/>
      <c r="AW453" s="208"/>
      <c r="AX453" s="208"/>
      <c r="AY453" s="208"/>
      <c r="AZ453" s="208"/>
      <c r="BA453" s="208"/>
      <c r="BB453" s="208"/>
      <c r="BC453" s="208"/>
      <c r="BD453" s="208"/>
      <c r="BE453" s="208"/>
      <c r="BF453" s="208"/>
      <c r="BG453" s="28"/>
      <c r="BH453" s="28"/>
      <c r="BI453" s="28"/>
      <c r="BJ453" s="28"/>
    </row>
    <row r="454" spans="1:62" s="23" customFormat="1" ht="21" customHeight="1" thickBot="1" x14ac:dyDescent="0.25">
      <c r="A454" s="846" t="str">
        <f>IF($AN454="","",IFERROR(VLOOKUP(CONCATENATE(CTR1_Billing!$E$20,$AN454),'Local Data Previous Year'!$C$3:$D$20000,2,0),CTR1_Billing!$E$21&amp;"NEW"))</f>
        <v/>
      </c>
      <c r="B454" s="846" t="str">
        <f>IF($E454="","",IFERROR(VLOOKUP(CONCATENATE(CTR1_Billing!$E$20,CTR1_Local!$E454),'Local Data Previous Year'!$C$3:$D$20000,2,0),CTR1_Billing!$E$21&amp;"NEW"))</f>
        <v/>
      </c>
      <c r="C454" s="846">
        <v>422</v>
      </c>
      <c r="D454" s="755" t="str" cm="1">
        <f t="array" ref="D454">IF(ISERROR(INDEX('Local Data Previous Year'!$D$3:$D$20000,SMALL(IF(CTR1_Billing!$E$21='Local Data Previous Year'!$A$3:$A$20000,ROW('Local Data Previous Year'!$A$3:$A$20000)-ROW('Local Data Previous Year'!$A$3)+1),ROW(422:422)))),"",INDEX('Local Data Previous Year'!$D$3:$D$20000,SMALL(IF(CTR1_Billing!$E$21='Local Data Previous Year'!$A$3:$A$20000,ROW('Local Data Previous Year'!$A$3:$A$20000)-ROW('Local Data Previous Year'!$A$3)+1),ROW(422:422))))</f>
        <v/>
      </c>
      <c r="E454" s="755" t="str" cm="1">
        <f t="array" ref="E454">IF(ISERROR(INDEX('Local Data Previous Year'!$E$3:$E$20000,SMALL(IF(CTR1_Billing!$E$21='Local Data Previous Year'!$A$3:$A$20000,ROW('Local Data Previous Year'!$A$3:$A$20000)-ROW('Local Data Previous Year'!$A$3)+1),ROW(422:422)))),"",INDEX('Local Data Previous Year'!$E$3:$E$20000,SMALL(IF(CTR1_Billing!$E$21='Local Data Previous Year'!$A$3:$A$20000,ROW('Local Data Previous Year'!$A$3:$A$20000)-ROW('Local Data Previous Year'!$A$3)+1),ROW(422:422))))</f>
        <v/>
      </c>
      <c r="F454" s="756" t="str">
        <f>IF($D454="","",IF(ISNA(MATCH($D454,'Local Data Previous Year'!$D$3:$D$20000,0)),"New",IFERROR(VLOOKUP($B454,'Local Data Previous Year'!$D$3:$I$20000,6,0),"")))</f>
        <v/>
      </c>
      <c r="G454" s="757">
        <f t="shared" si="86"/>
        <v>0</v>
      </c>
      <c r="H454" s="758" t="str">
        <f>IFERROR(INDEX('Local Data Previous Year'!$F:$F, MATCH($D454, 'Local Data Previous Year'!$D:$D, 0)), "")</f>
        <v/>
      </c>
      <c r="I454" s="759">
        <f>IF(B454=CTR1_Billing!$E$21&amp;"NEW",1,0)</f>
        <v>0</v>
      </c>
      <c r="J454" s="760" t="str">
        <f>IFERROR(INDEX('Local Data Previous Year'!$G:$G, MATCH($D454, 'Local Data Previous Year'!$D:$D, 0)), "")</f>
        <v/>
      </c>
      <c r="K454" s="762"/>
      <c r="L454" s="760" t="str">
        <f>IFERROR(INDEX('Local Data Previous Year'!$H:$H, MATCH($D454, 'Local Data Previous Year'!$D:$D, 0)), "")</f>
        <v/>
      </c>
      <c r="M454" s="762"/>
      <c r="N454" s="763"/>
      <c r="O454" s="767"/>
      <c r="P454" s="765"/>
      <c r="Q454" s="767"/>
      <c r="R454" s="766" t="str">
        <f t="shared" si="87"/>
        <v/>
      </c>
      <c r="S454" s="754"/>
      <c r="T454" s="763"/>
      <c r="U454" s="754"/>
      <c r="V454" s="763"/>
      <c r="W454" s="763"/>
      <c r="X454" s="865" t="str">
        <f>VLOOKUP(CTR1_Billing!$E$21,Data!$C$6:$D$302,1,FALSE)</f>
        <v>EZZZZ</v>
      </c>
      <c r="Y454" s="205"/>
      <c r="Z454" s="205">
        <f t="shared" si="76"/>
        <v>0</v>
      </c>
      <c r="AA454" s="206" t="str">
        <f t="shared" si="40"/>
        <v/>
      </c>
      <c r="AB454" s="205">
        <f t="shared" si="77"/>
        <v>0</v>
      </c>
      <c r="AC454" s="208"/>
      <c r="AD454" s="208"/>
      <c r="AE454" s="208"/>
      <c r="AF454" s="208"/>
      <c r="AG454" s="209" t="str">
        <f>IFERROR(INDEX('Local Data Previous Year'!$F:$F, MATCH($D454, 'Local Data Previous Year'!$D:$D, 0)), "")</f>
        <v/>
      </c>
      <c r="AH454" s="209" t="str">
        <f>IFERROR(INDEX('Local Data Previous Year'!$G:$G, MATCH($D454, 'Local Data Previous Year'!$D:$D, 0)), "")</f>
        <v/>
      </c>
      <c r="AI454" s="209" t="str">
        <f>IFERROR(INDEX('Local Data Previous Year'!$H:$H, MATCH($D454, 'Local Data Previous Year'!$D:$D, 0)), "")</f>
        <v/>
      </c>
      <c r="AJ454" s="209" t="str">
        <f t="shared" si="78"/>
        <v/>
      </c>
      <c r="AK454" s="209" t="str">
        <f t="shared" si="79"/>
        <v/>
      </c>
      <c r="AL454" s="209" t="str">
        <f t="shared" si="80"/>
        <v/>
      </c>
      <c r="AM454" s="208" t="str">
        <f>IF($AN454="","",IFERROR(VLOOKUP(CONCATENATE(CTR1_Billing!$E$20,$AN454),'Local Data Previous Year'!$C$3:$D$50000,2,0),CTR1_Billing!$E$21&amp;"NEW"))</f>
        <v/>
      </c>
      <c r="AN454" s="209" t="str" cm="1">
        <f t="array" ref="AN454">IF(ISERROR(INDEX('Local Data Previous Year'!$E$3:$E$50000, SMALL(IF(CTR1_Billing!$E$21='Local Data Previous Year'!$A$3:$A$50000, ROW('Local Data Previous Year'!$A$3:$A$50000)-ROW('Local Data Previous Year'!$A$3)+1), ROW(422:422)))), "", INDEX('Local Data Previous Year'!$E$3:$E$50000, SMALL(IF(CTR1_Billing!$E$21='Local Data Previous Year'!$A$3:$A$50000, ROW('Local Data Previous Year'!$A$3:$A$50000)-ROW('Local Data Previous Year'!$A$3)+1), ROW(422:422))))</f>
        <v/>
      </c>
      <c r="AO454" s="209" t="str">
        <f t="shared" si="81"/>
        <v/>
      </c>
      <c r="AP454" s="208"/>
      <c r="AQ454" s="209" t="str">
        <f t="shared" si="82"/>
        <v/>
      </c>
      <c r="AR454" s="209" t="str">
        <f t="shared" si="83"/>
        <v/>
      </c>
      <c r="AS454" s="202" t="str">
        <f t="shared" si="84"/>
        <v/>
      </c>
      <c r="AT454" s="202" t="str">
        <f t="shared" si="85"/>
        <v/>
      </c>
      <c r="AU454" s="208"/>
      <c r="AV454" s="208"/>
      <c r="AW454" s="208"/>
      <c r="AX454" s="208"/>
      <c r="AY454" s="208"/>
      <c r="AZ454" s="208"/>
      <c r="BA454" s="208"/>
      <c r="BB454" s="208"/>
      <c r="BC454" s="208"/>
      <c r="BD454" s="208"/>
      <c r="BE454" s="208"/>
      <c r="BF454" s="208"/>
      <c r="BG454" s="28"/>
      <c r="BH454" s="28"/>
      <c r="BI454" s="28"/>
      <c r="BJ454" s="28"/>
    </row>
    <row r="455" spans="1:62" s="23" customFormat="1" ht="21" customHeight="1" thickBot="1" x14ac:dyDescent="0.25">
      <c r="A455" s="846" t="str">
        <f>IF($AN455="","",IFERROR(VLOOKUP(CONCATENATE(CTR1_Billing!$E$20,$AN455),'Local Data Previous Year'!$C$3:$D$20000,2,0),CTR1_Billing!$E$21&amp;"NEW"))</f>
        <v/>
      </c>
      <c r="B455" s="846" t="str">
        <f>IF($E455="","",IFERROR(VLOOKUP(CONCATENATE(CTR1_Billing!$E$20,CTR1_Local!$E455),'Local Data Previous Year'!$C$3:$D$20000,2,0),CTR1_Billing!$E$21&amp;"NEW"))</f>
        <v/>
      </c>
      <c r="C455" s="846">
        <v>423</v>
      </c>
      <c r="D455" s="755" t="str" cm="1">
        <f t="array" ref="D455">IF(ISERROR(INDEX('Local Data Previous Year'!$D$3:$D$20000,SMALL(IF(CTR1_Billing!$E$21='Local Data Previous Year'!$A$3:$A$20000,ROW('Local Data Previous Year'!$A$3:$A$20000)-ROW('Local Data Previous Year'!$A$3)+1),ROW(423:423)))),"",INDEX('Local Data Previous Year'!$D$3:$D$20000,SMALL(IF(CTR1_Billing!$E$21='Local Data Previous Year'!$A$3:$A$20000,ROW('Local Data Previous Year'!$A$3:$A$20000)-ROW('Local Data Previous Year'!$A$3)+1),ROW(423:423))))</f>
        <v/>
      </c>
      <c r="E455" s="755" t="str" cm="1">
        <f t="array" ref="E455">IF(ISERROR(INDEX('Local Data Previous Year'!$E$3:$E$20000,SMALL(IF(CTR1_Billing!$E$21='Local Data Previous Year'!$A$3:$A$20000,ROW('Local Data Previous Year'!$A$3:$A$20000)-ROW('Local Data Previous Year'!$A$3)+1),ROW(423:423)))),"",INDEX('Local Data Previous Year'!$E$3:$E$20000,SMALL(IF(CTR1_Billing!$E$21='Local Data Previous Year'!$A$3:$A$20000,ROW('Local Data Previous Year'!$A$3:$A$20000)-ROW('Local Data Previous Year'!$A$3)+1),ROW(423:423))))</f>
        <v/>
      </c>
      <c r="F455" s="756" t="str">
        <f>IF($D455="","",IF(ISNA(MATCH($D455,'Local Data Previous Year'!$D$3:$D$20000,0)),"New",IFERROR(VLOOKUP($B455,'Local Data Previous Year'!$D$3:$I$20000,6,0),"")))</f>
        <v/>
      </c>
      <c r="G455" s="757">
        <f t="shared" si="86"/>
        <v>0</v>
      </c>
      <c r="H455" s="758" t="str">
        <f>IFERROR(INDEX('Local Data Previous Year'!$F:$F, MATCH($D455, 'Local Data Previous Year'!$D:$D, 0)), "")</f>
        <v/>
      </c>
      <c r="I455" s="759">
        <f>IF(B455=CTR1_Billing!$E$21&amp;"NEW",1,0)</f>
        <v>0</v>
      </c>
      <c r="J455" s="760" t="str">
        <f>IFERROR(INDEX('Local Data Previous Year'!$G:$G, MATCH($D455, 'Local Data Previous Year'!$D:$D, 0)), "")</f>
        <v/>
      </c>
      <c r="K455" s="762"/>
      <c r="L455" s="760" t="str">
        <f>IFERROR(INDEX('Local Data Previous Year'!$H:$H, MATCH($D455, 'Local Data Previous Year'!$D:$D, 0)), "")</f>
        <v/>
      </c>
      <c r="M455" s="762"/>
      <c r="N455" s="763"/>
      <c r="O455" s="767"/>
      <c r="P455" s="765"/>
      <c r="Q455" s="767"/>
      <c r="R455" s="766" t="str">
        <f t="shared" si="87"/>
        <v/>
      </c>
      <c r="S455" s="754"/>
      <c r="T455" s="763"/>
      <c r="U455" s="754"/>
      <c r="V455" s="763"/>
      <c r="W455" s="763"/>
      <c r="X455" s="865" t="str">
        <f>VLOOKUP(CTR1_Billing!$E$21,Data!$C$6:$D$302,1,FALSE)</f>
        <v>EZZZZ</v>
      </c>
      <c r="Y455" s="205"/>
      <c r="Z455" s="205">
        <f t="shared" si="76"/>
        <v>0</v>
      </c>
      <c r="AA455" s="206" t="str">
        <f t="shared" si="40"/>
        <v/>
      </c>
      <c r="AB455" s="205">
        <f t="shared" si="77"/>
        <v>0</v>
      </c>
      <c r="AC455" s="208"/>
      <c r="AD455" s="208"/>
      <c r="AE455" s="208"/>
      <c r="AF455" s="208"/>
      <c r="AG455" s="209" t="str">
        <f>IFERROR(INDEX('Local Data Previous Year'!$F:$F, MATCH($D455, 'Local Data Previous Year'!$D:$D, 0)), "")</f>
        <v/>
      </c>
      <c r="AH455" s="209" t="str">
        <f>IFERROR(INDEX('Local Data Previous Year'!$G:$G, MATCH($D455, 'Local Data Previous Year'!$D:$D, 0)), "")</f>
        <v/>
      </c>
      <c r="AI455" s="209" t="str">
        <f>IFERROR(INDEX('Local Data Previous Year'!$H:$H, MATCH($D455, 'Local Data Previous Year'!$D:$D, 0)), "")</f>
        <v/>
      </c>
      <c r="AJ455" s="209" t="str">
        <f t="shared" si="78"/>
        <v/>
      </c>
      <c r="AK455" s="209" t="str">
        <f t="shared" si="79"/>
        <v/>
      </c>
      <c r="AL455" s="209" t="str">
        <f t="shared" si="80"/>
        <v/>
      </c>
      <c r="AM455" s="208" t="str">
        <f>IF($AN455="","",IFERROR(VLOOKUP(CONCATENATE(CTR1_Billing!$E$20,$AN455),'Local Data Previous Year'!$C$3:$D$50000,2,0),CTR1_Billing!$E$21&amp;"NEW"))</f>
        <v/>
      </c>
      <c r="AN455" s="209" t="str" cm="1">
        <f t="array" ref="AN455">IF(ISERROR(INDEX('Local Data Previous Year'!$E$3:$E$50000, SMALL(IF(CTR1_Billing!$E$21='Local Data Previous Year'!$A$3:$A$50000, ROW('Local Data Previous Year'!$A$3:$A$50000)-ROW('Local Data Previous Year'!$A$3)+1), ROW(423:423)))), "", INDEX('Local Data Previous Year'!$E$3:$E$50000, SMALL(IF(CTR1_Billing!$E$21='Local Data Previous Year'!$A$3:$A$50000, ROW('Local Data Previous Year'!$A$3:$A$50000)-ROW('Local Data Previous Year'!$A$3)+1), ROW(423:423))))</f>
        <v/>
      </c>
      <c r="AO455" s="209" t="str">
        <f t="shared" si="81"/>
        <v/>
      </c>
      <c r="AP455" s="208"/>
      <c r="AQ455" s="209" t="str">
        <f t="shared" si="82"/>
        <v/>
      </c>
      <c r="AR455" s="209" t="str">
        <f t="shared" si="83"/>
        <v/>
      </c>
      <c r="AS455" s="202" t="str">
        <f t="shared" si="84"/>
        <v/>
      </c>
      <c r="AT455" s="202" t="str">
        <f t="shared" si="85"/>
        <v/>
      </c>
      <c r="AU455" s="208"/>
      <c r="AV455" s="208"/>
      <c r="AW455" s="208"/>
      <c r="AX455" s="208"/>
      <c r="AY455" s="208"/>
      <c r="AZ455" s="208"/>
      <c r="BA455" s="208"/>
      <c r="BB455" s="208"/>
      <c r="BC455" s="208"/>
      <c r="BD455" s="208"/>
      <c r="BE455" s="208"/>
      <c r="BF455" s="208"/>
      <c r="BG455" s="28"/>
      <c r="BH455" s="28"/>
      <c r="BI455" s="28"/>
      <c r="BJ455" s="28"/>
    </row>
    <row r="456" spans="1:62" s="23" customFormat="1" ht="21" customHeight="1" thickBot="1" x14ac:dyDescent="0.25">
      <c r="A456" s="846" t="str">
        <f>IF($AN456="","",IFERROR(VLOOKUP(CONCATENATE(CTR1_Billing!$E$20,$AN456),'Local Data Previous Year'!$C$3:$D$20000,2,0),CTR1_Billing!$E$21&amp;"NEW"))</f>
        <v/>
      </c>
      <c r="B456" s="846" t="str">
        <f>IF($E456="","",IFERROR(VLOOKUP(CONCATENATE(CTR1_Billing!$E$20,CTR1_Local!$E456),'Local Data Previous Year'!$C$3:$D$20000,2,0),CTR1_Billing!$E$21&amp;"NEW"))</f>
        <v/>
      </c>
      <c r="C456" s="846">
        <v>424</v>
      </c>
      <c r="D456" s="755" t="str" cm="1">
        <f t="array" ref="D456">IF(ISERROR(INDEX('Local Data Previous Year'!$D$3:$D$20000,SMALL(IF(CTR1_Billing!$E$21='Local Data Previous Year'!$A$3:$A$20000,ROW('Local Data Previous Year'!$A$3:$A$20000)-ROW('Local Data Previous Year'!$A$3)+1),ROW(424:424)))),"",INDEX('Local Data Previous Year'!$D$3:$D$20000,SMALL(IF(CTR1_Billing!$E$21='Local Data Previous Year'!$A$3:$A$20000,ROW('Local Data Previous Year'!$A$3:$A$20000)-ROW('Local Data Previous Year'!$A$3)+1),ROW(424:424))))</f>
        <v/>
      </c>
      <c r="E456" s="755" t="str" cm="1">
        <f t="array" ref="E456">IF(ISERROR(INDEX('Local Data Previous Year'!$E$3:$E$20000,SMALL(IF(CTR1_Billing!$E$21='Local Data Previous Year'!$A$3:$A$20000,ROW('Local Data Previous Year'!$A$3:$A$20000)-ROW('Local Data Previous Year'!$A$3)+1),ROW(424:424)))),"",INDEX('Local Data Previous Year'!$E$3:$E$20000,SMALL(IF(CTR1_Billing!$E$21='Local Data Previous Year'!$A$3:$A$20000,ROW('Local Data Previous Year'!$A$3:$A$20000)-ROW('Local Data Previous Year'!$A$3)+1),ROW(424:424))))</f>
        <v/>
      </c>
      <c r="F456" s="756" t="str">
        <f>IF($D456="","",IF(ISNA(MATCH($D456,'Local Data Previous Year'!$D$3:$D$20000,0)),"New",IFERROR(VLOOKUP($B456,'Local Data Previous Year'!$D$3:$I$20000,6,0),"")))</f>
        <v/>
      </c>
      <c r="G456" s="757">
        <f t="shared" si="86"/>
        <v>0</v>
      </c>
      <c r="H456" s="758" t="str">
        <f>IFERROR(INDEX('Local Data Previous Year'!$F:$F, MATCH($D456, 'Local Data Previous Year'!$D:$D, 0)), "")</f>
        <v/>
      </c>
      <c r="I456" s="759">
        <f>IF(B456=CTR1_Billing!$E$21&amp;"NEW",1,0)</f>
        <v>0</v>
      </c>
      <c r="J456" s="760" t="str">
        <f>IFERROR(INDEX('Local Data Previous Year'!$G:$G, MATCH($D456, 'Local Data Previous Year'!$D:$D, 0)), "")</f>
        <v/>
      </c>
      <c r="K456" s="762"/>
      <c r="L456" s="760" t="str">
        <f>IFERROR(INDEX('Local Data Previous Year'!$H:$H, MATCH($D456, 'Local Data Previous Year'!$D:$D, 0)), "")</f>
        <v/>
      </c>
      <c r="M456" s="762"/>
      <c r="N456" s="763"/>
      <c r="O456" s="767"/>
      <c r="P456" s="765"/>
      <c r="Q456" s="767"/>
      <c r="R456" s="766" t="str">
        <f t="shared" si="87"/>
        <v/>
      </c>
      <c r="S456" s="754"/>
      <c r="T456" s="763"/>
      <c r="U456" s="754"/>
      <c r="V456" s="763"/>
      <c r="W456" s="763"/>
      <c r="X456" s="865" t="str">
        <f>VLOOKUP(CTR1_Billing!$E$21,Data!$C$6:$D$302,1,FALSE)</f>
        <v>EZZZZ</v>
      </c>
      <c r="Y456" s="205"/>
      <c r="Z456" s="205">
        <f t="shared" si="76"/>
        <v>0</v>
      </c>
      <c r="AA456" s="206" t="str">
        <f t="shared" si="40"/>
        <v/>
      </c>
      <c r="AB456" s="205">
        <f t="shared" si="77"/>
        <v>0</v>
      </c>
      <c r="AC456" s="208"/>
      <c r="AD456" s="208"/>
      <c r="AE456" s="208"/>
      <c r="AF456" s="208"/>
      <c r="AG456" s="209" t="str">
        <f>IFERROR(INDEX('Local Data Previous Year'!$F:$F, MATCH($D456, 'Local Data Previous Year'!$D:$D, 0)), "")</f>
        <v/>
      </c>
      <c r="AH456" s="209" t="str">
        <f>IFERROR(INDEX('Local Data Previous Year'!$G:$G, MATCH($D456, 'Local Data Previous Year'!$D:$D, 0)), "")</f>
        <v/>
      </c>
      <c r="AI456" s="209" t="str">
        <f>IFERROR(INDEX('Local Data Previous Year'!$H:$H, MATCH($D456, 'Local Data Previous Year'!$D:$D, 0)), "")</f>
        <v/>
      </c>
      <c r="AJ456" s="209" t="str">
        <f t="shared" si="78"/>
        <v/>
      </c>
      <c r="AK456" s="209" t="str">
        <f t="shared" si="79"/>
        <v/>
      </c>
      <c r="AL456" s="209" t="str">
        <f t="shared" si="80"/>
        <v/>
      </c>
      <c r="AM456" s="208" t="str">
        <f>IF($AN456="","",IFERROR(VLOOKUP(CONCATENATE(CTR1_Billing!$E$20,$AN456),'Local Data Previous Year'!$C$3:$D$50000,2,0),CTR1_Billing!$E$21&amp;"NEW"))</f>
        <v/>
      </c>
      <c r="AN456" s="209" t="str" cm="1">
        <f t="array" ref="AN456">IF(ISERROR(INDEX('Local Data Previous Year'!$E$3:$E$50000, SMALL(IF(CTR1_Billing!$E$21='Local Data Previous Year'!$A$3:$A$50000, ROW('Local Data Previous Year'!$A$3:$A$50000)-ROW('Local Data Previous Year'!$A$3)+1), ROW(424:424)))), "", INDEX('Local Data Previous Year'!$E$3:$E$50000, SMALL(IF(CTR1_Billing!$E$21='Local Data Previous Year'!$A$3:$A$50000, ROW('Local Data Previous Year'!$A$3:$A$50000)-ROW('Local Data Previous Year'!$A$3)+1), ROW(424:424))))</f>
        <v/>
      </c>
      <c r="AO456" s="209" t="str">
        <f t="shared" si="81"/>
        <v/>
      </c>
      <c r="AP456" s="208"/>
      <c r="AQ456" s="209" t="str">
        <f t="shared" si="82"/>
        <v/>
      </c>
      <c r="AR456" s="209" t="str">
        <f t="shared" si="83"/>
        <v/>
      </c>
      <c r="AS456" s="202" t="str">
        <f t="shared" si="84"/>
        <v/>
      </c>
      <c r="AT456" s="202" t="str">
        <f t="shared" si="85"/>
        <v/>
      </c>
      <c r="AU456" s="208"/>
      <c r="AV456" s="208"/>
      <c r="AW456" s="208"/>
      <c r="AX456" s="208"/>
      <c r="AY456" s="208"/>
      <c r="AZ456" s="208"/>
      <c r="BA456" s="208"/>
      <c r="BB456" s="208"/>
      <c r="BC456" s="208"/>
      <c r="BD456" s="208"/>
      <c r="BE456" s="208"/>
      <c r="BF456" s="208"/>
      <c r="BG456" s="28"/>
      <c r="BH456" s="28"/>
      <c r="BI456" s="28"/>
      <c r="BJ456" s="28"/>
    </row>
    <row r="457" spans="1:62" s="23" customFormat="1" ht="21" customHeight="1" thickBot="1" x14ac:dyDescent="0.25">
      <c r="A457" s="846" t="str">
        <f>IF($AN457="","",IFERROR(VLOOKUP(CONCATENATE(CTR1_Billing!$E$20,$AN457),'Local Data Previous Year'!$C$3:$D$20000,2,0),CTR1_Billing!$E$21&amp;"NEW"))</f>
        <v/>
      </c>
      <c r="B457" s="846" t="str">
        <f>IF($E457="","",IFERROR(VLOOKUP(CONCATENATE(CTR1_Billing!$E$20,CTR1_Local!$E457),'Local Data Previous Year'!$C$3:$D$20000,2,0),CTR1_Billing!$E$21&amp;"NEW"))</f>
        <v/>
      </c>
      <c r="C457" s="846">
        <v>425</v>
      </c>
      <c r="D457" s="755" t="str" cm="1">
        <f t="array" ref="D457">IF(ISERROR(INDEX('Local Data Previous Year'!$D$3:$D$20000,SMALL(IF(CTR1_Billing!$E$21='Local Data Previous Year'!$A$3:$A$20000,ROW('Local Data Previous Year'!$A$3:$A$20000)-ROW('Local Data Previous Year'!$A$3)+1),ROW(425:425)))),"",INDEX('Local Data Previous Year'!$D$3:$D$20000,SMALL(IF(CTR1_Billing!$E$21='Local Data Previous Year'!$A$3:$A$20000,ROW('Local Data Previous Year'!$A$3:$A$20000)-ROW('Local Data Previous Year'!$A$3)+1),ROW(425:425))))</f>
        <v/>
      </c>
      <c r="E457" s="755" t="str" cm="1">
        <f t="array" ref="E457">IF(ISERROR(INDEX('Local Data Previous Year'!$E$3:$E$20000,SMALL(IF(CTR1_Billing!$E$21='Local Data Previous Year'!$A$3:$A$20000,ROW('Local Data Previous Year'!$A$3:$A$20000)-ROW('Local Data Previous Year'!$A$3)+1),ROW(425:425)))),"",INDEX('Local Data Previous Year'!$E$3:$E$20000,SMALL(IF(CTR1_Billing!$E$21='Local Data Previous Year'!$A$3:$A$20000,ROW('Local Data Previous Year'!$A$3:$A$20000)-ROW('Local Data Previous Year'!$A$3)+1),ROW(425:425))))</f>
        <v/>
      </c>
      <c r="F457" s="756" t="str">
        <f>IF($D457="","",IF(ISNA(MATCH($D457,'Local Data Previous Year'!$D$3:$D$20000,0)),"New",IFERROR(VLOOKUP($B457,'Local Data Previous Year'!$D$3:$I$20000,6,0),"")))</f>
        <v/>
      </c>
      <c r="G457" s="757">
        <f t="shared" si="86"/>
        <v>0</v>
      </c>
      <c r="H457" s="758" t="str">
        <f>IFERROR(INDEX('Local Data Previous Year'!$F:$F, MATCH($D457, 'Local Data Previous Year'!$D:$D, 0)), "")</f>
        <v/>
      </c>
      <c r="I457" s="759">
        <f>IF(B457=CTR1_Billing!$E$21&amp;"NEW",1,0)</f>
        <v>0</v>
      </c>
      <c r="J457" s="760" t="str">
        <f>IFERROR(INDEX('Local Data Previous Year'!$G:$G, MATCH($D457, 'Local Data Previous Year'!$D:$D, 0)), "")</f>
        <v/>
      </c>
      <c r="K457" s="762"/>
      <c r="L457" s="760" t="str">
        <f>IFERROR(INDEX('Local Data Previous Year'!$H:$H, MATCH($D457, 'Local Data Previous Year'!$D:$D, 0)), "")</f>
        <v/>
      </c>
      <c r="M457" s="762"/>
      <c r="N457" s="763"/>
      <c r="O457" s="767"/>
      <c r="P457" s="765"/>
      <c r="Q457" s="767"/>
      <c r="R457" s="766" t="str">
        <f t="shared" si="87"/>
        <v/>
      </c>
      <c r="S457" s="754"/>
      <c r="T457" s="763"/>
      <c r="U457" s="754"/>
      <c r="V457" s="763"/>
      <c r="W457" s="763"/>
      <c r="X457" s="865" t="str">
        <f>VLOOKUP(CTR1_Billing!$E$21,Data!$C$6:$D$302,1,FALSE)</f>
        <v>EZZZZ</v>
      </c>
      <c r="Y457" s="205"/>
      <c r="Z457" s="205">
        <f t="shared" si="76"/>
        <v>0</v>
      </c>
      <c r="AA457" s="206" t="str">
        <f t="shared" si="40"/>
        <v/>
      </c>
      <c r="AB457" s="205">
        <f t="shared" si="77"/>
        <v>0</v>
      </c>
      <c r="AC457" s="208"/>
      <c r="AD457" s="208"/>
      <c r="AE457" s="208"/>
      <c r="AF457" s="208"/>
      <c r="AG457" s="209" t="str">
        <f>IFERROR(INDEX('Local Data Previous Year'!$F:$F, MATCH($D457, 'Local Data Previous Year'!$D:$D, 0)), "")</f>
        <v/>
      </c>
      <c r="AH457" s="209" t="str">
        <f>IFERROR(INDEX('Local Data Previous Year'!$G:$G, MATCH($D457, 'Local Data Previous Year'!$D:$D, 0)), "")</f>
        <v/>
      </c>
      <c r="AI457" s="209" t="str">
        <f>IFERROR(INDEX('Local Data Previous Year'!$H:$H, MATCH($D457, 'Local Data Previous Year'!$D:$D, 0)), "")</f>
        <v/>
      </c>
      <c r="AJ457" s="209" t="str">
        <f t="shared" si="78"/>
        <v/>
      </c>
      <c r="AK457" s="209" t="str">
        <f t="shared" si="79"/>
        <v/>
      </c>
      <c r="AL457" s="209" t="str">
        <f t="shared" si="80"/>
        <v/>
      </c>
      <c r="AM457" s="208" t="str">
        <f>IF($AN457="","",IFERROR(VLOOKUP(CONCATENATE(CTR1_Billing!$E$20,$AN457),'Local Data Previous Year'!$C$3:$D$50000,2,0),CTR1_Billing!$E$21&amp;"NEW"))</f>
        <v/>
      </c>
      <c r="AN457" s="209" t="str" cm="1">
        <f t="array" ref="AN457">IF(ISERROR(INDEX('Local Data Previous Year'!$E$3:$E$50000, SMALL(IF(CTR1_Billing!$E$21='Local Data Previous Year'!$A$3:$A$50000, ROW('Local Data Previous Year'!$A$3:$A$50000)-ROW('Local Data Previous Year'!$A$3)+1), ROW(425:425)))), "", INDEX('Local Data Previous Year'!$E$3:$E$50000, SMALL(IF(CTR1_Billing!$E$21='Local Data Previous Year'!$A$3:$A$50000, ROW('Local Data Previous Year'!$A$3:$A$50000)-ROW('Local Data Previous Year'!$A$3)+1), ROW(425:425))))</f>
        <v/>
      </c>
      <c r="AO457" s="209" t="str">
        <f t="shared" si="81"/>
        <v/>
      </c>
      <c r="AP457" s="208"/>
      <c r="AQ457" s="209" t="str">
        <f t="shared" si="82"/>
        <v/>
      </c>
      <c r="AR457" s="209" t="str">
        <f t="shared" si="83"/>
        <v/>
      </c>
      <c r="AS457" s="202" t="str">
        <f t="shared" si="84"/>
        <v/>
      </c>
      <c r="AT457" s="202" t="str">
        <f t="shared" si="85"/>
        <v/>
      </c>
      <c r="AU457" s="208"/>
      <c r="AV457" s="208"/>
      <c r="AW457" s="208"/>
      <c r="AX457" s="208"/>
      <c r="AY457" s="208"/>
      <c r="AZ457" s="208"/>
      <c r="BA457" s="208"/>
      <c r="BB457" s="208"/>
      <c r="BC457" s="208"/>
      <c r="BD457" s="208"/>
      <c r="BE457" s="208"/>
      <c r="BF457" s="208"/>
      <c r="BG457" s="28"/>
      <c r="BH457" s="28"/>
      <c r="BI457" s="28"/>
      <c r="BJ457" s="28"/>
    </row>
    <row r="458" spans="1:62" s="23" customFormat="1" ht="21" customHeight="1" thickBot="1" x14ac:dyDescent="0.25">
      <c r="A458" s="846" t="str">
        <f>IF($AN458="","",IFERROR(VLOOKUP(CONCATENATE(CTR1_Billing!$E$20,$AN458),'Local Data Previous Year'!$C$3:$D$20000,2,0),CTR1_Billing!$E$21&amp;"NEW"))</f>
        <v/>
      </c>
      <c r="B458" s="846" t="str">
        <f>IF($E458="","",IFERROR(VLOOKUP(CONCATENATE(CTR1_Billing!$E$20,CTR1_Local!$E458),'Local Data Previous Year'!$C$3:$D$20000,2,0),CTR1_Billing!$E$21&amp;"NEW"))</f>
        <v/>
      </c>
      <c r="C458" s="846">
        <v>426</v>
      </c>
      <c r="D458" s="755" t="str" cm="1">
        <f t="array" ref="D458">IF(ISERROR(INDEX('Local Data Previous Year'!$D$3:$D$20000,SMALL(IF(CTR1_Billing!$E$21='Local Data Previous Year'!$A$3:$A$20000,ROW('Local Data Previous Year'!$A$3:$A$20000)-ROW('Local Data Previous Year'!$A$3)+1),ROW(426:426)))),"",INDEX('Local Data Previous Year'!$D$3:$D$20000,SMALL(IF(CTR1_Billing!$E$21='Local Data Previous Year'!$A$3:$A$20000,ROW('Local Data Previous Year'!$A$3:$A$20000)-ROW('Local Data Previous Year'!$A$3)+1),ROW(426:426))))</f>
        <v/>
      </c>
      <c r="E458" s="755" t="str" cm="1">
        <f t="array" ref="E458">IF(ISERROR(INDEX('Local Data Previous Year'!$E$3:$E$20000,SMALL(IF(CTR1_Billing!$E$21='Local Data Previous Year'!$A$3:$A$20000,ROW('Local Data Previous Year'!$A$3:$A$20000)-ROW('Local Data Previous Year'!$A$3)+1),ROW(426:426)))),"",INDEX('Local Data Previous Year'!$E$3:$E$20000,SMALL(IF(CTR1_Billing!$E$21='Local Data Previous Year'!$A$3:$A$20000,ROW('Local Data Previous Year'!$A$3:$A$20000)-ROW('Local Data Previous Year'!$A$3)+1),ROW(426:426))))</f>
        <v/>
      </c>
      <c r="F458" s="756" t="str">
        <f>IF($D458="","",IF(ISNA(MATCH($D458,'Local Data Previous Year'!$D$3:$D$20000,0)),"New",IFERROR(VLOOKUP($B458,'Local Data Previous Year'!$D$3:$I$20000,6,0),"")))</f>
        <v/>
      </c>
      <c r="G458" s="757">
        <f t="shared" si="86"/>
        <v>0</v>
      </c>
      <c r="H458" s="758" t="str">
        <f>IFERROR(INDEX('Local Data Previous Year'!$F:$F, MATCH($D458, 'Local Data Previous Year'!$D:$D, 0)), "")</f>
        <v/>
      </c>
      <c r="I458" s="759">
        <f>IF(B458=CTR1_Billing!$E$21&amp;"NEW",1,0)</f>
        <v>0</v>
      </c>
      <c r="J458" s="760" t="str">
        <f>IFERROR(INDEX('Local Data Previous Year'!$G:$G, MATCH($D458, 'Local Data Previous Year'!$D:$D, 0)), "")</f>
        <v/>
      </c>
      <c r="K458" s="762"/>
      <c r="L458" s="760" t="str">
        <f>IFERROR(INDEX('Local Data Previous Year'!$H:$H, MATCH($D458, 'Local Data Previous Year'!$D:$D, 0)), "")</f>
        <v/>
      </c>
      <c r="M458" s="762"/>
      <c r="N458" s="763"/>
      <c r="O458" s="767"/>
      <c r="P458" s="765"/>
      <c r="Q458" s="767"/>
      <c r="R458" s="766" t="str">
        <f t="shared" si="87"/>
        <v/>
      </c>
      <c r="S458" s="754"/>
      <c r="T458" s="763"/>
      <c r="U458" s="754"/>
      <c r="V458" s="763"/>
      <c r="W458" s="763"/>
      <c r="X458" s="865" t="str">
        <f>VLOOKUP(CTR1_Billing!$E$21,Data!$C$6:$D$302,1,FALSE)</f>
        <v>EZZZZ</v>
      </c>
      <c r="Y458" s="205"/>
      <c r="Z458" s="205">
        <f t="shared" si="76"/>
        <v>0</v>
      </c>
      <c r="AA458" s="206" t="str">
        <f t="shared" si="40"/>
        <v/>
      </c>
      <c r="AB458" s="205">
        <f t="shared" si="77"/>
        <v>0</v>
      </c>
      <c r="AC458" s="208"/>
      <c r="AD458" s="208"/>
      <c r="AE458" s="208"/>
      <c r="AF458" s="208"/>
      <c r="AG458" s="209" t="str">
        <f>IFERROR(INDEX('Local Data Previous Year'!$F:$F, MATCH($D458, 'Local Data Previous Year'!$D:$D, 0)), "")</f>
        <v/>
      </c>
      <c r="AH458" s="209" t="str">
        <f>IFERROR(INDEX('Local Data Previous Year'!$G:$G, MATCH($D458, 'Local Data Previous Year'!$D:$D, 0)), "")</f>
        <v/>
      </c>
      <c r="AI458" s="209" t="str">
        <f>IFERROR(INDEX('Local Data Previous Year'!$H:$H, MATCH($D458, 'Local Data Previous Year'!$D:$D, 0)), "")</f>
        <v/>
      </c>
      <c r="AJ458" s="209" t="str">
        <f t="shared" si="78"/>
        <v/>
      </c>
      <c r="AK458" s="209" t="str">
        <f t="shared" si="79"/>
        <v/>
      </c>
      <c r="AL458" s="209" t="str">
        <f t="shared" si="80"/>
        <v/>
      </c>
      <c r="AM458" s="208" t="str">
        <f>IF($AN458="","",IFERROR(VLOOKUP(CONCATENATE(CTR1_Billing!$E$20,$AN458),'Local Data Previous Year'!$C$3:$D$50000,2,0),CTR1_Billing!$E$21&amp;"NEW"))</f>
        <v/>
      </c>
      <c r="AN458" s="209" t="str" cm="1">
        <f t="array" ref="AN458">IF(ISERROR(INDEX('Local Data Previous Year'!$E$3:$E$50000, SMALL(IF(CTR1_Billing!$E$21='Local Data Previous Year'!$A$3:$A$50000, ROW('Local Data Previous Year'!$A$3:$A$50000)-ROW('Local Data Previous Year'!$A$3)+1), ROW(426:426)))), "", INDEX('Local Data Previous Year'!$E$3:$E$50000, SMALL(IF(CTR1_Billing!$E$21='Local Data Previous Year'!$A$3:$A$50000, ROW('Local Data Previous Year'!$A$3:$A$50000)-ROW('Local Data Previous Year'!$A$3)+1), ROW(426:426))))</f>
        <v/>
      </c>
      <c r="AO458" s="209" t="str">
        <f t="shared" si="81"/>
        <v/>
      </c>
      <c r="AP458" s="208"/>
      <c r="AQ458" s="209" t="str">
        <f t="shared" si="82"/>
        <v/>
      </c>
      <c r="AR458" s="209" t="str">
        <f t="shared" si="83"/>
        <v/>
      </c>
      <c r="AS458" s="202" t="str">
        <f t="shared" si="84"/>
        <v/>
      </c>
      <c r="AT458" s="202" t="str">
        <f t="shared" si="85"/>
        <v/>
      </c>
      <c r="AU458" s="208"/>
      <c r="AV458" s="208"/>
      <c r="AW458" s="208"/>
      <c r="AX458" s="208"/>
      <c r="AY458" s="208"/>
      <c r="AZ458" s="208"/>
      <c r="BA458" s="208"/>
      <c r="BB458" s="208"/>
      <c r="BC458" s="208"/>
      <c r="BD458" s="208"/>
      <c r="BE458" s="208"/>
      <c r="BF458" s="208"/>
      <c r="BG458" s="28"/>
      <c r="BH458" s="28"/>
      <c r="BI458" s="28"/>
      <c r="BJ458" s="28"/>
    </row>
    <row r="459" spans="1:62" s="23" customFormat="1" ht="21" customHeight="1" thickBot="1" x14ac:dyDescent="0.25">
      <c r="A459" s="846" t="str">
        <f>IF($AN459="","",IFERROR(VLOOKUP(CONCATENATE(CTR1_Billing!$E$20,$AN459),'Local Data Previous Year'!$C$3:$D$20000,2,0),CTR1_Billing!$E$21&amp;"NEW"))</f>
        <v/>
      </c>
      <c r="B459" s="846" t="str">
        <f>IF($E459="","",IFERROR(VLOOKUP(CONCATENATE(CTR1_Billing!$E$20,CTR1_Local!$E459),'Local Data Previous Year'!$C$3:$D$20000,2,0),CTR1_Billing!$E$21&amp;"NEW"))</f>
        <v/>
      </c>
      <c r="C459" s="846">
        <v>427</v>
      </c>
      <c r="D459" s="755" t="str" cm="1">
        <f t="array" ref="D459">IF(ISERROR(INDEX('Local Data Previous Year'!$D$3:$D$20000,SMALL(IF(CTR1_Billing!$E$21='Local Data Previous Year'!$A$3:$A$20000,ROW('Local Data Previous Year'!$A$3:$A$20000)-ROW('Local Data Previous Year'!$A$3)+1),ROW(427:427)))),"",INDEX('Local Data Previous Year'!$D$3:$D$20000,SMALL(IF(CTR1_Billing!$E$21='Local Data Previous Year'!$A$3:$A$20000,ROW('Local Data Previous Year'!$A$3:$A$20000)-ROW('Local Data Previous Year'!$A$3)+1),ROW(427:427))))</f>
        <v/>
      </c>
      <c r="E459" s="755" t="str" cm="1">
        <f t="array" ref="E459">IF(ISERROR(INDEX('Local Data Previous Year'!$E$3:$E$20000,SMALL(IF(CTR1_Billing!$E$21='Local Data Previous Year'!$A$3:$A$20000,ROW('Local Data Previous Year'!$A$3:$A$20000)-ROW('Local Data Previous Year'!$A$3)+1),ROW(427:427)))),"",INDEX('Local Data Previous Year'!$E$3:$E$20000,SMALL(IF(CTR1_Billing!$E$21='Local Data Previous Year'!$A$3:$A$20000,ROW('Local Data Previous Year'!$A$3:$A$20000)-ROW('Local Data Previous Year'!$A$3)+1),ROW(427:427))))</f>
        <v/>
      </c>
      <c r="F459" s="756" t="str">
        <f>IF($D459="","",IF(ISNA(MATCH($D459,'Local Data Previous Year'!$D$3:$D$20000,0)),"New",IFERROR(VLOOKUP($B459,'Local Data Previous Year'!$D$3:$I$20000,6,0),"")))</f>
        <v/>
      </c>
      <c r="G459" s="757">
        <f t="shared" si="86"/>
        <v>0</v>
      </c>
      <c r="H459" s="758" t="str">
        <f>IFERROR(INDEX('Local Data Previous Year'!$F:$F, MATCH($D459, 'Local Data Previous Year'!$D:$D, 0)), "")</f>
        <v/>
      </c>
      <c r="I459" s="759">
        <f>IF(B459=CTR1_Billing!$E$21&amp;"NEW",1,0)</f>
        <v>0</v>
      </c>
      <c r="J459" s="760" t="str">
        <f>IFERROR(INDEX('Local Data Previous Year'!$G:$G, MATCH($D459, 'Local Data Previous Year'!$D:$D, 0)), "")</f>
        <v/>
      </c>
      <c r="K459" s="762"/>
      <c r="L459" s="760" t="str">
        <f>IFERROR(INDEX('Local Data Previous Year'!$H:$H, MATCH($D459, 'Local Data Previous Year'!$D:$D, 0)), "")</f>
        <v/>
      </c>
      <c r="M459" s="762"/>
      <c r="N459" s="763"/>
      <c r="O459" s="767"/>
      <c r="P459" s="765"/>
      <c r="Q459" s="767"/>
      <c r="R459" s="766" t="str">
        <f t="shared" si="87"/>
        <v/>
      </c>
      <c r="S459" s="754"/>
      <c r="T459" s="763"/>
      <c r="U459" s="754"/>
      <c r="V459" s="763"/>
      <c r="W459" s="763"/>
      <c r="X459" s="865" t="str">
        <f>VLOOKUP(CTR1_Billing!$E$21,Data!$C$6:$D$302,1,FALSE)</f>
        <v>EZZZZ</v>
      </c>
      <c r="Y459" s="205"/>
      <c r="Z459" s="205">
        <f t="shared" si="76"/>
        <v>0</v>
      </c>
      <c r="AA459" s="206" t="str">
        <f t="shared" si="40"/>
        <v/>
      </c>
      <c r="AB459" s="205">
        <f t="shared" si="77"/>
        <v>0</v>
      </c>
      <c r="AC459" s="208"/>
      <c r="AD459" s="208"/>
      <c r="AE459" s="208"/>
      <c r="AF459" s="208"/>
      <c r="AG459" s="209" t="str">
        <f>IFERROR(INDEX('Local Data Previous Year'!$F:$F, MATCH($D459, 'Local Data Previous Year'!$D:$D, 0)), "")</f>
        <v/>
      </c>
      <c r="AH459" s="209" t="str">
        <f>IFERROR(INDEX('Local Data Previous Year'!$G:$G, MATCH($D459, 'Local Data Previous Year'!$D:$D, 0)), "")</f>
        <v/>
      </c>
      <c r="AI459" s="209" t="str">
        <f>IFERROR(INDEX('Local Data Previous Year'!$H:$H, MATCH($D459, 'Local Data Previous Year'!$D:$D, 0)), "")</f>
        <v/>
      </c>
      <c r="AJ459" s="209" t="str">
        <f t="shared" si="78"/>
        <v/>
      </c>
      <c r="AK459" s="209" t="str">
        <f t="shared" si="79"/>
        <v/>
      </c>
      <c r="AL459" s="209" t="str">
        <f t="shared" si="80"/>
        <v/>
      </c>
      <c r="AM459" s="208" t="str">
        <f>IF($AN459="","",IFERROR(VLOOKUP(CONCATENATE(CTR1_Billing!$E$20,$AN459),'Local Data Previous Year'!$C$3:$D$50000,2,0),CTR1_Billing!$E$21&amp;"NEW"))</f>
        <v/>
      </c>
      <c r="AN459" s="209" t="str" cm="1">
        <f t="array" ref="AN459">IF(ISERROR(INDEX('Local Data Previous Year'!$E$3:$E$50000, SMALL(IF(CTR1_Billing!$E$21='Local Data Previous Year'!$A$3:$A$50000, ROW('Local Data Previous Year'!$A$3:$A$50000)-ROW('Local Data Previous Year'!$A$3)+1), ROW(427:427)))), "", INDEX('Local Data Previous Year'!$E$3:$E$50000, SMALL(IF(CTR1_Billing!$E$21='Local Data Previous Year'!$A$3:$A$50000, ROW('Local Data Previous Year'!$A$3:$A$50000)-ROW('Local Data Previous Year'!$A$3)+1), ROW(427:427))))</f>
        <v/>
      </c>
      <c r="AO459" s="209" t="str">
        <f t="shared" si="81"/>
        <v/>
      </c>
      <c r="AP459" s="208"/>
      <c r="AQ459" s="209" t="str">
        <f t="shared" si="82"/>
        <v/>
      </c>
      <c r="AR459" s="209" t="str">
        <f t="shared" si="83"/>
        <v/>
      </c>
      <c r="AS459" s="202" t="str">
        <f t="shared" si="84"/>
        <v/>
      </c>
      <c r="AT459" s="202" t="str">
        <f t="shared" si="85"/>
        <v/>
      </c>
      <c r="AU459" s="208"/>
      <c r="AV459" s="208"/>
      <c r="AW459" s="208"/>
      <c r="AX459" s="208"/>
      <c r="AY459" s="208"/>
      <c r="AZ459" s="208"/>
      <c r="BA459" s="208"/>
      <c r="BB459" s="208"/>
      <c r="BC459" s="208"/>
      <c r="BD459" s="208"/>
      <c r="BE459" s="208"/>
      <c r="BF459" s="208"/>
      <c r="BG459" s="28"/>
      <c r="BH459" s="28"/>
      <c r="BI459" s="28"/>
      <c r="BJ459" s="28"/>
    </row>
    <row r="460" spans="1:62" s="23" customFormat="1" ht="21" customHeight="1" thickBot="1" x14ac:dyDescent="0.25">
      <c r="A460" s="846" t="str">
        <f>IF($AN460="","",IFERROR(VLOOKUP(CONCATENATE(CTR1_Billing!$E$20,$AN460),'Local Data Previous Year'!$C$3:$D$20000,2,0),CTR1_Billing!$E$21&amp;"NEW"))</f>
        <v/>
      </c>
      <c r="B460" s="846" t="str">
        <f>IF($E460="","",IFERROR(VLOOKUP(CONCATENATE(CTR1_Billing!$E$20,CTR1_Local!$E460),'Local Data Previous Year'!$C$3:$D$20000,2,0),CTR1_Billing!$E$21&amp;"NEW"))</f>
        <v/>
      </c>
      <c r="C460" s="846">
        <v>428</v>
      </c>
      <c r="D460" s="755" t="str" cm="1">
        <f t="array" ref="D460">IF(ISERROR(INDEX('Local Data Previous Year'!$D$3:$D$20000,SMALL(IF(CTR1_Billing!$E$21='Local Data Previous Year'!$A$3:$A$20000,ROW('Local Data Previous Year'!$A$3:$A$20000)-ROW('Local Data Previous Year'!$A$3)+1),ROW(428:428)))),"",INDEX('Local Data Previous Year'!$D$3:$D$20000,SMALL(IF(CTR1_Billing!$E$21='Local Data Previous Year'!$A$3:$A$20000,ROW('Local Data Previous Year'!$A$3:$A$20000)-ROW('Local Data Previous Year'!$A$3)+1),ROW(428:428))))</f>
        <v/>
      </c>
      <c r="E460" s="755" t="str" cm="1">
        <f t="array" ref="E460">IF(ISERROR(INDEX('Local Data Previous Year'!$E$3:$E$20000,SMALL(IF(CTR1_Billing!$E$21='Local Data Previous Year'!$A$3:$A$20000,ROW('Local Data Previous Year'!$A$3:$A$20000)-ROW('Local Data Previous Year'!$A$3)+1),ROW(428:428)))),"",INDEX('Local Data Previous Year'!$E$3:$E$20000,SMALL(IF(CTR1_Billing!$E$21='Local Data Previous Year'!$A$3:$A$20000,ROW('Local Data Previous Year'!$A$3:$A$20000)-ROW('Local Data Previous Year'!$A$3)+1),ROW(428:428))))</f>
        <v/>
      </c>
      <c r="F460" s="756" t="str">
        <f>IF($D460="","",IF(ISNA(MATCH($D460,'Local Data Previous Year'!$D$3:$D$20000,0)),"New",IFERROR(VLOOKUP($B460,'Local Data Previous Year'!$D$3:$I$20000,6,0),"")))</f>
        <v/>
      </c>
      <c r="G460" s="757">
        <f t="shared" si="86"/>
        <v>0</v>
      </c>
      <c r="H460" s="758" t="str">
        <f>IFERROR(INDEX('Local Data Previous Year'!$F:$F, MATCH($D460, 'Local Data Previous Year'!$D:$D, 0)), "")</f>
        <v/>
      </c>
      <c r="I460" s="759">
        <f>IF(B460=CTR1_Billing!$E$21&amp;"NEW",1,0)</f>
        <v>0</v>
      </c>
      <c r="J460" s="760" t="str">
        <f>IFERROR(INDEX('Local Data Previous Year'!$G:$G, MATCH($D460, 'Local Data Previous Year'!$D:$D, 0)), "")</f>
        <v/>
      </c>
      <c r="K460" s="762"/>
      <c r="L460" s="760" t="str">
        <f>IFERROR(INDEX('Local Data Previous Year'!$H:$H, MATCH($D460, 'Local Data Previous Year'!$D:$D, 0)), "")</f>
        <v/>
      </c>
      <c r="M460" s="762"/>
      <c r="N460" s="763"/>
      <c r="O460" s="767"/>
      <c r="P460" s="765"/>
      <c r="Q460" s="767"/>
      <c r="R460" s="766" t="str">
        <f t="shared" si="87"/>
        <v/>
      </c>
      <c r="S460" s="754"/>
      <c r="T460" s="763"/>
      <c r="U460" s="754"/>
      <c r="V460" s="763"/>
      <c r="W460" s="763"/>
      <c r="X460" s="865" t="str">
        <f>VLOOKUP(CTR1_Billing!$E$21,Data!$C$6:$D$302,1,FALSE)</f>
        <v>EZZZZ</v>
      </c>
      <c r="Y460" s="205"/>
      <c r="Z460" s="205">
        <f t="shared" si="76"/>
        <v>0</v>
      </c>
      <c r="AA460" s="206" t="str">
        <f t="shared" si="40"/>
        <v/>
      </c>
      <c r="AB460" s="205">
        <f t="shared" si="77"/>
        <v>0</v>
      </c>
      <c r="AC460" s="208"/>
      <c r="AD460" s="208"/>
      <c r="AE460" s="208"/>
      <c r="AF460" s="208"/>
      <c r="AG460" s="209" t="str">
        <f>IFERROR(INDEX('Local Data Previous Year'!$F:$F, MATCH($D460, 'Local Data Previous Year'!$D:$D, 0)), "")</f>
        <v/>
      </c>
      <c r="AH460" s="209" t="str">
        <f>IFERROR(INDEX('Local Data Previous Year'!$G:$G, MATCH($D460, 'Local Data Previous Year'!$D:$D, 0)), "")</f>
        <v/>
      </c>
      <c r="AI460" s="209" t="str">
        <f>IFERROR(INDEX('Local Data Previous Year'!$H:$H, MATCH($D460, 'Local Data Previous Year'!$D:$D, 0)), "")</f>
        <v/>
      </c>
      <c r="AJ460" s="209" t="str">
        <f t="shared" si="78"/>
        <v/>
      </c>
      <c r="AK460" s="209" t="str">
        <f t="shared" si="79"/>
        <v/>
      </c>
      <c r="AL460" s="209" t="str">
        <f t="shared" si="80"/>
        <v/>
      </c>
      <c r="AM460" s="208" t="str">
        <f>IF($AN460="","",IFERROR(VLOOKUP(CONCATENATE(CTR1_Billing!$E$20,$AN460),'Local Data Previous Year'!$C$3:$D$50000,2,0),CTR1_Billing!$E$21&amp;"NEW"))</f>
        <v/>
      </c>
      <c r="AN460" s="209" t="str" cm="1">
        <f t="array" ref="AN460">IF(ISERROR(INDEX('Local Data Previous Year'!$E$3:$E$50000, SMALL(IF(CTR1_Billing!$E$21='Local Data Previous Year'!$A$3:$A$50000, ROW('Local Data Previous Year'!$A$3:$A$50000)-ROW('Local Data Previous Year'!$A$3)+1), ROW(428:428)))), "", INDEX('Local Data Previous Year'!$E$3:$E$50000, SMALL(IF(CTR1_Billing!$E$21='Local Data Previous Year'!$A$3:$A$50000, ROW('Local Data Previous Year'!$A$3:$A$50000)-ROW('Local Data Previous Year'!$A$3)+1), ROW(428:428))))</f>
        <v/>
      </c>
      <c r="AO460" s="209" t="str">
        <f t="shared" si="81"/>
        <v/>
      </c>
      <c r="AP460" s="208"/>
      <c r="AQ460" s="209" t="str">
        <f t="shared" si="82"/>
        <v/>
      </c>
      <c r="AR460" s="209" t="str">
        <f t="shared" si="83"/>
        <v/>
      </c>
      <c r="AS460" s="202" t="str">
        <f t="shared" si="84"/>
        <v/>
      </c>
      <c r="AT460" s="202" t="str">
        <f t="shared" si="85"/>
        <v/>
      </c>
      <c r="AU460" s="208"/>
      <c r="AV460" s="208"/>
      <c r="AW460" s="208"/>
      <c r="AX460" s="208"/>
      <c r="AY460" s="208"/>
      <c r="AZ460" s="208"/>
      <c r="BA460" s="208"/>
      <c r="BB460" s="208"/>
      <c r="BC460" s="208"/>
      <c r="BD460" s="208"/>
      <c r="BE460" s="208"/>
      <c r="BF460" s="208"/>
      <c r="BG460" s="28"/>
      <c r="BH460" s="28"/>
      <c r="BI460" s="28"/>
      <c r="BJ460" s="28"/>
    </row>
    <row r="461" spans="1:62" s="23" customFormat="1" ht="21" customHeight="1" thickBot="1" x14ac:dyDescent="0.25">
      <c r="A461" s="846" t="str">
        <f>IF($AN461="","",IFERROR(VLOOKUP(CONCATENATE(CTR1_Billing!$E$20,$AN461),'Local Data Previous Year'!$C$3:$D$20000,2,0),CTR1_Billing!$E$21&amp;"NEW"))</f>
        <v/>
      </c>
      <c r="B461" s="846" t="str">
        <f>IF($E461="","",IFERROR(VLOOKUP(CONCATENATE(CTR1_Billing!$E$20,CTR1_Local!$E461),'Local Data Previous Year'!$C$3:$D$20000,2,0),CTR1_Billing!$E$21&amp;"NEW"))</f>
        <v/>
      </c>
      <c r="C461" s="846">
        <v>429</v>
      </c>
      <c r="D461" s="755" t="str" cm="1">
        <f t="array" ref="D461">IF(ISERROR(INDEX('Local Data Previous Year'!$D$3:$D$20000,SMALL(IF(CTR1_Billing!$E$21='Local Data Previous Year'!$A$3:$A$20000,ROW('Local Data Previous Year'!$A$3:$A$20000)-ROW('Local Data Previous Year'!$A$3)+1),ROW(429:429)))),"",INDEX('Local Data Previous Year'!$D$3:$D$20000,SMALL(IF(CTR1_Billing!$E$21='Local Data Previous Year'!$A$3:$A$20000,ROW('Local Data Previous Year'!$A$3:$A$20000)-ROW('Local Data Previous Year'!$A$3)+1),ROW(429:429))))</f>
        <v/>
      </c>
      <c r="E461" s="755" t="str" cm="1">
        <f t="array" ref="E461">IF(ISERROR(INDEX('Local Data Previous Year'!$E$3:$E$20000,SMALL(IF(CTR1_Billing!$E$21='Local Data Previous Year'!$A$3:$A$20000,ROW('Local Data Previous Year'!$A$3:$A$20000)-ROW('Local Data Previous Year'!$A$3)+1),ROW(429:429)))),"",INDEX('Local Data Previous Year'!$E$3:$E$20000,SMALL(IF(CTR1_Billing!$E$21='Local Data Previous Year'!$A$3:$A$20000,ROW('Local Data Previous Year'!$A$3:$A$20000)-ROW('Local Data Previous Year'!$A$3)+1),ROW(429:429))))</f>
        <v/>
      </c>
      <c r="F461" s="756" t="str">
        <f>IF($D461="","",IF(ISNA(MATCH($D461,'Local Data Previous Year'!$D$3:$D$20000,0)),"New",IFERROR(VLOOKUP($B461,'Local Data Previous Year'!$D$3:$I$20000,6,0),"")))</f>
        <v/>
      </c>
      <c r="G461" s="757">
        <f t="shared" si="86"/>
        <v>0</v>
      </c>
      <c r="H461" s="758" t="str">
        <f>IFERROR(INDEX('Local Data Previous Year'!$F:$F, MATCH($D461, 'Local Data Previous Year'!$D:$D, 0)), "")</f>
        <v/>
      </c>
      <c r="I461" s="759">
        <f>IF(B461=CTR1_Billing!$E$21&amp;"NEW",1,0)</f>
        <v>0</v>
      </c>
      <c r="J461" s="760" t="str">
        <f>IFERROR(INDEX('Local Data Previous Year'!$G:$G, MATCH($D461, 'Local Data Previous Year'!$D:$D, 0)), "")</f>
        <v/>
      </c>
      <c r="K461" s="762"/>
      <c r="L461" s="760" t="str">
        <f>IFERROR(INDEX('Local Data Previous Year'!$H:$H, MATCH($D461, 'Local Data Previous Year'!$D:$D, 0)), "")</f>
        <v/>
      </c>
      <c r="M461" s="762"/>
      <c r="N461" s="763"/>
      <c r="O461" s="767"/>
      <c r="P461" s="765"/>
      <c r="Q461" s="767"/>
      <c r="R461" s="766" t="str">
        <f t="shared" si="87"/>
        <v/>
      </c>
      <c r="S461" s="754"/>
      <c r="T461" s="763"/>
      <c r="U461" s="754"/>
      <c r="V461" s="763"/>
      <c r="W461" s="763"/>
      <c r="X461" s="865" t="str">
        <f>VLOOKUP(CTR1_Billing!$E$21,Data!$C$6:$D$302,1,FALSE)</f>
        <v>EZZZZ</v>
      </c>
      <c r="Y461" s="205"/>
      <c r="Z461" s="205">
        <f t="shared" si="76"/>
        <v>0</v>
      </c>
      <c r="AA461" s="206" t="str">
        <f t="shared" si="40"/>
        <v/>
      </c>
      <c r="AB461" s="205">
        <f t="shared" si="77"/>
        <v>0</v>
      </c>
      <c r="AC461" s="208"/>
      <c r="AD461" s="208"/>
      <c r="AE461" s="208"/>
      <c r="AF461" s="208"/>
      <c r="AG461" s="209" t="str">
        <f>IFERROR(INDEX('Local Data Previous Year'!$F:$F, MATCH($D461, 'Local Data Previous Year'!$D:$D, 0)), "")</f>
        <v/>
      </c>
      <c r="AH461" s="209" t="str">
        <f>IFERROR(INDEX('Local Data Previous Year'!$G:$G, MATCH($D461, 'Local Data Previous Year'!$D:$D, 0)), "")</f>
        <v/>
      </c>
      <c r="AI461" s="209" t="str">
        <f>IFERROR(INDEX('Local Data Previous Year'!$H:$H, MATCH($D461, 'Local Data Previous Year'!$D:$D, 0)), "")</f>
        <v/>
      </c>
      <c r="AJ461" s="209" t="str">
        <f t="shared" si="78"/>
        <v/>
      </c>
      <c r="AK461" s="209" t="str">
        <f t="shared" si="79"/>
        <v/>
      </c>
      <c r="AL461" s="209" t="str">
        <f t="shared" si="80"/>
        <v/>
      </c>
      <c r="AM461" s="208" t="str">
        <f>IF($AN461="","",IFERROR(VLOOKUP(CONCATENATE(CTR1_Billing!$E$20,$AN461),'Local Data Previous Year'!$C$3:$D$50000,2,0),CTR1_Billing!$E$21&amp;"NEW"))</f>
        <v/>
      </c>
      <c r="AN461" s="209" t="str" cm="1">
        <f t="array" ref="AN461">IF(ISERROR(INDEX('Local Data Previous Year'!$E$3:$E$50000, SMALL(IF(CTR1_Billing!$E$21='Local Data Previous Year'!$A$3:$A$50000, ROW('Local Data Previous Year'!$A$3:$A$50000)-ROW('Local Data Previous Year'!$A$3)+1), ROW(429:429)))), "", INDEX('Local Data Previous Year'!$E$3:$E$50000, SMALL(IF(CTR1_Billing!$E$21='Local Data Previous Year'!$A$3:$A$50000, ROW('Local Data Previous Year'!$A$3:$A$50000)-ROW('Local Data Previous Year'!$A$3)+1), ROW(429:429))))</f>
        <v/>
      </c>
      <c r="AO461" s="209" t="str">
        <f t="shared" si="81"/>
        <v/>
      </c>
      <c r="AP461" s="208"/>
      <c r="AQ461" s="209" t="str">
        <f t="shared" si="82"/>
        <v/>
      </c>
      <c r="AR461" s="209" t="str">
        <f t="shared" si="83"/>
        <v/>
      </c>
      <c r="AS461" s="202" t="str">
        <f t="shared" si="84"/>
        <v/>
      </c>
      <c r="AT461" s="202" t="str">
        <f t="shared" si="85"/>
        <v/>
      </c>
      <c r="AU461" s="208"/>
      <c r="AV461" s="208"/>
      <c r="AW461" s="208"/>
      <c r="AX461" s="208"/>
      <c r="AY461" s="208"/>
      <c r="AZ461" s="208"/>
      <c r="BA461" s="208"/>
      <c r="BB461" s="208"/>
      <c r="BC461" s="208"/>
      <c r="BD461" s="208"/>
      <c r="BE461" s="208"/>
      <c r="BF461" s="208"/>
      <c r="BG461" s="28"/>
      <c r="BH461" s="28"/>
      <c r="BI461" s="28"/>
      <c r="BJ461" s="28"/>
    </row>
    <row r="462" spans="1:62" s="23" customFormat="1" ht="21" customHeight="1" thickBot="1" x14ac:dyDescent="0.25">
      <c r="A462" s="846" t="str">
        <f>IF($AN462="","",IFERROR(VLOOKUP(CONCATENATE(CTR1_Billing!$E$20,$AN462),'Local Data Previous Year'!$C$3:$D$20000,2,0),CTR1_Billing!$E$21&amp;"NEW"))</f>
        <v/>
      </c>
      <c r="B462" s="846" t="str">
        <f>IF($E462="","",IFERROR(VLOOKUP(CONCATENATE(CTR1_Billing!$E$20,CTR1_Local!$E462),'Local Data Previous Year'!$C$3:$D$20000,2,0),CTR1_Billing!$E$21&amp;"NEW"))</f>
        <v/>
      </c>
      <c r="C462" s="846">
        <v>430</v>
      </c>
      <c r="D462" s="755" t="str" cm="1">
        <f t="array" ref="D462">IF(ISERROR(INDEX('Local Data Previous Year'!$D$3:$D$20000,SMALL(IF(CTR1_Billing!$E$21='Local Data Previous Year'!$A$3:$A$20000,ROW('Local Data Previous Year'!$A$3:$A$20000)-ROW('Local Data Previous Year'!$A$3)+1),ROW(430:430)))),"",INDEX('Local Data Previous Year'!$D$3:$D$20000,SMALL(IF(CTR1_Billing!$E$21='Local Data Previous Year'!$A$3:$A$20000,ROW('Local Data Previous Year'!$A$3:$A$20000)-ROW('Local Data Previous Year'!$A$3)+1),ROW(430:430))))</f>
        <v/>
      </c>
      <c r="E462" s="755" t="str" cm="1">
        <f t="array" ref="E462">IF(ISERROR(INDEX('Local Data Previous Year'!$E$3:$E$20000,SMALL(IF(CTR1_Billing!$E$21='Local Data Previous Year'!$A$3:$A$20000,ROW('Local Data Previous Year'!$A$3:$A$20000)-ROW('Local Data Previous Year'!$A$3)+1),ROW(430:430)))),"",INDEX('Local Data Previous Year'!$E$3:$E$20000,SMALL(IF(CTR1_Billing!$E$21='Local Data Previous Year'!$A$3:$A$20000,ROW('Local Data Previous Year'!$A$3:$A$20000)-ROW('Local Data Previous Year'!$A$3)+1),ROW(430:430))))</f>
        <v/>
      </c>
      <c r="F462" s="756" t="str">
        <f>IF($D462="","",IF(ISNA(MATCH($D462,'Local Data Previous Year'!$D$3:$D$20000,0)),"New",IFERROR(VLOOKUP($B462,'Local Data Previous Year'!$D$3:$I$20000,6,0),"")))</f>
        <v/>
      </c>
      <c r="G462" s="757">
        <f t="shared" si="86"/>
        <v>0</v>
      </c>
      <c r="H462" s="758" t="str">
        <f>IFERROR(INDEX('Local Data Previous Year'!$F:$F, MATCH($D462, 'Local Data Previous Year'!$D:$D, 0)), "")</f>
        <v/>
      </c>
      <c r="I462" s="759">
        <f>IF(B462=CTR1_Billing!$E$21&amp;"NEW",1,0)</f>
        <v>0</v>
      </c>
      <c r="J462" s="760" t="str">
        <f>IFERROR(INDEX('Local Data Previous Year'!$G:$G, MATCH($D462, 'Local Data Previous Year'!$D:$D, 0)), "")</f>
        <v/>
      </c>
      <c r="K462" s="762"/>
      <c r="L462" s="760" t="str">
        <f>IFERROR(INDEX('Local Data Previous Year'!$H:$H, MATCH($D462, 'Local Data Previous Year'!$D:$D, 0)), "")</f>
        <v/>
      </c>
      <c r="M462" s="762"/>
      <c r="N462" s="763"/>
      <c r="O462" s="767"/>
      <c r="P462" s="765"/>
      <c r="Q462" s="767"/>
      <c r="R462" s="766" t="str">
        <f t="shared" si="87"/>
        <v/>
      </c>
      <c r="S462" s="754"/>
      <c r="T462" s="763"/>
      <c r="U462" s="754"/>
      <c r="V462" s="763"/>
      <c r="W462" s="763"/>
      <c r="X462" s="865" t="str">
        <f>VLOOKUP(CTR1_Billing!$E$21,Data!$C$6:$D$302,1,FALSE)</f>
        <v>EZZZZ</v>
      </c>
      <c r="Y462" s="205"/>
      <c r="Z462" s="205">
        <f t="shared" si="76"/>
        <v>0</v>
      </c>
      <c r="AA462" s="206" t="str">
        <f t="shared" si="40"/>
        <v/>
      </c>
      <c r="AB462" s="205">
        <f t="shared" si="77"/>
        <v>0</v>
      </c>
      <c r="AC462" s="208"/>
      <c r="AD462" s="208"/>
      <c r="AE462" s="208"/>
      <c r="AF462" s="208"/>
      <c r="AG462" s="209" t="str">
        <f>IFERROR(INDEX('Local Data Previous Year'!$F:$F, MATCH($D462, 'Local Data Previous Year'!$D:$D, 0)), "")</f>
        <v/>
      </c>
      <c r="AH462" s="209" t="str">
        <f>IFERROR(INDEX('Local Data Previous Year'!$G:$G, MATCH($D462, 'Local Data Previous Year'!$D:$D, 0)), "")</f>
        <v/>
      </c>
      <c r="AI462" s="209" t="str">
        <f>IFERROR(INDEX('Local Data Previous Year'!$H:$H, MATCH($D462, 'Local Data Previous Year'!$D:$D, 0)), "")</f>
        <v/>
      </c>
      <c r="AJ462" s="209" t="str">
        <f t="shared" si="78"/>
        <v/>
      </c>
      <c r="AK462" s="209" t="str">
        <f t="shared" si="79"/>
        <v/>
      </c>
      <c r="AL462" s="209" t="str">
        <f t="shared" si="80"/>
        <v/>
      </c>
      <c r="AM462" s="208" t="str">
        <f>IF($AN462="","",IFERROR(VLOOKUP(CONCATENATE(CTR1_Billing!$E$20,$AN462),'Local Data Previous Year'!$C$3:$D$50000,2,0),CTR1_Billing!$E$21&amp;"NEW"))</f>
        <v/>
      </c>
      <c r="AN462" s="209" t="str" cm="1">
        <f t="array" ref="AN462">IF(ISERROR(INDEX('Local Data Previous Year'!$E$3:$E$50000, SMALL(IF(CTR1_Billing!$E$21='Local Data Previous Year'!$A$3:$A$50000, ROW('Local Data Previous Year'!$A$3:$A$50000)-ROW('Local Data Previous Year'!$A$3)+1), ROW(430:430)))), "", INDEX('Local Data Previous Year'!$E$3:$E$50000, SMALL(IF(CTR1_Billing!$E$21='Local Data Previous Year'!$A$3:$A$50000, ROW('Local Data Previous Year'!$A$3:$A$50000)-ROW('Local Data Previous Year'!$A$3)+1), ROW(430:430))))</f>
        <v/>
      </c>
      <c r="AO462" s="209" t="str">
        <f t="shared" si="81"/>
        <v/>
      </c>
      <c r="AP462" s="208"/>
      <c r="AQ462" s="209" t="str">
        <f t="shared" si="82"/>
        <v/>
      </c>
      <c r="AR462" s="209" t="str">
        <f t="shared" si="83"/>
        <v/>
      </c>
      <c r="AS462" s="202" t="str">
        <f t="shared" si="84"/>
        <v/>
      </c>
      <c r="AT462" s="202" t="str">
        <f t="shared" si="85"/>
        <v/>
      </c>
      <c r="AU462" s="208"/>
      <c r="AV462" s="208"/>
      <c r="AW462" s="208"/>
      <c r="AX462" s="208"/>
      <c r="AY462" s="208"/>
      <c r="AZ462" s="208"/>
      <c r="BA462" s="208"/>
      <c r="BB462" s="208"/>
      <c r="BC462" s="208"/>
      <c r="BD462" s="208"/>
      <c r="BE462" s="208"/>
      <c r="BF462" s="208"/>
      <c r="BG462" s="28"/>
      <c r="BH462" s="28"/>
      <c r="BI462" s="28"/>
      <c r="BJ462" s="28"/>
    </row>
    <row r="463" spans="1:62" s="23" customFormat="1" ht="21" customHeight="1" thickBot="1" x14ac:dyDescent="0.25">
      <c r="A463" s="846" t="str">
        <f>IF($AN463="","",IFERROR(VLOOKUP(CONCATENATE(CTR1_Billing!$E$20,$AN463),'Local Data Previous Year'!$C$3:$D$20000,2,0),CTR1_Billing!$E$21&amp;"NEW"))</f>
        <v/>
      </c>
      <c r="B463" s="846" t="str">
        <f>IF($E463="","",IFERROR(VLOOKUP(CONCATENATE(CTR1_Billing!$E$20,CTR1_Local!$E463),'Local Data Previous Year'!$C$3:$D$20000,2,0),CTR1_Billing!$E$21&amp;"NEW"))</f>
        <v/>
      </c>
      <c r="C463" s="846">
        <v>431</v>
      </c>
      <c r="D463" s="755" t="str" cm="1">
        <f t="array" ref="D463">IF(ISERROR(INDEX('Local Data Previous Year'!$D$3:$D$20000,SMALL(IF(CTR1_Billing!$E$21='Local Data Previous Year'!$A$3:$A$20000,ROW('Local Data Previous Year'!$A$3:$A$20000)-ROW('Local Data Previous Year'!$A$3)+1),ROW(431:431)))),"",INDEX('Local Data Previous Year'!$D$3:$D$20000,SMALL(IF(CTR1_Billing!$E$21='Local Data Previous Year'!$A$3:$A$20000,ROW('Local Data Previous Year'!$A$3:$A$20000)-ROW('Local Data Previous Year'!$A$3)+1),ROW(431:431))))</f>
        <v/>
      </c>
      <c r="E463" s="755" t="str" cm="1">
        <f t="array" ref="E463">IF(ISERROR(INDEX('Local Data Previous Year'!$E$3:$E$20000,SMALL(IF(CTR1_Billing!$E$21='Local Data Previous Year'!$A$3:$A$20000,ROW('Local Data Previous Year'!$A$3:$A$20000)-ROW('Local Data Previous Year'!$A$3)+1),ROW(431:431)))),"",INDEX('Local Data Previous Year'!$E$3:$E$20000,SMALL(IF(CTR1_Billing!$E$21='Local Data Previous Year'!$A$3:$A$20000,ROW('Local Data Previous Year'!$A$3:$A$20000)-ROW('Local Data Previous Year'!$A$3)+1),ROW(431:431))))</f>
        <v/>
      </c>
      <c r="F463" s="756" t="str">
        <f>IF($D463="","",IF(ISNA(MATCH($D463,'Local Data Previous Year'!$D$3:$D$20000,0)),"New",IFERROR(VLOOKUP($B463,'Local Data Previous Year'!$D$3:$I$20000,6,0),"")))</f>
        <v/>
      </c>
      <c r="G463" s="757">
        <f t="shared" si="86"/>
        <v>0</v>
      </c>
      <c r="H463" s="758" t="str">
        <f>IFERROR(INDEX('Local Data Previous Year'!$F:$F, MATCH($D463, 'Local Data Previous Year'!$D:$D, 0)), "")</f>
        <v/>
      </c>
      <c r="I463" s="759">
        <f>IF(B463=CTR1_Billing!$E$21&amp;"NEW",1,0)</f>
        <v>0</v>
      </c>
      <c r="J463" s="760" t="str">
        <f>IFERROR(INDEX('Local Data Previous Year'!$G:$G, MATCH($D463, 'Local Data Previous Year'!$D:$D, 0)), "")</f>
        <v/>
      </c>
      <c r="K463" s="762"/>
      <c r="L463" s="760" t="str">
        <f>IFERROR(INDEX('Local Data Previous Year'!$H:$H, MATCH($D463, 'Local Data Previous Year'!$D:$D, 0)), "")</f>
        <v/>
      </c>
      <c r="M463" s="762"/>
      <c r="N463" s="763"/>
      <c r="O463" s="767"/>
      <c r="P463" s="765"/>
      <c r="Q463" s="767"/>
      <c r="R463" s="766" t="str">
        <f t="shared" si="87"/>
        <v/>
      </c>
      <c r="S463" s="754"/>
      <c r="T463" s="763"/>
      <c r="U463" s="754"/>
      <c r="V463" s="763"/>
      <c r="W463" s="763"/>
      <c r="X463" s="865" t="str">
        <f>VLOOKUP(CTR1_Billing!$E$21,Data!$C$6:$D$302,1,FALSE)</f>
        <v>EZZZZ</v>
      </c>
      <c r="Y463" s="205"/>
      <c r="Z463" s="205">
        <f t="shared" si="76"/>
        <v>0</v>
      </c>
      <c r="AA463" s="206" t="str">
        <f t="shared" si="40"/>
        <v/>
      </c>
      <c r="AB463" s="205">
        <f t="shared" si="77"/>
        <v>0</v>
      </c>
      <c r="AC463" s="208"/>
      <c r="AD463" s="208"/>
      <c r="AE463" s="208"/>
      <c r="AF463" s="208"/>
      <c r="AG463" s="209" t="str">
        <f>IFERROR(INDEX('Local Data Previous Year'!$F:$F, MATCH($D463, 'Local Data Previous Year'!$D:$D, 0)), "")</f>
        <v/>
      </c>
      <c r="AH463" s="209" t="str">
        <f>IFERROR(INDEX('Local Data Previous Year'!$G:$G, MATCH($D463, 'Local Data Previous Year'!$D:$D, 0)), "")</f>
        <v/>
      </c>
      <c r="AI463" s="209" t="str">
        <f>IFERROR(INDEX('Local Data Previous Year'!$H:$H, MATCH($D463, 'Local Data Previous Year'!$D:$D, 0)), "")</f>
        <v/>
      </c>
      <c r="AJ463" s="209" t="str">
        <f t="shared" si="78"/>
        <v/>
      </c>
      <c r="AK463" s="209" t="str">
        <f t="shared" si="79"/>
        <v/>
      </c>
      <c r="AL463" s="209" t="str">
        <f t="shared" si="80"/>
        <v/>
      </c>
      <c r="AM463" s="208" t="str">
        <f>IF($AN463="","",IFERROR(VLOOKUP(CONCATENATE(CTR1_Billing!$E$20,$AN463),'Local Data Previous Year'!$C$3:$D$50000,2,0),CTR1_Billing!$E$21&amp;"NEW"))</f>
        <v/>
      </c>
      <c r="AN463" s="209" t="str" cm="1">
        <f t="array" ref="AN463">IF(ISERROR(INDEX('Local Data Previous Year'!$E$3:$E$50000, SMALL(IF(CTR1_Billing!$E$21='Local Data Previous Year'!$A$3:$A$50000, ROW('Local Data Previous Year'!$A$3:$A$50000)-ROW('Local Data Previous Year'!$A$3)+1), ROW(431:431)))), "", INDEX('Local Data Previous Year'!$E$3:$E$50000, SMALL(IF(CTR1_Billing!$E$21='Local Data Previous Year'!$A$3:$A$50000, ROW('Local Data Previous Year'!$A$3:$A$50000)-ROW('Local Data Previous Year'!$A$3)+1), ROW(431:431))))</f>
        <v/>
      </c>
      <c r="AO463" s="209" t="str">
        <f t="shared" si="81"/>
        <v/>
      </c>
      <c r="AP463" s="208"/>
      <c r="AQ463" s="209" t="str">
        <f t="shared" si="82"/>
        <v/>
      </c>
      <c r="AR463" s="209" t="str">
        <f t="shared" si="83"/>
        <v/>
      </c>
      <c r="AS463" s="202" t="str">
        <f t="shared" si="84"/>
        <v/>
      </c>
      <c r="AT463" s="202" t="str">
        <f t="shared" si="85"/>
        <v/>
      </c>
      <c r="AU463" s="208"/>
      <c r="AV463" s="208"/>
      <c r="AW463" s="208"/>
      <c r="AX463" s="208"/>
      <c r="AY463" s="208"/>
      <c r="AZ463" s="208"/>
      <c r="BA463" s="208"/>
      <c r="BB463" s="208"/>
      <c r="BC463" s="208"/>
      <c r="BD463" s="208"/>
      <c r="BE463" s="208"/>
      <c r="BF463" s="208"/>
      <c r="BG463" s="28"/>
      <c r="BH463" s="28"/>
      <c r="BI463" s="28"/>
      <c r="BJ463" s="28"/>
    </row>
    <row r="464" spans="1:62" s="23" customFormat="1" ht="21" customHeight="1" thickBot="1" x14ac:dyDescent="0.25">
      <c r="A464" s="846" t="str">
        <f>IF($AN464="","",IFERROR(VLOOKUP(CONCATENATE(CTR1_Billing!$E$20,$AN464),'Local Data Previous Year'!$C$3:$D$20000,2,0),CTR1_Billing!$E$21&amp;"NEW"))</f>
        <v/>
      </c>
      <c r="B464" s="846" t="str">
        <f>IF($E464="","",IFERROR(VLOOKUP(CONCATENATE(CTR1_Billing!$E$20,CTR1_Local!$E464),'Local Data Previous Year'!$C$3:$D$20000,2,0),CTR1_Billing!$E$21&amp;"NEW"))</f>
        <v/>
      </c>
      <c r="C464" s="846">
        <v>432</v>
      </c>
      <c r="D464" s="755" t="str" cm="1">
        <f t="array" ref="D464">IF(ISERROR(INDEX('Local Data Previous Year'!$D$3:$D$20000,SMALL(IF(CTR1_Billing!$E$21='Local Data Previous Year'!$A$3:$A$20000,ROW('Local Data Previous Year'!$A$3:$A$20000)-ROW('Local Data Previous Year'!$A$3)+1),ROW(432:432)))),"",INDEX('Local Data Previous Year'!$D$3:$D$20000,SMALL(IF(CTR1_Billing!$E$21='Local Data Previous Year'!$A$3:$A$20000,ROW('Local Data Previous Year'!$A$3:$A$20000)-ROW('Local Data Previous Year'!$A$3)+1),ROW(432:432))))</f>
        <v/>
      </c>
      <c r="E464" s="755" t="str" cm="1">
        <f t="array" ref="E464">IF(ISERROR(INDEX('Local Data Previous Year'!$E$3:$E$20000,SMALL(IF(CTR1_Billing!$E$21='Local Data Previous Year'!$A$3:$A$20000,ROW('Local Data Previous Year'!$A$3:$A$20000)-ROW('Local Data Previous Year'!$A$3)+1),ROW(432:432)))),"",INDEX('Local Data Previous Year'!$E$3:$E$20000,SMALL(IF(CTR1_Billing!$E$21='Local Data Previous Year'!$A$3:$A$20000,ROW('Local Data Previous Year'!$A$3:$A$20000)-ROW('Local Data Previous Year'!$A$3)+1),ROW(432:432))))</f>
        <v/>
      </c>
      <c r="F464" s="756" t="str">
        <f>IF($D464="","",IF(ISNA(MATCH($D464,'Local Data Previous Year'!$D$3:$D$20000,0)),"New",IFERROR(VLOOKUP($B464,'Local Data Previous Year'!$D$3:$I$20000,6,0),"")))</f>
        <v/>
      </c>
      <c r="G464" s="757">
        <f t="shared" si="86"/>
        <v>0</v>
      </c>
      <c r="H464" s="758" t="str">
        <f>IFERROR(INDEX('Local Data Previous Year'!$F:$F, MATCH($D464, 'Local Data Previous Year'!$D:$D, 0)), "")</f>
        <v/>
      </c>
      <c r="I464" s="759">
        <f>IF(B464=CTR1_Billing!$E$21&amp;"NEW",1,0)</f>
        <v>0</v>
      </c>
      <c r="J464" s="760" t="str">
        <f>IFERROR(INDEX('Local Data Previous Year'!$G:$G, MATCH($D464, 'Local Data Previous Year'!$D:$D, 0)), "")</f>
        <v/>
      </c>
      <c r="K464" s="762"/>
      <c r="L464" s="760" t="str">
        <f>IFERROR(INDEX('Local Data Previous Year'!$H:$H, MATCH($D464, 'Local Data Previous Year'!$D:$D, 0)), "")</f>
        <v/>
      </c>
      <c r="M464" s="762"/>
      <c r="N464" s="763"/>
      <c r="O464" s="767"/>
      <c r="P464" s="765"/>
      <c r="Q464" s="767"/>
      <c r="R464" s="766" t="str">
        <f t="shared" si="87"/>
        <v/>
      </c>
      <c r="S464" s="754"/>
      <c r="T464" s="763"/>
      <c r="U464" s="754"/>
      <c r="V464" s="763"/>
      <c r="W464" s="763"/>
      <c r="X464" s="865" t="str">
        <f>VLOOKUP(CTR1_Billing!$E$21,Data!$C$6:$D$302,1,FALSE)</f>
        <v>EZZZZ</v>
      </c>
      <c r="Y464" s="205"/>
      <c r="Z464" s="205">
        <f t="shared" si="76"/>
        <v>0</v>
      </c>
      <c r="AA464" s="206" t="str">
        <f t="shared" si="40"/>
        <v/>
      </c>
      <c r="AB464" s="205">
        <f t="shared" si="77"/>
        <v>0</v>
      </c>
      <c r="AC464" s="208"/>
      <c r="AD464" s="208"/>
      <c r="AE464" s="208"/>
      <c r="AF464" s="208"/>
      <c r="AG464" s="209" t="str">
        <f>IFERROR(INDEX('Local Data Previous Year'!$F:$F, MATCH($D464, 'Local Data Previous Year'!$D:$D, 0)), "")</f>
        <v/>
      </c>
      <c r="AH464" s="209" t="str">
        <f>IFERROR(INDEX('Local Data Previous Year'!$G:$G, MATCH($D464, 'Local Data Previous Year'!$D:$D, 0)), "")</f>
        <v/>
      </c>
      <c r="AI464" s="209" t="str">
        <f>IFERROR(INDEX('Local Data Previous Year'!$H:$H, MATCH($D464, 'Local Data Previous Year'!$D:$D, 0)), "")</f>
        <v/>
      </c>
      <c r="AJ464" s="209" t="str">
        <f t="shared" si="78"/>
        <v/>
      </c>
      <c r="AK464" s="209" t="str">
        <f t="shared" si="79"/>
        <v/>
      </c>
      <c r="AL464" s="209" t="str">
        <f t="shared" si="80"/>
        <v/>
      </c>
      <c r="AM464" s="208" t="str">
        <f>IF($AN464="","",IFERROR(VLOOKUP(CONCATENATE(CTR1_Billing!$E$20,$AN464),'Local Data Previous Year'!$C$3:$D$50000,2,0),CTR1_Billing!$E$21&amp;"NEW"))</f>
        <v/>
      </c>
      <c r="AN464" s="209" t="str" cm="1">
        <f t="array" ref="AN464">IF(ISERROR(INDEX('Local Data Previous Year'!$E$3:$E$50000, SMALL(IF(CTR1_Billing!$E$21='Local Data Previous Year'!$A$3:$A$50000, ROW('Local Data Previous Year'!$A$3:$A$50000)-ROW('Local Data Previous Year'!$A$3)+1), ROW(432:432)))), "", INDEX('Local Data Previous Year'!$E$3:$E$50000, SMALL(IF(CTR1_Billing!$E$21='Local Data Previous Year'!$A$3:$A$50000, ROW('Local Data Previous Year'!$A$3:$A$50000)-ROW('Local Data Previous Year'!$A$3)+1), ROW(432:432))))</f>
        <v/>
      </c>
      <c r="AO464" s="209" t="str">
        <f t="shared" si="81"/>
        <v/>
      </c>
      <c r="AP464" s="208"/>
      <c r="AQ464" s="209" t="str">
        <f t="shared" si="82"/>
        <v/>
      </c>
      <c r="AR464" s="209" t="str">
        <f t="shared" si="83"/>
        <v/>
      </c>
      <c r="AS464" s="202" t="str">
        <f t="shared" si="84"/>
        <v/>
      </c>
      <c r="AT464" s="202" t="str">
        <f t="shared" si="85"/>
        <v/>
      </c>
      <c r="AU464" s="208"/>
      <c r="AV464" s="208"/>
      <c r="AW464" s="208"/>
      <c r="AX464" s="208"/>
      <c r="AY464" s="208"/>
      <c r="AZ464" s="208"/>
      <c r="BA464" s="208"/>
      <c r="BB464" s="208"/>
      <c r="BC464" s="208"/>
      <c r="BD464" s="208"/>
      <c r="BE464" s="208"/>
      <c r="BF464" s="208"/>
      <c r="BG464" s="28"/>
      <c r="BH464" s="28"/>
      <c r="BI464" s="28"/>
      <c r="BJ464" s="28"/>
    </row>
    <row r="465" spans="1:62" s="23" customFormat="1" ht="21" customHeight="1" thickBot="1" x14ac:dyDescent="0.25">
      <c r="A465" s="846" t="str">
        <f>IF($AN465="","",IFERROR(VLOOKUP(CONCATENATE(CTR1_Billing!$E$20,$AN465),'Local Data Previous Year'!$C$3:$D$20000,2,0),CTR1_Billing!$E$21&amp;"NEW"))</f>
        <v/>
      </c>
      <c r="B465" s="846" t="str">
        <f>IF($E465="","",IFERROR(VLOOKUP(CONCATENATE(CTR1_Billing!$E$20,CTR1_Local!$E465),'Local Data Previous Year'!$C$3:$D$20000,2,0),CTR1_Billing!$E$21&amp;"NEW"))</f>
        <v/>
      </c>
      <c r="C465" s="846">
        <v>433</v>
      </c>
      <c r="D465" s="755" t="str" cm="1">
        <f t="array" ref="D465">IF(ISERROR(INDEX('Local Data Previous Year'!$D$3:$D$20000,SMALL(IF(CTR1_Billing!$E$21='Local Data Previous Year'!$A$3:$A$20000,ROW('Local Data Previous Year'!$A$3:$A$20000)-ROW('Local Data Previous Year'!$A$3)+1),ROW(433:433)))),"",INDEX('Local Data Previous Year'!$D$3:$D$20000,SMALL(IF(CTR1_Billing!$E$21='Local Data Previous Year'!$A$3:$A$20000,ROW('Local Data Previous Year'!$A$3:$A$20000)-ROW('Local Data Previous Year'!$A$3)+1),ROW(433:433))))</f>
        <v/>
      </c>
      <c r="E465" s="755" t="str" cm="1">
        <f t="array" ref="E465">IF(ISERROR(INDEX('Local Data Previous Year'!$E$3:$E$20000,SMALL(IF(CTR1_Billing!$E$21='Local Data Previous Year'!$A$3:$A$20000,ROW('Local Data Previous Year'!$A$3:$A$20000)-ROW('Local Data Previous Year'!$A$3)+1),ROW(433:433)))),"",INDEX('Local Data Previous Year'!$E$3:$E$20000,SMALL(IF(CTR1_Billing!$E$21='Local Data Previous Year'!$A$3:$A$20000,ROW('Local Data Previous Year'!$A$3:$A$20000)-ROW('Local Data Previous Year'!$A$3)+1),ROW(433:433))))</f>
        <v/>
      </c>
      <c r="F465" s="756" t="str">
        <f>IF($D465="","",IF(ISNA(MATCH($D465,'Local Data Previous Year'!$D$3:$D$20000,0)),"New",IFERROR(VLOOKUP($B465,'Local Data Previous Year'!$D$3:$I$20000,6,0),"")))</f>
        <v/>
      </c>
      <c r="G465" s="757">
        <f t="shared" si="86"/>
        <v>0</v>
      </c>
      <c r="H465" s="758" t="str">
        <f>IFERROR(INDEX('Local Data Previous Year'!$F:$F, MATCH($D465, 'Local Data Previous Year'!$D:$D, 0)), "")</f>
        <v/>
      </c>
      <c r="I465" s="759">
        <f>IF(B465=CTR1_Billing!$E$21&amp;"NEW",1,0)</f>
        <v>0</v>
      </c>
      <c r="J465" s="760" t="str">
        <f>IFERROR(INDEX('Local Data Previous Year'!$G:$G, MATCH($D465, 'Local Data Previous Year'!$D:$D, 0)), "")</f>
        <v/>
      </c>
      <c r="K465" s="762"/>
      <c r="L465" s="760" t="str">
        <f>IFERROR(INDEX('Local Data Previous Year'!$H:$H, MATCH($D465, 'Local Data Previous Year'!$D:$D, 0)), "")</f>
        <v/>
      </c>
      <c r="M465" s="762"/>
      <c r="N465" s="763"/>
      <c r="O465" s="767"/>
      <c r="P465" s="765"/>
      <c r="Q465" s="767"/>
      <c r="R465" s="766" t="str">
        <f t="shared" si="87"/>
        <v/>
      </c>
      <c r="S465" s="754"/>
      <c r="T465" s="763"/>
      <c r="U465" s="754"/>
      <c r="V465" s="763"/>
      <c r="W465" s="763"/>
      <c r="X465" s="865" t="str">
        <f>VLOOKUP(CTR1_Billing!$E$21,Data!$C$6:$D$302,1,FALSE)</f>
        <v>EZZZZ</v>
      </c>
      <c r="Y465" s="205"/>
      <c r="Z465" s="205">
        <f t="shared" si="76"/>
        <v>0</v>
      </c>
      <c r="AA465" s="206" t="str">
        <f t="shared" si="40"/>
        <v/>
      </c>
      <c r="AB465" s="205">
        <f t="shared" si="77"/>
        <v>0</v>
      </c>
      <c r="AC465" s="208"/>
      <c r="AD465" s="208"/>
      <c r="AE465" s="208"/>
      <c r="AF465" s="208"/>
      <c r="AG465" s="209" t="str">
        <f>IFERROR(INDEX('Local Data Previous Year'!$F:$F, MATCH($D465, 'Local Data Previous Year'!$D:$D, 0)), "")</f>
        <v/>
      </c>
      <c r="AH465" s="209" t="str">
        <f>IFERROR(INDEX('Local Data Previous Year'!$G:$G, MATCH($D465, 'Local Data Previous Year'!$D:$D, 0)), "")</f>
        <v/>
      </c>
      <c r="AI465" s="209" t="str">
        <f>IFERROR(INDEX('Local Data Previous Year'!$H:$H, MATCH($D465, 'Local Data Previous Year'!$D:$D, 0)), "")</f>
        <v/>
      </c>
      <c r="AJ465" s="209" t="str">
        <f t="shared" si="78"/>
        <v/>
      </c>
      <c r="AK465" s="209" t="str">
        <f t="shared" si="79"/>
        <v/>
      </c>
      <c r="AL465" s="209" t="str">
        <f t="shared" si="80"/>
        <v/>
      </c>
      <c r="AM465" s="208" t="str">
        <f>IF($AN465="","",IFERROR(VLOOKUP(CONCATENATE(CTR1_Billing!$E$20,$AN465),'Local Data Previous Year'!$C$3:$D$50000,2,0),CTR1_Billing!$E$21&amp;"NEW"))</f>
        <v/>
      </c>
      <c r="AN465" s="209" t="str" cm="1">
        <f t="array" ref="AN465">IF(ISERROR(INDEX('Local Data Previous Year'!$E$3:$E$50000, SMALL(IF(CTR1_Billing!$E$21='Local Data Previous Year'!$A$3:$A$50000, ROW('Local Data Previous Year'!$A$3:$A$50000)-ROW('Local Data Previous Year'!$A$3)+1), ROW(433:433)))), "", INDEX('Local Data Previous Year'!$E$3:$E$50000, SMALL(IF(CTR1_Billing!$E$21='Local Data Previous Year'!$A$3:$A$50000, ROW('Local Data Previous Year'!$A$3:$A$50000)-ROW('Local Data Previous Year'!$A$3)+1), ROW(433:433))))</f>
        <v/>
      </c>
      <c r="AO465" s="209" t="str">
        <f t="shared" si="81"/>
        <v/>
      </c>
      <c r="AP465" s="208"/>
      <c r="AQ465" s="209" t="str">
        <f t="shared" si="82"/>
        <v/>
      </c>
      <c r="AR465" s="209" t="str">
        <f t="shared" si="83"/>
        <v/>
      </c>
      <c r="AS465" s="202" t="str">
        <f t="shared" si="84"/>
        <v/>
      </c>
      <c r="AT465" s="202" t="str">
        <f t="shared" si="85"/>
        <v/>
      </c>
      <c r="AU465" s="208"/>
      <c r="AV465" s="208"/>
      <c r="AW465" s="208"/>
      <c r="AX465" s="208"/>
      <c r="AY465" s="208"/>
      <c r="AZ465" s="208"/>
      <c r="BA465" s="208"/>
      <c r="BB465" s="208"/>
      <c r="BC465" s="208"/>
      <c r="BD465" s="208"/>
      <c r="BE465" s="208"/>
      <c r="BF465" s="208"/>
      <c r="BG465" s="28"/>
      <c r="BH465" s="28"/>
      <c r="BI465" s="28"/>
      <c r="BJ465" s="28"/>
    </row>
    <row r="466" spans="1:62" s="23" customFormat="1" ht="21" customHeight="1" thickBot="1" x14ac:dyDescent="0.25">
      <c r="A466" s="846" t="str">
        <f>IF($AN466="","",IFERROR(VLOOKUP(CONCATENATE(CTR1_Billing!$E$20,$AN466),'Local Data Previous Year'!$C$3:$D$20000,2,0),CTR1_Billing!$E$21&amp;"NEW"))</f>
        <v/>
      </c>
      <c r="B466" s="846" t="str">
        <f>IF($E466="","",IFERROR(VLOOKUP(CONCATENATE(CTR1_Billing!$E$20,CTR1_Local!$E466),'Local Data Previous Year'!$C$3:$D$20000,2,0),CTR1_Billing!$E$21&amp;"NEW"))</f>
        <v/>
      </c>
      <c r="C466" s="846">
        <v>434</v>
      </c>
      <c r="D466" s="755" t="str" cm="1">
        <f t="array" ref="D466">IF(ISERROR(INDEX('Local Data Previous Year'!$D$3:$D$20000,SMALL(IF(CTR1_Billing!$E$21='Local Data Previous Year'!$A$3:$A$20000,ROW('Local Data Previous Year'!$A$3:$A$20000)-ROW('Local Data Previous Year'!$A$3)+1),ROW(434:434)))),"",INDEX('Local Data Previous Year'!$D$3:$D$20000,SMALL(IF(CTR1_Billing!$E$21='Local Data Previous Year'!$A$3:$A$20000,ROW('Local Data Previous Year'!$A$3:$A$20000)-ROW('Local Data Previous Year'!$A$3)+1),ROW(434:434))))</f>
        <v/>
      </c>
      <c r="E466" s="755" t="str" cm="1">
        <f t="array" ref="E466">IF(ISERROR(INDEX('Local Data Previous Year'!$E$3:$E$20000,SMALL(IF(CTR1_Billing!$E$21='Local Data Previous Year'!$A$3:$A$20000,ROW('Local Data Previous Year'!$A$3:$A$20000)-ROW('Local Data Previous Year'!$A$3)+1),ROW(434:434)))),"",INDEX('Local Data Previous Year'!$E$3:$E$20000,SMALL(IF(CTR1_Billing!$E$21='Local Data Previous Year'!$A$3:$A$20000,ROW('Local Data Previous Year'!$A$3:$A$20000)-ROW('Local Data Previous Year'!$A$3)+1),ROW(434:434))))</f>
        <v/>
      </c>
      <c r="F466" s="756" t="str">
        <f>IF($D466="","",IF(ISNA(MATCH($D466,'Local Data Previous Year'!$D$3:$D$20000,0)),"New",IFERROR(VLOOKUP($B466,'Local Data Previous Year'!$D$3:$I$20000,6,0),"")))</f>
        <v/>
      </c>
      <c r="G466" s="757">
        <f t="shared" si="86"/>
        <v>0</v>
      </c>
      <c r="H466" s="758" t="str">
        <f>IFERROR(INDEX('Local Data Previous Year'!$F:$F, MATCH($D466, 'Local Data Previous Year'!$D:$D, 0)), "")</f>
        <v/>
      </c>
      <c r="I466" s="759">
        <f>IF(B466=CTR1_Billing!$E$21&amp;"NEW",1,0)</f>
        <v>0</v>
      </c>
      <c r="J466" s="760" t="str">
        <f>IFERROR(INDEX('Local Data Previous Year'!$G:$G, MATCH($D466, 'Local Data Previous Year'!$D:$D, 0)), "")</f>
        <v/>
      </c>
      <c r="K466" s="762"/>
      <c r="L466" s="760" t="str">
        <f>IFERROR(INDEX('Local Data Previous Year'!$H:$H, MATCH($D466, 'Local Data Previous Year'!$D:$D, 0)), "")</f>
        <v/>
      </c>
      <c r="M466" s="762"/>
      <c r="N466" s="763"/>
      <c r="O466" s="767"/>
      <c r="P466" s="765"/>
      <c r="Q466" s="767"/>
      <c r="R466" s="766" t="str">
        <f t="shared" si="87"/>
        <v/>
      </c>
      <c r="S466" s="754"/>
      <c r="T466" s="763"/>
      <c r="U466" s="754"/>
      <c r="V466" s="763"/>
      <c r="W466" s="763"/>
      <c r="X466" s="865" t="str">
        <f>VLOOKUP(CTR1_Billing!$E$21,Data!$C$6:$D$302,1,FALSE)</f>
        <v>EZZZZ</v>
      </c>
      <c r="Y466" s="205"/>
      <c r="Z466" s="205">
        <f t="shared" si="76"/>
        <v>0</v>
      </c>
      <c r="AA466" s="206" t="str">
        <f t="shared" si="40"/>
        <v/>
      </c>
      <c r="AB466" s="205">
        <f t="shared" si="77"/>
        <v>0</v>
      </c>
      <c r="AC466" s="208"/>
      <c r="AD466" s="208"/>
      <c r="AE466" s="208"/>
      <c r="AF466" s="208"/>
      <c r="AG466" s="209" t="str">
        <f>IFERROR(INDEX('Local Data Previous Year'!$F:$F, MATCH($D466, 'Local Data Previous Year'!$D:$D, 0)), "")</f>
        <v/>
      </c>
      <c r="AH466" s="209" t="str">
        <f>IFERROR(INDEX('Local Data Previous Year'!$G:$G, MATCH($D466, 'Local Data Previous Year'!$D:$D, 0)), "")</f>
        <v/>
      </c>
      <c r="AI466" s="209" t="str">
        <f>IFERROR(INDEX('Local Data Previous Year'!$H:$H, MATCH($D466, 'Local Data Previous Year'!$D:$D, 0)), "")</f>
        <v/>
      </c>
      <c r="AJ466" s="209" t="str">
        <f t="shared" si="78"/>
        <v/>
      </c>
      <c r="AK466" s="209" t="str">
        <f t="shared" si="79"/>
        <v/>
      </c>
      <c r="AL466" s="209" t="str">
        <f t="shared" si="80"/>
        <v/>
      </c>
      <c r="AM466" s="208" t="str">
        <f>IF($AN466="","",IFERROR(VLOOKUP(CONCATENATE(CTR1_Billing!$E$20,$AN466),'Local Data Previous Year'!$C$3:$D$50000,2,0),CTR1_Billing!$E$21&amp;"NEW"))</f>
        <v/>
      </c>
      <c r="AN466" s="209" t="str" cm="1">
        <f t="array" ref="AN466">IF(ISERROR(INDEX('Local Data Previous Year'!$E$3:$E$50000, SMALL(IF(CTR1_Billing!$E$21='Local Data Previous Year'!$A$3:$A$50000, ROW('Local Data Previous Year'!$A$3:$A$50000)-ROW('Local Data Previous Year'!$A$3)+1), ROW(434:434)))), "", INDEX('Local Data Previous Year'!$E$3:$E$50000, SMALL(IF(CTR1_Billing!$E$21='Local Data Previous Year'!$A$3:$A$50000, ROW('Local Data Previous Year'!$A$3:$A$50000)-ROW('Local Data Previous Year'!$A$3)+1), ROW(434:434))))</f>
        <v/>
      </c>
      <c r="AO466" s="209" t="str">
        <f t="shared" si="81"/>
        <v/>
      </c>
      <c r="AP466" s="208"/>
      <c r="AQ466" s="209" t="str">
        <f t="shared" si="82"/>
        <v/>
      </c>
      <c r="AR466" s="209" t="str">
        <f t="shared" si="83"/>
        <v/>
      </c>
      <c r="AS466" s="202" t="str">
        <f t="shared" si="84"/>
        <v/>
      </c>
      <c r="AT466" s="202" t="str">
        <f t="shared" si="85"/>
        <v/>
      </c>
      <c r="AU466" s="208"/>
      <c r="AV466" s="208"/>
      <c r="AW466" s="208"/>
      <c r="AX466" s="208"/>
      <c r="AY466" s="208"/>
      <c r="AZ466" s="208"/>
      <c r="BA466" s="208"/>
      <c r="BB466" s="208"/>
      <c r="BC466" s="208"/>
      <c r="BD466" s="208"/>
      <c r="BE466" s="208"/>
      <c r="BF466" s="208"/>
      <c r="BG466" s="28"/>
      <c r="BH466" s="28"/>
      <c r="BI466" s="28"/>
      <c r="BJ466" s="28"/>
    </row>
    <row r="467" spans="1:62" s="23" customFormat="1" ht="21" customHeight="1" thickBot="1" x14ac:dyDescent="0.25">
      <c r="A467" s="846" t="str">
        <f>IF($AN467="","",IFERROR(VLOOKUP(CONCATENATE(CTR1_Billing!$E$20,$AN467),'Local Data Previous Year'!$C$3:$D$20000,2,0),CTR1_Billing!$E$21&amp;"NEW"))</f>
        <v/>
      </c>
      <c r="B467" s="846" t="str">
        <f>IF($E467="","",IFERROR(VLOOKUP(CONCATENATE(CTR1_Billing!$E$20,CTR1_Local!$E467),'Local Data Previous Year'!$C$3:$D$20000,2,0),CTR1_Billing!$E$21&amp;"NEW"))</f>
        <v/>
      </c>
      <c r="C467" s="846">
        <v>435</v>
      </c>
      <c r="D467" s="755" t="str" cm="1">
        <f t="array" ref="D467">IF(ISERROR(INDEX('Local Data Previous Year'!$D$3:$D$20000,SMALL(IF(CTR1_Billing!$E$21='Local Data Previous Year'!$A$3:$A$20000,ROW('Local Data Previous Year'!$A$3:$A$20000)-ROW('Local Data Previous Year'!$A$3)+1),ROW(435:435)))),"",INDEX('Local Data Previous Year'!$D$3:$D$20000,SMALL(IF(CTR1_Billing!$E$21='Local Data Previous Year'!$A$3:$A$20000,ROW('Local Data Previous Year'!$A$3:$A$20000)-ROW('Local Data Previous Year'!$A$3)+1),ROW(435:435))))</f>
        <v/>
      </c>
      <c r="E467" s="755" t="str" cm="1">
        <f t="array" ref="E467">IF(ISERROR(INDEX('Local Data Previous Year'!$E$3:$E$20000,SMALL(IF(CTR1_Billing!$E$21='Local Data Previous Year'!$A$3:$A$20000,ROW('Local Data Previous Year'!$A$3:$A$20000)-ROW('Local Data Previous Year'!$A$3)+1),ROW(435:435)))),"",INDEX('Local Data Previous Year'!$E$3:$E$20000,SMALL(IF(CTR1_Billing!$E$21='Local Data Previous Year'!$A$3:$A$20000,ROW('Local Data Previous Year'!$A$3:$A$20000)-ROW('Local Data Previous Year'!$A$3)+1),ROW(435:435))))</f>
        <v/>
      </c>
      <c r="F467" s="756" t="str">
        <f>IF($D467="","",IF(ISNA(MATCH($D467,'Local Data Previous Year'!$D$3:$D$20000,0)),"New",IFERROR(VLOOKUP($B467,'Local Data Previous Year'!$D$3:$I$20000,6,0),"")))</f>
        <v/>
      </c>
      <c r="G467" s="757">
        <f t="shared" si="86"/>
        <v>0</v>
      </c>
      <c r="H467" s="758" t="str">
        <f>IFERROR(INDEX('Local Data Previous Year'!$F:$F, MATCH($D467, 'Local Data Previous Year'!$D:$D, 0)), "")</f>
        <v/>
      </c>
      <c r="I467" s="759">
        <f>IF(B467=CTR1_Billing!$E$21&amp;"NEW",1,0)</f>
        <v>0</v>
      </c>
      <c r="J467" s="760" t="str">
        <f>IFERROR(INDEX('Local Data Previous Year'!$G:$G, MATCH($D467, 'Local Data Previous Year'!$D:$D, 0)), "")</f>
        <v/>
      </c>
      <c r="K467" s="762"/>
      <c r="L467" s="760" t="str">
        <f>IFERROR(INDEX('Local Data Previous Year'!$H:$H, MATCH($D467, 'Local Data Previous Year'!$D:$D, 0)), "")</f>
        <v/>
      </c>
      <c r="M467" s="762"/>
      <c r="N467" s="763"/>
      <c r="O467" s="767"/>
      <c r="P467" s="765"/>
      <c r="Q467" s="767"/>
      <c r="R467" s="766" t="str">
        <f t="shared" si="87"/>
        <v/>
      </c>
      <c r="S467" s="754"/>
      <c r="T467" s="763"/>
      <c r="U467" s="754"/>
      <c r="V467" s="763"/>
      <c r="W467" s="763"/>
      <c r="X467" s="865" t="str">
        <f>VLOOKUP(CTR1_Billing!$E$21,Data!$C$6:$D$302,1,FALSE)</f>
        <v>EZZZZ</v>
      </c>
      <c r="Y467" s="205"/>
      <c r="Z467" s="205">
        <f t="shared" si="76"/>
        <v>0</v>
      </c>
      <c r="AA467" s="206" t="str">
        <f t="shared" si="40"/>
        <v/>
      </c>
      <c r="AB467" s="205">
        <f t="shared" si="77"/>
        <v>0</v>
      </c>
      <c r="AC467" s="208"/>
      <c r="AD467" s="208"/>
      <c r="AE467" s="208"/>
      <c r="AF467" s="208"/>
      <c r="AG467" s="209" t="str">
        <f>IFERROR(INDEX('Local Data Previous Year'!$F:$F, MATCH($D467, 'Local Data Previous Year'!$D:$D, 0)), "")</f>
        <v/>
      </c>
      <c r="AH467" s="209" t="str">
        <f>IFERROR(INDEX('Local Data Previous Year'!$G:$G, MATCH($D467, 'Local Data Previous Year'!$D:$D, 0)), "")</f>
        <v/>
      </c>
      <c r="AI467" s="209" t="str">
        <f>IFERROR(INDEX('Local Data Previous Year'!$H:$H, MATCH($D467, 'Local Data Previous Year'!$D:$D, 0)), "")</f>
        <v/>
      </c>
      <c r="AJ467" s="209" t="str">
        <f t="shared" si="78"/>
        <v/>
      </c>
      <c r="AK467" s="209" t="str">
        <f t="shared" si="79"/>
        <v/>
      </c>
      <c r="AL467" s="209" t="str">
        <f t="shared" si="80"/>
        <v/>
      </c>
      <c r="AM467" s="208" t="str">
        <f>IF($AN467="","",IFERROR(VLOOKUP(CONCATENATE(CTR1_Billing!$E$20,$AN467),'Local Data Previous Year'!$C$3:$D$50000,2,0),CTR1_Billing!$E$21&amp;"NEW"))</f>
        <v/>
      </c>
      <c r="AN467" s="209" t="str" cm="1">
        <f t="array" ref="AN467">IF(ISERROR(INDEX('Local Data Previous Year'!$E$3:$E$50000, SMALL(IF(CTR1_Billing!$E$21='Local Data Previous Year'!$A$3:$A$50000, ROW('Local Data Previous Year'!$A$3:$A$50000)-ROW('Local Data Previous Year'!$A$3)+1), ROW(435:435)))), "", INDEX('Local Data Previous Year'!$E$3:$E$50000, SMALL(IF(CTR1_Billing!$E$21='Local Data Previous Year'!$A$3:$A$50000, ROW('Local Data Previous Year'!$A$3:$A$50000)-ROW('Local Data Previous Year'!$A$3)+1), ROW(435:435))))</f>
        <v/>
      </c>
      <c r="AO467" s="209" t="str">
        <f t="shared" si="81"/>
        <v/>
      </c>
      <c r="AP467" s="208"/>
      <c r="AQ467" s="209" t="str">
        <f t="shared" si="82"/>
        <v/>
      </c>
      <c r="AR467" s="209" t="str">
        <f t="shared" si="83"/>
        <v/>
      </c>
      <c r="AS467" s="202" t="str">
        <f t="shared" si="84"/>
        <v/>
      </c>
      <c r="AT467" s="202" t="str">
        <f t="shared" si="85"/>
        <v/>
      </c>
      <c r="AU467" s="208"/>
      <c r="AV467" s="208"/>
      <c r="AW467" s="208"/>
      <c r="AX467" s="208"/>
      <c r="AY467" s="208"/>
      <c r="AZ467" s="208"/>
      <c r="BA467" s="208"/>
      <c r="BB467" s="208"/>
      <c r="BC467" s="208"/>
      <c r="BD467" s="208"/>
      <c r="BE467" s="208"/>
      <c r="BF467" s="208"/>
      <c r="BG467" s="28"/>
      <c r="BH467" s="28"/>
      <c r="BI467" s="28"/>
      <c r="BJ467" s="28"/>
    </row>
    <row r="468" spans="1:62" s="23" customFormat="1" ht="21" customHeight="1" thickBot="1" x14ac:dyDescent="0.25">
      <c r="A468" s="846" t="str">
        <f>IF($AN468="","",IFERROR(VLOOKUP(CONCATENATE(CTR1_Billing!$E$20,$AN468),'Local Data Previous Year'!$C$3:$D$20000,2,0),CTR1_Billing!$E$21&amp;"NEW"))</f>
        <v/>
      </c>
      <c r="B468" s="846" t="str">
        <f>IF($E468="","",IFERROR(VLOOKUP(CONCATENATE(CTR1_Billing!$E$20,CTR1_Local!$E468),'Local Data Previous Year'!$C$3:$D$20000,2,0),CTR1_Billing!$E$21&amp;"NEW"))</f>
        <v/>
      </c>
      <c r="C468" s="846">
        <v>436</v>
      </c>
      <c r="D468" s="755" t="str" cm="1">
        <f t="array" ref="D468">IF(ISERROR(INDEX('Local Data Previous Year'!$D$3:$D$20000,SMALL(IF(CTR1_Billing!$E$21='Local Data Previous Year'!$A$3:$A$20000,ROW('Local Data Previous Year'!$A$3:$A$20000)-ROW('Local Data Previous Year'!$A$3)+1),ROW(436:436)))),"",INDEX('Local Data Previous Year'!$D$3:$D$20000,SMALL(IF(CTR1_Billing!$E$21='Local Data Previous Year'!$A$3:$A$20000,ROW('Local Data Previous Year'!$A$3:$A$20000)-ROW('Local Data Previous Year'!$A$3)+1),ROW(436:436))))</f>
        <v/>
      </c>
      <c r="E468" s="755" t="str" cm="1">
        <f t="array" ref="E468">IF(ISERROR(INDEX('Local Data Previous Year'!$E$3:$E$20000,SMALL(IF(CTR1_Billing!$E$21='Local Data Previous Year'!$A$3:$A$20000,ROW('Local Data Previous Year'!$A$3:$A$20000)-ROW('Local Data Previous Year'!$A$3)+1),ROW(436:436)))),"",INDEX('Local Data Previous Year'!$E$3:$E$20000,SMALL(IF(CTR1_Billing!$E$21='Local Data Previous Year'!$A$3:$A$20000,ROW('Local Data Previous Year'!$A$3:$A$20000)-ROW('Local Data Previous Year'!$A$3)+1),ROW(436:436))))</f>
        <v/>
      </c>
      <c r="F468" s="756" t="str">
        <f>IF($D468="","",IF(ISNA(MATCH($D468,'Local Data Previous Year'!$D$3:$D$20000,0)),"New",IFERROR(VLOOKUP($B468,'Local Data Previous Year'!$D$3:$I$20000,6,0),"")))</f>
        <v/>
      </c>
      <c r="G468" s="757">
        <f t="shared" si="86"/>
        <v>0</v>
      </c>
      <c r="H468" s="758" t="str">
        <f>IFERROR(INDEX('Local Data Previous Year'!$F:$F, MATCH($D468, 'Local Data Previous Year'!$D:$D, 0)), "")</f>
        <v/>
      </c>
      <c r="I468" s="759">
        <f>IF(B468=CTR1_Billing!$E$21&amp;"NEW",1,0)</f>
        <v>0</v>
      </c>
      <c r="J468" s="760" t="str">
        <f>IFERROR(INDEX('Local Data Previous Year'!$G:$G, MATCH($D468, 'Local Data Previous Year'!$D:$D, 0)), "")</f>
        <v/>
      </c>
      <c r="K468" s="762"/>
      <c r="L468" s="760" t="str">
        <f>IFERROR(INDEX('Local Data Previous Year'!$H:$H, MATCH($D468, 'Local Data Previous Year'!$D:$D, 0)), "")</f>
        <v/>
      </c>
      <c r="M468" s="762"/>
      <c r="N468" s="763"/>
      <c r="O468" s="767"/>
      <c r="P468" s="765"/>
      <c r="Q468" s="767"/>
      <c r="R468" s="766" t="str">
        <f t="shared" si="87"/>
        <v/>
      </c>
      <c r="S468" s="754"/>
      <c r="T468" s="763"/>
      <c r="U468" s="754"/>
      <c r="V468" s="763"/>
      <c r="W468" s="763"/>
      <c r="X468" s="865" t="str">
        <f>VLOOKUP(CTR1_Billing!$E$21,Data!$C$6:$D$302,1,FALSE)</f>
        <v>EZZZZ</v>
      </c>
      <c r="Y468" s="205"/>
      <c r="Z468" s="205">
        <f t="shared" si="76"/>
        <v>0</v>
      </c>
      <c r="AA468" s="206" t="str">
        <f t="shared" si="40"/>
        <v/>
      </c>
      <c r="AB468" s="205">
        <f t="shared" si="77"/>
        <v>0</v>
      </c>
      <c r="AC468" s="208"/>
      <c r="AD468" s="208"/>
      <c r="AE468" s="208"/>
      <c r="AF468" s="208"/>
      <c r="AG468" s="209" t="str">
        <f>IFERROR(INDEX('Local Data Previous Year'!$F:$F, MATCH($D468, 'Local Data Previous Year'!$D:$D, 0)), "")</f>
        <v/>
      </c>
      <c r="AH468" s="209" t="str">
        <f>IFERROR(INDEX('Local Data Previous Year'!$G:$G, MATCH($D468, 'Local Data Previous Year'!$D:$D, 0)), "")</f>
        <v/>
      </c>
      <c r="AI468" s="209" t="str">
        <f>IFERROR(INDEX('Local Data Previous Year'!$H:$H, MATCH($D468, 'Local Data Previous Year'!$D:$D, 0)), "")</f>
        <v/>
      </c>
      <c r="AJ468" s="209" t="str">
        <f t="shared" si="78"/>
        <v/>
      </c>
      <c r="AK468" s="209" t="str">
        <f t="shared" si="79"/>
        <v/>
      </c>
      <c r="AL468" s="209" t="str">
        <f t="shared" si="80"/>
        <v/>
      </c>
      <c r="AM468" s="208" t="str">
        <f>IF($AN468="","",IFERROR(VLOOKUP(CONCATENATE(CTR1_Billing!$E$20,$AN468),'Local Data Previous Year'!$C$3:$D$50000,2,0),CTR1_Billing!$E$21&amp;"NEW"))</f>
        <v/>
      </c>
      <c r="AN468" s="209" t="str" cm="1">
        <f t="array" ref="AN468">IF(ISERROR(INDEX('Local Data Previous Year'!$E$3:$E$50000, SMALL(IF(CTR1_Billing!$E$21='Local Data Previous Year'!$A$3:$A$50000, ROW('Local Data Previous Year'!$A$3:$A$50000)-ROW('Local Data Previous Year'!$A$3)+1), ROW(436:436)))), "", INDEX('Local Data Previous Year'!$E$3:$E$50000, SMALL(IF(CTR1_Billing!$E$21='Local Data Previous Year'!$A$3:$A$50000, ROW('Local Data Previous Year'!$A$3:$A$50000)-ROW('Local Data Previous Year'!$A$3)+1), ROW(436:436))))</f>
        <v/>
      </c>
      <c r="AO468" s="209" t="str">
        <f t="shared" si="81"/>
        <v/>
      </c>
      <c r="AP468" s="208"/>
      <c r="AQ468" s="209" t="str">
        <f t="shared" si="82"/>
        <v/>
      </c>
      <c r="AR468" s="209" t="str">
        <f t="shared" si="83"/>
        <v/>
      </c>
      <c r="AS468" s="202" t="str">
        <f t="shared" si="84"/>
        <v/>
      </c>
      <c r="AT468" s="202" t="str">
        <f t="shared" si="85"/>
        <v/>
      </c>
      <c r="AU468" s="208"/>
      <c r="AV468" s="208"/>
      <c r="AW468" s="208"/>
      <c r="AX468" s="208"/>
      <c r="AY468" s="208"/>
      <c r="AZ468" s="208"/>
      <c r="BA468" s="208"/>
      <c r="BB468" s="208"/>
      <c r="BC468" s="208"/>
      <c r="BD468" s="208"/>
      <c r="BE468" s="208"/>
      <c r="BF468" s="208"/>
      <c r="BG468" s="28"/>
      <c r="BH468" s="28"/>
      <c r="BI468" s="28"/>
      <c r="BJ468" s="28"/>
    </row>
    <row r="469" spans="1:62" s="23" customFormat="1" ht="21" customHeight="1" thickBot="1" x14ac:dyDescent="0.25">
      <c r="A469" s="846" t="str">
        <f>IF($AN469="","",IFERROR(VLOOKUP(CONCATENATE(CTR1_Billing!$E$20,$AN469),'Local Data Previous Year'!$C$3:$D$20000,2,0),CTR1_Billing!$E$21&amp;"NEW"))</f>
        <v/>
      </c>
      <c r="B469" s="846" t="str">
        <f>IF($E469="","",IFERROR(VLOOKUP(CONCATENATE(CTR1_Billing!$E$20,CTR1_Local!$E469),'Local Data Previous Year'!$C$3:$D$20000,2,0),CTR1_Billing!$E$21&amp;"NEW"))</f>
        <v/>
      </c>
      <c r="C469" s="846">
        <v>437</v>
      </c>
      <c r="D469" s="755" t="str" cm="1">
        <f t="array" ref="D469">IF(ISERROR(INDEX('Local Data Previous Year'!$D$3:$D$20000,SMALL(IF(CTR1_Billing!$E$21='Local Data Previous Year'!$A$3:$A$20000,ROW('Local Data Previous Year'!$A$3:$A$20000)-ROW('Local Data Previous Year'!$A$3)+1),ROW(437:437)))),"",INDEX('Local Data Previous Year'!$D$3:$D$20000,SMALL(IF(CTR1_Billing!$E$21='Local Data Previous Year'!$A$3:$A$20000,ROW('Local Data Previous Year'!$A$3:$A$20000)-ROW('Local Data Previous Year'!$A$3)+1),ROW(437:437))))</f>
        <v/>
      </c>
      <c r="E469" s="755" t="str" cm="1">
        <f t="array" ref="E469">IF(ISERROR(INDEX('Local Data Previous Year'!$E$3:$E$20000,SMALL(IF(CTR1_Billing!$E$21='Local Data Previous Year'!$A$3:$A$20000,ROW('Local Data Previous Year'!$A$3:$A$20000)-ROW('Local Data Previous Year'!$A$3)+1),ROW(437:437)))),"",INDEX('Local Data Previous Year'!$E$3:$E$20000,SMALL(IF(CTR1_Billing!$E$21='Local Data Previous Year'!$A$3:$A$20000,ROW('Local Data Previous Year'!$A$3:$A$20000)-ROW('Local Data Previous Year'!$A$3)+1),ROW(437:437))))</f>
        <v/>
      </c>
      <c r="F469" s="756" t="str">
        <f>IF($D469="","",IF(ISNA(MATCH($D469,'Local Data Previous Year'!$D$3:$D$20000,0)),"New",IFERROR(VLOOKUP($B469,'Local Data Previous Year'!$D$3:$I$20000,6,0),"")))</f>
        <v/>
      </c>
      <c r="G469" s="757">
        <f t="shared" si="86"/>
        <v>0</v>
      </c>
      <c r="H469" s="758" t="str">
        <f>IFERROR(INDEX('Local Data Previous Year'!$F:$F, MATCH($D469, 'Local Data Previous Year'!$D:$D, 0)), "")</f>
        <v/>
      </c>
      <c r="I469" s="759">
        <f>IF(B469=CTR1_Billing!$E$21&amp;"NEW",1,0)</f>
        <v>0</v>
      </c>
      <c r="J469" s="760" t="str">
        <f>IFERROR(INDEX('Local Data Previous Year'!$G:$G, MATCH($D469, 'Local Data Previous Year'!$D:$D, 0)), "")</f>
        <v/>
      </c>
      <c r="K469" s="762"/>
      <c r="L469" s="760" t="str">
        <f>IFERROR(INDEX('Local Data Previous Year'!$H:$H, MATCH($D469, 'Local Data Previous Year'!$D:$D, 0)), "")</f>
        <v/>
      </c>
      <c r="M469" s="762"/>
      <c r="N469" s="763"/>
      <c r="O469" s="767"/>
      <c r="P469" s="765"/>
      <c r="Q469" s="767"/>
      <c r="R469" s="766" t="str">
        <f t="shared" si="87"/>
        <v/>
      </c>
      <c r="S469" s="754"/>
      <c r="T469" s="763"/>
      <c r="U469" s="754"/>
      <c r="V469" s="763"/>
      <c r="W469" s="763"/>
      <c r="X469" s="865" t="str">
        <f>VLOOKUP(CTR1_Billing!$E$21,Data!$C$6:$D$302,1,FALSE)</f>
        <v>EZZZZ</v>
      </c>
      <c r="Y469" s="205"/>
      <c r="Z469" s="205">
        <f t="shared" si="76"/>
        <v>0</v>
      </c>
      <c r="AA469" s="206" t="str">
        <f t="shared" si="40"/>
        <v/>
      </c>
      <c r="AB469" s="205">
        <f t="shared" si="77"/>
        <v>0</v>
      </c>
      <c r="AC469" s="208"/>
      <c r="AD469" s="208"/>
      <c r="AE469" s="208"/>
      <c r="AF469" s="208"/>
      <c r="AG469" s="209" t="str">
        <f>IFERROR(INDEX('Local Data Previous Year'!$F:$F, MATCH($D469, 'Local Data Previous Year'!$D:$D, 0)), "")</f>
        <v/>
      </c>
      <c r="AH469" s="209" t="str">
        <f>IFERROR(INDEX('Local Data Previous Year'!$G:$G, MATCH($D469, 'Local Data Previous Year'!$D:$D, 0)), "")</f>
        <v/>
      </c>
      <c r="AI469" s="209" t="str">
        <f>IFERROR(INDEX('Local Data Previous Year'!$H:$H, MATCH($D469, 'Local Data Previous Year'!$D:$D, 0)), "")</f>
        <v/>
      </c>
      <c r="AJ469" s="209" t="str">
        <f t="shared" si="78"/>
        <v/>
      </c>
      <c r="AK469" s="209" t="str">
        <f t="shared" si="79"/>
        <v/>
      </c>
      <c r="AL469" s="209" t="str">
        <f t="shared" si="80"/>
        <v/>
      </c>
      <c r="AM469" s="208" t="str">
        <f>IF($AN469="","",IFERROR(VLOOKUP(CONCATENATE(CTR1_Billing!$E$20,$AN469),'Local Data Previous Year'!$C$3:$D$50000,2,0),CTR1_Billing!$E$21&amp;"NEW"))</f>
        <v/>
      </c>
      <c r="AN469" s="209" t="str" cm="1">
        <f t="array" ref="AN469">IF(ISERROR(INDEX('Local Data Previous Year'!$E$3:$E$50000, SMALL(IF(CTR1_Billing!$E$21='Local Data Previous Year'!$A$3:$A$50000, ROW('Local Data Previous Year'!$A$3:$A$50000)-ROW('Local Data Previous Year'!$A$3)+1), ROW(437:437)))), "", INDEX('Local Data Previous Year'!$E$3:$E$50000, SMALL(IF(CTR1_Billing!$E$21='Local Data Previous Year'!$A$3:$A$50000, ROW('Local Data Previous Year'!$A$3:$A$50000)-ROW('Local Data Previous Year'!$A$3)+1), ROW(437:437))))</f>
        <v/>
      </c>
      <c r="AO469" s="209" t="str">
        <f t="shared" si="81"/>
        <v/>
      </c>
      <c r="AP469" s="208"/>
      <c r="AQ469" s="209" t="str">
        <f t="shared" si="82"/>
        <v/>
      </c>
      <c r="AR469" s="209" t="str">
        <f t="shared" si="83"/>
        <v/>
      </c>
      <c r="AS469" s="202" t="str">
        <f t="shared" si="84"/>
        <v/>
      </c>
      <c r="AT469" s="202" t="str">
        <f t="shared" si="85"/>
        <v/>
      </c>
      <c r="AU469" s="208"/>
      <c r="AV469" s="208"/>
      <c r="AW469" s="208"/>
      <c r="AX469" s="208"/>
      <c r="AY469" s="208"/>
      <c r="AZ469" s="208"/>
      <c r="BA469" s="208"/>
      <c r="BB469" s="208"/>
      <c r="BC469" s="208"/>
      <c r="BD469" s="208"/>
      <c r="BE469" s="208"/>
      <c r="BF469" s="208"/>
      <c r="BG469" s="28"/>
      <c r="BH469" s="28"/>
      <c r="BI469" s="28"/>
      <c r="BJ469" s="28"/>
    </row>
    <row r="470" spans="1:62" s="23" customFormat="1" ht="21" customHeight="1" thickBot="1" x14ac:dyDescent="0.25">
      <c r="A470" s="846" t="str">
        <f>IF($AN470="","",IFERROR(VLOOKUP(CONCATENATE(CTR1_Billing!$E$20,$AN470),'Local Data Previous Year'!$C$3:$D$20000,2,0),CTR1_Billing!$E$21&amp;"NEW"))</f>
        <v/>
      </c>
      <c r="B470" s="846" t="str">
        <f>IF($E470="","",IFERROR(VLOOKUP(CONCATENATE(CTR1_Billing!$E$20,CTR1_Local!$E470),'Local Data Previous Year'!$C$3:$D$20000,2,0),CTR1_Billing!$E$21&amp;"NEW"))</f>
        <v/>
      </c>
      <c r="C470" s="846">
        <v>438</v>
      </c>
      <c r="D470" s="755" t="str" cm="1">
        <f t="array" ref="D470">IF(ISERROR(INDEX('Local Data Previous Year'!$D$3:$D$20000,SMALL(IF(CTR1_Billing!$E$21='Local Data Previous Year'!$A$3:$A$20000,ROW('Local Data Previous Year'!$A$3:$A$20000)-ROW('Local Data Previous Year'!$A$3)+1),ROW(438:438)))),"",INDEX('Local Data Previous Year'!$D$3:$D$20000,SMALL(IF(CTR1_Billing!$E$21='Local Data Previous Year'!$A$3:$A$20000,ROW('Local Data Previous Year'!$A$3:$A$20000)-ROW('Local Data Previous Year'!$A$3)+1),ROW(438:438))))</f>
        <v/>
      </c>
      <c r="E470" s="755" t="str" cm="1">
        <f t="array" ref="E470">IF(ISERROR(INDEX('Local Data Previous Year'!$E$3:$E$20000,SMALL(IF(CTR1_Billing!$E$21='Local Data Previous Year'!$A$3:$A$20000,ROW('Local Data Previous Year'!$A$3:$A$20000)-ROW('Local Data Previous Year'!$A$3)+1),ROW(438:438)))),"",INDEX('Local Data Previous Year'!$E$3:$E$20000,SMALL(IF(CTR1_Billing!$E$21='Local Data Previous Year'!$A$3:$A$20000,ROW('Local Data Previous Year'!$A$3:$A$20000)-ROW('Local Data Previous Year'!$A$3)+1),ROW(438:438))))</f>
        <v/>
      </c>
      <c r="F470" s="756" t="str">
        <f>IF($D470="","",IF(ISNA(MATCH($D470,'Local Data Previous Year'!$D$3:$D$20000,0)),"New",IFERROR(VLOOKUP($B470,'Local Data Previous Year'!$D$3:$I$20000,6,0),"")))</f>
        <v/>
      </c>
      <c r="G470" s="757">
        <f t="shared" si="86"/>
        <v>0</v>
      </c>
      <c r="H470" s="758" t="str">
        <f>IFERROR(INDEX('Local Data Previous Year'!$F:$F, MATCH($D470, 'Local Data Previous Year'!$D:$D, 0)), "")</f>
        <v/>
      </c>
      <c r="I470" s="759">
        <f>IF(B470=CTR1_Billing!$E$21&amp;"NEW",1,0)</f>
        <v>0</v>
      </c>
      <c r="J470" s="760" t="str">
        <f>IFERROR(INDEX('Local Data Previous Year'!$G:$G, MATCH($D470, 'Local Data Previous Year'!$D:$D, 0)), "")</f>
        <v/>
      </c>
      <c r="K470" s="762"/>
      <c r="L470" s="760" t="str">
        <f>IFERROR(INDEX('Local Data Previous Year'!$H:$H, MATCH($D470, 'Local Data Previous Year'!$D:$D, 0)), "")</f>
        <v/>
      </c>
      <c r="M470" s="762"/>
      <c r="N470" s="763"/>
      <c r="O470" s="767"/>
      <c r="P470" s="765"/>
      <c r="Q470" s="767"/>
      <c r="R470" s="766" t="str">
        <f t="shared" si="87"/>
        <v/>
      </c>
      <c r="S470" s="754"/>
      <c r="T470" s="763"/>
      <c r="U470" s="754"/>
      <c r="V470" s="763"/>
      <c r="W470" s="763"/>
      <c r="X470" s="865" t="str">
        <f>VLOOKUP(CTR1_Billing!$E$21,Data!$C$6:$D$302,1,FALSE)</f>
        <v>EZZZZ</v>
      </c>
      <c r="Y470" s="205"/>
      <c r="Z470" s="205">
        <f t="shared" si="76"/>
        <v>0</v>
      </c>
      <c r="AA470" s="206" t="str">
        <f t="shared" si="40"/>
        <v/>
      </c>
      <c r="AB470" s="205">
        <f t="shared" si="77"/>
        <v>0</v>
      </c>
      <c r="AC470" s="208"/>
      <c r="AD470" s="208"/>
      <c r="AE470" s="208"/>
      <c r="AF470" s="208"/>
      <c r="AG470" s="209" t="str">
        <f>IFERROR(INDEX('Local Data Previous Year'!$F:$F, MATCH($D470, 'Local Data Previous Year'!$D:$D, 0)), "")</f>
        <v/>
      </c>
      <c r="AH470" s="209" t="str">
        <f>IFERROR(INDEX('Local Data Previous Year'!$G:$G, MATCH($D470, 'Local Data Previous Year'!$D:$D, 0)), "")</f>
        <v/>
      </c>
      <c r="AI470" s="209" t="str">
        <f>IFERROR(INDEX('Local Data Previous Year'!$H:$H, MATCH($D470, 'Local Data Previous Year'!$D:$D, 0)), "")</f>
        <v/>
      </c>
      <c r="AJ470" s="209" t="str">
        <f t="shared" si="78"/>
        <v/>
      </c>
      <c r="AK470" s="209" t="str">
        <f t="shared" si="79"/>
        <v/>
      </c>
      <c r="AL470" s="209" t="str">
        <f t="shared" si="80"/>
        <v/>
      </c>
      <c r="AM470" s="208" t="str">
        <f>IF($AN470="","",IFERROR(VLOOKUP(CONCATENATE(CTR1_Billing!$E$20,$AN470),'Local Data Previous Year'!$C$3:$D$50000,2,0),CTR1_Billing!$E$21&amp;"NEW"))</f>
        <v/>
      </c>
      <c r="AN470" s="209" t="str" cm="1">
        <f t="array" ref="AN470">IF(ISERROR(INDEX('Local Data Previous Year'!$E$3:$E$50000, SMALL(IF(CTR1_Billing!$E$21='Local Data Previous Year'!$A$3:$A$50000, ROW('Local Data Previous Year'!$A$3:$A$50000)-ROW('Local Data Previous Year'!$A$3)+1), ROW(438:438)))), "", INDEX('Local Data Previous Year'!$E$3:$E$50000, SMALL(IF(CTR1_Billing!$E$21='Local Data Previous Year'!$A$3:$A$50000, ROW('Local Data Previous Year'!$A$3:$A$50000)-ROW('Local Data Previous Year'!$A$3)+1), ROW(438:438))))</f>
        <v/>
      </c>
      <c r="AO470" s="209" t="str">
        <f t="shared" si="81"/>
        <v/>
      </c>
      <c r="AP470" s="208"/>
      <c r="AQ470" s="209" t="str">
        <f t="shared" si="82"/>
        <v/>
      </c>
      <c r="AR470" s="209" t="str">
        <f t="shared" si="83"/>
        <v/>
      </c>
      <c r="AS470" s="202" t="str">
        <f t="shared" si="84"/>
        <v/>
      </c>
      <c r="AT470" s="202" t="str">
        <f t="shared" si="85"/>
        <v/>
      </c>
      <c r="AU470" s="208"/>
      <c r="AV470" s="208"/>
      <c r="AW470" s="208"/>
      <c r="AX470" s="208"/>
      <c r="AY470" s="208"/>
      <c r="AZ470" s="208"/>
      <c r="BA470" s="208"/>
      <c r="BB470" s="208"/>
      <c r="BC470" s="208"/>
      <c r="BD470" s="208"/>
      <c r="BE470" s="208"/>
      <c r="BF470" s="208"/>
      <c r="BG470" s="28"/>
      <c r="BH470" s="28"/>
      <c r="BI470" s="28"/>
      <c r="BJ470" s="28"/>
    </row>
    <row r="471" spans="1:62" s="23" customFormat="1" ht="21" customHeight="1" thickBot="1" x14ac:dyDescent="0.25">
      <c r="A471" s="846" t="str">
        <f>IF($AN471="","",IFERROR(VLOOKUP(CONCATENATE(CTR1_Billing!$E$20,$AN471),'Local Data Previous Year'!$C$3:$D$20000,2,0),CTR1_Billing!$E$21&amp;"NEW"))</f>
        <v/>
      </c>
      <c r="B471" s="846" t="str">
        <f>IF($E471="","",IFERROR(VLOOKUP(CONCATENATE(CTR1_Billing!$E$20,CTR1_Local!$E471),'Local Data Previous Year'!$C$3:$D$20000,2,0),CTR1_Billing!$E$21&amp;"NEW"))</f>
        <v/>
      </c>
      <c r="C471" s="846">
        <v>439</v>
      </c>
      <c r="D471" s="755" t="str" cm="1">
        <f t="array" ref="D471">IF(ISERROR(INDEX('Local Data Previous Year'!$D$3:$D$20000,SMALL(IF(CTR1_Billing!$E$21='Local Data Previous Year'!$A$3:$A$20000,ROW('Local Data Previous Year'!$A$3:$A$20000)-ROW('Local Data Previous Year'!$A$3)+1),ROW(439:439)))),"",INDEX('Local Data Previous Year'!$D$3:$D$20000,SMALL(IF(CTR1_Billing!$E$21='Local Data Previous Year'!$A$3:$A$20000,ROW('Local Data Previous Year'!$A$3:$A$20000)-ROW('Local Data Previous Year'!$A$3)+1),ROW(439:439))))</f>
        <v/>
      </c>
      <c r="E471" s="755" t="str" cm="1">
        <f t="array" ref="E471">IF(ISERROR(INDEX('Local Data Previous Year'!$E$3:$E$20000,SMALL(IF(CTR1_Billing!$E$21='Local Data Previous Year'!$A$3:$A$20000,ROW('Local Data Previous Year'!$A$3:$A$20000)-ROW('Local Data Previous Year'!$A$3)+1),ROW(439:439)))),"",INDEX('Local Data Previous Year'!$E$3:$E$20000,SMALL(IF(CTR1_Billing!$E$21='Local Data Previous Year'!$A$3:$A$20000,ROW('Local Data Previous Year'!$A$3:$A$20000)-ROW('Local Data Previous Year'!$A$3)+1),ROW(439:439))))</f>
        <v/>
      </c>
      <c r="F471" s="756" t="str">
        <f>IF($D471="","",IF(ISNA(MATCH($D471,'Local Data Previous Year'!$D$3:$D$20000,0)),"New",IFERROR(VLOOKUP($B471,'Local Data Previous Year'!$D$3:$I$20000,6,0),"")))</f>
        <v/>
      </c>
      <c r="G471" s="757">
        <f t="shared" si="86"/>
        <v>0</v>
      </c>
      <c r="H471" s="758" t="str">
        <f>IFERROR(INDEX('Local Data Previous Year'!$F:$F, MATCH($D471, 'Local Data Previous Year'!$D:$D, 0)), "")</f>
        <v/>
      </c>
      <c r="I471" s="759">
        <f>IF(B471=CTR1_Billing!$E$21&amp;"NEW",1,0)</f>
        <v>0</v>
      </c>
      <c r="J471" s="760" t="str">
        <f>IFERROR(INDEX('Local Data Previous Year'!$G:$G, MATCH($D471, 'Local Data Previous Year'!$D:$D, 0)), "")</f>
        <v/>
      </c>
      <c r="K471" s="762"/>
      <c r="L471" s="760" t="str">
        <f>IFERROR(INDEX('Local Data Previous Year'!$H:$H, MATCH($D471, 'Local Data Previous Year'!$D:$D, 0)), "")</f>
        <v/>
      </c>
      <c r="M471" s="762"/>
      <c r="N471" s="763"/>
      <c r="O471" s="767"/>
      <c r="P471" s="765"/>
      <c r="Q471" s="767"/>
      <c r="R471" s="766" t="str">
        <f t="shared" si="87"/>
        <v/>
      </c>
      <c r="S471" s="754"/>
      <c r="T471" s="763"/>
      <c r="U471" s="754"/>
      <c r="V471" s="763"/>
      <c r="W471" s="763"/>
      <c r="X471" s="865" t="str">
        <f>VLOOKUP(CTR1_Billing!$E$21,Data!$C$6:$D$302,1,FALSE)</f>
        <v>EZZZZ</v>
      </c>
      <c r="Y471" s="205"/>
      <c r="Z471" s="205">
        <f t="shared" si="76"/>
        <v>0</v>
      </c>
      <c r="AA471" s="206" t="str">
        <f t="shared" si="40"/>
        <v/>
      </c>
      <c r="AB471" s="205">
        <f t="shared" si="77"/>
        <v>0</v>
      </c>
      <c r="AC471" s="208"/>
      <c r="AD471" s="208"/>
      <c r="AE471" s="208"/>
      <c r="AF471" s="208"/>
      <c r="AG471" s="209" t="str">
        <f>IFERROR(INDEX('Local Data Previous Year'!$F:$F, MATCH($D471, 'Local Data Previous Year'!$D:$D, 0)), "")</f>
        <v/>
      </c>
      <c r="AH471" s="209" t="str">
        <f>IFERROR(INDEX('Local Data Previous Year'!$G:$G, MATCH($D471, 'Local Data Previous Year'!$D:$D, 0)), "")</f>
        <v/>
      </c>
      <c r="AI471" s="209" t="str">
        <f>IFERROR(INDEX('Local Data Previous Year'!$H:$H, MATCH($D471, 'Local Data Previous Year'!$D:$D, 0)), "")</f>
        <v/>
      </c>
      <c r="AJ471" s="209" t="str">
        <f t="shared" si="78"/>
        <v/>
      </c>
      <c r="AK471" s="209" t="str">
        <f t="shared" si="79"/>
        <v/>
      </c>
      <c r="AL471" s="209" t="str">
        <f t="shared" si="80"/>
        <v/>
      </c>
      <c r="AM471" s="208" t="str">
        <f>IF($AN471="","",IFERROR(VLOOKUP(CONCATENATE(CTR1_Billing!$E$20,$AN471),'Local Data Previous Year'!$C$3:$D$50000,2,0),CTR1_Billing!$E$21&amp;"NEW"))</f>
        <v/>
      </c>
      <c r="AN471" s="209" t="str" cm="1">
        <f t="array" ref="AN471">IF(ISERROR(INDEX('Local Data Previous Year'!$E$3:$E$50000, SMALL(IF(CTR1_Billing!$E$21='Local Data Previous Year'!$A$3:$A$50000, ROW('Local Data Previous Year'!$A$3:$A$50000)-ROW('Local Data Previous Year'!$A$3)+1), ROW(439:439)))), "", INDEX('Local Data Previous Year'!$E$3:$E$50000, SMALL(IF(CTR1_Billing!$E$21='Local Data Previous Year'!$A$3:$A$50000, ROW('Local Data Previous Year'!$A$3:$A$50000)-ROW('Local Data Previous Year'!$A$3)+1), ROW(439:439))))</f>
        <v/>
      </c>
      <c r="AO471" s="209" t="str">
        <f t="shared" si="81"/>
        <v/>
      </c>
      <c r="AP471" s="208"/>
      <c r="AQ471" s="209" t="str">
        <f t="shared" si="82"/>
        <v/>
      </c>
      <c r="AR471" s="209" t="str">
        <f t="shared" si="83"/>
        <v/>
      </c>
      <c r="AS471" s="202" t="str">
        <f t="shared" si="84"/>
        <v/>
      </c>
      <c r="AT471" s="202" t="str">
        <f t="shared" si="85"/>
        <v/>
      </c>
      <c r="AU471" s="208"/>
      <c r="AV471" s="208"/>
      <c r="AW471" s="208"/>
      <c r="AX471" s="208"/>
      <c r="AY471" s="208"/>
      <c r="AZ471" s="208"/>
      <c r="BA471" s="208"/>
      <c r="BB471" s="208"/>
      <c r="BC471" s="208"/>
      <c r="BD471" s="208"/>
      <c r="BE471" s="208"/>
      <c r="BF471" s="208"/>
      <c r="BG471" s="28"/>
      <c r="BH471" s="28"/>
      <c r="BI471" s="28"/>
      <c r="BJ471" s="28"/>
    </row>
    <row r="472" spans="1:62" s="23" customFormat="1" ht="21" customHeight="1" thickBot="1" x14ac:dyDescent="0.25">
      <c r="A472" s="846" t="str">
        <f>IF($AN472="","",IFERROR(VLOOKUP(CONCATENATE(CTR1_Billing!$E$20,$AN472),'Local Data Previous Year'!$C$3:$D$20000,2,0),CTR1_Billing!$E$21&amp;"NEW"))</f>
        <v/>
      </c>
      <c r="B472" s="846" t="str">
        <f>IF($E472="","",IFERROR(VLOOKUP(CONCATENATE(CTR1_Billing!$E$20,CTR1_Local!$E472),'Local Data Previous Year'!$C$3:$D$20000,2,0),CTR1_Billing!$E$21&amp;"NEW"))</f>
        <v/>
      </c>
      <c r="C472" s="846">
        <v>440</v>
      </c>
      <c r="D472" s="755" t="str" cm="1">
        <f t="array" ref="D472">IF(ISERROR(INDEX('Local Data Previous Year'!$D$3:$D$20000,SMALL(IF(CTR1_Billing!$E$21='Local Data Previous Year'!$A$3:$A$20000,ROW('Local Data Previous Year'!$A$3:$A$20000)-ROW('Local Data Previous Year'!$A$3)+1),ROW(440:440)))),"",INDEX('Local Data Previous Year'!$D$3:$D$20000,SMALL(IF(CTR1_Billing!$E$21='Local Data Previous Year'!$A$3:$A$20000,ROW('Local Data Previous Year'!$A$3:$A$20000)-ROW('Local Data Previous Year'!$A$3)+1),ROW(440:440))))</f>
        <v/>
      </c>
      <c r="E472" s="755" t="str" cm="1">
        <f t="array" ref="E472">IF(ISERROR(INDEX('Local Data Previous Year'!$E$3:$E$20000,SMALL(IF(CTR1_Billing!$E$21='Local Data Previous Year'!$A$3:$A$20000,ROW('Local Data Previous Year'!$A$3:$A$20000)-ROW('Local Data Previous Year'!$A$3)+1),ROW(440:440)))),"",INDEX('Local Data Previous Year'!$E$3:$E$20000,SMALL(IF(CTR1_Billing!$E$21='Local Data Previous Year'!$A$3:$A$20000,ROW('Local Data Previous Year'!$A$3:$A$20000)-ROW('Local Data Previous Year'!$A$3)+1),ROW(440:440))))</f>
        <v/>
      </c>
      <c r="F472" s="756" t="str">
        <f>IF($D472="","",IF(ISNA(MATCH($D472,'Local Data Previous Year'!$D$3:$D$20000,0)),"New",IFERROR(VLOOKUP($B472,'Local Data Previous Year'!$D$3:$I$20000,6,0),"")))</f>
        <v/>
      </c>
      <c r="G472" s="757">
        <f t="shared" si="86"/>
        <v>0</v>
      </c>
      <c r="H472" s="758" t="str">
        <f>IFERROR(INDEX('Local Data Previous Year'!$F:$F, MATCH($D472, 'Local Data Previous Year'!$D:$D, 0)), "")</f>
        <v/>
      </c>
      <c r="I472" s="759">
        <f>IF(B472=CTR1_Billing!$E$21&amp;"NEW",1,0)</f>
        <v>0</v>
      </c>
      <c r="J472" s="760" t="str">
        <f>IFERROR(INDEX('Local Data Previous Year'!$G:$G, MATCH($D472, 'Local Data Previous Year'!$D:$D, 0)), "")</f>
        <v/>
      </c>
      <c r="K472" s="762"/>
      <c r="L472" s="760" t="str">
        <f>IFERROR(INDEX('Local Data Previous Year'!$H:$H, MATCH($D472, 'Local Data Previous Year'!$D:$D, 0)), "")</f>
        <v/>
      </c>
      <c r="M472" s="762"/>
      <c r="N472" s="763"/>
      <c r="O472" s="767"/>
      <c r="P472" s="765"/>
      <c r="Q472" s="767"/>
      <c r="R472" s="766" t="str">
        <f t="shared" si="87"/>
        <v/>
      </c>
      <c r="S472" s="754"/>
      <c r="T472" s="763"/>
      <c r="U472" s="754"/>
      <c r="V472" s="763"/>
      <c r="W472" s="763"/>
      <c r="X472" s="865" t="str">
        <f>VLOOKUP(CTR1_Billing!$E$21,Data!$C$6:$D$302,1,FALSE)</f>
        <v>EZZZZ</v>
      </c>
      <c r="Y472" s="205"/>
      <c r="Z472" s="205">
        <f t="shared" si="76"/>
        <v>0</v>
      </c>
      <c r="AA472" s="206" t="str">
        <f t="shared" si="40"/>
        <v/>
      </c>
      <c r="AB472" s="205">
        <f t="shared" si="77"/>
        <v>0</v>
      </c>
      <c r="AC472" s="208"/>
      <c r="AD472" s="208"/>
      <c r="AE472" s="208"/>
      <c r="AF472" s="208"/>
      <c r="AG472" s="209" t="str">
        <f>IFERROR(INDEX('Local Data Previous Year'!$F:$F, MATCH($D472, 'Local Data Previous Year'!$D:$D, 0)), "")</f>
        <v/>
      </c>
      <c r="AH472" s="209" t="str">
        <f>IFERROR(INDEX('Local Data Previous Year'!$G:$G, MATCH($D472, 'Local Data Previous Year'!$D:$D, 0)), "")</f>
        <v/>
      </c>
      <c r="AI472" s="209" t="str">
        <f>IFERROR(INDEX('Local Data Previous Year'!$H:$H, MATCH($D472, 'Local Data Previous Year'!$D:$D, 0)), "")</f>
        <v/>
      </c>
      <c r="AJ472" s="209" t="str">
        <f t="shared" si="78"/>
        <v/>
      </c>
      <c r="AK472" s="209" t="str">
        <f t="shared" si="79"/>
        <v/>
      </c>
      <c r="AL472" s="209" t="str">
        <f t="shared" si="80"/>
        <v/>
      </c>
      <c r="AM472" s="208" t="str">
        <f>IF($AN472="","",IFERROR(VLOOKUP(CONCATENATE(CTR1_Billing!$E$20,$AN472),'Local Data Previous Year'!$C$3:$D$50000,2,0),CTR1_Billing!$E$21&amp;"NEW"))</f>
        <v/>
      </c>
      <c r="AN472" s="209" t="str" cm="1">
        <f t="array" ref="AN472">IF(ISERROR(INDEX('Local Data Previous Year'!$E$3:$E$50000, SMALL(IF(CTR1_Billing!$E$21='Local Data Previous Year'!$A$3:$A$50000, ROW('Local Data Previous Year'!$A$3:$A$50000)-ROW('Local Data Previous Year'!$A$3)+1), ROW(440:440)))), "", INDEX('Local Data Previous Year'!$E$3:$E$50000, SMALL(IF(CTR1_Billing!$E$21='Local Data Previous Year'!$A$3:$A$50000, ROW('Local Data Previous Year'!$A$3:$A$50000)-ROW('Local Data Previous Year'!$A$3)+1), ROW(440:440))))</f>
        <v/>
      </c>
      <c r="AO472" s="209" t="str">
        <f t="shared" si="81"/>
        <v/>
      </c>
      <c r="AP472" s="208"/>
      <c r="AQ472" s="209" t="str">
        <f t="shared" si="82"/>
        <v/>
      </c>
      <c r="AR472" s="209" t="str">
        <f t="shared" si="83"/>
        <v/>
      </c>
      <c r="AS472" s="202" t="str">
        <f t="shared" si="84"/>
        <v/>
      </c>
      <c r="AT472" s="202" t="str">
        <f t="shared" si="85"/>
        <v/>
      </c>
      <c r="AU472" s="208"/>
      <c r="AV472" s="208"/>
      <c r="AW472" s="208"/>
      <c r="AX472" s="208"/>
      <c r="AY472" s="208"/>
      <c r="AZ472" s="208"/>
      <c r="BA472" s="208"/>
      <c r="BB472" s="208"/>
      <c r="BC472" s="208"/>
      <c r="BD472" s="208"/>
      <c r="BE472" s="208"/>
      <c r="BF472" s="208"/>
      <c r="BG472" s="28"/>
      <c r="BH472" s="28"/>
      <c r="BI472" s="28"/>
      <c r="BJ472" s="28"/>
    </row>
    <row r="473" spans="1:62" s="23" customFormat="1" ht="21" customHeight="1" thickBot="1" x14ac:dyDescent="0.25">
      <c r="A473" s="846" t="str">
        <f>IF($AN473="","",IFERROR(VLOOKUP(CONCATENATE(CTR1_Billing!$E$20,$AN473),'Local Data Previous Year'!$C$3:$D$20000,2,0),CTR1_Billing!$E$21&amp;"NEW"))</f>
        <v/>
      </c>
      <c r="B473" s="846" t="str">
        <f>IF($E473="","",IFERROR(VLOOKUP(CONCATENATE(CTR1_Billing!$E$20,CTR1_Local!$E473),'Local Data Previous Year'!$C$3:$D$20000,2,0),CTR1_Billing!$E$21&amp;"NEW"))</f>
        <v/>
      </c>
      <c r="C473" s="846">
        <v>441</v>
      </c>
      <c r="D473" s="755" t="str" cm="1">
        <f t="array" ref="D473">IF(ISERROR(INDEX('Local Data Previous Year'!$D$3:$D$20000,SMALL(IF(CTR1_Billing!$E$21='Local Data Previous Year'!$A$3:$A$20000,ROW('Local Data Previous Year'!$A$3:$A$20000)-ROW('Local Data Previous Year'!$A$3)+1),ROW(441:441)))),"",INDEX('Local Data Previous Year'!$D$3:$D$20000,SMALL(IF(CTR1_Billing!$E$21='Local Data Previous Year'!$A$3:$A$20000,ROW('Local Data Previous Year'!$A$3:$A$20000)-ROW('Local Data Previous Year'!$A$3)+1),ROW(441:441))))</f>
        <v/>
      </c>
      <c r="E473" s="755" t="str" cm="1">
        <f t="array" ref="E473">IF(ISERROR(INDEX('Local Data Previous Year'!$E$3:$E$20000,SMALL(IF(CTR1_Billing!$E$21='Local Data Previous Year'!$A$3:$A$20000,ROW('Local Data Previous Year'!$A$3:$A$20000)-ROW('Local Data Previous Year'!$A$3)+1),ROW(441:441)))),"",INDEX('Local Data Previous Year'!$E$3:$E$20000,SMALL(IF(CTR1_Billing!$E$21='Local Data Previous Year'!$A$3:$A$20000,ROW('Local Data Previous Year'!$A$3:$A$20000)-ROW('Local Data Previous Year'!$A$3)+1),ROW(441:441))))</f>
        <v/>
      </c>
      <c r="F473" s="756" t="str">
        <f>IF($D473="","",IF(ISNA(MATCH($D473,'Local Data Previous Year'!$D$3:$D$20000,0)),"New",IFERROR(VLOOKUP($B473,'Local Data Previous Year'!$D$3:$I$20000,6,0),"")))</f>
        <v/>
      </c>
      <c r="G473" s="757">
        <f t="shared" si="86"/>
        <v>0</v>
      </c>
      <c r="H473" s="758" t="str">
        <f>IFERROR(INDEX('Local Data Previous Year'!$F:$F, MATCH($D473, 'Local Data Previous Year'!$D:$D, 0)), "")</f>
        <v/>
      </c>
      <c r="I473" s="759">
        <f>IF(B473=CTR1_Billing!$E$21&amp;"NEW",1,0)</f>
        <v>0</v>
      </c>
      <c r="J473" s="760" t="str">
        <f>IFERROR(INDEX('Local Data Previous Year'!$G:$G, MATCH($D473, 'Local Data Previous Year'!$D:$D, 0)), "")</f>
        <v/>
      </c>
      <c r="K473" s="762"/>
      <c r="L473" s="760" t="str">
        <f>IFERROR(INDEX('Local Data Previous Year'!$H:$H, MATCH($D473, 'Local Data Previous Year'!$D:$D, 0)), "")</f>
        <v/>
      </c>
      <c r="M473" s="762"/>
      <c r="N473" s="763"/>
      <c r="O473" s="767"/>
      <c r="P473" s="765"/>
      <c r="Q473" s="767"/>
      <c r="R473" s="766" t="str">
        <f t="shared" si="87"/>
        <v/>
      </c>
      <c r="S473" s="754"/>
      <c r="T473" s="763"/>
      <c r="U473" s="754"/>
      <c r="V473" s="763"/>
      <c r="W473" s="763"/>
      <c r="X473" s="865" t="str">
        <f>VLOOKUP(CTR1_Billing!$E$21,Data!$C$6:$D$302,1,FALSE)</f>
        <v>EZZZZ</v>
      </c>
      <c r="Y473" s="205"/>
      <c r="Z473" s="205">
        <f t="shared" si="76"/>
        <v>0</v>
      </c>
      <c r="AA473" s="206" t="str">
        <f t="shared" si="40"/>
        <v/>
      </c>
      <c r="AB473" s="205">
        <f t="shared" si="77"/>
        <v>0</v>
      </c>
      <c r="AC473" s="208"/>
      <c r="AD473" s="208"/>
      <c r="AE473" s="208"/>
      <c r="AF473" s="208"/>
      <c r="AG473" s="209" t="str">
        <f>IFERROR(INDEX('Local Data Previous Year'!$F:$F, MATCH($D473, 'Local Data Previous Year'!$D:$D, 0)), "")</f>
        <v/>
      </c>
      <c r="AH473" s="209" t="str">
        <f>IFERROR(INDEX('Local Data Previous Year'!$G:$G, MATCH($D473, 'Local Data Previous Year'!$D:$D, 0)), "")</f>
        <v/>
      </c>
      <c r="AI473" s="209" t="str">
        <f>IFERROR(INDEX('Local Data Previous Year'!$H:$H, MATCH($D473, 'Local Data Previous Year'!$D:$D, 0)), "")</f>
        <v/>
      </c>
      <c r="AJ473" s="209" t="str">
        <f t="shared" si="78"/>
        <v/>
      </c>
      <c r="AK473" s="209" t="str">
        <f t="shared" si="79"/>
        <v/>
      </c>
      <c r="AL473" s="209" t="str">
        <f t="shared" si="80"/>
        <v/>
      </c>
      <c r="AM473" s="208" t="str">
        <f>IF($AN473="","",IFERROR(VLOOKUP(CONCATENATE(CTR1_Billing!$E$20,$AN473),'Local Data Previous Year'!$C$3:$D$50000,2,0),CTR1_Billing!$E$21&amp;"NEW"))</f>
        <v/>
      </c>
      <c r="AN473" s="209" t="str" cm="1">
        <f t="array" ref="AN473">IF(ISERROR(INDEX('Local Data Previous Year'!$E$3:$E$50000, SMALL(IF(CTR1_Billing!$E$21='Local Data Previous Year'!$A$3:$A$50000, ROW('Local Data Previous Year'!$A$3:$A$50000)-ROW('Local Data Previous Year'!$A$3)+1), ROW(441:441)))), "", INDEX('Local Data Previous Year'!$E$3:$E$50000, SMALL(IF(CTR1_Billing!$E$21='Local Data Previous Year'!$A$3:$A$50000, ROW('Local Data Previous Year'!$A$3:$A$50000)-ROW('Local Data Previous Year'!$A$3)+1), ROW(441:441))))</f>
        <v/>
      </c>
      <c r="AO473" s="209" t="str">
        <f t="shared" si="81"/>
        <v/>
      </c>
      <c r="AP473" s="208"/>
      <c r="AQ473" s="209" t="str">
        <f t="shared" si="82"/>
        <v/>
      </c>
      <c r="AR473" s="209" t="str">
        <f t="shared" si="83"/>
        <v/>
      </c>
      <c r="AS473" s="202" t="str">
        <f t="shared" si="84"/>
        <v/>
      </c>
      <c r="AT473" s="202" t="str">
        <f t="shared" si="85"/>
        <v/>
      </c>
      <c r="AU473" s="208"/>
      <c r="AV473" s="208"/>
      <c r="AW473" s="208"/>
      <c r="AX473" s="208"/>
      <c r="AY473" s="208"/>
      <c r="AZ473" s="208"/>
      <c r="BA473" s="208"/>
      <c r="BB473" s="208"/>
      <c r="BC473" s="208"/>
      <c r="BD473" s="208"/>
      <c r="BE473" s="208"/>
      <c r="BF473" s="208"/>
      <c r="BG473" s="28"/>
      <c r="BH473" s="28"/>
      <c r="BI473" s="28"/>
      <c r="BJ473" s="28"/>
    </row>
    <row r="474" spans="1:62" s="23" customFormat="1" ht="21" customHeight="1" thickBot="1" x14ac:dyDescent="0.25">
      <c r="A474" s="846" t="str">
        <f>IF($AN474="","",IFERROR(VLOOKUP(CONCATENATE(CTR1_Billing!$E$20,$AN474),'Local Data Previous Year'!$C$3:$D$20000,2,0),CTR1_Billing!$E$21&amp;"NEW"))</f>
        <v/>
      </c>
      <c r="B474" s="846" t="str">
        <f>IF($E474="","",IFERROR(VLOOKUP(CONCATENATE(CTR1_Billing!$E$20,CTR1_Local!$E474),'Local Data Previous Year'!$C$3:$D$20000,2,0),CTR1_Billing!$E$21&amp;"NEW"))</f>
        <v/>
      </c>
      <c r="C474" s="846">
        <v>442</v>
      </c>
      <c r="D474" s="755" t="str" cm="1">
        <f t="array" ref="D474">IF(ISERROR(INDEX('Local Data Previous Year'!$D$3:$D$20000,SMALL(IF(CTR1_Billing!$E$21='Local Data Previous Year'!$A$3:$A$20000,ROW('Local Data Previous Year'!$A$3:$A$20000)-ROW('Local Data Previous Year'!$A$3)+1),ROW(442:442)))),"",INDEX('Local Data Previous Year'!$D$3:$D$20000,SMALL(IF(CTR1_Billing!$E$21='Local Data Previous Year'!$A$3:$A$20000,ROW('Local Data Previous Year'!$A$3:$A$20000)-ROW('Local Data Previous Year'!$A$3)+1),ROW(442:442))))</f>
        <v/>
      </c>
      <c r="E474" s="755" t="str" cm="1">
        <f t="array" ref="E474">IF(ISERROR(INDEX('Local Data Previous Year'!$E$3:$E$20000,SMALL(IF(CTR1_Billing!$E$21='Local Data Previous Year'!$A$3:$A$20000,ROW('Local Data Previous Year'!$A$3:$A$20000)-ROW('Local Data Previous Year'!$A$3)+1),ROW(442:442)))),"",INDEX('Local Data Previous Year'!$E$3:$E$20000,SMALL(IF(CTR1_Billing!$E$21='Local Data Previous Year'!$A$3:$A$20000,ROW('Local Data Previous Year'!$A$3:$A$20000)-ROW('Local Data Previous Year'!$A$3)+1),ROW(442:442))))</f>
        <v/>
      </c>
      <c r="F474" s="756" t="str">
        <f>IF($D474="","",IF(ISNA(MATCH($D474,'Local Data Previous Year'!$D$3:$D$20000,0)),"New",IFERROR(VLOOKUP($B474,'Local Data Previous Year'!$D$3:$I$20000,6,0),"")))</f>
        <v/>
      </c>
      <c r="G474" s="757">
        <f t="shared" si="86"/>
        <v>0</v>
      </c>
      <c r="H474" s="758" t="str">
        <f>IFERROR(INDEX('Local Data Previous Year'!$F:$F, MATCH($D474, 'Local Data Previous Year'!$D:$D, 0)), "")</f>
        <v/>
      </c>
      <c r="I474" s="759">
        <f>IF(B474=CTR1_Billing!$E$21&amp;"NEW",1,0)</f>
        <v>0</v>
      </c>
      <c r="J474" s="760" t="str">
        <f>IFERROR(INDEX('Local Data Previous Year'!$G:$G, MATCH($D474, 'Local Data Previous Year'!$D:$D, 0)), "")</f>
        <v/>
      </c>
      <c r="K474" s="762"/>
      <c r="L474" s="760" t="str">
        <f>IFERROR(INDEX('Local Data Previous Year'!$H:$H, MATCH($D474, 'Local Data Previous Year'!$D:$D, 0)), "")</f>
        <v/>
      </c>
      <c r="M474" s="762"/>
      <c r="N474" s="763"/>
      <c r="O474" s="767"/>
      <c r="P474" s="765"/>
      <c r="Q474" s="767"/>
      <c r="R474" s="766" t="str">
        <f t="shared" si="87"/>
        <v/>
      </c>
      <c r="S474" s="754"/>
      <c r="T474" s="763"/>
      <c r="U474" s="754"/>
      <c r="V474" s="763"/>
      <c r="W474" s="763"/>
      <c r="X474" s="865" t="str">
        <f>VLOOKUP(CTR1_Billing!$E$21,Data!$C$6:$D$302,1,FALSE)</f>
        <v>EZZZZ</v>
      </c>
      <c r="Y474" s="205"/>
      <c r="Z474" s="205">
        <f t="shared" si="76"/>
        <v>0</v>
      </c>
      <c r="AA474" s="206" t="str">
        <f t="shared" si="40"/>
        <v/>
      </c>
      <c r="AB474" s="205">
        <f t="shared" si="77"/>
        <v>0</v>
      </c>
      <c r="AC474" s="208"/>
      <c r="AD474" s="208"/>
      <c r="AE474" s="208"/>
      <c r="AF474" s="208"/>
      <c r="AG474" s="209" t="str">
        <f>IFERROR(INDEX('Local Data Previous Year'!$F:$F, MATCH($D474, 'Local Data Previous Year'!$D:$D, 0)), "")</f>
        <v/>
      </c>
      <c r="AH474" s="209" t="str">
        <f>IFERROR(INDEX('Local Data Previous Year'!$G:$G, MATCH($D474, 'Local Data Previous Year'!$D:$D, 0)), "")</f>
        <v/>
      </c>
      <c r="AI474" s="209" t="str">
        <f>IFERROR(INDEX('Local Data Previous Year'!$H:$H, MATCH($D474, 'Local Data Previous Year'!$D:$D, 0)), "")</f>
        <v/>
      </c>
      <c r="AJ474" s="209" t="str">
        <f t="shared" si="78"/>
        <v/>
      </c>
      <c r="AK474" s="209" t="str">
        <f t="shared" si="79"/>
        <v/>
      </c>
      <c r="AL474" s="209" t="str">
        <f t="shared" si="80"/>
        <v/>
      </c>
      <c r="AM474" s="208" t="str">
        <f>IF($AN474="","",IFERROR(VLOOKUP(CONCATENATE(CTR1_Billing!$E$20,$AN474),'Local Data Previous Year'!$C$3:$D$50000,2,0),CTR1_Billing!$E$21&amp;"NEW"))</f>
        <v/>
      </c>
      <c r="AN474" s="209" t="str" cm="1">
        <f t="array" ref="AN474">IF(ISERROR(INDEX('Local Data Previous Year'!$E$3:$E$50000, SMALL(IF(CTR1_Billing!$E$21='Local Data Previous Year'!$A$3:$A$50000, ROW('Local Data Previous Year'!$A$3:$A$50000)-ROW('Local Data Previous Year'!$A$3)+1), ROW(442:442)))), "", INDEX('Local Data Previous Year'!$E$3:$E$50000, SMALL(IF(CTR1_Billing!$E$21='Local Data Previous Year'!$A$3:$A$50000, ROW('Local Data Previous Year'!$A$3:$A$50000)-ROW('Local Data Previous Year'!$A$3)+1), ROW(442:442))))</f>
        <v/>
      </c>
      <c r="AO474" s="209" t="str">
        <f t="shared" si="81"/>
        <v/>
      </c>
      <c r="AP474" s="208"/>
      <c r="AQ474" s="209" t="str">
        <f t="shared" si="82"/>
        <v/>
      </c>
      <c r="AR474" s="209" t="str">
        <f t="shared" si="83"/>
        <v/>
      </c>
      <c r="AS474" s="202" t="str">
        <f t="shared" si="84"/>
        <v/>
      </c>
      <c r="AT474" s="202" t="str">
        <f t="shared" si="85"/>
        <v/>
      </c>
      <c r="AU474" s="208"/>
      <c r="AV474" s="208"/>
      <c r="AW474" s="208"/>
      <c r="AX474" s="208"/>
      <c r="AY474" s="208"/>
      <c r="AZ474" s="208"/>
      <c r="BA474" s="208"/>
      <c r="BB474" s="208"/>
      <c r="BC474" s="208"/>
      <c r="BD474" s="208"/>
      <c r="BE474" s="208"/>
      <c r="BF474" s="208"/>
      <c r="BG474" s="28"/>
      <c r="BH474" s="28"/>
      <c r="BI474" s="28"/>
      <c r="BJ474" s="28"/>
    </row>
    <row r="475" spans="1:62" s="23" customFormat="1" ht="21" customHeight="1" thickBot="1" x14ac:dyDescent="0.25">
      <c r="A475" s="846" t="str">
        <f>IF($AN475="","",IFERROR(VLOOKUP(CONCATENATE(CTR1_Billing!$E$20,$AN475),'Local Data Previous Year'!$C$3:$D$20000,2,0),CTR1_Billing!$E$21&amp;"NEW"))</f>
        <v/>
      </c>
      <c r="B475" s="846" t="str">
        <f>IF($E475="","",IFERROR(VLOOKUP(CONCATENATE(CTR1_Billing!$E$20,CTR1_Local!$E475),'Local Data Previous Year'!$C$3:$D$20000,2,0),CTR1_Billing!$E$21&amp;"NEW"))</f>
        <v/>
      </c>
      <c r="C475" s="846">
        <v>443</v>
      </c>
      <c r="D475" s="755" t="str" cm="1">
        <f t="array" ref="D475">IF(ISERROR(INDEX('Local Data Previous Year'!$D$3:$D$20000,SMALL(IF(CTR1_Billing!$E$21='Local Data Previous Year'!$A$3:$A$20000,ROW('Local Data Previous Year'!$A$3:$A$20000)-ROW('Local Data Previous Year'!$A$3)+1),ROW(443:443)))),"",INDEX('Local Data Previous Year'!$D$3:$D$20000,SMALL(IF(CTR1_Billing!$E$21='Local Data Previous Year'!$A$3:$A$20000,ROW('Local Data Previous Year'!$A$3:$A$20000)-ROW('Local Data Previous Year'!$A$3)+1),ROW(443:443))))</f>
        <v/>
      </c>
      <c r="E475" s="755" t="str" cm="1">
        <f t="array" ref="E475">IF(ISERROR(INDEX('Local Data Previous Year'!$E$3:$E$20000,SMALL(IF(CTR1_Billing!$E$21='Local Data Previous Year'!$A$3:$A$20000,ROW('Local Data Previous Year'!$A$3:$A$20000)-ROW('Local Data Previous Year'!$A$3)+1),ROW(443:443)))),"",INDEX('Local Data Previous Year'!$E$3:$E$20000,SMALL(IF(CTR1_Billing!$E$21='Local Data Previous Year'!$A$3:$A$20000,ROW('Local Data Previous Year'!$A$3:$A$20000)-ROW('Local Data Previous Year'!$A$3)+1),ROW(443:443))))</f>
        <v/>
      </c>
      <c r="F475" s="756" t="str">
        <f>IF($D475="","",IF(ISNA(MATCH($D475,'Local Data Previous Year'!$D$3:$D$20000,0)),"New",IFERROR(VLOOKUP($B475,'Local Data Previous Year'!$D$3:$I$20000,6,0),"")))</f>
        <v/>
      </c>
      <c r="G475" s="757">
        <f t="shared" si="86"/>
        <v>0</v>
      </c>
      <c r="H475" s="758" t="str">
        <f>IFERROR(INDEX('Local Data Previous Year'!$F:$F, MATCH($D475, 'Local Data Previous Year'!$D:$D, 0)), "")</f>
        <v/>
      </c>
      <c r="I475" s="759">
        <f>IF(B475=CTR1_Billing!$E$21&amp;"NEW",1,0)</f>
        <v>0</v>
      </c>
      <c r="J475" s="760" t="str">
        <f>IFERROR(INDEX('Local Data Previous Year'!$G:$G, MATCH($D475, 'Local Data Previous Year'!$D:$D, 0)), "")</f>
        <v/>
      </c>
      <c r="K475" s="762"/>
      <c r="L475" s="760" t="str">
        <f>IFERROR(INDEX('Local Data Previous Year'!$H:$H, MATCH($D475, 'Local Data Previous Year'!$D:$D, 0)), "")</f>
        <v/>
      </c>
      <c r="M475" s="762"/>
      <c r="N475" s="763"/>
      <c r="O475" s="767"/>
      <c r="P475" s="765"/>
      <c r="Q475" s="767"/>
      <c r="R475" s="766" t="str">
        <f t="shared" si="87"/>
        <v/>
      </c>
      <c r="S475" s="754"/>
      <c r="T475" s="763"/>
      <c r="U475" s="754"/>
      <c r="V475" s="763"/>
      <c r="W475" s="763"/>
      <c r="X475" s="865" t="str">
        <f>VLOOKUP(CTR1_Billing!$E$21,Data!$C$6:$D$302,1,FALSE)</f>
        <v>EZZZZ</v>
      </c>
      <c r="Y475" s="205"/>
      <c r="Z475" s="205">
        <f t="shared" si="76"/>
        <v>0</v>
      </c>
      <c r="AA475" s="206" t="str">
        <f t="shared" si="40"/>
        <v/>
      </c>
      <c r="AB475" s="205">
        <f t="shared" si="77"/>
        <v>0</v>
      </c>
      <c r="AC475" s="208"/>
      <c r="AD475" s="208"/>
      <c r="AE475" s="208"/>
      <c r="AF475" s="208"/>
      <c r="AG475" s="209" t="str">
        <f>IFERROR(INDEX('Local Data Previous Year'!$F:$F, MATCH($D475, 'Local Data Previous Year'!$D:$D, 0)), "")</f>
        <v/>
      </c>
      <c r="AH475" s="209" t="str">
        <f>IFERROR(INDEX('Local Data Previous Year'!$G:$G, MATCH($D475, 'Local Data Previous Year'!$D:$D, 0)), "")</f>
        <v/>
      </c>
      <c r="AI475" s="209" t="str">
        <f>IFERROR(INDEX('Local Data Previous Year'!$H:$H, MATCH($D475, 'Local Data Previous Year'!$D:$D, 0)), "")</f>
        <v/>
      </c>
      <c r="AJ475" s="209" t="str">
        <f t="shared" si="78"/>
        <v/>
      </c>
      <c r="AK475" s="209" t="str">
        <f t="shared" si="79"/>
        <v/>
      </c>
      <c r="AL475" s="209" t="str">
        <f t="shared" si="80"/>
        <v/>
      </c>
      <c r="AM475" s="208" t="str">
        <f>IF($AN475="","",IFERROR(VLOOKUP(CONCATENATE(CTR1_Billing!$E$20,$AN475),'Local Data Previous Year'!$C$3:$D$50000,2,0),CTR1_Billing!$E$21&amp;"NEW"))</f>
        <v/>
      </c>
      <c r="AN475" s="209" t="str" cm="1">
        <f t="array" ref="AN475">IF(ISERROR(INDEX('Local Data Previous Year'!$E$3:$E$50000, SMALL(IF(CTR1_Billing!$E$21='Local Data Previous Year'!$A$3:$A$50000, ROW('Local Data Previous Year'!$A$3:$A$50000)-ROW('Local Data Previous Year'!$A$3)+1), ROW(443:443)))), "", INDEX('Local Data Previous Year'!$E$3:$E$50000, SMALL(IF(CTR1_Billing!$E$21='Local Data Previous Year'!$A$3:$A$50000, ROW('Local Data Previous Year'!$A$3:$A$50000)-ROW('Local Data Previous Year'!$A$3)+1), ROW(443:443))))</f>
        <v/>
      </c>
      <c r="AO475" s="209" t="str">
        <f t="shared" si="81"/>
        <v/>
      </c>
      <c r="AP475" s="208"/>
      <c r="AQ475" s="209" t="str">
        <f t="shared" si="82"/>
        <v/>
      </c>
      <c r="AR475" s="209" t="str">
        <f t="shared" si="83"/>
        <v/>
      </c>
      <c r="AS475" s="202" t="str">
        <f t="shared" si="84"/>
        <v/>
      </c>
      <c r="AT475" s="202" t="str">
        <f t="shared" si="85"/>
        <v/>
      </c>
      <c r="AU475" s="208"/>
      <c r="AV475" s="208"/>
      <c r="AW475" s="208"/>
      <c r="AX475" s="208"/>
      <c r="AY475" s="208"/>
      <c r="AZ475" s="208"/>
      <c r="BA475" s="208"/>
      <c r="BB475" s="208"/>
      <c r="BC475" s="208"/>
      <c r="BD475" s="208"/>
      <c r="BE475" s="208"/>
      <c r="BF475" s="208"/>
      <c r="BG475" s="28"/>
      <c r="BH475" s="28"/>
      <c r="BI475" s="28"/>
      <c r="BJ475" s="28"/>
    </row>
    <row r="476" spans="1:62" s="23" customFormat="1" ht="21" customHeight="1" thickBot="1" x14ac:dyDescent="0.25">
      <c r="A476" s="846" t="str">
        <f>IF($AN476="","",IFERROR(VLOOKUP(CONCATENATE(CTR1_Billing!$E$20,$AN476),'Local Data Previous Year'!$C$3:$D$20000,2,0),CTR1_Billing!$E$21&amp;"NEW"))</f>
        <v/>
      </c>
      <c r="B476" s="846" t="str">
        <f>IF($E476="","",IFERROR(VLOOKUP(CONCATENATE(CTR1_Billing!$E$20,CTR1_Local!$E476),'Local Data Previous Year'!$C$3:$D$20000,2,0),CTR1_Billing!$E$21&amp;"NEW"))</f>
        <v/>
      </c>
      <c r="C476" s="846">
        <v>444</v>
      </c>
      <c r="D476" s="755" t="str" cm="1">
        <f t="array" ref="D476">IF(ISERROR(INDEX('Local Data Previous Year'!$D$3:$D$20000,SMALL(IF(CTR1_Billing!$E$21='Local Data Previous Year'!$A$3:$A$20000,ROW('Local Data Previous Year'!$A$3:$A$20000)-ROW('Local Data Previous Year'!$A$3)+1),ROW(444:444)))),"",INDEX('Local Data Previous Year'!$D$3:$D$20000,SMALL(IF(CTR1_Billing!$E$21='Local Data Previous Year'!$A$3:$A$20000,ROW('Local Data Previous Year'!$A$3:$A$20000)-ROW('Local Data Previous Year'!$A$3)+1),ROW(444:444))))</f>
        <v/>
      </c>
      <c r="E476" s="755" t="str" cm="1">
        <f t="array" ref="E476">IF(ISERROR(INDEX('Local Data Previous Year'!$E$3:$E$20000,SMALL(IF(CTR1_Billing!$E$21='Local Data Previous Year'!$A$3:$A$20000,ROW('Local Data Previous Year'!$A$3:$A$20000)-ROW('Local Data Previous Year'!$A$3)+1),ROW(444:444)))),"",INDEX('Local Data Previous Year'!$E$3:$E$20000,SMALL(IF(CTR1_Billing!$E$21='Local Data Previous Year'!$A$3:$A$20000,ROW('Local Data Previous Year'!$A$3:$A$20000)-ROW('Local Data Previous Year'!$A$3)+1),ROW(444:444))))</f>
        <v/>
      </c>
      <c r="F476" s="756" t="str">
        <f>IF($D476="","",IF(ISNA(MATCH($D476,'Local Data Previous Year'!$D$3:$D$20000,0)),"New",IFERROR(VLOOKUP($B476,'Local Data Previous Year'!$D$3:$I$20000,6,0),"")))</f>
        <v/>
      </c>
      <c r="G476" s="757">
        <f t="shared" si="86"/>
        <v>0</v>
      </c>
      <c r="H476" s="758" t="str">
        <f>IFERROR(INDEX('Local Data Previous Year'!$F:$F, MATCH($D476, 'Local Data Previous Year'!$D:$D, 0)), "")</f>
        <v/>
      </c>
      <c r="I476" s="759">
        <f>IF(B476=CTR1_Billing!$E$21&amp;"NEW",1,0)</f>
        <v>0</v>
      </c>
      <c r="J476" s="760" t="str">
        <f>IFERROR(INDEX('Local Data Previous Year'!$G:$G, MATCH($D476, 'Local Data Previous Year'!$D:$D, 0)), "")</f>
        <v/>
      </c>
      <c r="K476" s="762"/>
      <c r="L476" s="760" t="str">
        <f>IFERROR(INDEX('Local Data Previous Year'!$H:$H, MATCH($D476, 'Local Data Previous Year'!$D:$D, 0)), "")</f>
        <v/>
      </c>
      <c r="M476" s="762"/>
      <c r="N476" s="763"/>
      <c r="O476" s="767"/>
      <c r="P476" s="765"/>
      <c r="Q476" s="767"/>
      <c r="R476" s="766" t="str">
        <f t="shared" si="87"/>
        <v/>
      </c>
      <c r="S476" s="754"/>
      <c r="T476" s="763"/>
      <c r="U476" s="754"/>
      <c r="V476" s="763"/>
      <c r="W476" s="763"/>
      <c r="X476" s="865" t="str">
        <f>VLOOKUP(CTR1_Billing!$E$21,Data!$C$6:$D$302,1,FALSE)</f>
        <v>EZZZZ</v>
      </c>
      <c r="Y476" s="205"/>
      <c r="Z476" s="205">
        <f t="shared" si="76"/>
        <v>0</v>
      </c>
      <c r="AA476" s="206" t="str">
        <f t="shared" si="40"/>
        <v/>
      </c>
      <c r="AB476" s="205">
        <f t="shared" si="77"/>
        <v>0</v>
      </c>
      <c r="AC476" s="208"/>
      <c r="AD476" s="208"/>
      <c r="AE476" s="208"/>
      <c r="AF476" s="208"/>
      <c r="AG476" s="209" t="str">
        <f>IFERROR(INDEX('Local Data Previous Year'!$F:$F, MATCH($D476, 'Local Data Previous Year'!$D:$D, 0)), "")</f>
        <v/>
      </c>
      <c r="AH476" s="209" t="str">
        <f>IFERROR(INDEX('Local Data Previous Year'!$G:$G, MATCH($D476, 'Local Data Previous Year'!$D:$D, 0)), "")</f>
        <v/>
      </c>
      <c r="AI476" s="209" t="str">
        <f>IFERROR(INDEX('Local Data Previous Year'!$H:$H, MATCH($D476, 'Local Data Previous Year'!$D:$D, 0)), "")</f>
        <v/>
      </c>
      <c r="AJ476" s="209" t="str">
        <f t="shared" si="78"/>
        <v/>
      </c>
      <c r="AK476" s="209" t="str">
        <f t="shared" si="79"/>
        <v/>
      </c>
      <c r="AL476" s="209" t="str">
        <f t="shared" si="80"/>
        <v/>
      </c>
      <c r="AM476" s="208" t="str">
        <f>IF($AN476="","",IFERROR(VLOOKUP(CONCATENATE(CTR1_Billing!$E$20,$AN476),'Local Data Previous Year'!$C$3:$D$50000,2,0),CTR1_Billing!$E$21&amp;"NEW"))</f>
        <v/>
      </c>
      <c r="AN476" s="209" t="str" cm="1">
        <f t="array" ref="AN476">IF(ISERROR(INDEX('Local Data Previous Year'!$E$3:$E$50000, SMALL(IF(CTR1_Billing!$E$21='Local Data Previous Year'!$A$3:$A$50000, ROW('Local Data Previous Year'!$A$3:$A$50000)-ROW('Local Data Previous Year'!$A$3)+1), ROW(444:444)))), "", INDEX('Local Data Previous Year'!$E$3:$E$50000, SMALL(IF(CTR1_Billing!$E$21='Local Data Previous Year'!$A$3:$A$50000, ROW('Local Data Previous Year'!$A$3:$A$50000)-ROW('Local Data Previous Year'!$A$3)+1), ROW(444:444))))</f>
        <v/>
      </c>
      <c r="AO476" s="209" t="str">
        <f t="shared" si="81"/>
        <v/>
      </c>
      <c r="AP476" s="208"/>
      <c r="AQ476" s="209" t="str">
        <f t="shared" si="82"/>
        <v/>
      </c>
      <c r="AR476" s="209" t="str">
        <f t="shared" si="83"/>
        <v/>
      </c>
      <c r="AS476" s="202" t="str">
        <f t="shared" si="84"/>
        <v/>
      </c>
      <c r="AT476" s="202" t="str">
        <f t="shared" si="85"/>
        <v/>
      </c>
      <c r="AU476" s="208"/>
      <c r="AV476" s="208"/>
      <c r="AW476" s="208"/>
      <c r="AX476" s="208"/>
      <c r="AY476" s="208"/>
      <c r="AZ476" s="208"/>
      <c r="BA476" s="208"/>
      <c r="BB476" s="208"/>
      <c r="BC476" s="208"/>
      <c r="BD476" s="208"/>
      <c r="BE476" s="208"/>
      <c r="BF476" s="208"/>
      <c r="BG476" s="28"/>
      <c r="BH476" s="28"/>
      <c r="BI476" s="28"/>
      <c r="BJ476" s="28"/>
    </row>
    <row r="477" spans="1:62" s="23" customFormat="1" ht="21" customHeight="1" thickBot="1" x14ac:dyDescent="0.25">
      <c r="A477" s="846" t="str">
        <f>IF($AN477="","",IFERROR(VLOOKUP(CONCATENATE(CTR1_Billing!$E$20,$AN477),'Local Data Previous Year'!$C$3:$D$20000,2,0),CTR1_Billing!$E$21&amp;"NEW"))</f>
        <v/>
      </c>
      <c r="B477" s="846" t="str">
        <f>IF($E477="","",IFERROR(VLOOKUP(CONCATENATE(CTR1_Billing!$E$20,CTR1_Local!$E477),'Local Data Previous Year'!$C$3:$D$20000,2,0),CTR1_Billing!$E$21&amp;"NEW"))</f>
        <v/>
      </c>
      <c r="C477" s="846">
        <v>445</v>
      </c>
      <c r="D477" s="755" t="str" cm="1">
        <f t="array" ref="D477">IF(ISERROR(INDEX('Local Data Previous Year'!$D$3:$D$20000,SMALL(IF(CTR1_Billing!$E$21='Local Data Previous Year'!$A$3:$A$20000,ROW('Local Data Previous Year'!$A$3:$A$20000)-ROW('Local Data Previous Year'!$A$3)+1),ROW(445:445)))),"",INDEX('Local Data Previous Year'!$D$3:$D$20000,SMALL(IF(CTR1_Billing!$E$21='Local Data Previous Year'!$A$3:$A$20000,ROW('Local Data Previous Year'!$A$3:$A$20000)-ROW('Local Data Previous Year'!$A$3)+1),ROW(445:445))))</f>
        <v/>
      </c>
      <c r="E477" s="755" t="str" cm="1">
        <f t="array" ref="E477">IF(ISERROR(INDEX('Local Data Previous Year'!$E$3:$E$20000,SMALL(IF(CTR1_Billing!$E$21='Local Data Previous Year'!$A$3:$A$20000,ROW('Local Data Previous Year'!$A$3:$A$20000)-ROW('Local Data Previous Year'!$A$3)+1),ROW(445:445)))),"",INDEX('Local Data Previous Year'!$E$3:$E$20000,SMALL(IF(CTR1_Billing!$E$21='Local Data Previous Year'!$A$3:$A$20000,ROW('Local Data Previous Year'!$A$3:$A$20000)-ROW('Local Data Previous Year'!$A$3)+1),ROW(445:445))))</f>
        <v/>
      </c>
      <c r="F477" s="756" t="str">
        <f>IF($D477="","",IF(ISNA(MATCH($D477,'Local Data Previous Year'!$D$3:$D$20000,0)),"New",IFERROR(VLOOKUP($B477,'Local Data Previous Year'!$D$3:$I$20000,6,0),"")))</f>
        <v/>
      </c>
      <c r="G477" s="757">
        <f t="shared" si="86"/>
        <v>0</v>
      </c>
      <c r="H477" s="758" t="str">
        <f>IFERROR(INDEX('Local Data Previous Year'!$F:$F, MATCH($D477, 'Local Data Previous Year'!$D:$D, 0)), "")</f>
        <v/>
      </c>
      <c r="I477" s="759">
        <f>IF(B477=CTR1_Billing!$E$21&amp;"NEW",1,0)</f>
        <v>0</v>
      </c>
      <c r="J477" s="760" t="str">
        <f>IFERROR(INDEX('Local Data Previous Year'!$G:$G, MATCH($D477, 'Local Data Previous Year'!$D:$D, 0)), "")</f>
        <v/>
      </c>
      <c r="K477" s="762"/>
      <c r="L477" s="760" t="str">
        <f>IFERROR(INDEX('Local Data Previous Year'!$H:$H, MATCH($D477, 'Local Data Previous Year'!$D:$D, 0)), "")</f>
        <v/>
      </c>
      <c r="M477" s="762"/>
      <c r="N477" s="763"/>
      <c r="O477" s="767"/>
      <c r="P477" s="765"/>
      <c r="Q477" s="767"/>
      <c r="R477" s="766" t="str">
        <f t="shared" si="87"/>
        <v/>
      </c>
      <c r="S477" s="754"/>
      <c r="T477" s="763"/>
      <c r="U477" s="754"/>
      <c r="V477" s="763"/>
      <c r="W477" s="763"/>
      <c r="X477" s="865" t="str">
        <f>VLOOKUP(CTR1_Billing!$E$21,Data!$C$6:$D$302,1,FALSE)</f>
        <v>EZZZZ</v>
      </c>
      <c r="Y477" s="205"/>
      <c r="Z477" s="205">
        <f t="shared" si="76"/>
        <v>0</v>
      </c>
      <c r="AA477" s="206" t="str">
        <f t="shared" si="40"/>
        <v/>
      </c>
      <c r="AB477" s="205">
        <f t="shared" si="77"/>
        <v>0</v>
      </c>
      <c r="AC477" s="208"/>
      <c r="AD477" s="208"/>
      <c r="AE477" s="208"/>
      <c r="AF477" s="208"/>
      <c r="AG477" s="209" t="str">
        <f>IFERROR(INDEX('Local Data Previous Year'!$F:$F, MATCH($D477, 'Local Data Previous Year'!$D:$D, 0)), "")</f>
        <v/>
      </c>
      <c r="AH477" s="209" t="str">
        <f>IFERROR(INDEX('Local Data Previous Year'!$G:$G, MATCH($D477, 'Local Data Previous Year'!$D:$D, 0)), "")</f>
        <v/>
      </c>
      <c r="AI477" s="209" t="str">
        <f>IFERROR(INDEX('Local Data Previous Year'!$H:$H, MATCH($D477, 'Local Data Previous Year'!$D:$D, 0)), "")</f>
        <v/>
      </c>
      <c r="AJ477" s="209" t="str">
        <f t="shared" si="78"/>
        <v/>
      </c>
      <c r="AK477" s="209" t="str">
        <f t="shared" si="79"/>
        <v/>
      </c>
      <c r="AL477" s="209" t="str">
        <f t="shared" si="80"/>
        <v/>
      </c>
      <c r="AM477" s="208" t="str">
        <f>IF($AN477="","",IFERROR(VLOOKUP(CONCATENATE(CTR1_Billing!$E$20,$AN477),'Local Data Previous Year'!$C$3:$D$50000,2,0),CTR1_Billing!$E$21&amp;"NEW"))</f>
        <v/>
      </c>
      <c r="AN477" s="209" t="str" cm="1">
        <f t="array" ref="AN477">IF(ISERROR(INDEX('Local Data Previous Year'!$E$3:$E$50000, SMALL(IF(CTR1_Billing!$E$21='Local Data Previous Year'!$A$3:$A$50000, ROW('Local Data Previous Year'!$A$3:$A$50000)-ROW('Local Data Previous Year'!$A$3)+1), ROW(445:445)))), "", INDEX('Local Data Previous Year'!$E$3:$E$50000, SMALL(IF(CTR1_Billing!$E$21='Local Data Previous Year'!$A$3:$A$50000, ROW('Local Data Previous Year'!$A$3:$A$50000)-ROW('Local Data Previous Year'!$A$3)+1), ROW(445:445))))</f>
        <v/>
      </c>
      <c r="AO477" s="209" t="str">
        <f t="shared" si="81"/>
        <v/>
      </c>
      <c r="AP477" s="208"/>
      <c r="AQ477" s="209" t="str">
        <f t="shared" si="82"/>
        <v/>
      </c>
      <c r="AR477" s="209" t="str">
        <f t="shared" si="83"/>
        <v/>
      </c>
      <c r="AS477" s="202" t="str">
        <f t="shared" si="84"/>
        <v/>
      </c>
      <c r="AT477" s="202" t="str">
        <f t="shared" si="85"/>
        <v/>
      </c>
      <c r="AU477" s="208"/>
      <c r="AV477" s="208"/>
      <c r="AW477" s="208"/>
      <c r="AX477" s="208"/>
      <c r="AY477" s="208"/>
      <c r="AZ477" s="208"/>
      <c r="BA477" s="208"/>
      <c r="BB477" s="208"/>
      <c r="BC477" s="208"/>
      <c r="BD477" s="208"/>
      <c r="BE477" s="208"/>
      <c r="BF477" s="208"/>
      <c r="BG477" s="28"/>
      <c r="BH477" s="28"/>
      <c r="BI477" s="28"/>
      <c r="BJ477" s="28"/>
    </row>
    <row r="478" spans="1:62" s="23" customFormat="1" ht="21" customHeight="1" thickBot="1" x14ac:dyDescent="0.25">
      <c r="A478" s="846" t="str">
        <f>IF($AN478="","",IFERROR(VLOOKUP(CONCATENATE(CTR1_Billing!$E$20,$AN478),'Local Data Previous Year'!$C$3:$D$20000,2,0),CTR1_Billing!$E$21&amp;"NEW"))</f>
        <v/>
      </c>
      <c r="B478" s="846" t="str">
        <f>IF($E478="","",IFERROR(VLOOKUP(CONCATENATE(CTR1_Billing!$E$20,CTR1_Local!$E478),'Local Data Previous Year'!$C$3:$D$20000,2,0),CTR1_Billing!$E$21&amp;"NEW"))</f>
        <v/>
      </c>
      <c r="C478" s="846">
        <v>446</v>
      </c>
      <c r="D478" s="755" t="str" cm="1">
        <f t="array" ref="D478">IF(ISERROR(INDEX('Local Data Previous Year'!$D$3:$D$20000,SMALL(IF(CTR1_Billing!$E$21='Local Data Previous Year'!$A$3:$A$20000,ROW('Local Data Previous Year'!$A$3:$A$20000)-ROW('Local Data Previous Year'!$A$3)+1),ROW(446:446)))),"",INDEX('Local Data Previous Year'!$D$3:$D$20000,SMALL(IF(CTR1_Billing!$E$21='Local Data Previous Year'!$A$3:$A$20000,ROW('Local Data Previous Year'!$A$3:$A$20000)-ROW('Local Data Previous Year'!$A$3)+1),ROW(446:446))))</f>
        <v/>
      </c>
      <c r="E478" s="755" t="str" cm="1">
        <f t="array" ref="E478">IF(ISERROR(INDEX('Local Data Previous Year'!$E$3:$E$20000,SMALL(IF(CTR1_Billing!$E$21='Local Data Previous Year'!$A$3:$A$20000,ROW('Local Data Previous Year'!$A$3:$A$20000)-ROW('Local Data Previous Year'!$A$3)+1),ROW(446:446)))),"",INDEX('Local Data Previous Year'!$E$3:$E$20000,SMALL(IF(CTR1_Billing!$E$21='Local Data Previous Year'!$A$3:$A$20000,ROW('Local Data Previous Year'!$A$3:$A$20000)-ROW('Local Data Previous Year'!$A$3)+1),ROW(446:446))))</f>
        <v/>
      </c>
      <c r="F478" s="756" t="str">
        <f>IF($D478="","",IF(ISNA(MATCH($D478,'Local Data Previous Year'!$D$3:$D$20000,0)),"New",IFERROR(VLOOKUP($B478,'Local Data Previous Year'!$D$3:$I$20000,6,0),"")))</f>
        <v/>
      </c>
      <c r="G478" s="757">
        <f t="shared" si="86"/>
        <v>0</v>
      </c>
      <c r="H478" s="758" t="str">
        <f>IFERROR(INDEX('Local Data Previous Year'!$F:$F, MATCH($D478, 'Local Data Previous Year'!$D:$D, 0)), "")</f>
        <v/>
      </c>
      <c r="I478" s="759">
        <f>IF(B478=CTR1_Billing!$E$21&amp;"NEW",1,0)</f>
        <v>0</v>
      </c>
      <c r="J478" s="760" t="str">
        <f>IFERROR(INDEX('Local Data Previous Year'!$G:$G, MATCH($D478, 'Local Data Previous Year'!$D:$D, 0)), "")</f>
        <v/>
      </c>
      <c r="K478" s="762"/>
      <c r="L478" s="760" t="str">
        <f>IFERROR(INDEX('Local Data Previous Year'!$H:$H, MATCH($D478, 'Local Data Previous Year'!$D:$D, 0)), "")</f>
        <v/>
      </c>
      <c r="M478" s="762"/>
      <c r="N478" s="763"/>
      <c r="O478" s="767"/>
      <c r="P478" s="765"/>
      <c r="Q478" s="767"/>
      <c r="R478" s="766" t="str">
        <f t="shared" si="87"/>
        <v/>
      </c>
      <c r="S478" s="754"/>
      <c r="T478" s="763"/>
      <c r="U478" s="754"/>
      <c r="V478" s="763"/>
      <c r="W478" s="763"/>
      <c r="X478" s="865" t="str">
        <f>VLOOKUP(CTR1_Billing!$E$21,Data!$C$6:$D$302,1,FALSE)</f>
        <v>EZZZZ</v>
      </c>
      <c r="Y478" s="205"/>
      <c r="Z478" s="205">
        <f t="shared" si="76"/>
        <v>0</v>
      </c>
      <c r="AA478" s="206" t="str">
        <f t="shared" ref="AA478:AA541" si="88">IF(R478="","",IF(R478=0,"ok",IF(R478&lt;&gt;(N478/P478),"error","ok")))</f>
        <v/>
      </c>
      <c r="AB478" s="205">
        <f t="shared" si="77"/>
        <v>0</v>
      </c>
      <c r="AC478" s="208"/>
      <c r="AD478" s="208"/>
      <c r="AE478" s="208"/>
      <c r="AF478" s="208"/>
      <c r="AG478" s="209" t="str">
        <f>IFERROR(INDEX('Local Data Previous Year'!$F:$F, MATCH($D478, 'Local Data Previous Year'!$D:$D, 0)), "")</f>
        <v/>
      </c>
      <c r="AH478" s="209" t="str">
        <f>IFERROR(INDEX('Local Data Previous Year'!$G:$G, MATCH($D478, 'Local Data Previous Year'!$D:$D, 0)), "")</f>
        <v/>
      </c>
      <c r="AI478" s="209" t="str">
        <f>IFERROR(INDEX('Local Data Previous Year'!$H:$H, MATCH($D478, 'Local Data Previous Year'!$D:$D, 0)), "")</f>
        <v/>
      </c>
      <c r="AJ478" s="209" t="str">
        <f t="shared" si="78"/>
        <v/>
      </c>
      <c r="AK478" s="209" t="str">
        <f t="shared" si="79"/>
        <v/>
      </c>
      <c r="AL478" s="209" t="str">
        <f t="shared" si="80"/>
        <v/>
      </c>
      <c r="AM478" s="208" t="str">
        <f>IF($AN478="","",IFERROR(VLOOKUP(CONCATENATE(CTR1_Billing!$E$20,$AN478),'Local Data Previous Year'!$C$3:$D$50000,2,0),CTR1_Billing!$E$21&amp;"NEW"))</f>
        <v/>
      </c>
      <c r="AN478" s="209" t="str" cm="1">
        <f t="array" ref="AN478">IF(ISERROR(INDEX('Local Data Previous Year'!$E$3:$E$50000, SMALL(IF(CTR1_Billing!$E$21='Local Data Previous Year'!$A$3:$A$50000, ROW('Local Data Previous Year'!$A$3:$A$50000)-ROW('Local Data Previous Year'!$A$3)+1), ROW(446:446)))), "", INDEX('Local Data Previous Year'!$E$3:$E$50000, SMALL(IF(CTR1_Billing!$E$21='Local Data Previous Year'!$A$3:$A$50000, ROW('Local Data Previous Year'!$A$3:$A$50000)-ROW('Local Data Previous Year'!$A$3)+1), ROW(446:446))))</f>
        <v/>
      </c>
      <c r="AO478" s="209" t="str">
        <f t="shared" si="81"/>
        <v/>
      </c>
      <c r="AP478" s="208"/>
      <c r="AQ478" s="209" t="str">
        <f t="shared" si="82"/>
        <v/>
      </c>
      <c r="AR478" s="209" t="str">
        <f t="shared" si="83"/>
        <v/>
      </c>
      <c r="AS478" s="202" t="str">
        <f t="shared" si="84"/>
        <v/>
      </c>
      <c r="AT478" s="202" t="str">
        <f t="shared" si="85"/>
        <v/>
      </c>
      <c r="AU478" s="208"/>
      <c r="AV478" s="208"/>
      <c r="AW478" s="208"/>
      <c r="AX478" s="208"/>
      <c r="AY478" s="208"/>
      <c r="AZ478" s="208"/>
      <c r="BA478" s="208"/>
      <c r="BB478" s="208"/>
      <c r="BC478" s="208"/>
      <c r="BD478" s="208"/>
      <c r="BE478" s="208"/>
      <c r="BF478" s="208"/>
      <c r="BG478" s="28"/>
      <c r="BH478" s="28"/>
      <c r="BI478" s="28"/>
      <c r="BJ478" s="28"/>
    </row>
    <row r="479" spans="1:62" s="23" customFormat="1" ht="21" customHeight="1" thickBot="1" x14ac:dyDescent="0.25">
      <c r="A479" s="846" t="str">
        <f>IF($AN479="","",IFERROR(VLOOKUP(CONCATENATE(CTR1_Billing!$E$20,$AN479),'Local Data Previous Year'!$C$3:$D$20000,2,0),CTR1_Billing!$E$21&amp;"NEW"))</f>
        <v/>
      </c>
      <c r="B479" s="846" t="str">
        <f>IF($E479="","",IFERROR(VLOOKUP(CONCATENATE(CTR1_Billing!$E$20,CTR1_Local!$E479),'Local Data Previous Year'!$C$3:$D$20000,2,0),CTR1_Billing!$E$21&amp;"NEW"))</f>
        <v/>
      </c>
      <c r="C479" s="846">
        <v>447</v>
      </c>
      <c r="D479" s="755" t="str" cm="1">
        <f t="array" ref="D479">IF(ISERROR(INDEX('Local Data Previous Year'!$D$3:$D$20000,SMALL(IF(CTR1_Billing!$E$21='Local Data Previous Year'!$A$3:$A$20000,ROW('Local Data Previous Year'!$A$3:$A$20000)-ROW('Local Data Previous Year'!$A$3)+1),ROW(447:447)))),"",INDEX('Local Data Previous Year'!$D$3:$D$20000,SMALL(IF(CTR1_Billing!$E$21='Local Data Previous Year'!$A$3:$A$20000,ROW('Local Data Previous Year'!$A$3:$A$20000)-ROW('Local Data Previous Year'!$A$3)+1),ROW(447:447))))</f>
        <v/>
      </c>
      <c r="E479" s="755" t="str" cm="1">
        <f t="array" ref="E479">IF(ISERROR(INDEX('Local Data Previous Year'!$E$3:$E$20000,SMALL(IF(CTR1_Billing!$E$21='Local Data Previous Year'!$A$3:$A$20000,ROW('Local Data Previous Year'!$A$3:$A$20000)-ROW('Local Data Previous Year'!$A$3)+1),ROW(447:447)))),"",INDEX('Local Data Previous Year'!$E$3:$E$20000,SMALL(IF(CTR1_Billing!$E$21='Local Data Previous Year'!$A$3:$A$20000,ROW('Local Data Previous Year'!$A$3:$A$20000)-ROW('Local Data Previous Year'!$A$3)+1),ROW(447:447))))</f>
        <v/>
      </c>
      <c r="F479" s="756" t="str">
        <f>IF($D479="","",IF(ISNA(MATCH($D479,'Local Data Previous Year'!$D$3:$D$20000,0)),"New",IFERROR(VLOOKUP($B479,'Local Data Previous Year'!$D$3:$I$20000,6,0),"")))</f>
        <v/>
      </c>
      <c r="G479" s="757">
        <f t="shared" si="86"/>
        <v>0</v>
      </c>
      <c r="H479" s="758" t="str">
        <f>IFERROR(INDEX('Local Data Previous Year'!$F:$F, MATCH($D479, 'Local Data Previous Year'!$D:$D, 0)), "")</f>
        <v/>
      </c>
      <c r="I479" s="759">
        <f>IF(B479=CTR1_Billing!$E$21&amp;"NEW",1,0)</f>
        <v>0</v>
      </c>
      <c r="J479" s="760" t="str">
        <f>IFERROR(INDEX('Local Data Previous Year'!$G:$G, MATCH($D479, 'Local Data Previous Year'!$D:$D, 0)), "")</f>
        <v/>
      </c>
      <c r="K479" s="762"/>
      <c r="L479" s="760" t="str">
        <f>IFERROR(INDEX('Local Data Previous Year'!$H:$H, MATCH($D479, 'Local Data Previous Year'!$D:$D, 0)), "")</f>
        <v/>
      </c>
      <c r="M479" s="762"/>
      <c r="N479" s="763"/>
      <c r="O479" s="767"/>
      <c r="P479" s="765"/>
      <c r="Q479" s="767"/>
      <c r="R479" s="766" t="str">
        <f t="shared" si="87"/>
        <v/>
      </c>
      <c r="S479" s="754"/>
      <c r="T479" s="763"/>
      <c r="U479" s="754"/>
      <c r="V479" s="763"/>
      <c r="W479" s="763"/>
      <c r="X479" s="865" t="str">
        <f>VLOOKUP(CTR1_Billing!$E$21,Data!$C$6:$D$302,1,FALSE)</f>
        <v>EZZZZ</v>
      </c>
      <c r="Y479" s="205"/>
      <c r="Z479" s="205">
        <f t="shared" si="76"/>
        <v>0</v>
      </c>
      <c r="AA479" s="206" t="str">
        <f t="shared" si="88"/>
        <v/>
      </c>
      <c r="AB479" s="205">
        <f t="shared" si="77"/>
        <v>0</v>
      </c>
      <c r="AC479" s="208"/>
      <c r="AD479" s="208"/>
      <c r="AE479" s="208"/>
      <c r="AF479" s="208"/>
      <c r="AG479" s="209" t="str">
        <f>IFERROR(INDEX('Local Data Previous Year'!$F:$F, MATCH($D479, 'Local Data Previous Year'!$D:$D, 0)), "")</f>
        <v/>
      </c>
      <c r="AH479" s="209" t="str">
        <f>IFERROR(INDEX('Local Data Previous Year'!$G:$G, MATCH($D479, 'Local Data Previous Year'!$D:$D, 0)), "")</f>
        <v/>
      </c>
      <c r="AI479" s="209" t="str">
        <f>IFERROR(INDEX('Local Data Previous Year'!$H:$H, MATCH($D479, 'Local Data Previous Year'!$D:$D, 0)), "")</f>
        <v/>
      </c>
      <c r="AJ479" s="209" t="str">
        <f t="shared" si="78"/>
        <v/>
      </c>
      <c r="AK479" s="209" t="str">
        <f t="shared" si="79"/>
        <v/>
      </c>
      <c r="AL479" s="209" t="str">
        <f t="shared" si="80"/>
        <v/>
      </c>
      <c r="AM479" s="208" t="str">
        <f>IF($AN479="","",IFERROR(VLOOKUP(CONCATENATE(CTR1_Billing!$E$20,$AN479),'Local Data Previous Year'!$C$3:$D$50000,2,0),CTR1_Billing!$E$21&amp;"NEW"))</f>
        <v/>
      </c>
      <c r="AN479" s="209" t="str" cm="1">
        <f t="array" ref="AN479">IF(ISERROR(INDEX('Local Data Previous Year'!$E$3:$E$50000, SMALL(IF(CTR1_Billing!$E$21='Local Data Previous Year'!$A$3:$A$50000, ROW('Local Data Previous Year'!$A$3:$A$50000)-ROW('Local Data Previous Year'!$A$3)+1), ROW(447:447)))), "", INDEX('Local Data Previous Year'!$E$3:$E$50000, SMALL(IF(CTR1_Billing!$E$21='Local Data Previous Year'!$A$3:$A$50000, ROW('Local Data Previous Year'!$A$3:$A$50000)-ROW('Local Data Previous Year'!$A$3)+1), ROW(447:447))))</f>
        <v/>
      </c>
      <c r="AO479" s="209" t="str">
        <f t="shared" si="81"/>
        <v/>
      </c>
      <c r="AP479" s="208"/>
      <c r="AQ479" s="209" t="str">
        <f t="shared" si="82"/>
        <v/>
      </c>
      <c r="AR479" s="209" t="str">
        <f t="shared" si="83"/>
        <v/>
      </c>
      <c r="AS479" s="202" t="str">
        <f t="shared" si="84"/>
        <v/>
      </c>
      <c r="AT479" s="202" t="str">
        <f t="shared" si="85"/>
        <v/>
      </c>
      <c r="AU479" s="208"/>
      <c r="AV479" s="208"/>
      <c r="AW479" s="208"/>
      <c r="AX479" s="208"/>
      <c r="AY479" s="208"/>
      <c r="AZ479" s="208"/>
      <c r="BA479" s="208"/>
      <c r="BB479" s="208"/>
      <c r="BC479" s="208"/>
      <c r="BD479" s="208"/>
      <c r="BE479" s="208"/>
      <c r="BF479" s="208"/>
      <c r="BG479" s="28"/>
      <c r="BH479" s="28"/>
      <c r="BI479" s="28"/>
      <c r="BJ479" s="28"/>
    </row>
    <row r="480" spans="1:62" s="23" customFormat="1" ht="21" customHeight="1" thickBot="1" x14ac:dyDescent="0.25">
      <c r="A480" s="846" t="str">
        <f>IF($AN480="","",IFERROR(VLOOKUP(CONCATENATE(CTR1_Billing!$E$20,$AN480),'Local Data Previous Year'!$C$3:$D$20000,2,0),CTR1_Billing!$E$21&amp;"NEW"))</f>
        <v/>
      </c>
      <c r="B480" s="846" t="str">
        <f>IF($E480="","",IFERROR(VLOOKUP(CONCATENATE(CTR1_Billing!$E$20,CTR1_Local!$E480),'Local Data Previous Year'!$C$3:$D$20000,2,0),CTR1_Billing!$E$21&amp;"NEW"))</f>
        <v/>
      </c>
      <c r="C480" s="846">
        <v>448</v>
      </c>
      <c r="D480" s="755" t="str" cm="1">
        <f t="array" ref="D480">IF(ISERROR(INDEX('Local Data Previous Year'!$D$3:$D$20000,SMALL(IF(CTR1_Billing!$E$21='Local Data Previous Year'!$A$3:$A$20000,ROW('Local Data Previous Year'!$A$3:$A$20000)-ROW('Local Data Previous Year'!$A$3)+1),ROW(448:448)))),"",INDEX('Local Data Previous Year'!$D$3:$D$20000,SMALL(IF(CTR1_Billing!$E$21='Local Data Previous Year'!$A$3:$A$20000,ROW('Local Data Previous Year'!$A$3:$A$20000)-ROW('Local Data Previous Year'!$A$3)+1),ROW(448:448))))</f>
        <v/>
      </c>
      <c r="E480" s="755" t="str" cm="1">
        <f t="array" ref="E480">IF(ISERROR(INDEX('Local Data Previous Year'!$E$3:$E$20000,SMALL(IF(CTR1_Billing!$E$21='Local Data Previous Year'!$A$3:$A$20000,ROW('Local Data Previous Year'!$A$3:$A$20000)-ROW('Local Data Previous Year'!$A$3)+1),ROW(448:448)))),"",INDEX('Local Data Previous Year'!$E$3:$E$20000,SMALL(IF(CTR1_Billing!$E$21='Local Data Previous Year'!$A$3:$A$20000,ROW('Local Data Previous Year'!$A$3:$A$20000)-ROW('Local Data Previous Year'!$A$3)+1),ROW(448:448))))</f>
        <v/>
      </c>
      <c r="F480" s="756" t="str">
        <f>IF($D480="","",IF(ISNA(MATCH($D480,'Local Data Previous Year'!$D$3:$D$20000,0)),"New",IFERROR(VLOOKUP($B480,'Local Data Previous Year'!$D$3:$I$20000,6,0),"")))</f>
        <v/>
      </c>
      <c r="G480" s="757">
        <f t="shared" si="86"/>
        <v>0</v>
      </c>
      <c r="H480" s="758" t="str">
        <f>IFERROR(INDEX('Local Data Previous Year'!$F:$F, MATCH($D480, 'Local Data Previous Year'!$D:$D, 0)), "")</f>
        <v/>
      </c>
      <c r="I480" s="759">
        <f>IF(B480=CTR1_Billing!$E$21&amp;"NEW",1,0)</f>
        <v>0</v>
      </c>
      <c r="J480" s="760" t="str">
        <f>IFERROR(INDEX('Local Data Previous Year'!$G:$G, MATCH($D480, 'Local Data Previous Year'!$D:$D, 0)), "")</f>
        <v/>
      </c>
      <c r="K480" s="762"/>
      <c r="L480" s="760" t="str">
        <f>IFERROR(INDEX('Local Data Previous Year'!$H:$H, MATCH($D480, 'Local Data Previous Year'!$D:$D, 0)), "")</f>
        <v/>
      </c>
      <c r="M480" s="762"/>
      <c r="N480" s="763"/>
      <c r="O480" s="767"/>
      <c r="P480" s="765"/>
      <c r="Q480" s="767"/>
      <c r="R480" s="766" t="str">
        <f t="shared" si="87"/>
        <v/>
      </c>
      <c r="S480" s="754"/>
      <c r="T480" s="763"/>
      <c r="U480" s="754"/>
      <c r="V480" s="763"/>
      <c r="W480" s="763"/>
      <c r="X480" s="865" t="str">
        <f>VLOOKUP(CTR1_Billing!$E$21,Data!$C$6:$D$302,1,FALSE)</f>
        <v>EZZZZ</v>
      </c>
      <c r="Y480" s="205"/>
      <c r="Z480" s="205">
        <f t="shared" si="76"/>
        <v>0</v>
      </c>
      <c r="AA480" s="206" t="str">
        <f t="shared" si="88"/>
        <v/>
      </c>
      <c r="AB480" s="205">
        <f t="shared" si="77"/>
        <v>0</v>
      </c>
      <c r="AC480" s="208"/>
      <c r="AD480" s="208"/>
      <c r="AE480" s="208"/>
      <c r="AF480" s="208"/>
      <c r="AG480" s="209" t="str">
        <f>IFERROR(INDEX('Local Data Previous Year'!$F:$F, MATCH($D480, 'Local Data Previous Year'!$D:$D, 0)), "")</f>
        <v/>
      </c>
      <c r="AH480" s="209" t="str">
        <f>IFERROR(INDEX('Local Data Previous Year'!$G:$G, MATCH($D480, 'Local Data Previous Year'!$D:$D, 0)), "")</f>
        <v/>
      </c>
      <c r="AI480" s="209" t="str">
        <f>IFERROR(INDEX('Local Data Previous Year'!$H:$H, MATCH($D480, 'Local Data Previous Year'!$D:$D, 0)), "")</f>
        <v/>
      </c>
      <c r="AJ480" s="209" t="str">
        <f t="shared" si="78"/>
        <v/>
      </c>
      <c r="AK480" s="209" t="str">
        <f t="shared" si="79"/>
        <v/>
      </c>
      <c r="AL480" s="209" t="str">
        <f t="shared" si="80"/>
        <v/>
      </c>
      <c r="AM480" s="208" t="str">
        <f>IF($AN480="","",IFERROR(VLOOKUP(CONCATENATE(CTR1_Billing!$E$20,$AN480),'Local Data Previous Year'!$C$3:$D$50000,2,0),CTR1_Billing!$E$21&amp;"NEW"))</f>
        <v/>
      </c>
      <c r="AN480" s="209" t="str" cm="1">
        <f t="array" ref="AN480">IF(ISERROR(INDEX('Local Data Previous Year'!$E$3:$E$50000, SMALL(IF(CTR1_Billing!$E$21='Local Data Previous Year'!$A$3:$A$50000, ROW('Local Data Previous Year'!$A$3:$A$50000)-ROW('Local Data Previous Year'!$A$3)+1), ROW(448:448)))), "", INDEX('Local Data Previous Year'!$E$3:$E$50000, SMALL(IF(CTR1_Billing!$E$21='Local Data Previous Year'!$A$3:$A$50000, ROW('Local Data Previous Year'!$A$3:$A$50000)-ROW('Local Data Previous Year'!$A$3)+1), ROW(448:448))))</f>
        <v/>
      </c>
      <c r="AO480" s="209" t="str">
        <f t="shared" si="81"/>
        <v/>
      </c>
      <c r="AP480" s="208"/>
      <c r="AQ480" s="209" t="str">
        <f t="shared" si="82"/>
        <v/>
      </c>
      <c r="AR480" s="209" t="str">
        <f t="shared" si="83"/>
        <v/>
      </c>
      <c r="AS480" s="202" t="str">
        <f t="shared" si="84"/>
        <v/>
      </c>
      <c r="AT480" s="202" t="str">
        <f t="shared" si="85"/>
        <v/>
      </c>
      <c r="AU480" s="208"/>
      <c r="AV480" s="208"/>
      <c r="AW480" s="208"/>
      <c r="AX480" s="208"/>
      <c r="AY480" s="208"/>
      <c r="AZ480" s="208"/>
      <c r="BA480" s="208"/>
      <c r="BB480" s="208"/>
      <c r="BC480" s="208"/>
      <c r="BD480" s="208"/>
      <c r="BE480" s="208"/>
      <c r="BF480" s="208"/>
      <c r="BG480" s="28"/>
      <c r="BH480" s="28"/>
      <c r="BI480" s="28"/>
      <c r="BJ480" s="28"/>
    </row>
    <row r="481" spans="1:62" s="23" customFormat="1" ht="21" customHeight="1" thickBot="1" x14ac:dyDescent="0.25">
      <c r="A481" s="846" t="str">
        <f>IF($AN481="","",IFERROR(VLOOKUP(CONCATENATE(CTR1_Billing!$E$20,$AN481),'Local Data Previous Year'!$C$3:$D$20000,2,0),CTR1_Billing!$E$21&amp;"NEW"))</f>
        <v/>
      </c>
      <c r="B481" s="846" t="str">
        <f>IF($E481="","",IFERROR(VLOOKUP(CONCATENATE(CTR1_Billing!$E$20,CTR1_Local!$E481),'Local Data Previous Year'!$C$3:$D$20000,2,0),CTR1_Billing!$E$21&amp;"NEW"))</f>
        <v/>
      </c>
      <c r="C481" s="846">
        <v>449</v>
      </c>
      <c r="D481" s="755" t="str" cm="1">
        <f t="array" ref="D481">IF(ISERROR(INDEX('Local Data Previous Year'!$D$3:$D$20000,SMALL(IF(CTR1_Billing!$E$21='Local Data Previous Year'!$A$3:$A$20000,ROW('Local Data Previous Year'!$A$3:$A$20000)-ROW('Local Data Previous Year'!$A$3)+1),ROW(449:449)))),"",INDEX('Local Data Previous Year'!$D$3:$D$20000,SMALL(IF(CTR1_Billing!$E$21='Local Data Previous Year'!$A$3:$A$20000,ROW('Local Data Previous Year'!$A$3:$A$20000)-ROW('Local Data Previous Year'!$A$3)+1),ROW(449:449))))</f>
        <v/>
      </c>
      <c r="E481" s="755" t="str" cm="1">
        <f t="array" ref="E481">IF(ISERROR(INDEX('Local Data Previous Year'!$E$3:$E$20000,SMALL(IF(CTR1_Billing!$E$21='Local Data Previous Year'!$A$3:$A$20000,ROW('Local Data Previous Year'!$A$3:$A$20000)-ROW('Local Data Previous Year'!$A$3)+1),ROW(449:449)))),"",INDEX('Local Data Previous Year'!$E$3:$E$20000,SMALL(IF(CTR1_Billing!$E$21='Local Data Previous Year'!$A$3:$A$20000,ROW('Local Data Previous Year'!$A$3:$A$20000)-ROW('Local Data Previous Year'!$A$3)+1),ROW(449:449))))</f>
        <v/>
      </c>
      <c r="F481" s="756" t="str">
        <f>IF($D481="","",IF(ISNA(MATCH($D481,'Local Data Previous Year'!$D$3:$D$20000,0)),"New",IFERROR(VLOOKUP($B481,'Local Data Previous Year'!$D$3:$I$20000,6,0),"")))</f>
        <v/>
      </c>
      <c r="G481" s="757">
        <f t="shared" si="86"/>
        <v>0</v>
      </c>
      <c r="H481" s="758" t="str">
        <f>IFERROR(INDEX('Local Data Previous Year'!$F:$F, MATCH($D481, 'Local Data Previous Year'!$D:$D, 0)), "")</f>
        <v/>
      </c>
      <c r="I481" s="759">
        <f>IF(B481=CTR1_Billing!$E$21&amp;"NEW",1,0)</f>
        <v>0</v>
      </c>
      <c r="J481" s="760" t="str">
        <f>IFERROR(INDEX('Local Data Previous Year'!$G:$G, MATCH($D481, 'Local Data Previous Year'!$D:$D, 0)), "")</f>
        <v/>
      </c>
      <c r="K481" s="762"/>
      <c r="L481" s="760" t="str">
        <f>IFERROR(INDEX('Local Data Previous Year'!$H:$H, MATCH($D481, 'Local Data Previous Year'!$D:$D, 0)), "")</f>
        <v/>
      </c>
      <c r="M481" s="762"/>
      <c r="N481" s="763"/>
      <c r="O481" s="767"/>
      <c r="P481" s="765"/>
      <c r="Q481" s="767"/>
      <c r="R481" s="766" t="str">
        <f t="shared" si="87"/>
        <v/>
      </c>
      <c r="S481" s="754"/>
      <c r="T481" s="763"/>
      <c r="U481" s="754"/>
      <c r="V481" s="763"/>
      <c r="W481" s="763"/>
      <c r="X481" s="865" t="str">
        <f>VLOOKUP(CTR1_Billing!$E$21,Data!$C$6:$D$302,1,FALSE)</f>
        <v>EZZZZ</v>
      </c>
      <c r="Y481" s="205"/>
      <c r="Z481" s="205">
        <f t="shared" ref="Z481:Z544" si="89">IF(OR(P481&gt;AQ481,P481&lt;AR481),1,0)</f>
        <v>0</v>
      </c>
      <c r="AA481" s="206" t="str">
        <f t="shared" si="88"/>
        <v/>
      </c>
      <c r="AB481" s="205">
        <f t="shared" ref="AB481:AB544" si="90">IF(OR(R481&gt;AS481,R481&lt;AT481),1,0)</f>
        <v>0</v>
      </c>
      <c r="AC481" s="208"/>
      <c r="AD481" s="208"/>
      <c r="AE481" s="208"/>
      <c r="AF481" s="208"/>
      <c r="AG481" s="209" t="str">
        <f>IFERROR(INDEX('Local Data Previous Year'!$F:$F, MATCH($D481, 'Local Data Previous Year'!$D:$D, 0)), "")</f>
        <v/>
      </c>
      <c r="AH481" s="209" t="str">
        <f>IFERROR(INDEX('Local Data Previous Year'!$G:$G, MATCH($D481, 'Local Data Previous Year'!$D:$D, 0)), "")</f>
        <v/>
      </c>
      <c r="AI481" s="209" t="str">
        <f>IFERROR(INDEX('Local Data Previous Year'!$H:$H, MATCH($D481, 'Local Data Previous Year'!$D:$D, 0)), "")</f>
        <v/>
      </c>
      <c r="AJ481" s="209" t="str">
        <f t="shared" ref="AJ481:AJ544" si="91">IF(AG481=H481,"","change")</f>
        <v/>
      </c>
      <c r="AK481" s="209" t="str">
        <f t="shared" ref="AK481:AK544" si="92">IF(AH481=J481,"","change")</f>
        <v/>
      </c>
      <c r="AL481" s="209" t="str">
        <f t="shared" ref="AL481:AL544" si="93">IF(AI481=L481,"","change")</f>
        <v/>
      </c>
      <c r="AM481" s="208" t="str">
        <f>IF($AN481="","",IFERROR(VLOOKUP(CONCATENATE(CTR1_Billing!$E$20,$AN481),'Local Data Previous Year'!$C$3:$D$50000,2,0),CTR1_Billing!$E$21&amp;"NEW"))</f>
        <v/>
      </c>
      <c r="AN481" s="209" t="str" cm="1">
        <f t="array" ref="AN481">IF(ISERROR(INDEX('Local Data Previous Year'!$E$3:$E$50000, SMALL(IF(CTR1_Billing!$E$21='Local Data Previous Year'!$A$3:$A$50000, ROW('Local Data Previous Year'!$A$3:$A$50000)-ROW('Local Data Previous Year'!$A$3)+1), ROW(449:449)))), "", INDEX('Local Data Previous Year'!$E$3:$E$50000, SMALL(IF(CTR1_Billing!$E$21='Local Data Previous Year'!$A$3:$A$50000, ROW('Local Data Previous Year'!$A$3:$A$50000)-ROW('Local Data Previous Year'!$A$3)+1), ROW(449:449))))</f>
        <v/>
      </c>
      <c r="AO481" s="209" t="str">
        <f t="shared" ref="AO481:AO544" si="94">IF(AN481=E481,"","change")</f>
        <v/>
      </c>
      <c r="AP481" s="208"/>
      <c r="AQ481" s="209" t="str">
        <f t="shared" ref="AQ481:AQ544" si="95">IFERROR(J481*1.1,"")</f>
        <v/>
      </c>
      <c r="AR481" s="209" t="str">
        <f t="shared" ref="AR481:AR544" si="96">IFERROR(J481*0.9,"")</f>
        <v/>
      </c>
      <c r="AS481" s="202" t="str">
        <f t="shared" ref="AS481:AS544" si="97">IFERROR(L481+20,"")</f>
        <v/>
      </c>
      <c r="AT481" s="202" t="str">
        <f t="shared" ref="AT481:AT544" si="98">IFERROR(L481-20,"")</f>
        <v/>
      </c>
      <c r="AU481" s="208"/>
      <c r="AV481" s="208"/>
      <c r="AW481" s="208"/>
      <c r="AX481" s="208"/>
      <c r="AY481" s="208"/>
      <c r="AZ481" s="208"/>
      <c r="BA481" s="208"/>
      <c r="BB481" s="208"/>
      <c r="BC481" s="208"/>
      <c r="BD481" s="208"/>
      <c r="BE481" s="208"/>
      <c r="BF481" s="208"/>
      <c r="BG481" s="28"/>
      <c r="BH481" s="28"/>
      <c r="BI481" s="28"/>
      <c r="BJ481" s="28"/>
    </row>
    <row r="482" spans="1:62" s="23" customFormat="1" ht="21" customHeight="1" thickBot="1" x14ac:dyDescent="0.25">
      <c r="A482" s="846" t="str">
        <f>IF($AN482="","",IFERROR(VLOOKUP(CONCATENATE(CTR1_Billing!$E$20,$AN482),'Local Data Previous Year'!$C$3:$D$20000,2,0),CTR1_Billing!$E$21&amp;"NEW"))</f>
        <v/>
      </c>
      <c r="B482" s="846" t="str">
        <f>IF($E482="","",IFERROR(VLOOKUP(CONCATENATE(CTR1_Billing!$E$20,CTR1_Local!$E482),'Local Data Previous Year'!$C$3:$D$20000,2,0),CTR1_Billing!$E$21&amp;"NEW"))</f>
        <v/>
      </c>
      <c r="C482" s="846">
        <v>450</v>
      </c>
      <c r="D482" s="755" t="str" cm="1">
        <f t="array" ref="D482">IF(ISERROR(INDEX('Local Data Previous Year'!$D$3:$D$20000,SMALL(IF(CTR1_Billing!$E$21='Local Data Previous Year'!$A$3:$A$20000,ROW('Local Data Previous Year'!$A$3:$A$20000)-ROW('Local Data Previous Year'!$A$3)+1),ROW(450:450)))),"",INDEX('Local Data Previous Year'!$D$3:$D$20000,SMALL(IF(CTR1_Billing!$E$21='Local Data Previous Year'!$A$3:$A$20000,ROW('Local Data Previous Year'!$A$3:$A$20000)-ROW('Local Data Previous Year'!$A$3)+1),ROW(450:450))))</f>
        <v/>
      </c>
      <c r="E482" s="755" t="str" cm="1">
        <f t="array" ref="E482">IF(ISERROR(INDEX('Local Data Previous Year'!$E$3:$E$20000,SMALL(IF(CTR1_Billing!$E$21='Local Data Previous Year'!$A$3:$A$20000,ROW('Local Data Previous Year'!$A$3:$A$20000)-ROW('Local Data Previous Year'!$A$3)+1),ROW(450:450)))),"",INDEX('Local Data Previous Year'!$E$3:$E$20000,SMALL(IF(CTR1_Billing!$E$21='Local Data Previous Year'!$A$3:$A$20000,ROW('Local Data Previous Year'!$A$3:$A$20000)-ROW('Local Data Previous Year'!$A$3)+1),ROW(450:450))))</f>
        <v/>
      </c>
      <c r="F482" s="756" t="str">
        <f>IF($D482="","",IF(ISNA(MATCH($D482,'Local Data Previous Year'!$D$3:$D$20000,0)),"New",IFERROR(VLOOKUP($B482,'Local Data Previous Year'!$D$3:$I$20000,6,0),"")))</f>
        <v/>
      </c>
      <c r="G482" s="757">
        <f t="shared" ref="G482:G545" si="99">IF(F482="Charter Trustee",1,0)</f>
        <v>0</v>
      </c>
      <c r="H482" s="758" t="str">
        <f>IFERROR(INDEX('Local Data Previous Year'!$F:$F, MATCH($D482, 'Local Data Previous Year'!$D:$D, 0)), "")</f>
        <v/>
      </c>
      <c r="I482" s="759">
        <f>IF(B482=CTR1_Billing!$E$21&amp;"NEW",1,0)</f>
        <v>0</v>
      </c>
      <c r="J482" s="760" t="str">
        <f>IFERROR(INDEX('Local Data Previous Year'!$G:$G, MATCH($D482, 'Local Data Previous Year'!$D:$D, 0)), "")</f>
        <v/>
      </c>
      <c r="K482" s="762"/>
      <c r="L482" s="760" t="str">
        <f>IFERROR(INDEX('Local Data Previous Year'!$H:$H, MATCH($D482, 'Local Data Previous Year'!$D:$D, 0)), "")</f>
        <v/>
      </c>
      <c r="M482" s="762"/>
      <c r="N482" s="763"/>
      <c r="O482" s="767"/>
      <c r="P482" s="765"/>
      <c r="Q482" s="767"/>
      <c r="R482" s="766" t="str">
        <f t="shared" si="87"/>
        <v/>
      </c>
      <c r="S482" s="754"/>
      <c r="T482" s="763"/>
      <c r="U482" s="754"/>
      <c r="V482" s="763"/>
      <c r="W482" s="763"/>
      <c r="X482" s="865" t="str">
        <f>VLOOKUP(CTR1_Billing!$E$21,Data!$C$6:$D$302,1,FALSE)</f>
        <v>EZZZZ</v>
      </c>
      <c r="Y482" s="205"/>
      <c r="Z482" s="205">
        <f t="shared" si="89"/>
        <v>0</v>
      </c>
      <c r="AA482" s="206" t="str">
        <f t="shared" si="88"/>
        <v/>
      </c>
      <c r="AB482" s="205">
        <f t="shared" si="90"/>
        <v>0</v>
      </c>
      <c r="AC482" s="208"/>
      <c r="AD482" s="208"/>
      <c r="AE482" s="208"/>
      <c r="AF482" s="208"/>
      <c r="AG482" s="209" t="str">
        <f>IFERROR(INDEX('Local Data Previous Year'!$F:$F, MATCH($D482, 'Local Data Previous Year'!$D:$D, 0)), "")</f>
        <v/>
      </c>
      <c r="AH482" s="209" t="str">
        <f>IFERROR(INDEX('Local Data Previous Year'!$G:$G, MATCH($D482, 'Local Data Previous Year'!$D:$D, 0)), "")</f>
        <v/>
      </c>
      <c r="AI482" s="209" t="str">
        <f>IFERROR(INDEX('Local Data Previous Year'!$H:$H, MATCH($D482, 'Local Data Previous Year'!$D:$D, 0)), "")</f>
        <v/>
      </c>
      <c r="AJ482" s="209" t="str">
        <f t="shared" si="91"/>
        <v/>
      </c>
      <c r="AK482" s="209" t="str">
        <f t="shared" si="92"/>
        <v/>
      </c>
      <c r="AL482" s="209" t="str">
        <f t="shared" si="93"/>
        <v/>
      </c>
      <c r="AM482" s="208" t="str">
        <f>IF($AN482="","",IFERROR(VLOOKUP(CONCATENATE(CTR1_Billing!$E$20,$AN482),'Local Data Previous Year'!$C$3:$D$50000,2,0),CTR1_Billing!$E$21&amp;"NEW"))</f>
        <v/>
      </c>
      <c r="AN482" s="209" t="str" cm="1">
        <f t="array" ref="AN482">IF(ISERROR(INDEX('Local Data Previous Year'!$E$3:$E$50000, SMALL(IF(CTR1_Billing!$E$21='Local Data Previous Year'!$A$3:$A$50000, ROW('Local Data Previous Year'!$A$3:$A$50000)-ROW('Local Data Previous Year'!$A$3)+1), ROW(450:450)))), "", INDEX('Local Data Previous Year'!$E$3:$E$50000, SMALL(IF(CTR1_Billing!$E$21='Local Data Previous Year'!$A$3:$A$50000, ROW('Local Data Previous Year'!$A$3:$A$50000)-ROW('Local Data Previous Year'!$A$3)+1), ROW(450:450))))</f>
        <v/>
      </c>
      <c r="AO482" s="209" t="str">
        <f t="shared" si="94"/>
        <v/>
      </c>
      <c r="AP482" s="208"/>
      <c r="AQ482" s="209" t="str">
        <f t="shared" si="95"/>
        <v/>
      </c>
      <c r="AR482" s="209" t="str">
        <f t="shared" si="96"/>
        <v/>
      </c>
      <c r="AS482" s="202" t="str">
        <f t="shared" si="97"/>
        <v/>
      </c>
      <c r="AT482" s="202" t="str">
        <f t="shared" si="98"/>
        <v/>
      </c>
      <c r="AU482" s="208"/>
      <c r="AV482" s="208"/>
      <c r="AW482" s="208"/>
      <c r="AX482" s="208"/>
      <c r="AY482" s="208"/>
      <c r="AZ482" s="208"/>
      <c r="BA482" s="208"/>
      <c r="BB482" s="208"/>
      <c r="BC482" s="208"/>
      <c r="BD482" s="208"/>
      <c r="BE482" s="208"/>
      <c r="BF482" s="208"/>
      <c r="BG482" s="28"/>
      <c r="BH482" s="28"/>
      <c r="BI482" s="28"/>
      <c r="BJ482" s="28"/>
    </row>
    <row r="483" spans="1:62" s="23" customFormat="1" ht="21" customHeight="1" thickBot="1" x14ac:dyDescent="0.25">
      <c r="A483" s="846" t="str">
        <f>IF($AN483="","",IFERROR(VLOOKUP(CONCATENATE(CTR1_Billing!$E$20,$AN483),'Local Data Previous Year'!$C$3:$D$20000,2,0),CTR1_Billing!$E$21&amp;"NEW"))</f>
        <v/>
      </c>
      <c r="B483" s="846" t="str">
        <f>IF($E483="","",IFERROR(VLOOKUP(CONCATENATE(CTR1_Billing!$E$20,CTR1_Local!$E483),'Local Data Previous Year'!$C$3:$D$20000,2,0),CTR1_Billing!$E$21&amp;"NEW"))</f>
        <v/>
      </c>
      <c r="C483" s="846">
        <v>451</v>
      </c>
      <c r="D483" s="755" t="str" cm="1">
        <f t="array" ref="D483">IF(ISERROR(INDEX('Local Data Previous Year'!$D$3:$D$20000,SMALL(IF(CTR1_Billing!$E$21='Local Data Previous Year'!$A$3:$A$20000,ROW('Local Data Previous Year'!$A$3:$A$20000)-ROW('Local Data Previous Year'!$A$3)+1),ROW(451:451)))),"",INDEX('Local Data Previous Year'!$D$3:$D$20000,SMALL(IF(CTR1_Billing!$E$21='Local Data Previous Year'!$A$3:$A$20000,ROW('Local Data Previous Year'!$A$3:$A$20000)-ROW('Local Data Previous Year'!$A$3)+1),ROW(451:451))))</f>
        <v/>
      </c>
      <c r="E483" s="755" t="str" cm="1">
        <f t="array" ref="E483">IF(ISERROR(INDEX('Local Data Previous Year'!$E$3:$E$20000,SMALL(IF(CTR1_Billing!$E$21='Local Data Previous Year'!$A$3:$A$20000,ROW('Local Data Previous Year'!$A$3:$A$20000)-ROW('Local Data Previous Year'!$A$3)+1),ROW(451:451)))),"",INDEX('Local Data Previous Year'!$E$3:$E$20000,SMALL(IF(CTR1_Billing!$E$21='Local Data Previous Year'!$A$3:$A$20000,ROW('Local Data Previous Year'!$A$3:$A$20000)-ROW('Local Data Previous Year'!$A$3)+1),ROW(451:451))))</f>
        <v/>
      </c>
      <c r="F483" s="756" t="str">
        <f>IF($D483="","",IF(ISNA(MATCH($D483,'Local Data Previous Year'!$D$3:$D$20000,0)),"New",IFERROR(VLOOKUP($B483,'Local Data Previous Year'!$D$3:$I$20000,6,0),"")))</f>
        <v/>
      </c>
      <c r="G483" s="757">
        <f t="shared" si="99"/>
        <v>0</v>
      </c>
      <c r="H483" s="758" t="str">
        <f>IFERROR(INDEX('Local Data Previous Year'!$F:$F, MATCH($D483, 'Local Data Previous Year'!$D:$D, 0)), "")</f>
        <v/>
      </c>
      <c r="I483" s="759">
        <f>IF(B483=CTR1_Billing!$E$21&amp;"NEW",1,0)</f>
        <v>0</v>
      </c>
      <c r="J483" s="760" t="str">
        <f>IFERROR(INDEX('Local Data Previous Year'!$G:$G, MATCH($D483, 'Local Data Previous Year'!$D:$D, 0)), "")</f>
        <v/>
      </c>
      <c r="K483" s="762"/>
      <c r="L483" s="760" t="str">
        <f>IFERROR(INDEX('Local Data Previous Year'!$H:$H, MATCH($D483, 'Local Data Previous Year'!$D:$D, 0)), "")</f>
        <v/>
      </c>
      <c r="M483" s="762"/>
      <c r="N483" s="763"/>
      <c r="O483" s="767"/>
      <c r="P483" s="765"/>
      <c r="Q483" s="767"/>
      <c r="R483" s="766" t="str">
        <f t="shared" ref="R483:R546" si="100">+IF(N483="","",IF(N483+P483=0,0,+N483/P483))</f>
        <v/>
      </c>
      <c r="S483" s="754"/>
      <c r="T483" s="763"/>
      <c r="U483" s="754"/>
      <c r="V483" s="763"/>
      <c r="W483" s="763"/>
      <c r="X483" s="865" t="str">
        <f>VLOOKUP(CTR1_Billing!$E$21,Data!$C$6:$D$302,1,FALSE)</f>
        <v>EZZZZ</v>
      </c>
      <c r="Y483" s="205"/>
      <c r="Z483" s="205">
        <f t="shared" si="89"/>
        <v>0</v>
      </c>
      <c r="AA483" s="206" t="str">
        <f t="shared" si="88"/>
        <v/>
      </c>
      <c r="AB483" s="205">
        <f t="shared" si="90"/>
        <v>0</v>
      </c>
      <c r="AC483" s="208"/>
      <c r="AD483" s="208"/>
      <c r="AE483" s="208"/>
      <c r="AF483" s="208"/>
      <c r="AG483" s="209" t="str">
        <f>IFERROR(INDEX('Local Data Previous Year'!$F:$F, MATCH($D483, 'Local Data Previous Year'!$D:$D, 0)), "")</f>
        <v/>
      </c>
      <c r="AH483" s="209" t="str">
        <f>IFERROR(INDEX('Local Data Previous Year'!$G:$G, MATCH($D483, 'Local Data Previous Year'!$D:$D, 0)), "")</f>
        <v/>
      </c>
      <c r="AI483" s="209" t="str">
        <f>IFERROR(INDEX('Local Data Previous Year'!$H:$H, MATCH($D483, 'Local Data Previous Year'!$D:$D, 0)), "")</f>
        <v/>
      </c>
      <c r="AJ483" s="209" t="str">
        <f t="shared" si="91"/>
        <v/>
      </c>
      <c r="AK483" s="209" t="str">
        <f t="shared" si="92"/>
        <v/>
      </c>
      <c r="AL483" s="209" t="str">
        <f t="shared" si="93"/>
        <v/>
      </c>
      <c r="AM483" s="208" t="str">
        <f>IF($AN483="","",IFERROR(VLOOKUP(CONCATENATE(CTR1_Billing!$E$20,$AN483),'Local Data Previous Year'!$C$3:$D$50000,2,0),CTR1_Billing!$E$21&amp;"NEW"))</f>
        <v/>
      </c>
      <c r="AN483" s="209" t="str" cm="1">
        <f t="array" ref="AN483">IF(ISERROR(INDEX('Local Data Previous Year'!$E$3:$E$50000, SMALL(IF(CTR1_Billing!$E$21='Local Data Previous Year'!$A$3:$A$50000, ROW('Local Data Previous Year'!$A$3:$A$50000)-ROW('Local Data Previous Year'!$A$3)+1), ROW(451:451)))), "", INDEX('Local Data Previous Year'!$E$3:$E$50000, SMALL(IF(CTR1_Billing!$E$21='Local Data Previous Year'!$A$3:$A$50000, ROW('Local Data Previous Year'!$A$3:$A$50000)-ROW('Local Data Previous Year'!$A$3)+1), ROW(451:451))))</f>
        <v/>
      </c>
      <c r="AO483" s="209" t="str">
        <f t="shared" si="94"/>
        <v/>
      </c>
      <c r="AP483" s="208"/>
      <c r="AQ483" s="209" t="str">
        <f t="shared" si="95"/>
        <v/>
      </c>
      <c r="AR483" s="209" t="str">
        <f t="shared" si="96"/>
        <v/>
      </c>
      <c r="AS483" s="202" t="str">
        <f t="shared" si="97"/>
        <v/>
      </c>
      <c r="AT483" s="202" t="str">
        <f t="shared" si="98"/>
        <v/>
      </c>
      <c r="AU483" s="208"/>
      <c r="AV483" s="208"/>
      <c r="AW483" s="208"/>
      <c r="AX483" s="208"/>
      <c r="AY483" s="208"/>
      <c r="AZ483" s="208"/>
      <c r="BA483" s="208"/>
      <c r="BB483" s="208"/>
      <c r="BC483" s="208"/>
      <c r="BD483" s="208"/>
      <c r="BE483" s="208"/>
      <c r="BF483" s="208"/>
      <c r="BG483" s="28"/>
      <c r="BH483" s="28"/>
      <c r="BI483" s="28"/>
      <c r="BJ483" s="28"/>
    </row>
    <row r="484" spans="1:62" s="23" customFormat="1" ht="21" customHeight="1" thickBot="1" x14ac:dyDescent="0.25">
      <c r="A484" s="846" t="str">
        <f>IF($AN484="","",IFERROR(VLOOKUP(CONCATENATE(CTR1_Billing!$E$20,$AN484),'Local Data Previous Year'!$C$3:$D$20000,2,0),CTR1_Billing!$E$21&amp;"NEW"))</f>
        <v/>
      </c>
      <c r="B484" s="846" t="str">
        <f>IF($E484="","",IFERROR(VLOOKUP(CONCATENATE(CTR1_Billing!$E$20,CTR1_Local!$E484),'Local Data Previous Year'!$C$3:$D$20000,2,0),CTR1_Billing!$E$21&amp;"NEW"))</f>
        <v/>
      </c>
      <c r="C484" s="846">
        <v>452</v>
      </c>
      <c r="D484" s="755" t="str" cm="1">
        <f t="array" ref="D484">IF(ISERROR(INDEX('Local Data Previous Year'!$D$3:$D$20000,SMALL(IF(CTR1_Billing!$E$21='Local Data Previous Year'!$A$3:$A$20000,ROW('Local Data Previous Year'!$A$3:$A$20000)-ROW('Local Data Previous Year'!$A$3)+1),ROW(452:452)))),"",INDEX('Local Data Previous Year'!$D$3:$D$20000,SMALL(IF(CTR1_Billing!$E$21='Local Data Previous Year'!$A$3:$A$20000,ROW('Local Data Previous Year'!$A$3:$A$20000)-ROW('Local Data Previous Year'!$A$3)+1),ROW(452:452))))</f>
        <v/>
      </c>
      <c r="E484" s="755" t="str" cm="1">
        <f t="array" ref="E484">IF(ISERROR(INDEX('Local Data Previous Year'!$E$3:$E$20000,SMALL(IF(CTR1_Billing!$E$21='Local Data Previous Year'!$A$3:$A$20000,ROW('Local Data Previous Year'!$A$3:$A$20000)-ROW('Local Data Previous Year'!$A$3)+1),ROW(452:452)))),"",INDEX('Local Data Previous Year'!$E$3:$E$20000,SMALL(IF(CTR1_Billing!$E$21='Local Data Previous Year'!$A$3:$A$20000,ROW('Local Data Previous Year'!$A$3:$A$20000)-ROW('Local Data Previous Year'!$A$3)+1),ROW(452:452))))</f>
        <v/>
      </c>
      <c r="F484" s="756" t="str">
        <f>IF($D484="","",IF(ISNA(MATCH($D484,'Local Data Previous Year'!$D$3:$D$20000,0)),"New",IFERROR(VLOOKUP($B484,'Local Data Previous Year'!$D$3:$I$20000,6,0),"")))</f>
        <v/>
      </c>
      <c r="G484" s="757">
        <f t="shared" si="99"/>
        <v>0</v>
      </c>
      <c r="H484" s="758" t="str">
        <f>IFERROR(INDEX('Local Data Previous Year'!$F:$F, MATCH($D484, 'Local Data Previous Year'!$D:$D, 0)), "")</f>
        <v/>
      </c>
      <c r="I484" s="759">
        <f>IF(B484=CTR1_Billing!$E$21&amp;"NEW",1,0)</f>
        <v>0</v>
      </c>
      <c r="J484" s="760" t="str">
        <f>IFERROR(INDEX('Local Data Previous Year'!$G:$G, MATCH($D484, 'Local Data Previous Year'!$D:$D, 0)), "")</f>
        <v/>
      </c>
      <c r="K484" s="762"/>
      <c r="L484" s="760" t="str">
        <f>IFERROR(INDEX('Local Data Previous Year'!$H:$H, MATCH($D484, 'Local Data Previous Year'!$D:$D, 0)), "")</f>
        <v/>
      </c>
      <c r="M484" s="762"/>
      <c r="N484" s="763"/>
      <c r="O484" s="767"/>
      <c r="P484" s="765"/>
      <c r="Q484" s="767"/>
      <c r="R484" s="766" t="str">
        <f t="shared" si="100"/>
        <v/>
      </c>
      <c r="S484" s="754"/>
      <c r="T484" s="763"/>
      <c r="U484" s="754"/>
      <c r="V484" s="763"/>
      <c r="W484" s="763"/>
      <c r="X484" s="865" t="str">
        <f>VLOOKUP(CTR1_Billing!$E$21,Data!$C$6:$D$302,1,FALSE)</f>
        <v>EZZZZ</v>
      </c>
      <c r="Y484" s="205"/>
      <c r="Z484" s="205">
        <f t="shared" si="89"/>
        <v>0</v>
      </c>
      <c r="AA484" s="206" t="str">
        <f t="shared" si="88"/>
        <v/>
      </c>
      <c r="AB484" s="205">
        <f t="shared" si="90"/>
        <v>0</v>
      </c>
      <c r="AC484" s="208"/>
      <c r="AD484" s="208"/>
      <c r="AE484" s="208"/>
      <c r="AF484" s="208"/>
      <c r="AG484" s="209" t="str">
        <f>IFERROR(INDEX('Local Data Previous Year'!$F:$F, MATCH($D484, 'Local Data Previous Year'!$D:$D, 0)), "")</f>
        <v/>
      </c>
      <c r="AH484" s="209" t="str">
        <f>IFERROR(INDEX('Local Data Previous Year'!$G:$G, MATCH($D484, 'Local Data Previous Year'!$D:$D, 0)), "")</f>
        <v/>
      </c>
      <c r="AI484" s="209" t="str">
        <f>IFERROR(INDEX('Local Data Previous Year'!$H:$H, MATCH($D484, 'Local Data Previous Year'!$D:$D, 0)), "")</f>
        <v/>
      </c>
      <c r="AJ484" s="209" t="str">
        <f t="shared" si="91"/>
        <v/>
      </c>
      <c r="AK484" s="209" t="str">
        <f t="shared" si="92"/>
        <v/>
      </c>
      <c r="AL484" s="209" t="str">
        <f t="shared" si="93"/>
        <v/>
      </c>
      <c r="AM484" s="208" t="str">
        <f>IF($AN484="","",IFERROR(VLOOKUP(CONCATENATE(CTR1_Billing!$E$20,$AN484),'Local Data Previous Year'!$C$3:$D$50000,2,0),CTR1_Billing!$E$21&amp;"NEW"))</f>
        <v/>
      </c>
      <c r="AN484" s="209" t="str" cm="1">
        <f t="array" ref="AN484">IF(ISERROR(INDEX('Local Data Previous Year'!$E$3:$E$50000, SMALL(IF(CTR1_Billing!$E$21='Local Data Previous Year'!$A$3:$A$50000, ROW('Local Data Previous Year'!$A$3:$A$50000)-ROW('Local Data Previous Year'!$A$3)+1), ROW(452:452)))), "", INDEX('Local Data Previous Year'!$E$3:$E$50000, SMALL(IF(CTR1_Billing!$E$21='Local Data Previous Year'!$A$3:$A$50000, ROW('Local Data Previous Year'!$A$3:$A$50000)-ROW('Local Data Previous Year'!$A$3)+1), ROW(452:452))))</f>
        <v/>
      </c>
      <c r="AO484" s="209" t="str">
        <f t="shared" si="94"/>
        <v/>
      </c>
      <c r="AP484" s="208"/>
      <c r="AQ484" s="209" t="str">
        <f t="shared" si="95"/>
        <v/>
      </c>
      <c r="AR484" s="209" t="str">
        <f t="shared" si="96"/>
        <v/>
      </c>
      <c r="AS484" s="202" t="str">
        <f t="shared" si="97"/>
        <v/>
      </c>
      <c r="AT484" s="202" t="str">
        <f t="shared" si="98"/>
        <v/>
      </c>
      <c r="AU484" s="208"/>
      <c r="AV484" s="208"/>
      <c r="AW484" s="208"/>
      <c r="AX484" s="208"/>
      <c r="AY484" s="208"/>
      <c r="AZ484" s="208"/>
      <c r="BA484" s="208"/>
      <c r="BB484" s="208"/>
      <c r="BC484" s="208"/>
      <c r="BD484" s="208"/>
      <c r="BE484" s="208"/>
      <c r="BF484" s="208"/>
      <c r="BG484" s="28"/>
      <c r="BH484" s="28"/>
      <c r="BI484" s="28"/>
      <c r="BJ484" s="28"/>
    </row>
    <row r="485" spans="1:62" s="23" customFormat="1" ht="21" customHeight="1" thickBot="1" x14ac:dyDescent="0.25">
      <c r="A485" s="846" t="str">
        <f>IF($AN485="","",IFERROR(VLOOKUP(CONCATENATE(CTR1_Billing!$E$20,$AN485),'Local Data Previous Year'!$C$3:$D$20000,2,0),CTR1_Billing!$E$21&amp;"NEW"))</f>
        <v/>
      </c>
      <c r="B485" s="846" t="str">
        <f>IF($E485="","",IFERROR(VLOOKUP(CONCATENATE(CTR1_Billing!$E$20,CTR1_Local!$E485),'Local Data Previous Year'!$C$3:$D$20000,2,0),CTR1_Billing!$E$21&amp;"NEW"))</f>
        <v/>
      </c>
      <c r="C485" s="846">
        <v>453</v>
      </c>
      <c r="D485" s="755" t="str" cm="1">
        <f t="array" ref="D485">IF(ISERROR(INDEX('Local Data Previous Year'!$D$3:$D$20000,SMALL(IF(CTR1_Billing!$E$21='Local Data Previous Year'!$A$3:$A$20000,ROW('Local Data Previous Year'!$A$3:$A$20000)-ROW('Local Data Previous Year'!$A$3)+1),ROW(453:453)))),"",INDEX('Local Data Previous Year'!$D$3:$D$20000,SMALL(IF(CTR1_Billing!$E$21='Local Data Previous Year'!$A$3:$A$20000,ROW('Local Data Previous Year'!$A$3:$A$20000)-ROW('Local Data Previous Year'!$A$3)+1),ROW(453:453))))</f>
        <v/>
      </c>
      <c r="E485" s="755" t="str" cm="1">
        <f t="array" ref="E485">IF(ISERROR(INDEX('Local Data Previous Year'!$E$3:$E$20000,SMALL(IF(CTR1_Billing!$E$21='Local Data Previous Year'!$A$3:$A$20000,ROW('Local Data Previous Year'!$A$3:$A$20000)-ROW('Local Data Previous Year'!$A$3)+1),ROW(453:453)))),"",INDEX('Local Data Previous Year'!$E$3:$E$20000,SMALL(IF(CTR1_Billing!$E$21='Local Data Previous Year'!$A$3:$A$20000,ROW('Local Data Previous Year'!$A$3:$A$20000)-ROW('Local Data Previous Year'!$A$3)+1),ROW(453:453))))</f>
        <v/>
      </c>
      <c r="F485" s="756" t="str">
        <f>IF($D485="","",IF(ISNA(MATCH($D485,'Local Data Previous Year'!$D$3:$D$20000,0)),"New",IFERROR(VLOOKUP($B485,'Local Data Previous Year'!$D$3:$I$20000,6,0),"")))</f>
        <v/>
      </c>
      <c r="G485" s="757">
        <f t="shared" si="99"/>
        <v>0</v>
      </c>
      <c r="H485" s="758" t="str">
        <f>IFERROR(INDEX('Local Data Previous Year'!$F:$F, MATCH($D485, 'Local Data Previous Year'!$D:$D, 0)), "")</f>
        <v/>
      </c>
      <c r="I485" s="759">
        <f>IF(B485=CTR1_Billing!$E$21&amp;"NEW",1,0)</f>
        <v>0</v>
      </c>
      <c r="J485" s="760" t="str">
        <f>IFERROR(INDEX('Local Data Previous Year'!$G:$G, MATCH($D485, 'Local Data Previous Year'!$D:$D, 0)), "")</f>
        <v/>
      </c>
      <c r="K485" s="762"/>
      <c r="L485" s="760" t="str">
        <f>IFERROR(INDEX('Local Data Previous Year'!$H:$H, MATCH($D485, 'Local Data Previous Year'!$D:$D, 0)), "")</f>
        <v/>
      </c>
      <c r="M485" s="762"/>
      <c r="N485" s="763"/>
      <c r="O485" s="767"/>
      <c r="P485" s="765"/>
      <c r="Q485" s="767"/>
      <c r="R485" s="766" t="str">
        <f t="shared" si="100"/>
        <v/>
      </c>
      <c r="S485" s="754"/>
      <c r="T485" s="763"/>
      <c r="U485" s="754"/>
      <c r="V485" s="763"/>
      <c r="W485" s="763"/>
      <c r="X485" s="865" t="str">
        <f>VLOOKUP(CTR1_Billing!$E$21,Data!$C$6:$D$302,1,FALSE)</f>
        <v>EZZZZ</v>
      </c>
      <c r="Y485" s="205"/>
      <c r="Z485" s="205">
        <f t="shared" si="89"/>
        <v>0</v>
      </c>
      <c r="AA485" s="206" t="str">
        <f t="shared" si="88"/>
        <v/>
      </c>
      <c r="AB485" s="205">
        <f t="shared" si="90"/>
        <v>0</v>
      </c>
      <c r="AC485" s="208"/>
      <c r="AD485" s="208"/>
      <c r="AE485" s="208"/>
      <c r="AF485" s="208"/>
      <c r="AG485" s="209" t="str">
        <f>IFERROR(INDEX('Local Data Previous Year'!$F:$F, MATCH($D485, 'Local Data Previous Year'!$D:$D, 0)), "")</f>
        <v/>
      </c>
      <c r="AH485" s="209" t="str">
        <f>IFERROR(INDEX('Local Data Previous Year'!$G:$G, MATCH($D485, 'Local Data Previous Year'!$D:$D, 0)), "")</f>
        <v/>
      </c>
      <c r="AI485" s="209" t="str">
        <f>IFERROR(INDEX('Local Data Previous Year'!$H:$H, MATCH($D485, 'Local Data Previous Year'!$D:$D, 0)), "")</f>
        <v/>
      </c>
      <c r="AJ485" s="209" t="str">
        <f t="shared" si="91"/>
        <v/>
      </c>
      <c r="AK485" s="209" t="str">
        <f t="shared" si="92"/>
        <v/>
      </c>
      <c r="AL485" s="209" t="str">
        <f t="shared" si="93"/>
        <v/>
      </c>
      <c r="AM485" s="208" t="str">
        <f>IF($AN485="","",IFERROR(VLOOKUP(CONCATENATE(CTR1_Billing!$E$20,$AN485),'Local Data Previous Year'!$C$3:$D$50000,2,0),CTR1_Billing!$E$21&amp;"NEW"))</f>
        <v/>
      </c>
      <c r="AN485" s="209" t="str" cm="1">
        <f t="array" ref="AN485">IF(ISERROR(INDEX('Local Data Previous Year'!$E$3:$E$50000, SMALL(IF(CTR1_Billing!$E$21='Local Data Previous Year'!$A$3:$A$50000, ROW('Local Data Previous Year'!$A$3:$A$50000)-ROW('Local Data Previous Year'!$A$3)+1), ROW(453:453)))), "", INDEX('Local Data Previous Year'!$E$3:$E$50000, SMALL(IF(CTR1_Billing!$E$21='Local Data Previous Year'!$A$3:$A$50000, ROW('Local Data Previous Year'!$A$3:$A$50000)-ROW('Local Data Previous Year'!$A$3)+1), ROW(453:453))))</f>
        <v/>
      </c>
      <c r="AO485" s="209" t="str">
        <f t="shared" si="94"/>
        <v/>
      </c>
      <c r="AP485" s="208"/>
      <c r="AQ485" s="209" t="str">
        <f t="shared" si="95"/>
        <v/>
      </c>
      <c r="AR485" s="209" t="str">
        <f t="shared" si="96"/>
        <v/>
      </c>
      <c r="AS485" s="202" t="str">
        <f t="shared" si="97"/>
        <v/>
      </c>
      <c r="AT485" s="202" t="str">
        <f t="shared" si="98"/>
        <v/>
      </c>
      <c r="AU485" s="208"/>
      <c r="AV485" s="208"/>
      <c r="AW485" s="208"/>
      <c r="AX485" s="208"/>
      <c r="AY485" s="208"/>
      <c r="AZ485" s="208"/>
      <c r="BA485" s="208"/>
      <c r="BB485" s="208"/>
      <c r="BC485" s="208"/>
      <c r="BD485" s="208"/>
      <c r="BE485" s="208"/>
      <c r="BF485" s="208"/>
      <c r="BG485" s="28"/>
      <c r="BH485" s="28"/>
      <c r="BI485" s="28"/>
      <c r="BJ485" s="28"/>
    </row>
    <row r="486" spans="1:62" s="23" customFormat="1" ht="21" customHeight="1" thickBot="1" x14ac:dyDescent="0.25">
      <c r="A486" s="846" t="str">
        <f>IF($AN486="","",IFERROR(VLOOKUP(CONCATENATE(CTR1_Billing!$E$20,$AN486),'Local Data Previous Year'!$C$3:$D$20000,2,0),CTR1_Billing!$E$21&amp;"NEW"))</f>
        <v/>
      </c>
      <c r="B486" s="846" t="str">
        <f>IF($E486="","",IFERROR(VLOOKUP(CONCATENATE(CTR1_Billing!$E$20,CTR1_Local!$E486),'Local Data Previous Year'!$C$3:$D$20000,2,0),CTR1_Billing!$E$21&amp;"NEW"))</f>
        <v/>
      </c>
      <c r="C486" s="846">
        <v>454</v>
      </c>
      <c r="D486" s="755" t="str" cm="1">
        <f t="array" ref="D486">IF(ISERROR(INDEX('Local Data Previous Year'!$D$3:$D$20000,SMALL(IF(CTR1_Billing!$E$21='Local Data Previous Year'!$A$3:$A$20000,ROW('Local Data Previous Year'!$A$3:$A$20000)-ROW('Local Data Previous Year'!$A$3)+1),ROW(454:454)))),"",INDEX('Local Data Previous Year'!$D$3:$D$20000,SMALL(IF(CTR1_Billing!$E$21='Local Data Previous Year'!$A$3:$A$20000,ROW('Local Data Previous Year'!$A$3:$A$20000)-ROW('Local Data Previous Year'!$A$3)+1),ROW(454:454))))</f>
        <v/>
      </c>
      <c r="E486" s="755" t="str" cm="1">
        <f t="array" ref="E486">IF(ISERROR(INDEX('Local Data Previous Year'!$E$3:$E$20000,SMALL(IF(CTR1_Billing!$E$21='Local Data Previous Year'!$A$3:$A$20000,ROW('Local Data Previous Year'!$A$3:$A$20000)-ROW('Local Data Previous Year'!$A$3)+1),ROW(454:454)))),"",INDEX('Local Data Previous Year'!$E$3:$E$20000,SMALL(IF(CTR1_Billing!$E$21='Local Data Previous Year'!$A$3:$A$20000,ROW('Local Data Previous Year'!$A$3:$A$20000)-ROW('Local Data Previous Year'!$A$3)+1),ROW(454:454))))</f>
        <v/>
      </c>
      <c r="F486" s="756" t="str">
        <f>IF($D486="","",IF(ISNA(MATCH($D486,'Local Data Previous Year'!$D$3:$D$20000,0)),"New",IFERROR(VLOOKUP($B486,'Local Data Previous Year'!$D$3:$I$20000,6,0),"")))</f>
        <v/>
      </c>
      <c r="G486" s="757">
        <f t="shared" si="99"/>
        <v>0</v>
      </c>
      <c r="H486" s="758" t="str">
        <f>IFERROR(INDEX('Local Data Previous Year'!$F:$F, MATCH($D486, 'Local Data Previous Year'!$D:$D, 0)), "")</f>
        <v/>
      </c>
      <c r="I486" s="759">
        <f>IF(B486=CTR1_Billing!$E$21&amp;"NEW",1,0)</f>
        <v>0</v>
      </c>
      <c r="J486" s="760" t="str">
        <f>IFERROR(INDEX('Local Data Previous Year'!$G:$G, MATCH($D486, 'Local Data Previous Year'!$D:$D, 0)), "")</f>
        <v/>
      </c>
      <c r="K486" s="762"/>
      <c r="L486" s="760" t="str">
        <f>IFERROR(INDEX('Local Data Previous Year'!$H:$H, MATCH($D486, 'Local Data Previous Year'!$D:$D, 0)), "")</f>
        <v/>
      </c>
      <c r="M486" s="762"/>
      <c r="N486" s="763"/>
      <c r="O486" s="767"/>
      <c r="P486" s="765"/>
      <c r="Q486" s="767"/>
      <c r="R486" s="766" t="str">
        <f t="shared" si="100"/>
        <v/>
      </c>
      <c r="S486" s="754"/>
      <c r="T486" s="763"/>
      <c r="U486" s="754"/>
      <c r="V486" s="763"/>
      <c r="W486" s="763"/>
      <c r="X486" s="865" t="str">
        <f>VLOOKUP(CTR1_Billing!$E$21,Data!$C$6:$D$302,1,FALSE)</f>
        <v>EZZZZ</v>
      </c>
      <c r="Y486" s="205"/>
      <c r="Z486" s="205">
        <f t="shared" si="89"/>
        <v>0</v>
      </c>
      <c r="AA486" s="206" t="str">
        <f t="shared" si="88"/>
        <v/>
      </c>
      <c r="AB486" s="205">
        <f t="shared" si="90"/>
        <v>0</v>
      </c>
      <c r="AC486" s="208"/>
      <c r="AD486" s="208"/>
      <c r="AE486" s="208"/>
      <c r="AF486" s="208"/>
      <c r="AG486" s="209" t="str">
        <f>IFERROR(INDEX('Local Data Previous Year'!$F:$F, MATCH($D486, 'Local Data Previous Year'!$D:$D, 0)), "")</f>
        <v/>
      </c>
      <c r="AH486" s="209" t="str">
        <f>IFERROR(INDEX('Local Data Previous Year'!$G:$G, MATCH($D486, 'Local Data Previous Year'!$D:$D, 0)), "")</f>
        <v/>
      </c>
      <c r="AI486" s="209" t="str">
        <f>IFERROR(INDEX('Local Data Previous Year'!$H:$H, MATCH($D486, 'Local Data Previous Year'!$D:$D, 0)), "")</f>
        <v/>
      </c>
      <c r="AJ486" s="209" t="str">
        <f t="shared" si="91"/>
        <v/>
      </c>
      <c r="AK486" s="209" t="str">
        <f t="shared" si="92"/>
        <v/>
      </c>
      <c r="AL486" s="209" t="str">
        <f t="shared" si="93"/>
        <v/>
      </c>
      <c r="AM486" s="208" t="str">
        <f>IF($AN486="","",IFERROR(VLOOKUP(CONCATENATE(CTR1_Billing!$E$20,$AN486),'Local Data Previous Year'!$C$3:$D$50000,2,0),CTR1_Billing!$E$21&amp;"NEW"))</f>
        <v/>
      </c>
      <c r="AN486" s="209" t="str" cm="1">
        <f t="array" ref="AN486">IF(ISERROR(INDEX('Local Data Previous Year'!$E$3:$E$50000, SMALL(IF(CTR1_Billing!$E$21='Local Data Previous Year'!$A$3:$A$50000, ROW('Local Data Previous Year'!$A$3:$A$50000)-ROW('Local Data Previous Year'!$A$3)+1), ROW(454:454)))), "", INDEX('Local Data Previous Year'!$E$3:$E$50000, SMALL(IF(CTR1_Billing!$E$21='Local Data Previous Year'!$A$3:$A$50000, ROW('Local Data Previous Year'!$A$3:$A$50000)-ROW('Local Data Previous Year'!$A$3)+1), ROW(454:454))))</f>
        <v/>
      </c>
      <c r="AO486" s="209" t="str">
        <f t="shared" si="94"/>
        <v/>
      </c>
      <c r="AP486" s="208"/>
      <c r="AQ486" s="209" t="str">
        <f t="shared" si="95"/>
        <v/>
      </c>
      <c r="AR486" s="209" t="str">
        <f t="shared" si="96"/>
        <v/>
      </c>
      <c r="AS486" s="202" t="str">
        <f t="shared" si="97"/>
        <v/>
      </c>
      <c r="AT486" s="202" t="str">
        <f t="shared" si="98"/>
        <v/>
      </c>
      <c r="AU486" s="208"/>
      <c r="AV486" s="208"/>
      <c r="AW486" s="208"/>
      <c r="AX486" s="208"/>
      <c r="AY486" s="208"/>
      <c r="AZ486" s="208"/>
      <c r="BA486" s="208"/>
      <c r="BB486" s="208"/>
      <c r="BC486" s="208"/>
      <c r="BD486" s="208"/>
      <c r="BE486" s="208"/>
      <c r="BF486" s="208"/>
      <c r="BG486" s="28"/>
      <c r="BH486" s="28"/>
      <c r="BI486" s="28"/>
      <c r="BJ486" s="28"/>
    </row>
    <row r="487" spans="1:62" s="23" customFormat="1" ht="21" customHeight="1" thickBot="1" x14ac:dyDescent="0.25">
      <c r="A487" s="846" t="str">
        <f>IF($AN487="","",IFERROR(VLOOKUP(CONCATENATE(CTR1_Billing!$E$20,$AN487),'Local Data Previous Year'!$C$3:$D$20000,2,0),CTR1_Billing!$E$21&amp;"NEW"))</f>
        <v/>
      </c>
      <c r="B487" s="846" t="str">
        <f>IF($E487="","",IFERROR(VLOOKUP(CONCATENATE(CTR1_Billing!$E$20,CTR1_Local!$E487),'Local Data Previous Year'!$C$3:$D$20000,2,0),CTR1_Billing!$E$21&amp;"NEW"))</f>
        <v/>
      </c>
      <c r="C487" s="846">
        <v>455</v>
      </c>
      <c r="D487" s="755" t="str" cm="1">
        <f t="array" ref="D487">IF(ISERROR(INDEX('Local Data Previous Year'!$D$3:$D$20000,SMALL(IF(CTR1_Billing!$E$21='Local Data Previous Year'!$A$3:$A$20000,ROW('Local Data Previous Year'!$A$3:$A$20000)-ROW('Local Data Previous Year'!$A$3)+1),ROW(455:455)))),"",INDEX('Local Data Previous Year'!$D$3:$D$20000,SMALL(IF(CTR1_Billing!$E$21='Local Data Previous Year'!$A$3:$A$20000,ROW('Local Data Previous Year'!$A$3:$A$20000)-ROW('Local Data Previous Year'!$A$3)+1),ROW(455:455))))</f>
        <v/>
      </c>
      <c r="E487" s="755" t="str" cm="1">
        <f t="array" ref="E487">IF(ISERROR(INDEX('Local Data Previous Year'!$E$3:$E$20000,SMALL(IF(CTR1_Billing!$E$21='Local Data Previous Year'!$A$3:$A$20000,ROW('Local Data Previous Year'!$A$3:$A$20000)-ROW('Local Data Previous Year'!$A$3)+1),ROW(455:455)))),"",INDEX('Local Data Previous Year'!$E$3:$E$20000,SMALL(IF(CTR1_Billing!$E$21='Local Data Previous Year'!$A$3:$A$20000,ROW('Local Data Previous Year'!$A$3:$A$20000)-ROW('Local Data Previous Year'!$A$3)+1),ROW(455:455))))</f>
        <v/>
      </c>
      <c r="F487" s="756" t="str">
        <f>IF($D487="","",IF(ISNA(MATCH($D487,'Local Data Previous Year'!$D$3:$D$20000,0)),"New",IFERROR(VLOOKUP($B487,'Local Data Previous Year'!$D$3:$I$20000,6,0),"")))</f>
        <v/>
      </c>
      <c r="G487" s="757">
        <f t="shared" si="99"/>
        <v>0</v>
      </c>
      <c r="H487" s="758" t="str">
        <f>IFERROR(INDEX('Local Data Previous Year'!$F:$F, MATCH($D487, 'Local Data Previous Year'!$D:$D, 0)), "")</f>
        <v/>
      </c>
      <c r="I487" s="759">
        <f>IF(B487=CTR1_Billing!$E$21&amp;"NEW",1,0)</f>
        <v>0</v>
      </c>
      <c r="J487" s="760" t="str">
        <f>IFERROR(INDEX('Local Data Previous Year'!$G:$G, MATCH($D487, 'Local Data Previous Year'!$D:$D, 0)), "")</f>
        <v/>
      </c>
      <c r="K487" s="762"/>
      <c r="L487" s="760" t="str">
        <f>IFERROR(INDEX('Local Data Previous Year'!$H:$H, MATCH($D487, 'Local Data Previous Year'!$D:$D, 0)), "")</f>
        <v/>
      </c>
      <c r="M487" s="762"/>
      <c r="N487" s="763"/>
      <c r="O487" s="767"/>
      <c r="P487" s="765"/>
      <c r="Q487" s="767"/>
      <c r="R487" s="766" t="str">
        <f t="shared" si="100"/>
        <v/>
      </c>
      <c r="S487" s="754"/>
      <c r="T487" s="763"/>
      <c r="U487" s="754"/>
      <c r="V487" s="763"/>
      <c r="W487" s="763"/>
      <c r="X487" s="865" t="str">
        <f>VLOOKUP(CTR1_Billing!$E$21,Data!$C$6:$D$302,1,FALSE)</f>
        <v>EZZZZ</v>
      </c>
      <c r="Y487" s="205"/>
      <c r="Z487" s="205">
        <f t="shared" si="89"/>
        <v>0</v>
      </c>
      <c r="AA487" s="206" t="str">
        <f t="shared" si="88"/>
        <v/>
      </c>
      <c r="AB487" s="205">
        <f t="shared" si="90"/>
        <v>0</v>
      </c>
      <c r="AC487" s="208"/>
      <c r="AD487" s="208"/>
      <c r="AE487" s="208"/>
      <c r="AF487" s="208"/>
      <c r="AG487" s="209" t="str">
        <f>IFERROR(INDEX('Local Data Previous Year'!$F:$F, MATCH($D487, 'Local Data Previous Year'!$D:$D, 0)), "")</f>
        <v/>
      </c>
      <c r="AH487" s="209" t="str">
        <f>IFERROR(INDEX('Local Data Previous Year'!$G:$G, MATCH($D487, 'Local Data Previous Year'!$D:$D, 0)), "")</f>
        <v/>
      </c>
      <c r="AI487" s="209" t="str">
        <f>IFERROR(INDEX('Local Data Previous Year'!$H:$H, MATCH($D487, 'Local Data Previous Year'!$D:$D, 0)), "")</f>
        <v/>
      </c>
      <c r="AJ487" s="209" t="str">
        <f t="shared" si="91"/>
        <v/>
      </c>
      <c r="AK487" s="209" t="str">
        <f t="shared" si="92"/>
        <v/>
      </c>
      <c r="AL487" s="209" t="str">
        <f t="shared" si="93"/>
        <v/>
      </c>
      <c r="AM487" s="208" t="str">
        <f>IF($AN487="","",IFERROR(VLOOKUP(CONCATENATE(CTR1_Billing!$E$20,$AN487),'Local Data Previous Year'!$C$3:$D$50000,2,0),CTR1_Billing!$E$21&amp;"NEW"))</f>
        <v/>
      </c>
      <c r="AN487" s="209" t="str" cm="1">
        <f t="array" ref="AN487">IF(ISERROR(INDEX('Local Data Previous Year'!$E$3:$E$50000, SMALL(IF(CTR1_Billing!$E$21='Local Data Previous Year'!$A$3:$A$50000, ROW('Local Data Previous Year'!$A$3:$A$50000)-ROW('Local Data Previous Year'!$A$3)+1), ROW(455:455)))), "", INDEX('Local Data Previous Year'!$E$3:$E$50000, SMALL(IF(CTR1_Billing!$E$21='Local Data Previous Year'!$A$3:$A$50000, ROW('Local Data Previous Year'!$A$3:$A$50000)-ROW('Local Data Previous Year'!$A$3)+1), ROW(455:455))))</f>
        <v/>
      </c>
      <c r="AO487" s="209" t="str">
        <f t="shared" si="94"/>
        <v/>
      </c>
      <c r="AP487" s="208"/>
      <c r="AQ487" s="209" t="str">
        <f t="shared" si="95"/>
        <v/>
      </c>
      <c r="AR487" s="209" t="str">
        <f t="shared" si="96"/>
        <v/>
      </c>
      <c r="AS487" s="202" t="str">
        <f t="shared" si="97"/>
        <v/>
      </c>
      <c r="AT487" s="202" t="str">
        <f t="shared" si="98"/>
        <v/>
      </c>
      <c r="AU487" s="208"/>
      <c r="AV487" s="208"/>
      <c r="AW487" s="208"/>
      <c r="AX487" s="208"/>
      <c r="AY487" s="208"/>
      <c r="AZ487" s="208"/>
      <c r="BA487" s="208"/>
      <c r="BB487" s="208"/>
      <c r="BC487" s="208"/>
      <c r="BD487" s="208"/>
      <c r="BE487" s="208"/>
      <c r="BF487" s="208"/>
      <c r="BG487" s="28"/>
      <c r="BH487" s="28"/>
      <c r="BI487" s="28"/>
      <c r="BJ487" s="28"/>
    </row>
    <row r="488" spans="1:62" s="23" customFormat="1" ht="21" customHeight="1" thickBot="1" x14ac:dyDescent="0.25">
      <c r="A488" s="846" t="str">
        <f>IF($AN488="","",IFERROR(VLOOKUP(CONCATENATE(CTR1_Billing!$E$20,$AN488),'Local Data Previous Year'!$C$3:$D$20000,2,0),CTR1_Billing!$E$21&amp;"NEW"))</f>
        <v/>
      </c>
      <c r="B488" s="846" t="str">
        <f>IF($E488="","",IFERROR(VLOOKUP(CONCATENATE(CTR1_Billing!$E$20,CTR1_Local!$E488),'Local Data Previous Year'!$C$3:$D$20000,2,0),CTR1_Billing!$E$21&amp;"NEW"))</f>
        <v/>
      </c>
      <c r="C488" s="846">
        <v>456</v>
      </c>
      <c r="D488" s="755" t="str" cm="1">
        <f t="array" ref="D488">IF(ISERROR(INDEX('Local Data Previous Year'!$D$3:$D$20000,SMALL(IF(CTR1_Billing!$E$21='Local Data Previous Year'!$A$3:$A$20000,ROW('Local Data Previous Year'!$A$3:$A$20000)-ROW('Local Data Previous Year'!$A$3)+1),ROW(456:456)))),"",INDEX('Local Data Previous Year'!$D$3:$D$20000,SMALL(IF(CTR1_Billing!$E$21='Local Data Previous Year'!$A$3:$A$20000,ROW('Local Data Previous Year'!$A$3:$A$20000)-ROW('Local Data Previous Year'!$A$3)+1),ROW(456:456))))</f>
        <v/>
      </c>
      <c r="E488" s="755" t="str" cm="1">
        <f t="array" ref="E488">IF(ISERROR(INDEX('Local Data Previous Year'!$E$3:$E$20000,SMALL(IF(CTR1_Billing!$E$21='Local Data Previous Year'!$A$3:$A$20000,ROW('Local Data Previous Year'!$A$3:$A$20000)-ROW('Local Data Previous Year'!$A$3)+1),ROW(456:456)))),"",INDEX('Local Data Previous Year'!$E$3:$E$20000,SMALL(IF(CTR1_Billing!$E$21='Local Data Previous Year'!$A$3:$A$20000,ROW('Local Data Previous Year'!$A$3:$A$20000)-ROW('Local Data Previous Year'!$A$3)+1),ROW(456:456))))</f>
        <v/>
      </c>
      <c r="F488" s="756" t="str">
        <f>IF($D488="","",IF(ISNA(MATCH($D488,'Local Data Previous Year'!$D$3:$D$20000,0)),"New",IFERROR(VLOOKUP($B488,'Local Data Previous Year'!$D$3:$I$20000,6,0),"")))</f>
        <v/>
      </c>
      <c r="G488" s="757">
        <f t="shared" si="99"/>
        <v>0</v>
      </c>
      <c r="H488" s="758" t="str">
        <f>IFERROR(INDEX('Local Data Previous Year'!$F:$F, MATCH($D488, 'Local Data Previous Year'!$D:$D, 0)), "")</f>
        <v/>
      </c>
      <c r="I488" s="759">
        <f>IF(B488=CTR1_Billing!$E$21&amp;"NEW",1,0)</f>
        <v>0</v>
      </c>
      <c r="J488" s="760" t="str">
        <f>IFERROR(INDEX('Local Data Previous Year'!$G:$G, MATCH($D488, 'Local Data Previous Year'!$D:$D, 0)), "")</f>
        <v/>
      </c>
      <c r="K488" s="762"/>
      <c r="L488" s="760" t="str">
        <f>IFERROR(INDEX('Local Data Previous Year'!$H:$H, MATCH($D488, 'Local Data Previous Year'!$D:$D, 0)), "")</f>
        <v/>
      </c>
      <c r="M488" s="762"/>
      <c r="N488" s="763"/>
      <c r="O488" s="767"/>
      <c r="P488" s="765"/>
      <c r="Q488" s="767"/>
      <c r="R488" s="766" t="str">
        <f t="shared" si="100"/>
        <v/>
      </c>
      <c r="S488" s="754"/>
      <c r="T488" s="763"/>
      <c r="U488" s="754"/>
      <c r="V488" s="763"/>
      <c r="W488" s="763"/>
      <c r="X488" s="865" t="str">
        <f>VLOOKUP(CTR1_Billing!$E$21,Data!$C$6:$D$302,1,FALSE)</f>
        <v>EZZZZ</v>
      </c>
      <c r="Y488" s="205"/>
      <c r="Z488" s="205">
        <f t="shared" si="89"/>
        <v>0</v>
      </c>
      <c r="AA488" s="206" t="str">
        <f t="shared" si="88"/>
        <v/>
      </c>
      <c r="AB488" s="205">
        <f t="shared" si="90"/>
        <v>0</v>
      </c>
      <c r="AC488" s="208"/>
      <c r="AD488" s="208"/>
      <c r="AE488" s="208"/>
      <c r="AF488" s="208"/>
      <c r="AG488" s="209" t="str">
        <f>IFERROR(INDEX('Local Data Previous Year'!$F:$F, MATCH($D488, 'Local Data Previous Year'!$D:$D, 0)), "")</f>
        <v/>
      </c>
      <c r="AH488" s="209" t="str">
        <f>IFERROR(INDEX('Local Data Previous Year'!$G:$G, MATCH($D488, 'Local Data Previous Year'!$D:$D, 0)), "")</f>
        <v/>
      </c>
      <c r="AI488" s="209" t="str">
        <f>IFERROR(INDEX('Local Data Previous Year'!$H:$H, MATCH($D488, 'Local Data Previous Year'!$D:$D, 0)), "")</f>
        <v/>
      </c>
      <c r="AJ488" s="209" t="str">
        <f t="shared" si="91"/>
        <v/>
      </c>
      <c r="AK488" s="209" t="str">
        <f t="shared" si="92"/>
        <v/>
      </c>
      <c r="AL488" s="209" t="str">
        <f t="shared" si="93"/>
        <v/>
      </c>
      <c r="AM488" s="208" t="str">
        <f>IF($AN488="","",IFERROR(VLOOKUP(CONCATENATE(CTR1_Billing!$E$20,$AN488),'Local Data Previous Year'!$C$3:$D$50000,2,0),CTR1_Billing!$E$21&amp;"NEW"))</f>
        <v/>
      </c>
      <c r="AN488" s="209" t="str" cm="1">
        <f t="array" ref="AN488">IF(ISERROR(INDEX('Local Data Previous Year'!$E$3:$E$50000, SMALL(IF(CTR1_Billing!$E$21='Local Data Previous Year'!$A$3:$A$50000, ROW('Local Data Previous Year'!$A$3:$A$50000)-ROW('Local Data Previous Year'!$A$3)+1), ROW(456:456)))), "", INDEX('Local Data Previous Year'!$E$3:$E$50000, SMALL(IF(CTR1_Billing!$E$21='Local Data Previous Year'!$A$3:$A$50000, ROW('Local Data Previous Year'!$A$3:$A$50000)-ROW('Local Data Previous Year'!$A$3)+1), ROW(456:456))))</f>
        <v/>
      </c>
      <c r="AO488" s="209" t="str">
        <f t="shared" si="94"/>
        <v/>
      </c>
      <c r="AP488" s="208"/>
      <c r="AQ488" s="209" t="str">
        <f t="shared" si="95"/>
        <v/>
      </c>
      <c r="AR488" s="209" t="str">
        <f t="shared" si="96"/>
        <v/>
      </c>
      <c r="AS488" s="202" t="str">
        <f t="shared" si="97"/>
        <v/>
      </c>
      <c r="AT488" s="202" t="str">
        <f t="shared" si="98"/>
        <v/>
      </c>
      <c r="AU488" s="208"/>
      <c r="AV488" s="208"/>
      <c r="AW488" s="208"/>
      <c r="AX488" s="208"/>
      <c r="AY488" s="208"/>
      <c r="AZ488" s="208"/>
      <c r="BA488" s="208"/>
      <c r="BB488" s="208"/>
      <c r="BC488" s="208"/>
      <c r="BD488" s="208"/>
      <c r="BE488" s="208"/>
      <c r="BF488" s="208"/>
      <c r="BG488" s="28"/>
      <c r="BH488" s="28"/>
      <c r="BI488" s="28"/>
      <c r="BJ488" s="28"/>
    </row>
    <row r="489" spans="1:62" s="23" customFormat="1" ht="21" customHeight="1" thickBot="1" x14ac:dyDescent="0.25">
      <c r="A489" s="846" t="str">
        <f>IF($AN489="","",IFERROR(VLOOKUP(CONCATENATE(CTR1_Billing!$E$20,$AN489),'Local Data Previous Year'!$C$3:$D$20000,2,0),CTR1_Billing!$E$21&amp;"NEW"))</f>
        <v/>
      </c>
      <c r="B489" s="846" t="str">
        <f>IF($E489="","",IFERROR(VLOOKUP(CONCATENATE(CTR1_Billing!$E$20,CTR1_Local!$E489),'Local Data Previous Year'!$C$3:$D$20000,2,0),CTR1_Billing!$E$21&amp;"NEW"))</f>
        <v/>
      </c>
      <c r="C489" s="846">
        <v>457</v>
      </c>
      <c r="D489" s="755" t="str" cm="1">
        <f t="array" ref="D489">IF(ISERROR(INDEX('Local Data Previous Year'!$D$3:$D$20000,SMALL(IF(CTR1_Billing!$E$21='Local Data Previous Year'!$A$3:$A$20000,ROW('Local Data Previous Year'!$A$3:$A$20000)-ROW('Local Data Previous Year'!$A$3)+1),ROW(457:457)))),"",INDEX('Local Data Previous Year'!$D$3:$D$20000,SMALL(IF(CTR1_Billing!$E$21='Local Data Previous Year'!$A$3:$A$20000,ROW('Local Data Previous Year'!$A$3:$A$20000)-ROW('Local Data Previous Year'!$A$3)+1),ROW(457:457))))</f>
        <v/>
      </c>
      <c r="E489" s="755" t="str" cm="1">
        <f t="array" ref="E489">IF(ISERROR(INDEX('Local Data Previous Year'!$E$3:$E$20000,SMALL(IF(CTR1_Billing!$E$21='Local Data Previous Year'!$A$3:$A$20000,ROW('Local Data Previous Year'!$A$3:$A$20000)-ROW('Local Data Previous Year'!$A$3)+1),ROW(457:457)))),"",INDEX('Local Data Previous Year'!$E$3:$E$20000,SMALL(IF(CTR1_Billing!$E$21='Local Data Previous Year'!$A$3:$A$20000,ROW('Local Data Previous Year'!$A$3:$A$20000)-ROW('Local Data Previous Year'!$A$3)+1),ROW(457:457))))</f>
        <v/>
      </c>
      <c r="F489" s="756" t="str">
        <f>IF($D489="","",IF(ISNA(MATCH($D489,'Local Data Previous Year'!$D$3:$D$20000,0)),"New",IFERROR(VLOOKUP($B489,'Local Data Previous Year'!$D$3:$I$20000,6,0),"")))</f>
        <v/>
      </c>
      <c r="G489" s="757">
        <f t="shared" si="99"/>
        <v>0</v>
      </c>
      <c r="H489" s="758" t="str">
        <f>IFERROR(INDEX('Local Data Previous Year'!$F:$F, MATCH($D489, 'Local Data Previous Year'!$D:$D, 0)), "")</f>
        <v/>
      </c>
      <c r="I489" s="759">
        <f>IF(B489=CTR1_Billing!$E$21&amp;"NEW",1,0)</f>
        <v>0</v>
      </c>
      <c r="J489" s="760" t="str">
        <f>IFERROR(INDEX('Local Data Previous Year'!$G:$G, MATCH($D489, 'Local Data Previous Year'!$D:$D, 0)), "")</f>
        <v/>
      </c>
      <c r="K489" s="762"/>
      <c r="L489" s="760" t="str">
        <f>IFERROR(INDEX('Local Data Previous Year'!$H:$H, MATCH($D489, 'Local Data Previous Year'!$D:$D, 0)), "")</f>
        <v/>
      </c>
      <c r="M489" s="762"/>
      <c r="N489" s="763"/>
      <c r="O489" s="767"/>
      <c r="P489" s="765"/>
      <c r="Q489" s="767"/>
      <c r="R489" s="766" t="str">
        <f t="shared" si="100"/>
        <v/>
      </c>
      <c r="S489" s="754"/>
      <c r="T489" s="763"/>
      <c r="U489" s="754"/>
      <c r="V489" s="763"/>
      <c r="W489" s="763"/>
      <c r="X489" s="865" t="str">
        <f>VLOOKUP(CTR1_Billing!$E$21,Data!$C$6:$D$302,1,FALSE)</f>
        <v>EZZZZ</v>
      </c>
      <c r="Y489" s="205"/>
      <c r="Z489" s="205">
        <f t="shared" si="89"/>
        <v>0</v>
      </c>
      <c r="AA489" s="206" t="str">
        <f t="shared" si="88"/>
        <v/>
      </c>
      <c r="AB489" s="205">
        <f t="shared" si="90"/>
        <v>0</v>
      </c>
      <c r="AC489" s="208"/>
      <c r="AD489" s="208"/>
      <c r="AE489" s="208"/>
      <c r="AF489" s="208"/>
      <c r="AG489" s="209" t="str">
        <f>IFERROR(INDEX('Local Data Previous Year'!$F:$F, MATCH($D489, 'Local Data Previous Year'!$D:$D, 0)), "")</f>
        <v/>
      </c>
      <c r="AH489" s="209" t="str">
        <f>IFERROR(INDEX('Local Data Previous Year'!$G:$G, MATCH($D489, 'Local Data Previous Year'!$D:$D, 0)), "")</f>
        <v/>
      </c>
      <c r="AI489" s="209" t="str">
        <f>IFERROR(INDEX('Local Data Previous Year'!$H:$H, MATCH($D489, 'Local Data Previous Year'!$D:$D, 0)), "")</f>
        <v/>
      </c>
      <c r="AJ489" s="209" t="str">
        <f t="shared" si="91"/>
        <v/>
      </c>
      <c r="AK489" s="209" t="str">
        <f t="shared" si="92"/>
        <v/>
      </c>
      <c r="AL489" s="209" t="str">
        <f t="shared" si="93"/>
        <v/>
      </c>
      <c r="AM489" s="208" t="str">
        <f>IF($AN489="","",IFERROR(VLOOKUP(CONCATENATE(CTR1_Billing!$E$20,$AN489),'Local Data Previous Year'!$C$3:$D$50000,2,0),CTR1_Billing!$E$21&amp;"NEW"))</f>
        <v/>
      </c>
      <c r="AN489" s="209" t="str" cm="1">
        <f t="array" ref="AN489">IF(ISERROR(INDEX('Local Data Previous Year'!$E$3:$E$50000, SMALL(IF(CTR1_Billing!$E$21='Local Data Previous Year'!$A$3:$A$50000, ROW('Local Data Previous Year'!$A$3:$A$50000)-ROW('Local Data Previous Year'!$A$3)+1), ROW(457:457)))), "", INDEX('Local Data Previous Year'!$E$3:$E$50000, SMALL(IF(CTR1_Billing!$E$21='Local Data Previous Year'!$A$3:$A$50000, ROW('Local Data Previous Year'!$A$3:$A$50000)-ROW('Local Data Previous Year'!$A$3)+1), ROW(457:457))))</f>
        <v/>
      </c>
      <c r="AO489" s="209" t="str">
        <f t="shared" si="94"/>
        <v/>
      </c>
      <c r="AP489" s="208"/>
      <c r="AQ489" s="209" t="str">
        <f t="shared" si="95"/>
        <v/>
      </c>
      <c r="AR489" s="209" t="str">
        <f t="shared" si="96"/>
        <v/>
      </c>
      <c r="AS489" s="202" t="str">
        <f t="shared" si="97"/>
        <v/>
      </c>
      <c r="AT489" s="202" t="str">
        <f t="shared" si="98"/>
        <v/>
      </c>
      <c r="AU489" s="208"/>
      <c r="AV489" s="208"/>
      <c r="AW489" s="208"/>
      <c r="AX489" s="208"/>
      <c r="AY489" s="208"/>
      <c r="AZ489" s="208"/>
      <c r="BA489" s="208"/>
      <c r="BB489" s="208"/>
      <c r="BC489" s="208"/>
      <c r="BD489" s="208"/>
      <c r="BE489" s="208"/>
      <c r="BF489" s="208"/>
      <c r="BG489" s="28"/>
      <c r="BH489" s="28"/>
      <c r="BI489" s="28"/>
      <c r="BJ489" s="28"/>
    </row>
    <row r="490" spans="1:62" s="23" customFormat="1" ht="21" customHeight="1" thickBot="1" x14ac:dyDescent="0.25">
      <c r="A490" s="846" t="str">
        <f>IF($AN490="","",IFERROR(VLOOKUP(CONCATENATE(CTR1_Billing!$E$20,$AN490),'Local Data Previous Year'!$C$3:$D$20000,2,0),CTR1_Billing!$E$21&amp;"NEW"))</f>
        <v/>
      </c>
      <c r="B490" s="846" t="str">
        <f>IF($E490="","",IFERROR(VLOOKUP(CONCATENATE(CTR1_Billing!$E$20,CTR1_Local!$E490),'Local Data Previous Year'!$C$3:$D$20000,2,0),CTR1_Billing!$E$21&amp;"NEW"))</f>
        <v/>
      </c>
      <c r="C490" s="846">
        <v>458</v>
      </c>
      <c r="D490" s="755" t="str" cm="1">
        <f t="array" ref="D490">IF(ISERROR(INDEX('Local Data Previous Year'!$D$3:$D$20000,SMALL(IF(CTR1_Billing!$E$21='Local Data Previous Year'!$A$3:$A$20000,ROW('Local Data Previous Year'!$A$3:$A$20000)-ROW('Local Data Previous Year'!$A$3)+1),ROW(458:458)))),"",INDEX('Local Data Previous Year'!$D$3:$D$20000,SMALL(IF(CTR1_Billing!$E$21='Local Data Previous Year'!$A$3:$A$20000,ROW('Local Data Previous Year'!$A$3:$A$20000)-ROW('Local Data Previous Year'!$A$3)+1),ROW(458:458))))</f>
        <v/>
      </c>
      <c r="E490" s="755" t="str" cm="1">
        <f t="array" ref="E490">IF(ISERROR(INDEX('Local Data Previous Year'!$E$3:$E$20000,SMALL(IF(CTR1_Billing!$E$21='Local Data Previous Year'!$A$3:$A$20000,ROW('Local Data Previous Year'!$A$3:$A$20000)-ROW('Local Data Previous Year'!$A$3)+1),ROW(458:458)))),"",INDEX('Local Data Previous Year'!$E$3:$E$20000,SMALL(IF(CTR1_Billing!$E$21='Local Data Previous Year'!$A$3:$A$20000,ROW('Local Data Previous Year'!$A$3:$A$20000)-ROW('Local Data Previous Year'!$A$3)+1),ROW(458:458))))</f>
        <v/>
      </c>
      <c r="F490" s="756" t="str">
        <f>IF($D490="","",IF(ISNA(MATCH($D490,'Local Data Previous Year'!$D$3:$D$20000,0)),"New",IFERROR(VLOOKUP($B490,'Local Data Previous Year'!$D$3:$I$20000,6,0),"")))</f>
        <v/>
      </c>
      <c r="G490" s="757">
        <f t="shared" si="99"/>
        <v>0</v>
      </c>
      <c r="H490" s="758" t="str">
        <f>IFERROR(INDEX('Local Data Previous Year'!$F:$F, MATCH($D490, 'Local Data Previous Year'!$D:$D, 0)), "")</f>
        <v/>
      </c>
      <c r="I490" s="759">
        <f>IF(B490=CTR1_Billing!$E$21&amp;"NEW",1,0)</f>
        <v>0</v>
      </c>
      <c r="J490" s="760" t="str">
        <f>IFERROR(INDEX('Local Data Previous Year'!$G:$G, MATCH($D490, 'Local Data Previous Year'!$D:$D, 0)), "")</f>
        <v/>
      </c>
      <c r="K490" s="762"/>
      <c r="L490" s="760" t="str">
        <f>IFERROR(INDEX('Local Data Previous Year'!$H:$H, MATCH($D490, 'Local Data Previous Year'!$D:$D, 0)), "")</f>
        <v/>
      </c>
      <c r="M490" s="762"/>
      <c r="N490" s="763"/>
      <c r="O490" s="767"/>
      <c r="P490" s="765"/>
      <c r="Q490" s="767"/>
      <c r="R490" s="766" t="str">
        <f t="shared" si="100"/>
        <v/>
      </c>
      <c r="S490" s="754"/>
      <c r="T490" s="763"/>
      <c r="U490" s="754"/>
      <c r="V490" s="763"/>
      <c r="W490" s="763"/>
      <c r="X490" s="865" t="str">
        <f>VLOOKUP(CTR1_Billing!$E$21,Data!$C$6:$D$302,1,FALSE)</f>
        <v>EZZZZ</v>
      </c>
      <c r="Y490" s="205"/>
      <c r="Z490" s="205">
        <f t="shared" si="89"/>
        <v>0</v>
      </c>
      <c r="AA490" s="206" t="str">
        <f t="shared" si="88"/>
        <v/>
      </c>
      <c r="AB490" s="205">
        <f t="shared" si="90"/>
        <v>0</v>
      </c>
      <c r="AC490" s="208"/>
      <c r="AD490" s="208"/>
      <c r="AE490" s="208"/>
      <c r="AF490" s="208"/>
      <c r="AG490" s="209" t="str">
        <f>IFERROR(INDEX('Local Data Previous Year'!$F:$F, MATCH($D490, 'Local Data Previous Year'!$D:$D, 0)), "")</f>
        <v/>
      </c>
      <c r="AH490" s="209" t="str">
        <f>IFERROR(INDEX('Local Data Previous Year'!$G:$G, MATCH($D490, 'Local Data Previous Year'!$D:$D, 0)), "")</f>
        <v/>
      </c>
      <c r="AI490" s="209" t="str">
        <f>IFERROR(INDEX('Local Data Previous Year'!$H:$H, MATCH($D490, 'Local Data Previous Year'!$D:$D, 0)), "")</f>
        <v/>
      </c>
      <c r="AJ490" s="209" t="str">
        <f t="shared" si="91"/>
        <v/>
      </c>
      <c r="AK490" s="209" t="str">
        <f t="shared" si="92"/>
        <v/>
      </c>
      <c r="AL490" s="209" t="str">
        <f t="shared" si="93"/>
        <v/>
      </c>
      <c r="AM490" s="208" t="str">
        <f>IF($AN490="","",IFERROR(VLOOKUP(CONCATENATE(CTR1_Billing!$E$20,$AN490),'Local Data Previous Year'!$C$3:$D$50000,2,0),CTR1_Billing!$E$21&amp;"NEW"))</f>
        <v/>
      </c>
      <c r="AN490" s="209" t="str" cm="1">
        <f t="array" ref="AN490">IF(ISERROR(INDEX('Local Data Previous Year'!$E$3:$E$50000, SMALL(IF(CTR1_Billing!$E$21='Local Data Previous Year'!$A$3:$A$50000, ROW('Local Data Previous Year'!$A$3:$A$50000)-ROW('Local Data Previous Year'!$A$3)+1), ROW(458:458)))), "", INDEX('Local Data Previous Year'!$E$3:$E$50000, SMALL(IF(CTR1_Billing!$E$21='Local Data Previous Year'!$A$3:$A$50000, ROW('Local Data Previous Year'!$A$3:$A$50000)-ROW('Local Data Previous Year'!$A$3)+1), ROW(458:458))))</f>
        <v/>
      </c>
      <c r="AO490" s="209" t="str">
        <f t="shared" si="94"/>
        <v/>
      </c>
      <c r="AP490" s="208"/>
      <c r="AQ490" s="209" t="str">
        <f t="shared" si="95"/>
        <v/>
      </c>
      <c r="AR490" s="209" t="str">
        <f t="shared" si="96"/>
        <v/>
      </c>
      <c r="AS490" s="202" t="str">
        <f t="shared" si="97"/>
        <v/>
      </c>
      <c r="AT490" s="202" t="str">
        <f t="shared" si="98"/>
        <v/>
      </c>
      <c r="AU490" s="208"/>
      <c r="AV490" s="208"/>
      <c r="AW490" s="208"/>
      <c r="AX490" s="208"/>
      <c r="AY490" s="208"/>
      <c r="AZ490" s="208"/>
      <c r="BA490" s="208"/>
      <c r="BB490" s="208"/>
      <c r="BC490" s="208"/>
      <c r="BD490" s="208"/>
      <c r="BE490" s="208"/>
      <c r="BF490" s="208"/>
      <c r="BG490" s="28"/>
      <c r="BH490" s="28"/>
      <c r="BI490" s="28"/>
      <c r="BJ490" s="28"/>
    </row>
    <row r="491" spans="1:62" s="23" customFormat="1" ht="21" customHeight="1" thickBot="1" x14ac:dyDescent="0.25">
      <c r="A491" s="846" t="str">
        <f>IF($AN491="","",IFERROR(VLOOKUP(CONCATENATE(CTR1_Billing!$E$20,$AN491),'Local Data Previous Year'!$C$3:$D$20000,2,0),CTR1_Billing!$E$21&amp;"NEW"))</f>
        <v/>
      </c>
      <c r="B491" s="846" t="str">
        <f>IF($E491="","",IFERROR(VLOOKUP(CONCATENATE(CTR1_Billing!$E$20,CTR1_Local!$E491),'Local Data Previous Year'!$C$3:$D$20000,2,0),CTR1_Billing!$E$21&amp;"NEW"))</f>
        <v/>
      </c>
      <c r="C491" s="846">
        <v>459</v>
      </c>
      <c r="D491" s="755" t="str" cm="1">
        <f t="array" ref="D491">IF(ISERROR(INDEX('Local Data Previous Year'!$D$3:$D$20000,SMALL(IF(CTR1_Billing!$E$21='Local Data Previous Year'!$A$3:$A$20000,ROW('Local Data Previous Year'!$A$3:$A$20000)-ROW('Local Data Previous Year'!$A$3)+1),ROW(459:459)))),"",INDEX('Local Data Previous Year'!$D$3:$D$20000,SMALL(IF(CTR1_Billing!$E$21='Local Data Previous Year'!$A$3:$A$20000,ROW('Local Data Previous Year'!$A$3:$A$20000)-ROW('Local Data Previous Year'!$A$3)+1),ROW(459:459))))</f>
        <v/>
      </c>
      <c r="E491" s="755" t="str" cm="1">
        <f t="array" ref="E491">IF(ISERROR(INDEX('Local Data Previous Year'!$E$3:$E$20000,SMALL(IF(CTR1_Billing!$E$21='Local Data Previous Year'!$A$3:$A$20000,ROW('Local Data Previous Year'!$A$3:$A$20000)-ROW('Local Data Previous Year'!$A$3)+1),ROW(459:459)))),"",INDEX('Local Data Previous Year'!$E$3:$E$20000,SMALL(IF(CTR1_Billing!$E$21='Local Data Previous Year'!$A$3:$A$20000,ROW('Local Data Previous Year'!$A$3:$A$20000)-ROW('Local Data Previous Year'!$A$3)+1),ROW(459:459))))</f>
        <v/>
      </c>
      <c r="F491" s="756" t="str">
        <f>IF($D491="","",IF(ISNA(MATCH($D491,'Local Data Previous Year'!$D$3:$D$20000,0)),"New",IFERROR(VLOOKUP($B491,'Local Data Previous Year'!$D$3:$I$20000,6,0),"")))</f>
        <v/>
      </c>
      <c r="G491" s="757">
        <f t="shared" si="99"/>
        <v>0</v>
      </c>
      <c r="H491" s="758" t="str">
        <f>IFERROR(INDEX('Local Data Previous Year'!$F:$F, MATCH($D491, 'Local Data Previous Year'!$D:$D, 0)), "")</f>
        <v/>
      </c>
      <c r="I491" s="759">
        <f>IF(B491=CTR1_Billing!$E$21&amp;"NEW",1,0)</f>
        <v>0</v>
      </c>
      <c r="J491" s="760" t="str">
        <f>IFERROR(INDEX('Local Data Previous Year'!$G:$G, MATCH($D491, 'Local Data Previous Year'!$D:$D, 0)), "")</f>
        <v/>
      </c>
      <c r="K491" s="762"/>
      <c r="L491" s="760" t="str">
        <f>IFERROR(INDEX('Local Data Previous Year'!$H:$H, MATCH($D491, 'Local Data Previous Year'!$D:$D, 0)), "")</f>
        <v/>
      </c>
      <c r="M491" s="762"/>
      <c r="N491" s="763"/>
      <c r="O491" s="767"/>
      <c r="P491" s="765"/>
      <c r="Q491" s="767"/>
      <c r="R491" s="766" t="str">
        <f t="shared" si="100"/>
        <v/>
      </c>
      <c r="S491" s="754"/>
      <c r="T491" s="763"/>
      <c r="U491" s="754"/>
      <c r="V491" s="763"/>
      <c r="W491" s="763"/>
      <c r="X491" s="865" t="str">
        <f>VLOOKUP(CTR1_Billing!$E$21,Data!$C$6:$D$302,1,FALSE)</f>
        <v>EZZZZ</v>
      </c>
      <c r="Y491" s="205"/>
      <c r="Z491" s="205">
        <f t="shared" si="89"/>
        <v>0</v>
      </c>
      <c r="AA491" s="206" t="str">
        <f t="shared" si="88"/>
        <v/>
      </c>
      <c r="AB491" s="205">
        <f t="shared" si="90"/>
        <v>0</v>
      </c>
      <c r="AC491" s="208"/>
      <c r="AD491" s="208"/>
      <c r="AE491" s="208"/>
      <c r="AF491" s="208"/>
      <c r="AG491" s="209" t="str">
        <f>IFERROR(INDEX('Local Data Previous Year'!$F:$F, MATCH($D491, 'Local Data Previous Year'!$D:$D, 0)), "")</f>
        <v/>
      </c>
      <c r="AH491" s="209" t="str">
        <f>IFERROR(INDEX('Local Data Previous Year'!$G:$G, MATCH($D491, 'Local Data Previous Year'!$D:$D, 0)), "")</f>
        <v/>
      </c>
      <c r="AI491" s="209" t="str">
        <f>IFERROR(INDEX('Local Data Previous Year'!$H:$H, MATCH($D491, 'Local Data Previous Year'!$D:$D, 0)), "")</f>
        <v/>
      </c>
      <c r="AJ491" s="209" t="str">
        <f t="shared" si="91"/>
        <v/>
      </c>
      <c r="AK491" s="209" t="str">
        <f t="shared" si="92"/>
        <v/>
      </c>
      <c r="AL491" s="209" t="str">
        <f t="shared" si="93"/>
        <v/>
      </c>
      <c r="AM491" s="208" t="str">
        <f>IF($AN491="","",IFERROR(VLOOKUP(CONCATENATE(CTR1_Billing!$E$20,$AN491),'Local Data Previous Year'!$C$3:$D$50000,2,0),CTR1_Billing!$E$21&amp;"NEW"))</f>
        <v/>
      </c>
      <c r="AN491" s="209" t="str" cm="1">
        <f t="array" ref="AN491">IF(ISERROR(INDEX('Local Data Previous Year'!$E$3:$E$50000, SMALL(IF(CTR1_Billing!$E$21='Local Data Previous Year'!$A$3:$A$50000, ROW('Local Data Previous Year'!$A$3:$A$50000)-ROW('Local Data Previous Year'!$A$3)+1), ROW(459:459)))), "", INDEX('Local Data Previous Year'!$E$3:$E$50000, SMALL(IF(CTR1_Billing!$E$21='Local Data Previous Year'!$A$3:$A$50000, ROW('Local Data Previous Year'!$A$3:$A$50000)-ROW('Local Data Previous Year'!$A$3)+1), ROW(459:459))))</f>
        <v/>
      </c>
      <c r="AO491" s="209" t="str">
        <f t="shared" si="94"/>
        <v/>
      </c>
      <c r="AP491" s="208"/>
      <c r="AQ491" s="209" t="str">
        <f t="shared" si="95"/>
        <v/>
      </c>
      <c r="AR491" s="209" t="str">
        <f t="shared" si="96"/>
        <v/>
      </c>
      <c r="AS491" s="202" t="str">
        <f t="shared" si="97"/>
        <v/>
      </c>
      <c r="AT491" s="202" t="str">
        <f t="shared" si="98"/>
        <v/>
      </c>
      <c r="AU491" s="208"/>
      <c r="AV491" s="208"/>
      <c r="AW491" s="208"/>
      <c r="AX491" s="208"/>
      <c r="AY491" s="208"/>
      <c r="AZ491" s="208"/>
      <c r="BA491" s="208"/>
      <c r="BB491" s="208"/>
      <c r="BC491" s="208"/>
      <c r="BD491" s="208"/>
      <c r="BE491" s="208"/>
      <c r="BF491" s="208"/>
      <c r="BG491" s="28"/>
      <c r="BH491" s="28"/>
      <c r="BI491" s="28"/>
      <c r="BJ491" s="28"/>
    </row>
    <row r="492" spans="1:62" s="23" customFormat="1" ht="21" customHeight="1" thickBot="1" x14ac:dyDescent="0.25">
      <c r="A492" s="846" t="str">
        <f>IF($AN492="","",IFERROR(VLOOKUP(CONCATENATE(CTR1_Billing!$E$20,$AN492),'Local Data Previous Year'!$C$3:$D$20000,2,0),CTR1_Billing!$E$21&amp;"NEW"))</f>
        <v/>
      </c>
      <c r="B492" s="846" t="str">
        <f>IF($E492="","",IFERROR(VLOOKUP(CONCATENATE(CTR1_Billing!$E$20,CTR1_Local!$E492),'Local Data Previous Year'!$C$3:$D$20000,2,0),CTR1_Billing!$E$21&amp;"NEW"))</f>
        <v/>
      </c>
      <c r="C492" s="846">
        <v>460</v>
      </c>
      <c r="D492" s="755" t="str" cm="1">
        <f t="array" ref="D492">IF(ISERROR(INDEX('Local Data Previous Year'!$D$3:$D$20000,SMALL(IF(CTR1_Billing!$E$21='Local Data Previous Year'!$A$3:$A$20000,ROW('Local Data Previous Year'!$A$3:$A$20000)-ROW('Local Data Previous Year'!$A$3)+1),ROW(460:460)))),"",INDEX('Local Data Previous Year'!$D$3:$D$20000,SMALL(IF(CTR1_Billing!$E$21='Local Data Previous Year'!$A$3:$A$20000,ROW('Local Data Previous Year'!$A$3:$A$20000)-ROW('Local Data Previous Year'!$A$3)+1),ROW(460:460))))</f>
        <v/>
      </c>
      <c r="E492" s="755" t="str" cm="1">
        <f t="array" ref="E492">IF(ISERROR(INDEX('Local Data Previous Year'!$E$3:$E$20000,SMALL(IF(CTR1_Billing!$E$21='Local Data Previous Year'!$A$3:$A$20000,ROW('Local Data Previous Year'!$A$3:$A$20000)-ROW('Local Data Previous Year'!$A$3)+1),ROW(460:460)))),"",INDEX('Local Data Previous Year'!$E$3:$E$20000,SMALL(IF(CTR1_Billing!$E$21='Local Data Previous Year'!$A$3:$A$20000,ROW('Local Data Previous Year'!$A$3:$A$20000)-ROW('Local Data Previous Year'!$A$3)+1),ROW(460:460))))</f>
        <v/>
      </c>
      <c r="F492" s="756" t="str">
        <f>IF($D492="","",IF(ISNA(MATCH($D492,'Local Data Previous Year'!$D$3:$D$20000,0)),"New",IFERROR(VLOOKUP($B492,'Local Data Previous Year'!$D$3:$I$20000,6,0),"")))</f>
        <v/>
      </c>
      <c r="G492" s="757">
        <f t="shared" si="99"/>
        <v>0</v>
      </c>
      <c r="H492" s="758" t="str">
        <f>IFERROR(INDEX('Local Data Previous Year'!$F:$F, MATCH($D492, 'Local Data Previous Year'!$D:$D, 0)), "")</f>
        <v/>
      </c>
      <c r="I492" s="759">
        <f>IF(B492=CTR1_Billing!$E$21&amp;"NEW",1,0)</f>
        <v>0</v>
      </c>
      <c r="J492" s="760" t="str">
        <f>IFERROR(INDEX('Local Data Previous Year'!$G:$G, MATCH($D492, 'Local Data Previous Year'!$D:$D, 0)), "")</f>
        <v/>
      </c>
      <c r="K492" s="762"/>
      <c r="L492" s="760" t="str">
        <f>IFERROR(INDEX('Local Data Previous Year'!$H:$H, MATCH($D492, 'Local Data Previous Year'!$D:$D, 0)), "")</f>
        <v/>
      </c>
      <c r="M492" s="762"/>
      <c r="N492" s="763"/>
      <c r="O492" s="767"/>
      <c r="P492" s="765"/>
      <c r="Q492" s="767"/>
      <c r="R492" s="766" t="str">
        <f t="shared" si="100"/>
        <v/>
      </c>
      <c r="S492" s="754"/>
      <c r="T492" s="763"/>
      <c r="U492" s="754"/>
      <c r="V492" s="763"/>
      <c r="W492" s="763"/>
      <c r="X492" s="865" t="str">
        <f>VLOOKUP(CTR1_Billing!$E$21,Data!$C$6:$D$302,1,FALSE)</f>
        <v>EZZZZ</v>
      </c>
      <c r="Y492" s="205"/>
      <c r="Z492" s="205">
        <f t="shared" si="89"/>
        <v>0</v>
      </c>
      <c r="AA492" s="206" t="str">
        <f t="shared" si="88"/>
        <v/>
      </c>
      <c r="AB492" s="205">
        <f t="shared" si="90"/>
        <v>0</v>
      </c>
      <c r="AC492" s="208"/>
      <c r="AD492" s="208"/>
      <c r="AE492" s="208"/>
      <c r="AF492" s="208"/>
      <c r="AG492" s="209" t="str">
        <f>IFERROR(INDEX('Local Data Previous Year'!$F:$F, MATCH($D492, 'Local Data Previous Year'!$D:$D, 0)), "")</f>
        <v/>
      </c>
      <c r="AH492" s="209" t="str">
        <f>IFERROR(INDEX('Local Data Previous Year'!$G:$G, MATCH($D492, 'Local Data Previous Year'!$D:$D, 0)), "")</f>
        <v/>
      </c>
      <c r="AI492" s="209" t="str">
        <f>IFERROR(INDEX('Local Data Previous Year'!$H:$H, MATCH($D492, 'Local Data Previous Year'!$D:$D, 0)), "")</f>
        <v/>
      </c>
      <c r="AJ492" s="209" t="str">
        <f t="shared" si="91"/>
        <v/>
      </c>
      <c r="AK492" s="209" t="str">
        <f t="shared" si="92"/>
        <v/>
      </c>
      <c r="AL492" s="209" t="str">
        <f t="shared" si="93"/>
        <v/>
      </c>
      <c r="AM492" s="208" t="str">
        <f>IF($AN492="","",IFERROR(VLOOKUP(CONCATENATE(CTR1_Billing!$E$20,$AN492),'Local Data Previous Year'!$C$3:$D$50000,2,0),CTR1_Billing!$E$21&amp;"NEW"))</f>
        <v/>
      </c>
      <c r="AN492" s="209" t="str" cm="1">
        <f t="array" ref="AN492">IF(ISERROR(INDEX('Local Data Previous Year'!$E$3:$E$50000, SMALL(IF(CTR1_Billing!$E$21='Local Data Previous Year'!$A$3:$A$50000, ROW('Local Data Previous Year'!$A$3:$A$50000)-ROW('Local Data Previous Year'!$A$3)+1), ROW(460:460)))), "", INDEX('Local Data Previous Year'!$E$3:$E$50000, SMALL(IF(CTR1_Billing!$E$21='Local Data Previous Year'!$A$3:$A$50000, ROW('Local Data Previous Year'!$A$3:$A$50000)-ROW('Local Data Previous Year'!$A$3)+1), ROW(460:460))))</f>
        <v/>
      </c>
      <c r="AO492" s="209" t="str">
        <f t="shared" si="94"/>
        <v/>
      </c>
      <c r="AP492" s="208"/>
      <c r="AQ492" s="209" t="str">
        <f t="shared" si="95"/>
        <v/>
      </c>
      <c r="AR492" s="209" t="str">
        <f t="shared" si="96"/>
        <v/>
      </c>
      <c r="AS492" s="202" t="str">
        <f t="shared" si="97"/>
        <v/>
      </c>
      <c r="AT492" s="202" t="str">
        <f t="shared" si="98"/>
        <v/>
      </c>
      <c r="AU492" s="208"/>
      <c r="AV492" s="208"/>
      <c r="AW492" s="208"/>
      <c r="AX492" s="208"/>
      <c r="AY492" s="208"/>
      <c r="AZ492" s="208"/>
      <c r="BA492" s="208"/>
      <c r="BB492" s="208"/>
      <c r="BC492" s="208"/>
      <c r="BD492" s="208"/>
      <c r="BE492" s="208"/>
      <c r="BF492" s="208"/>
      <c r="BG492" s="28"/>
      <c r="BH492" s="28"/>
      <c r="BI492" s="28"/>
      <c r="BJ492" s="28"/>
    </row>
    <row r="493" spans="1:62" s="23" customFormat="1" ht="21" customHeight="1" thickBot="1" x14ac:dyDescent="0.25">
      <c r="A493" s="846" t="str">
        <f>IF($AN493="","",IFERROR(VLOOKUP(CONCATENATE(CTR1_Billing!$E$20,$AN493),'Local Data Previous Year'!$C$3:$D$20000,2,0),CTR1_Billing!$E$21&amp;"NEW"))</f>
        <v/>
      </c>
      <c r="B493" s="846" t="str">
        <f>IF($E493="","",IFERROR(VLOOKUP(CONCATENATE(CTR1_Billing!$E$20,CTR1_Local!$E493),'Local Data Previous Year'!$C$3:$D$20000,2,0),CTR1_Billing!$E$21&amp;"NEW"))</f>
        <v/>
      </c>
      <c r="C493" s="846">
        <v>461</v>
      </c>
      <c r="D493" s="755" t="str" cm="1">
        <f t="array" ref="D493">IF(ISERROR(INDEX('Local Data Previous Year'!$D$3:$D$20000,SMALL(IF(CTR1_Billing!$E$21='Local Data Previous Year'!$A$3:$A$20000,ROW('Local Data Previous Year'!$A$3:$A$20000)-ROW('Local Data Previous Year'!$A$3)+1),ROW(461:461)))),"",INDEX('Local Data Previous Year'!$D$3:$D$20000,SMALL(IF(CTR1_Billing!$E$21='Local Data Previous Year'!$A$3:$A$20000,ROW('Local Data Previous Year'!$A$3:$A$20000)-ROW('Local Data Previous Year'!$A$3)+1),ROW(461:461))))</f>
        <v/>
      </c>
      <c r="E493" s="755" t="str" cm="1">
        <f t="array" ref="E493">IF(ISERROR(INDEX('Local Data Previous Year'!$E$3:$E$20000,SMALL(IF(CTR1_Billing!$E$21='Local Data Previous Year'!$A$3:$A$20000,ROW('Local Data Previous Year'!$A$3:$A$20000)-ROW('Local Data Previous Year'!$A$3)+1),ROW(461:461)))),"",INDEX('Local Data Previous Year'!$E$3:$E$20000,SMALL(IF(CTR1_Billing!$E$21='Local Data Previous Year'!$A$3:$A$20000,ROW('Local Data Previous Year'!$A$3:$A$20000)-ROW('Local Data Previous Year'!$A$3)+1),ROW(461:461))))</f>
        <v/>
      </c>
      <c r="F493" s="756" t="str">
        <f>IF($D493="","",IF(ISNA(MATCH($D493,'Local Data Previous Year'!$D$3:$D$20000,0)),"New",IFERROR(VLOOKUP($B493,'Local Data Previous Year'!$D$3:$I$20000,6,0),"")))</f>
        <v/>
      </c>
      <c r="G493" s="757">
        <f t="shared" si="99"/>
        <v>0</v>
      </c>
      <c r="H493" s="758" t="str">
        <f>IFERROR(INDEX('Local Data Previous Year'!$F:$F, MATCH($D493, 'Local Data Previous Year'!$D:$D, 0)), "")</f>
        <v/>
      </c>
      <c r="I493" s="759">
        <f>IF(B493=CTR1_Billing!$E$21&amp;"NEW",1,0)</f>
        <v>0</v>
      </c>
      <c r="J493" s="760" t="str">
        <f>IFERROR(INDEX('Local Data Previous Year'!$G:$G, MATCH($D493, 'Local Data Previous Year'!$D:$D, 0)), "")</f>
        <v/>
      </c>
      <c r="K493" s="762"/>
      <c r="L493" s="760" t="str">
        <f>IFERROR(INDEX('Local Data Previous Year'!$H:$H, MATCH($D493, 'Local Data Previous Year'!$D:$D, 0)), "")</f>
        <v/>
      </c>
      <c r="M493" s="762"/>
      <c r="N493" s="763"/>
      <c r="O493" s="767"/>
      <c r="P493" s="765"/>
      <c r="Q493" s="767"/>
      <c r="R493" s="766" t="str">
        <f t="shared" si="100"/>
        <v/>
      </c>
      <c r="S493" s="754"/>
      <c r="T493" s="763"/>
      <c r="U493" s="754"/>
      <c r="V493" s="763"/>
      <c r="W493" s="763"/>
      <c r="X493" s="865" t="str">
        <f>VLOOKUP(CTR1_Billing!$E$21,Data!$C$6:$D$302,1,FALSE)</f>
        <v>EZZZZ</v>
      </c>
      <c r="Y493" s="205"/>
      <c r="Z493" s="205">
        <f t="shared" si="89"/>
        <v>0</v>
      </c>
      <c r="AA493" s="206" t="str">
        <f t="shared" si="88"/>
        <v/>
      </c>
      <c r="AB493" s="205">
        <f t="shared" si="90"/>
        <v>0</v>
      </c>
      <c r="AC493" s="208"/>
      <c r="AD493" s="208"/>
      <c r="AE493" s="208"/>
      <c r="AF493" s="208"/>
      <c r="AG493" s="209" t="str">
        <f>IFERROR(INDEX('Local Data Previous Year'!$F:$F, MATCH($D493, 'Local Data Previous Year'!$D:$D, 0)), "")</f>
        <v/>
      </c>
      <c r="AH493" s="209" t="str">
        <f>IFERROR(INDEX('Local Data Previous Year'!$G:$G, MATCH($D493, 'Local Data Previous Year'!$D:$D, 0)), "")</f>
        <v/>
      </c>
      <c r="AI493" s="209" t="str">
        <f>IFERROR(INDEX('Local Data Previous Year'!$H:$H, MATCH($D493, 'Local Data Previous Year'!$D:$D, 0)), "")</f>
        <v/>
      </c>
      <c r="AJ493" s="209" t="str">
        <f t="shared" si="91"/>
        <v/>
      </c>
      <c r="AK493" s="209" t="str">
        <f t="shared" si="92"/>
        <v/>
      </c>
      <c r="AL493" s="209" t="str">
        <f t="shared" si="93"/>
        <v/>
      </c>
      <c r="AM493" s="208" t="str">
        <f>IF($AN493="","",IFERROR(VLOOKUP(CONCATENATE(CTR1_Billing!$E$20,$AN493),'Local Data Previous Year'!$C$3:$D$50000,2,0),CTR1_Billing!$E$21&amp;"NEW"))</f>
        <v/>
      </c>
      <c r="AN493" s="209" t="str" cm="1">
        <f t="array" ref="AN493">IF(ISERROR(INDEX('Local Data Previous Year'!$E$3:$E$50000, SMALL(IF(CTR1_Billing!$E$21='Local Data Previous Year'!$A$3:$A$50000, ROW('Local Data Previous Year'!$A$3:$A$50000)-ROW('Local Data Previous Year'!$A$3)+1), ROW(461:461)))), "", INDEX('Local Data Previous Year'!$E$3:$E$50000, SMALL(IF(CTR1_Billing!$E$21='Local Data Previous Year'!$A$3:$A$50000, ROW('Local Data Previous Year'!$A$3:$A$50000)-ROW('Local Data Previous Year'!$A$3)+1), ROW(461:461))))</f>
        <v/>
      </c>
      <c r="AO493" s="209" t="str">
        <f t="shared" si="94"/>
        <v/>
      </c>
      <c r="AP493" s="208"/>
      <c r="AQ493" s="209" t="str">
        <f t="shared" si="95"/>
        <v/>
      </c>
      <c r="AR493" s="209" t="str">
        <f t="shared" si="96"/>
        <v/>
      </c>
      <c r="AS493" s="202" t="str">
        <f t="shared" si="97"/>
        <v/>
      </c>
      <c r="AT493" s="202" t="str">
        <f t="shared" si="98"/>
        <v/>
      </c>
      <c r="AU493" s="208"/>
      <c r="AV493" s="208"/>
      <c r="AW493" s="208"/>
      <c r="AX493" s="208"/>
      <c r="AY493" s="208"/>
      <c r="AZ493" s="208"/>
      <c r="BA493" s="208"/>
      <c r="BB493" s="208"/>
      <c r="BC493" s="208"/>
      <c r="BD493" s="208"/>
      <c r="BE493" s="208"/>
      <c r="BF493" s="208"/>
      <c r="BG493" s="28"/>
      <c r="BH493" s="28"/>
      <c r="BI493" s="28"/>
      <c r="BJ493" s="28"/>
    </row>
    <row r="494" spans="1:62" s="23" customFormat="1" ht="21" customHeight="1" thickBot="1" x14ac:dyDescent="0.25">
      <c r="A494" s="846" t="str">
        <f>IF($AN494="","",IFERROR(VLOOKUP(CONCATENATE(CTR1_Billing!$E$20,$AN494),'Local Data Previous Year'!$C$3:$D$20000,2,0),CTR1_Billing!$E$21&amp;"NEW"))</f>
        <v/>
      </c>
      <c r="B494" s="846" t="str">
        <f>IF($E494="","",IFERROR(VLOOKUP(CONCATENATE(CTR1_Billing!$E$20,CTR1_Local!$E494),'Local Data Previous Year'!$C$3:$D$20000,2,0),CTR1_Billing!$E$21&amp;"NEW"))</f>
        <v/>
      </c>
      <c r="C494" s="846">
        <v>462</v>
      </c>
      <c r="D494" s="755" t="str" cm="1">
        <f t="array" ref="D494">IF(ISERROR(INDEX('Local Data Previous Year'!$D$3:$D$20000,SMALL(IF(CTR1_Billing!$E$21='Local Data Previous Year'!$A$3:$A$20000,ROW('Local Data Previous Year'!$A$3:$A$20000)-ROW('Local Data Previous Year'!$A$3)+1),ROW(462:462)))),"",INDEX('Local Data Previous Year'!$D$3:$D$20000,SMALL(IF(CTR1_Billing!$E$21='Local Data Previous Year'!$A$3:$A$20000,ROW('Local Data Previous Year'!$A$3:$A$20000)-ROW('Local Data Previous Year'!$A$3)+1),ROW(462:462))))</f>
        <v/>
      </c>
      <c r="E494" s="755" t="str" cm="1">
        <f t="array" ref="E494">IF(ISERROR(INDEX('Local Data Previous Year'!$E$3:$E$20000,SMALL(IF(CTR1_Billing!$E$21='Local Data Previous Year'!$A$3:$A$20000,ROW('Local Data Previous Year'!$A$3:$A$20000)-ROW('Local Data Previous Year'!$A$3)+1),ROW(462:462)))),"",INDEX('Local Data Previous Year'!$E$3:$E$20000,SMALL(IF(CTR1_Billing!$E$21='Local Data Previous Year'!$A$3:$A$20000,ROW('Local Data Previous Year'!$A$3:$A$20000)-ROW('Local Data Previous Year'!$A$3)+1),ROW(462:462))))</f>
        <v/>
      </c>
      <c r="F494" s="756" t="str">
        <f>IF($D494="","",IF(ISNA(MATCH($D494,'Local Data Previous Year'!$D$3:$D$20000,0)),"New",IFERROR(VLOOKUP($B494,'Local Data Previous Year'!$D$3:$I$20000,6,0),"")))</f>
        <v/>
      </c>
      <c r="G494" s="757">
        <f t="shared" si="99"/>
        <v>0</v>
      </c>
      <c r="H494" s="758" t="str">
        <f>IFERROR(INDEX('Local Data Previous Year'!$F:$F, MATCH($D494, 'Local Data Previous Year'!$D:$D, 0)), "")</f>
        <v/>
      </c>
      <c r="I494" s="759">
        <f>IF(B494=CTR1_Billing!$E$21&amp;"NEW",1,0)</f>
        <v>0</v>
      </c>
      <c r="J494" s="760" t="str">
        <f>IFERROR(INDEX('Local Data Previous Year'!$G:$G, MATCH($D494, 'Local Data Previous Year'!$D:$D, 0)), "")</f>
        <v/>
      </c>
      <c r="K494" s="762"/>
      <c r="L494" s="760" t="str">
        <f>IFERROR(INDEX('Local Data Previous Year'!$H:$H, MATCH($D494, 'Local Data Previous Year'!$D:$D, 0)), "")</f>
        <v/>
      </c>
      <c r="M494" s="762"/>
      <c r="N494" s="763"/>
      <c r="O494" s="767"/>
      <c r="P494" s="765"/>
      <c r="Q494" s="767"/>
      <c r="R494" s="766" t="str">
        <f t="shared" si="100"/>
        <v/>
      </c>
      <c r="S494" s="754"/>
      <c r="T494" s="763"/>
      <c r="U494" s="754"/>
      <c r="V494" s="763"/>
      <c r="W494" s="763"/>
      <c r="X494" s="865" t="str">
        <f>VLOOKUP(CTR1_Billing!$E$21,Data!$C$6:$D$302,1,FALSE)</f>
        <v>EZZZZ</v>
      </c>
      <c r="Y494" s="205"/>
      <c r="Z494" s="205">
        <f t="shared" si="89"/>
        <v>0</v>
      </c>
      <c r="AA494" s="206" t="str">
        <f t="shared" si="88"/>
        <v/>
      </c>
      <c r="AB494" s="205">
        <f t="shared" si="90"/>
        <v>0</v>
      </c>
      <c r="AC494" s="208"/>
      <c r="AD494" s="208"/>
      <c r="AE494" s="208"/>
      <c r="AF494" s="208"/>
      <c r="AG494" s="209" t="str">
        <f>IFERROR(INDEX('Local Data Previous Year'!$F:$F, MATCH($D494, 'Local Data Previous Year'!$D:$D, 0)), "")</f>
        <v/>
      </c>
      <c r="AH494" s="209" t="str">
        <f>IFERROR(INDEX('Local Data Previous Year'!$G:$G, MATCH($D494, 'Local Data Previous Year'!$D:$D, 0)), "")</f>
        <v/>
      </c>
      <c r="AI494" s="209" t="str">
        <f>IFERROR(INDEX('Local Data Previous Year'!$H:$H, MATCH($D494, 'Local Data Previous Year'!$D:$D, 0)), "")</f>
        <v/>
      </c>
      <c r="AJ494" s="209" t="str">
        <f t="shared" si="91"/>
        <v/>
      </c>
      <c r="AK494" s="209" t="str">
        <f t="shared" si="92"/>
        <v/>
      </c>
      <c r="AL494" s="209" t="str">
        <f t="shared" si="93"/>
        <v/>
      </c>
      <c r="AM494" s="208" t="str">
        <f>IF($AN494="","",IFERROR(VLOOKUP(CONCATENATE(CTR1_Billing!$E$20,$AN494),'Local Data Previous Year'!$C$3:$D$50000,2,0),CTR1_Billing!$E$21&amp;"NEW"))</f>
        <v/>
      </c>
      <c r="AN494" s="209" t="str" cm="1">
        <f t="array" ref="AN494">IF(ISERROR(INDEX('Local Data Previous Year'!$E$3:$E$50000, SMALL(IF(CTR1_Billing!$E$21='Local Data Previous Year'!$A$3:$A$50000, ROW('Local Data Previous Year'!$A$3:$A$50000)-ROW('Local Data Previous Year'!$A$3)+1), ROW(462:462)))), "", INDEX('Local Data Previous Year'!$E$3:$E$50000, SMALL(IF(CTR1_Billing!$E$21='Local Data Previous Year'!$A$3:$A$50000, ROW('Local Data Previous Year'!$A$3:$A$50000)-ROW('Local Data Previous Year'!$A$3)+1), ROW(462:462))))</f>
        <v/>
      </c>
      <c r="AO494" s="209" t="str">
        <f t="shared" si="94"/>
        <v/>
      </c>
      <c r="AP494" s="208"/>
      <c r="AQ494" s="209" t="str">
        <f t="shared" si="95"/>
        <v/>
      </c>
      <c r="AR494" s="209" t="str">
        <f t="shared" si="96"/>
        <v/>
      </c>
      <c r="AS494" s="202" t="str">
        <f t="shared" si="97"/>
        <v/>
      </c>
      <c r="AT494" s="202" t="str">
        <f t="shared" si="98"/>
        <v/>
      </c>
      <c r="AU494" s="208"/>
      <c r="AV494" s="208"/>
      <c r="AW494" s="208"/>
      <c r="AX494" s="208"/>
      <c r="AY494" s="208"/>
      <c r="AZ494" s="208"/>
      <c r="BA494" s="208"/>
      <c r="BB494" s="208"/>
      <c r="BC494" s="208"/>
      <c r="BD494" s="208"/>
      <c r="BE494" s="208"/>
      <c r="BF494" s="208"/>
      <c r="BG494" s="28"/>
      <c r="BH494" s="28"/>
      <c r="BI494" s="28"/>
      <c r="BJ494" s="28"/>
    </row>
    <row r="495" spans="1:62" s="23" customFormat="1" ht="21" customHeight="1" thickBot="1" x14ac:dyDescent="0.25">
      <c r="A495" s="846" t="str">
        <f>IF($AN495="","",IFERROR(VLOOKUP(CONCATENATE(CTR1_Billing!$E$20,$AN495),'Local Data Previous Year'!$C$3:$D$20000,2,0),CTR1_Billing!$E$21&amp;"NEW"))</f>
        <v/>
      </c>
      <c r="B495" s="846" t="str">
        <f>IF($E495="","",IFERROR(VLOOKUP(CONCATENATE(CTR1_Billing!$E$20,CTR1_Local!$E495),'Local Data Previous Year'!$C$3:$D$20000,2,0),CTR1_Billing!$E$21&amp;"NEW"))</f>
        <v/>
      </c>
      <c r="C495" s="846">
        <v>463</v>
      </c>
      <c r="D495" s="755" t="str" cm="1">
        <f t="array" ref="D495">IF(ISERROR(INDEX('Local Data Previous Year'!$D$3:$D$20000,SMALL(IF(CTR1_Billing!$E$21='Local Data Previous Year'!$A$3:$A$20000,ROW('Local Data Previous Year'!$A$3:$A$20000)-ROW('Local Data Previous Year'!$A$3)+1),ROW(463:463)))),"",INDEX('Local Data Previous Year'!$D$3:$D$20000,SMALL(IF(CTR1_Billing!$E$21='Local Data Previous Year'!$A$3:$A$20000,ROW('Local Data Previous Year'!$A$3:$A$20000)-ROW('Local Data Previous Year'!$A$3)+1),ROW(463:463))))</f>
        <v/>
      </c>
      <c r="E495" s="755" t="str" cm="1">
        <f t="array" ref="E495">IF(ISERROR(INDEX('Local Data Previous Year'!$E$3:$E$20000,SMALL(IF(CTR1_Billing!$E$21='Local Data Previous Year'!$A$3:$A$20000,ROW('Local Data Previous Year'!$A$3:$A$20000)-ROW('Local Data Previous Year'!$A$3)+1),ROW(463:463)))),"",INDEX('Local Data Previous Year'!$E$3:$E$20000,SMALL(IF(CTR1_Billing!$E$21='Local Data Previous Year'!$A$3:$A$20000,ROW('Local Data Previous Year'!$A$3:$A$20000)-ROW('Local Data Previous Year'!$A$3)+1),ROW(463:463))))</f>
        <v/>
      </c>
      <c r="F495" s="756" t="str">
        <f>IF($D495="","",IF(ISNA(MATCH($D495,'Local Data Previous Year'!$D$3:$D$20000,0)),"New",IFERROR(VLOOKUP($B495,'Local Data Previous Year'!$D$3:$I$20000,6,0),"")))</f>
        <v/>
      </c>
      <c r="G495" s="757">
        <f t="shared" si="99"/>
        <v>0</v>
      </c>
      <c r="H495" s="758" t="str">
        <f>IFERROR(INDEX('Local Data Previous Year'!$F:$F, MATCH($D495, 'Local Data Previous Year'!$D:$D, 0)), "")</f>
        <v/>
      </c>
      <c r="I495" s="759">
        <f>IF(B495=CTR1_Billing!$E$21&amp;"NEW",1,0)</f>
        <v>0</v>
      </c>
      <c r="J495" s="760" t="str">
        <f>IFERROR(INDEX('Local Data Previous Year'!$G:$G, MATCH($D495, 'Local Data Previous Year'!$D:$D, 0)), "")</f>
        <v/>
      </c>
      <c r="K495" s="762"/>
      <c r="L495" s="760" t="str">
        <f>IFERROR(INDEX('Local Data Previous Year'!$H:$H, MATCH($D495, 'Local Data Previous Year'!$D:$D, 0)), "")</f>
        <v/>
      </c>
      <c r="M495" s="762"/>
      <c r="N495" s="763"/>
      <c r="O495" s="767"/>
      <c r="P495" s="765"/>
      <c r="Q495" s="767"/>
      <c r="R495" s="766" t="str">
        <f t="shared" si="100"/>
        <v/>
      </c>
      <c r="S495" s="754"/>
      <c r="T495" s="763"/>
      <c r="U495" s="754"/>
      <c r="V495" s="763"/>
      <c r="W495" s="763"/>
      <c r="X495" s="865" t="str">
        <f>VLOOKUP(CTR1_Billing!$E$21,Data!$C$6:$D$302,1,FALSE)</f>
        <v>EZZZZ</v>
      </c>
      <c r="Y495" s="205"/>
      <c r="Z495" s="205">
        <f t="shared" si="89"/>
        <v>0</v>
      </c>
      <c r="AA495" s="206" t="str">
        <f t="shared" si="88"/>
        <v/>
      </c>
      <c r="AB495" s="205">
        <f t="shared" si="90"/>
        <v>0</v>
      </c>
      <c r="AC495" s="208"/>
      <c r="AD495" s="208"/>
      <c r="AE495" s="208"/>
      <c r="AF495" s="208"/>
      <c r="AG495" s="209" t="str">
        <f>IFERROR(INDEX('Local Data Previous Year'!$F:$F, MATCH($D495, 'Local Data Previous Year'!$D:$D, 0)), "")</f>
        <v/>
      </c>
      <c r="AH495" s="209" t="str">
        <f>IFERROR(INDEX('Local Data Previous Year'!$G:$G, MATCH($D495, 'Local Data Previous Year'!$D:$D, 0)), "")</f>
        <v/>
      </c>
      <c r="AI495" s="209" t="str">
        <f>IFERROR(INDEX('Local Data Previous Year'!$H:$H, MATCH($D495, 'Local Data Previous Year'!$D:$D, 0)), "")</f>
        <v/>
      </c>
      <c r="AJ495" s="209" t="str">
        <f t="shared" si="91"/>
        <v/>
      </c>
      <c r="AK495" s="209" t="str">
        <f t="shared" si="92"/>
        <v/>
      </c>
      <c r="AL495" s="209" t="str">
        <f t="shared" si="93"/>
        <v/>
      </c>
      <c r="AM495" s="208" t="str">
        <f>IF($AN495="","",IFERROR(VLOOKUP(CONCATENATE(CTR1_Billing!$E$20,$AN495),'Local Data Previous Year'!$C$3:$D$50000,2,0),CTR1_Billing!$E$21&amp;"NEW"))</f>
        <v/>
      </c>
      <c r="AN495" s="209" t="str" cm="1">
        <f t="array" ref="AN495">IF(ISERROR(INDEX('Local Data Previous Year'!$E$3:$E$50000, SMALL(IF(CTR1_Billing!$E$21='Local Data Previous Year'!$A$3:$A$50000, ROW('Local Data Previous Year'!$A$3:$A$50000)-ROW('Local Data Previous Year'!$A$3)+1), ROW(463:463)))), "", INDEX('Local Data Previous Year'!$E$3:$E$50000, SMALL(IF(CTR1_Billing!$E$21='Local Data Previous Year'!$A$3:$A$50000, ROW('Local Data Previous Year'!$A$3:$A$50000)-ROW('Local Data Previous Year'!$A$3)+1), ROW(463:463))))</f>
        <v/>
      </c>
      <c r="AO495" s="209" t="str">
        <f t="shared" si="94"/>
        <v/>
      </c>
      <c r="AP495" s="208"/>
      <c r="AQ495" s="209" t="str">
        <f t="shared" si="95"/>
        <v/>
      </c>
      <c r="AR495" s="209" t="str">
        <f t="shared" si="96"/>
        <v/>
      </c>
      <c r="AS495" s="202" t="str">
        <f t="shared" si="97"/>
        <v/>
      </c>
      <c r="AT495" s="202" t="str">
        <f t="shared" si="98"/>
        <v/>
      </c>
      <c r="AU495" s="208"/>
      <c r="AV495" s="208"/>
      <c r="AW495" s="208"/>
      <c r="AX495" s="208"/>
      <c r="AY495" s="208"/>
      <c r="AZ495" s="208"/>
      <c r="BA495" s="208"/>
      <c r="BB495" s="208"/>
      <c r="BC495" s="208"/>
      <c r="BD495" s="208"/>
      <c r="BE495" s="208"/>
      <c r="BF495" s="208"/>
      <c r="BG495" s="28"/>
      <c r="BH495" s="28"/>
      <c r="BI495" s="28"/>
      <c r="BJ495" s="28"/>
    </row>
    <row r="496" spans="1:62" s="23" customFormat="1" ht="21" customHeight="1" thickBot="1" x14ac:dyDescent="0.25">
      <c r="A496" s="846" t="str">
        <f>IF($AN496="","",IFERROR(VLOOKUP(CONCATENATE(CTR1_Billing!$E$20,$AN496),'Local Data Previous Year'!$C$3:$D$20000,2,0),CTR1_Billing!$E$21&amp;"NEW"))</f>
        <v/>
      </c>
      <c r="B496" s="846" t="str">
        <f>IF($E496="","",IFERROR(VLOOKUP(CONCATENATE(CTR1_Billing!$E$20,CTR1_Local!$E496),'Local Data Previous Year'!$C$3:$D$20000,2,0),CTR1_Billing!$E$21&amp;"NEW"))</f>
        <v/>
      </c>
      <c r="C496" s="846">
        <v>464</v>
      </c>
      <c r="D496" s="755" t="str" cm="1">
        <f t="array" ref="D496">IF(ISERROR(INDEX('Local Data Previous Year'!$D$3:$D$20000,SMALL(IF(CTR1_Billing!$E$21='Local Data Previous Year'!$A$3:$A$20000,ROW('Local Data Previous Year'!$A$3:$A$20000)-ROW('Local Data Previous Year'!$A$3)+1),ROW(464:464)))),"",INDEX('Local Data Previous Year'!$D$3:$D$20000,SMALL(IF(CTR1_Billing!$E$21='Local Data Previous Year'!$A$3:$A$20000,ROW('Local Data Previous Year'!$A$3:$A$20000)-ROW('Local Data Previous Year'!$A$3)+1),ROW(464:464))))</f>
        <v/>
      </c>
      <c r="E496" s="755" t="str" cm="1">
        <f t="array" ref="E496">IF(ISERROR(INDEX('Local Data Previous Year'!$E$3:$E$20000,SMALL(IF(CTR1_Billing!$E$21='Local Data Previous Year'!$A$3:$A$20000,ROW('Local Data Previous Year'!$A$3:$A$20000)-ROW('Local Data Previous Year'!$A$3)+1),ROW(464:464)))),"",INDEX('Local Data Previous Year'!$E$3:$E$20000,SMALL(IF(CTR1_Billing!$E$21='Local Data Previous Year'!$A$3:$A$20000,ROW('Local Data Previous Year'!$A$3:$A$20000)-ROW('Local Data Previous Year'!$A$3)+1),ROW(464:464))))</f>
        <v/>
      </c>
      <c r="F496" s="756" t="str">
        <f>IF($D496="","",IF(ISNA(MATCH($D496,'Local Data Previous Year'!$D$3:$D$20000,0)),"New",IFERROR(VLOOKUP($B496,'Local Data Previous Year'!$D$3:$I$20000,6,0),"")))</f>
        <v/>
      </c>
      <c r="G496" s="757">
        <f t="shared" si="99"/>
        <v>0</v>
      </c>
      <c r="H496" s="758" t="str">
        <f>IFERROR(INDEX('Local Data Previous Year'!$F:$F, MATCH($D496, 'Local Data Previous Year'!$D:$D, 0)), "")</f>
        <v/>
      </c>
      <c r="I496" s="759">
        <f>IF(B496=CTR1_Billing!$E$21&amp;"NEW",1,0)</f>
        <v>0</v>
      </c>
      <c r="J496" s="760" t="str">
        <f>IFERROR(INDEX('Local Data Previous Year'!$G:$G, MATCH($D496, 'Local Data Previous Year'!$D:$D, 0)), "")</f>
        <v/>
      </c>
      <c r="K496" s="762"/>
      <c r="L496" s="760" t="str">
        <f>IFERROR(INDEX('Local Data Previous Year'!$H:$H, MATCH($D496, 'Local Data Previous Year'!$D:$D, 0)), "")</f>
        <v/>
      </c>
      <c r="M496" s="762"/>
      <c r="N496" s="763"/>
      <c r="O496" s="767"/>
      <c r="P496" s="765"/>
      <c r="Q496" s="767"/>
      <c r="R496" s="766" t="str">
        <f t="shared" si="100"/>
        <v/>
      </c>
      <c r="S496" s="754"/>
      <c r="T496" s="763"/>
      <c r="U496" s="754"/>
      <c r="V496" s="763"/>
      <c r="W496" s="763"/>
      <c r="X496" s="865" t="str">
        <f>VLOOKUP(CTR1_Billing!$E$21,Data!$C$6:$D$302,1,FALSE)</f>
        <v>EZZZZ</v>
      </c>
      <c r="Y496" s="205"/>
      <c r="Z496" s="205">
        <f t="shared" si="89"/>
        <v>0</v>
      </c>
      <c r="AA496" s="206" t="str">
        <f t="shared" si="88"/>
        <v/>
      </c>
      <c r="AB496" s="205">
        <f t="shared" si="90"/>
        <v>0</v>
      </c>
      <c r="AC496" s="208"/>
      <c r="AD496" s="208"/>
      <c r="AE496" s="208"/>
      <c r="AF496" s="208"/>
      <c r="AG496" s="209" t="str">
        <f>IFERROR(INDEX('Local Data Previous Year'!$F:$F, MATCH($D496, 'Local Data Previous Year'!$D:$D, 0)), "")</f>
        <v/>
      </c>
      <c r="AH496" s="209" t="str">
        <f>IFERROR(INDEX('Local Data Previous Year'!$G:$G, MATCH($D496, 'Local Data Previous Year'!$D:$D, 0)), "")</f>
        <v/>
      </c>
      <c r="AI496" s="209" t="str">
        <f>IFERROR(INDEX('Local Data Previous Year'!$H:$H, MATCH($D496, 'Local Data Previous Year'!$D:$D, 0)), "")</f>
        <v/>
      </c>
      <c r="AJ496" s="209" t="str">
        <f t="shared" si="91"/>
        <v/>
      </c>
      <c r="AK496" s="209" t="str">
        <f t="shared" si="92"/>
        <v/>
      </c>
      <c r="AL496" s="209" t="str">
        <f t="shared" si="93"/>
        <v/>
      </c>
      <c r="AM496" s="208" t="str">
        <f>IF($AN496="","",IFERROR(VLOOKUP(CONCATENATE(CTR1_Billing!$E$20,$AN496),'Local Data Previous Year'!$C$3:$D$50000,2,0),CTR1_Billing!$E$21&amp;"NEW"))</f>
        <v/>
      </c>
      <c r="AN496" s="209" t="str" cm="1">
        <f t="array" ref="AN496">IF(ISERROR(INDEX('Local Data Previous Year'!$E$3:$E$50000, SMALL(IF(CTR1_Billing!$E$21='Local Data Previous Year'!$A$3:$A$50000, ROW('Local Data Previous Year'!$A$3:$A$50000)-ROW('Local Data Previous Year'!$A$3)+1), ROW(464:464)))), "", INDEX('Local Data Previous Year'!$E$3:$E$50000, SMALL(IF(CTR1_Billing!$E$21='Local Data Previous Year'!$A$3:$A$50000, ROW('Local Data Previous Year'!$A$3:$A$50000)-ROW('Local Data Previous Year'!$A$3)+1), ROW(464:464))))</f>
        <v/>
      </c>
      <c r="AO496" s="209" t="str">
        <f t="shared" si="94"/>
        <v/>
      </c>
      <c r="AP496" s="208"/>
      <c r="AQ496" s="209" t="str">
        <f t="shared" si="95"/>
        <v/>
      </c>
      <c r="AR496" s="209" t="str">
        <f t="shared" si="96"/>
        <v/>
      </c>
      <c r="AS496" s="202" t="str">
        <f t="shared" si="97"/>
        <v/>
      </c>
      <c r="AT496" s="202" t="str">
        <f t="shared" si="98"/>
        <v/>
      </c>
      <c r="AU496" s="208"/>
      <c r="AV496" s="208"/>
      <c r="AW496" s="208"/>
      <c r="AX496" s="208"/>
      <c r="AY496" s="208"/>
      <c r="AZ496" s="208"/>
      <c r="BA496" s="208"/>
      <c r="BB496" s="208"/>
      <c r="BC496" s="208"/>
      <c r="BD496" s="208"/>
      <c r="BE496" s="208"/>
      <c r="BF496" s="208"/>
      <c r="BG496" s="28"/>
      <c r="BH496" s="28"/>
      <c r="BI496" s="28"/>
      <c r="BJ496" s="28"/>
    </row>
    <row r="497" spans="1:62" s="23" customFormat="1" ht="21" customHeight="1" thickBot="1" x14ac:dyDescent="0.25">
      <c r="A497" s="846" t="str">
        <f>IF($AN497="","",IFERROR(VLOOKUP(CONCATENATE(CTR1_Billing!$E$20,$AN497),'Local Data Previous Year'!$C$3:$D$20000,2,0),CTR1_Billing!$E$21&amp;"NEW"))</f>
        <v/>
      </c>
      <c r="B497" s="846" t="str">
        <f>IF($E497="","",IFERROR(VLOOKUP(CONCATENATE(CTR1_Billing!$E$20,CTR1_Local!$E497),'Local Data Previous Year'!$C$3:$D$20000,2,0),CTR1_Billing!$E$21&amp;"NEW"))</f>
        <v/>
      </c>
      <c r="C497" s="846">
        <v>465</v>
      </c>
      <c r="D497" s="755" t="str" cm="1">
        <f t="array" ref="D497">IF(ISERROR(INDEX('Local Data Previous Year'!$D$3:$D$20000,SMALL(IF(CTR1_Billing!$E$21='Local Data Previous Year'!$A$3:$A$20000,ROW('Local Data Previous Year'!$A$3:$A$20000)-ROW('Local Data Previous Year'!$A$3)+1),ROW(465:465)))),"",INDEX('Local Data Previous Year'!$D$3:$D$20000,SMALL(IF(CTR1_Billing!$E$21='Local Data Previous Year'!$A$3:$A$20000,ROW('Local Data Previous Year'!$A$3:$A$20000)-ROW('Local Data Previous Year'!$A$3)+1),ROW(465:465))))</f>
        <v/>
      </c>
      <c r="E497" s="755" t="str" cm="1">
        <f t="array" ref="E497">IF(ISERROR(INDEX('Local Data Previous Year'!$E$3:$E$20000,SMALL(IF(CTR1_Billing!$E$21='Local Data Previous Year'!$A$3:$A$20000,ROW('Local Data Previous Year'!$A$3:$A$20000)-ROW('Local Data Previous Year'!$A$3)+1),ROW(465:465)))),"",INDEX('Local Data Previous Year'!$E$3:$E$20000,SMALL(IF(CTR1_Billing!$E$21='Local Data Previous Year'!$A$3:$A$20000,ROW('Local Data Previous Year'!$A$3:$A$20000)-ROW('Local Data Previous Year'!$A$3)+1),ROW(465:465))))</f>
        <v/>
      </c>
      <c r="F497" s="756" t="str">
        <f>IF($D497="","",IF(ISNA(MATCH($D497,'Local Data Previous Year'!$D$3:$D$20000,0)),"New",IFERROR(VLOOKUP($B497,'Local Data Previous Year'!$D$3:$I$20000,6,0),"")))</f>
        <v/>
      </c>
      <c r="G497" s="757">
        <f t="shared" si="99"/>
        <v>0</v>
      </c>
      <c r="H497" s="758" t="str">
        <f>IFERROR(INDEX('Local Data Previous Year'!$F:$F, MATCH($D497, 'Local Data Previous Year'!$D:$D, 0)), "")</f>
        <v/>
      </c>
      <c r="I497" s="759">
        <f>IF(B497=CTR1_Billing!$E$21&amp;"NEW",1,0)</f>
        <v>0</v>
      </c>
      <c r="J497" s="760" t="str">
        <f>IFERROR(INDEX('Local Data Previous Year'!$G:$G, MATCH($D497, 'Local Data Previous Year'!$D:$D, 0)), "")</f>
        <v/>
      </c>
      <c r="K497" s="762"/>
      <c r="L497" s="760" t="str">
        <f>IFERROR(INDEX('Local Data Previous Year'!$H:$H, MATCH($D497, 'Local Data Previous Year'!$D:$D, 0)), "")</f>
        <v/>
      </c>
      <c r="M497" s="762"/>
      <c r="N497" s="763"/>
      <c r="O497" s="767"/>
      <c r="P497" s="765"/>
      <c r="Q497" s="767"/>
      <c r="R497" s="766" t="str">
        <f t="shared" si="100"/>
        <v/>
      </c>
      <c r="S497" s="754"/>
      <c r="T497" s="763"/>
      <c r="U497" s="754"/>
      <c r="V497" s="763"/>
      <c r="W497" s="763"/>
      <c r="X497" s="865" t="str">
        <f>VLOOKUP(CTR1_Billing!$E$21,Data!$C$6:$D$302,1,FALSE)</f>
        <v>EZZZZ</v>
      </c>
      <c r="Y497" s="205"/>
      <c r="Z497" s="205">
        <f t="shared" si="89"/>
        <v>0</v>
      </c>
      <c r="AA497" s="206" t="str">
        <f t="shared" si="88"/>
        <v/>
      </c>
      <c r="AB497" s="205">
        <f t="shared" si="90"/>
        <v>0</v>
      </c>
      <c r="AC497" s="208"/>
      <c r="AD497" s="208"/>
      <c r="AE497" s="208"/>
      <c r="AF497" s="208"/>
      <c r="AG497" s="209" t="str">
        <f>IFERROR(INDEX('Local Data Previous Year'!$F:$F, MATCH($D497, 'Local Data Previous Year'!$D:$D, 0)), "")</f>
        <v/>
      </c>
      <c r="AH497" s="209" t="str">
        <f>IFERROR(INDEX('Local Data Previous Year'!$G:$G, MATCH($D497, 'Local Data Previous Year'!$D:$D, 0)), "")</f>
        <v/>
      </c>
      <c r="AI497" s="209" t="str">
        <f>IFERROR(INDEX('Local Data Previous Year'!$H:$H, MATCH($D497, 'Local Data Previous Year'!$D:$D, 0)), "")</f>
        <v/>
      </c>
      <c r="AJ497" s="209" t="str">
        <f t="shared" si="91"/>
        <v/>
      </c>
      <c r="AK497" s="209" t="str">
        <f t="shared" si="92"/>
        <v/>
      </c>
      <c r="AL497" s="209" t="str">
        <f t="shared" si="93"/>
        <v/>
      </c>
      <c r="AM497" s="208" t="str">
        <f>IF($AN497="","",IFERROR(VLOOKUP(CONCATENATE(CTR1_Billing!$E$20,$AN497),'Local Data Previous Year'!$C$3:$D$50000,2,0),CTR1_Billing!$E$21&amp;"NEW"))</f>
        <v/>
      </c>
      <c r="AN497" s="209" t="str" cm="1">
        <f t="array" ref="AN497">IF(ISERROR(INDEX('Local Data Previous Year'!$E$3:$E$50000, SMALL(IF(CTR1_Billing!$E$21='Local Data Previous Year'!$A$3:$A$50000, ROW('Local Data Previous Year'!$A$3:$A$50000)-ROW('Local Data Previous Year'!$A$3)+1), ROW(465:465)))), "", INDEX('Local Data Previous Year'!$E$3:$E$50000, SMALL(IF(CTR1_Billing!$E$21='Local Data Previous Year'!$A$3:$A$50000, ROW('Local Data Previous Year'!$A$3:$A$50000)-ROW('Local Data Previous Year'!$A$3)+1), ROW(465:465))))</f>
        <v/>
      </c>
      <c r="AO497" s="209" t="str">
        <f t="shared" si="94"/>
        <v/>
      </c>
      <c r="AP497" s="208"/>
      <c r="AQ497" s="209" t="str">
        <f t="shared" si="95"/>
        <v/>
      </c>
      <c r="AR497" s="209" t="str">
        <f t="shared" si="96"/>
        <v/>
      </c>
      <c r="AS497" s="202" t="str">
        <f t="shared" si="97"/>
        <v/>
      </c>
      <c r="AT497" s="202" t="str">
        <f t="shared" si="98"/>
        <v/>
      </c>
      <c r="AU497" s="208"/>
      <c r="AV497" s="208"/>
      <c r="AW497" s="208"/>
      <c r="AX497" s="208"/>
      <c r="AY497" s="208"/>
      <c r="AZ497" s="208"/>
      <c r="BA497" s="208"/>
      <c r="BB497" s="208"/>
      <c r="BC497" s="208"/>
      <c r="BD497" s="208"/>
      <c r="BE497" s="208"/>
      <c r="BF497" s="208"/>
      <c r="BG497" s="28"/>
      <c r="BH497" s="28"/>
      <c r="BI497" s="28"/>
      <c r="BJ497" s="28"/>
    </row>
    <row r="498" spans="1:62" s="23" customFormat="1" ht="21" customHeight="1" thickBot="1" x14ac:dyDescent="0.25">
      <c r="A498" s="846" t="str">
        <f>IF($AN498="","",IFERROR(VLOOKUP(CONCATENATE(CTR1_Billing!$E$20,$AN498),'Local Data Previous Year'!$C$3:$D$20000,2,0),CTR1_Billing!$E$21&amp;"NEW"))</f>
        <v/>
      </c>
      <c r="B498" s="846" t="str">
        <f>IF($E498="","",IFERROR(VLOOKUP(CONCATENATE(CTR1_Billing!$E$20,CTR1_Local!$E498),'Local Data Previous Year'!$C$3:$D$20000,2,0),CTR1_Billing!$E$21&amp;"NEW"))</f>
        <v/>
      </c>
      <c r="C498" s="846">
        <v>466</v>
      </c>
      <c r="D498" s="755" t="str" cm="1">
        <f t="array" ref="D498">IF(ISERROR(INDEX('Local Data Previous Year'!$D$3:$D$20000,SMALL(IF(CTR1_Billing!$E$21='Local Data Previous Year'!$A$3:$A$20000,ROW('Local Data Previous Year'!$A$3:$A$20000)-ROW('Local Data Previous Year'!$A$3)+1),ROW(466:466)))),"",INDEX('Local Data Previous Year'!$D$3:$D$20000,SMALL(IF(CTR1_Billing!$E$21='Local Data Previous Year'!$A$3:$A$20000,ROW('Local Data Previous Year'!$A$3:$A$20000)-ROW('Local Data Previous Year'!$A$3)+1),ROW(466:466))))</f>
        <v/>
      </c>
      <c r="E498" s="755" t="str" cm="1">
        <f t="array" ref="E498">IF(ISERROR(INDEX('Local Data Previous Year'!$E$3:$E$20000,SMALL(IF(CTR1_Billing!$E$21='Local Data Previous Year'!$A$3:$A$20000,ROW('Local Data Previous Year'!$A$3:$A$20000)-ROW('Local Data Previous Year'!$A$3)+1),ROW(466:466)))),"",INDEX('Local Data Previous Year'!$E$3:$E$20000,SMALL(IF(CTR1_Billing!$E$21='Local Data Previous Year'!$A$3:$A$20000,ROW('Local Data Previous Year'!$A$3:$A$20000)-ROW('Local Data Previous Year'!$A$3)+1),ROW(466:466))))</f>
        <v/>
      </c>
      <c r="F498" s="756" t="str">
        <f>IF($D498="","",IF(ISNA(MATCH($D498,'Local Data Previous Year'!$D$3:$D$20000,0)),"New",IFERROR(VLOOKUP($B498,'Local Data Previous Year'!$D$3:$I$20000,6,0),"")))</f>
        <v/>
      </c>
      <c r="G498" s="757">
        <f t="shared" si="99"/>
        <v>0</v>
      </c>
      <c r="H498" s="758" t="str">
        <f>IFERROR(INDEX('Local Data Previous Year'!$F:$F, MATCH($D498, 'Local Data Previous Year'!$D:$D, 0)), "")</f>
        <v/>
      </c>
      <c r="I498" s="759">
        <f>IF(B498=CTR1_Billing!$E$21&amp;"NEW",1,0)</f>
        <v>0</v>
      </c>
      <c r="J498" s="760" t="str">
        <f>IFERROR(INDEX('Local Data Previous Year'!$G:$G, MATCH($D498, 'Local Data Previous Year'!$D:$D, 0)), "")</f>
        <v/>
      </c>
      <c r="K498" s="762"/>
      <c r="L498" s="760" t="str">
        <f>IFERROR(INDEX('Local Data Previous Year'!$H:$H, MATCH($D498, 'Local Data Previous Year'!$D:$D, 0)), "")</f>
        <v/>
      </c>
      <c r="M498" s="762"/>
      <c r="N498" s="763"/>
      <c r="O498" s="767"/>
      <c r="P498" s="765"/>
      <c r="Q498" s="767"/>
      <c r="R498" s="766" t="str">
        <f t="shared" si="100"/>
        <v/>
      </c>
      <c r="S498" s="754"/>
      <c r="T498" s="763"/>
      <c r="U498" s="754"/>
      <c r="V498" s="763"/>
      <c r="W498" s="763"/>
      <c r="X498" s="865" t="str">
        <f>VLOOKUP(CTR1_Billing!$E$21,Data!$C$6:$D$302,1,FALSE)</f>
        <v>EZZZZ</v>
      </c>
      <c r="Y498" s="205"/>
      <c r="Z498" s="205">
        <f t="shared" si="89"/>
        <v>0</v>
      </c>
      <c r="AA498" s="206" t="str">
        <f t="shared" si="88"/>
        <v/>
      </c>
      <c r="AB498" s="205">
        <f t="shared" si="90"/>
        <v>0</v>
      </c>
      <c r="AC498" s="208"/>
      <c r="AD498" s="208"/>
      <c r="AE498" s="208"/>
      <c r="AF498" s="208"/>
      <c r="AG498" s="209" t="str">
        <f>IFERROR(INDEX('Local Data Previous Year'!$F:$F, MATCH($D498, 'Local Data Previous Year'!$D:$D, 0)), "")</f>
        <v/>
      </c>
      <c r="AH498" s="209" t="str">
        <f>IFERROR(INDEX('Local Data Previous Year'!$G:$G, MATCH($D498, 'Local Data Previous Year'!$D:$D, 0)), "")</f>
        <v/>
      </c>
      <c r="AI498" s="209" t="str">
        <f>IFERROR(INDEX('Local Data Previous Year'!$H:$H, MATCH($D498, 'Local Data Previous Year'!$D:$D, 0)), "")</f>
        <v/>
      </c>
      <c r="AJ498" s="209" t="str">
        <f t="shared" si="91"/>
        <v/>
      </c>
      <c r="AK498" s="209" t="str">
        <f t="shared" si="92"/>
        <v/>
      </c>
      <c r="AL498" s="209" t="str">
        <f t="shared" si="93"/>
        <v/>
      </c>
      <c r="AM498" s="208" t="str">
        <f>IF($AN498="","",IFERROR(VLOOKUP(CONCATENATE(CTR1_Billing!$E$20,$AN498),'Local Data Previous Year'!$C$3:$D$50000,2,0),CTR1_Billing!$E$21&amp;"NEW"))</f>
        <v/>
      </c>
      <c r="AN498" s="209" t="str" cm="1">
        <f t="array" ref="AN498">IF(ISERROR(INDEX('Local Data Previous Year'!$E$3:$E$50000, SMALL(IF(CTR1_Billing!$E$21='Local Data Previous Year'!$A$3:$A$50000, ROW('Local Data Previous Year'!$A$3:$A$50000)-ROW('Local Data Previous Year'!$A$3)+1), ROW(466:466)))), "", INDEX('Local Data Previous Year'!$E$3:$E$50000, SMALL(IF(CTR1_Billing!$E$21='Local Data Previous Year'!$A$3:$A$50000, ROW('Local Data Previous Year'!$A$3:$A$50000)-ROW('Local Data Previous Year'!$A$3)+1), ROW(466:466))))</f>
        <v/>
      </c>
      <c r="AO498" s="209" t="str">
        <f t="shared" si="94"/>
        <v/>
      </c>
      <c r="AP498" s="208"/>
      <c r="AQ498" s="209" t="str">
        <f t="shared" si="95"/>
        <v/>
      </c>
      <c r="AR498" s="209" t="str">
        <f t="shared" si="96"/>
        <v/>
      </c>
      <c r="AS498" s="202" t="str">
        <f t="shared" si="97"/>
        <v/>
      </c>
      <c r="AT498" s="202" t="str">
        <f t="shared" si="98"/>
        <v/>
      </c>
      <c r="AU498" s="208"/>
      <c r="AV498" s="208"/>
      <c r="AW498" s="208"/>
      <c r="AX498" s="208"/>
      <c r="AY498" s="208"/>
      <c r="AZ498" s="208"/>
      <c r="BA498" s="208"/>
      <c r="BB498" s="208"/>
      <c r="BC498" s="208"/>
      <c r="BD498" s="208"/>
      <c r="BE498" s="208"/>
      <c r="BF498" s="208"/>
      <c r="BG498" s="28"/>
      <c r="BH498" s="28"/>
      <c r="BI498" s="28"/>
      <c r="BJ498" s="28"/>
    </row>
    <row r="499" spans="1:62" s="23" customFormat="1" ht="21" customHeight="1" thickBot="1" x14ac:dyDescent="0.25">
      <c r="A499" s="846" t="str">
        <f>IF($AN499="","",IFERROR(VLOOKUP(CONCATENATE(CTR1_Billing!$E$20,$AN499),'Local Data Previous Year'!$C$3:$D$20000,2,0),CTR1_Billing!$E$21&amp;"NEW"))</f>
        <v/>
      </c>
      <c r="B499" s="846" t="str">
        <f>IF($E499="","",IFERROR(VLOOKUP(CONCATENATE(CTR1_Billing!$E$20,CTR1_Local!$E499),'Local Data Previous Year'!$C$3:$D$20000,2,0),CTR1_Billing!$E$21&amp;"NEW"))</f>
        <v/>
      </c>
      <c r="C499" s="846">
        <v>467</v>
      </c>
      <c r="D499" s="755" t="str" cm="1">
        <f t="array" ref="D499">IF(ISERROR(INDEX('Local Data Previous Year'!$D$3:$D$20000,SMALL(IF(CTR1_Billing!$E$21='Local Data Previous Year'!$A$3:$A$20000,ROW('Local Data Previous Year'!$A$3:$A$20000)-ROW('Local Data Previous Year'!$A$3)+1),ROW(467:467)))),"",INDEX('Local Data Previous Year'!$D$3:$D$20000,SMALL(IF(CTR1_Billing!$E$21='Local Data Previous Year'!$A$3:$A$20000,ROW('Local Data Previous Year'!$A$3:$A$20000)-ROW('Local Data Previous Year'!$A$3)+1),ROW(467:467))))</f>
        <v/>
      </c>
      <c r="E499" s="755" t="str" cm="1">
        <f t="array" ref="E499">IF(ISERROR(INDEX('Local Data Previous Year'!$E$3:$E$20000,SMALL(IF(CTR1_Billing!$E$21='Local Data Previous Year'!$A$3:$A$20000,ROW('Local Data Previous Year'!$A$3:$A$20000)-ROW('Local Data Previous Year'!$A$3)+1),ROW(467:467)))),"",INDEX('Local Data Previous Year'!$E$3:$E$20000,SMALL(IF(CTR1_Billing!$E$21='Local Data Previous Year'!$A$3:$A$20000,ROW('Local Data Previous Year'!$A$3:$A$20000)-ROW('Local Data Previous Year'!$A$3)+1),ROW(467:467))))</f>
        <v/>
      </c>
      <c r="F499" s="756" t="str">
        <f>IF($D499="","",IF(ISNA(MATCH($D499,'Local Data Previous Year'!$D$3:$D$20000,0)),"New",IFERROR(VLOOKUP($B499,'Local Data Previous Year'!$D$3:$I$20000,6,0),"")))</f>
        <v/>
      </c>
      <c r="G499" s="757">
        <f t="shared" si="99"/>
        <v>0</v>
      </c>
      <c r="H499" s="758" t="str">
        <f>IFERROR(INDEX('Local Data Previous Year'!$F:$F, MATCH($D499, 'Local Data Previous Year'!$D:$D, 0)), "")</f>
        <v/>
      </c>
      <c r="I499" s="759">
        <f>IF(B499=CTR1_Billing!$E$21&amp;"NEW",1,0)</f>
        <v>0</v>
      </c>
      <c r="J499" s="760" t="str">
        <f>IFERROR(INDEX('Local Data Previous Year'!$G:$G, MATCH($D499, 'Local Data Previous Year'!$D:$D, 0)), "")</f>
        <v/>
      </c>
      <c r="K499" s="762"/>
      <c r="L499" s="760" t="str">
        <f>IFERROR(INDEX('Local Data Previous Year'!$H:$H, MATCH($D499, 'Local Data Previous Year'!$D:$D, 0)), "")</f>
        <v/>
      </c>
      <c r="M499" s="762"/>
      <c r="N499" s="763"/>
      <c r="O499" s="767"/>
      <c r="P499" s="765"/>
      <c r="Q499" s="767"/>
      <c r="R499" s="766" t="str">
        <f t="shared" si="100"/>
        <v/>
      </c>
      <c r="S499" s="754"/>
      <c r="T499" s="763"/>
      <c r="U499" s="754"/>
      <c r="V499" s="763"/>
      <c r="W499" s="763"/>
      <c r="X499" s="865" t="str">
        <f>VLOOKUP(CTR1_Billing!$E$21,Data!$C$6:$D$302,1,FALSE)</f>
        <v>EZZZZ</v>
      </c>
      <c r="Y499" s="205"/>
      <c r="Z499" s="205">
        <f t="shared" si="89"/>
        <v>0</v>
      </c>
      <c r="AA499" s="206" t="str">
        <f t="shared" si="88"/>
        <v/>
      </c>
      <c r="AB499" s="205">
        <f t="shared" si="90"/>
        <v>0</v>
      </c>
      <c r="AC499" s="208"/>
      <c r="AD499" s="208"/>
      <c r="AE499" s="208"/>
      <c r="AF499" s="208"/>
      <c r="AG499" s="209" t="str">
        <f>IFERROR(INDEX('Local Data Previous Year'!$F:$F, MATCH($D499, 'Local Data Previous Year'!$D:$D, 0)), "")</f>
        <v/>
      </c>
      <c r="AH499" s="209" t="str">
        <f>IFERROR(INDEX('Local Data Previous Year'!$G:$G, MATCH($D499, 'Local Data Previous Year'!$D:$D, 0)), "")</f>
        <v/>
      </c>
      <c r="AI499" s="209" t="str">
        <f>IFERROR(INDEX('Local Data Previous Year'!$H:$H, MATCH($D499, 'Local Data Previous Year'!$D:$D, 0)), "")</f>
        <v/>
      </c>
      <c r="AJ499" s="209" t="str">
        <f t="shared" si="91"/>
        <v/>
      </c>
      <c r="AK499" s="209" t="str">
        <f t="shared" si="92"/>
        <v/>
      </c>
      <c r="AL499" s="209" t="str">
        <f t="shared" si="93"/>
        <v/>
      </c>
      <c r="AM499" s="208" t="str">
        <f>IF($AN499="","",IFERROR(VLOOKUP(CONCATENATE(CTR1_Billing!$E$20,$AN499),'Local Data Previous Year'!$C$3:$D$50000,2,0),CTR1_Billing!$E$21&amp;"NEW"))</f>
        <v/>
      </c>
      <c r="AN499" s="209" t="str" cm="1">
        <f t="array" ref="AN499">IF(ISERROR(INDEX('Local Data Previous Year'!$E$3:$E$50000, SMALL(IF(CTR1_Billing!$E$21='Local Data Previous Year'!$A$3:$A$50000, ROW('Local Data Previous Year'!$A$3:$A$50000)-ROW('Local Data Previous Year'!$A$3)+1), ROW(467:467)))), "", INDEX('Local Data Previous Year'!$E$3:$E$50000, SMALL(IF(CTR1_Billing!$E$21='Local Data Previous Year'!$A$3:$A$50000, ROW('Local Data Previous Year'!$A$3:$A$50000)-ROW('Local Data Previous Year'!$A$3)+1), ROW(467:467))))</f>
        <v/>
      </c>
      <c r="AO499" s="209" t="str">
        <f t="shared" si="94"/>
        <v/>
      </c>
      <c r="AP499" s="208"/>
      <c r="AQ499" s="209" t="str">
        <f t="shared" si="95"/>
        <v/>
      </c>
      <c r="AR499" s="209" t="str">
        <f t="shared" si="96"/>
        <v/>
      </c>
      <c r="AS499" s="202" t="str">
        <f t="shared" si="97"/>
        <v/>
      </c>
      <c r="AT499" s="202" t="str">
        <f t="shared" si="98"/>
        <v/>
      </c>
      <c r="AU499" s="208"/>
      <c r="AV499" s="208"/>
      <c r="AW499" s="208"/>
      <c r="AX499" s="208"/>
      <c r="AY499" s="208"/>
      <c r="AZ499" s="208"/>
      <c r="BA499" s="208"/>
      <c r="BB499" s="208"/>
      <c r="BC499" s="208"/>
      <c r="BD499" s="208"/>
      <c r="BE499" s="208"/>
      <c r="BF499" s="208"/>
      <c r="BG499" s="28"/>
      <c r="BH499" s="28"/>
      <c r="BI499" s="28"/>
      <c r="BJ499" s="28"/>
    </row>
    <row r="500" spans="1:62" s="23" customFormat="1" ht="21" customHeight="1" thickBot="1" x14ac:dyDescent="0.25">
      <c r="A500" s="846" t="str">
        <f>IF($AN500="","",IFERROR(VLOOKUP(CONCATENATE(CTR1_Billing!$E$20,$AN500),'Local Data Previous Year'!$C$3:$D$20000,2,0),CTR1_Billing!$E$21&amp;"NEW"))</f>
        <v/>
      </c>
      <c r="B500" s="846" t="str">
        <f>IF($E500="","",IFERROR(VLOOKUP(CONCATENATE(CTR1_Billing!$E$20,CTR1_Local!$E500),'Local Data Previous Year'!$C$3:$D$20000,2,0),CTR1_Billing!$E$21&amp;"NEW"))</f>
        <v/>
      </c>
      <c r="C500" s="846">
        <v>468</v>
      </c>
      <c r="D500" s="755" t="str" cm="1">
        <f t="array" ref="D500">IF(ISERROR(INDEX('Local Data Previous Year'!$D$3:$D$20000,SMALL(IF(CTR1_Billing!$E$21='Local Data Previous Year'!$A$3:$A$20000,ROW('Local Data Previous Year'!$A$3:$A$20000)-ROW('Local Data Previous Year'!$A$3)+1),ROW(468:468)))),"",INDEX('Local Data Previous Year'!$D$3:$D$20000,SMALL(IF(CTR1_Billing!$E$21='Local Data Previous Year'!$A$3:$A$20000,ROW('Local Data Previous Year'!$A$3:$A$20000)-ROW('Local Data Previous Year'!$A$3)+1),ROW(468:468))))</f>
        <v/>
      </c>
      <c r="E500" s="755" t="str" cm="1">
        <f t="array" ref="E500">IF(ISERROR(INDEX('Local Data Previous Year'!$E$3:$E$20000,SMALL(IF(CTR1_Billing!$E$21='Local Data Previous Year'!$A$3:$A$20000,ROW('Local Data Previous Year'!$A$3:$A$20000)-ROW('Local Data Previous Year'!$A$3)+1),ROW(468:468)))),"",INDEX('Local Data Previous Year'!$E$3:$E$20000,SMALL(IF(CTR1_Billing!$E$21='Local Data Previous Year'!$A$3:$A$20000,ROW('Local Data Previous Year'!$A$3:$A$20000)-ROW('Local Data Previous Year'!$A$3)+1),ROW(468:468))))</f>
        <v/>
      </c>
      <c r="F500" s="756" t="str">
        <f>IF($D500="","",IF(ISNA(MATCH($D500,'Local Data Previous Year'!$D$3:$D$20000,0)),"New",IFERROR(VLOOKUP($B500,'Local Data Previous Year'!$D$3:$I$20000,6,0),"")))</f>
        <v/>
      </c>
      <c r="G500" s="757">
        <f t="shared" si="99"/>
        <v>0</v>
      </c>
      <c r="H500" s="758" t="str">
        <f>IFERROR(INDEX('Local Data Previous Year'!$F:$F, MATCH($D500, 'Local Data Previous Year'!$D:$D, 0)), "")</f>
        <v/>
      </c>
      <c r="I500" s="759">
        <f>IF(B500=CTR1_Billing!$E$21&amp;"NEW",1,0)</f>
        <v>0</v>
      </c>
      <c r="J500" s="760" t="str">
        <f>IFERROR(INDEX('Local Data Previous Year'!$G:$G, MATCH($D500, 'Local Data Previous Year'!$D:$D, 0)), "")</f>
        <v/>
      </c>
      <c r="K500" s="762"/>
      <c r="L500" s="760" t="str">
        <f>IFERROR(INDEX('Local Data Previous Year'!$H:$H, MATCH($D500, 'Local Data Previous Year'!$D:$D, 0)), "")</f>
        <v/>
      </c>
      <c r="M500" s="762"/>
      <c r="N500" s="763"/>
      <c r="O500" s="767"/>
      <c r="P500" s="765"/>
      <c r="Q500" s="767"/>
      <c r="R500" s="766" t="str">
        <f t="shared" si="100"/>
        <v/>
      </c>
      <c r="S500" s="754"/>
      <c r="T500" s="763"/>
      <c r="U500" s="754"/>
      <c r="V500" s="763"/>
      <c r="W500" s="763"/>
      <c r="X500" s="865" t="str">
        <f>VLOOKUP(CTR1_Billing!$E$21,Data!$C$6:$D$302,1,FALSE)</f>
        <v>EZZZZ</v>
      </c>
      <c r="Y500" s="205"/>
      <c r="Z500" s="205">
        <f t="shared" si="89"/>
        <v>0</v>
      </c>
      <c r="AA500" s="206" t="str">
        <f t="shared" si="88"/>
        <v/>
      </c>
      <c r="AB500" s="205">
        <f t="shared" si="90"/>
        <v>0</v>
      </c>
      <c r="AC500" s="208"/>
      <c r="AD500" s="208"/>
      <c r="AE500" s="208"/>
      <c r="AF500" s="208"/>
      <c r="AG500" s="209" t="str">
        <f>IFERROR(INDEX('Local Data Previous Year'!$F:$F, MATCH($D500, 'Local Data Previous Year'!$D:$D, 0)), "")</f>
        <v/>
      </c>
      <c r="AH500" s="209" t="str">
        <f>IFERROR(INDEX('Local Data Previous Year'!$G:$G, MATCH($D500, 'Local Data Previous Year'!$D:$D, 0)), "")</f>
        <v/>
      </c>
      <c r="AI500" s="209" t="str">
        <f>IFERROR(INDEX('Local Data Previous Year'!$H:$H, MATCH($D500, 'Local Data Previous Year'!$D:$D, 0)), "")</f>
        <v/>
      </c>
      <c r="AJ500" s="209" t="str">
        <f t="shared" si="91"/>
        <v/>
      </c>
      <c r="AK500" s="209" t="str">
        <f t="shared" si="92"/>
        <v/>
      </c>
      <c r="AL500" s="209" t="str">
        <f t="shared" si="93"/>
        <v/>
      </c>
      <c r="AM500" s="208" t="str">
        <f>IF($AN500="","",IFERROR(VLOOKUP(CONCATENATE(CTR1_Billing!$E$20,$AN500),'Local Data Previous Year'!$C$3:$D$50000,2,0),CTR1_Billing!$E$21&amp;"NEW"))</f>
        <v/>
      </c>
      <c r="AN500" s="209" t="str" cm="1">
        <f t="array" ref="AN500">IF(ISERROR(INDEX('Local Data Previous Year'!$E$3:$E$50000, SMALL(IF(CTR1_Billing!$E$21='Local Data Previous Year'!$A$3:$A$50000, ROW('Local Data Previous Year'!$A$3:$A$50000)-ROW('Local Data Previous Year'!$A$3)+1), ROW(468:468)))), "", INDEX('Local Data Previous Year'!$E$3:$E$50000, SMALL(IF(CTR1_Billing!$E$21='Local Data Previous Year'!$A$3:$A$50000, ROW('Local Data Previous Year'!$A$3:$A$50000)-ROW('Local Data Previous Year'!$A$3)+1), ROW(468:468))))</f>
        <v/>
      </c>
      <c r="AO500" s="209" t="str">
        <f t="shared" si="94"/>
        <v/>
      </c>
      <c r="AP500" s="208"/>
      <c r="AQ500" s="209" t="str">
        <f t="shared" si="95"/>
        <v/>
      </c>
      <c r="AR500" s="209" t="str">
        <f t="shared" si="96"/>
        <v/>
      </c>
      <c r="AS500" s="202" t="str">
        <f t="shared" si="97"/>
        <v/>
      </c>
      <c r="AT500" s="202" t="str">
        <f t="shared" si="98"/>
        <v/>
      </c>
      <c r="AU500" s="208"/>
      <c r="AV500" s="208"/>
      <c r="AW500" s="208"/>
      <c r="AX500" s="208"/>
      <c r="AY500" s="208"/>
      <c r="AZ500" s="208"/>
      <c r="BA500" s="208"/>
      <c r="BB500" s="208"/>
      <c r="BC500" s="208"/>
      <c r="BD500" s="208"/>
      <c r="BE500" s="208"/>
      <c r="BF500" s="208"/>
      <c r="BG500" s="28"/>
      <c r="BH500" s="28"/>
      <c r="BI500" s="28"/>
      <c r="BJ500" s="28"/>
    </row>
    <row r="501" spans="1:62" s="23" customFormat="1" ht="21" customHeight="1" thickBot="1" x14ac:dyDescent="0.25">
      <c r="A501" s="846" t="str">
        <f>IF($AN501="","",IFERROR(VLOOKUP(CONCATENATE(CTR1_Billing!$E$20,$AN501),'Local Data Previous Year'!$C$3:$D$20000,2,0),CTR1_Billing!$E$21&amp;"NEW"))</f>
        <v/>
      </c>
      <c r="B501" s="846" t="str">
        <f>IF($E501="","",IFERROR(VLOOKUP(CONCATENATE(CTR1_Billing!$E$20,CTR1_Local!$E501),'Local Data Previous Year'!$C$3:$D$20000,2,0),CTR1_Billing!$E$21&amp;"NEW"))</f>
        <v/>
      </c>
      <c r="C501" s="846">
        <v>469</v>
      </c>
      <c r="D501" s="755" t="str" cm="1">
        <f t="array" ref="D501">IF(ISERROR(INDEX('Local Data Previous Year'!$D$3:$D$20000,SMALL(IF(CTR1_Billing!$E$21='Local Data Previous Year'!$A$3:$A$20000,ROW('Local Data Previous Year'!$A$3:$A$20000)-ROW('Local Data Previous Year'!$A$3)+1),ROW(469:469)))),"",INDEX('Local Data Previous Year'!$D$3:$D$20000,SMALL(IF(CTR1_Billing!$E$21='Local Data Previous Year'!$A$3:$A$20000,ROW('Local Data Previous Year'!$A$3:$A$20000)-ROW('Local Data Previous Year'!$A$3)+1),ROW(469:469))))</f>
        <v/>
      </c>
      <c r="E501" s="755" t="str" cm="1">
        <f t="array" ref="E501">IF(ISERROR(INDEX('Local Data Previous Year'!$E$3:$E$20000,SMALL(IF(CTR1_Billing!$E$21='Local Data Previous Year'!$A$3:$A$20000,ROW('Local Data Previous Year'!$A$3:$A$20000)-ROW('Local Data Previous Year'!$A$3)+1),ROW(469:469)))),"",INDEX('Local Data Previous Year'!$E$3:$E$20000,SMALL(IF(CTR1_Billing!$E$21='Local Data Previous Year'!$A$3:$A$20000,ROW('Local Data Previous Year'!$A$3:$A$20000)-ROW('Local Data Previous Year'!$A$3)+1),ROW(469:469))))</f>
        <v/>
      </c>
      <c r="F501" s="756" t="str">
        <f>IF($D501="","",IF(ISNA(MATCH($D501,'Local Data Previous Year'!$D$3:$D$20000,0)),"New",IFERROR(VLOOKUP($B501,'Local Data Previous Year'!$D$3:$I$20000,6,0),"")))</f>
        <v/>
      </c>
      <c r="G501" s="757">
        <f t="shared" si="99"/>
        <v>0</v>
      </c>
      <c r="H501" s="758" t="str">
        <f>IFERROR(INDEX('Local Data Previous Year'!$F:$F, MATCH($D501, 'Local Data Previous Year'!$D:$D, 0)), "")</f>
        <v/>
      </c>
      <c r="I501" s="759">
        <f>IF(B501=CTR1_Billing!$E$21&amp;"NEW",1,0)</f>
        <v>0</v>
      </c>
      <c r="J501" s="760" t="str">
        <f>IFERROR(INDEX('Local Data Previous Year'!$G:$G, MATCH($D501, 'Local Data Previous Year'!$D:$D, 0)), "")</f>
        <v/>
      </c>
      <c r="K501" s="762"/>
      <c r="L501" s="760" t="str">
        <f>IFERROR(INDEX('Local Data Previous Year'!$H:$H, MATCH($D501, 'Local Data Previous Year'!$D:$D, 0)), "")</f>
        <v/>
      </c>
      <c r="M501" s="762"/>
      <c r="N501" s="763"/>
      <c r="O501" s="767"/>
      <c r="P501" s="765"/>
      <c r="Q501" s="767"/>
      <c r="R501" s="766" t="str">
        <f t="shared" si="100"/>
        <v/>
      </c>
      <c r="S501" s="754"/>
      <c r="T501" s="763"/>
      <c r="U501" s="754"/>
      <c r="V501" s="763"/>
      <c r="W501" s="763"/>
      <c r="X501" s="865" t="str">
        <f>VLOOKUP(CTR1_Billing!$E$21,Data!$C$6:$D$302,1,FALSE)</f>
        <v>EZZZZ</v>
      </c>
      <c r="Y501" s="205"/>
      <c r="Z501" s="205">
        <f t="shared" si="89"/>
        <v>0</v>
      </c>
      <c r="AA501" s="206" t="str">
        <f t="shared" si="88"/>
        <v/>
      </c>
      <c r="AB501" s="205">
        <f t="shared" si="90"/>
        <v>0</v>
      </c>
      <c r="AC501" s="208"/>
      <c r="AD501" s="208"/>
      <c r="AE501" s="208"/>
      <c r="AF501" s="208"/>
      <c r="AG501" s="209" t="str">
        <f>IFERROR(INDEX('Local Data Previous Year'!$F:$F, MATCH($D501, 'Local Data Previous Year'!$D:$D, 0)), "")</f>
        <v/>
      </c>
      <c r="AH501" s="209" t="str">
        <f>IFERROR(INDEX('Local Data Previous Year'!$G:$G, MATCH($D501, 'Local Data Previous Year'!$D:$D, 0)), "")</f>
        <v/>
      </c>
      <c r="AI501" s="209" t="str">
        <f>IFERROR(INDEX('Local Data Previous Year'!$H:$H, MATCH($D501, 'Local Data Previous Year'!$D:$D, 0)), "")</f>
        <v/>
      </c>
      <c r="AJ501" s="209" t="str">
        <f t="shared" si="91"/>
        <v/>
      </c>
      <c r="AK501" s="209" t="str">
        <f t="shared" si="92"/>
        <v/>
      </c>
      <c r="AL501" s="209" t="str">
        <f t="shared" si="93"/>
        <v/>
      </c>
      <c r="AM501" s="208" t="str">
        <f>IF($AN501="","",IFERROR(VLOOKUP(CONCATENATE(CTR1_Billing!$E$20,$AN501),'Local Data Previous Year'!$C$3:$D$50000,2,0),CTR1_Billing!$E$21&amp;"NEW"))</f>
        <v/>
      </c>
      <c r="AN501" s="209" t="str" cm="1">
        <f t="array" ref="AN501">IF(ISERROR(INDEX('Local Data Previous Year'!$E$3:$E$50000, SMALL(IF(CTR1_Billing!$E$21='Local Data Previous Year'!$A$3:$A$50000, ROW('Local Data Previous Year'!$A$3:$A$50000)-ROW('Local Data Previous Year'!$A$3)+1), ROW(469:469)))), "", INDEX('Local Data Previous Year'!$E$3:$E$50000, SMALL(IF(CTR1_Billing!$E$21='Local Data Previous Year'!$A$3:$A$50000, ROW('Local Data Previous Year'!$A$3:$A$50000)-ROW('Local Data Previous Year'!$A$3)+1), ROW(469:469))))</f>
        <v/>
      </c>
      <c r="AO501" s="209" t="str">
        <f t="shared" si="94"/>
        <v/>
      </c>
      <c r="AP501" s="208"/>
      <c r="AQ501" s="209" t="str">
        <f t="shared" si="95"/>
        <v/>
      </c>
      <c r="AR501" s="209" t="str">
        <f t="shared" si="96"/>
        <v/>
      </c>
      <c r="AS501" s="202" t="str">
        <f t="shared" si="97"/>
        <v/>
      </c>
      <c r="AT501" s="202" t="str">
        <f t="shared" si="98"/>
        <v/>
      </c>
      <c r="AU501" s="208"/>
      <c r="AV501" s="208"/>
      <c r="AW501" s="208"/>
      <c r="AX501" s="208"/>
      <c r="AY501" s="208"/>
      <c r="AZ501" s="208"/>
      <c r="BA501" s="208"/>
      <c r="BB501" s="208"/>
      <c r="BC501" s="208"/>
      <c r="BD501" s="208"/>
      <c r="BE501" s="208"/>
      <c r="BF501" s="208"/>
      <c r="BG501" s="28"/>
      <c r="BH501" s="28"/>
      <c r="BI501" s="28"/>
      <c r="BJ501" s="28"/>
    </row>
    <row r="502" spans="1:62" s="23" customFormat="1" ht="21" customHeight="1" thickBot="1" x14ac:dyDescent="0.25">
      <c r="A502" s="846" t="str">
        <f>IF($AN502="","",IFERROR(VLOOKUP(CONCATENATE(CTR1_Billing!$E$20,$AN502),'Local Data Previous Year'!$C$3:$D$20000,2,0),CTR1_Billing!$E$21&amp;"NEW"))</f>
        <v/>
      </c>
      <c r="B502" s="846" t="str">
        <f>IF($E502="","",IFERROR(VLOOKUP(CONCATENATE(CTR1_Billing!$E$20,CTR1_Local!$E502),'Local Data Previous Year'!$C$3:$D$20000,2,0),CTR1_Billing!$E$21&amp;"NEW"))</f>
        <v/>
      </c>
      <c r="C502" s="846">
        <v>470</v>
      </c>
      <c r="D502" s="755" t="str" cm="1">
        <f t="array" ref="D502">IF(ISERROR(INDEX('Local Data Previous Year'!$D$3:$D$20000,SMALL(IF(CTR1_Billing!$E$21='Local Data Previous Year'!$A$3:$A$20000,ROW('Local Data Previous Year'!$A$3:$A$20000)-ROW('Local Data Previous Year'!$A$3)+1),ROW(470:470)))),"",INDEX('Local Data Previous Year'!$D$3:$D$20000,SMALL(IF(CTR1_Billing!$E$21='Local Data Previous Year'!$A$3:$A$20000,ROW('Local Data Previous Year'!$A$3:$A$20000)-ROW('Local Data Previous Year'!$A$3)+1),ROW(470:470))))</f>
        <v/>
      </c>
      <c r="E502" s="755" t="str" cm="1">
        <f t="array" ref="E502">IF(ISERROR(INDEX('Local Data Previous Year'!$E$3:$E$20000,SMALL(IF(CTR1_Billing!$E$21='Local Data Previous Year'!$A$3:$A$20000,ROW('Local Data Previous Year'!$A$3:$A$20000)-ROW('Local Data Previous Year'!$A$3)+1),ROW(470:470)))),"",INDEX('Local Data Previous Year'!$E$3:$E$20000,SMALL(IF(CTR1_Billing!$E$21='Local Data Previous Year'!$A$3:$A$20000,ROW('Local Data Previous Year'!$A$3:$A$20000)-ROW('Local Data Previous Year'!$A$3)+1),ROW(470:470))))</f>
        <v/>
      </c>
      <c r="F502" s="756" t="str">
        <f>IF($D502="","",IF(ISNA(MATCH($D502,'Local Data Previous Year'!$D$3:$D$20000,0)),"New",IFERROR(VLOOKUP($B502,'Local Data Previous Year'!$D$3:$I$20000,6,0),"")))</f>
        <v/>
      </c>
      <c r="G502" s="757">
        <f t="shared" si="99"/>
        <v>0</v>
      </c>
      <c r="H502" s="758" t="str">
        <f>IFERROR(INDEX('Local Data Previous Year'!$F:$F, MATCH($D502, 'Local Data Previous Year'!$D:$D, 0)), "")</f>
        <v/>
      </c>
      <c r="I502" s="759">
        <f>IF(B502=CTR1_Billing!$E$21&amp;"NEW",1,0)</f>
        <v>0</v>
      </c>
      <c r="J502" s="760" t="str">
        <f>IFERROR(INDEX('Local Data Previous Year'!$G:$G, MATCH($D502, 'Local Data Previous Year'!$D:$D, 0)), "")</f>
        <v/>
      </c>
      <c r="K502" s="762"/>
      <c r="L502" s="760" t="str">
        <f>IFERROR(INDEX('Local Data Previous Year'!$H:$H, MATCH($D502, 'Local Data Previous Year'!$D:$D, 0)), "")</f>
        <v/>
      </c>
      <c r="M502" s="762"/>
      <c r="N502" s="763"/>
      <c r="O502" s="767"/>
      <c r="P502" s="765"/>
      <c r="Q502" s="767"/>
      <c r="R502" s="766" t="str">
        <f t="shared" si="100"/>
        <v/>
      </c>
      <c r="S502" s="754"/>
      <c r="T502" s="763"/>
      <c r="U502" s="754"/>
      <c r="V502" s="763"/>
      <c r="W502" s="763"/>
      <c r="X502" s="865" t="str">
        <f>VLOOKUP(CTR1_Billing!$E$21,Data!$C$6:$D$302,1,FALSE)</f>
        <v>EZZZZ</v>
      </c>
      <c r="Y502" s="205"/>
      <c r="Z502" s="205">
        <f t="shared" si="89"/>
        <v>0</v>
      </c>
      <c r="AA502" s="206" t="str">
        <f t="shared" si="88"/>
        <v/>
      </c>
      <c r="AB502" s="205">
        <f t="shared" si="90"/>
        <v>0</v>
      </c>
      <c r="AC502" s="208"/>
      <c r="AD502" s="208"/>
      <c r="AE502" s="208"/>
      <c r="AF502" s="208"/>
      <c r="AG502" s="209" t="str">
        <f>IFERROR(INDEX('Local Data Previous Year'!$F:$F, MATCH($D502, 'Local Data Previous Year'!$D:$D, 0)), "")</f>
        <v/>
      </c>
      <c r="AH502" s="209" t="str">
        <f>IFERROR(INDEX('Local Data Previous Year'!$G:$G, MATCH($D502, 'Local Data Previous Year'!$D:$D, 0)), "")</f>
        <v/>
      </c>
      <c r="AI502" s="209" t="str">
        <f>IFERROR(INDEX('Local Data Previous Year'!$H:$H, MATCH($D502, 'Local Data Previous Year'!$D:$D, 0)), "")</f>
        <v/>
      </c>
      <c r="AJ502" s="209" t="str">
        <f t="shared" si="91"/>
        <v/>
      </c>
      <c r="AK502" s="209" t="str">
        <f t="shared" si="92"/>
        <v/>
      </c>
      <c r="AL502" s="209" t="str">
        <f t="shared" si="93"/>
        <v/>
      </c>
      <c r="AM502" s="208" t="str">
        <f>IF($AN502="","",IFERROR(VLOOKUP(CONCATENATE(CTR1_Billing!$E$20,$AN502),'Local Data Previous Year'!$C$3:$D$50000,2,0),CTR1_Billing!$E$21&amp;"NEW"))</f>
        <v/>
      </c>
      <c r="AN502" s="209" t="str" cm="1">
        <f t="array" ref="AN502">IF(ISERROR(INDEX('Local Data Previous Year'!$E$3:$E$50000, SMALL(IF(CTR1_Billing!$E$21='Local Data Previous Year'!$A$3:$A$50000, ROW('Local Data Previous Year'!$A$3:$A$50000)-ROW('Local Data Previous Year'!$A$3)+1), ROW(470:470)))), "", INDEX('Local Data Previous Year'!$E$3:$E$50000, SMALL(IF(CTR1_Billing!$E$21='Local Data Previous Year'!$A$3:$A$50000, ROW('Local Data Previous Year'!$A$3:$A$50000)-ROW('Local Data Previous Year'!$A$3)+1), ROW(470:470))))</f>
        <v/>
      </c>
      <c r="AO502" s="209" t="str">
        <f t="shared" si="94"/>
        <v/>
      </c>
      <c r="AP502" s="208"/>
      <c r="AQ502" s="209" t="str">
        <f t="shared" si="95"/>
        <v/>
      </c>
      <c r="AR502" s="209" t="str">
        <f t="shared" si="96"/>
        <v/>
      </c>
      <c r="AS502" s="202" t="str">
        <f t="shared" si="97"/>
        <v/>
      </c>
      <c r="AT502" s="202" t="str">
        <f t="shared" si="98"/>
        <v/>
      </c>
      <c r="AU502" s="208"/>
      <c r="AV502" s="208"/>
      <c r="AW502" s="208"/>
      <c r="AX502" s="208"/>
      <c r="AY502" s="208"/>
      <c r="AZ502" s="208"/>
      <c r="BA502" s="208"/>
      <c r="BB502" s="208"/>
      <c r="BC502" s="208"/>
      <c r="BD502" s="208"/>
      <c r="BE502" s="208"/>
      <c r="BF502" s="208"/>
      <c r="BG502" s="28"/>
      <c r="BH502" s="28"/>
      <c r="BI502" s="28"/>
      <c r="BJ502" s="28"/>
    </row>
    <row r="503" spans="1:62" s="23" customFormat="1" ht="21" customHeight="1" thickBot="1" x14ac:dyDescent="0.25">
      <c r="A503" s="846" t="str">
        <f>IF($AN503="","",IFERROR(VLOOKUP(CONCATENATE(CTR1_Billing!$E$20,$AN503),'Local Data Previous Year'!$C$3:$D$20000,2,0),CTR1_Billing!$E$21&amp;"NEW"))</f>
        <v/>
      </c>
      <c r="B503" s="846" t="str">
        <f>IF($E503="","",IFERROR(VLOOKUP(CONCATENATE(CTR1_Billing!$E$20,CTR1_Local!$E503),'Local Data Previous Year'!$C$3:$D$20000,2,0),CTR1_Billing!$E$21&amp;"NEW"))</f>
        <v/>
      </c>
      <c r="C503" s="846">
        <v>471</v>
      </c>
      <c r="D503" s="755" t="str" cm="1">
        <f t="array" ref="D503">IF(ISERROR(INDEX('Local Data Previous Year'!$D$3:$D$20000,SMALL(IF(CTR1_Billing!$E$21='Local Data Previous Year'!$A$3:$A$20000,ROW('Local Data Previous Year'!$A$3:$A$20000)-ROW('Local Data Previous Year'!$A$3)+1),ROW(471:471)))),"",INDEX('Local Data Previous Year'!$D$3:$D$20000,SMALL(IF(CTR1_Billing!$E$21='Local Data Previous Year'!$A$3:$A$20000,ROW('Local Data Previous Year'!$A$3:$A$20000)-ROW('Local Data Previous Year'!$A$3)+1),ROW(471:471))))</f>
        <v/>
      </c>
      <c r="E503" s="755" t="str" cm="1">
        <f t="array" ref="E503">IF(ISERROR(INDEX('Local Data Previous Year'!$E$3:$E$20000,SMALL(IF(CTR1_Billing!$E$21='Local Data Previous Year'!$A$3:$A$20000,ROW('Local Data Previous Year'!$A$3:$A$20000)-ROW('Local Data Previous Year'!$A$3)+1),ROW(471:471)))),"",INDEX('Local Data Previous Year'!$E$3:$E$20000,SMALL(IF(CTR1_Billing!$E$21='Local Data Previous Year'!$A$3:$A$20000,ROW('Local Data Previous Year'!$A$3:$A$20000)-ROW('Local Data Previous Year'!$A$3)+1),ROW(471:471))))</f>
        <v/>
      </c>
      <c r="F503" s="756" t="str">
        <f>IF($D503="","",IF(ISNA(MATCH($D503,'Local Data Previous Year'!$D$3:$D$20000,0)),"New",IFERROR(VLOOKUP($B503,'Local Data Previous Year'!$D$3:$I$20000,6,0),"")))</f>
        <v/>
      </c>
      <c r="G503" s="757">
        <f t="shared" si="99"/>
        <v>0</v>
      </c>
      <c r="H503" s="758" t="str">
        <f>IFERROR(INDEX('Local Data Previous Year'!$F:$F, MATCH($D503, 'Local Data Previous Year'!$D:$D, 0)), "")</f>
        <v/>
      </c>
      <c r="I503" s="759">
        <f>IF(B503=CTR1_Billing!$E$21&amp;"NEW",1,0)</f>
        <v>0</v>
      </c>
      <c r="J503" s="760" t="str">
        <f>IFERROR(INDEX('Local Data Previous Year'!$G:$G, MATCH($D503, 'Local Data Previous Year'!$D:$D, 0)), "")</f>
        <v/>
      </c>
      <c r="K503" s="762"/>
      <c r="L503" s="760" t="str">
        <f>IFERROR(INDEX('Local Data Previous Year'!$H:$H, MATCH($D503, 'Local Data Previous Year'!$D:$D, 0)), "")</f>
        <v/>
      </c>
      <c r="M503" s="762"/>
      <c r="N503" s="763"/>
      <c r="O503" s="767"/>
      <c r="P503" s="765"/>
      <c r="Q503" s="767"/>
      <c r="R503" s="766" t="str">
        <f t="shared" si="100"/>
        <v/>
      </c>
      <c r="S503" s="754"/>
      <c r="T503" s="763"/>
      <c r="U503" s="754"/>
      <c r="V503" s="763"/>
      <c r="W503" s="763"/>
      <c r="X503" s="865" t="str">
        <f>VLOOKUP(CTR1_Billing!$E$21,Data!$C$6:$D$302,1,FALSE)</f>
        <v>EZZZZ</v>
      </c>
      <c r="Y503" s="205"/>
      <c r="Z503" s="205">
        <f t="shared" si="89"/>
        <v>0</v>
      </c>
      <c r="AA503" s="206" t="str">
        <f t="shared" si="88"/>
        <v/>
      </c>
      <c r="AB503" s="205">
        <f t="shared" si="90"/>
        <v>0</v>
      </c>
      <c r="AC503" s="208"/>
      <c r="AD503" s="208"/>
      <c r="AE503" s="208"/>
      <c r="AF503" s="208"/>
      <c r="AG503" s="209" t="str">
        <f>IFERROR(INDEX('Local Data Previous Year'!$F:$F, MATCH($D503, 'Local Data Previous Year'!$D:$D, 0)), "")</f>
        <v/>
      </c>
      <c r="AH503" s="209" t="str">
        <f>IFERROR(INDEX('Local Data Previous Year'!$G:$G, MATCH($D503, 'Local Data Previous Year'!$D:$D, 0)), "")</f>
        <v/>
      </c>
      <c r="AI503" s="209" t="str">
        <f>IFERROR(INDEX('Local Data Previous Year'!$H:$H, MATCH($D503, 'Local Data Previous Year'!$D:$D, 0)), "")</f>
        <v/>
      </c>
      <c r="AJ503" s="209" t="str">
        <f t="shared" si="91"/>
        <v/>
      </c>
      <c r="AK503" s="209" t="str">
        <f t="shared" si="92"/>
        <v/>
      </c>
      <c r="AL503" s="209" t="str">
        <f t="shared" si="93"/>
        <v/>
      </c>
      <c r="AM503" s="208" t="str">
        <f>IF($AN503="","",IFERROR(VLOOKUP(CONCATENATE(CTR1_Billing!$E$20,$AN503),'Local Data Previous Year'!$C$3:$D$50000,2,0),CTR1_Billing!$E$21&amp;"NEW"))</f>
        <v/>
      </c>
      <c r="AN503" s="209" t="str" cm="1">
        <f t="array" ref="AN503">IF(ISERROR(INDEX('Local Data Previous Year'!$E$3:$E$50000, SMALL(IF(CTR1_Billing!$E$21='Local Data Previous Year'!$A$3:$A$50000, ROW('Local Data Previous Year'!$A$3:$A$50000)-ROW('Local Data Previous Year'!$A$3)+1), ROW(471:471)))), "", INDEX('Local Data Previous Year'!$E$3:$E$50000, SMALL(IF(CTR1_Billing!$E$21='Local Data Previous Year'!$A$3:$A$50000, ROW('Local Data Previous Year'!$A$3:$A$50000)-ROW('Local Data Previous Year'!$A$3)+1), ROW(471:471))))</f>
        <v/>
      </c>
      <c r="AO503" s="209" t="str">
        <f t="shared" si="94"/>
        <v/>
      </c>
      <c r="AP503" s="208"/>
      <c r="AQ503" s="209" t="str">
        <f t="shared" si="95"/>
        <v/>
      </c>
      <c r="AR503" s="209" t="str">
        <f t="shared" si="96"/>
        <v/>
      </c>
      <c r="AS503" s="202" t="str">
        <f t="shared" si="97"/>
        <v/>
      </c>
      <c r="AT503" s="202" t="str">
        <f t="shared" si="98"/>
        <v/>
      </c>
      <c r="AU503" s="208"/>
      <c r="AV503" s="208"/>
      <c r="AW503" s="208"/>
      <c r="AX503" s="208"/>
      <c r="AY503" s="208"/>
      <c r="AZ503" s="208"/>
      <c r="BA503" s="208"/>
      <c r="BB503" s="208"/>
      <c r="BC503" s="208"/>
      <c r="BD503" s="208"/>
      <c r="BE503" s="208"/>
      <c r="BF503" s="208"/>
      <c r="BG503" s="28"/>
      <c r="BH503" s="28"/>
      <c r="BI503" s="28"/>
      <c r="BJ503" s="28"/>
    </row>
    <row r="504" spans="1:62" s="23" customFormat="1" ht="21" customHeight="1" thickBot="1" x14ac:dyDescent="0.25">
      <c r="A504" s="846" t="str">
        <f>IF($AN504="","",IFERROR(VLOOKUP(CONCATENATE(CTR1_Billing!$E$20,$AN504),'Local Data Previous Year'!$C$3:$D$20000,2,0),CTR1_Billing!$E$21&amp;"NEW"))</f>
        <v/>
      </c>
      <c r="B504" s="846" t="str">
        <f>IF($E504="","",IFERROR(VLOOKUP(CONCATENATE(CTR1_Billing!$E$20,CTR1_Local!$E504),'Local Data Previous Year'!$C$3:$D$20000,2,0),CTR1_Billing!$E$21&amp;"NEW"))</f>
        <v/>
      </c>
      <c r="C504" s="846">
        <v>472</v>
      </c>
      <c r="D504" s="755" t="str" cm="1">
        <f t="array" ref="D504">IF(ISERROR(INDEX('Local Data Previous Year'!$D$3:$D$20000,SMALL(IF(CTR1_Billing!$E$21='Local Data Previous Year'!$A$3:$A$20000,ROW('Local Data Previous Year'!$A$3:$A$20000)-ROW('Local Data Previous Year'!$A$3)+1),ROW(472:472)))),"",INDEX('Local Data Previous Year'!$D$3:$D$20000,SMALL(IF(CTR1_Billing!$E$21='Local Data Previous Year'!$A$3:$A$20000,ROW('Local Data Previous Year'!$A$3:$A$20000)-ROW('Local Data Previous Year'!$A$3)+1),ROW(472:472))))</f>
        <v/>
      </c>
      <c r="E504" s="755" t="str" cm="1">
        <f t="array" ref="E504">IF(ISERROR(INDEX('Local Data Previous Year'!$E$3:$E$20000,SMALL(IF(CTR1_Billing!$E$21='Local Data Previous Year'!$A$3:$A$20000,ROW('Local Data Previous Year'!$A$3:$A$20000)-ROW('Local Data Previous Year'!$A$3)+1),ROW(472:472)))),"",INDEX('Local Data Previous Year'!$E$3:$E$20000,SMALL(IF(CTR1_Billing!$E$21='Local Data Previous Year'!$A$3:$A$20000,ROW('Local Data Previous Year'!$A$3:$A$20000)-ROW('Local Data Previous Year'!$A$3)+1),ROW(472:472))))</f>
        <v/>
      </c>
      <c r="F504" s="756" t="str">
        <f>IF($D504="","",IF(ISNA(MATCH($D504,'Local Data Previous Year'!$D$3:$D$20000,0)),"New",IFERROR(VLOOKUP($B504,'Local Data Previous Year'!$D$3:$I$20000,6,0),"")))</f>
        <v/>
      </c>
      <c r="G504" s="757">
        <f t="shared" si="99"/>
        <v>0</v>
      </c>
      <c r="H504" s="758" t="str">
        <f>IFERROR(INDEX('Local Data Previous Year'!$F:$F, MATCH($D504, 'Local Data Previous Year'!$D:$D, 0)), "")</f>
        <v/>
      </c>
      <c r="I504" s="759">
        <f>IF(B504=CTR1_Billing!$E$21&amp;"NEW",1,0)</f>
        <v>0</v>
      </c>
      <c r="J504" s="760" t="str">
        <f>IFERROR(INDEX('Local Data Previous Year'!$G:$G, MATCH($D504, 'Local Data Previous Year'!$D:$D, 0)), "")</f>
        <v/>
      </c>
      <c r="K504" s="762"/>
      <c r="L504" s="760" t="str">
        <f>IFERROR(INDEX('Local Data Previous Year'!$H:$H, MATCH($D504, 'Local Data Previous Year'!$D:$D, 0)), "")</f>
        <v/>
      </c>
      <c r="M504" s="762"/>
      <c r="N504" s="763"/>
      <c r="O504" s="767"/>
      <c r="P504" s="765"/>
      <c r="Q504" s="767"/>
      <c r="R504" s="766" t="str">
        <f t="shared" si="100"/>
        <v/>
      </c>
      <c r="S504" s="754"/>
      <c r="T504" s="763"/>
      <c r="U504" s="754"/>
      <c r="V504" s="763"/>
      <c r="W504" s="763"/>
      <c r="X504" s="865" t="str">
        <f>VLOOKUP(CTR1_Billing!$E$21,Data!$C$6:$D$302,1,FALSE)</f>
        <v>EZZZZ</v>
      </c>
      <c r="Y504" s="205"/>
      <c r="Z504" s="205">
        <f t="shared" si="89"/>
        <v>0</v>
      </c>
      <c r="AA504" s="206" t="str">
        <f t="shared" si="88"/>
        <v/>
      </c>
      <c r="AB504" s="205">
        <f t="shared" si="90"/>
        <v>0</v>
      </c>
      <c r="AC504" s="208"/>
      <c r="AD504" s="208"/>
      <c r="AE504" s="208"/>
      <c r="AF504" s="208"/>
      <c r="AG504" s="209" t="str">
        <f>IFERROR(INDEX('Local Data Previous Year'!$F:$F, MATCH($D504, 'Local Data Previous Year'!$D:$D, 0)), "")</f>
        <v/>
      </c>
      <c r="AH504" s="209" t="str">
        <f>IFERROR(INDEX('Local Data Previous Year'!$G:$G, MATCH($D504, 'Local Data Previous Year'!$D:$D, 0)), "")</f>
        <v/>
      </c>
      <c r="AI504" s="209" t="str">
        <f>IFERROR(INDEX('Local Data Previous Year'!$H:$H, MATCH($D504, 'Local Data Previous Year'!$D:$D, 0)), "")</f>
        <v/>
      </c>
      <c r="AJ504" s="209" t="str">
        <f t="shared" si="91"/>
        <v/>
      </c>
      <c r="AK504" s="209" t="str">
        <f t="shared" si="92"/>
        <v/>
      </c>
      <c r="AL504" s="209" t="str">
        <f t="shared" si="93"/>
        <v/>
      </c>
      <c r="AM504" s="208" t="str">
        <f>IF($AN504="","",IFERROR(VLOOKUP(CONCATENATE(CTR1_Billing!$E$20,$AN504),'Local Data Previous Year'!$C$3:$D$50000,2,0),CTR1_Billing!$E$21&amp;"NEW"))</f>
        <v/>
      </c>
      <c r="AN504" s="209" t="str" cm="1">
        <f t="array" ref="AN504">IF(ISERROR(INDEX('Local Data Previous Year'!$E$3:$E$50000, SMALL(IF(CTR1_Billing!$E$21='Local Data Previous Year'!$A$3:$A$50000, ROW('Local Data Previous Year'!$A$3:$A$50000)-ROW('Local Data Previous Year'!$A$3)+1), ROW(472:472)))), "", INDEX('Local Data Previous Year'!$E$3:$E$50000, SMALL(IF(CTR1_Billing!$E$21='Local Data Previous Year'!$A$3:$A$50000, ROW('Local Data Previous Year'!$A$3:$A$50000)-ROW('Local Data Previous Year'!$A$3)+1), ROW(472:472))))</f>
        <v/>
      </c>
      <c r="AO504" s="209" t="str">
        <f t="shared" si="94"/>
        <v/>
      </c>
      <c r="AP504" s="208"/>
      <c r="AQ504" s="209" t="str">
        <f t="shared" si="95"/>
        <v/>
      </c>
      <c r="AR504" s="209" t="str">
        <f t="shared" si="96"/>
        <v/>
      </c>
      <c r="AS504" s="202" t="str">
        <f t="shared" si="97"/>
        <v/>
      </c>
      <c r="AT504" s="202" t="str">
        <f t="shared" si="98"/>
        <v/>
      </c>
      <c r="AU504" s="208"/>
      <c r="AV504" s="208"/>
      <c r="AW504" s="208"/>
      <c r="AX504" s="208"/>
      <c r="AY504" s="208"/>
      <c r="AZ504" s="208"/>
      <c r="BA504" s="208"/>
      <c r="BB504" s="208"/>
      <c r="BC504" s="208"/>
      <c r="BD504" s="208"/>
      <c r="BE504" s="208"/>
      <c r="BF504" s="208"/>
      <c r="BG504" s="28"/>
      <c r="BH504" s="28"/>
      <c r="BI504" s="28"/>
      <c r="BJ504" s="28"/>
    </row>
    <row r="505" spans="1:62" s="23" customFormat="1" ht="21" customHeight="1" thickBot="1" x14ac:dyDescent="0.25">
      <c r="A505" s="846" t="str">
        <f>IF($AN505="","",IFERROR(VLOOKUP(CONCATENATE(CTR1_Billing!$E$20,$AN505),'Local Data Previous Year'!$C$3:$D$20000,2,0),CTR1_Billing!$E$21&amp;"NEW"))</f>
        <v/>
      </c>
      <c r="B505" s="846" t="str">
        <f>IF($E505="","",IFERROR(VLOOKUP(CONCATENATE(CTR1_Billing!$E$20,CTR1_Local!$E505),'Local Data Previous Year'!$C$3:$D$20000,2,0),CTR1_Billing!$E$21&amp;"NEW"))</f>
        <v/>
      </c>
      <c r="C505" s="846">
        <v>473</v>
      </c>
      <c r="D505" s="755" t="str" cm="1">
        <f t="array" ref="D505">IF(ISERROR(INDEX('Local Data Previous Year'!$D$3:$D$20000,SMALL(IF(CTR1_Billing!$E$21='Local Data Previous Year'!$A$3:$A$20000,ROW('Local Data Previous Year'!$A$3:$A$20000)-ROW('Local Data Previous Year'!$A$3)+1),ROW(473:473)))),"",INDEX('Local Data Previous Year'!$D$3:$D$20000,SMALL(IF(CTR1_Billing!$E$21='Local Data Previous Year'!$A$3:$A$20000,ROW('Local Data Previous Year'!$A$3:$A$20000)-ROW('Local Data Previous Year'!$A$3)+1),ROW(473:473))))</f>
        <v/>
      </c>
      <c r="E505" s="755" t="str" cm="1">
        <f t="array" ref="E505">IF(ISERROR(INDEX('Local Data Previous Year'!$E$3:$E$20000,SMALL(IF(CTR1_Billing!$E$21='Local Data Previous Year'!$A$3:$A$20000,ROW('Local Data Previous Year'!$A$3:$A$20000)-ROW('Local Data Previous Year'!$A$3)+1),ROW(473:473)))),"",INDEX('Local Data Previous Year'!$E$3:$E$20000,SMALL(IF(CTR1_Billing!$E$21='Local Data Previous Year'!$A$3:$A$20000,ROW('Local Data Previous Year'!$A$3:$A$20000)-ROW('Local Data Previous Year'!$A$3)+1),ROW(473:473))))</f>
        <v/>
      </c>
      <c r="F505" s="756" t="str">
        <f>IF($D505="","",IF(ISNA(MATCH($D505,'Local Data Previous Year'!$D$3:$D$20000,0)),"New",IFERROR(VLOOKUP($B505,'Local Data Previous Year'!$D$3:$I$20000,6,0),"")))</f>
        <v/>
      </c>
      <c r="G505" s="757">
        <f t="shared" si="99"/>
        <v>0</v>
      </c>
      <c r="H505" s="758" t="str">
        <f>IFERROR(INDEX('Local Data Previous Year'!$F:$F, MATCH($D505, 'Local Data Previous Year'!$D:$D, 0)), "")</f>
        <v/>
      </c>
      <c r="I505" s="759">
        <f>IF(B505=CTR1_Billing!$E$21&amp;"NEW",1,0)</f>
        <v>0</v>
      </c>
      <c r="J505" s="760" t="str">
        <f>IFERROR(INDEX('Local Data Previous Year'!$G:$G, MATCH($D505, 'Local Data Previous Year'!$D:$D, 0)), "")</f>
        <v/>
      </c>
      <c r="K505" s="762"/>
      <c r="L505" s="760" t="str">
        <f>IFERROR(INDEX('Local Data Previous Year'!$H:$H, MATCH($D505, 'Local Data Previous Year'!$D:$D, 0)), "")</f>
        <v/>
      </c>
      <c r="M505" s="762"/>
      <c r="N505" s="763"/>
      <c r="O505" s="767"/>
      <c r="P505" s="765"/>
      <c r="Q505" s="767"/>
      <c r="R505" s="766" t="str">
        <f t="shared" si="100"/>
        <v/>
      </c>
      <c r="S505" s="754"/>
      <c r="T505" s="763"/>
      <c r="U505" s="754"/>
      <c r="V505" s="763"/>
      <c r="W505" s="763"/>
      <c r="X505" s="865" t="str">
        <f>VLOOKUP(CTR1_Billing!$E$21,Data!$C$6:$D$302,1,FALSE)</f>
        <v>EZZZZ</v>
      </c>
      <c r="Y505" s="205"/>
      <c r="Z505" s="205">
        <f t="shared" si="89"/>
        <v>0</v>
      </c>
      <c r="AA505" s="206" t="str">
        <f t="shared" si="88"/>
        <v/>
      </c>
      <c r="AB505" s="205">
        <f t="shared" si="90"/>
        <v>0</v>
      </c>
      <c r="AC505" s="208"/>
      <c r="AD505" s="208"/>
      <c r="AE505" s="208"/>
      <c r="AF505" s="208"/>
      <c r="AG505" s="209" t="str">
        <f>IFERROR(INDEX('Local Data Previous Year'!$F:$F, MATCH($D505, 'Local Data Previous Year'!$D:$D, 0)), "")</f>
        <v/>
      </c>
      <c r="AH505" s="209" t="str">
        <f>IFERROR(INDEX('Local Data Previous Year'!$G:$G, MATCH($D505, 'Local Data Previous Year'!$D:$D, 0)), "")</f>
        <v/>
      </c>
      <c r="AI505" s="209" t="str">
        <f>IFERROR(INDEX('Local Data Previous Year'!$H:$H, MATCH($D505, 'Local Data Previous Year'!$D:$D, 0)), "")</f>
        <v/>
      </c>
      <c r="AJ505" s="209" t="str">
        <f t="shared" si="91"/>
        <v/>
      </c>
      <c r="AK505" s="209" t="str">
        <f t="shared" si="92"/>
        <v/>
      </c>
      <c r="AL505" s="209" t="str">
        <f t="shared" si="93"/>
        <v/>
      </c>
      <c r="AM505" s="208" t="str">
        <f>IF($AN505="","",IFERROR(VLOOKUP(CONCATENATE(CTR1_Billing!$E$20,$AN505),'Local Data Previous Year'!$C$3:$D$50000,2,0),CTR1_Billing!$E$21&amp;"NEW"))</f>
        <v/>
      </c>
      <c r="AN505" s="209" t="str" cm="1">
        <f t="array" ref="AN505">IF(ISERROR(INDEX('Local Data Previous Year'!$E$3:$E$50000, SMALL(IF(CTR1_Billing!$E$21='Local Data Previous Year'!$A$3:$A$50000, ROW('Local Data Previous Year'!$A$3:$A$50000)-ROW('Local Data Previous Year'!$A$3)+1), ROW(473:473)))), "", INDEX('Local Data Previous Year'!$E$3:$E$50000, SMALL(IF(CTR1_Billing!$E$21='Local Data Previous Year'!$A$3:$A$50000, ROW('Local Data Previous Year'!$A$3:$A$50000)-ROW('Local Data Previous Year'!$A$3)+1), ROW(473:473))))</f>
        <v/>
      </c>
      <c r="AO505" s="209" t="str">
        <f t="shared" si="94"/>
        <v/>
      </c>
      <c r="AP505" s="208"/>
      <c r="AQ505" s="209" t="str">
        <f t="shared" si="95"/>
        <v/>
      </c>
      <c r="AR505" s="209" t="str">
        <f t="shared" si="96"/>
        <v/>
      </c>
      <c r="AS505" s="202" t="str">
        <f t="shared" si="97"/>
        <v/>
      </c>
      <c r="AT505" s="202" t="str">
        <f t="shared" si="98"/>
        <v/>
      </c>
      <c r="AU505" s="208"/>
      <c r="AV505" s="208"/>
      <c r="AW505" s="208"/>
      <c r="AX505" s="208"/>
      <c r="AY505" s="208"/>
      <c r="AZ505" s="208"/>
      <c r="BA505" s="208"/>
      <c r="BB505" s="208"/>
      <c r="BC505" s="208"/>
      <c r="BD505" s="208"/>
      <c r="BE505" s="208"/>
      <c r="BF505" s="208"/>
      <c r="BG505" s="28"/>
      <c r="BH505" s="28"/>
      <c r="BI505" s="28"/>
      <c r="BJ505" s="28"/>
    </row>
    <row r="506" spans="1:62" s="23" customFormat="1" ht="21" customHeight="1" thickBot="1" x14ac:dyDescent="0.25">
      <c r="A506" s="846" t="str">
        <f>IF($AN506="","",IFERROR(VLOOKUP(CONCATENATE(CTR1_Billing!$E$20,$AN506),'Local Data Previous Year'!$C$3:$D$20000,2,0),CTR1_Billing!$E$21&amp;"NEW"))</f>
        <v/>
      </c>
      <c r="B506" s="846" t="str">
        <f>IF($E506="","",IFERROR(VLOOKUP(CONCATENATE(CTR1_Billing!$E$20,CTR1_Local!$E506),'Local Data Previous Year'!$C$3:$D$20000,2,0),CTR1_Billing!$E$21&amp;"NEW"))</f>
        <v/>
      </c>
      <c r="C506" s="846">
        <v>474</v>
      </c>
      <c r="D506" s="755" t="str" cm="1">
        <f t="array" ref="D506">IF(ISERROR(INDEX('Local Data Previous Year'!$D$3:$D$20000,SMALL(IF(CTR1_Billing!$E$21='Local Data Previous Year'!$A$3:$A$20000,ROW('Local Data Previous Year'!$A$3:$A$20000)-ROW('Local Data Previous Year'!$A$3)+1),ROW(474:474)))),"",INDEX('Local Data Previous Year'!$D$3:$D$20000,SMALL(IF(CTR1_Billing!$E$21='Local Data Previous Year'!$A$3:$A$20000,ROW('Local Data Previous Year'!$A$3:$A$20000)-ROW('Local Data Previous Year'!$A$3)+1),ROW(474:474))))</f>
        <v/>
      </c>
      <c r="E506" s="755" t="str" cm="1">
        <f t="array" ref="E506">IF(ISERROR(INDEX('Local Data Previous Year'!$E$3:$E$20000,SMALL(IF(CTR1_Billing!$E$21='Local Data Previous Year'!$A$3:$A$20000,ROW('Local Data Previous Year'!$A$3:$A$20000)-ROW('Local Data Previous Year'!$A$3)+1),ROW(474:474)))),"",INDEX('Local Data Previous Year'!$E$3:$E$20000,SMALL(IF(CTR1_Billing!$E$21='Local Data Previous Year'!$A$3:$A$20000,ROW('Local Data Previous Year'!$A$3:$A$20000)-ROW('Local Data Previous Year'!$A$3)+1),ROW(474:474))))</f>
        <v/>
      </c>
      <c r="F506" s="756" t="str">
        <f>IF($D506="","",IF(ISNA(MATCH($D506,'Local Data Previous Year'!$D$3:$D$20000,0)),"New",IFERROR(VLOOKUP($B506,'Local Data Previous Year'!$D$3:$I$20000,6,0),"")))</f>
        <v/>
      </c>
      <c r="G506" s="757">
        <f t="shared" si="99"/>
        <v>0</v>
      </c>
      <c r="H506" s="758" t="str">
        <f>IFERROR(INDEX('Local Data Previous Year'!$F:$F, MATCH($D506, 'Local Data Previous Year'!$D:$D, 0)), "")</f>
        <v/>
      </c>
      <c r="I506" s="759">
        <f>IF(B506=CTR1_Billing!$E$21&amp;"NEW",1,0)</f>
        <v>0</v>
      </c>
      <c r="J506" s="760" t="str">
        <f>IFERROR(INDEX('Local Data Previous Year'!$G:$G, MATCH($D506, 'Local Data Previous Year'!$D:$D, 0)), "")</f>
        <v/>
      </c>
      <c r="K506" s="762"/>
      <c r="L506" s="760" t="str">
        <f>IFERROR(INDEX('Local Data Previous Year'!$H:$H, MATCH($D506, 'Local Data Previous Year'!$D:$D, 0)), "")</f>
        <v/>
      </c>
      <c r="M506" s="762"/>
      <c r="N506" s="763"/>
      <c r="O506" s="767"/>
      <c r="P506" s="765"/>
      <c r="Q506" s="767"/>
      <c r="R506" s="766" t="str">
        <f t="shared" si="100"/>
        <v/>
      </c>
      <c r="S506" s="754"/>
      <c r="T506" s="763"/>
      <c r="U506" s="754"/>
      <c r="V506" s="763"/>
      <c r="W506" s="763"/>
      <c r="X506" s="865" t="str">
        <f>VLOOKUP(CTR1_Billing!$E$21,Data!$C$6:$D$302,1,FALSE)</f>
        <v>EZZZZ</v>
      </c>
      <c r="Y506" s="205"/>
      <c r="Z506" s="205">
        <f t="shared" si="89"/>
        <v>0</v>
      </c>
      <c r="AA506" s="206" t="str">
        <f t="shared" si="88"/>
        <v/>
      </c>
      <c r="AB506" s="205">
        <f t="shared" si="90"/>
        <v>0</v>
      </c>
      <c r="AC506" s="208"/>
      <c r="AD506" s="208"/>
      <c r="AE506" s="208"/>
      <c r="AF506" s="208"/>
      <c r="AG506" s="209" t="str">
        <f>IFERROR(INDEX('Local Data Previous Year'!$F:$F, MATCH($D506, 'Local Data Previous Year'!$D:$D, 0)), "")</f>
        <v/>
      </c>
      <c r="AH506" s="209" t="str">
        <f>IFERROR(INDEX('Local Data Previous Year'!$G:$G, MATCH($D506, 'Local Data Previous Year'!$D:$D, 0)), "")</f>
        <v/>
      </c>
      <c r="AI506" s="209" t="str">
        <f>IFERROR(INDEX('Local Data Previous Year'!$H:$H, MATCH($D506, 'Local Data Previous Year'!$D:$D, 0)), "")</f>
        <v/>
      </c>
      <c r="AJ506" s="209" t="str">
        <f t="shared" si="91"/>
        <v/>
      </c>
      <c r="AK506" s="209" t="str">
        <f t="shared" si="92"/>
        <v/>
      </c>
      <c r="AL506" s="209" t="str">
        <f t="shared" si="93"/>
        <v/>
      </c>
      <c r="AM506" s="208" t="str">
        <f>IF($AN506="","",IFERROR(VLOOKUP(CONCATENATE(CTR1_Billing!$E$20,$AN506),'Local Data Previous Year'!$C$3:$D$50000,2,0),CTR1_Billing!$E$21&amp;"NEW"))</f>
        <v/>
      </c>
      <c r="AN506" s="209" t="str" cm="1">
        <f t="array" ref="AN506">IF(ISERROR(INDEX('Local Data Previous Year'!$E$3:$E$50000, SMALL(IF(CTR1_Billing!$E$21='Local Data Previous Year'!$A$3:$A$50000, ROW('Local Data Previous Year'!$A$3:$A$50000)-ROW('Local Data Previous Year'!$A$3)+1), ROW(474:474)))), "", INDEX('Local Data Previous Year'!$E$3:$E$50000, SMALL(IF(CTR1_Billing!$E$21='Local Data Previous Year'!$A$3:$A$50000, ROW('Local Data Previous Year'!$A$3:$A$50000)-ROW('Local Data Previous Year'!$A$3)+1), ROW(474:474))))</f>
        <v/>
      </c>
      <c r="AO506" s="209" t="str">
        <f t="shared" si="94"/>
        <v/>
      </c>
      <c r="AP506" s="208"/>
      <c r="AQ506" s="209" t="str">
        <f t="shared" si="95"/>
        <v/>
      </c>
      <c r="AR506" s="209" t="str">
        <f t="shared" si="96"/>
        <v/>
      </c>
      <c r="AS506" s="202" t="str">
        <f t="shared" si="97"/>
        <v/>
      </c>
      <c r="AT506" s="202" t="str">
        <f t="shared" si="98"/>
        <v/>
      </c>
      <c r="AU506" s="208"/>
      <c r="AV506" s="208"/>
      <c r="AW506" s="208"/>
      <c r="AX506" s="208"/>
      <c r="AY506" s="208"/>
      <c r="AZ506" s="208"/>
      <c r="BA506" s="208"/>
      <c r="BB506" s="208"/>
      <c r="BC506" s="208"/>
      <c r="BD506" s="208"/>
      <c r="BE506" s="208"/>
      <c r="BF506" s="208"/>
      <c r="BG506" s="28"/>
      <c r="BH506" s="28"/>
      <c r="BI506" s="28"/>
      <c r="BJ506" s="28"/>
    </row>
    <row r="507" spans="1:62" s="23" customFormat="1" ht="21" customHeight="1" thickBot="1" x14ac:dyDescent="0.25">
      <c r="A507" s="846" t="str">
        <f>IF($AN507="","",IFERROR(VLOOKUP(CONCATENATE(CTR1_Billing!$E$20,$AN507),'Local Data Previous Year'!$C$3:$D$20000,2,0),CTR1_Billing!$E$21&amp;"NEW"))</f>
        <v/>
      </c>
      <c r="B507" s="846" t="str">
        <f>IF($E507="","",IFERROR(VLOOKUP(CONCATENATE(CTR1_Billing!$E$20,CTR1_Local!$E507),'Local Data Previous Year'!$C$3:$D$20000,2,0),CTR1_Billing!$E$21&amp;"NEW"))</f>
        <v/>
      </c>
      <c r="C507" s="846">
        <v>475</v>
      </c>
      <c r="D507" s="755" t="str" cm="1">
        <f t="array" ref="D507">IF(ISERROR(INDEX('Local Data Previous Year'!$D$3:$D$20000,SMALL(IF(CTR1_Billing!$E$21='Local Data Previous Year'!$A$3:$A$20000,ROW('Local Data Previous Year'!$A$3:$A$20000)-ROW('Local Data Previous Year'!$A$3)+1),ROW(475:475)))),"",INDEX('Local Data Previous Year'!$D$3:$D$20000,SMALL(IF(CTR1_Billing!$E$21='Local Data Previous Year'!$A$3:$A$20000,ROW('Local Data Previous Year'!$A$3:$A$20000)-ROW('Local Data Previous Year'!$A$3)+1),ROW(475:475))))</f>
        <v/>
      </c>
      <c r="E507" s="755" t="str" cm="1">
        <f t="array" ref="E507">IF(ISERROR(INDEX('Local Data Previous Year'!$E$3:$E$20000,SMALL(IF(CTR1_Billing!$E$21='Local Data Previous Year'!$A$3:$A$20000,ROW('Local Data Previous Year'!$A$3:$A$20000)-ROW('Local Data Previous Year'!$A$3)+1),ROW(475:475)))),"",INDEX('Local Data Previous Year'!$E$3:$E$20000,SMALL(IF(CTR1_Billing!$E$21='Local Data Previous Year'!$A$3:$A$20000,ROW('Local Data Previous Year'!$A$3:$A$20000)-ROW('Local Data Previous Year'!$A$3)+1),ROW(475:475))))</f>
        <v/>
      </c>
      <c r="F507" s="756" t="str">
        <f>IF($D507="","",IF(ISNA(MATCH($D507,'Local Data Previous Year'!$D$3:$D$20000,0)),"New",IFERROR(VLOOKUP($B507,'Local Data Previous Year'!$D$3:$I$20000,6,0),"")))</f>
        <v/>
      </c>
      <c r="G507" s="757">
        <f t="shared" si="99"/>
        <v>0</v>
      </c>
      <c r="H507" s="758" t="str">
        <f>IFERROR(INDEX('Local Data Previous Year'!$F:$F, MATCH($D507, 'Local Data Previous Year'!$D:$D, 0)), "")</f>
        <v/>
      </c>
      <c r="I507" s="759">
        <f>IF(B507=CTR1_Billing!$E$21&amp;"NEW",1,0)</f>
        <v>0</v>
      </c>
      <c r="J507" s="760" t="str">
        <f>IFERROR(INDEX('Local Data Previous Year'!$G:$G, MATCH($D507, 'Local Data Previous Year'!$D:$D, 0)), "")</f>
        <v/>
      </c>
      <c r="K507" s="762"/>
      <c r="L507" s="760" t="str">
        <f>IFERROR(INDEX('Local Data Previous Year'!$H:$H, MATCH($D507, 'Local Data Previous Year'!$D:$D, 0)), "")</f>
        <v/>
      </c>
      <c r="M507" s="762"/>
      <c r="N507" s="763"/>
      <c r="O507" s="767"/>
      <c r="P507" s="765"/>
      <c r="Q507" s="767"/>
      <c r="R507" s="766" t="str">
        <f t="shared" si="100"/>
        <v/>
      </c>
      <c r="S507" s="754"/>
      <c r="T507" s="763"/>
      <c r="U507" s="754"/>
      <c r="V507" s="763"/>
      <c r="W507" s="763"/>
      <c r="X507" s="865" t="str">
        <f>VLOOKUP(CTR1_Billing!$E$21,Data!$C$6:$D$302,1,FALSE)</f>
        <v>EZZZZ</v>
      </c>
      <c r="Y507" s="205"/>
      <c r="Z507" s="205">
        <f t="shared" si="89"/>
        <v>0</v>
      </c>
      <c r="AA507" s="206" t="str">
        <f t="shared" si="88"/>
        <v/>
      </c>
      <c r="AB507" s="205">
        <f t="shared" si="90"/>
        <v>0</v>
      </c>
      <c r="AC507" s="208"/>
      <c r="AD507" s="208"/>
      <c r="AE507" s="208"/>
      <c r="AF507" s="208"/>
      <c r="AG507" s="209" t="str">
        <f>IFERROR(INDEX('Local Data Previous Year'!$F:$F, MATCH($D507, 'Local Data Previous Year'!$D:$D, 0)), "")</f>
        <v/>
      </c>
      <c r="AH507" s="209" t="str">
        <f>IFERROR(INDEX('Local Data Previous Year'!$G:$G, MATCH($D507, 'Local Data Previous Year'!$D:$D, 0)), "")</f>
        <v/>
      </c>
      <c r="AI507" s="209" t="str">
        <f>IFERROR(INDEX('Local Data Previous Year'!$H:$H, MATCH($D507, 'Local Data Previous Year'!$D:$D, 0)), "")</f>
        <v/>
      </c>
      <c r="AJ507" s="209" t="str">
        <f t="shared" si="91"/>
        <v/>
      </c>
      <c r="AK507" s="209" t="str">
        <f t="shared" si="92"/>
        <v/>
      </c>
      <c r="AL507" s="209" t="str">
        <f t="shared" si="93"/>
        <v/>
      </c>
      <c r="AM507" s="208" t="str">
        <f>IF($AN507="","",IFERROR(VLOOKUP(CONCATENATE(CTR1_Billing!$E$20,$AN507),'Local Data Previous Year'!$C$3:$D$50000,2,0),CTR1_Billing!$E$21&amp;"NEW"))</f>
        <v/>
      </c>
      <c r="AN507" s="209" t="str" cm="1">
        <f t="array" ref="AN507">IF(ISERROR(INDEX('Local Data Previous Year'!$E$3:$E$50000, SMALL(IF(CTR1_Billing!$E$21='Local Data Previous Year'!$A$3:$A$50000, ROW('Local Data Previous Year'!$A$3:$A$50000)-ROW('Local Data Previous Year'!$A$3)+1), ROW(475:475)))), "", INDEX('Local Data Previous Year'!$E$3:$E$50000, SMALL(IF(CTR1_Billing!$E$21='Local Data Previous Year'!$A$3:$A$50000, ROW('Local Data Previous Year'!$A$3:$A$50000)-ROW('Local Data Previous Year'!$A$3)+1), ROW(475:475))))</f>
        <v/>
      </c>
      <c r="AO507" s="209" t="str">
        <f t="shared" si="94"/>
        <v/>
      </c>
      <c r="AP507" s="208"/>
      <c r="AQ507" s="209" t="str">
        <f t="shared" si="95"/>
        <v/>
      </c>
      <c r="AR507" s="209" t="str">
        <f t="shared" si="96"/>
        <v/>
      </c>
      <c r="AS507" s="202" t="str">
        <f t="shared" si="97"/>
        <v/>
      </c>
      <c r="AT507" s="202" t="str">
        <f t="shared" si="98"/>
        <v/>
      </c>
      <c r="AU507" s="208"/>
      <c r="AV507" s="208"/>
      <c r="AW507" s="208"/>
      <c r="AX507" s="208"/>
      <c r="AY507" s="208"/>
      <c r="AZ507" s="208"/>
      <c r="BA507" s="208"/>
      <c r="BB507" s="208"/>
      <c r="BC507" s="208"/>
      <c r="BD507" s="208"/>
      <c r="BE507" s="208"/>
      <c r="BF507" s="208"/>
      <c r="BG507" s="28"/>
      <c r="BH507" s="28"/>
      <c r="BI507" s="28"/>
      <c r="BJ507" s="28"/>
    </row>
    <row r="508" spans="1:62" s="23" customFormat="1" ht="21" customHeight="1" thickBot="1" x14ac:dyDescent="0.25">
      <c r="A508" s="846" t="str">
        <f>IF($AN508="","",IFERROR(VLOOKUP(CONCATENATE(CTR1_Billing!$E$20,$AN508),'Local Data Previous Year'!$C$3:$D$20000,2,0),CTR1_Billing!$E$21&amp;"NEW"))</f>
        <v/>
      </c>
      <c r="B508" s="846" t="str">
        <f>IF($E508="","",IFERROR(VLOOKUP(CONCATENATE(CTR1_Billing!$E$20,CTR1_Local!$E508),'Local Data Previous Year'!$C$3:$D$20000,2,0),CTR1_Billing!$E$21&amp;"NEW"))</f>
        <v/>
      </c>
      <c r="C508" s="846">
        <v>476</v>
      </c>
      <c r="D508" s="755" t="str" cm="1">
        <f t="array" ref="D508">IF(ISERROR(INDEX('Local Data Previous Year'!$D$3:$D$20000,SMALL(IF(CTR1_Billing!$E$21='Local Data Previous Year'!$A$3:$A$20000,ROW('Local Data Previous Year'!$A$3:$A$20000)-ROW('Local Data Previous Year'!$A$3)+1),ROW(476:476)))),"",INDEX('Local Data Previous Year'!$D$3:$D$20000,SMALL(IF(CTR1_Billing!$E$21='Local Data Previous Year'!$A$3:$A$20000,ROW('Local Data Previous Year'!$A$3:$A$20000)-ROW('Local Data Previous Year'!$A$3)+1),ROW(476:476))))</f>
        <v/>
      </c>
      <c r="E508" s="755" t="str" cm="1">
        <f t="array" ref="E508">IF(ISERROR(INDEX('Local Data Previous Year'!$E$3:$E$20000,SMALL(IF(CTR1_Billing!$E$21='Local Data Previous Year'!$A$3:$A$20000,ROW('Local Data Previous Year'!$A$3:$A$20000)-ROW('Local Data Previous Year'!$A$3)+1),ROW(476:476)))),"",INDEX('Local Data Previous Year'!$E$3:$E$20000,SMALL(IF(CTR1_Billing!$E$21='Local Data Previous Year'!$A$3:$A$20000,ROW('Local Data Previous Year'!$A$3:$A$20000)-ROW('Local Data Previous Year'!$A$3)+1),ROW(476:476))))</f>
        <v/>
      </c>
      <c r="F508" s="756" t="str">
        <f>IF($D508="","",IF(ISNA(MATCH($D508,'Local Data Previous Year'!$D$3:$D$20000,0)),"New",IFERROR(VLOOKUP($B508,'Local Data Previous Year'!$D$3:$I$20000,6,0),"")))</f>
        <v/>
      </c>
      <c r="G508" s="757">
        <f t="shared" si="99"/>
        <v>0</v>
      </c>
      <c r="H508" s="758" t="str">
        <f>IFERROR(INDEX('Local Data Previous Year'!$F:$F, MATCH($D508, 'Local Data Previous Year'!$D:$D, 0)), "")</f>
        <v/>
      </c>
      <c r="I508" s="759">
        <f>IF(B508=CTR1_Billing!$E$21&amp;"NEW",1,0)</f>
        <v>0</v>
      </c>
      <c r="J508" s="760" t="str">
        <f>IFERROR(INDEX('Local Data Previous Year'!$G:$G, MATCH($D508, 'Local Data Previous Year'!$D:$D, 0)), "")</f>
        <v/>
      </c>
      <c r="K508" s="762"/>
      <c r="L508" s="760" t="str">
        <f>IFERROR(INDEX('Local Data Previous Year'!$H:$H, MATCH($D508, 'Local Data Previous Year'!$D:$D, 0)), "")</f>
        <v/>
      </c>
      <c r="M508" s="762"/>
      <c r="N508" s="763"/>
      <c r="O508" s="767"/>
      <c r="P508" s="765"/>
      <c r="Q508" s="767"/>
      <c r="R508" s="766" t="str">
        <f t="shared" si="100"/>
        <v/>
      </c>
      <c r="S508" s="754"/>
      <c r="T508" s="763"/>
      <c r="U508" s="754"/>
      <c r="V508" s="763"/>
      <c r="W508" s="763"/>
      <c r="X508" s="865" t="str">
        <f>VLOOKUP(CTR1_Billing!$E$21,Data!$C$6:$D$302,1,FALSE)</f>
        <v>EZZZZ</v>
      </c>
      <c r="Y508" s="205"/>
      <c r="Z508" s="205">
        <f t="shared" si="89"/>
        <v>0</v>
      </c>
      <c r="AA508" s="206" t="str">
        <f t="shared" si="88"/>
        <v/>
      </c>
      <c r="AB508" s="205">
        <f t="shared" si="90"/>
        <v>0</v>
      </c>
      <c r="AC508" s="208"/>
      <c r="AD508" s="208"/>
      <c r="AE508" s="208"/>
      <c r="AF508" s="208"/>
      <c r="AG508" s="209" t="str">
        <f>IFERROR(INDEX('Local Data Previous Year'!$F:$F, MATCH($D508, 'Local Data Previous Year'!$D:$D, 0)), "")</f>
        <v/>
      </c>
      <c r="AH508" s="209" t="str">
        <f>IFERROR(INDEX('Local Data Previous Year'!$G:$G, MATCH($D508, 'Local Data Previous Year'!$D:$D, 0)), "")</f>
        <v/>
      </c>
      <c r="AI508" s="209" t="str">
        <f>IFERROR(INDEX('Local Data Previous Year'!$H:$H, MATCH($D508, 'Local Data Previous Year'!$D:$D, 0)), "")</f>
        <v/>
      </c>
      <c r="AJ508" s="209" t="str">
        <f t="shared" si="91"/>
        <v/>
      </c>
      <c r="AK508" s="209" t="str">
        <f t="shared" si="92"/>
        <v/>
      </c>
      <c r="AL508" s="209" t="str">
        <f t="shared" si="93"/>
        <v/>
      </c>
      <c r="AM508" s="208" t="str">
        <f>IF($AN508="","",IFERROR(VLOOKUP(CONCATENATE(CTR1_Billing!$E$20,$AN508),'Local Data Previous Year'!$C$3:$D$50000,2,0),CTR1_Billing!$E$21&amp;"NEW"))</f>
        <v/>
      </c>
      <c r="AN508" s="209" t="str" cm="1">
        <f t="array" ref="AN508">IF(ISERROR(INDEX('Local Data Previous Year'!$E$3:$E$50000, SMALL(IF(CTR1_Billing!$E$21='Local Data Previous Year'!$A$3:$A$50000, ROW('Local Data Previous Year'!$A$3:$A$50000)-ROW('Local Data Previous Year'!$A$3)+1), ROW(476:476)))), "", INDEX('Local Data Previous Year'!$E$3:$E$50000, SMALL(IF(CTR1_Billing!$E$21='Local Data Previous Year'!$A$3:$A$50000, ROW('Local Data Previous Year'!$A$3:$A$50000)-ROW('Local Data Previous Year'!$A$3)+1), ROW(476:476))))</f>
        <v/>
      </c>
      <c r="AO508" s="209" t="str">
        <f t="shared" si="94"/>
        <v/>
      </c>
      <c r="AP508" s="208"/>
      <c r="AQ508" s="209" t="str">
        <f t="shared" si="95"/>
        <v/>
      </c>
      <c r="AR508" s="209" t="str">
        <f t="shared" si="96"/>
        <v/>
      </c>
      <c r="AS508" s="202" t="str">
        <f t="shared" si="97"/>
        <v/>
      </c>
      <c r="AT508" s="202" t="str">
        <f t="shared" si="98"/>
        <v/>
      </c>
      <c r="AU508" s="208"/>
      <c r="AV508" s="208"/>
      <c r="AW508" s="208"/>
      <c r="AX508" s="208"/>
      <c r="AY508" s="208"/>
      <c r="AZ508" s="208"/>
      <c r="BA508" s="208"/>
      <c r="BB508" s="208"/>
      <c r="BC508" s="208"/>
      <c r="BD508" s="208"/>
      <c r="BE508" s="208"/>
      <c r="BF508" s="208"/>
      <c r="BG508" s="28"/>
      <c r="BH508" s="28"/>
      <c r="BI508" s="28"/>
      <c r="BJ508" s="28"/>
    </row>
    <row r="509" spans="1:62" s="23" customFormat="1" ht="21" customHeight="1" thickBot="1" x14ac:dyDescent="0.25">
      <c r="A509" s="846" t="str">
        <f>IF($AN509="","",IFERROR(VLOOKUP(CONCATENATE(CTR1_Billing!$E$20,$AN509),'Local Data Previous Year'!$C$3:$D$20000,2,0),CTR1_Billing!$E$21&amp;"NEW"))</f>
        <v/>
      </c>
      <c r="B509" s="846" t="str">
        <f>IF($E509="","",IFERROR(VLOOKUP(CONCATENATE(CTR1_Billing!$E$20,CTR1_Local!$E509),'Local Data Previous Year'!$C$3:$D$20000,2,0),CTR1_Billing!$E$21&amp;"NEW"))</f>
        <v/>
      </c>
      <c r="C509" s="846">
        <v>477</v>
      </c>
      <c r="D509" s="755" t="str" cm="1">
        <f t="array" ref="D509">IF(ISERROR(INDEX('Local Data Previous Year'!$D$3:$D$20000,SMALL(IF(CTR1_Billing!$E$21='Local Data Previous Year'!$A$3:$A$20000,ROW('Local Data Previous Year'!$A$3:$A$20000)-ROW('Local Data Previous Year'!$A$3)+1),ROW(477:477)))),"",INDEX('Local Data Previous Year'!$D$3:$D$20000,SMALL(IF(CTR1_Billing!$E$21='Local Data Previous Year'!$A$3:$A$20000,ROW('Local Data Previous Year'!$A$3:$A$20000)-ROW('Local Data Previous Year'!$A$3)+1),ROW(477:477))))</f>
        <v/>
      </c>
      <c r="E509" s="755" t="str" cm="1">
        <f t="array" ref="E509">IF(ISERROR(INDEX('Local Data Previous Year'!$E$3:$E$20000,SMALL(IF(CTR1_Billing!$E$21='Local Data Previous Year'!$A$3:$A$20000,ROW('Local Data Previous Year'!$A$3:$A$20000)-ROW('Local Data Previous Year'!$A$3)+1),ROW(477:477)))),"",INDEX('Local Data Previous Year'!$E$3:$E$20000,SMALL(IF(CTR1_Billing!$E$21='Local Data Previous Year'!$A$3:$A$20000,ROW('Local Data Previous Year'!$A$3:$A$20000)-ROW('Local Data Previous Year'!$A$3)+1),ROW(477:477))))</f>
        <v/>
      </c>
      <c r="F509" s="756" t="str">
        <f>IF($D509="","",IF(ISNA(MATCH($D509,'Local Data Previous Year'!$D$3:$D$20000,0)),"New",IFERROR(VLOOKUP($B509,'Local Data Previous Year'!$D$3:$I$20000,6,0),"")))</f>
        <v/>
      </c>
      <c r="G509" s="757">
        <f t="shared" si="99"/>
        <v>0</v>
      </c>
      <c r="H509" s="758" t="str">
        <f>IFERROR(INDEX('Local Data Previous Year'!$F:$F, MATCH($D509, 'Local Data Previous Year'!$D:$D, 0)), "")</f>
        <v/>
      </c>
      <c r="I509" s="759">
        <f>IF(B509=CTR1_Billing!$E$21&amp;"NEW",1,0)</f>
        <v>0</v>
      </c>
      <c r="J509" s="760" t="str">
        <f>IFERROR(INDEX('Local Data Previous Year'!$G:$G, MATCH($D509, 'Local Data Previous Year'!$D:$D, 0)), "")</f>
        <v/>
      </c>
      <c r="K509" s="762"/>
      <c r="L509" s="760" t="str">
        <f>IFERROR(INDEX('Local Data Previous Year'!$H:$H, MATCH($D509, 'Local Data Previous Year'!$D:$D, 0)), "")</f>
        <v/>
      </c>
      <c r="M509" s="762"/>
      <c r="N509" s="763"/>
      <c r="O509" s="767"/>
      <c r="P509" s="765"/>
      <c r="Q509" s="767"/>
      <c r="R509" s="766" t="str">
        <f t="shared" si="100"/>
        <v/>
      </c>
      <c r="S509" s="754"/>
      <c r="T509" s="763"/>
      <c r="U509" s="754"/>
      <c r="V509" s="763"/>
      <c r="W509" s="763"/>
      <c r="X509" s="865" t="str">
        <f>VLOOKUP(CTR1_Billing!$E$21,Data!$C$6:$D$302,1,FALSE)</f>
        <v>EZZZZ</v>
      </c>
      <c r="Y509" s="205"/>
      <c r="Z509" s="205">
        <f t="shared" si="89"/>
        <v>0</v>
      </c>
      <c r="AA509" s="206" t="str">
        <f t="shared" si="88"/>
        <v/>
      </c>
      <c r="AB509" s="205">
        <f t="shared" si="90"/>
        <v>0</v>
      </c>
      <c r="AC509" s="208"/>
      <c r="AD509" s="208"/>
      <c r="AE509" s="208"/>
      <c r="AF509" s="208"/>
      <c r="AG509" s="209" t="str">
        <f>IFERROR(INDEX('Local Data Previous Year'!$F:$F, MATCH($D509, 'Local Data Previous Year'!$D:$D, 0)), "")</f>
        <v/>
      </c>
      <c r="AH509" s="209" t="str">
        <f>IFERROR(INDEX('Local Data Previous Year'!$G:$G, MATCH($D509, 'Local Data Previous Year'!$D:$D, 0)), "")</f>
        <v/>
      </c>
      <c r="AI509" s="209" t="str">
        <f>IFERROR(INDEX('Local Data Previous Year'!$H:$H, MATCH($D509, 'Local Data Previous Year'!$D:$D, 0)), "")</f>
        <v/>
      </c>
      <c r="AJ509" s="209" t="str">
        <f t="shared" si="91"/>
        <v/>
      </c>
      <c r="AK509" s="209" t="str">
        <f t="shared" si="92"/>
        <v/>
      </c>
      <c r="AL509" s="209" t="str">
        <f t="shared" si="93"/>
        <v/>
      </c>
      <c r="AM509" s="208" t="str">
        <f>IF($AN509="","",IFERROR(VLOOKUP(CONCATENATE(CTR1_Billing!$E$20,$AN509),'Local Data Previous Year'!$C$3:$D$50000,2,0),CTR1_Billing!$E$21&amp;"NEW"))</f>
        <v/>
      </c>
      <c r="AN509" s="209" t="str" cm="1">
        <f t="array" ref="AN509">IF(ISERROR(INDEX('Local Data Previous Year'!$E$3:$E$50000, SMALL(IF(CTR1_Billing!$E$21='Local Data Previous Year'!$A$3:$A$50000, ROW('Local Data Previous Year'!$A$3:$A$50000)-ROW('Local Data Previous Year'!$A$3)+1), ROW(477:477)))), "", INDEX('Local Data Previous Year'!$E$3:$E$50000, SMALL(IF(CTR1_Billing!$E$21='Local Data Previous Year'!$A$3:$A$50000, ROW('Local Data Previous Year'!$A$3:$A$50000)-ROW('Local Data Previous Year'!$A$3)+1), ROW(477:477))))</f>
        <v/>
      </c>
      <c r="AO509" s="209" t="str">
        <f t="shared" si="94"/>
        <v/>
      </c>
      <c r="AP509" s="208"/>
      <c r="AQ509" s="209" t="str">
        <f t="shared" si="95"/>
        <v/>
      </c>
      <c r="AR509" s="209" t="str">
        <f t="shared" si="96"/>
        <v/>
      </c>
      <c r="AS509" s="202" t="str">
        <f t="shared" si="97"/>
        <v/>
      </c>
      <c r="AT509" s="202" t="str">
        <f t="shared" si="98"/>
        <v/>
      </c>
      <c r="AU509" s="208"/>
      <c r="AV509" s="208"/>
      <c r="AW509" s="208"/>
      <c r="AX509" s="208"/>
      <c r="AY509" s="208"/>
      <c r="AZ509" s="208"/>
      <c r="BA509" s="208"/>
      <c r="BB509" s="208"/>
      <c r="BC509" s="208"/>
      <c r="BD509" s="208"/>
      <c r="BE509" s="208"/>
      <c r="BF509" s="208"/>
      <c r="BG509" s="28"/>
      <c r="BH509" s="28"/>
      <c r="BI509" s="28"/>
      <c r="BJ509" s="28"/>
    </row>
    <row r="510" spans="1:62" s="23" customFormat="1" ht="21" customHeight="1" thickBot="1" x14ac:dyDescent="0.25">
      <c r="A510" s="846" t="str">
        <f>IF($AN510="","",IFERROR(VLOOKUP(CONCATENATE(CTR1_Billing!$E$20,$AN510),'Local Data Previous Year'!$C$3:$D$20000,2,0),CTR1_Billing!$E$21&amp;"NEW"))</f>
        <v/>
      </c>
      <c r="B510" s="846" t="str">
        <f>IF($E510="","",IFERROR(VLOOKUP(CONCATENATE(CTR1_Billing!$E$20,CTR1_Local!$E510),'Local Data Previous Year'!$C$3:$D$20000,2,0),CTR1_Billing!$E$21&amp;"NEW"))</f>
        <v/>
      </c>
      <c r="C510" s="846">
        <v>478</v>
      </c>
      <c r="D510" s="755" t="str" cm="1">
        <f t="array" ref="D510">IF(ISERROR(INDEX('Local Data Previous Year'!$D$3:$D$20000,SMALL(IF(CTR1_Billing!$E$21='Local Data Previous Year'!$A$3:$A$20000,ROW('Local Data Previous Year'!$A$3:$A$20000)-ROW('Local Data Previous Year'!$A$3)+1),ROW(478:478)))),"",INDEX('Local Data Previous Year'!$D$3:$D$20000,SMALL(IF(CTR1_Billing!$E$21='Local Data Previous Year'!$A$3:$A$20000,ROW('Local Data Previous Year'!$A$3:$A$20000)-ROW('Local Data Previous Year'!$A$3)+1),ROW(478:478))))</f>
        <v/>
      </c>
      <c r="E510" s="755" t="str" cm="1">
        <f t="array" ref="E510">IF(ISERROR(INDEX('Local Data Previous Year'!$E$3:$E$20000,SMALL(IF(CTR1_Billing!$E$21='Local Data Previous Year'!$A$3:$A$20000,ROW('Local Data Previous Year'!$A$3:$A$20000)-ROW('Local Data Previous Year'!$A$3)+1),ROW(478:478)))),"",INDEX('Local Data Previous Year'!$E$3:$E$20000,SMALL(IF(CTR1_Billing!$E$21='Local Data Previous Year'!$A$3:$A$20000,ROW('Local Data Previous Year'!$A$3:$A$20000)-ROW('Local Data Previous Year'!$A$3)+1),ROW(478:478))))</f>
        <v/>
      </c>
      <c r="F510" s="756" t="str">
        <f>IF($D510="","",IF(ISNA(MATCH($D510,'Local Data Previous Year'!$D$3:$D$20000,0)),"New",IFERROR(VLOOKUP($B510,'Local Data Previous Year'!$D$3:$I$20000,6,0),"")))</f>
        <v/>
      </c>
      <c r="G510" s="757">
        <f t="shared" si="99"/>
        <v>0</v>
      </c>
      <c r="H510" s="758" t="str">
        <f>IFERROR(INDEX('Local Data Previous Year'!$F:$F, MATCH($D510, 'Local Data Previous Year'!$D:$D, 0)), "")</f>
        <v/>
      </c>
      <c r="I510" s="759">
        <f>IF(B510=CTR1_Billing!$E$21&amp;"NEW",1,0)</f>
        <v>0</v>
      </c>
      <c r="J510" s="760" t="str">
        <f>IFERROR(INDEX('Local Data Previous Year'!$G:$G, MATCH($D510, 'Local Data Previous Year'!$D:$D, 0)), "")</f>
        <v/>
      </c>
      <c r="K510" s="762"/>
      <c r="L510" s="760" t="str">
        <f>IFERROR(INDEX('Local Data Previous Year'!$H:$H, MATCH($D510, 'Local Data Previous Year'!$D:$D, 0)), "")</f>
        <v/>
      </c>
      <c r="M510" s="762"/>
      <c r="N510" s="763"/>
      <c r="O510" s="767"/>
      <c r="P510" s="765"/>
      <c r="Q510" s="767"/>
      <c r="R510" s="766" t="str">
        <f t="shared" si="100"/>
        <v/>
      </c>
      <c r="S510" s="754"/>
      <c r="T510" s="763"/>
      <c r="U510" s="754"/>
      <c r="V510" s="763"/>
      <c r="W510" s="763"/>
      <c r="X510" s="865" t="str">
        <f>VLOOKUP(CTR1_Billing!$E$21,Data!$C$6:$D$302,1,FALSE)</f>
        <v>EZZZZ</v>
      </c>
      <c r="Y510" s="205"/>
      <c r="Z510" s="205">
        <f t="shared" si="89"/>
        <v>0</v>
      </c>
      <c r="AA510" s="206" t="str">
        <f t="shared" si="88"/>
        <v/>
      </c>
      <c r="AB510" s="205">
        <f t="shared" si="90"/>
        <v>0</v>
      </c>
      <c r="AC510" s="208"/>
      <c r="AD510" s="208"/>
      <c r="AE510" s="208"/>
      <c r="AF510" s="208"/>
      <c r="AG510" s="209" t="str">
        <f>IFERROR(INDEX('Local Data Previous Year'!$F:$F, MATCH($D510, 'Local Data Previous Year'!$D:$D, 0)), "")</f>
        <v/>
      </c>
      <c r="AH510" s="209" t="str">
        <f>IFERROR(INDEX('Local Data Previous Year'!$G:$G, MATCH($D510, 'Local Data Previous Year'!$D:$D, 0)), "")</f>
        <v/>
      </c>
      <c r="AI510" s="209" t="str">
        <f>IFERROR(INDEX('Local Data Previous Year'!$H:$H, MATCH($D510, 'Local Data Previous Year'!$D:$D, 0)), "")</f>
        <v/>
      </c>
      <c r="AJ510" s="209" t="str">
        <f t="shared" si="91"/>
        <v/>
      </c>
      <c r="AK510" s="209" t="str">
        <f t="shared" si="92"/>
        <v/>
      </c>
      <c r="AL510" s="209" t="str">
        <f t="shared" si="93"/>
        <v/>
      </c>
      <c r="AM510" s="208" t="str">
        <f>IF($AN510="","",IFERROR(VLOOKUP(CONCATENATE(CTR1_Billing!$E$20,$AN510),'Local Data Previous Year'!$C$3:$D$50000,2,0),CTR1_Billing!$E$21&amp;"NEW"))</f>
        <v/>
      </c>
      <c r="AN510" s="209" t="str" cm="1">
        <f t="array" ref="AN510">IF(ISERROR(INDEX('Local Data Previous Year'!$E$3:$E$50000, SMALL(IF(CTR1_Billing!$E$21='Local Data Previous Year'!$A$3:$A$50000, ROW('Local Data Previous Year'!$A$3:$A$50000)-ROW('Local Data Previous Year'!$A$3)+1), ROW(478:478)))), "", INDEX('Local Data Previous Year'!$E$3:$E$50000, SMALL(IF(CTR1_Billing!$E$21='Local Data Previous Year'!$A$3:$A$50000, ROW('Local Data Previous Year'!$A$3:$A$50000)-ROW('Local Data Previous Year'!$A$3)+1), ROW(478:478))))</f>
        <v/>
      </c>
      <c r="AO510" s="209" t="str">
        <f t="shared" si="94"/>
        <v/>
      </c>
      <c r="AP510" s="208"/>
      <c r="AQ510" s="209" t="str">
        <f t="shared" si="95"/>
        <v/>
      </c>
      <c r="AR510" s="209" t="str">
        <f t="shared" si="96"/>
        <v/>
      </c>
      <c r="AS510" s="202" t="str">
        <f t="shared" si="97"/>
        <v/>
      </c>
      <c r="AT510" s="202" t="str">
        <f t="shared" si="98"/>
        <v/>
      </c>
      <c r="AU510" s="208"/>
      <c r="AV510" s="208"/>
      <c r="AW510" s="208"/>
      <c r="AX510" s="208"/>
      <c r="AY510" s="208"/>
      <c r="AZ510" s="208"/>
      <c r="BA510" s="208"/>
      <c r="BB510" s="208"/>
      <c r="BC510" s="208"/>
      <c r="BD510" s="208"/>
      <c r="BE510" s="208"/>
      <c r="BF510" s="208"/>
      <c r="BG510" s="28"/>
      <c r="BH510" s="28"/>
      <c r="BI510" s="28"/>
      <c r="BJ510" s="28"/>
    </row>
    <row r="511" spans="1:62" s="23" customFormat="1" ht="21" customHeight="1" thickBot="1" x14ac:dyDescent="0.25">
      <c r="A511" s="846" t="str">
        <f>IF($AN511="","",IFERROR(VLOOKUP(CONCATENATE(CTR1_Billing!$E$20,$AN511),'Local Data Previous Year'!$C$3:$D$20000,2,0),CTR1_Billing!$E$21&amp;"NEW"))</f>
        <v/>
      </c>
      <c r="B511" s="846" t="str">
        <f>IF($E511="","",IFERROR(VLOOKUP(CONCATENATE(CTR1_Billing!$E$20,CTR1_Local!$E511),'Local Data Previous Year'!$C$3:$D$20000,2,0),CTR1_Billing!$E$21&amp;"NEW"))</f>
        <v/>
      </c>
      <c r="C511" s="846">
        <v>479</v>
      </c>
      <c r="D511" s="755" t="str" cm="1">
        <f t="array" ref="D511">IF(ISERROR(INDEX('Local Data Previous Year'!$D$3:$D$20000,SMALL(IF(CTR1_Billing!$E$21='Local Data Previous Year'!$A$3:$A$20000,ROW('Local Data Previous Year'!$A$3:$A$20000)-ROW('Local Data Previous Year'!$A$3)+1),ROW(479:479)))),"",INDEX('Local Data Previous Year'!$D$3:$D$20000,SMALL(IF(CTR1_Billing!$E$21='Local Data Previous Year'!$A$3:$A$20000,ROW('Local Data Previous Year'!$A$3:$A$20000)-ROW('Local Data Previous Year'!$A$3)+1),ROW(479:479))))</f>
        <v/>
      </c>
      <c r="E511" s="755" t="str" cm="1">
        <f t="array" ref="E511">IF(ISERROR(INDEX('Local Data Previous Year'!$E$3:$E$20000,SMALL(IF(CTR1_Billing!$E$21='Local Data Previous Year'!$A$3:$A$20000,ROW('Local Data Previous Year'!$A$3:$A$20000)-ROW('Local Data Previous Year'!$A$3)+1),ROW(479:479)))),"",INDEX('Local Data Previous Year'!$E$3:$E$20000,SMALL(IF(CTR1_Billing!$E$21='Local Data Previous Year'!$A$3:$A$20000,ROW('Local Data Previous Year'!$A$3:$A$20000)-ROW('Local Data Previous Year'!$A$3)+1),ROW(479:479))))</f>
        <v/>
      </c>
      <c r="F511" s="756" t="str">
        <f>IF($D511="","",IF(ISNA(MATCH($D511,'Local Data Previous Year'!$D$3:$D$20000,0)),"New",IFERROR(VLOOKUP($B511,'Local Data Previous Year'!$D$3:$I$20000,6,0),"")))</f>
        <v/>
      </c>
      <c r="G511" s="757">
        <f t="shared" si="99"/>
        <v>0</v>
      </c>
      <c r="H511" s="758" t="str">
        <f>IFERROR(INDEX('Local Data Previous Year'!$F:$F, MATCH($D511, 'Local Data Previous Year'!$D:$D, 0)), "")</f>
        <v/>
      </c>
      <c r="I511" s="759">
        <f>IF(B511=CTR1_Billing!$E$21&amp;"NEW",1,0)</f>
        <v>0</v>
      </c>
      <c r="J511" s="760" t="str">
        <f>IFERROR(INDEX('Local Data Previous Year'!$G:$G, MATCH($D511, 'Local Data Previous Year'!$D:$D, 0)), "")</f>
        <v/>
      </c>
      <c r="K511" s="762"/>
      <c r="L511" s="760" t="str">
        <f>IFERROR(INDEX('Local Data Previous Year'!$H:$H, MATCH($D511, 'Local Data Previous Year'!$D:$D, 0)), "")</f>
        <v/>
      </c>
      <c r="M511" s="762"/>
      <c r="N511" s="763"/>
      <c r="O511" s="767"/>
      <c r="P511" s="765"/>
      <c r="Q511" s="767"/>
      <c r="R511" s="766" t="str">
        <f t="shared" si="100"/>
        <v/>
      </c>
      <c r="S511" s="754"/>
      <c r="T511" s="763"/>
      <c r="U511" s="754"/>
      <c r="V511" s="763"/>
      <c r="W511" s="763"/>
      <c r="X511" s="865" t="str">
        <f>VLOOKUP(CTR1_Billing!$E$21,Data!$C$6:$D$302,1,FALSE)</f>
        <v>EZZZZ</v>
      </c>
      <c r="Y511" s="205"/>
      <c r="Z511" s="205">
        <f t="shared" si="89"/>
        <v>0</v>
      </c>
      <c r="AA511" s="206" t="str">
        <f t="shared" si="88"/>
        <v/>
      </c>
      <c r="AB511" s="205">
        <f t="shared" si="90"/>
        <v>0</v>
      </c>
      <c r="AC511" s="208"/>
      <c r="AD511" s="208"/>
      <c r="AE511" s="208"/>
      <c r="AF511" s="208"/>
      <c r="AG511" s="209" t="str">
        <f>IFERROR(INDEX('Local Data Previous Year'!$F:$F, MATCH($D511, 'Local Data Previous Year'!$D:$D, 0)), "")</f>
        <v/>
      </c>
      <c r="AH511" s="209" t="str">
        <f>IFERROR(INDEX('Local Data Previous Year'!$G:$G, MATCH($D511, 'Local Data Previous Year'!$D:$D, 0)), "")</f>
        <v/>
      </c>
      <c r="AI511" s="209" t="str">
        <f>IFERROR(INDEX('Local Data Previous Year'!$H:$H, MATCH($D511, 'Local Data Previous Year'!$D:$D, 0)), "")</f>
        <v/>
      </c>
      <c r="AJ511" s="209" t="str">
        <f t="shared" si="91"/>
        <v/>
      </c>
      <c r="AK511" s="209" t="str">
        <f t="shared" si="92"/>
        <v/>
      </c>
      <c r="AL511" s="209" t="str">
        <f t="shared" si="93"/>
        <v/>
      </c>
      <c r="AM511" s="208" t="str">
        <f>IF($AN511="","",IFERROR(VLOOKUP(CONCATENATE(CTR1_Billing!$E$20,$AN511),'Local Data Previous Year'!$C$3:$D$50000,2,0),CTR1_Billing!$E$21&amp;"NEW"))</f>
        <v/>
      </c>
      <c r="AN511" s="209" t="str" cm="1">
        <f t="array" ref="AN511">IF(ISERROR(INDEX('Local Data Previous Year'!$E$3:$E$50000, SMALL(IF(CTR1_Billing!$E$21='Local Data Previous Year'!$A$3:$A$50000, ROW('Local Data Previous Year'!$A$3:$A$50000)-ROW('Local Data Previous Year'!$A$3)+1), ROW(479:479)))), "", INDEX('Local Data Previous Year'!$E$3:$E$50000, SMALL(IF(CTR1_Billing!$E$21='Local Data Previous Year'!$A$3:$A$50000, ROW('Local Data Previous Year'!$A$3:$A$50000)-ROW('Local Data Previous Year'!$A$3)+1), ROW(479:479))))</f>
        <v/>
      </c>
      <c r="AO511" s="209" t="str">
        <f t="shared" si="94"/>
        <v/>
      </c>
      <c r="AP511" s="208"/>
      <c r="AQ511" s="209" t="str">
        <f t="shared" si="95"/>
        <v/>
      </c>
      <c r="AR511" s="209" t="str">
        <f t="shared" si="96"/>
        <v/>
      </c>
      <c r="AS511" s="202" t="str">
        <f t="shared" si="97"/>
        <v/>
      </c>
      <c r="AT511" s="202" t="str">
        <f t="shared" si="98"/>
        <v/>
      </c>
      <c r="AU511" s="208"/>
      <c r="AV511" s="208"/>
      <c r="AW511" s="208"/>
      <c r="AX511" s="208"/>
      <c r="AY511" s="208"/>
      <c r="AZ511" s="208"/>
      <c r="BA511" s="208"/>
      <c r="BB511" s="208"/>
      <c r="BC511" s="208"/>
      <c r="BD511" s="208"/>
      <c r="BE511" s="208"/>
      <c r="BF511" s="208"/>
      <c r="BG511" s="28"/>
      <c r="BH511" s="28"/>
      <c r="BI511" s="28"/>
      <c r="BJ511" s="28"/>
    </row>
    <row r="512" spans="1:62" s="23" customFormat="1" ht="21" customHeight="1" thickBot="1" x14ac:dyDescent="0.25">
      <c r="A512" s="846" t="str">
        <f>IF($AN512="","",IFERROR(VLOOKUP(CONCATENATE(CTR1_Billing!$E$20,$AN512),'Local Data Previous Year'!$C$3:$D$20000,2,0),CTR1_Billing!$E$21&amp;"NEW"))</f>
        <v/>
      </c>
      <c r="B512" s="846" t="str">
        <f>IF($E512="","",IFERROR(VLOOKUP(CONCATENATE(CTR1_Billing!$E$20,CTR1_Local!$E512),'Local Data Previous Year'!$C$3:$D$20000,2,0),CTR1_Billing!$E$21&amp;"NEW"))</f>
        <v/>
      </c>
      <c r="C512" s="846">
        <v>480</v>
      </c>
      <c r="D512" s="755" t="str" cm="1">
        <f t="array" ref="D512">IF(ISERROR(INDEX('Local Data Previous Year'!$D$3:$D$20000,SMALL(IF(CTR1_Billing!$E$21='Local Data Previous Year'!$A$3:$A$20000,ROW('Local Data Previous Year'!$A$3:$A$20000)-ROW('Local Data Previous Year'!$A$3)+1),ROW(480:480)))),"",INDEX('Local Data Previous Year'!$D$3:$D$20000,SMALL(IF(CTR1_Billing!$E$21='Local Data Previous Year'!$A$3:$A$20000,ROW('Local Data Previous Year'!$A$3:$A$20000)-ROW('Local Data Previous Year'!$A$3)+1),ROW(480:480))))</f>
        <v/>
      </c>
      <c r="E512" s="755" t="str" cm="1">
        <f t="array" ref="E512">IF(ISERROR(INDEX('Local Data Previous Year'!$E$3:$E$20000,SMALL(IF(CTR1_Billing!$E$21='Local Data Previous Year'!$A$3:$A$20000,ROW('Local Data Previous Year'!$A$3:$A$20000)-ROW('Local Data Previous Year'!$A$3)+1),ROW(480:480)))),"",INDEX('Local Data Previous Year'!$E$3:$E$20000,SMALL(IF(CTR1_Billing!$E$21='Local Data Previous Year'!$A$3:$A$20000,ROW('Local Data Previous Year'!$A$3:$A$20000)-ROW('Local Data Previous Year'!$A$3)+1),ROW(480:480))))</f>
        <v/>
      </c>
      <c r="F512" s="756" t="str">
        <f>IF($D512="","",IF(ISNA(MATCH($D512,'Local Data Previous Year'!$D$3:$D$20000,0)),"New",IFERROR(VLOOKUP($B512,'Local Data Previous Year'!$D$3:$I$20000,6,0),"")))</f>
        <v/>
      </c>
      <c r="G512" s="757">
        <f t="shared" si="99"/>
        <v>0</v>
      </c>
      <c r="H512" s="758" t="str">
        <f>IFERROR(INDEX('Local Data Previous Year'!$F:$F, MATCH($D512, 'Local Data Previous Year'!$D:$D, 0)), "")</f>
        <v/>
      </c>
      <c r="I512" s="759">
        <f>IF(B512=CTR1_Billing!$E$21&amp;"NEW",1,0)</f>
        <v>0</v>
      </c>
      <c r="J512" s="760" t="str">
        <f>IFERROR(INDEX('Local Data Previous Year'!$G:$G, MATCH($D512, 'Local Data Previous Year'!$D:$D, 0)), "")</f>
        <v/>
      </c>
      <c r="K512" s="762"/>
      <c r="L512" s="760" t="str">
        <f>IFERROR(INDEX('Local Data Previous Year'!$H:$H, MATCH($D512, 'Local Data Previous Year'!$D:$D, 0)), "")</f>
        <v/>
      </c>
      <c r="M512" s="762"/>
      <c r="N512" s="763"/>
      <c r="O512" s="767"/>
      <c r="P512" s="765"/>
      <c r="Q512" s="767"/>
      <c r="R512" s="766" t="str">
        <f t="shared" si="100"/>
        <v/>
      </c>
      <c r="S512" s="754"/>
      <c r="T512" s="763"/>
      <c r="U512" s="754"/>
      <c r="V512" s="763"/>
      <c r="W512" s="763"/>
      <c r="X512" s="865" t="str">
        <f>VLOOKUP(CTR1_Billing!$E$21,Data!$C$6:$D$302,1,FALSE)</f>
        <v>EZZZZ</v>
      </c>
      <c r="Y512" s="205"/>
      <c r="Z512" s="205">
        <f t="shared" si="89"/>
        <v>0</v>
      </c>
      <c r="AA512" s="206" t="str">
        <f t="shared" si="88"/>
        <v/>
      </c>
      <c r="AB512" s="205">
        <f t="shared" si="90"/>
        <v>0</v>
      </c>
      <c r="AC512" s="208"/>
      <c r="AD512" s="208"/>
      <c r="AE512" s="208"/>
      <c r="AF512" s="208"/>
      <c r="AG512" s="209" t="str">
        <f>IFERROR(INDEX('Local Data Previous Year'!$F:$F, MATCH($D512, 'Local Data Previous Year'!$D:$D, 0)), "")</f>
        <v/>
      </c>
      <c r="AH512" s="209" t="str">
        <f>IFERROR(INDEX('Local Data Previous Year'!$G:$G, MATCH($D512, 'Local Data Previous Year'!$D:$D, 0)), "")</f>
        <v/>
      </c>
      <c r="AI512" s="209" t="str">
        <f>IFERROR(INDEX('Local Data Previous Year'!$H:$H, MATCH($D512, 'Local Data Previous Year'!$D:$D, 0)), "")</f>
        <v/>
      </c>
      <c r="AJ512" s="209" t="str">
        <f t="shared" si="91"/>
        <v/>
      </c>
      <c r="AK512" s="209" t="str">
        <f t="shared" si="92"/>
        <v/>
      </c>
      <c r="AL512" s="209" t="str">
        <f t="shared" si="93"/>
        <v/>
      </c>
      <c r="AM512" s="208" t="str">
        <f>IF($AN512="","",IFERROR(VLOOKUP(CONCATENATE(CTR1_Billing!$E$20,$AN512),'Local Data Previous Year'!$C$3:$D$50000,2,0),CTR1_Billing!$E$21&amp;"NEW"))</f>
        <v/>
      </c>
      <c r="AN512" s="209" t="str" cm="1">
        <f t="array" ref="AN512">IF(ISERROR(INDEX('Local Data Previous Year'!$E$3:$E$50000, SMALL(IF(CTR1_Billing!$E$21='Local Data Previous Year'!$A$3:$A$50000, ROW('Local Data Previous Year'!$A$3:$A$50000)-ROW('Local Data Previous Year'!$A$3)+1), ROW(480:480)))), "", INDEX('Local Data Previous Year'!$E$3:$E$50000, SMALL(IF(CTR1_Billing!$E$21='Local Data Previous Year'!$A$3:$A$50000, ROW('Local Data Previous Year'!$A$3:$A$50000)-ROW('Local Data Previous Year'!$A$3)+1), ROW(480:480))))</f>
        <v/>
      </c>
      <c r="AO512" s="209" t="str">
        <f t="shared" si="94"/>
        <v/>
      </c>
      <c r="AP512" s="208"/>
      <c r="AQ512" s="209" t="str">
        <f t="shared" si="95"/>
        <v/>
      </c>
      <c r="AR512" s="209" t="str">
        <f t="shared" si="96"/>
        <v/>
      </c>
      <c r="AS512" s="202" t="str">
        <f t="shared" si="97"/>
        <v/>
      </c>
      <c r="AT512" s="202" t="str">
        <f t="shared" si="98"/>
        <v/>
      </c>
      <c r="AU512" s="208"/>
      <c r="AV512" s="208"/>
      <c r="AW512" s="208"/>
      <c r="AX512" s="208"/>
      <c r="AY512" s="208"/>
      <c r="AZ512" s="208"/>
      <c r="BA512" s="208"/>
      <c r="BB512" s="208"/>
      <c r="BC512" s="208"/>
      <c r="BD512" s="208"/>
      <c r="BE512" s="208"/>
      <c r="BF512" s="208"/>
      <c r="BG512" s="28"/>
      <c r="BH512" s="28"/>
      <c r="BI512" s="28"/>
      <c r="BJ512" s="28"/>
    </row>
    <row r="513" spans="1:62" s="23" customFormat="1" ht="21" customHeight="1" thickBot="1" x14ac:dyDescent="0.25">
      <c r="A513" s="846" t="str">
        <f>IF($AN513="","",IFERROR(VLOOKUP(CONCATENATE(CTR1_Billing!$E$20,$AN513),'Local Data Previous Year'!$C$3:$D$20000,2,0),CTR1_Billing!$E$21&amp;"NEW"))</f>
        <v/>
      </c>
      <c r="B513" s="846" t="str">
        <f>IF($E513="","",IFERROR(VLOOKUP(CONCATENATE(CTR1_Billing!$E$20,CTR1_Local!$E513),'Local Data Previous Year'!$C$3:$D$20000,2,0),CTR1_Billing!$E$21&amp;"NEW"))</f>
        <v/>
      </c>
      <c r="C513" s="846">
        <v>481</v>
      </c>
      <c r="D513" s="755" t="str" cm="1">
        <f t="array" ref="D513">IF(ISERROR(INDEX('Local Data Previous Year'!$D$3:$D$20000,SMALL(IF(CTR1_Billing!$E$21='Local Data Previous Year'!$A$3:$A$20000,ROW('Local Data Previous Year'!$A$3:$A$20000)-ROW('Local Data Previous Year'!$A$3)+1),ROW(481:481)))),"",INDEX('Local Data Previous Year'!$D$3:$D$20000,SMALL(IF(CTR1_Billing!$E$21='Local Data Previous Year'!$A$3:$A$20000,ROW('Local Data Previous Year'!$A$3:$A$20000)-ROW('Local Data Previous Year'!$A$3)+1),ROW(481:481))))</f>
        <v/>
      </c>
      <c r="E513" s="755" t="str" cm="1">
        <f t="array" ref="E513">IF(ISERROR(INDEX('Local Data Previous Year'!$E$3:$E$20000,SMALL(IF(CTR1_Billing!$E$21='Local Data Previous Year'!$A$3:$A$20000,ROW('Local Data Previous Year'!$A$3:$A$20000)-ROW('Local Data Previous Year'!$A$3)+1),ROW(481:481)))),"",INDEX('Local Data Previous Year'!$E$3:$E$20000,SMALL(IF(CTR1_Billing!$E$21='Local Data Previous Year'!$A$3:$A$20000,ROW('Local Data Previous Year'!$A$3:$A$20000)-ROW('Local Data Previous Year'!$A$3)+1),ROW(481:481))))</f>
        <v/>
      </c>
      <c r="F513" s="756" t="str">
        <f>IF($D513="","",IF(ISNA(MATCH($D513,'Local Data Previous Year'!$D$3:$D$20000,0)),"New",IFERROR(VLOOKUP($B513,'Local Data Previous Year'!$D$3:$I$20000,6,0),"")))</f>
        <v/>
      </c>
      <c r="G513" s="757">
        <f t="shared" si="99"/>
        <v>0</v>
      </c>
      <c r="H513" s="758" t="str">
        <f>IFERROR(INDEX('Local Data Previous Year'!$F:$F, MATCH($D513, 'Local Data Previous Year'!$D:$D, 0)), "")</f>
        <v/>
      </c>
      <c r="I513" s="759">
        <f>IF(B513=CTR1_Billing!$E$21&amp;"NEW",1,0)</f>
        <v>0</v>
      </c>
      <c r="J513" s="760" t="str">
        <f>IFERROR(INDEX('Local Data Previous Year'!$G:$G, MATCH($D513, 'Local Data Previous Year'!$D:$D, 0)), "")</f>
        <v/>
      </c>
      <c r="K513" s="762"/>
      <c r="L513" s="760" t="str">
        <f>IFERROR(INDEX('Local Data Previous Year'!$H:$H, MATCH($D513, 'Local Data Previous Year'!$D:$D, 0)), "")</f>
        <v/>
      </c>
      <c r="M513" s="762"/>
      <c r="N513" s="763"/>
      <c r="O513" s="767"/>
      <c r="P513" s="765"/>
      <c r="Q513" s="767"/>
      <c r="R513" s="766" t="str">
        <f t="shared" si="100"/>
        <v/>
      </c>
      <c r="S513" s="754"/>
      <c r="T513" s="763"/>
      <c r="U513" s="754"/>
      <c r="V513" s="763"/>
      <c r="W513" s="763"/>
      <c r="X513" s="865" t="str">
        <f>VLOOKUP(CTR1_Billing!$E$21,Data!$C$6:$D$302,1,FALSE)</f>
        <v>EZZZZ</v>
      </c>
      <c r="Y513" s="205"/>
      <c r="Z513" s="205">
        <f t="shared" si="89"/>
        <v>0</v>
      </c>
      <c r="AA513" s="206" t="str">
        <f t="shared" si="88"/>
        <v/>
      </c>
      <c r="AB513" s="205">
        <f t="shared" si="90"/>
        <v>0</v>
      </c>
      <c r="AC513" s="208"/>
      <c r="AD513" s="208"/>
      <c r="AE513" s="208"/>
      <c r="AF513" s="208"/>
      <c r="AG513" s="209" t="str">
        <f>IFERROR(INDEX('Local Data Previous Year'!$F:$F, MATCH($D513, 'Local Data Previous Year'!$D:$D, 0)), "")</f>
        <v/>
      </c>
      <c r="AH513" s="209" t="str">
        <f>IFERROR(INDEX('Local Data Previous Year'!$G:$G, MATCH($D513, 'Local Data Previous Year'!$D:$D, 0)), "")</f>
        <v/>
      </c>
      <c r="AI513" s="209" t="str">
        <f>IFERROR(INDEX('Local Data Previous Year'!$H:$H, MATCH($D513, 'Local Data Previous Year'!$D:$D, 0)), "")</f>
        <v/>
      </c>
      <c r="AJ513" s="209" t="str">
        <f t="shared" si="91"/>
        <v/>
      </c>
      <c r="AK513" s="209" t="str">
        <f t="shared" si="92"/>
        <v/>
      </c>
      <c r="AL513" s="209" t="str">
        <f t="shared" si="93"/>
        <v/>
      </c>
      <c r="AM513" s="208" t="str">
        <f>IF($AN513="","",IFERROR(VLOOKUP(CONCATENATE(CTR1_Billing!$E$20,$AN513),'Local Data Previous Year'!$C$3:$D$50000,2,0),CTR1_Billing!$E$21&amp;"NEW"))</f>
        <v/>
      </c>
      <c r="AN513" s="209" t="str" cm="1">
        <f t="array" ref="AN513">IF(ISERROR(INDEX('Local Data Previous Year'!$E$3:$E$50000, SMALL(IF(CTR1_Billing!$E$21='Local Data Previous Year'!$A$3:$A$50000, ROW('Local Data Previous Year'!$A$3:$A$50000)-ROW('Local Data Previous Year'!$A$3)+1), ROW(481:481)))), "", INDEX('Local Data Previous Year'!$E$3:$E$50000, SMALL(IF(CTR1_Billing!$E$21='Local Data Previous Year'!$A$3:$A$50000, ROW('Local Data Previous Year'!$A$3:$A$50000)-ROW('Local Data Previous Year'!$A$3)+1), ROW(481:481))))</f>
        <v/>
      </c>
      <c r="AO513" s="209" t="str">
        <f t="shared" si="94"/>
        <v/>
      </c>
      <c r="AP513" s="208"/>
      <c r="AQ513" s="209" t="str">
        <f t="shared" si="95"/>
        <v/>
      </c>
      <c r="AR513" s="209" t="str">
        <f t="shared" si="96"/>
        <v/>
      </c>
      <c r="AS513" s="202" t="str">
        <f t="shared" si="97"/>
        <v/>
      </c>
      <c r="AT513" s="202" t="str">
        <f t="shared" si="98"/>
        <v/>
      </c>
      <c r="AU513" s="208"/>
      <c r="AV513" s="208"/>
      <c r="AW513" s="208"/>
      <c r="AX513" s="208"/>
      <c r="AY513" s="208"/>
      <c r="AZ513" s="208"/>
      <c r="BA513" s="208"/>
      <c r="BB513" s="208"/>
      <c r="BC513" s="208"/>
      <c r="BD513" s="208"/>
      <c r="BE513" s="208"/>
      <c r="BF513" s="208"/>
      <c r="BG513" s="28"/>
      <c r="BH513" s="28"/>
      <c r="BI513" s="28"/>
      <c r="BJ513" s="28"/>
    </row>
    <row r="514" spans="1:62" s="23" customFormat="1" ht="21" customHeight="1" thickBot="1" x14ac:dyDescent="0.25">
      <c r="A514" s="846" t="str">
        <f>IF($AN514="","",IFERROR(VLOOKUP(CONCATENATE(CTR1_Billing!$E$20,$AN514),'Local Data Previous Year'!$C$3:$D$20000,2,0),CTR1_Billing!$E$21&amp;"NEW"))</f>
        <v/>
      </c>
      <c r="B514" s="846" t="str">
        <f>IF($E514="","",IFERROR(VLOOKUP(CONCATENATE(CTR1_Billing!$E$20,CTR1_Local!$E514),'Local Data Previous Year'!$C$3:$D$20000,2,0),CTR1_Billing!$E$21&amp;"NEW"))</f>
        <v/>
      </c>
      <c r="C514" s="846">
        <v>482</v>
      </c>
      <c r="D514" s="755" t="str" cm="1">
        <f t="array" ref="D514">IF(ISERROR(INDEX('Local Data Previous Year'!$D$3:$D$20000,SMALL(IF(CTR1_Billing!$E$21='Local Data Previous Year'!$A$3:$A$20000,ROW('Local Data Previous Year'!$A$3:$A$20000)-ROW('Local Data Previous Year'!$A$3)+1),ROW(482:482)))),"",INDEX('Local Data Previous Year'!$D$3:$D$20000,SMALL(IF(CTR1_Billing!$E$21='Local Data Previous Year'!$A$3:$A$20000,ROW('Local Data Previous Year'!$A$3:$A$20000)-ROW('Local Data Previous Year'!$A$3)+1),ROW(482:482))))</f>
        <v/>
      </c>
      <c r="E514" s="755" t="str" cm="1">
        <f t="array" ref="E514">IF(ISERROR(INDEX('Local Data Previous Year'!$E$3:$E$20000,SMALL(IF(CTR1_Billing!$E$21='Local Data Previous Year'!$A$3:$A$20000,ROW('Local Data Previous Year'!$A$3:$A$20000)-ROW('Local Data Previous Year'!$A$3)+1),ROW(482:482)))),"",INDEX('Local Data Previous Year'!$E$3:$E$20000,SMALL(IF(CTR1_Billing!$E$21='Local Data Previous Year'!$A$3:$A$20000,ROW('Local Data Previous Year'!$A$3:$A$20000)-ROW('Local Data Previous Year'!$A$3)+1),ROW(482:482))))</f>
        <v/>
      </c>
      <c r="F514" s="756" t="str">
        <f>IF($D514="","",IF(ISNA(MATCH($D514,'Local Data Previous Year'!$D$3:$D$20000,0)),"New",IFERROR(VLOOKUP($B514,'Local Data Previous Year'!$D$3:$I$20000,6,0),"")))</f>
        <v/>
      </c>
      <c r="G514" s="757">
        <f t="shared" si="99"/>
        <v>0</v>
      </c>
      <c r="H514" s="758" t="str">
        <f>IFERROR(INDEX('Local Data Previous Year'!$F:$F, MATCH($D514, 'Local Data Previous Year'!$D:$D, 0)), "")</f>
        <v/>
      </c>
      <c r="I514" s="759">
        <f>IF(B514=CTR1_Billing!$E$21&amp;"NEW",1,0)</f>
        <v>0</v>
      </c>
      <c r="J514" s="760" t="str">
        <f>IFERROR(INDEX('Local Data Previous Year'!$G:$G, MATCH($D514, 'Local Data Previous Year'!$D:$D, 0)), "")</f>
        <v/>
      </c>
      <c r="K514" s="762"/>
      <c r="L514" s="760" t="str">
        <f>IFERROR(INDEX('Local Data Previous Year'!$H:$H, MATCH($D514, 'Local Data Previous Year'!$D:$D, 0)), "")</f>
        <v/>
      </c>
      <c r="M514" s="762"/>
      <c r="N514" s="763"/>
      <c r="O514" s="767"/>
      <c r="P514" s="765"/>
      <c r="Q514" s="767"/>
      <c r="R514" s="766" t="str">
        <f t="shared" si="100"/>
        <v/>
      </c>
      <c r="S514" s="754"/>
      <c r="T514" s="763"/>
      <c r="U514" s="754"/>
      <c r="V514" s="763"/>
      <c r="W514" s="763"/>
      <c r="X514" s="865" t="str">
        <f>VLOOKUP(CTR1_Billing!$E$21,Data!$C$6:$D$302,1,FALSE)</f>
        <v>EZZZZ</v>
      </c>
      <c r="Y514" s="205"/>
      <c r="Z514" s="205">
        <f t="shared" si="89"/>
        <v>0</v>
      </c>
      <c r="AA514" s="206" t="str">
        <f t="shared" si="88"/>
        <v/>
      </c>
      <c r="AB514" s="205">
        <f t="shared" si="90"/>
        <v>0</v>
      </c>
      <c r="AC514" s="208"/>
      <c r="AD514" s="208"/>
      <c r="AE514" s="208"/>
      <c r="AF514" s="208"/>
      <c r="AG514" s="209" t="str">
        <f>IFERROR(INDEX('Local Data Previous Year'!$F:$F, MATCH($D514, 'Local Data Previous Year'!$D:$D, 0)), "")</f>
        <v/>
      </c>
      <c r="AH514" s="209" t="str">
        <f>IFERROR(INDEX('Local Data Previous Year'!$G:$G, MATCH($D514, 'Local Data Previous Year'!$D:$D, 0)), "")</f>
        <v/>
      </c>
      <c r="AI514" s="209" t="str">
        <f>IFERROR(INDEX('Local Data Previous Year'!$H:$H, MATCH($D514, 'Local Data Previous Year'!$D:$D, 0)), "")</f>
        <v/>
      </c>
      <c r="AJ514" s="209" t="str">
        <f t="shared" si="91"/>
        <v/>
      </c>
      <c r="AK514" s="209" t="str">
        <f t="shared" si="92"/>
        <v/>
      </c>
      <c r="AL514" s="209" t="str">
        <f t="shared" si="93"/>
        <v/>
      </c>
      <c r="AM514" s="208" t="str">
        <f>IF($AN514="","",IFERROR(VLOOKUP(CONCATENATE(CTR1_Billing!$E$20,$AN514),'Local Data Previous Year'!$C$3:$D$50000,2,0),CTR1_Billing!$E$21&amp;"NEW"))</f>
        <v/>
      </c>
      <c r="AN514" s="209" t="str" cm="1">
        <f t="array" ref="AN514">IF(ISERROR(INDEX('Local Data Previous Year'!$E$3:$E$50000, SMALL(IF(CTR1_Billing!$E$21='Local Data Previous Year'!$A$3:$A$50000, ROW('Local Data Previous Year'!$A$3:$A$50000)-ROW('Local Data Previous Year'!$A$3)+1), ROW(482:482)))), "", INDEX('Local Data Previous Year'!$E$3:$E$50000, SMALL(IF(CTR1_Billing!$E$21='Local Data Previous Year'!$A$3:$A$50000, ROW('Local Data Previous Year'!$A$3:$A$50000)-ROW('Local Data Previous Year'!$A$3)+1), ROW(482:482))))</f>
        <v/>
      </c>
      <c r="AO514" s="209" t="str">
        <f t="shared" si="94"/>
        <v/>
      </c>
      <c r="AP514" s="208"/>
      <c r="AQ514" s="209" t="str">
        <f t="shared" si="95"/>
        <v/>
      </c>
      <c r="AR514" s="209" t="str">
        <f t="shared" si="96"/>
        <v/>
      </c>
      <c r="AS514" s="202" t="str">
        <f t="shared" si="97"/>
        <v/>
      </c>
      <c r="AT514" s="202" t="str">
        <f t="shared" si="98"/>
        <v/>
      </c>
      <c r="AU514" s="208"/>
      <c r="AV514" s="208"/>
      <c r="AW514" s="208"/>
      <c r="AX514" s="208"/>
      <c r="AY514" s="208"/>
      <c r="AZ514" s="208"/>
      <c r="BA514" s="208"/>
      <c r="BB514" s="208"/>
      <c r="BC514" s="208"/>
      <c r="BD514" s="208"/>
      <c r="BE514" s="208"/>
      <c r="BF514" s="208"/>
      <c r="BG514" s="28"/>
      <c r="BH514" s="28"/>
      <c r="BI514" s="28"/>
      <c r="BJ514" s="28"/>
    </row>
    <row r="515" spans="1:62" s="23" customFormat="1" ht="21" customHeight="1" thickBot="1" x14ac:dyDescent="0.25">
      <c r="A515" s="846" t="str">
        <f>IF($AN515="","",IFERROR(VLOOKUP(CONCATENATE(CTR1_Billing!$E$20,$AN515),'Local Data Previous Year'!$C$3:$D$20000,2,0),CTR1_Billing!$E$21&amp;"NEW"))</f>
        <v/>
      </c>
      <c r="B515" s="846" t="str">
        <f>IF($E515="","",IFERROR(VLOOKUP(CONCATENATE(CTR1_Billing!$E$20,CTR1_Local!$E515),'Local Data Previous Year'!$C$3:$D$20000,2,0),CTR1_Billing!$E$21&amp;"NEW"))</f>
        <v/>
      </c>
      <c r="C515" s="846">
        <v>483</v>
      </c>
      <c r="D515" s="755" t="str" cm="1">
        <f t="array" ref="D515">IF(ISERROR(INDEX('Local Data Previous Year'!$D$3:$D$20000,SMALL(IF(CTR1_Billing!$E$21='Local Data Previous Year'!$A$3:$A$20000,ROW('Local Data Previous Year'!$A$3:$A$20000)-ROW('Local Data Previous Year'!$A$3)+1),ROW(483:483)))),"",INDEX('Local Data Previous Year'!$D$3:$D$20000,SMALL(IF(CTR1_Billing!$E$21='Local Data Previous Year'!$A$3:$A$20000,ROW('Local Data Previous Year'!$A$3:$A$20000)-ROW('Local Data Previous Year'!$A$3)+1),ROW(483:483))))</f>
        <v/>
      </c>
      <c r="E515" s="755" t="str" cm="1">
        <f t="array" ref="E515">IF(ISERROR(INDEX('Local Data Previous Year'!$E$3:$E$20000,SMALL(IF(CTR1_Billing!$E$21='Local Data Previous Year'!$A$3:$A$20000,ROW('Local Data Previous Year'!$A$3:$A$20000)-ROW('Local Data Previous Year'!$A$3)+1),ROW(483:483)))),"",INDEX('Local Data Previous Year'!$E$3:$E$20000,SMALL(IF(CTR1_Billing!$E$21='Local Data Previous Year'!$A$3:$A$20000,ROW('Local Data Previous Year'!$A$3:$A$20000)-ROW('Local Data Previous Year'!$A$3)+1),ROW(483:483))))</f>
        <v/>
      </c>
      <c r="F515" s="756" t="str">
        <f>IF($D515="","",IF(ISNA(MATCH($D515,'Local Data Previous Year'!$D$3:$D$20000,0)),"New",IFERROR(VLOOKUP($B515,'Local Data Previous Year'!$D$3:$I$20000,6,0),"")))</f>
        <v/>
      </c>
      <c r="G515" s="757">
        <f t="shared" si="99"/>
        <v>0</v>
      </c>
      <c r="H515" s="758" t="str">
        <f>IFERROR(INDEX('Local Data Previous Year'!$F:$F, MATCH($D515, 'Local Data Previous Year'!$D:$D, 0)), "")</f>
        <v/>
      </c>
      <c r="I515" s="759">
        <f>IF(B515=CTR1_Billing!$E$21&amp;"NEW",1,0)</f>
        <v>0</v>
      </c>
      <c r="J515" s="760" t="str">
        <f>IFERROR(INDEX('Local Data Previous Year'!$G:$G, MATCH($D515, 'Local Data Previous Year'!$D:$D, 0)), "")</f>
        <v/>
      </c>
      <c r="K515" s="762"/>
      <c r="L515" s="760" t="str">
        <f>IFERROR(INDEX('Local Data Previous Year'!$H:$H, MATCH($D515, 'Local Data Previous Year'!$D:$D, 0)), "")</f>
        <v/>
      </c>
      <c r="M515" s="762"/>
      <c r="N515" s="763"/>
      <c r="O515" s="767"/>
      <c r="P515" s="765"/>
      <c r="Q515" s="767"/>
      <c r="R515" s="766" t="str">
        <f t="shared" si="100"/>
        <v/>
      </c>
      <c r="S515" s="754"/>
      <c r="T515" s="763"/>
      <c r="U515" s="754"/>
      <c r="V515" s="763"/>
      <c r="W515" s="763"/>
      <c r="X515" s="865" t="str">
        <f>VLOOKUP(CTR1_Billing!$E$21,Data!$C$6:$D$302,1,FALSE)</f>
        <v>EZZZZ</v>
      </c>
      <c r="Y515" s="205"/>
      <c r="Z515" s="205">
        <f t="shared" si="89"/>
        <v>0</v>
      </c>
      <c r="AA515" s="206" t="str">
        <f t="shared" si="88"/>
        <v/>
      </c>
      <c r="AB515" s="205">
        <f t="shared" si="90"/>
        <v>0</v>
      </c>
      <c r="AC515" s="208"/>
      <c r="AD515" s="208"/>
      <c r="AE515" s="208"/>
      <c r="AF515" s="208"/>
      <c r="AG515" s="209" t="str">
        <f>IFERROR(INDEX('Local Data Previous Year'!$F:$F, MATCH($D515, 'Local Data Previous Year'!$D:$D, 0)), "")</f>
        <v/>
      </c>
      <c r="AH515" s="209" t="str">
        <f>IFERROR(INDEX('Local Data Previous Year'!$G:$G, MATCH($D515, 'Local Data Previous Year'!$D:$D, 0)), "")</f>
        <v/>
      </c>
      <c r="AI515" s="209" t="str">
        <f>IFERROR(INDEX('Local Data Previous Year'!$H:$H, MATCH($D515, 'Local Data Previous Year'!$D:$D, 0)), "")</f>
        <v/>
      </c>
      <c r="AJ515" s="209" t="str">
        <f t="shared" si="91"/>
        <v/>
      </c>
      <c r="AK515" s="209" t="str">
        <f t="shared" si="92"/>
        <v/>
      </c>
      <c r="AL515" s="209" t="str">
        <f t="shared" si="93"/>
        <v/>
      </c>
      <c r="AM515" s="208" t="str">
        <f>IF($AN515="","",IFERROR(VLOOKUP(CONCATENATE(CTR1_Billing!$E$20,$AN515),'Local Data Previous Year'!$C$3:$D$50000,2,0),CTR1_Billing!$E$21&amp;"NEW"))</f>
        <v/>
      </c>
      <c r="AN515" s="209" t="str" cm="1">
        <f t="array" ref="AN515">IF(ISERROR(INDEX('Local Data Previous Year'!$E$3:$E$50000, SMALL(IF(CTR1_Billing!$E$21='Local Data Previous Year'!$A$3:$A$50000, ROW('Local Data Previous Year'!$A$3:$A$50000)-ROW('Local Data Previous Year'!$A$3)+1), ROW(483:483)))), "", INDEX('Local Data Previous Year'!$E$3:$E$50000, SMALL(IF(CTR1_Billing!$E$21='Local Data Previous Year'!$A$3:$A$50000, ROW('Local Data Previous Year'!$A$3:$A$50000)-ROW('Local Data Previous Year'!$A$3)+1), ROW(483:483))))</f>
        <v/>
      </c>
      <c r="AO515" s="209" t="str">
        <f t="shared" si="94"/>
        <v/>
      </c>
      <c r="AP515" s="208"/>
      <c r="AQ515" s="209" t="str">
        <f t="shared" si="95"/>
        <v/>
      </c>
      <c r="AR515" s="209" t="str">
        <f t="shared" si="96"/>
        <v/>
      </c>
      <c r="AS515" s="202" t="str">
        <f t="shared" si="97"/>
        <v/>
      </c>
      <c r="AT515" s="202" t="str">
        <f t="shared" si="98"/>
        <v/>
      </c>
      <c r="AU515" s="208"/>
      <c r="AV515" s="208"/>
      <c r="AW515" s="208"/>
      <c r="AX515" s="208"/>
      <c r="AY515" s="208"/>
      <c r="AZ515" s="208"/>
      <c r="BA515" s="208"/>
      <c r="BB515" s="208"/>
      <c r="BC515" s="208"/>
      <c r="BD515" s="208"/>
      <c r="BE515" s="208"/>
      <c r="BF515" s="208"/>
      <c r="BG515" s="28"/>
      <c r="BH515" s="28"/>
      <c r="BI515" s="28"/>
      <c r="BJ515" s="28"/>
    </row>
    <row r="516" spans="1:62" s="23" customFormat="1" ht="21" customHeight="1" thickBot="1" x14ac:dyDescent="0.25">
      <c r="A516" s="846" t="str">
        <f>IF($AN516="","",IFERROR(VLOOKUP(CONCATENATE(CTR1_Billing!$E$20,$AN516),'Local Data Previous Year'!$C$3:$D$20000,2,0),CTR1_Billing!$E$21&amp;"NEW"))</f>
        <v/>
      </c>
      <c r="B516" s="846" t="str">
        <f>IF($E516="","",IFERROR(VLOOKUP(CONCATENATE(CTR1_Billing!$E$20,CTR1_Local!$E516),'Local Data Previous Year'!$C$3:$D$20000,2,0),CTR1_Billing!$E$21&amp;"NEW"))</f>
        <v/>
      </c>
      <c r="C516" s="846">
        <v>484</v>
      </c>
      <c r="D516" s="755" t="str" cm="1">
        <f t="array" ref="D516">IF(ISERROR(INDEX('Local Data Previous Year'!$D$3:$D$20000,SMALL(IF(CTR1_Billing!$E$21='Local Data Previous Year'!$A$3:$A$20000,ROW('Local Data Previous Year'!$A$3:$A$20000)-ROW('Local Data Previous Year'!$A$3)+1),ROW(484:484)))),"",INDEX('Local Data Previous Year'!$D$3:$D$20000,SMALL(IF(CTR1_Billing!$E$21='Local Data Previous Year'!$A$3:$A$20000,ROW('Local Data Previous Year'!$A$3:$A$20000)-ROW('Local Data Previous Year'!$A$3)+1),ROW(484:484))))</f>
        <v/>
      </c>
      <c r="E516" s="755" t="str" cm="1">
        <f t="array" ref="E516">IF(ISERROR(INDEX('Local Data Previous Year'!$E$3:$E$20000,SMALL(IF(CTR1_Billing!$E$21='Local Data Previous Year'!$A$3:$A$20000,ROW('Local Data Previous Year'!$A$3:$A$20000)-ROW('Local Data Previous Year'!$A$3)+1),ROW(484:484)))),"",INDEX('Local Data Previous Year'!$E$3:$E$20000,SMALL(IF(CTR1_Billing!$E$21='Local Data Previous Year'!$A$3:$A$20000,ROW('Local Data Previous Year'!$A$3:$A$20000)-ROW('Local Data Previous Year'!$A$3)+1),ROW(484:484))))</f>
        <v/>
      </c>
      <c r="F516" s="756" t="str">
        <f>IF($D516="","",IF(ISNA(MATCH($D516,'Local Data Previous Year'!$D$3:$D$20000,0)),"New",IFERROR(VLOOKUP($B516,'Local Data Previous Year'!$D$3:$I$20000,6,0),"")))</f>
        <v/>
      </c>
      <c r="G516" s="757">
        <f t="shared" si="99"/>
        <v>0</v>
      </c>
      <c r="H516" s="758" t="str">
        <f>IFERROR(INDEX('Local Data Previous Year'!$F:$F, MATCH($D516, 'Local Data Previous Year'!$D:$D, 0)), "")</f>
        <v/>
      </c>
      <c r="I516" s="759">
        <f>IF(B516=CTR1_Billing!$E$21&amp;"NEW",1,0)</f>
        <v>0</v>
      </c>
      <c r="J516" s="760" t="str">
        <f>IFERROR(INDEX('Local Data Previous Year'!$G:$G, MATCH($D516, 'Local Data Previous Year'!$D:$D, 0)), "")</f>
        <v/>
      </c>
      <c r="K516" s="762"/>
      <c r="L516" s="760" t="str">
        <f>IFERROR(INDEX('Local Data Previous Year'!$H:$H, MATCH($D516, 'Local Data Previous Year'!$D:$D, 0)), "")</f>
        <v/>
      </c>
      <c r="M516" s="762"/>
      <c r="N516" s="763"/>
      <c r="O516" s="767"/>
      <c r="P516" s="765"/>
      <c r="Q516" s="767"/>
      <c r="R516" s="766" t="str">
        <f t="shared" si="100"/>
        <v/>
      </c>
      <c r="S516" s="754"/>
      <c r="T516" s="763"/>
      <c r="U516" s="754"/>
      <c r="V516" s="763"/>
      <c r="W516" s="763"/>
      <c r="X516" s="865" t="str">
        <f>VLOOKUP(CTR1_Billing!$E$21,Data!$C$6:$D$302,1,FALSE)</f>
        <v>EZZZZ</v>
      </c>
      <c r="Y516" s="205"/>
      <c r="Z516" s="205">
        <f t="shared" si="89"/>
        <v>0</v>
      </c>
      <c r="AA516" s="206" t="str">
        <f t="shared" si="88"/>
        <v/>
      </c>
      <c r="AB516" s="205">
        <f t="shared" si="90"/>
        <v>0</v>
      </c>
      <c r="AC516" s="208"/>
      <c r="AD516" s="208"/>
      <c r="AE516" s="208"/>
      <c r="AF516" s="208"/>
      <c r="AG516" s="209" t="str">
        <f>IFERROR(INDEX('Local Data Previous Year'!$F:$F, MATCH($D516, 'Local Data Previous Year'!$D:$D, 0)), "")</f>
        <v/>
      </c>
      <c r="AH516" s="209" t="str">
        <f>IFERROR(INDEX('Local Data Previous Year'!$G:$G, MATCH($D516, 'Local Data Previous Year'!$D:$D, 0)), "")</f>
        <v/>
      </c>
      <c r="AI516" s="209" t="str">
        <f>IFERROR(INDEX('Local Data Previous Year'!$H:$H, MATCH($D516, 'Local Data Previous Year'!$D:$D, 0)), "")</f>
        <v/>
      </c>
      <c r="AJ516" s="209" t="str">
        <f t="shared" si="91"/>
        <v/>
      </c>
      <c r="AK516" s="209" t="str">
        <f t="shared" si="92"/>
        <v/>
      </c>
      <c r="AL516" s="209" t="str">
        <f t="shared" si="93"/>
        <v/>
      </c>
      <c r="AM516" s="208" t="str">
        <f>IF($AN516="","",IFERROR(VLOOKUP(CONCATENATE(CTR1_Billing!$E$20,$AN516),'Local Data Previous Year'!$C$3:$D$50000,2,0),CTR1_Billing!$E$21&amp;"NEW"))</f>
        <v/>
      </c>
      <c r="AN516" s="209" t="str" cm="1">
        <f t="array" ref="AN516">IF(ISERROR(INDEX('Local Data Previous Year'!$E$3:$E$50000, SMALL(IF(CTR1_Billing!$E$21='Local Data Previous Year'!$A$3:$A$50000, ROW('Local Data Previous Year'!$A$3:$A$50000)-ROW('Local Data Previous Year'!$A$3)+1), ROW(484:484)))), "", INDEX('Local Data Previous Year'!$E$3:$E$50000, SMALL(IF(CTR1_Billing!$E$21='Local Data Previous Year'!$A$3:$A$50000, ROW('Local Data Previous Year'!$A$3:$A$50000)-ROW('Local Data Previous Year'!$A$3)+1), ROW(484:484))))</f>
        <v/>
      </c>
      <c r="AO516" s="209" t="str">
        <f t="shared" si="94"/>
        <v/>
      </c>
      <c r="AP516" s="208"/>
      <c r="AQ516" s="209" t="str">
        <f t="shared" si="95"/>
        <v/>
      </c>
      <c r="AR516" s="209" t="str">
        <f t="shared" si="96"/>
        <v/>
      </c>
      <c r="AS516" s="202" t="str">
        <f t="shared" si="97"/>
        <v/>
      </c>
      <c r="AT516" s="202" t="str">
        <f t="shared" si="98"/>
        <v/>
      </c>
      <c r="AU516" s="208"/>
      <c r="AV516" s="208"/>
      <c r="AW516" s="208"/>
      <c r="AX516" s="208"/>
      <c r="AY516" s="208"/>
      <c r="AZ516" s="208"/>
      <c r="BA516" s="208"/>
      <c r="BB516" s="208"/>
      <c r="BC516" s="208"/>
      <c r="BD516" s="208"/>
      <c r="BE516" s="208"/>
      <c r="BF516" s="208"/>
      <c r="BG516" s="28"/>
      <c r="BH516" s="28"/>
      <c r="BI516" s="28"/>
      <c r="BJ516" s="28"/>
    </row>
    <row r="517" spans="1:62" s="23" customFormat="1" ht="21" customHeight="1" thickBot="1" x14ac:dyDescent="0.25">
      <c r="A517" s="846" t="str">
        <f>IF($AN517="","",IFERROR(VLOOKUP(CONCATENATE(CTR1_Billing!$E$20,$AN517),'Local Data Previous Year'!$C$3:$D$20000,2,0),CTR1_Billing!$E$21&amp;"NEW"))</f>
        <v/>
      </c>
      <c r="B517" s="846" t="str">
        <f>IF($E517="","",IFERROR(VLOOKUP(CONCATENATE(CTR1_Billing!$E$20,CTR1_Local!$E517),'Local Data Previous Year'!$C$3:$D$20000,2,0),CTR1_Billing!$E$21&amp;"NEW"))</f>
        <v/>
      </c>
      <c r="C517" s="846">
        <v>485</v>
      </c>
      <c r="D517" s="755" t="str" cm="1">
        <f t="array" ref="D517">IF(ISERROR(INDEX('Local Data Previous Year'!$D$3:$D$20000,SMALL(IF(CTR1_Billing!$E$21='Local Data Previous Year'!$A$3:$A$20000,ROW('Local Data Previous Year'!$A$3:$A$20000)-ROW('Local Data Previous Year'!$A$3)+1),ROW(485:485)))),"",INDEX('Local Data Previous Year'!$D$3:$D$20000,SMALL(IF(CTR1_Billing!$E$21='Local Data Previous Year'!$A$3:$A$20000,ROW('Local Data Previous Year'!$A$3:$A$20000)-ROW('Local Data Previous Year'!$A$3)+1),ROW(485:485))))</f>
        <v/>
      </c>
      <c r="E517" s="755" t="str" cm="1">
        <f t="array" ref="E517">IF(ISERROR(INDEX('Local Data Previous Year'!$E$3:$E$20000,SMALL(IF(CTR1_Billing!$E$21='Local Data Previous Year'!$A$3:$A$20000,ROW('Local Data Previous Year'!$A$3:$A$20000)-ROW('Local Data Previous Year'!$A$3)+1),ROW(485:485)))),"",INDEX('Local Data Previous Year'!$E$3:$E$20000,SMALL(IF(CTR1_Billing!$E$21='Local Data Previous Year'!$A$3:$A$20000,ROW('Local Data Previous Year'!$A$3:$A$20000)-ROW('Local Data Previous Year'!$A$3)+1),ROW(485:485))))</f>
        <v/>
      </c>
      <c r="F517" s="756" t="str">
        <f>IF($D517="","",IF(ISNA(MATCH($D517,'Local Data Previous Year'!$D$3:$D$20000,0)),"New",IFERROR(VLOOKUP($B517,'Local Data Previous Year'!$D$3:$I$20000,6,0),"")))</f>
        <v/>
      </c>
      <c r="G517" s="757">
        <f t="shared" si="99"/>
        <v>0</v>
      </c>
      <c r="H517" s="758" t="str">
        <f>IFERROR(INDEX('Local Data Previous Year'!$F:$F, MATCH($D517, 'Local Data Previous Year'!$D:$D, 0)), "")</f>
        <v/>
      </c>
      <c r="I517" s="759">
        <f>IF(B517=CTR1_Billing!$E$21&amp;"NEW",1,0)</f>
        <v>0</v>
      </c>
      <c r="J517" s="760" t="str">
        <f>IFERROR(INDEX('Local Data Previous Year'!$G:$G, MATCH($D517, 'Local Data Previous Year'!$D:$D, 0)), "")</f>
        <v/>
      </c>
      <c r="K517" s="762"/>
      <c r="L517" s="760" t="str">
        <f>IFERROR(INDEX('Local Data Previous Year'!$H:$H, MATCH($D517, 'Local Data Previous Year'!$D:$D, 0)), "")</f>
        <v/>
      </c>
      <c r="M517" s="762"/>
      <c r="N517" s="763"/>
      <c r="O517" s="767"/>
      <c r="P517" s="765"/>
      <c r="Q517" s="767"/>
      <c r="R517" s="766" t="str">
        <f t="shared" si="100"/>
        <v/>
      </c>
      <c r="S517" s="754"/>
      <c r="T517" s="763"/>
      <c r="U517" s="754"/>
      <c r="V517" s="763"/>
      <c r="W517" s="763"/>
      <c r="X517" s="865" t="str">
        <f>VLOOKUP(CTR1_Billing!$E$21,Data!$C$6:$D$302,1,FALSE)</f>
        <v>EZZZZ</v>
      </c>
      <c r="Y517" s="205"/>
      <c r="Z517" s="205">
        <f t="shared" si="89"/>
        <v>0</v>
      </c>
      <c r="AA517" s="206" t="str">
        <f t="shared" si="88"/>
        <v/>
      </c>
      <c r="AB517" s="205">
        <f t="shared" si="90"/>
        <v>0</v>
      </c>
      <c r="AC517" s="208"/>
      <c r="AD517" s="208"/>
      <c r="AE517" s="208"/>
      <c r="AF517" s="208"/>
      <c r="AG517" s="209" t="str">
        <f>IFERROR(INDEX('Local Data Previous Year'!$F:$F, MATCH($D517, 'Local Data Previous Year'!$D:$D, 0)), "")</f>
        <v/>
      </c>
      <c r="AH517" s="209" t="str">
        <f>IFERROR(INDEX('Local Data Previous Year'!$G:$G, MATCH($D517, 'Local Data Previous Year'!$D:$D, 0)), "")</f>
        <v/>
      </c>
      <c r="AI517" s="209" t="str">
        <f>IFERROR(INDEX('Local Data Previous Year'!$H:$H, MATCH($D517, 'Local Data Previous Year'!$D:$D, 0)), "")</f>
        <v/>
      </c>
      <c r="AJ517" s="209" t="str">
        <f t="shared" si="91"/>
        <v/>
      </c>
      <c r="AK517" s="209" t="str">
        <f t="shared" si="92"/>
        <v/>
      </c>
      <c r="AL517" s="209" t="str">
        <f t="shared" si="93"/>
        <v/>
      </c>
      <c r="AM517" s="208" t="str">
        <f>IF($AN517="","",IFERROR(VLOOKUP(CONCATENATE(CTR1_Billing!$E$20,$AN517),'Local Data Previous Year'!$C$3:$D$50000,2,0),CTR1_Billing!$E$21&amp;"NEW"))</f>
        <v/>
      </c>
      <c r="AN517" s="209" t="str" cm="1">
        <f t="array" ref="AN517">IF(ISERROR(INDEX('Local Data Previous Year'!$E$3:$E$50000, SMALL(IF(CTR1_Billing!$E$21='Local Data Previous Year'!$A$3:$A$50000, ROW('Local Data Previous Year'!$A$3:$A$50000)-ROW('Local Data Previous Year'!$A$3)+1), ROW(485:485)))), "", INDEX('Local Data Previous Year'!$E$3:$E$50000, SMALL(IF(CTR1_Billing!$E$21='Local Data Previous Year'!$A$3:$A$50000, ROW('Local Data Previous Year'!$A$3:$A$50000)-ROW('Local Data Previous Year'!$A$3)+1), ROW(485:485))))</f>
        <v/>
      </c>
      <c r="AO517" s="209" t="str">
        <f t="shared" si="94"/>
        <v/>
      </c>
      <c r="AP517" s="208"/>
      <c r="AQ517" s="209" t="str">
        <f t="shared" si="95"/>
        <v/>
      </c>
      <c r="AR517" s="209" t="str">
        <f t="shared" si="96"/>
        <v/>
      </c>
      <c r="AS517" s="202" t="str">
        <f t="shared" si="97"/>
        <v/>
      </c>
      <c r="AT517" s="202" t="str">
        <f t="shared" si="98"/>
        <v/>
      </c>
      <c r="AU517" s="208"/>
      <c r="AV517" s="208"/>
      <c r="AW517" s="208"/>
      <c r="AX517" s="208"/>
      <c r="AY517" s="208"/>
      <c r="AZ517" s="208"/>
      <c r="BA517" s="208"/>
      <c r="BB517" s="208"/>
      <c r="BC517" s="208"/>
      <c r="BD517" s="208"/>
      <c r="BE517" s="208"/>
      <c r="BF517" s="208"/>
      <c r="BG517" s="28"/>
      <c r="BH517" s="28"/>
      <c r="BI517" s="28"/>
      <c r="BJ517" s="28"/>
    </row>
    <row r="518" spans="1:62" s="23" customFormat="1" ht="21" customHeight="1" thickBot="1" x14ac:dyDescent="0.25">
      <c r="A518" s="846" t="str">
        <f>IF($AN518="","",IFERROR(VLOOKUP(CONCATENATE(CTR1_Billing!$E$20,$AN518),'Local Data Previous Year'!$C$3:$D$20000,2,0),CTR1_Billing!$E$21&amp;"NEW"))</f>
        <v/>
      </c>
      <c r="B518" s="846" t="str">
        <f>IF($E518="","",IFERROR(VLOOKUP(CONCATENATE(CTR1_Billing!$E$20,CTR1_Local!$E518),'Local Data Previous Year'!$C$3:$D$20000,2,0),CTR1_Billing!$E$21&amp;"NEW"))</f>
        <v/>
      </c>
      <c r="C518" s="846">
        <v>486</v>
      </c>
      <c r="D518" s="755" t="str" cm="1">
        <f t="array" ref="D518">IF(ISERROR(INDEX('Local Data Previous Year'!$D$3:$D$20000,SMALL(IF(CTR1_Billing!$E$21='Local Data Previous Year'!$A$3:$A$20000,ROW('Local Data Previous Year'!$A$3:$A$20000)-ROW('Local Data Previous Year'!$A$3)+1),ROW(486:486)))),"",INDEX('Local Data Previous Year'!$D$3:$D$20000,SMALL(IF(CTR1_Billing!$E$21='Local Data Previous Year'!$A$3:$A$20000,ROW('Local Data Previous Year'!$A$3:$A$20000)-ROW('Local Data Previous Year'!$A$3)+1),ROW(486:486))))</f>
        <v/>
      </c>
      <c r="E518" s="755" t="str" cm="1">
        <f t="array" ref="E518">IF(ISERROR(INDEX('Local Data Previous Year'!$E$3:$E$20000,SMALL(IF(CTR1_Billing!$E$21='Local Data Previous Year'!$A$3:$A$20000,ROW('Local Data Previous Year'!$A$3:$A$20000)-ROW('Local Data Previous Year'!$A$3)+1),ROW(486:486)))),"",INDEX('Local Data Previous Year'!$E$3:$E$20000,SMALL(IF(CTR1_Billing!$E$21='Local Data Previous Year'!$A$3:$A$20000,ROW('Local Data Previous Year'!$A$3:$A$20000)-ROW('Local Data Previous Year'!$A$3)+1),ROW(486:486))))</f>
        <v/>
      </c>
      <c r="F518" s="756" t="str">
        <f>IF($D518="","",IF(ISNA(MATCH($D518,'Local Data Previous Year'!$D$3:$D$20000,0)),"New",IFERROR(VLOOKUP($B518,'Local Data Previous Year'!$D$3:$I$20000,6,0),"")))</f>
        <v/>
      </c>
      <c r="G518" s="757">
        <f t="shared" si="99"/>
        <v>0</v>
      </c>
      <c r="H518" s="758" t="str">
        <f>IFERROR(INDEX('Local Data Previous Year'!$F:$F, MATCH($D518, 'Local Data Previous Year'!$D:$D, 0)), "")</f>
        <v/>
      </c>
      <c r="I518" s="759">
        <f>IF(B518=CTR1_Billing!$E$21&amp;"NEW",1,0)</f>
        <v>0</v>
      </c>
      <c r="J518" s="760" t="str">
        <f>IFERROR(INDEX('Local Data Previous Year'!$G:$G, MATCH($D518, 'Local Data Previous Year'!$D:$D, 0)), "")</f>
        <v/>
      </c>
      <c r="K518" s="762"/>
      <c r="L518" s="760" t="str">
        <f>IFERROR(INDEX('Local Data Previous Year'!$H:$H, MATCH($D518, 'Local Data Previous Year'!$D:$D, 0)), "")</f>
        <v/>
      </c>
      <c r="M518" s="762"/>
      <c r="N518" s="763"/>
      <c r="O518" s="767"/>
      <c r="P518" s="765"/>
      <c r="Q518" s="767"/>
      <c r="R518" s="766" t="str">
        <f t="shared" si="100"/>
        <v/>
      </c>
      <c r="S518" s="754"/>
      <c r="T518" s="763"/>
      <c r="U518" s="754"/>
      <c r="V518" s="763"/>
      <c r="W518" s="763"/>
      <c r="X518" s="865" t="str">
        <f>VLOOKUP(CTR1_Billing!$E$21,Data!$C$6:$D$302,1,FALSE)</f>
        <v>EZZZZ</v>
      </c>
      <c r="Y518" s="205"/>
      <c r="Z518" s="205">
        <f t="shared" si="89"/>
        <v>0</v>
      </c>
      <c r="AA518" s="206" t="str">
        <f t="shared" si="88"/>
        <v/>
      </c>
      <c r="AB518" s="205">
        <f t="shared" si="90"/>
        <v>0</v>
      </c>
      <c r="AC518" s="208"/>
      <c r="AD518" s="208"/>
      <c r="AE518" s="208"/>
      <c r="AF518" s="208"/>
      <c r="AG518" s="209" t="str">
        <f>IFERROR(INDEX('Local Data Previous Year'!$F:$F, MATCH($D518, 'Local Data Previous Year'!$D:$D, 0)), "")</f>
        <v/>
      </c>
      <c r="AH518" s="209" t="str">
        <f>IFERROR(INDEX('Local Data Previous Year'!$G:$G, MATCH($D518, 'Local Data Previous Year'!$D:$D, 0)), "")</f>
        <v/>
      </c>
      <c r="AI518" s="209" t="str">
        <f>IFERROR(INDEX('Local Data Previous Year'!$H:$H, MATCH($D518, 'Local Data Previous Year'!$D:$D, 0)), "")</f>
        <v/>
      </c>
      <c r="AJ518" s="209" t="str">
        <f t="shared" si="91"/>
        <v/>
      </c>
      <c r="AK518" s="209" t="str">
        <f t="shared" si="92"/>
        <v/>
      </c>
      <c r="AL518" s="209" t="str">
        <f t="shared" si="93"/>
        <v/>
      </c>
      <c r="AM518" s="208" t="str">
        <f>IF($AN518="","",IFERROR(VLOOKUP(CONCATENATE(CTR1_Billing!$E$20,$AN518),'Local Data Previous Year'!$C$3:$D$50000,2,0),CTR1_Billing!$E$21&amp;"NEW"))</f>
        <v/>
      </c>
      <c r="AN518" s="209" t="str" cm="1">
        <f t="array" ref="AN518">IF(ISERROR(INDEX('Local Data Previous Year'!$E$3:$E$50000, SMALL(IF(CTR1_Billing!$E$21='Local Data Previous Year'!$A$3:$A$50000, ROW('Local Data Previous Year'!$A$3:$A$50000)-ROW('Local Data Previous Year'!$A$3)+1), ROW(486:486)))), "", INDEX('Local Data Previous Year'!$E$3:$E$50000, SMALL(IF(CTR1_Billing!$E$21='Local Data Previous Year'!$A$3:$A$50000, ROW('Local Data Previous Year'!$A$3:$A$50000)-ROW('Local Data Previous Year'!$A$3)+1), ROW(486:486))))</f>
        <v/>
      </c>
      <c r="AO518" s="209" t="str">
        <f t="shared" si="94"/>
        <v/>
      </c>
      <c r="AP518" s="208"/>
      <c r="AQ518" s="209" t="str">
        <f t="shared" si="95"/>
        <v/>
      </c>
      <c r="AR518" s="209" t="str">
        <f t="shared" si="96"/>
        <v/>
      </c>
      <c r="AS518" s="202" t="str">
        <f t="shared" si="97"/>
        <v/>
      </c>
      <c r="AT518" s="202" t="str">
        <f t="shared" si="98"/>
        <v/>
      </c>
      <c r="AU518" s="208"/>
      <c r="AV518" s="208"/>
      <c r="AW518" s="208"/>
      <c r="AX518" s="208"/>
      <c r="AY518" s="208"/>
      <c r="AZ518" s="208"/>
      <c r="BA518" s="208"/>
      <c r="BB518" s="208"/>
      <c r="BC518" s="208"/>
      <c r="BD518" s="208"/>
      <c r="BE518" s="208"/>
      <c r="BF518" s="208"/>
      <c r="BG518" s="28"/>
      <c r="BH518" s="28"/>
      <c r="BI518" s="28"/>
      <c r="BJ518" s="28"/>
    </row>
    <row r="519" spans="1:62" s="23" customFormat="1" ht="21" customHeight="1" thickBot="1" x14ac:dyDescent="0.25">
      <c r="A519" s="846" t="str">
        <f>IF($AN519="","",IFERROR(VLOOKUP(CONCATENATE(CTR1_Billing!$E$20,$AN519),'Local Data Previous Year'!$C$3:$D$20000,2,0),CTR1_Billing!$E$21&amp;"NEW"))</f>
        <v/>
      </c>
      <c r="B519" s="846" t="str">
        <f>IF($E519="","",IFERROR(VLOOKUP(CONCATENATE(CTR1_Billing!$E$20,CTR1_Local!$E519),'Local Data Previous Year'!$C$3:$D$20000,2,0),CTR1_Billing!$E$21&amp;"NEW"))</f>
        <v/>
      </c>
      <c r="C519" s="846">
        <v>487</v>
      </c>
      <c r="D519" s="755" t="str" cm="1">
        <f t="array" ref="D519">IF(ISERROR(INDEX('Local Data Previous Year'!$D$3:$D$20000,SMALL(IF(CTR1_Billing!$E$21='Local Data Previous Year'!$A$3:$A$20000,ROW('Local Data Previous Year'!$A$3:$A$20000)-ROW('Local Data Previous Year'!$A$3)+1),ROW(487:487)))),"",INDEX('Local Data Previous Year'!$D$3:$D$20000,SMALL(IF(CTR1_Billing!$E$21='Local Data Previous Year'!$A$3:$A$20000,ROW('Local Data Previous Year'!$A$3:$A$20000)-ROW('Local Data Previous Year'!$A$3)+1),ROW(487:487))))</f>
        <v/>
      </c>
      <c r="E519" s="755" t="str" cm="1">
        <f t="array" ref="E519">IF(ISERROR(INDEX('Local Data Previous Year'!$E$3:$E$20000,SMALL(IF(CTR1_Billing!$E$21='Local Data Previous Year'!$A$3:$A$20000,ROW('Local Data Previous Year'!$A$3:$A$20000)-ROW('Local Data Previous Year'!$A$3)+1),ROW(487:487)))),"",INDEX('Local Data Previous Year'!$E$3:$E$20000,SMALL(IF(CTR1_Billing!$E$21='Local Data Previous Year'!$A$3:$A$20000,ROW('Local Data Previous Year'!$A$3:$A$20000)-ROW('Local Data Previous Year'!$A$3)+1),ROW(487:487))))</f>
        <v/>
      </c>
      <c r="F519" s="756" t="str">
        <f>IF($D519="","",IF(ISNA(MATCH($D519,'Local Data Previous Year'!$D$3:$D$20000,0)),"New",IFERROR(VLOOKUP($B519,'Local Data Previous Year'!$D$3:$I$20000,6,0),"")))</f>
        <v/>
      </c>
      <c r="G519" s="757">
        <f t="shared" si="99"/>
        <v>0</v>
      </c>
      <c r="H519" s="758" t="str">
        <f>IFERROR(INDEX('Local Data Previous Year'!$F:$F, MATCH($D519, 'Local Data Previous Year'!$D:$D, 0)), "")</f>
        <v/>
      </c>
      <c r="I519" s="759">
        <f>IF(B519=CTR1_Billing!$E$21&amp;"NEW",1,0)</f>
        <v>0</v>
      </c>
      <c r="J519" s="760" t="str">
        <f>IFERROR(INDEX('Local Data Previous Year'!$G:$G, MATCH($D519, 'Local Data Previous Year'!$D:$D, 0)), "")</f>
        <v/>
      </c>
      <c r="K519" s="762"/>
      <c r="L519" s="760" t="str">
        <f>IFERROR(INDEX('Local Data Previous Year'!$H:$H, MATCH($D519, 'Local Data Previous Year'!$D:$D, 0)), "")</f>
        <v/>
      </c>
      <c r="M519" s="762"/>
      <c r="N519" s="763"/>
      <c r="O519" s="767"/>
      <c r="P519" s="765"/>
      <c r="Q519" s="767"/>
      <c r="R519" s="766" t="str">
        <f t="shared" si="100"/>
        <v/>
      </c>
      <c r="S519" s="754"/>
      <c r="T519" s="763"/>
      <c r="U519" s="754"/>
      <c r="V519" s="763"/>
      <c r="W519" s="763"/>
      <c r="X519" s="865" t="str">
        <f>VLOOKUP(CTR1_Billing!$E$21,Data!$C$6:$D$302,1,FALSE)</f>
        <v>EZZZZ</v>
      </c>
      <c r="Y519" s="205"/>
      <c r="Z519" s="205">
        <f t="shared" si="89"/>
        <v>0</v>
      </c>
      <c r="AA519" s="206" t="str">
        <f t="shared" si="88"/>
        <v/>
      </c>
      <c r="AB519" s="205">
        <f t="shared" si="90"/>
        <v>0</v>
      </c>
      <c r="AC519" s="208"/>
      <c r="AD519" s="208"/>
      <c r="AE519" s="208"/>
      <c r="AF519" s="208"/>
      <c r="AG519" s="209" t="str">
        <f>IFERROR(INDEX('Local Data Previous Year'!$F:$F, MATCH($D519, 'Local Data Previous Year'!$D:$D, 0)), "")</f>
        <v/>
      </c>
      <c r="AH519" s="209" t="str">
        <f>IFERROR(INDEX('Local Data Previous Year'!$G:$G, MATCH($D519, 'Local Data Previous Year'!$D:$D, 0)), "")</f>
        <v/>
      </c>
      <c r="AI519" s="209" t="str">
        <f>IFERROR(INDEX('Local Data Previous Year'!$H:$H, MATCH($D519, 'Local Data Previous Year'!$D:$D, 0)), "")</f>
        <v/>
      </c>
      <c r="AJ519" s="209" t="str">
        <f t="shared" si="91"/>
        <v/>
      </c>
      <c r="AK519" s="209" t="str">
        <f t="shared" si="92"/>
        <v/>
      </c>
      <c r="AL519" s="209" t="str">
        <f t="shared" si="93"/>
        <v/>
      </c>
      <c r="AM519" s="208" t="str">
        <f>IF($AN519="","",IFERROR(VLOOKUP(CONCATENATE(CTR1_Billing!$E$20,$AN519),'Local Data Previous Year'!$C$3:$D$50000,2,0),CTR1_Billing!$E$21&amp;"NEW"))</f>
        <v/>
      </c>
      <c r="AN519" s="209" t="str" cm="1">
        <f t="array" ref="AN519">IF(ISERROR(INDEX('Local Data Previous Year'!$E$3:$E$50000, SMALL(IF(CTR1_Billing!$E$21='Local Data Previous Year'!$A$3:$A$50000, ROW('Local Data Previous Year'!$A$3:$A$50000)-ROW('Local Data Previous Year'!$A$3)+1), ROW(487:487)))), "", INDEX('Local Data Previous Year'!$E$3:$E$50000, SMALL(IF(CTR1_Billing!$E$21='Local Data Previous Year'!$A$3:$A$50000, ROW('Local Data Previous Year'!$A$3:$A$50000)-ROW('Local Data Previous Year'!$A$3)+1), ROW(487:487))))</f>
        <v/>
      </c>
      <c r="AO519" s="209" t="str">
        <f t="shared" si="94"/>
        <v/>
      </c>
      <c r="AP519" s="208"/>
      <c r="AQ519" s="209" t="str">
        <f t="shared" si="95"/>
        <v/>
      </c>
      <c r="AR519" s="209" t="str">
        <f t="shared" si="96"/>
        <v/>
      </c>
      <c r="AS519" s="202" t="str">
        <f t="shared" si="97"/>
        <v/>
      </c>
      <c r="AT519" s="202" t="str">
        <f t="shared" si="98"/>
        <v/>
      </c>
      <c r="AU519" s="208"/>
      <c r="AV519" s="208"/>
      <c r="AW519" s="208"/>
      <c r="AX519" s="208"/>
      <c r="AY519" s="208"/>
      <c r="AZ519" s="208"/>
      <c r="BA519" s="208"/>
      <c r="BB519" s="208"/>
      <c r="BC519" s="208"/>
      <c r="BD519" s="208"/>
      <c r="BE519" s="208"/>
      <c r="BF519" s="208"/>
      <c r="BG519" s="28"/>
      <c r="BH519" s="28"/>
      <c r="BI519" s="28"/>
      <c r="BJ519" s="28"/>
    </row>
    <row r="520" spans="1:62" s="23" customFormat="1" ht="21" customHeight="1" thickBot="1" x14ac:dyDescent="0.25">
      <c r="A520" s="846" t="str">
        <f>IF($AN520="","",IFERROR(VLOOKUP(CONCATENATE(CTR1_Billing!$E$20,$AN520),'Local Data Previous Year'!$C$3:$D$20000,2,0),CTR1_Billing!$E$21&amp;"NEW"))</f>
        <v/>
      </c>
      <c r="B520" s="846" t="str">
        <f>IF($E520="","",IFERROR(VLOOKUP(CONCATENATE(CTR1_Billing!$E$20,CTR1_Local!$E520),'Local Data Previous Year'!$C$3:$D$20000,2,0),CTR1_Billing!$E$21&amp;"NEW"))</f>
        <v/>
      </c>
      <c r="C520" s="846">
        <v>488</v>
      </c>
      <c r="D520" s="755" t="str" cm="1">
        <f t="array" ref="D520">IF(ISERROR(INDEX('Local Data Previous Year'!$D$3:$D$20000,SMALL(IF(CTR1_Billing!$E$21='Local Data Previous Year'!$A$3:$A$20000,ROW('Local Data Previous Year'!$A$3:$A$20000)-ROW('Local Data Previous Year'!$A$3)+1),ROW(488:488)))),"",INDEX('Local Data Previous Year'!$D$3:$D$20000,SMALL(IF(CTR1_Billing!$E$21='Local Data Previous Year'!$A$3:$A$20000,ROW('Local Data Previous Year'!$A$3:$A$20000)-ROW('Local Data Previous Year'!$A$3)+1),ROW(488:488))))</f>
        <v/>
      </c>
      <c r="E520" s="755" t="str" cm="1">
        <f t="array" ref="E520">IF(ISERROR(INDEX('Local Data Previous Year'!$E$3:$E$20000,SMALL(IF(CTR1_Billing!$E$21='Local Data Previous Year'!$A$3:$A$20000,ROW('Local Data Previous Year'!$A$3:$A$20000)-ROW('Local Data Previous Year'!$A$3)+1),ROW(488:488)))),"",INDEX('Local Data Previous Year'!$E$3:$E$20000,SMALL(IF(CTR1_Billing!$E$21='Local Data Previous Year'!$A$3:$A$20000,ROW('Local Data Previous Year'!$A$3:$A$20000)-ROW('Local Data Previous Year'!$A$3)+1),ROW(488:488))))</f>
        <v/>
      </c>
      <c r="F520" s="756" t="str">
        <f>IF($D520="","",IF(ISNA(MATCH($D520,'Local Data Previous Year'!$D$3:$D$20000,0)),"New",IFERROR(VLOOKUP($B520,'Local Data Previous Year'!$D$3:$I$20000,6,0),"")))</f>
        <v/>
      </c>
      <c r="G520" s="757">
        <f t="shared" si="99"/>
        <v>0</v>
      </c>
      <c r="H520" s="758" t="str">
        <f>IFERROR(INDEX('Local Data Previous Year'!$F:$F, MATCH($D520, 'Local Data Previous Year'!$D:$D, 0)), "")</f>
        <v/>
      </c>
      <c r="I520" s="759">
        <f>IF(B520=CTR1_Billing!$E$21&amp;"NEW",1,0)</f>
        <v>0</v>
      </c>
      <c r="J520" s="760" t="str">
        <f>IFERROR(INDEX('Local Data Previous Year'!$G:$G, MATCH($D520, 'Local Data Previous Year'!$D:$D, 0)), "")</f>
        <v/>
      </c>
      <c r="K520" s="762"/>
      <c r="L520" s="760" t="str">
        <f>IFERROR(INDEX('Local Data Previous Year'!$H:$H, MATCH($D520, 'Local Data Previous Year'!$D:$D, 0)), "")</f>
        <v/>
      </c>
      <c r="M520" s="762"/>
      <c r="N520" s="763"/>
      <c r="O520" s="767"/>
      <c r="P520" s="765"/>
      <c r="Q520" s="767"/>
      <c r="R520" s="766" t="str">
        <f t="shared" si="100"/>
        <v/>
      </c>
      <c r="S520" s="754"/>
      <c r="T520" s="763"/>
      <c r="U520" s="754"/>
      <c r="V520" s="763"/>
      <c r="W520" s="763"/>
      <c r="X520" s="865" t="str">
        <f>VLOOKUP(CTR1_Billing!$E$21,Data!$C$6:$D$302,1,FALSE)</f>
        <v>EZZZZ</v>
      </c>
      <c r="Y520" s="205"/>
      <c r="Z520" s="205">
        <f t="shared" si="89"/>
        <v>0</v>
      </c>
      <c r="AA520" s="206" t="str">
        <f t="shared" si="88"/>
        <v/>
      </c>
      <c r="AB520" s="205">
        <f t="shared" si="90"/>
        <v>0</v>
      </c>
      <c r="AC520" s="208"/>
      <c r="AD520" s="208"/>
      <c r="AE520" s="208"/>
      <c r="AF520" s="208"/>
      <c r="AG520" s="209" t="str">
        <f>IFERROR(INDEX('Local Data Previous Year'!$F:$F, MATCH($D520, 'Local Data Previous Year'!$D:$D, 0)), "")</f>
        <v/>
      </c>
      <c r="AH520" s="209" t="str">
        <f>IFERROR(INDEX('Local Data Previous Year'!$G:$G, MATCH($D520, 'Local Data Previous Year'!$D:$D, 0)), "")</f>
        <v/>
      </c>
      <c r="AI520" s="209" t="str">
        <f>IFERROR(INDEX('Local Data Previous Year'!$H:$H, MATCH($D520, 'Local Data Previous Year'!$D:$D, 0)), "")</f>
        <v/>
      </c>
      <c r="AJ520" s="209" t="str">
        <f t="shared" si="91"/>
        <v/>
      </c>
      <c r="AK520" s="209" t="str">
        <f t="shared" si="92"/>
        <v/>
      </c>
      <c r="AL520" s="209" t="str">
        <f t="shared" si="93"/>
        <v/>
      </c>
      <c r="AM520" s="208" t="str">
        <f>IF($AN520="","",IFERROR(VLOOKUP(CONCATENATE(CTR1_Billing!$E$20,$AN520),'Local Data Previous Year'!$C$3:$D$50000,2,0),CTR1_Billing!$E$21&amp;"NEW"))</f>
        <v/>
      </c>
      <c r="AN520" s="209" t="str" cm="1">
        <f t="array" ref="AN520">IF(ISERROR(INDEX('Local Data Previous Year'!$E$3:$E$50000, SMALL(IF(CTR1_Billing!$E$21='Local Data Previous Year'!$A$3:$A$50000, ROW('Local Data Previous Year'!$A$3:$A$50000)-ROW('Local Data Previous Year'!$A$3)+1), ROW(488:488)))), "", INDEX('Local Data Previous Year'!$E$3:$E$50000, SMALL(IF(CTR1_Billing!$E$21='Local Data Previous Year'!$A$3:$A$50000, ROW('Local Data Previous Year'!$A$3:$A$50000)-ROW('Local Data Previous Year'!$A$3)+1), ROW(488:488))))</f>
        <v/>
      </c>
      <c r="AO520" s="209" t="str">
        <f t="shared" si="94"/>
        <v/>
      </c>
      <c r="AP520" s="208"/>
      <c r="AQ520" s="209" t="str">
        <f t="shared" si="95"/>
        <v/>
      </c>
      <c r="AR520" s="209" t="str">
        <f t="shared" si="96"/>
        <v/>
      </c>
      <c r="AS520" s="202" t="str">
        <f t="shared" si="97"/>
        <v/>
      </c>
      <c r="AT520" s="202" t="str">
        <f t="shared" si="98"/>
        <v/>
      </c>
      <c r="AU520" s="208"/>
      <c r="AV520" s="208"/>
      <c r="AW520" s="208"/>
      <c r="AX520" s="208"/>
      <c r="AY520" s="208"/>
      <c r="AZ520" s="208"/>
      <c r="BA520" s="208"/>
      <c r="BB520" s="208"/>
      <c r="BC520" s="208"/>
      <c r="BD520" s="208"/>
      <c r="BE520" s="208"/>
      <c r="BF520" s="208"/>
      <c r="BG520" s="28"/>
      <c r="BH520" s="28"/>
      <c r="BI520" s="28"/>
      <c r="BJ520" s="28"/>
    </row>
    <row r="521" spans="1:62" s="23" customFormat="1" ht="21" customHeight="1" thickBot="1" x14ac:dyDescent="0.25">
      <c r="A521" s="846" t="str">
        <f>IF($AN521="","",IFERROR(VLOOKUP(CONCATENATE(CTR1_Billing!$E$20,$AN521),'Local Data Previous Year'!$C$3:$D$20000,2,0),CTR1_Billing!$E$21&amp;"NEW"))</f>
        <v/>
      </c>
      <c r="B521" s="846" t="str">
        <f>IF($E521="","",IFERROR(VLOOKUP(CONCATENATE(CTR1_Billing!$E$20,CTR1_Local!$E521),'Local Data Previous Year'!$C$3:$D$20000,2,0),CTR1_Billing!$E$21&amp;"NEW"))</f>
        <v/>
      </c>
      <c r="C521" s="846">
        <v>489</v>
      </c>
      <c r="D521" s="755" t="str" cm="1">
        <f t="array" ref="D521">IF(ISERROR(INDEX('Local Data Previous Year'!$D$3:$D$20000,SMALL(IF(CTR1_Billing!$E$21='Local Data Previous Year'!$A$3:$A$20000,ROW('Local Data Previous Year'!$A$3:$A$20000)-ROW('Local Data Previous Year'!$A$3)+1),ROW(489:489)))),"",INDEX('Local Data Previous Year'!$D$3:$D$20000,SMALL(IF(CTR1_Billing!$E$21='Local Data Previous Year'!$A$3:$A$20000,ROW('Local Data Previous Year'!$A$3:$A$20000)-ROW('Local Data Previous Year'!$A$3)+1),ROW(489:489))))</f>
        <v/>
      </c>
      <c r="E521" s="755" t="str" cm="1">
        <f t="array" ref="E521">IF(ISERROR(INDEX('Local Data Previous Year'!$E$3:$E$20000,SMALL(IF(CTR1_Billing!$E$21='Local Data Previous Year'!$A$3:$A$20000,ROW('Local Data Previous Year'!$A$3:$A$20000)-ROW('Local Data Previous Year'!$A$3)+1),ROW(489:489)))),"",INDEX('Local Data Previous Year'!$E$3:$E$20000,SMALL(IF(CTR1_Billing!$E$21='Local Data Previous Year'!$A$3:$A$20000,ROW('Local Data Previous Year'!$A$3:$A$20000)-ROW('Local Data Previous Year'!$A$3)+1),ROW(489:489))))</f>
        <v/>
      </c>
      <c r="F521" s="756" t="str">
        <f>IF($D521="","",IF(ISNA(MATCH($D521,'Local Data Previous Year'!$D$3:$D$20000,0)),"New",IFERROR(VLOOKUP($B521,'Local Data Previous Year'!$D$3:$I$20000,6,0),"")))</f>
        <v/>
      </c>
      <c r="G521" s="757">
        <f t="shared" si="99"/>
        <v>0</v>
      </c>
      <c r="H521" s="758" t="str">
        <f>IFERROR(INDEX('Local Data Previous Year'!$F:$F, MATCH($D521, 'Local Data Previous Year'!$D:$D, 0)), "")</f>
        <v/>
      </c>
      <c r="I521" s="759">
        <f>IF(B521=CTR1_Billing!$E$21&amp;"NEW",1,0)</f>
        <v>0</v>
      </c>
      <c r="J521" s="760" t="str">
        <f>IFERROR(INDEX('Local Data Previous Year'!$G:$G, MATCH($D521, 'Local Data Previous Year'!$D:$D, 0)), "")</f>
        <v/>
      </c>
      <c r="K521" s="762"/>
      <c r="L521" s="760" t="str">
        <f>IFERROR(INDEX('Local Data Previous Year'!$H:$H, MATCH($D521, 'Local Data Previous Year'!$D:$D, 0)), "")</f>
        <v/>
      </c>
      <c r="M521" s="762"/>
      <c r="N521" s="763"/>
      <c r="O521" s="767"/>
      <c r="P521" s="765"/>
      <c r="Q521" s="767"/>
      <c r="R521" s="766" t="str">
        <f t="shared" si="100"/>
        <v/>
      </c>
      <c r="S521" s="754"/>
      <c r="T521" s="763"/>
      <c r="U521" s="754"/>
      <c r="V521" s="763"/>
      <c r="W521" s="763"/>
      <c r="X521" s="865" t="str">
        <f>VLOOKUP(CTR1_Billing!$E$21,Data!$C$6:$D$302,1,FALSE)</f>
        <v>EZZZZ</v>
      </c>
      <c r="Y521" s="205"/>
      <c r="Z521" s="205">
        <f t="shared" si="89"/>
        <v>0</v>
      </c>
      <c r="AA521" s="206" t="str">
        <f t="shared" si="88"/>
        <v/>
      </c>
      <c r="AB521" s="205">
        <f t="shared" si="90"/>
        <v>0</v>
      </c>
      <c r="AC521" s="208"/>
      <c r="AD521" s="208"/>
      <c r="AE521" s="208"/>
      <c r="AF521" s="208"/>
      <c r="AG521" s="209" t="str">
        <f>IFERROR(INDEX('Local Data Previous Year'!$F:$F, MATCH($D521, 'Local Data Previous Year'!$D:$D, 0)), "")</f>
        <v/>
      </c>
      <c r="AH521" s="209" t="str">
        <f>IFERROR(INDEX('Local Data Previous Year'!$G:$G, MATCH($D521, 'Local Data Previous Year'!$D:$D, 0)), "")</f>
        <v/>
      </c>
      <c r="AI521" s="209" t="str">
        <f>IFERROR(INDEX('Local Data Previous Year'!$H:$H, MATCH($D521, 'Local Data Previous Year'!$D:$D, 0)), "")</f>
        <v/>
      </c>
      <c r="AJ521" s="209" t="str">
        <f t="shared" si="91"/>
        <v/>
      </c>
      <c r="AK521" s="209" t="str">
        <f t="shared" si="92"/>
        <v/>
      </c>
      <c r="AL521" s="209" t="str">
        <f t="shared" si="93"/>
        <v/>
      </c>
      <c r="AM521" s="208" t="str">
        <f>IF($AN521="","",IFERROR(VLOOKUP(CONCATENATE(CTR1_Billing!$E$20,$AN521),'Local Data Previous Year'!$C$3:$D$50000,2,0),CTR1_Billing!$E$21&amp;"NEW"))</f>
        <v/>
      </c>
      <c r="AN521" s="209" t="str" cm="1">
        <f t="array" ref="AN521">IF(ISERROR(INDEX('Local Data Previous Year'!$E$3:$E$50000, SMALL(IF(CTR1_Billing!$E$21='Local Data Previous Year'!$A$3:$A$50000, ROW('Local Data Previous Year'!$A$3:$A$50000)-ROW('Local Data Previous Year'!$A$3)+1), ROW(489:489)))), "", INDEX('Local Data Previous Year'!$E$3:$E$50000, SMALL(IF(CTR1_Billing!$E$21='Local Data Previous Year'!$A$3:$A$50000, ROW('Local Data Previous Year'!$A$3:$A$50000)-ROW('Local Data Previous Year'!$A$3)+1), ROW(489:489))))</f>
        <v/>
      </c>
      <c r="AO521" s="209" t="str">
        <f t="shared" si="94"/>
        <v/>
      </c>
      <c r="AP521" s="208"/>
      <c r="AQ521" s="209" t="str">
        <f t="shared" si="95"/>
        <v/>
      </c>
      <c r="AR521" s="209" t="str">
        <f t="shared" si="96"/>
        <v/>
      </c>
      <c r="AS521" s="202" t="str">
        <f t="shared" si="97"/>
        <v/>
      </c>
      <c r="AT521" s="202" t="str">
        <f t="shared" si="98"/>
        <v/>
      </c>
      <c r="AU521" s="208"/>
      <c r="AV521" s="208"/>
      <c r="AW521" s="208"/>
      <c r="AX521" s="208"/>
      <c r="AY521" s="208"/>
      <c r="AZ521" s="208"/>
      <c r="BA521" s="208"/>
      <c r="BB521" s="208"/>
      <c r="BC521" s="208"/>
      <c r="BD521" s="208"/>
      <c r="BE521" s="208"/>
      <c r="BF521" s="208"/>
      <c r="BG521" s="28"/>
      <c r="BH521" s="28"/>
      <c r="BI521" s="28"/>
      <c r="BJ521" s="28"/>
    </row>
    <row r="522" spans="1:62" s="23" customFormat="1" ht="21" customHeight="1" thickBot="1" x14ac:dyDescent="0.25">
      <c r="A522" s="846" t="str">
        <f>IF($AN522="","",IFERROR(VLOOKUP(CONCATENATE(CTR1_Billing!$E$20,$AN522),'Local Data Previous Year'!$C$3:$D$20000,2,0),CTR1_Billing!$E$21&amp;"NEW"))</f>
        <v/>
      </c>
      <c r="B522" s="846" t="str">
        <f>IF($E522="","",IFERROR(VLOOKUP(CONCATENATE(CTR1_Billing!$E$20,CTR1_Local!$E522),'Local Data Previous Year'!$C$3:$D$20000,2,0),CTR1_Billing!$E$21&amp;"NEW"))</f>
        <v/>
      </c>
      <c r="C522" s="846">
        <v>490</v>
      </c>
      <c r="D522" s="755" t="str" cm="1">
        <f t="array" ref="D522">IF(ISERROR(INDEX('Local Data Previous Year'!$D$3:$D$20000,SMALL(IF(CTR1_Billing!$E$21='Local Data Previous Year'!$A$3:$A$20000,ROW('Local Data Previous Year'!$A$3:$A$20000)-ROW('Local Data Previous Year'!$A$3)+1),ROW(490:490)))),"",INDEX('Local Data Previous Year'!$D$3:$D$20000,SMALL(IF(CTR1_Billing!$E$21='Local Data Previous Year'!$A$3:$A$20000,ROW('Local Data Previous Year'!$A$3:$A$20000)-ROW('Local Data Previous Year'!$A$3)+1),ROW(490:490))))</f>
        <v/>
      </c>
      <c r="E522" s="755" t="str" cm="1">
        <f t="array" ref="E522">IF(ISERROR(INDEX('Local Data Previous Year'!$E$3:$E$20000,SMALL(IF(CTR1_Billing!$E$21='Local Data Previous Year'!$A$3:$A$20000,ROW('Local Data Previous Year'!$A$3:$A$20000)-ROW('Local Data Previous Year'!$A$3)+1),ROW(490:490)))),"",INDEX('Local Data Previous Year'!$E$3:$E$20000,SMALL(IF(CTR1_Billing!$E$21='Local Data Previous Year'!$A$3:$A$20000,ROW('Local Data Previous Year'!$A$3:$A$20000)-ROW('Local Data Previous Year'!$A$3)+1),ROW(490:490))))</f>
        <v/>
      </c>
      <c r="F522" s="756" t="str">
        <f>IF($D522="","",IF(ISNA(MATCH($D522,'Local Data Previous Year'!$D$3:$D$20000,0)),"New",IFERROR(VLOOKUP($B522,'Local Data Previous Year'!$D$3:$I$20000,6,0),"")))</f>
        <v/>
      </c>
      <c r="G522" s="757">
        <f t="shared" si="99"/>
        <v>0</v>
      </c>
      <c r="H522" s="758" t="str">
        <f>IFERROR(INDEX('Local Data Previous Year'!$F:$F, MATCH($D522, 'Local Data Previous Year'!$D:$D, 0)), "")</f>
        <v/>
      </c>
      <c r="I522" s="759">
        <f>IF(B522=CTR1_Billing!$E$21&amp;"NEW",1,0)</f>
        <v>0</v>
      </c>
      <c r="J522" s="760" t="str">
        <f>IFERROR(INDEX('Local Data Previous Year'!$G:$G, MATCH($D522, 'Local Data Previous Year'!$D:$D, 0)), "")</f>
        <v/>
      </c>
      <c r="K522" s="762"/>
      <c r="L522" s="760" t="str">
        <f>IFERROR(INDEX('Local Data Previous Year'!$H:$H, MATCH($D522, 'Local Data Previous Year'!$D:$D, 0)), "")</f>
        <v/>
      </c>
      <c r="M522" s="762"/>
      <c r="N522" s="763"/>
      <c r="O522" s="767"/>
      <c r="P522" s="765"/>
      <c r="Q522" s="767"/>
      <c r="R522" s="766" t="str">
        <f t="shared" si="100"/>
        <v/>
      </c>
      <c r="S522" s="754"/>
      <c r="T522" s="763"/>
      <c r="U522" s="754"/>
      <c r="V522" s="763"/>
      <c r="W522" s="763"/>
      <c r="X522" s="865" t="str">
        <f>VLOOKUP(CTR1_Billing!$E$21,Data!$C$6:$D$302,1,FALSE)</f>
        <v>EZZZZ</v>
      </c>
      <c r="Y522" s="205"/>
      <c r="Z522" s="205">
        <f t="shared" si="89"/>
        <v>0</v>
      </c>
      <c r="AA522" s="206" t="str">
        <f t="shared" si="88"/>
        <v/>
      </c>
      <c r="AB522" s="205">
        <f t="shared" si="90"/>
        <v>0</v>
      </c>
      <c r="AC522" s="208"/>
      <c r="AD522" s="208"/>
      <c r="AE522" s="208"/>
      <c r="AF522" s="208"/>
      <c r="AG522" s="209" t="str">
        <f>IFERROR(INDEX('Local Data Previous Year'!$F:$F, MATCH($D522, 'Local Data Previous Year'!$D:$D, 0)), "")</f>
        <v/>
      </c>
      <c r="AH522" s="209" t="str">
        <f>IFERROR(INDEX('Local Data Previous Year'!$G:$G, MATCH($D522, 'Local Data Previous Year'!$D:$D, 0)), "")</f>
        <v/>
      </c>
      <c r="AI522" s="209" t="str">
        <f>IFERROR(INDEX('Local Data Previous Year'!$H:$H, MATCH($D522, 'Local Data Previous Year'!$D:$D, 0)), "")</f>
        <v/>
      </c>
      <c r="AJ522" s="209" t="str">
        <f t="shared" si="91"/>
        <v/>
      </c>
      <c r="AK522" s="209" t="str">
        <f t="shared" si="92"/>
        <v/>
      </c>
      <c r="AL522" s="209" t="str">
        <f t="shared" si="93"/>
        <v/>
      </c>
      <c r="AM522" s="208" t="str">
        <f>IF($AN522="","",IFERROR(VLOOKUP(CONCATENATE(CTR1_Billing!$E$20,$AN522),'Local Data Previous Year'!$C$3:$D$50000,2,0),CTR1_Billing!$E$21&amp;"NEW"))</f>
        <v/>
      </c>
      <c r="AN522" s="209" t="str" cm="1">
        <f t="array" ref="AN522">IF(ISERROR(INDEX('Local Data Previous Year'!$E$3:$E$50000, SMALL(IF(CTR1_Billing!$E$21='Local Data Previous Year'!$A$3:$A$50000, ROW('Local Data Previous Year'!$A$3:$A$50000)-ROW('Local Data Previous Year'!$A$3)+1), ROW(490:490)))), "", INDEX('Local Data Previous Year'!$E$3:$E$50000, SMALL(IF(CTR1_Billing!$E$21='Local Data Previous Year'!$A$3:$A$50000, ROW('Local Data Previous Year'!$A$3:$A$50000)-ROW('Local Data Previous Year'!$A$3)+1), ROW(490:490))))</f>
        <v/>
      </c>
      <c r="AO522" s="209" t="str">
        <f t="shared" si="94"/>
        <v/>
      </c>
      <c r="AP522" s="208"/>
      <c r="AQ522" s="209" t="str">
        <f t="shared" si="95"/>
        <v/>
      </c>
      <c r="AR522" s="209" t="str">
        <f t="shared" si="96"/>
        <v/>
      </c>
      <c r="AS522" s="202" t="str">
        <f t="shared" si="97"/>
        <v/>
      </c>
      <c r="AT522" s="202" t="str">
        <f t="shared" si="98"/>
        <v/>
      </c>
      <c r="AU522" s="208"/>
      <c r="AV522" s="208"/>
      <c r="AW522" s="208"/>
      <c r="AX522" s="208"/>
      <c r="AY522" s="208"/>
      <c r="AZ522" s="208"/>
      <c r="BA522" s="208"/>
      <c r="BB522" s="208"/>
      <c r="BC522" s="208"/>
      <c r="BD522" s="208"/>
      <c r="BE522" s="208"/>
      <c r="BF522" s="208"/>
      <c r="BG522" s="28"/>
      <c r="BH522" s="28"/>
      <c r="BI522" s="28"/>
      <c r="BJ522" s="28"/>
    </row>
    <row r="523" spans="1:62" s="23" customFormat="1" ht="21" customHeight="1" thickBot="1" x14ac:dyDescent="0.25">
      <c r="A523" s="846" t="str">
        <f>IF($AN523="","",IFERROR(VLOOKUP(CONCATENATE(CTR1_Billing!$E$20,$AN523),'Local Data Previous Year'!$C$3:$D$20000,2,0),CTR1_Billing!$E$21&amp;"NEW"))</f>
        <v/>
      </c>
      <c r="B523" s="846" t="str">
        <f>IF($E523="","",IFERROR(VLOOKUP(CONCATENATE(CTR1_Billing!$E$20,CTR1_Local!$E523),'Local Data Previous Year'!$C$3:$D$20000,2,0),CTR1_Billing!$E$21&amp;"NEW"))</f>
        <v/>
      </c>
      <c r="C523" s="846">
        <v>491</v>
      </c>
      <c r="D523" s="755" t="str" cm="1">
        <f t="array" ref="D523">IF(ISERROR(INDEX('Local Data Previous Year'!$D$3:$D$20000,SMALL(IF(CTR1_Billing!$E$21='Local Data Previous Year'!$A$3:$A$20000,ROW('Local Data Previous Year'!$A$3:$A$20000)-ROW('Local Data Previous Year'!$A$3)+1),ROW(491:491)))),"",INDEX('Local Data Previous Year'!$D$3:$D$20000,SMALL(IF(CTR1_Billing!$E$21='Local Data Previous Year'!$A$3:$A$20000,ROW('Local Data Previous Year'!$A$3:$A$20000)-ROW('Local Data Previous Year'!$A$3)+1),ROW(491:491))))</f>
        <v/>
      </c>
      <c r="E523" s="755" t="str" cm="1">
        <f t="array" ref="E523">IF(ISERROR(INDEX('Local Data Previous Year'!$E$3:$E$20000,SMALL(IF(CTR1_Billing!$E$21='Local Data Previous Year'!$A$3:$A$20000,ROW('Local Data Previous Year'!$A$3:$A$20000)-ROW('Local Data Previous Year'!$A$3)+1),ROW(491:491)))),"",INDEX('Local Data Previous Year'!$E$3:$E$20000,SMALL(IF(CTR1_Billing!$E$21='Local Data Previous Year'!$A$3:$A$20000,ROW('Local Data Previous Year'!$A$3:$A$20000)-ROW('Local Data Previous Year'!$A$3)+1),ROW(491:491))))</f>
        <v/>
      </c>
      <c r="F523" s="756" t="str">
        <f>IF($D523="","",IF(ISNA(MATCH($D523,'Local Data Previous Year'!$D$3:$D$20000,0)),"New",IFERROR(VLOOKUP($B523,'Local Data Previous Year'!$D$3:$I$20000,6,0),"")))</f>
        <v/>
      </c>
      <c r="G523" s="757">
        <f t="shared" si="99"/>
        <v>0</v>
      </c>
      <c r="H523" s="758" t="str">
        <f>IFERROR(INDEX('Local Data Previous Year'!$F:$F, MATCH($D523, 'Local Data Previous Year'!$D:$D, 0)), "")</f>
        <v/>
      </c>
      <c r="I523" s="759">
        <f>IF(B523=CTR1_Billing!$E$21&amp;"NEW",1,0)</f>
        <v>0</v>
      </c>
      <c r="J523" s="760" t="str">
        <f>IFERROR(INDEX('Local Data Previous Year'!$G:$G, MATCH($D523, 'Local Data Previous Year'!$D:$D, 0)), "")</f>
        <v/>
      </c>
      <c r="K523" s="762"/>
      <c r="L523" s="760" t="str">
        <f>IFERROR(INDEX('Local Data Previous Year'!$H:$H, MATCH($D523, 'Local Data Previous Year'!$D:$D, 0)), "")</f>
        <v/>
      </c>
      <c r="M523" s="762"/>
      <c r="N523" s="763"/>
      <c r="O523" s="767"/>
      <c r="P523" s="765"/>
      <c r="Q523" s="767"/>
      <c r="R523" s="766" t="str">
        <f t="shared" si="100"/>
        <v/>
      </c>
      <c r="S523" s="754"/>
      <c r="T523" s="763"/>
      <c r="U523" s="754"/>
      <c r="V523" s="763"/>
      <c r="W523" s="763"/>
      <c r="X523" s="865" t="str">
        <f>VLOOKUP(CTR1_Billing!$E$21,Data!$C$6:$D$302,1,FALSE)</f>
        <v>EZZZZ</v>
      </c>
      <c r="Y523" s="205"/>
      <c r="Z523" s="205">
        <f t="shared" si="89"/>
        <v>0</v>
      </c>
      <c r="AA523" s="206" t="str">
        <f t="shared" si="88"/>
        <v/>
      </c>
      <c r="AB523" s="205">
        <f t="shared" si="90"/>
        <v>0</v>
      </c>
      <c r="AC523" s="208"/>
      <c r="AD523" s="208"/>
      <c r="AE523" s="208"/>
      <c r="AF523" s="208"/>
      <c r="AG523" s="209" t="str">
        <f>IFERROR(INDEX('Local Data Previous Year'!$F:$F, MATCH($D523, 'Local Data Previous Year'!$D:$D, 0)), "")</f>
        <v/>
      </c>
      <c r="AH523" s="209" t="str">
        <f>IFERROR(INDEX('Local Data Previous Year'!$G:$G, MATCH($D523, 'Local Data Previous Year'!$D:$D, 0)), "")</f>
        <v/>
      </c>
      <c r="AI523" s="209" t="str">
        <f>IFERROR(INDEX('Local Data Previous Year'!$H:$H, MATCH($D523, 'Local Data Previous Year'!$D:$D, 0)), "")</f>
        <v/>
      </c>
      <c r="AJ523" s="209" t="str">
        <f t="shared" si="91"/>
        <v/>
      </c>
      <c r="AK523" s="209" t="str">
        <f t="shared" si="92"/>
        <v/>
      </c>
      <c r="AL523" s="209" t="str">
        <f t="shared" si="93"/>
        <v/>
      </c>
      <c r="AM523" s="208" t="str">
        <f>IF($AN523="","",IFERROR(VLOOKUP(CONCATENATE(CTR1_Billing!$E$20,$AN523),'Local Data Previous Year'!$C$3:$D$50000,2,0),CTR1_Billing!$E$21&amp;"NEW"))</f>
        <v/>
      </c>
      <c r="AN523" s="209" t="str" cm="1">
        <f t="array" ref="AN523">IF(ISERROR(INDEX('Local Data Previous Year'!$E$3:$E$50000, SMALL(IF(CTR1_Billing!$E$21='Local Data Previous Year'!$A$3:$A$50000, ROW('Local Data Previous Year'!$A$3:$A$50000)-ROW('Local Data Previous Year'!$A$3)+1), ROW(491:491)))), "", INDEX('Local Data Previous Year'!$E$3:$E$50000, SMALL(IF(CTR1_Billing!$E$21='Local Data Previous Year'!$A$3:$A$50000, ROW('Local Data Previous Year'!$A$3:$A$50000)-ROW('Local Data Previous Year'!$A$3)+1), ROW(491:491))))</f>
        <v/>
      </c>
      <c r="AO523" s="209" t="str">
        <f t="shared" si="94"/>
        <v/>
      </c>
      <c r="AP523" s="208"/>
      <c r="AQ523" s="209" t="str">
        <f t="shared" si="95"/>
        <v/>
      </c>
      <c r="AR523" s="209" t="str">
        <f t="shared" si="96"/>
        <v/>
      </c>
      <c r="AS523" s="202" t="str">
        <f t="shared" si="97"/>
        <v/>
      </c>
      <c r="AT523" s="202" t="str">
        <f t="shared" si="98"/>
        <v/>
      </c>
      <c r="AU523" s="208"/>
      <c r="AV523" s="208"/>
      <c r="AW523" s="208"/>
      <c r="AX523" s="208"/>
      <c r="AY523" s="208"/>
      <c r="AZ523" s="208"/>
      <c r="BA523" s="208"/>
      <c r="BB523" s="208"/>
      <c r="BC523" s="208"/>
      <c r="BD523" s="208"/>
      <c r="BE523" s="208"/>
      <c r="BF523" s="208"/>
      <c r="BG523" s="28"/>
      <c r="BH523" s="28"/>
      <c r="BI523" s="28"/>
      <c r="BJ523" s="28"/>
    </row>
    <row r="524" spans="1:62" s="23" customFormat="1" ht="21" customHeight="1" thickBot="1" x14ac:dyDescent="0.25">
      <c r="A524" s="846" t="str">
        <f>IF($AN524="","",IFERROR(VLOOKUP(CONCATENATE(CTR1_Billing!$E$20,$AN524),'Local Data Previous Year'!$C$3:$D$20000,2,0),CTR1_Billing!$E$21&amp;"NEW"))</f>
        <v/>
      </c>
      <c r="B524" s="846" t="str">
        <f>IF($E524="","",IFERROR(VLOOKUP(CONCATENATE(CTR1_Billing!$E$20,CTR1_Local!$E524),'Local Data Previous Year'!$C$3:$D$20000,2,0),CTR1_Billing!$E$21&amp;"NEW"))</f>
        <v/>
      </c>
      <c r="C524" s="846">
        <v>492</v>
      </c>
      <c r="D524" s="755" t="str" cm="1">
        <f t="array" ref="D524">IF(ISERROR(INDEX('Local Data Previous Year'!$D$3:$D$20000,SMALL(IF(CTR1_Billing!$E$21='Local Data Previous Year'!$A$3:$A$20000,ROW('Local Data Previous Year'!$A$3:$A$20000)-ROW('Local Data Previous Year'!$A$3)+1),ROW(492:492)))),"",INDEX('Local Data Previous Year'!$D$3:$D$20000,SMALL(IF(CTR1_Billing!$E$21='Local Data Previous Year'!$A$3:$A$20000,ROW('Local Data Previous Year'!$A$3:$A$20000)-ROW('Local Data Previous Year'!$A$3)+1),ROW(492:492))))</f>
        <v/>
      </c>
      <c r="E524" s="755" t="str" cm="1">
        <f t="array" ref="E524">IF(ISERROR(INDEX('Local Data Previous Year'!$E$3:$E$20000,SMALL(IF(CTR1_Billing!$E$21='Local Data Previous Year'!$A$3:$A$20000,ROW('Local Data Previous Year'!$A$3:$A$20000)-ROW('Local Data Previous Year'!$A$3)+1),ROW(492:492)))),"",INDEX('Local Data Previous Year'!$E$3:$E$20000,SMALL(IF(CTR1_Billing!$E$21='Local Data Previous Year'!$A$3:$A$20000,ROW('Local Data Previous Year'!$A$3:$A$20000)-ROW('Local Data Previous Year'!$A$3)+1),ROW(492:492))))</f>
        <v/>
      </c>
      <c r="F524" s="756" t="str">
        <f>IF($D524="","",IF(ISNA(MATCH($D524,'Local Data Previous Year'!$D$3:$D$20000,0)),"New",IFERROR(VLOOKUP($B524,'Local Data Previous Year'!$D$3:$I$20000,6,0),"")))</f>
        <v/>
      </c>
      <c r="G524" s="757">
        <f t="shared" si="99"/>
        <v>0</v>
      </c>
      <c r="H524" s="758" t="str">
        <f>IFERROR(INDEX('Local Data Previous Year'!$F:$F, MATCH($D524, 'Local Data Previous Year'!$D:$D, 0)), "")</f>
        <v/>
      </c>
      <c r="I524" s="759">
        <f>IF(B524=CTR1_Billing!$E$21&amp;"NEW",1,0)</f>
        <v>0</v>
      </c>
      <c r="J524" s="760" t="str">
        <f>IFERROR(INDEX('Local Data Previous Year'!$G:$G, MATCH($D524, 'Local Data Previous Year'!$D:$D, 0)), "")</f>
        <v/>
      </c>
      <c r="K524" s="762"/>
      <c r="L524" s="760" t="str">
        <f>IFERROR(INDEX('Local Data Previous Year'!$H:$H, MATCH($D524, 'Local Data Previous Year'!$D:$D, 0)), "")</f>
        <v/>
      </c>
      <c r="M524" s="762"/>
      <c r="N524" s="763"/>
      <c r="O524" s="767"/>
      <c r="P524" s="765"/>
      <c r="Q524" s="767"/>
      <c r="R524" s="766" t="str">
        <f t="shared" si="100"/>
        <v/>
      </c>
      <c r="S524" s="754"/>
      <c r="T524" s="763"/>
      <c r="U524" s="754"/>
      <c r="V524" s="763"/>
      <c r="W524" s="763"/>
      <c r="X524" s="865" t="str">
        <f>VLOOKUP(CTR1_Billing!$E$21,Data!$C$6:$D$302,1,FALSE)</f>
        <v>EZZZZ</v>
      </c>
      <c r="Y524" s="205"/>
      <c r="Z524" s="205">
        <f t="shared" si="89"/>
        <v>0</v>
      </c>
      <c r="AA524" s="206" t="str">
        <f t="shared" si="88"/>
        <v/>
      </c>
      <c r="AB524" s="205">
        <f t="shared" si="90"/>
        <v>0</v>
      </c>
      <c r="AC524" s="208"/>
      <c r="AD524" s="208"/>
      <c r="AE524" s="208"/>
      <c r="AF524" s="208"/>
      <c r="AG524" s="209" t="str">
        <f>IFERROR(INDEX('Local Data Previous Year'!$F:$F, MATCH($D524, 'Local Data Previous Year'!$D:$D, 0)), "")</f>
        <v/>
      </c>
      <c r="AH524" s="209" t="str">
        <f>IFERROR(INDEX('Local Data Previous Year'!$G:$G, MATCH($D524, 'Local Data Previous Year'!$D:$D, 0)), "")</f>
        <v/>
      </c>
      <c r="AI524" s="209" t="str">
        <f>IFERROR(INDEX('Local Data Previous Year'!$H:$H, MATCH($D524, 'Local Data Previous Year'!$D:$D, 0)), "")</f>
        <v/>
      </c>
      <c r="AJ524" s="209" t="str">
        <f t="shared" si="91"/>
        <v/>
      </c>
      <c r="AK524" s="209" t="str">
        <f t="shared" si="92"/>
        <v/>
      </c>
      <c r="AL524" s="209" t="str">
        <f t="shared" si="93"/>
        <v/>
      </c>
      <c r="AM524" s="208" t="str">
        <f>IF($AN524="","",IFERROR(VLOOKUP(CONCATENATE(CTR1_Billing!$E$20,$AN524),'Local Data Previous Year'!$C$3:$D$50000,2,0),CTR1_Billing!$E$21&amp;"NEW"))</f>
        <v/>
      </c>
      <c r="AN524" s="209" t="str" cm="1">
        <f t="array" ref="AN524">IF(ISERROR(INDEX('Local Data Previous Year'!$E$3:$E$50000, SMALL(IF(CTR1_Billing!$E$21='Local Data Previous Year'!$A$3:$A$50000, ROW('Local Data Previous Year'!$A$3:$A$50000)-ROW('Local Data Previous Year'!$A$3)+1), ROW(492:492)))), "", INDEX('Local Data Previous Year'!$E$3:$E$50000, SMALL(IF(CTR1_Billing!$E$21='Local Data Previous Year'!$A$3:$A$50000, ROW('Local Data Previous Year'!$A$3:$A$50000)-ROW('Local Data Previous Year'!$A$3)+1), ROW(492:492))))</f>
        <v/>
      </c>
      <c r="AO524" s="209" t="str">
        <f t="shared" si="94"/>
        <v/>
      </c>
      <c r="AP524" s="208"/>
      <c r="AQ524" s="209" t="str">
        <f t="shared" si="95"/>
        <v/>
      </c>
      <c r="AR524" s="209" t="str">
        <f t="shared" si="96"/>
        <v/>
      </c>
      <c r="AS524" s="202" t="str">
        <f t="shared" si="97"/>
        <v/>
      </c>
      <c r="AT524" s="202" t="str">
        <f t="shared" si="98"/>
        <v/>
      </c>
      <c r="AU524" s="208"/>
      <c r="AV524" s="208"/>
      <c r="AW524" s="208"/>
      <c r="AX524" s="208"/>
      <c r="AY524" s="208"/>
      <c r="AZ524" s="208"/>
      <c r="BA524" s="208"/>
      <c r="BB524" s="208"/>
      <c r="BC524" s="208"/>
      <c r="BD524" s="208"/>
      <c r="BE524" s="208"/>
      <c r="BF524" s="208"/>
      <c r="BG524" s="28"/>
      <c r="BH524" s="28"/>
      <c r="BI524" s="28"/>
      <c r="BJ524" s="28"/>
    </row>
    <row r="525" spans="1:62" s="23" customFormat="1" ht="21" customHeight="1" thickBot="1" x14ac:dyDescent="0.25">
      <c r="A525" s="846" t="str">
        <f>IF($AN525="","",IFERROR(VLOOKUP(CONCATENATE(CTR1_Billing!$E$20,$AN525),'Local Data Previous Year'!$C$3:$D$20000,2,0),CTR1_Billing!$E$21&amp;"NEW"))</f>
        <v/>
      </c>
      <c r="B525" s="846" t="str">
        <f>IF($E525="","",IFERROR(VLOOKUP(CONCATENATE(CTR1_Billing!$E$20,CTR1_Local!$E525),'Local Data Previous Year'!$C$3:$D$20000,2,0),CTR1_Billing!$E$21&amp;"NEW"))</f>
        <v/>
      </c>
      <c r="C525" s="846">
        <v>493</v>
      </c>
      <c r="D525" s="755" t="str" cm="1">
        <f t="array" ref="D525">IF(ISERROR(INDEX('Local Data Previous Year'!$D$3:$D$20000,SMALL(IF(CTR1_Billing!$E$21='Local Data Previous Year'!$A$3:$A$20000,ROW('Local Data Previous Year'!$A$3:$A$20000)-ROW('Local Data Previous Year'!$A$3)+1),ROW(493:493)))),"",INDEX('Local Data Previous Year'!$D$3:$D$20000,SMALL(IF(CTR1_Billing!$E$21='Local Data Previous Year'!$A$3:$A$20000,ROW('Local Data Previous Year'!$A$3:$A$20000)-ROW('Local Data Previous Year'!$A$3)+1),ROW(493:493))))</f>
        <v/>
      </c>
      <c r="E525" s="755" t="str" cm="1">
        <f t="array" ref="E525">IF(ISERROR(INDEX('Local Data Previous Year'!$E$3:$E$20000,SMALL(IF(CTR1_Billing!$E$21='Local Data Previous Year'!$A$3:$A$20000,ROW('Local Data Previous Year'!$A$3:$A$20000)-ROW('Local Data Previous Year'!$A$3)+1),ROW(493:493)))),"",INDEX('Local Data Previous Year'!$E$3:$E$20000,SMALL(IF(CTR1_Billing!$E$21='Local Data Previous Year'!$A$3:$A$20000,ROW('Local Data Previous Year'!$A$3:$A$20000)-ROW('Local Data Previous Year'!$A$3)+1),ROW(493:493))))</f>
        <v/>
      </c>
      <c r="F525" s="756" t="str">
        <f>IF($D525="","",IF(ISNA(MATCH($D525,'Local Data Previous Year'!$D$3:$D$20000,0)),"New",IFERROR(VLOOKUP($B525,'Local Data Previous Year'!$D$3:$I$20000,6,0),"")))</f>
        <v/>
      </c>
      <c r="G525" s="757">
        <f t="shared" si="99"/>
        <v>0</v>
      </c>
      <c r="H525" s="758" t="str">
        <f>IFERROR(INDEX('Local Data Previous Year'!$F:$F, MATCH($D525, 'Local Data Previous Year'!$D:$D, 0)), "")</f>
        <v/>
      </c>
      <c r="I525" s="759">
        <f>IF(B525=CTR1_Billing!$E$21&amp;"NEW",1,0)</f>
        <v>0</v>
      </c>
      <c r="J525" s="760" t="str">
        <f>IFERROR(INDEX('Local Data Previous Year'!$G:$G, MATCH($D525, 'Local Data Previous Year'!$D:$D, 0)), "")</f>
        <v/>
      </c>
      <c r="K525" s="762"/>
      <c r="L525" s="760" t="str">
        <f>IFERROR(INDEX('Local Data Previous Year'!$H:$H, MATCH($D525, 'Local Data Previous Year'!$D:$D, 0)), "")</f>
        <v/>
      </c>
      <c r="M525" s="762"/>
      <c r="N525" s="763"/>
      <c r="O525" s="767"/>
      <c r="P525" s="765"/>
      <c r="Q525" s="767"/>
      <c r="R525" s="766" t="str">
        <f t="shared" si="100"/>
        <v/>
      </c>
      <c r="S525" s="754"/>
      <c r="T525" s="763"/>
      <c r="U525" s="754"/>
      <c r="V525" s="763"/>
      <c r="W525" s="763"/>
      <c r="X525" s="865" t="str">
        <f>VLOOKUP(CTR1_Billing!$E$21,Data!$C$6:$D$302,1,FALSE)</f>
        <v>EZZZZ</v>
      </c>
      <c r="Y525" s="205"/>
      <c r="Z525" s="205">
        <f t="shared" si="89"/>
        <v>0</v>
      </c>
      <c r="AA525" s="206" t="str">
        <f t="shared" si="88"/>
        <v/>
      </c>
      <c r="AB525" s="205">
        <f t="shared" si="90"/>
        <v>0</v>
      </c>
      <c r="AC525" s="208"/>
      <c r="AD525" s="208"/>
      <c r="AE525" s="208"/>
      <c r="AF525" s="208"/>
      <c r="AG525" s="209" t="str">
        <f>IFERROR(INDEX('Local Data Previous Year'!$F:$F, MATCH($D525, 'Local Data Previous Year'!$D:$D, 0)), "")</f>
        <v/>
      </c>
      <c r="AH525" s="209" t="str">
        <f>IFERROR(INDEX('Local Data Previous Year'!$G:$G, MATCH($D525, 'Local Data Previous Year'!$D:$D, 0)), "")</f>
        <v/>
      </c>
      <c r="AI525" s="209" t="str">
        <f>IFERROR(INDEX('Local Data Previous Year'!$H:$H, MATCH($D525, 'Local Data Previous Year'!$D:$D, 0)), "")</f>
        <v/>
      </c>
      <c r="AJ525" s="209" t="str">
        <f t="shared" si="91"/>
        <v/>
      </c>
      <c r="AK525" s="209" t="str">
        <f t="shared" si="92"/>
        <v/>
      </c>
      <c r="AL525" s="209" t="str">
        <f t="shared" si="93"/>
        <v/>
      </c>
      <c r="AM525" s="208" t="str">
        <f>IF($AN525="","",IFERROR(VLOOKUP(CONCATENATE(CTR1_Billing!$E$20,$AN525),'Local Data Previous Year'!$C$3:$D$50000,2,0),CTR1_Billing!$E$21&amp;"NEW"))</f>
        <v/>
      </c>
      <c r="AN525" s="209" t="str" cm="1">
        <f t="array" ref="AN525">IF(ISERROR(INDEX('Local Data Previous Year'!$E$3:$E$50000, SMALL(IF(CTR1_Billing!$E$21='Local Data Previous Year'!$A$3:$A$50000, ROW('Local Data Previous Year'!$A$3:$A$50000)-ROW('Local Data Previous Year'!$A$3)+1), ROW(493:493)))), "", INDEX('Local Data Previous Year'!$E$3:$E$50000, SMALL(IF(CTR1_Billing!$E$21='Local Data Previous Year'!$A$3:$A$50000, ROW('Local Data Previous Year'!$A$3:$A$50000)-ROW('Local Data Previous Year'!$A$3)+1), ROW(493:493))))</f>
        <v/>
      </c>
      <c r="AO525" s="209" t="str">
        <f t="shared" si="94"/>
        <v/>
      </c>
      <c r="AP525" s="208"/>
      <c r="AQ525" s="209" t="str">
        <f t="shared" si="95"/>
        <v/>
      </c>
      <c r="AR525" s="209" t="str">
        <f t="shared" si="96"/>
        <v/>
      </c>
      <c r="AS525" s="202" t="str">
        <f t="shared" si="97"/>
        <v/>
      </c>
      <c r="AT525" s="202" t="str">
        <f t="shared" si="98"/>
        <v/>
      </c>
      <c r="AU525" s="208"/>
      <c r="AV525" s="208"/>
      <c r="AW525" s="208"/>
      <c r="AX525" s="208"/>
      <c r="AY525" s="208"/>
      <c r="AZ525" s="208"/>
      <c r="BA525" s="208"/>
      <c r="BB525" s="208"/>
      <c r="BC525" s="208"/>
      <c r="BD525" s="208"/>
      <c r="BE525" s="208"/>
      <c r="BF525" s="208"/>
      <c r="BG525" s="28"/>
      <c r="BH525" s="28"/>
      <c r="BI525" s="28"/>
      <c r="BJ525" s="28"/>
    </row>
    <row r="526" spans="1:62" s="23" customFormat="1" ht="21" customHeight="1" thickBot="1" x14ac:dyDescent="0.25">
      <c r="A526" s="846" t="str">
        <f>IF($AN526="","",IFERROR(VLOOKUP(CONCATENATE(CTR1_Billing!$E$20,$AN526),'Local Data Previous Year'!$C$3:$D$20000,2,0),CTR1_Billing!$E$21&amp;"NEW"))</f>
        <v/>
      </c>
      <c r="B526" s="846" t="str">
        <f>IF($E526="","",IFERROR(VLOOKUP(CONCATENATE(CTR1_Billing!$E$20,CTR1_Local!$E526),'Local Data Previous Year'!$C$3:$D$20000,2,0),CTR1_Billing!$E$21&amp;"NEW"))</f>
        <v/>
      </c>
      <c r="C526" s="846">
        <v>494</v>
      </c>
      <c r="D526" s="755" t="str" cm="1">
        <f t="array" ref="D526">IF(ISERROR(INDEX('Local Data Previous Year'!$D$3:$D$20000,SMALL(IF(CTR1_Billing!$E$21='Local Data Previous Year'!$A$3:$A$20000,ROW('Local Data Previous Year'!$A$3:$A$20000)-ROW('Local Data Previous Year'!$A$3)+1),ROW(494:494)))),"",INDEX('Local Data Previous Year'!$D$3:$D$20000,SMALL(IF(CTR1_Billing!$E$21='Local Data Previous Year'!$A$3:$A$20000,ROW('Local Data Previous Year'!$A$3:$A$20000)-ROW('Local Data Previous Year'!$A$3)+1),ROW(494:494))))</f>
        <v/>
      </c>
      <c r="E526" s="755" t="str" cm="1">
        <f t="array" ref="E526">IF(ISERROR(INDEX('Local Data Previous Year'!$E$3:$E$20000,SMALL(IF(CTR1_Billing!$E$21='Local Data Previous Year'!$A$3:$A$20000,ROW('Local Data Previous Year'!$A$3:$A$20000)-ROW('Local Data Previous Year'!$A$3)+1),ROW(494:494)))),"",INDEX('Local Data Previous Year'!$E$3:$E$20000,SMALL(IF(CTR1_Billing!$E$21='Local Data Previous Year'!$A$3:$A$20000,ROW('Local Data Previous Year'!$A$3:$A$20000)-ROW('Local Data Previous Year'!$A$3)+1),ROW(494:494))))</f>
        <v/>
      </c>
      <c r="F526" s="756" t="str">
        <f>IF($D526="","",IF(ISNA(MATCH($D526,'Local Data Previous Year'!$D$3:$D$20000,0)),"New",IFERROR(VLOOKUP($B526,'Local Data Previous Year'!$D$3:$I$20000,6,0),"")))</f>
        <v/>
      </c>
      <c r="G526" s="757">
        <f t="shared" si="99"/>
        <v>0</v>
      </c>
      <c r="H526" s="758" t="str">
        <f>IFERROR(INDEX('Local Data Previous Year'!$F:$F, MATCH($D526, 'Local Data Previous Year'!$D:$D, 0)), "")</f>
        <v/>
      </c>
      <c r="I526" s="759">
        <f>IF(B526=CTR1_Billing!$E$21&amp;"NEW",1,0)</f>
        <v>0</v>
      </c>
      <c r="J526" s="760" t="str">
        <f>IFERROR(INDEX('Local Data Previous Year'!$G:$G, MATCH($D526, 'Local Data Previous Year'!$D:$D, 0)), "")</f>
        <v/>
      </c>
      <c r="K526" s="762"/>
      <c r="L526" s="760" t="str">
        <f>IFERROR(INDEX('Local Data Previous Year'!$H:$H, MATCH($D526, 'Local Data Previous Year'!$D:$D, 0)), "")</f>
        <v/>
      </c>
      <c r="M526" s="762"/>
      <c r="N526" s="763"/>
      <c r="O526" s="767"/>
      <c r="P526" s="765"/>
      <c r="Q526" s="767"/>
      <c r="R526" s="766" t="str">
        <f t="shared" si="100"/>
        <v/>
      </c>
      <c r="S526" s="754"/>
      <c r="T526" s="763"/>
      <c r="U526" s="754"/>
      <c r="V526" s="763"/>
      <c r="W526" s="763"/>
      <c r="X526" s="865" t="str">
        <f>VLOOKUP(CTR1_Billing!$E$21,Data!$C$6:$D$302,1,FALSE)</f>
        <v>EZZZZ</v>
      </c>
      <c r="Y526" s="205"/>
      <c r="Z526" s="205">
        <f t="shared" si="89"/>
        <v>0</v>
      </c>
      <c r="AA526" s="206" t="str">
        <f t="shared" si="88"/>
        <v/>
      </c>
      <c r="AB526" s="205">
        <f t="shared" si="90"/>
        <v>0</v>
      </c>
      <c r="AC526" s="208"/>
      <c r="AD526" s="208"/>
      <c r="AE526" s="208"/>
      <c r="AF526" s="208"/>
      <c r="AG526" s="209" t="str">
        <f>IFERROR(INDEX('Local Data Previous Year'!$F:$F, MATCH($D526, 'Local Data Previous Year'!$D:$D, 0)), "")</f>
        <v/>
      </c>
      <c r="AH526" s="209" t="str">
        <f>IFERROR(INDEX('Local Data Previous Year'!$G:$G, MATCH($D526, 'Local Data Previous Year'!$D:$D, 0)), "")</f>
        <v/>
      </c>
      <c r="AI526" s="209" t="str">
        <f>IFERROR(INDEX('Local Data Previous Year'!$H:$H, MATCH($D526, 'Local Data Previous Year'!$D:$D, 0)), "")</f>
        <v/>
      </c>
      <c r="AJ526" s="209" t="str">
        <f t="shared" si="91"/>
        <v/>
      </c>
      <c r="AK526" s="209" t="str">
        <f t="shared" si="92"/>
        <v/>
      </c>
      <c r="AL526" s="209" t="str">
        <f t="shared" si="93"/>
        <v/>
      </c>
      <c r="AM526" s="208" t="str">
        <f>IF($AN526="","",IFERROR(VLOOKUP(CONCATENATE(CTR1_Billing!$E$20,$AN526),'Local Data Previous Year'!$C$3:$D$50000,2,0),CTR1_Billing!$E$21&amp;"NEW"))</f>
        <v/>
      </c>
      <c r="AN526" s="209" t="str" cm="1">
        <f t="array" ref="AN526">IF(ISERROR(INDEX('Local Data Previous Year'!$E$3:$E$50000, SMALL(IF(CTR1_Billing!$E$21='Local Data Previous Year'!$A$3:$A$50000, ROW('Local Data Previous Year'!$A$3:$A$50000)-ROW('Local Data Previous Year'!$A$3)+1), ROW(494:494)))), "", INDEX('Local Data Previous Year'!$E$3:$E$50000, SMALL(IF(CTR1_Billing!$E$21='Local Data Previous Year'!$A$3:$A$50000, ROW('Local Data Previous Year'!$A$3:$A$50000)-ROW('Local Data Previous Year'!$A$3)+1), ROW(494:494))))</f>
        <v/>
      </c>
      <c r="AO526" s="209" t="str">
        <f t="shared" si="94"/>
        <v/>
      </c>
      <c r="AP526" s="208"/>
      <c r="AQ526" s="209" t="str">
        <f t="shared" si="95"/>
        <v/>
      </c>
      <c r="AR526" s="209" t="str">
        <f t="shared" si="96"/>
        <v/>
      </c>
      <c r="AS526" s="202" t="str">
        <f t="shared" si="97"/>
        <v/>
      </c>
      <c r="AT526" s="202" t="str">
        <f t="shared" si="98"/>
        <v/>
      </c>
      <c r="AU526" s="208"/>
      <c r="AV526" s="208"/>
      <c r="AW526" s="208"/>
      <c r="AX526" s="208"/>
      <c r="AY526" s="208"/>
      <c r="AZ526" s="208"/>
      <c r="BA526" s="208"/>
      <c r="BB526" s="208"/>
      <c r="BC526" s="208"/>
      <c r="BD526" s="208"/>
      <c r="BE526" s="208"/>
      <c r="BF526" s="208"/>
      <c r="BG526" s="28"/>
      <c r="BH526" s="28"/>
      <c r="BI526" s="28"/>
      <c r="BJ526" s="28"/>
    </row>
    <row r="527" spans="1:62" s="23" customFormat="1" ht="21" customHeight="1" thickBot="1" x14ac:dyDescent="0.25">
      <c r="A527" s="846" t="str">
        <f>IF($AN527="","",IFERROR(VLOOKUP(CONCATENATE(CTR1_Billing!$E$20,$AN527),'Local Data Previous Year'!$C$3:$D$20000,2,0),CTR1_Billing!$E$21&amp;"NEW"))</f>
        <v/>
      </c>
      <c r="B527" s="846" t="str">
        <f>IF($E527="","",IFERROR(VLOOKUP(CONCATENATE(CTR1_Billing!$E$20,CTR1_Local!$E527),'Local Data Previous Year'!$C$3:$D$20000,2,0),CTR1_Billing!$E$21&amp;"NEW"))</f>
        <v/>
      </c>
      <c r="C527" s="846">
        <v>495</v>
      </c>
      <c r="D527" s="755" t="str" cm="1">
        <f t="array" ref="D527">IF(ISERROR(INDEX('Local Data Previous Year'!$D$3:$D$20000,SMALL(IF(CTR1_Billing!$E$21='Local Data Previous Year'!$A$3:$A$20000,ROW('Local Data Previous Year'!$A$3:$A$20000)-ROW('Local Data Previous Year'!$A$3)+1),ROW(495:495)))),"",INDEX('Local Data Previous Year'!$D$3:$D$20000,SMALL(IF(CTR1_Billing!$E$21='Local Data Previous Year'!$A$3:$A$20000,ROW('Local Data Previous Year'!$A$3:$A$20000)-ROW('Local Data Previous Year'!$A$3)+1),ROW(495:495))))</f>
        <v/>
      </c>
      <c r="E527" s="755" t="str" cm="1">
        <f t="array" ref="E527">IF(ISERROR(INDEX('Local Data Previous Year'!$E$3:$E$20000,SMALL(IF(CTR1_Billing!$E$21='Local Data Previous Year'!$A$3:$A$20000,ROW('Local Data Previous Year'!$A$3:$A$20000)-ROW('Local Data Previous Year'!$A$3)+1),ROW(495:495)))),"",INDEX('Local Data Previous Year'!$E$3:$E$20000,SMALL(IF(CTR1_Billing!$E$21='Local Data Previous Year'!$A$3:$A$20000,ROW('Local Data Previous Year'!$A$3:$A$20000)-ROW('Local Data Previous Year'!$A$3)+1),ROW(495:495))))</f>
        <v/>
      </c>
      <c r="F527" s="756" t="str">
        <f>IF($D527="","",IF(ISNA(MATCH($D527,'Local Data Previous Year'!$D$3:$D$20000,0)),"New",IFERROR(VLOOKUP($B527,'Local Data Previous Year'!$D$3:$I$20000,6,0),"")))</f>
        <v/>
      </c>
      <c r="G527" s="757">
        <f t="shared" si="99"/>
        <v>0</v>
      </c>
      <c r="H527" s="758" t="str">
        <f>IFERROR(INDEX('Local Data Previous Year'!$F:$F, MATCH($D527, 'Local Data Previous Year'!$D:$D, 0)), "")</f>
        <v/>
      </c>
      <c r="I527" s="759">
        <f>IF(B527=CTR1_Billing!$E$21&amp;"NEW",1,0)</f>
        <v>0</v>
      </c>
      <c r="J527" s="760" t="str">
        <f>IFERROR(INDEX('Local Data Previous Year'!$G:$G, MATCH($D527, 'Local Data Previous Year'!$D:$D, 0)), "")</f>
        <v/>
      </c>
      <c r="K527" s="762"/>
      <c r="L527" s="760" t="str">
        <f>IFERROR(INDEX('Local Data Previous Year'!$H:$H, MATCH($D527, 'Local Data Previous Year'!$D:$D, 0)), "")</f>
        <v/>
      </c>
      <c r="M527" s="762"/>
      <c r="N527" s="763"/>
      <c r="O527" s="767"/>
      <c r="P527" s="765"/>
      <c r="Q527" s="767"/>
      <c r="R527" s="766" t="str">
        <f t="shared" si="100"/>
        <v/>
      </c>
      <c r="S527" s="754"/>
      <c r="T527" s="763"/>
      <c r="U527" s="754"/>
      <c r="V527" s="763"/>
      <c r="W527" s="763"/>
      <c r="X527" s="865" t="str">
        <f>VLOOKUP(CTR1_Billing!$E$21,Data!$C$6:$D$302,1,FALSE)</f>
        <v>EZZZZ</v>
      </c>
      <c r="Y527" s="205"/>
      <c r="Z527" s="205">
        <f t="shared" si="89"/>
        <v>0</v>
      </c>
      <c r="AA527" s="206" t="str">
        <f t="shared" si="88"/>
        <v/>
      </c>
      <c r="AB527" s="205">
        <f t="shared" si="90"/>
        <v>0</v>
      </c>
      <c r="AC527" s="208"/>
      <c r="AD527" s="208"/>
      <c r="AE527" s="208"/>
      <c r="AF527" s="208"/>
      <c r="AG527" s="209" t="str">
        <f>IFERROR(INDEX('Local Data Previous Year'!$F:$F, MATCH($D527, 'Local Data Previous Year'!$D:$D, 0)), "")</f>
        <v/>
      </c>
      <c r="AH527" s="209" t="str">
        <f>IFERROR(INDEX('Local Data Previous Year'!$G:$G, MATCH($D527, 'Local Data Previous Year'!$D:$D, 0)), "")</f>
        <v/>
      </c>
      <c r="AI527" s="209" t="str">
        <f>IFERROR(INDEX('Local Data Previous Year'!$H:$H, MATCH($D527, 'Local Data Previous Year'!$D:$D, 0)), "")</f>
        <v/>
      </c>
      <c r="AJ527" s="209" t="str">
        <f t="shared" si="91"/>
        <v/>
      </c>
      <c r="AK527" s="209" t="str">
        <f t="shared" si="92"/>
        <v/>
      </c>
      <c r="AL527" s="209" t="str">
        <f t="shared" si="93"/>
        <v/>
      </c>
      <c r="AM527" s="208" t="str">
        <f>IF($AN527="","",IFERROR(VLOOKUP(CONCATENATE(CTR1_Billing!$E$20,$AN527),'Local Data Previous Year'!$C$3:$D$50000,2,0),CTR1_Billing!$E$21&amp;"NEW"))</f>
        <v/>
      </c>
      <c r="AN527" s="209" t="str" cm="1">
        <f t="array" ref="AN527">IF(ISERROR(INDEX('Local Data Previous Year'!$E$3:$E$50000, SMALL(IF(CTR1_Billing!$E$21='Local Data Previous Year'!$A$3:$A$50000, ROW('Local Data Previous Year'!$A$3:$A$50000)-ROW('Local Data Previous Year'!$A$3)+1), ROW(495:495)))), "", INDEX('Local Data Previous Year'!$E$3:$E$50000, SMALL(IF(CTR1_Billing!$E$21='Local Data Previous Year'!$A$3:$A$50000, ROW('Local Data Previous Year'!$A$3:$A$50000)-ROW('Local Data Previous Year'!$A$3)+1), ROW(495:495))))</f>
        <v/>
      </c>
      <c r="AO527" s="209" t="str">
        <f t="shared" si="94"/>
        <v/>
      </c>
      <c r="AP527" s="208"/>
      <c r="AQ527" s="209" t="str">
        <f t="shared" si="95"/>
        <v/>
      </c>
      <c r="AR527" s="209" t="str">
        <f t="shared" si="96"/>
        <v/>
      </c>
      <c r="AS527" s="202" t="str">
        <f t="shared" si="97"/>
        <v/>
      </c>
      <c r="AT527" s="202" t="str">
        <f t="shared" si="98"/>
        <v/>
      </c>
      <c r="AU527" s="208"/>
      <c r="AV527" s="208"/>
      <c r="AW527" s="208"/>
      <c r="AX527" s="208"/>
      <c r="AY527" s="208"/>
      <c r="AZ527" s="208"/>
      <c r="BA527" s="208"/>
      <c r="BB527" s="208"/>
      <c r="BC527" s="208"/>
      <c r="BD527" s="208"/>
      <c r="BE527" s="208"/>
      <c r="BF527" s="208"/>
      <c r="BG527" s="28"/>
      <c r="BH527" s="28"/>
      <c r="BI527" s="28"/>
      <c r="BJ527" s="28"/>
    </row>
    <row r="528" spans="1:62" s="23" customFormat="1" ht="21" customHeight="1" thickBot="1" x14ac:dyDescent="0.25">
      <c r="A528" s="846" t="str">
        <f>IF($AN528="","",IFERROR(VLOOKUP(CONCATENATE(CTR1_Billing!$E$20,$AN528),'Local Data Previous Year'!$C$3:$D$20000,2,0),CTR1_Billing!$E$21&amp;"NEW"))</f>
        <v/>
      </c>
      <c r="B528" s="846" t="str">
        <f>IF($E528="","",IFERROR(VLOOKUP(CONCATENATE(CTR1_Billing!$E$20,CTR1_Local!$E528),'Local Data Previous Year'!$C$3:$D$20000,2,0),CTR1_Billing!$E$21&amp;"NEW"))</f>
        <v/>
      </c>
      <c r="C528" s="846">
        <v>496</v>
      </c>
      <c r="D528" s="755" t="str" cm="1">
        <f t="array" ref="D528">IF(ISERROR(INDEX('Local Data Previous Year'!$D$3:$D$20000,SMALL(IF(CTR1_Billing!$E$21='Local Data Previous Year'!$A$3:$A$20000,ROW('Local Data Previous Year'!$A$3:$A$20000)-ROW('Local Data Previous Year'!$A$3)+1),ROW(496:496)))),"",INDEX('Local Data Previous Year'!$D$3:$D$20000,SMALL(IF(CTR1_Billing!$E$21='Local Data Previous Year'!$A$3:$A$20000,ROW('Local Data Previous Year'!$A$3:$A$20000)-ROW('Local Data Previous Year'!$A$3)+1),ROW(496:496))))</f>
        <v/>
      </c>
      <c r="E528" s="755" t="str" cm="1">
        <f t="array" ref="E528">IF(ISERROR(INDEX('Local Data Previous Year'!$E$3:$E$20000,SMALL(IF(CTR1_Billing!$E$21='Local Data Previous Year'!$A$3:$A$20000,ROW('Local Data Previous Year'!$A$3:$A$20000)-ROW('Local Data Previous Year'!$A$3)+1),ROW(496:496)))),"",INDEX('Local Data Previous Year'!$E$3:$E$20000,SMALL(IF(CTR1_Billing!$E$21='Local Data Previous Year'!$A$3:$A$20000,ROW('Local Data Previous Year'!$A$3:$A$20000)-ROW('Local Data Previous Year'!$A$3)+1),ROW(496:496))))</f>
        <v/>
      </c>
      <c r="F528" s="756" t="str">
        <f>IF($D528="","",IF(ISNA(MATCH($D528,'Local Data Previous Year'!$D$3:$D$20000,0)),"New",IFERROR(VLOOKUP($B528,'Local Data Previous Year'!$D$3:$I$20000,6,0),"")))</f>
        <v/>
      </c>
      <c r="G528" s="757">
        <f t="shared" si="99"/>
        <v>0</v>
      </c>
      <c r="H528" s="758" t="str">
        <f>IFERROR(INDEX('Local Data Previous Year'!$F:$F, MATCH($D528, 'Local Data Previous Year'!$D:$D, 0)), "")</f>
        <v/>
      </c>
      <c r="I528" s="759">
        <f>IF(B528=CTR1_Billing!$E$21&amp;"NEW",1,0)</f>
        <v>0</v>
      </c>
      <c r="J528" s="760" t="str">
        <f>IFERROR(INDEX('Local Data Previous Year'!$G:$G, MATCH($D528, 'Local Data Previous Year'!$D:$D, 0)), "")</f>
        <v/>
      </c>
      <c r="K528" s="762"/>
      <c r="L528" s="760" t="str">
        <f>IFERROR(INDEX('Local Data Previous Year'!$H:$H, MATCH($D528, 'Local Data Previous Year'!$D:$D, 0)), "")</f>
        <v/>
      </c>
      <c r="M528" s="762"/>
      <c r="N528" s="763"/>
      <c r="O528" s="767"/>
      <c r="P528" s="765"/>
      <c r="Q528" s="767"/>
      <c r="R528" s="766" t="str">
        <f t="shared" si="100"/>
        <v/>
      </c>
      <c r="S528" s="754"/>
      <c r="T528" s="763"/>
      <c r="U528" s="754"/>
      <c r="V528" s="763"/>
      <c r="W528" s="763"/>
      <c r="X528" s="865" t="str">
        <f>VLOOKUP(CTR1_Billing!$E$21,Data!$C$6:$D$302,1,FALSE)</f>
        <v>EZZZZ</v>
      </c>
      <c r="Y528" s="205"/>
      <c r="Z528" s="205">
        <f t="shared" si="89"/>
        <v>0</v>
      </c>
      <c r="AA528" s="206" t="str">
        <f t="shared" si="88"/>
        <v/>
      </c>
      <c r="AB528" s="205">
        <f t="shared" si="90"/>
        <v>0</v>
      </c>
      <c r="AC528" s="208"/>
      <c r="AD528" s="208"/>
      <c r="AE528" s="208"/>
      <c r="AF528" s="208"/>
      <c r="AG528" s="209" t="str">
        <f>IFERROR(INDEX('Local Data Previous Year'!$F:$F, MATCH($D528, 'Local Data Previous Year'!$D:$D, 0)), "")</f>
        <v/>
      </c>
      <c r="AH528" s="209" t="str">
        <f>IFERROR(INDEX('Local Data Previous Year'!$G:$G, MATCH($D528, 'Local Data Previous Year'!$D:$D, 0)), "")</f>
        <v/>
      </c>
      <c r="AI528" s="209" t="str">
        <f>IFERROR(INDEX('Local Data Previous Year'!$H:$H, MATCH($D528, 'Local Data Previous Year'!$D:$D, 0)), "")</f>
        <v/>
      </c>
      <c r="AJ528" s="209" t="str">
        <f t="shared" si="91"/>
        <v/>
      </c>
      <c r="AK528" s="209" t="str">
        <f t="shared" si="92"/>
        <v/>
      </c>
      <c r="AL528" s="209" t="str">
        <f t="shared" si="93"/>
        <v/>
      </c>
      <c r="AM528" s="208" t="str">
        <f>IF($AN528="","",IFERROR(VLOOKUP(CONCATENATE(CTR1_Billing!$E$20,$AN528),'Local Data Previous Year'!$C$3:$D$50000,2,0),CTR1_Billing!$E$21&amp;"NEW"))</f>
        <v/>
      </c>
      <c r="AN528" s="209" t="str" cm="1">
        <f t="array" ref="AN528">IF(ISERROR(INDEX('Local Data Previous Year'!$E$3:$E$50000, SMALL(IF(CTR1_Billing!$E$21='Local Data Previous Year'!$A$3:$A$50000, ROW('Local Data Previous Year'!$A$3:$A$50000)-ROW('Local Data Previous Year'!$A$3)+1), ROW(496:496)))), "", INDEX('Local Data Previous Year'!$E$3:$E$50000, SMALL(IF(CTR1_Billing!$E$21='Local Data Previous Year'!$A$3:$A$50000, ROW('Local Data Previous Year'!$A$3:$A$50000)-ROW('Local Data Previous Year'!$A$3)+1), ROW(496:496))))</f>
        <v/>
      </c>
      <c r="AO528" s="209" t="str">
        <f t="shared" si="94"/>
        <v/>
      </c>
      <c r="AP528" s="208"/>
      <c r="AQ528" s="209" t="str">
        <f t="shared" si="95"/>
        <v/>
      </c>
      <c r="AR528" s="209" t="str">
        <f t="shared" si="96"/>
        <v/>
      </c>
      <c r="AS528" s="202" t="str">
        <f t="shared" si="97"/>
        <v/>
      </c>
      <c r="AT528" s="202" t="str">
        <f t="shared" si="98"/>
        <v/>
      </c>
      <c r="AU528" s="208"/>
      <c r="AV528" s="208"/>
      <c r="AW528" s="208"/>
      <c r="AX528" s="208"/>
      <c r="AY528" s="208"/>
      <c r="AZ528" s="208"/>
      <c r="BA528" s="208"/>
      <c r="BB528" s="208"/>
      <c r="BC528" s="208"/>
      <c r="BD528" s="208"/>
      <c r="BE528" s="208"/>
      <c r="BF528" s="208"/>
      <c r="BG528" s="28"/>
      <c r="BH528" s="28"/>
      <c r="BI528" s="28"/>
      <c r="BJ528" s="28"/>
    </row>
    <row r="529" spans="1:62" s="23" customFormat="1" ht="21" customHeight="1" thickBot="1" x14ac:dyDescent="0.25">
      <c r="A529" s="846" t="str">
        <f>IF($AN529="","",IFERROR(VLOOKUP(CONCATENATE(CTR1_Billing!$E$20,$AN529),'Local Data Previous Year'!$C$3:$D$20000,2,0),CTR1_Billing!$E$21&amp;"NEW"))</f>
        <v/>
      </c>
      <c r="B529" s="846" t="str">
        <f>IF($E529="","",IFERROR(VLOOKUP(CONCATENATE(CTR1_Billing!$E$20,CTR1_Local!$E529),'Local Data Previous Year'!$C$3:$D$20000,2,0),CTR1_Billing!$E$21&amp;"NEW"))</f>
        <v/>
      </c>
      <c r="C529" s="846">
        <v>497</v>
      </c>
      <c r="D529" s="755" t="str" cm="1">
        <f t="array" ref="D529">IF(ISERROR(INDEX('Local Data Previous Year'!$D$3:$D$20000,SMALL(IF(CTR1_Billing!$E$21='Local Data Previous Year'!$A$3:$A$20000,ROW('Local Data Previous Year'!$A$3:$A$20000)-ROW('Local Data Previous Year'!$A$3)+1),ROW(497:497)))),"",INDEX('Local Data Previous Year'!$D$3:$D$20000,SMALL(IF(CTR1_Billing!$E$21='Local Data Previous Year'!$A$3:$A$20000,ROW('Local Data Previous Year'!$A$3:$A$20000)-ROW('Local Data Previous Year'!$A$3)+1),ROW(497:497))))</f>
        <v/>
      </c>
      <c r="E529" s="755" t="str" cm="1">
        <f t="array" ref="E529">IF(ISERROR(INDEX('Local Data Previous Year'!$E$3:$E$20000,SMALL(IF(CTR1_Billing!$E$21='Local Data Previous Year'!$A$3:$A$20000,ROW('Local Data Previous Year'!$A$3:$A$20000)-ROW('Local Data Previous Year'!$A$3)+1),ROW(497:497)))),"",INDEX('Local Data Previous Year'!$E$3:$E$20000,SMALL(IF(CTR1_Billing!$E$21='Local Data Previous Year'!$A$3:$A$20000,ROW('Local Data Previous Year'!$A$3:$A$20000)-ROW('Local Data Previous Year'!$A$3)+1),ROW(497:497))))</f>
        <v/>
      </c>
      <c r="F529" s="756" t="str">
        <f>IF($D529="","",IF(ISNA(MATCH($D529,'Local Data Previous Year'!$D$3:$D$20000,0)),"New",IFERROR(VLOOKUP($B529,'Local Data Previous Year'!$D$3:$I$20000,6,0),"")))</f>
        <v/>
      </c>
      <c r="G529" s="757">
        <f t="shared" si="99"/>
        <v>0</v>
      </c>
      <c r="H529" s="758" t="str">
        <f>IFERROR(INDEX('Local Data Previous Year'!$F:$F, MATCH($D529, 'Local Data Previous Year'!$D:$D, 0)), "")</f>
        <v/>
      </c>
      <c r="I529" s="759">
        <f>IF(B529=CTR1_Billing!$E$21&amp;"NEW",1,0)</f>
        <v>0</v>
      </c>
      <c r="J529" s="760" t="str">
        <f>IFERROR(INDEX('Local Data Previous Year'!$G:$G, MATCH($D529, 'Local Data Previous Year'!$D:$D, 0)), "")</f>
        <v/>
      </c>
      <c r="K529" s="762"/>
      <c r="L529" s="760" t="str">
        <f>IFERROR(INDEX('Local Data Previous Year'!$H:$H, MATCH($D529, 'Local Data Previous Year'!$D:$D, 0)), "")</f>
        <v/>
      </c>
      <c r="M529" s="762"/>
      <c r="N529" s="763"/>
      <c r="O529" s="767"/>
      <c r="P529" s="765"/>
      <c r="Q529" s="767"/>
      <c r="R529" s="766" t="str">
        <f t="shared" si="100"/>
        <v/>
      </c>
      <c r="S529" s="754"/>
      <c r="T529" s="763"/>
      <c r="U529" s="754"/>
      <c r="V529" s="763"/>
      <c r="W529" s="763"/>
      <c r="X529" s="865" t="str">
        <f>VLOOKUP(CTR1_Billing!$E$21,Data!$C$6:$D$302,1,FALSE)</f>
        <v>EZZZZ</v>
      </c>
      <c r="Y529" s="205"/>
      <c r="Z529" s="205">
        <f t="shared" si="89"/>
        <v>0</v>
      </c>
      <c r="AA529" s="206" t="str">
        <f t="shared" si="88"/>
        <v/>
      </c>
      <c r="AB529" s="205">
        <f t="shared" si="90"/>
        <v>0</v>
      </c>
      <c r="AC529" s="208"/>
      <c r="AD529" s="208"/>
      <c r="AE529" s="208"/>
      <c r="AF529" s="208"/>
      <c r="AG529" s="209" t="str">
        <f>IFERROR(INDEX('Local Data Previous Year'!$F:$F, MATCH($D529, 'Local Data Previous Year'!$D:$D, 0)), "")</f>
        <v/>
      </c>
      <c r="AH529" s="209" t="str">
        <f>IFERROR(INDEX('Local Data Previous Year'!$G:$G, MATCH($D529, 'Local Data Previous Year'!$D:$D, 0)), "")</f>
        <v/>
      </c>
      <c r="AI529" s="209" t="str">
        <f>IFERROR(INDEX('Local Data Previous Year'!$H:$H, MATCH($D529, 'Local Data Previous Year'!$D:$D, 0)), "")</f>
        <v/>
      </c>
      <c r="AJ529" s="209" t="str">
        <f t="shared" si="91"/>
        <v/>
      </c>
      <c r="AK529" s="209" t="str">
        <f t="shared" si="92"/>
        <v/>
      </c>
      <c r="AL529" s="209" t="str">
        <f t="shared" si="93"/>
        <v/>
      </c>
      <c r="AM529" s="208" t="str">
        <f>IF($AN529="","",IFERROR(VLOOKUP(CONCATENATE(CTR1_Billing!$E$20,$AN529),'Local Data Previous Year'!$C$3:$D$50000,2,0),CTR1_Billing!$E$21&amp;"NEW"))</f>
        <v/>
      </c>
      <c r="AN529" s="209" t="str" cm="1">
        <f t="array" ref="AN529">IF(ISERROR(INDEX('Local Data Previous Year'!$E$3:$E$50000, SMALL(IF(CTR1_Billing!$E$21='Local Data Previous Year'!$A$3:$A$50000, ROW('Local Data Previous Year'!$A$3:$A$50000)-ROW('Local Data Previous Year'!$A$3)+1), ROW(497:497)))), "", INDEX('Local Data Previous Year'!$E$3:$E$50000, SMALL(IF(CTR1_Billing!$E$21='Local Data Previous Year'!$A$3:$A$50000, ROW('Local Data Previous Year'!$A$3:$A$50000)-ROW('Local Data Previous Year'!$A$3)+1), ROW(497:497))))</f>
        <v/>
      </c>
      <c r="AO529" s="209" t="str">
        <f t="shared" si="94"/>
        <v/>
      </c>
      <c r="AP529" s="208"/>
      <c r="AQ529" s="209" t="str">
        <f t="shared" si="95"/>
        <v/>
      </c>
      <c r="AR529" s="209" t="str">
        <f t="shared" si="96"/>
        <v/>
      </c>
      <c r="AS529" s="202" t="str">
        <f t="shared" si="97"/>
        <v/>
      </c>
      <c r="AT529" s="202" t="str">
        <f t="shared" si="98"/>
        <v/>
      </c>
      <c r="AU529" s="208"/>
      <c r="AV529" s="208"/>
      <c r="AW529" s="208"/>
      <c r="AX529" s="208"/>
      <c r="AY529" s="208"/>
      <c r="AZ529" s="208"/>
      <c r="BA529" s="208"/>
      <c r="BB529" s="208"/>
      <c r="BC529" s="208"/>
      <c r="BD529" s="208"/>
      <c r="BE529" s="208"/>
      <c r="BF529" s="208"/>
      <c r="BG529" s="28"/>
      <c r="BH529" s="28"/>
      <c r="BI529" s="28"/>
      <c r="BJ529" s="28"/>
    </row>
    <row r="530" spans="1:62" s="23" customFormat="1" ht="21" customHeight="1" thickBot="1" x14ac:dyDescent="0.25">
      <c r="A530" s="846" t="str">
        <f>IF($AN530="","",IFERROR(VLOOKUP(CONCATENATE(CTR1_Billing!$E$20,$AN530),'Local Data Previous Year'!$C$3:$D$20000,2,0),CTR1_Billing!$E$21&amp;"NEW"))</f>
        <v/>
      </c>
      <c r="B530" s="846" t="str">
        <f>IF($E530="","",IFERROR(VLOOKUP(CONCATENATE(CTR1_Billing!$E$20,CTR1_Local!$E530),'Local Data Previous Year'!$C$3:$D$20000,2,0),CTR1_Billing!$E$21&amp;"NEW"))</f>
        <v/>
      </c>
      <c r="C530" s="846">
        <v>498</v>
      </c>
      <c r="D530" s="755" t="str" cm="1">
        <f t="array" ref="D530">IF(ISERROR(INDEX('Local Data Previous Year'!$D$3:$D$20000,SMALL(IF(CTR1_Billing!$E$21='Local Data Previous Year'!$A$3:$A$20000,ROW('Local Data Previous Year'!$A$3:$A$20000)-ROW('Local Data Previous Year'!$A$3)+1),ROW(498:498)))),"",INDEX('Local Data Previous Year'!$D$3:$D$20000,SMALL(IF(CTR1_Billing!$E$21='Local Data Previous Year'!$A$3:$A$20000,ROW('Local Data Previous Year'!$A$3:$A$20000)-ROW('Local Data Previous Year'!$A$3)+1),ROW(498:498))))</f>
        <v/>
      </c>
      <c r="E530" s="755" t="str" cm="1">
        <f t="array" ref="E530">IF(ISERROR(INDEX('Local Data Previous Year'!$E$3:$E$20000,SMALL(IF(CTR1_Billing!$E$21='Local Data Previous Year'!$A$3:$A$20000,ROW('Local Data Previous Year'!$A$3:$A$20000)-ROW('Local Data Previous Year'!$A$3)+1),ROW(498:498)))),"",INDEX('Local Data Previous Year'!$E$3:$E$20000,SMALL(IF(CTR1_Billing!$E$21='Local Data Previous Year'!$A$3:$A$20000,ROW('Local Data Previous Year'!$A$3:$A$20000)-ROW('Local Data Previous Year'!$A$3)+1),ROW(498:498))))</f>
        <v/>
      </c>
      <c r="F530" s="756" t="str">
        <f>IF($D530="","",IF(ISNA(MATCH($D530,'Local Data Previous Year'!$D$3:$D$20000,0)),"New",IFERROR(VLOOKUP($B530,'Local Data Previous Year'!$D$3:$I$20000,6,0),"")))</f>
        <v/>
      </c>
      <c r="G530" s="757">
        <f t="shared" si="99"/>
        <v>0</v>
      </c>
      <c r="H530" s="758" t="str">
        <f>IFERROR(INDEX('Local Data Previous Year'!$F:$F, MATCH($D530, 'Local Data Previous Year'!$D:$D, 0)), "")</f>
        <v/>
      </c>
      <c r="I530" s="759">
        <f>IF(B530=CTR1_Billing!$E$21&amp;"NEW",1,0)</f>
        <v>0</v>
      </c>
      <c r="J530" s="760" t="str">
        <f>IFERROR(INDEX('Local Data Previous Year'!$G:$G, MATCH($D530, 'Local Data Previous Year'!$D:$D, 0)), "")</f>
        <v/>
      </c>
      <c r="K530" s="762"/>
      <c r="L530" s="760" t="str">
        <f>IFERROR(INDEX('Local Data Previous Year'!$H:$H, MATCH($D530, 'Local Data Previous Year'!$D:$D, 0)), "")</f>
        <v/>
      </c>
      <c r="M530" s="762"/>
      <c r="N530" s="763"/>
      <c r="O530" s="767"/>
      <c r="P530" s="765"/>
      <c r="Q530" s="767"/>
      <c r="R530" s="766" t="str">
        <f t="shared" si="100"/>
        <v/>
      </c>
      <c r="S530" s="754"/>
      <c r="T530" s="763"/>
      <c r="U530" s="754"/>
      <c r="V530" s="763"/>
      <c r="W530" s="763"/>
      <c r="X530" s="865" t="str">
        <f>VLOOKUP(CTR1_Billing!$E$21,Data!$C$6:$D$302,1,FALSE)</f>
        <v>EZZZZ</v>
      </c>
      <c r="Y530" s="205"/>
      <c r="Z530" s="205">
        <f t="shared" si="89"/>
        <v>0</v>
      </c>
      <c r="AA530" s="206" t="str">
        <f t="shared" si="88"/>
        <v/>
      </c>
      <c r="AB530" s="205">
        <f t="shared" si="90"/>
        <v>0</v>
      </c>
      <c r="AC530" s="208"/>
      <c r="AD530" s="208"/>
      <c r="AE530" s="208"/>
      <c r="AF530" s="208"/>
      <c r="AG530" s="209" t="str">
        <f>IFERROR(INDEX('Local Data Previous Year'!$F:$F, MATCH($D530, 'Local Data Previous Year'!$D:$D, 0)), "")</f>
        <v/>
      </c>
      <c r="AH530" s="209" t="str">
        <f>IFERROR(INDEX('Local Data Previous Year'!$G:$G, MATCH($D530, 'Local Data Previous Year'!$D:$D, 0)), "")</f>
        <v/>
      </c>
      <c r="AI530" s="209" t="str">
        <f>IFERROR(INDEX('Local Data Previous Year'!$H:$H, MATCH($D530, 'Local Data Previous Year'!$D:$D, 0)), "")</f>
        <v/>
      </c>
      <c r="AJ530" s="209" t="str">
        <f t="shared" si="91"/>
        <v/>
      </c>
      <c r="AK530" s="209" t="str">
        <f t="shared" si="92"/>
        <v/>
      </c>
      <c r="AL530" s="209" t="str">
        <f t="shared" si="93"/>
        <v/>
      </c>
      <c r="AM530" s="208" t="str">
        <f>IF($AN530="","",IFERROR(VLOOKUP(CONCATENATE(CTR1_Billing!$E$20,$AN530),'Local Data Previous Year'!$C$3:$D$50000,2,0),CTR1_Billing!$E$21&amp;"NEW"))</f>
        <v/>
      </c>
      <c r="AN530" s="209" t="str" cm="1">
        <f t="array" ref="AN530">IF(ISERROR(INDEX('Local Data Previous Year'!$E$3:$E$50000, SMALL(IF(CTR1_Billing!$E$21='Local Data Previous Year'!$A$3:$A$50000, ROW('Local Data Previous Year'!$A$3:$A$50000)-ROW('Local Data Previous Year'!$A$3)+1), ROW(498:498)))), "", INDEX('Local Data Previous Year'!$E$3:$E$50000, SMALL(IF(CTR1_Billing!$E$21='Local Data Previous Year'!$A$3:$A$50000, ROW('Local Data Previous Year'!$A$3:$A$50000)-ROW('Local Data Previous Year'!$A$3)+1), ROW(498:498))))</f>
        <v/>
      </c>
      <c r="AO530" s="209" t="str">
        <f t="shared" si="94"/>
        <v/>
      </c>
      <c r="AP530" s="208"/>
      <c r="AQ530" s="209" t="str">
        <f t="shared" si="95"/>
        <v/>
      </c>
      <c r="AR530" s="209" t="str">
        <f t="shared" si="96"/>
        <v/>
      </c>
      <c r="AS530" s="202" t="str">
        <f t="shared" si="97"/>
        <v/>
      </c>
      <c r="AT530" s="202" t="str">
        <f t="shared" si="98"/>
        <v/>
      </c>
      <c r="AU530" s="208"/>
      <c r="AV530" s="208"/>
      <c r="AW530" s="208"/>
      <c r="AX530" s="208"/>
      <c r="AY530" s="208"/>
      <c r="AZ530" s="208"/>
      <c r="BA530" s="208"/>
      <c r="BB530" s="208"/>
      <c r="BC530" s="208"/>
      <c r="BD530" s="208"/>
      <c r="BE530" s="208"/>
      <c r="BF530" s="208"/>
      <c r="BG530" s="28"/>
      <c r="BH530" s="28"/>
      <c r="BI530" s="28"/>
      <c r="BJ530" s="28"/>
    </row>
    <row r="531" spans="1:62" s="23" customFormat="1" ht="21" customHeight="1" thickBot="1" x14ac:dyDescent="0.25">
      <c r="A531" s="846" t="str">
        <f>IF($AN531="","",IFERROR(VLOOKUP(CONCATENATE(CTR1_Billing!$E$20,$AN531),'Local Data Previous Year'!$C$3:$D$20000,2,0),CTR1_Billing!$E$21&amp;"NEW"))</f>
        <v/>
      </c>
      <c r="B531" s="846" t="str">
        <f>IF($E531="","",IFERROR(VLOOKUP(CONCATENATE(CTR1_Billing!$E$20,CTR1_Local!$E531),'Local Data Previous Year'!$C$3:$D$20000,2,0),CTR1_Billing!$E$21&amp;"NEW"))</f>
        <v/>
      </c>
      <c r="C531" s="846">
        <v>499</v>
      </c>
      <c r="D531" s="755" t="str" cm="1">
        <f t="array" ref="D531">IF(ISERROR(INDEX('Local Data Previous Year'!$D$3:$D$20000,SMALL(IF(CTR1_Billing!$E$21='Local Data Previous Year'!$A$3:$A$20000,ROW('Local Data Previous Year'!$A$3:$A$20000)-ROW('Local Data Previous Year'!$A$3)+1),ROW(499:499)))),"",INDEX('Local Data Previous Year'!$D$3:$D$20000,SMALL(IF(CTR1_Billing!$E$21='Local Data Previous Year'!$A$3:$A$20000,ROW('Local Data Previous Year'!$A$3:$A$20000)-ROW('Local Data Previous Year'!$A$3)+1),ROW(499:499))))</f>
        <v/>
      </c>
      <c r="E531" s="755" t="str" cm="1">
        <f t="array" ref="E531">IF(ISERROR(INDEX('Local Data Previous Year'!$E$3:$E$20000,SMALL(IF(CTR1_Billing!$E$21='Local Data Previous Year'!$A$3:$A$20000,ROW('Local Data Previous Year'!$A$3:$A$20000)-ROW('Local Data Previous Year'!$A$3)+1),ROW(499:499)))),"",INDEX('Local Data Previous Year'!$E$3:$E$20000,SMALL(IF(CTR1_Billing!$E$21='Local Data Previous Year'!$A$3:$A$20000,ROW('Local Data Previous Year'!$A$3:$A$20000)-ROW('Local Data Previous Year'!$A$3)+1),ROW(499:499))))</f>
        <v/>
      </c>
      <c r="F531" s="756" t="str">
        <f>IF($D531="","",IF(ISNA(MATCH($D531,'Local Data Previous Year'!$D$3:$D$20000,0)),"New",IFERROR(VLOOKUP($B531,'Local Data Previous Year'!$D$3:$I$20000,6,0),"")))</f>
        <v/>
      </c>
      <c r="G531" s="757">
        <f t="shared" si="99"/>
        <v>0</v>
      </c>
      <c r="H531" s="758" t="str">
        <f>IFERROR(INDEX('Local Data Previous Year'!$F:$F, MATCH($D531, 'Local Data Previous Year'!$D:$D, 0)), "")</f>
        <v/>
      </c>
      <c r="I531" s="759">
        <f>IF(B531=CTR1_Billing!$E$21&amp;"NEW",1,0)</f>
        <v>0</v>
      </c>
      <c r="J531" s="760" t="str">
        <f>IFERROR(INDEX('Local Data Previous Year'!$G:$G, MATCH($D531, 'Local Data Previous Year'!$D:$D, 0)), "")</f>
        <v/>
      </c>
      <c r="K531" s="762"/>
      <c r="L531" s="760" t="str">
        <f>IFERROR(INDEX('Local Data Previous Year'!$H:$H, MATCH($D531, 'Local Data Previous Year'!$D:$D, 0)), "")</f>
        <v/>
      </c>
      <c r="M531" s="762"/>
      <c r="N531" s="763"/>
      <c r="O531" s="767"/>
      <c r="P531" s="765"/>
      <c r="Q531" s="767"/>
      <c r="R531" s="766" t="str">
        <f t="shared" si="100"/>
        <v/>
      </c>
      <c r="S531" s="754"/>
      <c r="T531" s="763"/>
      <c r="U531" s="754"/>
      <c r="V531" s="763"/>
      <c r="W531" s="763"/>
      <c r="X531" s="865" t="str">
        <f>VLOOKUP(CTR1_Billing!$E$21,Data!$C$6:$D$302,1,FALSE)</f>
        <v>EZZZZ</v>
      </c>
      <c r="Y531" s="205"/>
      <c r="Z531" s="205">
        <f t="shared" si="89"/>
        <v>0</v>
      </c>
      <c r="AA531" s="206" t="str">
        <f t="shared" si="88"/>
        <v/>
      </c>
      <c r="AB531" s="205">
        <f t="shared" si="90"/>
        <v>0</v>
      </c>
      <c r="AC531" s="208"/>
      <c r="AD531" s="208"/>
      <c r="AE531" s="208"/>
      <c r="AF531" s="208"/>
      <c r="AG531" s="209" t="str">
        <f>IFERROR(INDEX('Local Data Previous Year'!$F:$F, MATCH($D531, 'Local Data Previous Year'!$D:$D, 0)), "")</f>
        <v/>
      </c>
      <c r="AH531" s="209" t="str">
        <f>IFERROR(INDEX('Local Data Previous Year'!$G:$G, MATCH($D531, 'Local Data Previous Year'!$D:$D, 0)), "")</f>
        <v/>
      </c>
      <c r="AI531" s="209" t="str">
        <f>IFERROR(INDEX('Local Data Previous Year'!$H:$H, MATCH($D531, 'Local Data Previous Year'!$D:$D, 0)), "")</f>
        <v/>
      </c>
      <c r="AJ531" s="209" t="str">
        <f t="shared" si="91"/>
        <v/>
      </c>
      <c r="AK531" s="209" t="str">
        <f t="shared" si="92"/>
        <v/>
      </c>
      <c r="AL531" s="209" t="str">
        <f t="shared" si="93"/>
        <v/>
      </c>
      <c r="AM531" s="208" t="str">
        <f>IF($AN531="","",IFERROR(VLOOKUP(CONCATENATE(CTR1_Billing!$E$20,$AN531),'Local Data Previous Year'!$C$3:$D$50000,2,0),CTR1_Billing!$E$21&amp;"NEW"))</f>
        <v/>
      </c>
      <c r="AN531" s="209" t="str" cm="1">
        <f t="array" ref="AN531">IF(ISERROR(INDEX('Local Data Previous Year'!$E$3:$E$50000, SMALL(IF(CTR1_Billing!$E$21='Local Data Previous Year'!$A$3:$A$50000, ROW('Local Data Previous Year'!$A$3:$A$50000)-ROW('Local Data Previous Year'!$A$3)+1), ROW(499:499)))), "", INDEX('Local Data Previous Year'!$E$3:$E$50000, SMALL(IF(CTR1_Billing!$E$21='Local Data Previous Year'!$A$3:$A$50000, ROW('Local Data Previous Year'!$A$3:$A$50000)-ROW('Local Data Previous Year'!$A$3)+1), ROW(499:499))))</f>
        <v/>
      </c>
      <c r="AO531" s="209" t="str">
        <f t="shared" si="94"/>
        <v/>
      </c>
      <c r="AP531" s="208"/>
      <c r="AQ531" s="209" t="str">
        <f t="shared" si="95"/>
        <v/>
      </c>
      <c r="AR531" s="209" t="str">
        <f t="shared" si="96"/>
        <v/>
      </c>
      <c r="AS531" s="202" t="str">
        <f t="shared" si="97"/>
        <v/>
      </c>
      <c r="AT531" s="202" t="str">
        <f t="shared" si="98"/>
        <v/>
      </c>
      <c r="AU531" s="208"/>
      <c r="AV531" s="208"/>
      <c r="AW531" s="208"/>
      <c r="AX531" s="208"/>
      <c r="AY531" s="208"/>
      <c r="AZ531" s="208"/>
      <c r="BA531" s="208"/>
      <c r="BB531" s="208"/>
      <c r="BC531" s="208"/>
      <c r="BD531" s="208"/>
      <c r="BE531" s="208"/>
      <c r="BF531" s="208"/>
      <c r="BG531" s="28"/>
      <c r="BH531" s="28"/>
      <c r="BI531" s="28"/>
      <c r="BJ531" s="28"/>
    </row>
    <row r="532" spans="1:62" s="23" customFormat="1" ht="21" customHeight="1" thickBot="1" x14ac:dyDescent="0.25">
      <c r="A532" s="846" t="str">
        <f>IF($AN532="","",IFERROR(VLOOKUP(CONCATENATE(CTR1_Billing!$E$20,$AN532),'Local Data Previous Year'!$C$3:$D$20000,2,0),CTR1_Billing!$E$21&amp;"NEW"))</f>
        <v/>
      </c>
      <c r="B532" s="846" t="str">
        <f>IF($E532="","",IFERROR(VLOOKUP(CONCATENATE(CTR1_Billing!$E$20,CTR1_Local!$E532),'Local Data Previous Year'!$C$3:$D$20000,2,0),CTR1_Billing!$E$21&amp;"NEW"))</f>
        <v/>
      </c>
      <c r="C532" s="846">
        <v>500</v>
      </c>
      <c r="D532" s="755" t="str" cm="1">
        <f t="array" ref="D532">IF(ISERROR(INDEX('Local Data Previous Year'!$D$3:$D$20000,SMALL(IF(CTR1_Billing!$E$21='Local Data Previous Year'!$A$3:$A$20000,ROW('Local Data Previous Year'!$A$3:$A$20000)-ROW('Local Data Previous Year'!$A$3)+1),ROW(500:500)))),"",INDEX('Local Data Previous Year'!$D$3:$D$20000,SMALL(IF(CTR1_Billing!$E$21='Local Data Previous Year'!$A$3:$A$20000,ROW('Local Data Previous Year'!$A$3:$A$20000)-ROW('Local Data Previous Year'!$A$3)+1),ROW(500:500))))</f>
        <v/>
      </c>
      <c r="E532" s="755" t="str" cm="1">
        <f t="array" ref="E532">IF(ISERROR(INDEX('Local Data Previous Year'!$E$3:$E$20000,SMALL(IF(CTR1_Billing!$E$21='Local Data Previous Year'!$A$3:$A$20000,ROW('Local Data Previous Year'!$A$3:$A$20000)-ROW('Local Data Previous Year'!$A$3)+1),ROW(500:500)))),"",INDEX('Local Data Previous Year'!$E$3:$E$20000,SMALL(IF(CTR1_Billing!$E$21='Local Data Previous Year'!$A$3:$A$20000,ROW('Local Data Previous Year'!$A$3:$A$20000)-ROW('Local Data Previous Year'!$A$3)+1),ROW(500:500))))</f>
        <v/>
      </c>
      <c r="F532" s="756" t="str">
        <f>IF($D532="","",IF(ISNA(MATCH($D532,'Local Data Previous Year'!$D$3:$D$20000,0)),"New",IFERROR(VLOOKUP($B532,'Local Data Previous Year'!$D$3:$I$20000,6,0),"")))</f>
        <v/>
      </c>
      <c r="G532" s="757">
        <f t="shared" si="99"/>
        <v>0</v>
      </c>
      <c r="H532" s="758" t="str">
        <f>IFERROR(INDEX('Local Data Previous Year'!$F:$F, MATCH($D532, 'Local Data Previous Year'!$D:$D, 0)), "")</f>
        <v/>
      </c>
      <c r="I532" s="759">
        <f>IF(B532=CTR1_Billing!$E$21&amp;"NEW",1,0)</f>
        <v>0</v>
      </c>
      <c r="J532" s="760" t="str">
        <f>IFERROR(INDEX('Local Data Previous Year'!$G:$G, MATCH($D532, 'Local Data Previous Year'!$D:$D, 0)), "")</f>
        <v/>
      </c>
      <c r="K532" s="762"/>
      <c r="L532" s="760" t="str">
        <f>IFERROR(INDEX('Local Data Previous Year'!$H:$H, MATCH($D532, 'Local Data Previous Year'!$D:$D, 0)), "")</f>
        <v/>
      </c>
      <c r="M532" s="762"/>
      <c r="N532" s="763"/>
      <c r="O532" s="767"/>
      <c r="P532" s="765"/>
      <c r="Q532" s="767"/>
      <c r="R532" s="766" t="str">
        <f t="shared" si="100"/>
        <v/>
      </c>
      <c r="S532" s="754"/>
      <c r="T532" s="763"/>
      <c r="U532" s="754"/>
      <c r="V532" s="763"/>
      <c r="W532" s="763"/>
      <c r="X532" s="865" t="str">
        <f>VLOOKUP(CTR1_Billing!$E$21,Data!$C$6:$D$302,1,FALSE)</f>
        <v>EZZZZ</v>
      </c>
      <c r="Y532" s="205"/>
      <c r="Z532" s="205">
        <f t="shared" si="89"/>
        <v>0</v>
      </c>
      <c r="AA532" s="206" t="str">
        <f t="shared" si="88"/>
        <v/>
      </c>
      <c r="AB532" s="205">
        <f t="shared" si="90"/>
        <v>0</v>
      </c>
      <c r="AC532" s="208"/>
      <c r="AD532" s="208"/>
      <c r="AE532" s="208"/>
      <c r="AF532" s="208"/>
      <c r="AG532" s="209" t="str">
        <f>IFERROR(INDEX('Local Data Previous Year'!$F:$F, MATCH($D532, 'Local Data Previous Year'!$D:$D, 0)), "")</f>
        <v/>
      </c>
      <c r="AH532" s="209" t="str">
        <f>IFERROR(INDEX('Local Data Previous Year'!$G:$G, MATCH($D532, 'Local Data Previous Year'!$D:$D, 0)), "")</f>
        <v/>
      </c>
      <c r="AI532" s="209" t="str">
        <f>IFERROR(INDEX('Local Data Previous Year'!$H:$H, MATCH($D532, 'Local Data Previous Year'!$D:$D, 0)), "")</f>
        <v/>
      </c>
      <c r="AJ532" s="209" t="str">
        <f t="shared" si="91"/>
        <v/>
      </c>
      <c r="AK532" s="209" t="str">
        <f t="shared" si="92"/>
        <v/>
      </c>
      <c r="AL532" s="209" t="str">
        <f t="shared" si="93"/>
        <v/>
      </c>
      <c r="AM532" s="208" t="str">
        <f>IF($AN532="","",IFERROR(VLOOKUP(CONCATENATE(CTR1_Billing!$E$20,$AN532),'Local Data Previous Year'!$C$3:$D$50000,2,0),CTR1_Billing!$E$21&amp;"NEW"))</f>
        <v/>
      </c>
      <c r="AN532" s="209" t="str" cm="1">
        <f t="array" ref="AN532">IF(ISERROR(INDEX('Local Data Previous Year'!$E$3:$E$50000, SMALL(IF(CTR1_Billing!$E$21='Local Data Previous Year'!$A$3:$A$50000, ROW('Local Data Previous Year'!$A$3:$A$50000)-ROW('Local Data Previous Year'!$A$3)+1), ROW(500:500)))), "", INDEX('Local Data Previous Year'!$E$3:$E$50000, SMALL(IF(CTR1_Billing!$E$21='Local Data Previous Year'!$A$3:$A$50000, ROW('Local Data Previous Year'!$A$3:$A$50000)-ROW('Local Data Previous Year'!$A$3)+1), ROW(500:500))))</f>
        <v/>
      </c>
      <c r="AO532" s="209" t="str">
        <f t="shared" si="94"/>
        <v/>
      </c>
      <c r="AP532" s="208"/>
      <c r="AQ532" s="209" t="str">
        <f t="shared" si="95"/>
        <v/>
      </c>
      <c r="AR532" s="209" t="str">
        <f t="shared" si="96"/>
        <v/>
      </c>
      <c r="AS532" s="202" t="str">
        <f t="shared" si="97"/>
        <v/>
      </c>
      <c r="AT532" s="202" t="str">
        <f t="shared" si="98"/>
        <v/>
      </c>
      <c r="AU532" s="208"/>
      <c r="AV532" s="208"/>
      <c r="AW532" s="208"/>
      <c r="AX532" s="208"/>
      <c r="AY532" s="208"/>
      <c r="AZ532" s="208"/>
      <c r="BA532" s="208"/>
      <c r="BB532" s="208"/>
      <c r="BC532" s="208"/>
      <c r="BD532" s="208"/>
      <c r="BE532" s="208"/>
      <c r="BF532" s="208"/>
      <c r="BG532" s="28"/>
      <c r="BH532" s="28"/>
      <c r="BI532" s="28"/>
      <c r="BJ532" s="28"/>
    </row>
    <row r="533" spans="1:62" s="23" customFormat="1" ht="21" customHeight="1" thickBot="1" x14ac:dyDescent="0.25">
      <c r="A533" s="846" t="str">
        <f>IF($AN533="","",IFERROR(VLOOKUP(CONCATENATE(CTR1_Billing!$E$20,$AN533),'Local Data Previous Year'!$C$3:$D$20000,2,0),CTR1_Billing!$E$21&amp;"NEW"))</f>
        <v/>
      </c>
      <c r="B533" s="846" t="str">
        <f>IF($E533="","",IFERROR(VLOOKUP(CONCATENATE(CTR1_Billing!$E$20,CTR1_Local!$E533),'Local Data Previous Year'!$C$3:$D$20000,2,0),CTR1_Billing!$E$21&amp;"NEW"))</f>
        <v/>
      </c>
      <c r="C533" s="846">
        <v>501</v>
      </c>
      <c r="D533" s="755" t="str" cm="1">
        <f t="array" ref="D533">IF(ISERROR(INDEX('Local Data Previous Year'!$D$3:$D$20000,SMALL(IF(CTR1_Billing!$E$21='Local Data Previous Year'!$A$3:$A$20000,ROW('Local Data Previous Year'!$A$3:$A$20000)-ROW('Local Data Previous Year'!$A$3)+1),ROW(501:501)))),"",INDEX('Local Data Previous Year'!$D$3:$D$20000,SMALL(IF(CTR1_Billing!$E$21='Local Data Previous Year'!$A$3:$A$20000,ROW('Local Data Previous Year'!$A$3:$A$20000)-ROW('Local Data Previous Year'!$A$3)+1),ROW(501:501))))</f>
        <v/>
      </c>
      <c r="E533" s="755" t="str" cm="1">
        <f t="array" ref="E533">IF(ISERROR(INDEX('Local Data Previous Year'!$E$3:$E$20000,SMALL(IF(CTR1_Billing!$E$21='Local Data Previous Year'!$A$3:$A$20000,ROW('Local Data Previous Year'!$A$3:$A$20000)-ROW('Local Data Previous Year'!$A$3)+1),ROW(501:501)))),"",INDEX('Local Data Previous Year'!$E$3:$E$20000,SMALL(IF(CTR1_Billing!$E$21='Local Data Previous Year'!$A$3:$A$20000,ROW('Local Data Previous Year'!$A$3:$A$20000)-ROW('Local Data Previous Year'!$A$3)+1),ROW(501:501))))</f>
        <v/>
      </c>
      <c r="F533" s="756" t="str">
        <f>IF($D533="","",IF(ISNA(MATCH($D533,'Local Data Previous Year'!$D$3:$D$20000,0)),"New",IFERROR(VLOOKUP($B533,'Local Data Previous Year'!$D$3:$I$20000,6,0),"")))</f>
        <v/>
      </c>
      <c r="G533" s="757">
        <f t="shared" si="99"/>
        <v>0</v>
      </c>
      <c r="H533" s="758" t="str">
        <f>IFERROR(INDEX('Local Data Previous Year'!$F:$F, MATCH($D533, 'Local Data Previous Year'!$D:$D, 0)), "")</f>
        <v/>
      </c>
      <c r="I533" s="759">
        <f>IF(B533=CTR1_Billing!$E$21&amp;"NEW",1,0)</f>
        <v>0</v>
      </c>
      <c r="J533" s="760" t="str">
        <f>IFERROR(INDEX('Local Data Previous Year'!$G:$G, MATCH($D533, 'Local Data Previous Year'!$D:$D, 0)), "")</f>
        <v/>
      </c>
      <c r="K533" s="762"/>
      <c r="L533" s="760" t="str">
        <f>IFERROR(INDEX('Local Data Previous Year'!$H:$H, MATCH($D533, 'Local Data Previous Year'!$D:$D, 0)), "")</f>
        <v/>
      </c>
      <c r="M533" s="762"/>
      <c r="N533" s="763"/>
      <c r="O533" s="767"/>
      <c r="P533" s="765"/>
      <c r="Q533" s="767"/>
      <c r="R533" s="766" t="str">
        <f t="shared" si="100"/>
        <v/>
      </c>
      <c r="S533" s="754"/>
      <c r="T533" s="763"/>
      <c r="U533" s="754"/>
      <c r="V533" s="763"/>
      <c r="W533" s="763"/>
      <c r="X533" s="865" t="str">
        <f>VLOOKUP(CTR1_Billing!$E$21,Data!$C$6:$D$302,1,FALSE)</f>
        <v>EZZZZ</v>
      </c>
      <c r="Y533" s="205"/>
      <c r="Z533" s="205">
        <f t="shared" si="89"/>
        <v>0</v>
      </c>
      <c r="AA533" s="206" t="str">
        <f t="shared" si="88"/>
        <v/>
      </c>
      <c r="AB533" s="205">
        <f t="shared" si="90"/>
        <v>0</v>
      </c>
      <c r="AC533" s="208"/>
      <c r="AD533" s="208"/>
      <c r="AE533" s="208"/>
      <c r="AF533" s="208"/>
      <c r="AG533" s="209" t="str">
        <f>IFERROR(INDEX('Local Data Previous Year'!$F:$F, MATCH($D533, 'Local Data Previous Year'!$D:$D, 0)), "")</f>
        <v/>
      </c>
      <c r="AH533" s="209" t="str">
        <f>IFERROR(INDEX('Local Data Previous Year'!$G:$G, MATCH($D533, 'Local Data Previous Year'!$D:$D, 0)), "")</f>
        <v/>
      </c>
      <c r="AI533" s="209" t="str">
        <f>IFERROR(INDEX('Local Data Previous Year'!$H:$H, MATCH($D533, 'Local Data Previous Year'!$D:$D, 0)), "")</f>
        <v/>
      </c>
      <c r="AJ533" s="209" t="str">
        <f t="shared" si="91"/>
        <v/>
      </c>
      <c r="AK533" s="209" t="str">
        <f t="shared" si="92"/>
        <v/>
      </c>
      <c r="AL533" s="209" t="str">
        <f t="shared" si="93"/>
        <v/>
      </c>
      <c r="AM533" s="208" t="str">
        <f>IF($AN533="","",IFERROR(VLOOKUP(CONCATENATE(CTR1_Billing!$E$20,$AN533),'Local Data Previous Year'!$C$3:$D$50000,2,0),CTR1_Billing!$E$21&amp;"NEW"))</f>
        <v/>
      </c>
      <c r="AN533" s="209" t="str" cm="1">
        <f t="array" ref="AN533">IF(ISERROR(INDEX('Local Data Previous Year'!$E$3:$E$50000, SMALL(IF(CTR1_Billing!$E$21='Local Data Previous Year'!$A$3:$A$50000, ROW('Local Data Previous Year'!$A$3:$A$50000)-ROW('Local Data Previous Year'!$A$3)+1), ROW(501:501)))), "", INDEX('Local Data Previous Year'!$E$3:$E$50000, SMALL(IF(CTR1_Billing!$E$21='Local Data Previous Year'!$A$3:$A$50000, ROW('Local Data Previous Year'!$A$3:$A$50000)-ROW('Local Data Previous Year'!$A$3)+1), ROW(501:501))))</f>
        <v/>
      </c>
      <c r="AO533" s="209" t="str">
        <f t="shared" si="94"/>
        <v/>
      </c>
      <c r="AP533" s="208"/>
      <c r="AQ533" s="209" t="str">
        <f t="shared" si="95"/>
        <v/>
      </c>
      <c r="AR533" s="209" t="str">
        <f t="shared" si="96"/>
        <v/>
      </c>
      <c r="AS533" s="202" t="str">
        <f t="shared" si="97"/>
        <v/>
      </c>
      <c r="AT533" s="202" t="str">
        <f t="shared" si="98"/>
        <v/>
      </c>
      <c r="AU533" s="208"/>
      <c r="AV533" s="208"/>
      <c r="AW533" s="208"/>
      <c r="AX533" s="208"/>
      <c r="AY533" s="208"/>
      <c r="AZ533" s="208"/>
      <c r="BA533" s="208"/>
      <c r="BB533" s="208"/>
      <c r="BC533" s="208"/>
      <c r="BD533" s="208"/>
      <c r="BE533" s="208"/>
      <c r="BF533" s="208"/>
      <c r="BG533" s="28"/>
      <c r="BH533" s="28"/>
      <c r="BI533" s="28"/>
      <c r="BJ533" s="28"/>
    </row>
    <row r="534" spans="1:62" s="23" customFormat="1" ht="21" customHeight="1" thickBot="1" x14ac:dyDescent="0.25">
      <c r="A534" s="846" t="str">
        <f>IF($AN534="","",IFERROR(VLOOKUP(CONCATENATE(CTR1_Billing!$E$20,$AN534),'Local Data Previous Year'!$C$3:$D$20000,2,0),CTR1_Billing!$E$21&amp;"NEW"))</f>
        <v/>
      </c>
      <c r="B534" s="846" t="str">
        <f>IF($E534="","",IFERROR(VLOOKUP(CONCATENATE(CTR1_Billing!$E$20,CTR1_Local!$E534),'Local Data Previous Year'!$C$3:$D$20000,2,0),CTR1_Billing!$E$21&amp;"NEW"))</f>
        <v/>
      </c>
      <c r="C534" s="846">
        <v>502</v>
      </c>
      <c r="D534" s="755" t="str" cm="1">
        <f t="array" ref="D534">IF(ISERROR(INDEX('Local Data Previous Year'!$D$3:$D$20000,SMALL(IF(CTR1_Billing!$E$21='Local Data Previous Year'!$A$3:$A$20000,ROW('Local Data Previous Year'!$A$3:$A$20000)-ROW('Local Data Previous Year'!$A$3)+1),ROW(502:502)))),"",INDEX('Local Data Previous Year'!$D$3:$D$20000,SMALL(IF(CTR1_Billing!$E$21='Local Data Previous Year'!$A$3:$A$20000,ROW('Local Data Previous Year'!$A$3:$A$20000)-ROW('Local Data Previous Year'!$A$3)+1),ROW(502:502))))</f>
        <v/>
      </c>
      <c r="E534" s="755" t="str" cm="1">
        <f t="array" ref="E534">IF(ISERROR(INDEX('Local Data Previous Year'!$E$3:$E$20000,SMALL(IF(CTR1_Billing!$E$21='Local Data Previous Year'!$A$3:$A$20000,ROW('Local Data Previous Year'!$A$3:$A$20000)-ROW('Local Data Previous Year'!$A$3)+1),ROW(502:502)))),"",INDEX('Local Data Previous Year'!$E$3:$E$20000,SMALL(IF(CTR1_Billing!$E$21='Local Data Previous Year'!$A$3:$A$20000,ROW('Local Data Previous Year'!$A$3:$A$20000)-ROW('Local Data Previous Year'!$A$3)+1),ROW(502:502))))</f>
        <v/>
      </c>
      <c r="F534" s="756" t="str">
        <f>IF($D534="","",IF(ISNA(MATCH($D534,'Local Data Previous Year'!$D$3:$D$20000,0)),"New",IFERROR(VLOOKUP($B534,'Local Data Previous Year'!$D$3:$I$20000,6,0),"")))</f>
        <v/>
      </c>
      <c r="G534" s="757">
        <f t="shared" si="99"/>
        <v>0</v>
      </c>
      <c r="H534" s="758" t="str">
        <f>IFERROR(INDEX('Local Data Previous Year'!$F:$F, MATCH($D534, 'Local Data Previous Year'!$D:$D, 0)), "")</f>
        <v/>
      </c>
      <c r="I534" s="759">
        <f>IF(B534=CTR1_Billing!$E$21&amp;"NEW",1,0)</f>
        <v>0</v>
      </c>
      <c r="J534" s="760" t="str">
        <f>IFERROR(INDEX('Local Data Previous Year'!$G:$G, MATCH($D534, 'Local Data Previous Year'!$D:$D, 0)), "")</f>
        <v/>
      </c>
      <c r="K534" s="762"/>
      <c r="L534" s="760" t="str">
        <f>IFERROR(INDEX('Local Data Previous Year'!$H:$H, MATCH($D534, 'Local Data Previous Year'!$D:$D, 0)), "")</f>
        <v/>
      </c>
      <c r="M534" s="762"/>
      <c r="N534" s="763"/>
      <c r="O534" s="767"/>
      <c r="P534" s="765"/>
      <c r="Q534" s="767"/>
      <c r="R534" s="766" t="str">
        <f t="shared" si="100"/>
        <v/>
      </c>
      <c r="S534" s="754"/>
      <c r="T534" s="763"/>
      <c r="U534" s="754"/>
      <c r="V534" s="763"/>
      <c r="W534" s="763"/>
      <c r="X534" s="865" t="str">
        <f>VLOOKUP(CTR1_Billing!$E$21,Data!$C$6:$D$302,1,FALSE)</f>
        <v>EZZZZ</v>
      </c>
      <c r="Y534" s="205"/>
      <c r="Z534" s="205">
        <f t="shared" si="89"/>
        <v>0</v>
      </c>
      <c r="AA534" s="206" t="str">
        <f t="shared" si="88"/>
        <v/>
      </c>
      <c r="AB534" s="205">
        <f t="shared" si="90"/>
        <v>0</v>
      </c>
      <c r="AC534" s="208"/>
      <c r="AD534" s="208"/>
      <c r="AE534" s="208"/>
      <c r="AF534" s="208"/>
      <c r="AG534" s="209" t="str">
        <f>IFERROR(INDEX('Local Data Previous Year'!$F:$F, MATCH($D534, 'Local Data Previous Year'!$D:$D, 0)), "")</f>
        <v/>
      </c>
      <c r="AH534" s="209" t="str">
        <f>IFERROR(INDEX('Local Data Previous Year'!$G:$G, MATCH($D534, 'Local Data Previous Year'!$D:$D, 0)), "")</f>
        <v/>
      </c>
      <c r="AI534" s="209" t="str">
        <f>IFERROR(INDEX('Local Data Previous Year'!$H:$H, MATCH($D534, 'Local Data Previous Year'!$D:$D, 0)), "")</f>
        <v/>
      </c>
      <c r="AJ534" s="209" t="str">
        <f t="shared" si="91"/>
        <v/>
      </c>
      <c r="AK534" s="209" t="str">
        <f t="shared" si="92"/>
        <v/>
      </c>
      <c r="AL534" s="209" t="str">
        <f t="shared" si="93"/>
        <v/>
      </c>
      <c r="AM534" s="208" t="str">
        <f>IF($AN534="","",IFERROR(VLOOKUP(CONCATENATE(CTR1_Billing!$E$20,$AN534),'Local Data Previous Year'!$C$3:$D$50000,2,0),CTR1_Billing!$E$21&amp;"NEW"))</f>
        <v/>
      </c>
      <c r="AN534" s="209" t="str" cm="1">
        <f t="array" ref="AN534">IF(ISERROR(INDEX('Local Data Previous Year'!$E$3:$E$50000, SMALL(IF(CTR1_Billing!$E$21='Local Data Previous Year'!$A$3:$A$50000, ROW('Local Data Previous Year'!$A$3:$A$50000)-ROW('Local Data Previous Year'!$A$3)+1), ROW(502:502)))), "", INDEX('Local Data Previous Year'!$E$3:$E$50000, SMALL(IF(CTR1_Billing!$E$21='Local Data Previous Year'!$A$3:$A$50000, ROW('Local Data Previous Year'!$A$3:$A$50000)-ROW('Local Data Previous Year'!$A$3)+1), ROW(502:502))))</f>
        <v/>
      </c>
      <c r="AO534" s="209" t="str">
        <f t="shared" si="94"/>
        <v/>
      </c>
      <c r="AP534" s="208"/>
      <c r="AQ534" s="209" t="str">
        <f t="shared" si="95"/>
        <v/>
      </c>
      <c r="AR534" s="209" t="str">
        <f t="shared" si="96"/>
        <v/>
      </c>
      <c r="AS534" s="202" t="str">
        <f t="shared" si="97"/>
        <v/>
      </c>
      <c r="AT534" s="202" t="str">
        <f t="shared" si="98"/>
        <v/>
      </c>
      <c r="AU534" s="208"/>
      <c r="AV534" s="208"/>
      <c r="AW534" s="208"/>
      <c r="AX534" s="208"/>
      <c r="AY534" s="208"/>
      <c r="AZ534" s="208"/>
      <c r="BA534" s="208"/>
      <c r="BB534" s="208"/>
      <c r="BC534" s="208"/>
      <c r="BD534" s="208"/>
      <c r="BE534" s="208"/>
      <c r="BF534" s="208"/>
      <c r="BG534" s="28"/>
      <c r="BH534" s="28"/>
      <c r="BI534" s="28"/>
      <c r="BJ534" s="28"/>
    </row>
    <row r="535" spans="1:62" s="23" customFormat="1" ht="21" customHeight="1" thickBot="1" x14ac:dyDescent="0.25">
      <c r="A535" s="846" t="str">
        <f>IF($AN535="","",IFERROR(VLOOKUP(CONCATENATE(CTR1_Billing!$E$20,$AN535),'Local Data Previous Year'!$C$3:$D$20000,2,0),CTR1_Billing!$E$21&amp;"NEW"))</f>
        <v/>
      </c>
      <c r="B535" s="846" t="str">
        <f>IF($E535="","",IFERROR(VLOOKUP(CONCATENATE(CTR1_Billing!$E$20,CTR1_Local!$E535),'Local Data Previous Year'!$C$3:$D$20000,2,0),CTR1_Billing!$E$21&amp;"NEW"))</f>
        <v/>
      </c>
      <c r="C535" s="846">
        <v>503</v>
      </c>
      <c r="D535" s="755" t="str" cm="1">
        <f t="array" ref="D535">IF(ISERROR(INDEX('Local Data Previous Year'!$D$3:$D$20000,SMALL(IF(CTR1_Billing!$E$21='Local Data Previous Year'!$A$3:$A$20000,ROW('Local Data Previous Year'!$A$3:$A$20000)-ROW('Local Data Previous Year'!$A$3)+1),ROW(503:503)))),"",INDEX('Local Data Previous Year'!$D$3:$D$20000,SMALL(IF(CTR1_Billing!$E$21='Local Data Previous Year'!$A$3:$A$20000,ROW('Local Data Previous Year'!$A$3:$A$20000)-ROW('Local Data Previous Year'!$A$3)+1),ROW(503:503))))</f>
        <v/>
      </c>
      <c r="E535" s="755" t="str" cm="1">
        <f t="array" ref="E535">IF(ISERROR(INDEX('Local Data Previous Year'!$E$3:$E$20000,SMALL(IF(CTR1_Billing!$E$21='Local Data Previous Year'!$A$3:$A$20000,ROW('Local Data Previous Year'!$A$3:$A$20000)-ROW('Local Data Previous Year'!$A$3)+1),ROW(503:503)))),"",INDEX('Local Data Previous Year'!$E$3:$E$20000,SMALL(IF(CTR1_Billing!$E$21='Local Data Previous Year'!$A$3:$A$20000,ROW('Local Data Previous Year'!$A$3:$A$20000)-ROW('Local Data Previous Year'!$A$3)+1),ROW(503:503))))</f>
        <v/>
      </c>
      <c r="F535" s="756" t="str">
        <f>IF($D535="","",IF(ISNA(MATCH($D535,'Local Data Previous Year'!$D$3:$D$20000,0)),"New",IFERROR(VLOOKUP($B535,'Local Data Previous Year'!$D$3:$I$20000,6,0),"")))</f>
        <v/>
      </c>
      <c r="G535" s="757">
        <f t="shared" si="99"/>
        <v>0</v>
      </c>
      <c r="H535" s="758" t="str">
        <f>IFERROR(INDEX('Local Data Previous Year'!$F:$F, MATCH($D535, 'Local Data Previous Year'!$D:$D, 0)), "")</f>
        <v/>
      </c>
      <c r="I535" s="759">
        <f>IF(B535=CTR1_Billing!$E$21&amp;"NEW",1,0)</f>
        <v>0</v>
      </c>
      <c r="J535" s="760" t="str">
        <f>IFERROR(INDEX('Local Data Previous Year'!$G:$G, MATCH($D535, 'Local Data Previous Year'!$D:$D, 0)), "")</f>
        <v/>
      </c>
      <c r="K535" s="762"/>
      <c r="L535" s="760" t="str">
        <f>IFERROR(INDEX('Local Data Previous Year'!$H:$H, MATCH($D535, 'Local Data Previous Year'!$D:$D, 0)), "")</f>
        <v/>
      </c>
      <c r="M535" s="762"/>
      <c r="N535" s="763"/>
      <c r="O535" s="767"/>
      <c r="P535" s="765"/>
      <c r="Q535" s="767"/>
      <c r="R535" s="766" t="str">
        <f t="shared" si="100"/>
        <v/>
      </c>
      <c r="S535" s="754"/>
      <c r="T535" s="763"/>
      <c r="U535" s="754"/>
      <c r="V535" s="763"/>
      <c r="W535" s="763"/>
      <c r="X535" s="865" t="str">
        <f>VLOOKUP(CTR1_Billing!$E$21,Data!$C$6:$D$302,1,FALSE)</f>
        <v>EZZZZ</v>
      </c>
      <c r="Y535" s="205"/>
      <c r="Z535" s="205">
        <f t="shared" si="89"/>
        <v>0</v>
      </c>
      <c r="AA535" s="206" t="str">
        <f t="shared" si="88"/>
        <v/>
      </c>
      <c r="AB535" s="205">
        <f t="shared" si="90"/>
        <v>0</v>
      </c>
      <c r="AC535" s="208"/>
      <c r="AD535" s="208"/>
      <c r="AE535" s="208"/>
      <c r="AF535" s="208"/>
      <c r="AG535" s="209" t="str">
        <f>IFERROR(INDEX('Local Data Previous Year'!$F:$F, MATCH($D535, 'Local Data Previous Year'!$D:$D, 0)), "")</f>
        <v/>
      </c>
      <c r="AH535" s="209" t="str">
        <f>IFERROR(INDEX('Local Data Previous Year'!$G:$G, MATCH($D535, 'Local Data Previous Year'!$D:$D, 0)), "")</f>
        <v/>
      </c>
      <c r="AI535" s="209" t="str">
        <f>IFERROR(INDEX('Local Data Previous Year'!$H:$H, MATCH($D535, 'Local Data Previous Year'!$D:$D, 0)), "")</f>
        <v/>
      </c>
      <c r="AJ535" s="209" t="str">
        <f t="shared" si="91"/>
        <v/>
      </c>
      <c r="AK535" s="209" t="str">
        <f t="shared" si="92"/>
        <v/>
      </c>
      <c r="AL535" s="209" t="str">
        <f t="shared" si="93"/>
        <v/>
      </c>
      <c r="AM535" s="208" t="str">
        <f>IF($AN535="","",IFERROR(VLOOKUP(CONCATENATE(CTR1_Billing!$E$20,$AN535),'Local Data Previous Year'!$C$3:$D$50000,2,0),CTR1_Billing!$E$21&amp;"NEW"))</f>
        <v/>
      </c>
      <c r="AN535" s="209" t="str" cm="1">
        <f t="array" ref="AN535">IF(ISERROR(INDEX('Local Data Previous Year'!$E$3:$E$50000, SMALL(IF(CTR1_Billing!$E$21='Local Data Previous Year'!$A$3:$A$50000, ROW('Local Data Previous Year'!$A$3:$A$50000)-ROW('Local Data Previous Year'!$A$3)+1), ROW(503:503)))), "", INDEX('Local Data Previous Year'!$E$3:$E$50000, SMALL(IF(CTR1_Billing!$E$21='Local Data Previous Year'!$A$3:$A$50000, ROW('Local Data Previous Year'!$A$3:$A$50000)-ROW('Local Data Previous Year'!$A$3)+1), ROW(503:503))))</f>
        <v/>
      </c>
      <c r="AO535" s="209" t="str">
        <f t="shared" si="94"/>
        <v/>
      </c>
      <c r="AP535" s="208"/>
      <c r="AQ535" s="209" t="str">
        <f t="shared" si="95"/>
        <v/>
      </c>
      <c r="AR535" s="209" t="str">
        <f t="shared" si="96"/>
        <v/>
      </c>
      <c r="AS535" s="202" t="str">
        <f t="shared" si="97"/>
        <v/>
      </c>
      <c r="AT535" s="202" t="str">
        <f t="shared" si="98"/>
        <v/>
      </c>
      <c r="AU535" s="208"/>
      <c r="AV535" s="208"/>
      <c r="AW535" s="208"/>
      <c r="AX535" s="208"/>
      <c r="AY535" s="208"/>
      <c r="AZ535" s="208"/>
      <c r="BA535" s="208"/>
      <c r="BB535" s="208"/>
      <c r="BC535" s="208"/>
      <c r="BD535" s="208"/>
      <c r="BE535" s="208"/>
      <c r="BF535" s="208"/>
      <c r="BG535" s="28"/>
      <c r="BH535" s="28"/>
      <c r="BI535" s="28"/>
      <c r="BJ535" s="28"/>
    </row>
    <row r="536" spans="1:62" s="23" customFormat="1" ht="21" customHeight="1" thickBot="1" x14ac:dyDescent="0.25">
      <c r="A536" s="846" t="str">
        <f>IF($AN536="","",IFERROR(VLOOKUP(CONCATENATE(CTR1_Billing!$E$20,$AN536),'Local Data Previous Year'!$C$3:$D$20000,2,0),CTR1_Billing!$E$21&amp;"NEW"))</f>
        <v/>
      </c>
      <c r="B536" s="846" t="str">
        <f>IF($E536="","",IFERROR(VLOOKUP(CONCATENATE(CTR1_Billing!$E$20,CTR1_Local!$E536),'Local Data Previous Year'!$C$3:$D$20000,2,0),CTR1_Billing!$E$21&amp;"NEW"))</f>
        <v/>
      </c>
      <c r="C536" s="846">
        <v>504</v>
      </c>
      <c r="D536" s="755" t="str" cm="1">
        <f t="array" ref="D536">IF(ISERROR(INDEX('Local Data Previous Year'!$D$3:$D$20000,SMALL(IF(CTR1_Billing!$E$21='Local Data Previous Year'!$A$3:$A$20000,ROW('Local Data Previous Year'!$A$3:$A$20000)-ROW('Local Data Previous Year'!$A$3)+1),ROW(504:504)))),"",INDEX('Local Data Previous Year'!$D$3:$D$20000,SMALL(IF(CTR1_Billing!$E$21='Local Data Previous Year'!$A$3:$A$20000,ROW('Local Data Previous Year'!$A$3:$A$20000)-ROW('Local Data Previous Year'!$A$3)+1),ROW(504:504))))</f>
        <v/>
      </c>
      <c r="E536" s="755" t="str" cm="1">
        <f t="array" ref="E536">IF(ISERROR(INDEX('Local Data Previous Year'!$E$3:$E$20000,SMALL(IF(CTR1_Billing!$E$21='Local Data Previous Year'!$A$3:$A$20000,ROW('Local Data Previous Year'!$A$3:$A$20000)-ROW('Local Data Previous Year'!$A$3)+1),ROW(504:504)))),"",INDEX('Local Data Previous Year'!$E$3:$E$20000,SMALL(IF(CTR1_Billing!$E$21='Local Data Previous Year'!$A$3:$A$20000,ROW('Local Data Previous Year'!$A$3:$A$20000)-ROW('Local Data Previous Year'!$A$3)+1),ROW(504:504))))</f>
        <v/>
      </c>
      <c r="F536" s="756" t="str">
        <f>IF($D536="","",IF(ISNA(MATCH($D536,'Local Data Previous Year'!$D$3:$D$20000,0)),"New",IFERROR(VLOOKUP($B536,'Local Data Previous Year'!$D$3:$I$20000,6,0),"")))</f>
        <v/>
      </c>
      <c r="G536" s="757">
        <f t="shared" si="99"/>
        <v>0</v>
      </c>
      <c r="H536" s="758" t="str">
        <f>IFERROR(INDEX('Local Data Previous Year'!$F:$F, MATCH($D536, 'Local Data Previous Year'!$D:$D, 0)), "")</f>
        <v/>
      </c>
      <c r="I536" s="759">
        <f>IF(B536=CTR1_Billing!$E$21&amp;"NEW",1,0)</f>
        <v>0</v>
      </c>
      <c r="J536" s="760" t="str">
        <f>IFERROR(INDEX('Local Data Previous Year'!$G:$G, MATCH($D536, 'Local Data Previous Year'!$D:$D, 0)), "")</f>
        <v/>
      </c>
      <c r="K536" s="762"/>
      <c r="L536" s="760" t="str">
        <f>IFERROR(INDEX('Local Data Previous Year'!$H:$H, MATCH($D536, 'Local Data Previous Year'!$D:$D, 0)), "")</f>
        <v/>
      </c>
      <c r="M536" s="762"/>
      <c r="N536" s="763"/>
      <c r="O536" s="767"/>
      <c r="P536" s="765"/>
      <c r="Q536" s="767"/>
      <c r="R536" s="766" t="str">
        <f t="shared" si="100"/>
        <v/>
      </c>
      <c r="S536" s="754"/>
      <c r="T536" s="763"/>
      <c r="U536" s="754"/>
      <c r="V536" s="763"/>
      <c r="W536" s="763"/>
      <c r="X536" s="865" t="str">
        <f>VLOOKUP(CTR1_Billing!$E$21,Data!$C$6:$D$302,1,FALSE)</f>
        <v>EZZZZ</v>
      </c>
      <c r="Y536" s="205"/>
      <c r="Z536" s="205">
        <f t="shared" si="89"/>
        <v>0</v>
      </c>
      <c r="AA536" s="206" t="str">
        <f t="shared" si="88"/>
        <v/>
      </c>
      <c r="AB536" s="205">
        <f t="shared" si="90"/>
        <v>0</v>
      </c>
      <c r="AC536" s="208"/>
      <c r="AD536" s="208"/>
      <c r="AE536" s="208"/>
      <c r="AF536" s="208"/>
      <c r="AG536" s="209" t="str">
        <f>IFERROR(INDEX('Local Data Previous Year'!$F:$F, MATCH($D536, 'Local Data Previous Year'!$D:$D, 0)), "")</f>
        <v/>
      </c>
      <c r="AH536" s="209" t="str">
        <f>IFERROR(INDEX('Local Data Previous Year'!$G:$G, MATCH($D536, 'Local Data Previous Year'!$D:$D, 0)), "")</f>
        <v/>
      </c>
      <c r="AI536" s="209" t="str">
        <f>IFERROR(INDEX('Local Data Previous Year'!$H:$H, MATCH($D536, 'Local Data Previous Year'!$D:$D, 0)), "")</f>
        <v/>
      </c>
      <c r="AJ536" s="209" t="str">
        <f t="shared" si="91"/>
        <v/>
      </c>
      <c r="AK536" s="209" t="str">
        <f t="shared" si="92"/>
        <v/>
      </c>
      <c r="AL536" s="209" t="str">
        <f t="shared" si="93"/>
        <v/>
      </c>
      <c r="AM536" s="208" t="str">
        <f>IF($AN536="","",IFERROR(VLOOKUP(CONCATENATE(CTR1_Billing!$E$20,$AN536),'Local Data Previous Year'!$C$3:$D$50000,2,0),CTR1_Billing!$E$21&amp;"NEW"))</f>
        <v/>
      </c>
      <c r="AN536" s="209" t="str" cm="1">
        <f t="array" ref="AN536">IF(ISERROR(INDEX('Local Data Previous Year'!$E$3:$E$50000, SMALL(IF(CTR1_Billing!$E$21='Local Data Previous Year'!$A$3:$A$50000, ROW('Local Data Previous Year'!$A$3:$A$50000)-ROW('Local Data Previous Year'!$A$3)+1), ROW(504:504)))), "", INDEX('Local Data Previous Year'!$E$3:$E$50000, SMALL(IF(CTR1_Billing!$E$21='Local Data Previous Year'!$A$3:$A$50000, ROW('Local Data Previous Year'!$A$3:$A$50000)-ROW('Local Data Previous Year'!$A$3)+1), ROW(504:504))))</f>
        <v/>
      </c>
      <c r="AO536" s="209" t="str">
        <f t="shared" si="94"/>
        <v/>
      </c>
      <c r="AP536" s="208"/>
      <c r="AQ536" s="209" t="str">
        <f t="shared" si="95"/>
        <v/>
      </c>
      <c r="AR536" s="209" t="str">
        <f t="shared" si="96"/>
        <v/>
      </c>
      <c r="AS536" s="202" t="str">
        <f t="shared" si="97"/>
        <v/>
      </c>
      <c r="AT536" s="202" t="str">
        <f t="shared" si="98"/>
        <v/>
      </c>
      <c r="AU536" s="208"/>
      <c r="AV536" s="208"/>
      <c r="AW536" s="208"/>
      <c r="AX536" s="208"/>
      <c r="AY536" s="208"/>
      <c r="AZ536" s="208"/>
      <c r="BA536" s="208"/>
      <c r="BB536" s="208"/>
      <c r="BC536" s="208"/>
      <c r="BD536" s="208"/>
      <c r="BE536" s="208"/>
      <c r="BF536" s="208"/>
      <c r="BG536" s="28"/>
      <c r="BH536" s="28"/>
      <c r="BI536" s="28"/>
      <c r="BJ536" s="28"/>
    </row>
    <row r="537" spans="1:62" s="23" customFormat="1" ht="21" customHeight="1" thickBot="1" x14ac:dyDescent="0.25">
      <c r="A537" s="846" t="str">
        <f>IF($AN537="","",IFERROR(VLOOKUP(CONCATENATE(CTR1_Billing!$E$20,$AN537),'Local Data Previous Year'!$C$3:$D$20000,2,0),CTR1_Billing!$E$21&amp;"NEW"))</f>
        <v/>
      </c>
      <c r="B537" s="846" t="str">
        <f>IF($E537="","",IFERROR(VLOOKUP(CONCATENATE(CTR1_Billing!$E$20,CTR1_Local!$E537),'Local Data Previous Year'!$C$3:$D$20000,2,0),CTR1_Billing!$E$21&amp;"NEW"))</f>
        <v/>
      </c>
      <c r="C537" s="846">
        <v>505</v>
      </c>
      <c r="D537" s="755" t="str" cm="1">
        <f t="array" ref="D537">IF(ISERROR(INDEX('Local Data Previous Year'!$D$3:$D$20000,SMALL(IF(CTR1_Billing!$E$21='Local Data Previous Year'!$A$3:$A$20000,ROW('Local Data Previous Year'!$A$3:$A$20000)-ROW('Local Data Previous Year'!$A$3)+1),ROW(505:505)))),"",INDEX('Local Data Previous Year'!$D$3:$D$20000,SMALL(IF(CTR1_Billing!$E$21='Local Data Previous Year'!$A$3:$A$20000,ROW('Local Data Previous Year'!$A$3:$A$20000)-ROW('Local Data Previous Year'!$A$3)+1),ROW(505:505))))</f>
        <v/>
      </c>
      <c r="E537" s="755" t="str" cm="1">
        <f t="array" ref="E537">IF(ISERROR(INDEX('Local Data Previous Year'!$E$3:$E$20000,SMALL(IF(CTR1_Billing!$E$21='Local Data Previous Year'!$A$3:$A$20000,ROW('Local Data Previous Year'!$A$3:$A$20000)-ROW('Local Data Previous Year'!$A$3)+1),ROW(505:505)))),"",INDEX('Local Data Previous Year'!$E$3:$E$20000,SMALL(IF(CTR1_Billing!$E$21='Local Data Previous Year'!$A$3:$A$20000,ROW('Local Data Previous Year'!$A$3:$A$20000)-ROW('Local Data Previous Year'!$A$3)+1),ROW(505:505))))</f>
        <v/>
      </c>
      <c r="F537" s="756" t="str">
        <f>IF($D537="","",IF(ISNA(MATCH($D537,'Local Data Previous Year'!$D$3:$D$20000,0)),"New",IFERROR(VLOOKUP($B537,'Local Data Previous Year'!$D$3:$I$20000,6,0),"")))</f>
        <v/>
      </c>
      <c r="G537" s="757">
        <f t="shared" si="99"/>
        <v>0</v>
      </c>
      <c r="H537" s="758" t="str">
        <f>IFERROR(INDEX('Local Data Previous Year'!$F:$F, MATCH($D537, 'Local Data Previous Year'!$D:$D, 0)), "")</f>
        <v/>
      </c>
      <c r="I537" s="759">
        <f>IF(B537=CTR1_Billing!$E$21&amp;"NEW",1,0)</f>
        <v>0</v>
      </c>
      <c r="J537" s="760" t="str">
        <f>IFERROR(INDEX('Local Data Previous Year'!$G:$G, MATCH($D537, 'Local Data Previous Year'!$D:$D, 0)), "")</f>
        <v/>
      </c>
      <c r="K537" s="762"/>
      <c r="L537" s="760" t="str">
        <f>IFERROR(INDEX('Local Data Previous Year'!$H:$H, MATCH($D537, 'Local Data Previous Year'!$D:$D, 0)), "")</f>
        <v/>
      </c>
      <c r="M537" s="762"/>
      <c r="N537" s="763"/>
      <c r="O537" s="767"/>
      <c r="P537" s="765"/>
      <c r="Q537" s="767"/>
      <c r="R537" s="766" t="str">
        <f t="shared" si="100"/>
        <v/>
      </c>
      <c r="S537" s="754"/>
      <c r="T537" s="763"/>
      <c r="U537" s="754"/>
      <c r="V537" s="763"/>
      <c r="W537" s="763"/>
      <c r="X537" s="865" t="str">
        <f>VLOOKUP(CTR1_Billing!$E$21,Data!$C$6:$D$302,1,FALSE)</f>
        <v>EZZZZ</v>
      </c>
      <c r="Y537" s="205"/>
      <c r="Z537" s="205">
        <f t="shared" si="89"/>
        <v>0</v>
      </c>
      <c r="AA537" s="206" t="str">
        <f t="shared" si="88"/>
        <v/>
      </c>
      <c r="AB537" s="205">
        <f t="shared" si="90"/>
        <v>0</v>
      </c>
      <c r="AC537" s="208"/>
      <c r="AD537" s="208"/>
      <c r="AE537" s="208"/>
      <c r="AF537" s="208"/>
      <c r="AG537" s="209" t="str">
        <f>IFERROR(INDEX('Local Data Previous Year'!$F:$F, MATCH($D537, 'Local Data Previous Year'!$D:$D, 0)), "")</f>
        <v/>
      </c>
      <c r="AH537" s="209" t="str">
        <f>IFERROR(INDEX('Local Data Previous Year'!$G:$G, MATCH($D537, 'Local Data Previous Year'!$D:$D, 0)), "")</f>
        <v/>
      </c>
      <c r="AI537" s="209" t="str">
        <f>IFERROR(INDEX('Local Data Previous Year'!$H:$H, MATCH($D537, 'Local Data Previous Year'!$D:$D, 0)), "")</f>
        <v/>
      </c>
      <c r="AJ537" s="209" t="str">
        <f t="shared" si="91"/>
        <v/>
      </c>
      <c r="AK537" s="209" t="str">
        <f t="shared" si="92"/>
        <v/>
      </c>
      <c r="AL537" s="209" t="str">
        <f t="shared" si="93"/>
        <v/>
      </c>
      <c r="AM537" s="208" t="str">
        <f>IF($AN537="","",IFERROR(VLOOKUP(CONCATENATE(CTR1_Billing!$E$20,$AN537),'Local Data Previous Year'!$C$3:$D$50000,2,0),CTR1_Billing!$E$21&amp;"NEW"))</f>
        <v/>
      </c>
      <c r="AN537" s="209" t="str" cm="1">
        <f t="array" ref="AN537">IF(ISERROR(INDEX('Local Data Previous Year'!$E$3:$E$50000, SMALL(IF(CTR1_Billing!$E$21='Local Data Previous Year'!$A$3:$A$50000, ROW('Local Data Previous Year'!$A$3:$A$50000)-ROW('Local Data Previous Year'!$A$3)+1), ROW(505:505)))), "", INDEX('Local Data Previous Year'!$E$3:$E$50000, SMALL(IF(CTR1_Billing!$E$21='Local Data Previous Year'!$A$3:$A$50000, ROW('Local Data Previous Year'!$A$3:$A$50000)-ROW('Local Data Previous Year'!$A$3)+1), ROW(505:505))))</f>
        <v/>
      </c>
      <c r="AO537" s="209" t="str">
        <f t="shared" si="94"/>
        <v/>
      </c>
      <c r="AP537" s="208"/>
      <c r="AQ537" s="209" t="str">
        <f t="shared" si="95"/>
        <v/>
      </c>
      <c r="AR537" s="209" t="str">
        <f t="shared" si="96"/>
        <v/>
      </c>
      <c r="AS537" s="202" t="str">
        <f t="shared" si="97"/>
        <v/>
      </c>
      <c r="AT537" s="202" t="str">
        <f t="shared" si="98"/>
        <v/>
      </c>
      <c r="AU537" s="208"/>
      <c r="AV537" s="208"/>
      <c r="AW537" s="208"/>
      <c r="AX537" s="208"/>
      <c r="AY537" s="208"/>
      <c r="AZ537" s="208"/>
      <c r="BA537" s="208"/>
      <c r="BB537" s="208"/>
      <c r="BC537" s="208"/>
      <c r="BD537" s="208"/>
      <c r="BE537" s="208"/>
      <c r="BF537" s="208"/>
      <c r="BG537" s="28"/>
      <c r="BH537" s="28"/>
      <c r="BI537" s="28"/>
      <c r="BJ537" s="28"/>
    </row>
    <row r="538" spans="1:62" s="23" customFormat="1" ht="21" customHeight="1" thickBot="1" x14ac:dyDescent="0.25">
      <c r="A538" s="846" t="str">
        <f>IF($AN538="","",IFERROR(VLOOKUP(CONCATENATE(CTR1_Billing!$E$20,$AN538),'Local Data Previous Year'!$C$3:$D$20000,2,0),CTR1_Billing!$E$21&amp;"NEW"))</f>
        <v/>
      </c>
      <c r="B538" s="846" t="str">
        <f>IF($E538="","",IFERROR(VLOOKUP(CONCATENATE(CTR1_Billing!$E$20,CTR1_Local!$E538),'Local Data Previous Year'!$C$3:$D$20000,2,0),CTR1_Billing!$E$21&amp;"NEW"))</f>
        <v/>
      </c>
      <c r="C538" s="846">
        <v>506</v>
      </c>
      <c r="D538" s="755" t="str" cm="1">
        <f t="array" ref="D538">IF(ISERROR(INDEX('Local Data Previous Year'!$D$3:$D$20000,SMALL(IF(CTR1_Billing!$E$21='Local Data Previous Year'!$A$3:$A$20000,ROW('Local Data Previous Year'!$A$3:$A$20000)-ROW('Local Data Previous Year'!$A$3)+1),ROW(506:506)))),"",INDEX('Local Data Previous Year'!$D$3:$D$20000,SMALL(IF(CTR1_Billing!$E$21='Local Data Previous Year'!$A$3:$A$20000,ROW('Local Data Previous Year'!$A$3:$A$20000)-ROW('Local Data Previous Year'!$A$3)+1),ROW(506:506))))</f>
        <v/>
      </c>
      <c r="E538" s="755" t="str" cm="1">
        <f t="array" ref="E538">IF(ISERROR(INDEX('Local Data Previous Year'!$E$3:$E$20000,SMALL(IF(CTR1_Billing!$E$21='Local Data Previous Year'!$A$3:$A$20000,ROW('Local Data Previous Year'!$A$3:$A$20000)-ROW('Local Data Previous Year'!$A$3)+1),ROW(506:506)))),"",INDEX('Local Data Previous Year'!$E$3:$E$20000,SMALL(IF(CTR1_Billing!$E$21='Local Data Previous Year'!$A$3:$A$20000,ROW('Local Data Previous Year'!$A$3:$A$20000)-ROW('Local Data Previous Year'!$A$3)+1),ROW(506:506))))</f>
        <v/>
      </c>
      <c r="F538" s="756" t="str">
        <f>IF($D538="","",IF(ISNA(MATCH($D538,'Local Data Previous Year'!$D$3:$D$20000,0)),"New",IFERROR(VLOOKUP($B538,'Local Data Previous Year'!$D$3:$I$20000,6,0),"")))</f>
        <v/>
      </c>
      <c r="G538" s="757">
        <f t="shared" si="99"/>
        <v>0</v>
      </c>
      <c r="H538" s="758" t="str">
        <f>IFERROR(INDEX('Local Data Previous Year'!$F:$F, MATCH($D538, 'Local Data Previous Year'!$D:$D, 0)), "")</f>
        <v/>
      </c>
      <c r="I538" s="759">
        <f>IF(B538=CTR1_Billing!$E$21&amp;"NEW",1,0)</f>
        <v>0</v>
      </c>
      <c r="J538" s="760" t="str">
        <f>IFERROR(INDEX('Local Data Previous Year'!$G:$G, MATCH($D538, 'Local Data Previous Year'!$D:$D, 0)), "")</f>
        <v/>
      </c>
      <c r="K538" s="762"/>
      <c r="L538" s="760" t="str">
        <f>IFERROR(INDEX('Local Data Previous Year'!$H:$H, MATCH($D538, 'Local Data Previous Year'!$D:$D, 0)), "")</f>
        <v/>
      </c>
      <c r="M538" s="762"/>
      <c r="N538" s="763"/>
      <c r="O538" s="767"/>
      <c r="P538" s="765"/>
      <c r="Q538" s="767"/>
      <c r="R538" s="766" t="str">
        <f t="shared" si="100"/>
        <v/>
      </c>
      <c r="S538" s="754"/>
      <c r="T538" s="763"/>
      <c r="U538" s="754"/>
      <c r="V538" s="763"/>
      <c r="W538" s="763"/>
      <c r="X538" s="865" t="str">
        <f>VLOOKUP(CTR1_Billing!$E$21,Data!$C$6:$D$302,1,FALSE)</f>
        <v>EZZZZ</v>
      </c>
      <c r="Y538" s="205"/>
      <c r="Z538" s="205">
        <f t="shared" si="89"/>
        <v>0</v>
      </c>
      <c r="AA538" s="206" t="str">
        <f t="shared" si="88"/>
        <v/>
      </c>
      <c r="AB538" s="205">
        <f t="shared" si="90"/>
        <v>0</v>
      </c>
      <c r="AC538" s="208"/>
      <c r="AD538" s="208"/>
      <c r="AE538" s="208"/>
      <c r="AF538" s="208"/>
      <c r="AG538" s="209" t="str">
        <f>IFERROR(INDEX('Local Data Previous Year'!$F:$F, MATCH($D538, 'Local Data Previous Year'!$D:$D, 0)), "")</f>
        <v/>
      </c>
      <c r="AH538" s="209" t="str">
        <f>IFERROR(INDEX('Local Data Previous Year'!$G:$G, MATCH($D538, 'Local Data Previous Year'!$D:$D, 0)), "")</f>
        <v/>
      </c>
      <c r="AI538" s="209" t="str">
        <f>IFERROR(INDEX('Local Data Previous Year'!$H:$H, MATCH($D538, 'Local Data Previous Year'!$D:$D, 0)), "")</f>
        <v/>
      </c>
      <c r="AJ538" s="209" t="str">
        <f t="shared" si="91"/>
        <v/>
      </c>
      <c r="AK538" s="209" t="str">
        <f t="shared" si="92"/>
        <v/>
      </c>
      <c r="AL538" s="209" t="str">
        <f t="shared" si="93"/>
        <v/>
      </c>
      <c r="AM538" s="208" t="str">
        <f>IF($AN538="","",IFERROR(VLOOKUP(CONCATENATE(CTR1_Billing!$E$20,$AN538),'Local Data Previous Year'!$C$3:$D$50000,2,0),CTR1_Billing!$E$21&amp;"NEW"))</f>
        <v/>
      </c>
      <c r="AN538" s="209" t="str" cm="1">
        <f t="array" ref="AN538">IF(ISERROR(INDEX('Local Data Previous Year'!$E$3:$E$50000, SMALL(IF(CTR1_Billing!$E$21='Local Data Previous Year'!$A$3:$A$50000, ROW('Local Data Previous Year'!$A$3:$A$50000)-ROW('Local Data Previous Year'!$A$3)+1), ROW(506:506)))), "", INDEX('Local Data Previous Year'!$E$3:$E$50000, SMALL(IF(CTR1_Billing!$E$21='Local Data Previous Year'!$A$3:$A$50000, ROW('Local Data Previous Year'!$A$3:$A$50000)-ROW('Local Data Previous Year'!$A$3)+1), ROW(506:506))))</f>
        <v/>
      </c>
      <c r="AO538" s="209" t="str">
        <f t="shared" si="94"/>
        <v/>
      </c>
      <c r="AP538" s="208"/>
      <c r="AQ538" s="209" t="str">
        <f t="shared" si="95"/>
        <v/>
      </c>
      <c r="AR538" s="209" t="str">
        <f t="shared" si="96"/>
        <v/>
      </c>
      <c r="AS538" s="202" t="str">
        <f t="shared" si="97"/>
        <v/>
      </c>
      <c r="AT538" s="202" t="str">
        <f t="shared" si="98"/>
        <v/>
      </c>
      <c r="AU538" s="208"/>
      <c r="AV538" s="208"/>
      <c r="AW538" s="208"/>
      <c r="AX538" s="208"/>
      <c r="AY538" s="208"/>
      <c r="AZ538" s="208"/>
      <c r="BA538" s="208"/>
      <c r="BB538" s="208"/>
      <c r="BC538" s="208"/>
      <c r="BD538" s="208"/>
      <c r="BE538" s="208"/>
      <c r="BF538" s="208"/>
      <c r="BG538" s="28"/>
      <c r="BH538" s="28"/>
      <c r="BI538" s="28"/>
      <c r="BJ538" s="28"/>
    </row>
    <row r="539" spans="1:62" s="23" customFormat="1" ht="21" customHeight="1" thickBot="1" x14ac:dyDescent="0.25">
      <c r="A539" s="846" t="str">
        <f>IF($AN539="","",IFERROR(VLOOKUP(CONCATENATE(CTR1_Billing!$E$20,$AN539),'Local Data Previous Year'!$C$3:$D$20000,2,0),CTR1_Billing!$E$21&amp;"NEW"))</f>
        <v/>
      </c>
      <c r="B539" s="846" t="str">
        <f>IF($E539="","",IFERROR(VLOOKUP(CONCATENATE(CTR1_Billing!$E$20,CTR1_Local!$E539),'Local Data Previous Year'!$C$3:$D$20000,2,0),CTR1_Billing!$E$21&amp;"NEW"))</f>
        <v/>
      </c>
      <c r="C539" s="846">
        <v>507</v>
      </c>
      <c r="D539" s="755" t="str" cm="1">
        <f t="array" ref="D539">IF(ISERROR(INDEX('Local Data Previous Year'!$D$3:$D$20000,SMALL(IF(CTR1_Billing!$E$21='Local Data Previous Year'!$A$3:$A$20000,ROW('Local Data Previous Year'!$A$3:$A$20000)-ROW('Local Data Previous Year'!$A$3)+1),ROW(507:507)))),"",INDEX('Local Data Previous Year'!$D$3:$D$20000,SMALL(IF(CTR1_Billing!$E$21='Local Data Previous Year'!$A$3:$A$20000,ROW('Local Data Previous Year'!$A$3:$A$20000)-ROW('Local Data Previous Year'!$A$3)+1),ROW(507:507))))</f>
        <v/>
      </c>
      <c r="E539" s="755" t="str" cm="1">
        <f t="array" ref="E539">IF(ISERROR(INDEX('Local Data Previous Year'!$E$3:$E$20000,SMALL(IF(CTR1_Billing!$E$21='Local Data Previous Year'!$A$3:$A$20000,ROW('Local Data Previous Year'!$A$3:$A$20000)-ROW('Local Data Previous Year'!$A$3)+1),ROW(507:507)))),"",INDEX('Local Data Previous Year'!$E$3:$E$20000,SMALL(IF(CTR1_Billing!$E$21='Local Data Previous Year'!$A$3:$A$20000,ROW('Local Data Previous Year'!$A$3:$A$20000)-ROW('Local Data Previous Year'!$A$3)+1),ROW(507:507))))</f>
        <v/>
      </c>
      <c r="F539" s="756" t="str">
        <f>IF($D539="","",IF(ISNA(MATCH($D539,'Local Data Previous Year'!$D$3:$D$20000,0)),"New",IFERROR(VLOOKUP($B539,'Local Data Previous Year'!$D$3:$I$20000,6,0),"")))</f>
        <v/>
      </c>
      <c r="G539" s="757">
        <f t="shared" si="99"/>
        <v>0</v>
      </c>
      <c r="H539" s="758" t="str">
        <f>IFERROR(INDEX('Local Data Previous Year'!$F:$F, MATCH($D539, 'Local Data Previous Year'!$D:$D, 0)), "")</f>
        <v/>
      </c>
      <c r="I539" s="759">
        <f>IF(B539=CTR1_Billing!$E$21&amp;"NEW",1,0)</f>
        <v>0</v>
      </c>
      <c r="J539" s="760" t="str">
        <f>IFERROR(INDEX('Local Data Previous Year'!$G:$G, MATCH($D539, 'Local Data Previous Year'!$D:$D, 0)), "")</f>
        <v/>
      </c>
      <c r="K539" s="762"/>
      <c r="L539" s="760" t="str">
        <f>IFERROR(INDEX('Local Data Previous Year'!$H:$H, MATCH($D539, 'Local Data Previous Year'!$D:$D, 0)), "")</f>
        <v/>
      </c>
      <c r="M539" s="762"/>
      <c r="N539" s="763"/>
      <c r="O539" s="767"/>
      <c r="P539" s="765"/>
      <c r="Q539" s="767"/>
      <c r="R539" s="766" t="str">
        <f t="shared" si="100"/>
        <v/>
      </c>
      <c r="S539" s="754"/>
      <c r="T539" s="763"/>
      <c r="U539" s="754"/>
      <c r="V539" s="763"/>
      <c r="W539" s="763"/>
      <c r="X539" s="865" t="str">
        <f>VLOOKUP(CTR1_Billing!$E$21,Data!$C$6:$D$302,1,FALSE)</f>
        <v>EZZZZ</v>
      </c>
      <c r="Y539" s="205"/>
      <c r="Z539" s="205">
        <f t="shared" si="89"/>
        <v>0</v>
      </c>
      <c r="AA539" s="206" t="str">
        <f t="shared" si="88"/>
        <v/>
      </c>
      <c r="AB539" s="205">
        <f t="shared" si="90"/>
        <v>0</v>
      </c>
      <c r="AC539" s="208"/>
      <c r="AD539" s="208"/>
      <c r="AE539" s="208"/>
      <c r="AF539" s="208"/>
      <c r="AG539" s="209" t="str">
        <f>IFERROR(INDEX('Local Data Previous Year'!$F:$F, MATCH($D539, 'Local Data Previous Year'!$D:$D, 0)), "")</f>
        <v/>
      </c>
      <c r="AH539" s="209" t="str">
        <f>IFERROR(INDEX('Local Data Previous Year'!$G:$G, MATCH($D539, 'Local Data Previous Year'!$D:$D, 0)), "")</f>
        <v/>
      </c>
      <c r="AI539" s="209" t="str">
        <f>IFERROR(INDEX('Local Data Previous Year'!$H:$H, MATCH($D539, 'Local Data Previous Year'!$D:$D, 0)), "")</f>
        <v/>
      </c>
      <c r="AJ539" s="209" t="str">
        <f t="shared" si="91"/>
        <v/>
      </c>
      <c r="AK539" s="209" t="str">
        <f t="shared" si="92"/>
        <v/>
      </c>
      <c r="AL539" s="209" t="str">
        <f t="shared" si="93"/>
        <v/>
      </c>
      <c r="AM539" s="208" t="str">
        <f>IF($AN539="","",IFERROR(VLOOKUP(CONCATENATE(CTR1_Billing!$E$20,$AN539),'Local Data Previous Year'!$C$3:$D$50000,2,0),CTR1_Billing!$E$21&amp;"NEW"))</f>
        <v/>
      </c>
      <c r="AN539" s="209" t="str" cm="1">
        <f t="array" ref="AN539">IF(ISERROR(INDEX('Local Data Previous Year'!$E$3:$E$50000, SMALL(IF(CTR1_Billing!$E$21='Local Data Previous Year'!$A$3:$A$50000, ROW('Local Data Previous Year'!$A$3:$A$50000)-ROW('Local Data Previous Year'!$A$3)+1), ROW(507:507)))), "", INDEX('Local Data Previous Year'!$E$3:$E$50000, SMALL(IF(CTR1_Billing!$E$21='Local Data Previous Year'!$A$3:$A$50000, ROW('Local Data Previous Year'!$A$3:$A$50000)-ROW('Local Data Previous Year'!$A$3)+1), ROW(507:507))))</f>
        <v/>
      </c>
      <c r="AO539" s="209" t="str">
        <f t="shared" si="94"/>
        <v/>
      </c>
      <c r="AP539" s="208"/>
      <c r="AQ539" s="209" t="str">
        <f t="shared" si="95"/>
        <v/>
      </c>
      <c r="AR539" s="209" t="str">
        <f t="shared" si="96"/>
        <v/>
      </c>
      <c r="AS539" s="202" t="str">
        <f t="shared" si="97"/>
        <v/>
      </c>
      <c r="AT539" s="202" t="str">
        <f t="shared" si="98"/>
        <v/>
      </c>
      <c r="AU539" s="208"/>
      <c r="AV539" s="208"/>
      <c r="AW539" s="208"/>
      <c r="AX539" s="208"/>
      <c r="AY539" s="208"/>
      <c r="AZ539" s="208"/>
      <c r="BA539" s="208"/>
      <c r="BB539" s="208"/>
      <c r="BC539" s="208"/>
      <c r="BD539" s="208"/>
      <c r="BE539" s="208"/>
      <c r="BF539" s="208"/>
      <c r="BG539" s="28"/>
      <c r="BH539" s="28"/>
      <c r="BI539" s="28"/>
      <c r="BJ539" s="28"/>
    </row>
    <row r="540" spans="1:62" s="23" customFormat="1" ht="21" customHeight="1" thickBot="1" x14ac:dyDescent="0.25">
      <c r="A540" s="846" t="str">
        <f>IF($AN540="","",IFERROR(VLOOKUP(CONCATENATE(CTR1_Billing!$E$20,$AN540),'Local Data Previous Year'!$C$3:$D$20000,2,0),CTR1_Billing!$E$21&amp;"NEW"))</f>
        <v/>
      </c>
      <c r="B540" s="846" t="str">
        <f>IF($E540="","",IFERROR(VLOOKUP(CONCATENATE(CTR1_Billing!$E$20,CTR1_Local!$E540),'Local Data Previous Year'!$C$3:$D$20000,2,0),CTR1_Billing!$E$21&amp;"NEW"))</f>
        <v/>
      </c>
      <c r="C540" s="846">
        <v>508</v>
      </c>
      <c r="D540" s="755" t="str" cm="1">
        <f t="array" ref="D540">IF(ISERROR(INDEX('Local Data Previous Year'!$D$3:$D$20000,SMALL(IF(CTR1_Billing!$E$21='Local Data Previous Year'!$A$3:$A$20000,ROW('Local Data Previous Year'!$A$3:$A$20000)-ROW('Local Data Previous Year'!$A$3)+1),ROW(508:508)))),"",INDEX('Local Data Previous Year'!$D$3:$D$20000,SMALL(IF(CTR1_Billing!$E$21='Local Data Previous Year'!$A$3:$A$20000,ROW('Local Data Previous Year'!$A$3:$A$20000)-ROW('Local Data Previous Year'!$A$3)+1),ROW(508:508))))</f>
        <v/>
      </c>
      <c r="E540" s="755" t="str" cm="1">
        <f t="array" ref="E540">IF(ISERROR(INDEX('Local Data Previous Year'!$E$3:$E$20000,SMALL(IF(CTR1_Billing!$E$21='Local Data Previous Year'!$A$3:$A$20000,ROW('Local Data Previous Year'!$A$3:$A$20000)-ROW('Local Data Previous Year'!$A$3)+1),ROW(508:508)))),"",INDEX('Local Data Previous Year'!$E$3:$E$20000,SMALL(IF(CTR1_Billing!$E$21='Local Data Previous Year'!$A$3:$A$20000,ROW('Local Data Previous Year'!$A$3:$A$20000)-ROW('Local Data Previous Year'!$A$3)+1),ROW(508:508))))</f>
        <v/>
      </c>
      <c r="F540" s="756" t="str">
        <f>IF($D540="","",IF(ISNA(MATCH($D540,'Local Data Previous Year'!$D$3:$D$20000,0)),"New",IFERROR(VLOOKUP($B540,'Local Data Previous Year'!$D$3:$I$20000,6,0),"")))</f>
        <v/>
      </c>
      <c r="G540" s="757">
        <f t="shared" si="99"/>
        <v>0</v>
      </c>
      <c r="H540" s="758" t="str">
        <f>IFERROR(INDEX('Local Data Previous Year'!$F:$F, MATCH($D540, 'Local Data Previous Year'!$D:$D, 0)), "")</f>
        <v/>
      </c>
      <c r="I540" s="759">
        <f>IF(B540=CTR1_Billing!$E$21&amp;"NEW",1,0)</f>
        <v>0</v>
      </c>
      <c r="J540" s="760" t="str">
        <f>IFERROR(INDEX('Local Data Previous Year'!$G:$G, MATCH($D540, 'Local Data Previous Year'!$D:$D, 0)), "")</f>
        <v/>
      </c>
      <c r="K540" s="762"/>
      <c r="L540" s="760" t="str">
        <f>IFERROR(INDEX('Local Data Previous Year'!$H:$H, MATCH($D540, 'Local Data Previous Year'!$D:$D, 0)), "")</f>
        <v/>
      </c>
      <c r="M540" s="762"/>
      <c r="N540" s="763"/>
      <c r="O540" s="767"/>
      <c r="P540" s="765"/>
      <c r="Q540" s="767"/>
      <c r="R540" s="766" t="str">
        <f t="shared" si="100"/>
        <v/>
      </c>
      <c r="S540" s="754"/>
      <c r="T540" s="763"/>
      <c r="U540" s="754"/>
      <c r="V540" s="763"/>
      <c r="W540" s="763"/>
      <c r="X540" s="865" t="str">
        <f>VLOOKUP(CTR1_Billing!$E$21,Data!$C$6:$D$302,1,FALSE)</f>
        <v>EZZZZ</v>
      </c>
      <c r="Y540" s="205"/>
      <c r="Z540" s="205">
        <f t="shared" si="89"/>
        <v>0</v>
      </c>
      <c r="AA540" s="206" t="str">
        <f t="shared" si="88"/>
        <v/>
      </c>
      <c r="AB540" s="205">
        <f t="shared" si="90"/>
        <v>0</v>
      </c>
      <c r="AC540" s="208"/>
      <c r="AD540" s="208"/>
      <c r="AE540" s="208"/>
      <c r="AF540" s="208"/>
      <c r="AG540" s="209" t="str">
        <f>IFERROR(INDEX('Local Data Previous Year'!$F:$F, MATCH($D540, 'Local Data Previous Year'!$D:$D, 0)), "")</f>
        <v/>
      </c>
      <c r="AH540" s="209" t="str">
        <f>IFERROR(INDEX('Local Data Previous Year'!$G:$G, MATCH($D540, 'Local Data Previous Year'!$D:$D, 0)), "")</f>
        <v/>
      </c>
      <c r="AI540" s="209" t="str">
        <f>IFERROR(INDEX('Local Data Previous Year'!$H:$H, MATCH($D540, 'Local Data Previous Year'!$D:$D, 0)), "")</f>
        <v/>
      </c>
      <c r="AJ540" s="209" t="str">
        <f t="shared" si="91"/>
        <v/>
      </c>
      <c r="AK540" s="209" t="str">
        <f t="shared" si="92"/>
        <v/>
      </c>
      <c r="AL540" s="209" t="str">
        <f t="shared" si="93"/>
        <v/>
      </c>
      <c r="AM540" s="208" t="str">
        <f>IF($AN540="","",IFERROR(VLOOKUP(CONCATENATE(CTR1_Billing!$E$20,$AN540),'Local Data Previous Year'!$C$3:$D$50000,2,0),CTR1_Billing!$E$21&amp;"NEW"))</f>
        <v/>
      </c>
      <c r="AN540" s="209" t="str" cm="1">
        <f t="array" ref="AN540">IF(ISERROR(INDEX('Local Data Previous Year'!$E$3:$E$50000, SMALL(IF(CTR1_Billing!$E$21='Local Data Previous Year'!$A$3:$A$50000, ROW('Local Data Previous Year'!$A$3:$A$50000)-ROW('Local Data Previous Year'!$A$3)+1), ROW(508:508)))), "", INDEX('Local Data Previous Year'!$E$3:$E$50000, SMALL(IF(CTR1_Billing!$E$21='Local Data Previous Year'!$A$3:$A$50000, ROW('Local Data Previous Year'!$A$3:$A$50000)-ROW('Local Data Previous Year'!$A$3)+1), ROW(508:508))))</f>
        <v/>
      </c>
      <c r="AO540" s="209" t="str">
        <f t="shared" si="94"/>
        <v/>
      </c>
      <c r="AP540" s="208"/>
      <c r="AQ540" s="209" t="str">
        <f t="shared" si="95"/>
        <v/>
      </c>
      <c r="AR540" s="209" t="str">
        <f t="shared" si="96"/>
        <v/>
      </c>
      <c r="AS540" s="202" t="str">
        <f t="shared" si="97"/>
        <v/>
      </c>
      <c r="AT540" s="202" t="str">
        <f t="shared" si="98"/>
        <v/>
      </c>
      <c r="AU540" s="208"/>
      <c r="AV540" s="208"/>
      <c r="AW540" s="208"/>
      <c r="AX540" s="208"/>
      <c r="AY540" s="208"/>
      <c r="AZ540" s="208"/>
      <c r="BA540" s="208"/>
      <c r="BB540" s="208"/>
      <c r="BC540" s="208"/>
      <c r="BD540" s="208"/>
      <c r="BE540" s="208"/>
      <c r="BF540" s="208"/>
      <c r="BG540" s="28"/>
      <c r="BH540" s="28"/>
      <c r="BI540" s="28"/>
      <c r="BJ540" s="28"/>
    </row>
    <row r="541" spans="1:62" s="23" customFormat="1" ht="21" customHeight="1" thickBot="1" x14ac:dyDescent="0.25">
      <c r="A541" s="846" t="str">
        <f>IF($AN541="","",IFERROR(VLOOKUP(CONCATENATE(CTR1_Billing!$E$20,$AN541),'Local Data Previous Year'!$C$3:$D$20000,2,0),CTR1_Billing!$E$21&amp;"NEW"))</f>
        <v/>
      </c>
      <c r="B541" s="846" t="str">
        <f>IF($E541="","",IFERROR(VLOOKUP(CONCATENATE(CTR1_Billing!$E$20,CTR1_Local!$E541),'Local Data Previous Year'!$C$3:$D$20000,2,0),CTR1_Billing!$E$21&amp;"NEW"))</f>
        <v/>
      </c>
      <c r="C541" s="846">
        <v>509</v>
      </c>
      <c r="D541" s="755" t="str" cm="1">
        <f t="array" ref="D541">IF(ISERROR(INDEX('Local Data Previous Year'!$D$3:$D$20000,SMALL(IF(CTR1_Billing!$E$21='Local Data Previous Year'!$A$3:$A$20000,ROW('Local Data Previous Year'!$A$3:$A$20000)-ROW('Local Data Previous Year'!$A$3)+1),ROW(509:509)))),"",INDEX('Local Data Previous Year'!$D$3:$D$20000,SMALL(IF(CTR1_Billing!$E$21='Local Data Previous Year'!$A$3:$A$20000,ROW('Local Data Previous Year'!$A$3:$A$20000)-ROW('Local Data Previous Year'!$A$3)+1),ROW(509:509))))</f>
        <v/>
      </c>
      <c r="E541" s="755" t="str" cm="1">
        <f t="array" ref="E541">IF(ISERROR(INDEX('Local Data Previous Year'!$E$3:$E$20000,SMALL(IF(CTR1_Billing!$E$21='Local Data Previous Year'!$A$3:$A$20000,ROW('Local Data Previous Year'!$A$3:$A$20000)-ROW('Local Data Previous Year'!$A$3)+1),ROW(509:509)))),"",INDEX('Local Data Previous Year'!$E$3:$E$20000,SMALL(IF(CTR1_Billing!$E$21='Local Data Previous Year'!$A$3:$A$20000,ROW('Local Data Previous Year'!$A$3:$A$20000)-ROW('Local Data Previous Year'!$A$3)+1),ROW(509:509))))</f>
        <v/>
      </c>
      <c r="F541" s="756" t="str">
        <f>IF($D541="","",IF(ISNA(MATCH($D541,'Local Data Previous Year'!$D$3:$D$20000,0)),"New",IFERROR(VLOOKUP($B541,'Local Data Previous Year'!$D$3:$I$20000,6,0),"")))</f>
        <v/>
      </c>
      <c r="G541" s="757">
        <f t="shared" si="99"/>
        <v>0</v>
      </c>
      <c r="H541" s="758" t="str">
        <f>IFERROR(INDEX('Local Data Previous Year'!$F:$F, MATCH($D541, 'Local Data Previous Year'!$D:$D, 0)), "")</f>
        <v/>
      </c>
      <c r="I541" s="759">
        <f>IF(B541=CTR1_Billing!$E$21&amp;"NEW",1,0)</f>
        <v>0</v>
      </c>
      <c r="J541" s="760" t="str">
        <f>IFERROR(INDEX('Local Data Previous Year'!$G:$G, MATCH($D541, 'Local Data Previous Year'!$D:$D, 0)), "")</f>
        <v/>
      </c>
      <c r="K541" s="762"/>
      <c r="L541" s="760" t="str">
        <f>IFERROR(INDEX('Local Data Previous Year'!$H:$H, MATCH($D541, 'Local Data Previous Year'!$D:$D, 0)), "")</f>
        <v/>
      </c>
      <c r="M541" s="762"/>
      <c r="N541" s="763"/>
      <c r="O541" s="767"/>
      <c r="P541" s="765"/>
      <c r="Q541" s="767"/>
      <c r="R541" s="766" t="str">
        <f t="shared" si="100"/>
        <v/>
      </c>
      <c r="S541" s="754"/>
      <c r="T541" s="763"/>
      <c r="U541" s="754"/>
      <c r="V541" s="763"/>
      <c r="W541" s="763"/>
      <c r="X541" s="865" t="str">
        <f>VLOOKUP(CTR1_Billing!$E$21,Data!$C$6:$D$302,1,FALSE)</f>
        <v>EZZZZ</v>
      </c>
      <c r="Y541" s="205"/>
      <c r="Z541" s="205">
        <f t="shared" si="89"/>
        <v>0</v>
      </c>
      <c r="AA541" s="206" t="str">
        <f t="shared" si="88"/>
        <v/>
      </c>
      <c r="AB541" s="205">
        <f t="shared" si="90"/>
        <v>0</v>
      </c>
      <c r="AC541" s="208"/>
      <c r="AD541" s="208"/>
      <c r="AE541" s="208"/>
      <c r="AF541" s="208"/>
      <c r="AG541" s="209" t="str">
        <f>IFERROR(INDEX('Local Data Previous Year'!$F:$F, MATCH($D541, 'Local Data Previous Year'!$D:$D, 0)), "")</f>
        <v/>
      </c>
      <c r="AH541" s="209" t="str">
        <f>IFERROR(INDEX('Local Data Previous Year'!$G:$G, MATCH($D541, 'Local Data Previous Year'!$D:$D, 0)), "")</f>
        <v/>
      </c>
      <c r="AI541" s="209" t="str">
        <f>IFERROR(INDEX('Local Data Previous Year'!$H:$H, MATCH($D541, 'Local Data Previous Year'!$D:$D, 0)), "")</f>
        <v/>
      </c>
      <c r="AJ541" s="209" t="str">
        <f t="shared" si="91"/>
        <v/>
      </c>
      <c r="AK541" s="209" t="str">
        <f t="shared" si="92"/>
        <v/>
      </c>
      <c r="AL541" s="209" t="str">
        <f t="shared" si="93"/>
        <v/>
      </c>
      <c r="AM541" s="208" t="str">
        <f>IF($AN541="","",IFERROR(VLOOKUP(CONCATENATE(CTR1_Billing!$E$20,$AN541),'Local Data Previous Year'!$C$3:$D$50000,2,0),CTR1_Billing!$E$21&amp;"NEW"))</f>
        <v/>
      </c>
      <c r="AN541" s="209" t="str" cm="1">
        <f t="array" ref="AN541">IF(ISERROR(INDEX('Local Data Previous Year'!$E$3:$E$50000, SMALL(IF(CTR1_Billing!$E$21='Local Data Previous Year'!$A$3:$A$50000, ROW('Local Data Previous Year'!$A$3:$A$50000)-ROW('Local Data Previous Year'!$A$3)+1), ROW(509:509)))), "", INDEX('Local Data Previous Year'!$E$3:$E$50000, SMALL(IF(CTR1_Billing!$E$21='Local Data Previous Year'!$A$3:$A$50000, ROW('Local Data Previous Year'!$A$3:$A$50000)-ROW('Local Data Previous Year'!$A$3)+1), ROW(509:509))))</f>
        <v/>
      </c>
      <c r="AO541" s="209" t="str">
        <f t="shared" si="94"/>
        <v/>
      </c>
      <c r="AP541" s="208"/>
      <c r="AQ541" s="209" t="str">
        <f t="shared" si="95"/>
        <v/>
      </c>
      <c r="AR541" s="209" t="str">
        <f t="shared" si="96"/>
        <v/>
      </c>
      <c r="AS541" s="202" t="str">
        <f t="shared" si="97"/>
        <v/>
      </c>
      <c r="AT541" s="202" t="str">
        <f t="shared" si="98"/>
        <v/>
      </c>
      <c r="AU541" s="208"/>
      <c r="AV541" s="208"/>
      <c r="AW541" s="208"/>
      <c r="AX541" s="208"/>
      <c r="AY541" s="208"/>
      <c r="AZ541" s="208"/>
      <c r="BA541" s="208"/>
      <c r="BB541" s="208"/>
      <c r="BC541" s="208"/>
      <c r="BD541" s="208"/>
      <c r="BE541" s="208"/>
      <c r="BF541" s="208"/>
      <c r="BG541" s="28"/>
      <c r="BH541" s="28"/>
      <c r="BI541" s="28"/>
      <c r="BJ541" s="28"/>
    </row>
    <row r="542" spans="1:62" s="23" customFormat="1" ht="21" customHeight="1" thickBot="1" x14ac:dyDescent="0.25">
      <c r="A542" s="846" t="str">
        <f>IF($AN542="","",IFERROR(VLOOKUP(CONCATENATE(CTR1_Billing!$E$20,$AN542),'Local Data Previous Year'!$C$3:$D$20000,2,0),CTR1_Billing!$E$21&amp;"NEW"))</f>
        <v/>
      </c>
      <c r="B542" s="846" t="str">
        <f>IF($E542="","",IFERROR(VLOOKUP(CONCATENATE(CTR1_Billing!$E$20,CTR1_Local!$E542),'Local Data Previous Year'!$C$3:$D$20000,2,0),CTR1_Billing!$E$21&amp;"NEW"))</f>
        <v/>
      </c>
      <c r="C542" s="846">
        <v>510</v>
      </c>
      <c r="D542" s="755" t="str" cm="1">
        <f t="array" ref="D542">IF(ISERROR(INDEX('Local Data Previous Year'!$D$3:$D$20000,SMALL(IF(CTR1_Billing!$E$21='Local Data Previous Year'!$A$3:$A$20000,ROW('Local Data Previous Year'!$A$3:$A$20000)-ROW('Local Data Previous Year'!$A$3)+1),ROW(510:510)))),"",INDEX('Local Data Previous Year'!$D$3:$D$20000,SMALL(IF(CTR1_Billing!$E$21='Local Data Previous Year'!$A$3:$A$20000,ROW('Local Data Previous Year'!$A$3:$A$20000)-ROW('Local Data Previous Year'!$A$3)+1),ROW(510:510))))</f>
        <v/>
      </c>
      <c r="E542" s="755" t="str" cm="1">
        <f t="array" ref="E542">IF(ISERROR(INDEX('Local Data Previous Year'!$E$3:$E$20000,SMALL(IF(CTR1_Billing!$E$21='Local Data Previous Year'!$A$3:$A$20000,ROW('Local Data Previous Year'!$A$3:$A$20000)-ROW('Local Data Previous Year'!$A$3)+1),ROW(510:510)))),"",INDEX('Local Data Previous Year'!$E$3:$E$20000,SMALL(IF(CTR1_Billing!$E$21='Local Data Previous Year'!$A$3:$A$20000,ROW('Local Data Previous Year'!$A$3:$A$20000)-ROW('Local Data Previous Year'!$A$3)+1),ROW(510:510))))</f>
        <v/>
      </c>
      <c r="F542" s="756" t="str">
        <f>IF($D542="","",IF(ISNA(MATCH($D542,'Local Data Previous Year'!$D$3:$D$20000,0)),"New",IFERROR(VLOOKUP($B542,'Local Data Previous Year'!$D$3:$I$20000,6,0),"")))</f>
        <v/>
      </c>
      <c r="G542" s="757">
        <f t="shared" si="99"/>
        <v>0</v>
      </c>
      <c r="H542" s="758" t="str">
        <f>IFERROR(INDEX('Local Data Previous Year'!$F:$F, MATCH($D542, 'Local Data Previous Year'!$D:$D, 0)), "")</f>
        <v/>
      </c>
      <c r="I542" s="759">
        <f>IF(B542=CTR1_Billing!$E$21&amp;"NEW",1,0)</f>
        <v>0</v>
      </c>
      <c r="J542" s="760" t="str">
        <f>IFERROR(INDEX('Local Data Previous Year'!$G:$G, MATCH($D542, 'Local Data Previous Year'!$D:$D, 0)), "")</f>
        <v/>
      </c>
      <c r="K542" s="762"/>
      <c r="L542" s="760" t="str">
        <f>IFERROR(INDEX('Local Data Previous Year'!$H:$H, MATCH($D542, 'Local Data Previous Year'!$D:$D, 0)), "")</f>
        <v/>
      </c>
      <c r="M542" s="762"/>
      <c r="N542" s="763"/>
      <c r="O542" s="767"/>
      <c r="P542" s="765"/>
      <c r="Q542" s="767"/>
      <c r="R542" s="766" t="str">
        <f t="shared" si="100"/>
        <v/>
      </c>
      <c r="S542" s="754"/>
      <c r="T542" s="763"/>
      <c r="U542" s="754"/>
      <c r="V542" s="763"/>
      <c r="W542" s="763"/>
      <c r="X542" s="865" t="str">
        <f>VLOOKUP(CTR1_Billing!$E$21,Data!$C$6:$D$302,1,FALSE)</f>
        <v>EZZZZ</v>
      </c>
      <c r="Y542" s="205"/>
      <c r="Z542" s="205">
        <f t="shared" si="89"/>
        <v>0</v>
      </c>
      <c r="AA542" s="206" t="str">
        <f t="shared" ref="AA542:AA605" si="101">IF(R542="","",IF(R542=0,"ok",IF(R542&lt;&gt;(N542/P542),"error","ok")))</f>
        <v/>
      </c>
      <c r="AB542" s="205">
        <f t="shared" si="90"/>
        <v>0</v>
      </c>
      <c r="AC542" s="208"/>
      <c r="AD542" s="208"/>
      <c r="AE542" s="208"/>
      <c r="AF542" s="208"/>
      <c r="AG542" s="209" t="str">
        <f>IFERROR(INDEX('Local Data Previous Year'!$F:$F, MATCH($D542, 'Local Data Previous Year'!$D:$D, 0)), "")</f>
        <v/>
      </c>
      <c r="AH542" s="209" t="str">
        <f>IFERROR(INDEX('Local Data Previous Year'!$G:$G, MATCH($D542, 'Local Data Previous Year'!$D:$D, 0)), "")</f>
        <v/>
      </c>
      <c r="AI542" s="209" t="str">
        <f>IFERROR(INDEX('Local Data Previous Year'!$H:$H, MATCH($D542, 'Local Data Previous Year'!$D:$D, 0)), "")</f>
        <v/>
      </c>
      <c r="AJ542" s="209" t="str">
        <f t="shared" si="91"/>
        <v/>
      </c>
      <c r="AK542" s="209" t="str">
        <f t="shared" si="92"/>
        <v/>
      </c>
      <c r="AL542" s="209" t="str">
        <f t="shared" si="93"/>
        <v/>
      </c>
      <c r="AM542" s="208" t="str">
        <f>IF($AN542="","",IFERROR(VLOOKUP(CONCATENATE(CTR1_Billing!$E$20,$AN542),'Local Data Previous Year'!$C$3:$D$50000,2,0),CTR1_Billing!$E$21&amp;"NEW"))</f>
        <v/>
      </c>
      <c r="AN542" s="209" t="str" cm="1">
        <f t="array" ref="AN542">IF(ISERROR(INDEX('Local Data Previous Year'!$E$3:$E$50000, SMALL(IF(CTR1_Billing!$E$21='Local Data Previous Year'!$A$3:$A$50000, ROW('Local Data Previous Year'!$A$3:$A$50000)-ROW('Local Data Previous Year'!$A$3)+1), ROW(510:510)))), "", INDEX('Local Data Previous Year'!$E$3:$E$50000, SMALL(IF(CTR1_Billing!$E$21='Local Data Previous Year'!$A$3:$A$50000, ROW('Local Data Previous Year'!$A$3:$A$50000)-ROW('Local Data Previous Year'!$A$3)+1), ROW(510:510))))</f>
        <v/>
      </c>
      <c r="AO542" s="209" t="str">
        <f t="shared" si="94"/>
        <v/>
      </c>
      <c r="AP542" s="208"/>
      <c r="AQ542" s="209" t="str">
        <f t="shared" si="95"/>
        <v/>
      </c>
      <c r="AR542" s="209" t="str">
        <f t="shared" si="96"/>
        <v/>
      </c>
      <c r="AS542" s="202" t="str">
        <f t="shared" si="97"/>
        <v/>
      </c>
      <c r="AT542" s="202" t="str">
        <f t="shared" si="98"/>
        <v/>
      </c>
      <c r="AU542" s="208"/>
      <c r="AV542" s="208"/>
      <c r="AW542" s="208"/>
      <c r="AX542" s="208"/>
      <c r="AY542" s="208"/>
      <c r="AZ542" s="208"/>
      <c r="BA542" s="208"/>
      <c r="BB542" s="208"/>
      <c r="BC542" s="208"/>
      <c r="BD542" s="208"/>
      <c r="BE542" s="208"/>
      <c r="BF542" s="208"/>
      <c r="BG542" s="28"/>
      <c r="BH542" s="28"/>
      <c r="BI542" s="28"/>
      <c r="BJ542" s="28"/>
    </row>
    <row r="543" spans="1:62" s="23" customFormat="1" ht="21" customHeight="1" thickBot="1" x14ac:dyDescent="0.25">
      <c r="A543" s="846" t="str">
        <f>IF($AN543="","",IFERROR(VLOOKUP(CONCATENATE(CTR1_Billing!$E$20,$AN543),'Local Data Previous Year'!$C$3:$D$20000,2,0),CTR1_Billing!$E$21&amp;"NEW"))</f>
        <v/>
      </c>
      <c r="B543" s="846" t="str">
        <f>IF($E543="","",IFERROR(VLOOKUP(CONCATENATE(CTR1_Billing!$E$20,CTR1_Local!$E543),'Local Data Previous Year'!$C$3:$D$20000,2,0),CTR1_Billing!$E$21&amp;"NEW"))</f>
        <v/>
      </c>
      <c r="C543" s="846">
        <v>511</v>
      </c>
      <c r="D543" s="755" t="str" cm="1">
        <f t="array" ref="D543">IF(ISERROR(INDEX('Local Data Previous Year'!$D$3:$D$20000,SMALL(IF(CTR1_Billing!$E$21='Local Data Previous Year'!$A$3:$A$20000,ROW('Local Data Previous Year'!$A$3:$A$20000)-ROW('Local Data Previous Year'!$A$3)+1),ROW(511:511)))),"",INDEX('Local Data Previous Year'!$D$3:$D$20000,SMALL(IF(CTR1_Billing!$E$21='Local Data Previous Year'!$A$3:$A$20000,ROW('Local Data Previous Year'!$A$3:$A$20000)-ROW('Local Data Previous Year'!$A$3)+1),ROW(511:511))))</f>
        <v/>
      </c>
      <c r="E543" s="755" t="str" cm="1">
        <f t="array" ref="E543">IF(ISERROR(INDEX('Local Data Previous Year'!$E$3:$E$20000,SMALL(IF(CTR1_Billing!$E$21='Local Data Previous Year'!$A$3:$A$20000,ROW('Local Data Previous Year'!$A$3:$A$20000)-ROW('Local Data Previous Year'!$A$3)+1),ROW(511:511)))),"",INDEX('Local Data Previous Year'!$E$3:$E$20000,SMALL(IF(CTR1_Billing!$E$21='Local Data Previous Year'!$A$3:$A$20000,ROW('Local Data Previous Year'!$A$3:$A$20000)-ROW('Local Data Previous Year'!$A$3)+1),ROW(511:511))))</f>
        <v/>
      </c>
      <c r="F543" s="756" t="str">
        <f>IF($D543="","",IF(ISNA(MATCH($D543,'Local Data Previous Year'!$D$3:$D$20000,0)),"New",IFERROR(VLOOKUP($B543,'Local Data Previous Year'!$D$3:$I$20000,6,0),"")))</f>
        <v/>
      </c>
      <c r="G543" s="757">
        <f t="shared" si="99"/>
        <v>0</v>
      </c>
      <c r="H543" s="758" t="str">
        <f>IFERROR(INDEX('Local Data Previous Year'!$F:$F, MATCH($D543, 'Local Data Previous Year'!$D:$D, 0)), "")</f>
        <v/>
      </c>
      <c r="I543" s="759">
        <f>IF(B543=CTR1_Billing!$E$21&amp;"NEW",1,0)</f>
        <v>0</v>
      </c>
      <c r="J543" s="760" t="str">
        <f>IFERROR(INDEX('Local Data Previous Year'!$G:$G, MATCH($D543, 'Local Data Previous Year'!$D:$D, 0)), "")</f>
        <v/>
      </c>
      <c r="K543" s="762"/>
      <c r="L543" s="760" t="str">
        <f>IFERROR(INDEX('Local Data Previous Year'!$H:$H, MATCH($D543, 'Local Data Previous Year'!$D:$D, 0)), "")</f>
        <v/>
      </c>
      <c r="M543" s="762"/>
      <c r="N543" s="763"/>
      <c r="O543" s="767"/>
      <c r="P543" s="765"/>
      <c r="Q543" s="767"/>
      <c r="R543" s="766" t="str">
        <f t="shared" si="100"/>
        <v/>
      </c>
      <c r="S543" s="754"/>
      <c r="T543" s="763"/>
      <c r="U543" s="754"/>
      <c r="V543" s="763"/>
      <c r="W543" s="763"/>
      <c r="X543" s="865" t="str">
        <f>VLOOKUP(CTR1_Billing!$E$21,Data!$C$6:$D$302,1,FALSE)</f>
        <v>EZZZZ</v>
      </c>
      <c r="Y543" s="205"/>
      <c r="Z543" s="205">
        <f t="shared" si="89"/>
        <v>0</v>
      </c>
      <c r="AA543" s="206" t="str">
        <f t="shared" si="101"/>
        <v/>
      </c>
      <c r="AB543" s="205">
        <f t="shared" si="90"/>
        <v>0</v>
      </c>
      <c r="AC543" s="208"/>
      <c r="AD543" s="208"/>
      <c r="AE543" s="208"/>
      <c r="AF543" s="208"/>
      <c r="AG543" s="209" t="str">
        <f>IFERROR(INDEX('Local Data Previous Year'!$F:$F, MATCH($D543, 'Local Data Previous Year'!$D:$D, 0)), "")</f>
        <v/>
      </c>
      <c r="AH543" s="209" t="str">
        <f>IFERROR(INDEX('Local Data Previous Year'!$G:$G, MATCH($D543, 'Local Data Previous Year'!$D:$D, 0)), "")</f>
        <v/>
      </c>
      <c r="AI543" s="209" t="str">
        <f>IFERROR(INDEX('Local Data Previous Year'!$H:$H, MATCH($D543, 'Local Data Previous Year'!$D:$D, 0)), "")</f>
        <v/>
      </c>
      <c r="AJ543" s="209" t="str">
        <f t="shared" si="91"/>
        <v/>
      </c>
      <c r="AK543" s="209" t="str">
        <f t="shared" si="92"/>
        <v/>
      </c>
      <c r="AL543" s="209" t="str">
        <f t="shared" si="93"/>
        <v/>
      </c>
      <c r="AM543" s="208" t="str">
        <f>IF($AN543="","",IFERROR(VLOOKUP(CONCATENATE(CTR1_Billing!$E$20,$AN543),'Local Data Previous Year'!$C$3:$D$50000,2,0),CTR1_Billing!$E$21&amp;"NEW"))</f>
        <v/>
      </c>
      <c r="AN543" s="209" t="str" cm="1">
        <f t="array" ref="AN543">IF(ISERROR(INDEX('Local Data Previous Year'!$E$3:$E$50000, SMALL(IF(CTR1_Billing!$E$21='Local Data Previous Year'!$A$3:$A$50000, ROW('Local Data Previous Year'!$A$3:$A$50000)-ROW('Local Data Previous Year'!$A$3)+1), ROW(511:511)))), "", INDEX('Local Data Previous Year'!$E$3:$E$50000, SMALL(IF(CTR1_Billing!$E$21='Local Data Previous Year'!$A$3:$A$50000, ROW('Local Data Previous Year'!$A$3:$A$50000)-ROW('Local Data Previous Year'!$A$3)+1), ROW(511:511))))</f>
        <v/>
      </c>
      <c r="AO543" s="209" t="str">
        <f t="shared" si="94"/>
        <v/>
      </c>
      <c r="AP543" s="208"/>
      <c r="AQ543" s="209" t="str">
        <f t="shared" si="95"/>
        <v/>
      </c>
      <c r="AR543" s="209" t="str">
        <f t="shared" si="96"/>
        <v/>
      </c>
      <c r="AS543" s="202" t="str">
        <f t="shared" si="97"/>
        <v/>
      </c>
      <c r="AT543" s="202" t="str">
        <f t="shared" si="98"/>
        <v/>
      </c>
      <c r="AU543" s="208"/>
      <c r="AV543" s="208"/>
      <c r="AW543" s="208"/>
      <c r="AX543" s="208"/>
      <c r="AY543" s="208"/>
      <c r="AZ543" s="208"/>
      <c r="BA543" s="208"/>
      <c r="BB543" s="208"/>
      <c r="BC543" s="208"/>
      <c r="BD543" s="208"/>
      <c r="BE543" s="208"/>
      <c r="BF543" s="208"/>
      <c r="BG543" s="28"/>
      <c r="BH543" s="28"/>
      <c r="BI543" s="28"/>
      <c r="BJ543" s="28"/>
    </row>
    <row r="544" spans="1:62" s="23" customFormat="1" ht="21" customHeight="1" thickBot="1" x14ac:dyDescent="0.25">
      <c r="A544" s="846" t="str">
        <f>IF($AN544="","",IFERROR(VLOOKUP(CONCATENATE(CTR1_Billing!$E$20,$AN544),'Local Data Previous Year'!$C$3:$D$20000,2,0),CTR1_Billing!$E$21&amp;"NEW"))</f>
        <v/>
      </c>
      <c r="B544" s="846" t="str">
        <f>IF($E544="","",IFERROR(VLOOKUP(CONCATENATE(CTR1_Billing!$E$20,CTR1_Local!$E544),'Local Data Previous Year'!$C$3:$D$20000,2,0),CTR1_Billing!$E$21&amp;"NEW"))</f>
        <v/>
      </c>
      <c r="C544" s="846">
        <v>512</v>
      </c>
      <c r="D544" s="755" t="str" cm="1">
        <f t="array" ref="D544">IF(ISERROR(INDEX('Local Data Previous Year'!$D$3:$D$20000,SMALL(IF(CTR1_Billing!$E$21='Local Data Previous Year'!$A$3:$A$20000,ROW('Local Data Previous Year'!$A$3:$A$20000)-ROW('Local Data Previous Year'!$A$3)+1),ROW(512:512)))),"",INDEX('Local Data Previous Year'!$D$3:$D$20000,SMALL(IF(CTR1_Billing!$E$21='Local Data Previous Year'!$A$3:$A$20000,ROW('Local Data Previous Year'!$A$3:$A$20000)-ROW('Local Data Previous Year'!$A$3)+1),ROW(512:512))))</f>
        <v/>
      </c>
      <c r="E544" s="755" t="str" cm="1">
        <f t="array" ref="E544">IF(ISERROR(INDEX('Local Data Previous Year'!$E$3:$E$20000,SMALL(IF(CTR1_Billing!$E$21='Local Data Previous Year'!$A$3:$A$20000,ROW('Local Data Previous Year'!$A$3:$A$20000)-ROW('Local Data Previous Year'!$A$3)+1),ROW(512:512)))),"",INDEX('Local Data Previous Year'!$E$3:$E$20000,SMALL(IF(CTR1_Billing!$E$21='Local Data Previous Year'!$A$3:$A$20000,ROW('Local Data Previous Year'!$A$3:$A$20000)-ROW('Local Data Previous Year'!$A$3)+1),ROW(512:512))))</f>
        <v/>
      </c>
      <c r="F544" s="756" t="str">
        <f>IF($D544="","",IF(ISNA(MATCH($D544,'Local Data Previous Year'!$D$3:$D$20000,0)),"New",IFERROR(VLOOKUP($B544,'Local Data Previous Year'!$D$3:$I$20000,6,0),"")))</f>
        <v/>
      </c>
      <c r="G544" s="757">
        <f t="shared" si="99"/>
        <v>0</v>
      </c>
      <c r="H544" s="758" t="str">
        <f>IFERROR(INDEX('Local Data Previous Year'!$F:$F, MATCH($D544, 'Local Data Previous Year'!$D:$D, 0)), "")</f>
        <v/>
      </c>
      <c r="I544" s="759">
        <f>IF(B544=CTR1_Billing!$E$21&amp;"NEW",1,0)</f>
        <v>0</v>
      </c>
      <c r="J544" s="760" t="str">
        <f>IFERROR(INDEX('Local Data Previous Year'!$G:$G, MATCH($D544, 'Local Data Previous Year'!$D:$D, 0)), "")</f>
        <v/>
      </c>
      <c r="K544" s="762"/>
      <c r="L544" s="760" t="str">
        <f>IFERROR(INDEX('Local Data Previous Year'!$H:$H, MATCH($D544, 'Local Data Previous Year'!$D:$D, 0)), "")</f>
        <v/>
      </c>
      <c r="M544" s="762"/>
      <c r="N544" s="763"/>
      <c r="O544" s="767"/>
      <c r="P544" s="765"/>
      <c r="Q544" s="767"/>
      <c r="R544" s="766" t="str">
        <f t="shared" si="100"/>
        <v/>
      </c>
      <c r="S544" s="754"/>
      <c r="T544" s="763"/>
      <c r="U544" s="754"/>
      <c r="V544" s="763"/>
      <c r="W544" s="763"/>
      <c r="X544" s="865" t="str">
        <f>VLOOKUP(CTR1_Billing!$E$21,Data!$C$6:$D$302,1,FALSE)</f>
        <v>EZZZZ</v>
      </c>
      <c r="Y544" s="205"/>
      <c r="Z544" s="205">
        <f t="shared" si="89"/>
        <v>0</v>
      </c>
      <c r="AA544" s="206" t="str">
        <f t="shared" si="101"/>
        <v/>
      </c>
      <c r="AB544" s="205">
        <f t="shared" si="90"/>
        <v>0</v>
      </c>
      <c r="AC544" s="208"/>
      <c r="AD544" s="208"/>
      <c r="AE544" s="208"/>
      <c r="AF544" s="208"/>
      <c r="AG544" s="209" t="str">
        <f>IFERROR(INDEX('Local Data Previous Year'!$F:$F, MATCH($D544, 'Local Data Previous Year'!$D:$D, 0)), "")</f>
        <v/>
      </c>
      <c r="AH544" s="209" t="str">
        <f>IFERROR(INDEX('Local Data Previous Year'!$G:$G, MATCH($D544, 'Local Data Previous Year'!$D:$D, 0)), "")</f>
        <v/>
      </c>
      <c r="AI544" s="209" t="str">
        <f>IFERROR(INDEX('Local Data Previous Year'!$H:$H, MATCH($D544, 'Local Data Previous Year'!$D:$D, 0)), "")</f>
        <v/>
      </c>
      <c r="AJ544" s="209" t="str">
        <f t="shared" si="91"/>
        <v/>
      </c>
      <c r="AK544" s="209" t="str">
        <f t="shared" si="92"/>
        <v/>
      </c>
      <c r="AL544" s="209" t="str">
        <f t="shared" si="93"/>
        <v/>
      </c>
      <c r="AM544" s="208" t="str">
        <f>IF($AN544="","",IFERROR(VLOOKUP(CONCATENATE(CTR1_Billing!$E$20,$AN544),'Local Data Previous Year'!$C$3:$D$50000,2,0),CTR1_Billing!$E$21&amp;"NEW"))</f>
        <v/>
      </c>
      <c r="AN544" s="209" t="str" cm="1">
        <f t="array" ref="AN544">IF(ISERROR(INDEX('Local Data Previous Year'!$E$3:$E$50000, SMALL(IF(CTR1_Billing!$E$21='Local Data Previous Year'!$A$3:$A$50000, ROW('Local Data Previous Year'!$A$3:$A$50000)-ROW('Local Data Previous Year'!$A$3)+1), ROW(512:512)))), "", INDEX('Local Data Previous Year'!$E$3:$E$50000, SMALL(IF(CTR1_Billing!$E$21='Local Data Previous Year'!$A$3:$A$50000, ROW('Local Data Previous Year'!$A$3:$A$50000)-ROW('Local Data Previous Year'!$A$3)+1), ROW(512:512))))</f>
        <v/>
      </c>
      <c r="AO544" s="209" t="str">
        <f t="shared" si="94"/>
        <v/>
      </c>
      <c r="AP544" s="208"/>
      <c r="AQ544" s="209" t="str">
        <f t="shared" si="95"/>
        <v/>
      </c>
      <c r="AR544" s="209" t="str">
        <f t="shared" si="96"/>
        <v/>
      </c>
      <c r="AS544" s="202" t="str">
        <f t="shared" si="97"/>
        <v/>
      </c>
      <c r="AT544" s="202" t="str">
        <f t="shared" si="98"/>
        <v/>
      </c>
      <c r="AU544" s="208"/>
      <c r="AV544" s="208"/>
      <c r="AW544" s="208"/>
      <c r="AX544" s="208"/>
      <c r="AY544" s="208"/>
      <c r="AZ544" s="208"/>
      <c r="BA544" s="208"/>
      <c r="BB544" s="208"/>
      <c r="BC544" s="208"/>
      <c r="BD544" s="208"/>
      <c r="BE544" s="208"/>
      <c r="BF544" s="208"/>
      <c r="BG544" s="28"/>
      <c r="BH544" s="28"/>
      <c r="BI544" s="28"/>
      <c r="BJ544" s="28"/>
    </row>
    <row r="545" spans="1:62" s="23" customFormat="1" ht="21" customHeight="1" thickBot="1" x14ac:dyDescent="0.25">
      <c r="A545" s="846" t="str">
        <f>IF($AN545="","",IFERROR(VLOOKUP(CONCATENATE(CTR1_Billing!$E$20,$AN545),'Local Data Previous Year'!$C$3:$D$20000,2,0),CTR1_Billing!$E$21&amp;"NEW"))</f>
        <v/>
      </c>
      <c r="B545" s="846" t="str">
        <f>IF($E545="","",IFERROR(VLOOKUP(CONCATENATE(CTR1_Billing!$E$20,CTR1_Local!$E545),'Local Data Previous Year'!$C$3:$D$20000,2,0),CTR1_Billing!$E$21&amp;"NEW"))</f>
        <v/>
      </c>
      <c r="C545" s="846">
        <v>513</v>
      </c>
      <c r="D545" s="755" t="str" cm="1">
        <f t="array" ref="D545">IF(ISERROR(INDEX('Local Data Previous Year'!$D$3:$D$20000,SMALL(IF(CTR1_Billing!$E$21='Local Data Previous Year'!$A$3:$A$20000,ROW('Local Data Previous Year'!$A$3:$A$20000)-ROW('Local Data Previous Year'!$A$3)+1),ROW(513:513)))),"",INDEX('Local Data Previous Year'!$D$3:$D$20000,SMALL(IF(CTR1_Billing!$E$21='Local Data Previous Year'!$A$3:$A$20000,ROW('Local Data Previous Year'!$A$3:$A$20000)-ROW('Local Data Previous Year'!$A$3)+1),ROW(513:513))))</f>
        <v/>
      </c>
      <c r="E545" s="755" t="str" cm="1">
        <f t="array" ref="E545">IF(ISERROR(INDEX('Local Data Previous Year'!$E$3:$E$20000,SMALL(IF(CTR1_Billing!$E$21='Local Data Previous Year'!$A$3:$A$20000,ROW('Local Data Previous Year'!$A$3:$A$20000)-ROW('Local Data Previous Year'!$A$3)+1),ROW(513:513)))),"",INDEX('Local Data Previous Year'!$E$3:$E$20000,SMALL(IF(CTR1_Billing!$E$21='Local Data Previous Year'!$A$3:$A$20000,ROW('Local Data Previous Year'!$A$3:$A$20000)-ROW('Local Data Previous Year'!$A$3)+1),ROW(513:513))))</f>
        <v/>
      </c>
      <c r="F545" s="756" t="str">
        <f>IF($D545="","",IF(ISNA(MATCH($D545,'Local Data Previous Year'!$D$3:$D$20000,0)),"New",IFERROR(VLOOKUP($B545,'Local Data Previous Year'!$D$3:$I$20000,6,0),"")))</f>
        <v/>
      </c>
      <c r="G545" s="757">
        <f t="shared" si="99"/>
        <v>0</v>
      </c>
      <c r="H545" s="758" t="str">
        <f>IFERROR(INDEX('Local Data Previous Year'!$F:$F, MATCH($D545, 'Local Data Previous Year'!$D:$D, 0)), "")</f>
        <v/>
      </c>
      <c r="I545" s="759">
        <f>IF(B545=CTR1_Billing!$E$21&amp;"NEW",1,0)</f>
        <v>0</v>
      </c>
      <c r="J545" s="760" t="str">
        <f>IFERROR(INDEX('Local Data Previous Year'!$G:$G, MATCH($D545, 'Local Data Previous Year'!$D:$D, 0)), "")</f>
        <v/>
      </c>
      <c r="K545" s="762"/>
      <c r="L545" s="760" t="str">
        <f>IFERROR(INDEX('Local Data Previous Year'!$H:$H, MATCH($D545, 'Local Data Previous Year'!$D:$D, 0)), "")</f>
        <v/>
      </c>
      <c r="M545" s="762"/>
      <c r="N545" s="763"/>
      <c r="O545" s="767"/>
      <c r="P545" s="765"/>
      <c r="Q545" s="767"/>
      <c r="R545" s="766" t="str">
        <f t="shared" si="100"/>
        <v/>
      </c>
      <c r="S545" s="754"/>
      <c r="T545" s="763"/>
      <c r="U545" s="754"/>
      <c r="V545" s="763"/>
      <c r="W545" s="763"/>
      <c r="X545" s="865" t="str">
        <f>VLOOKUP(CTR1_Billing!$E$21,Data!$C$6:$D$302,1,FALSE)</f>
        <v>EZZZZ</v>
      </c>
      <c r="Y545" s="205"/>
      <c r="Z545" s="205">
        <f t="shared" ref="Z545:Z608" si="102">IF(OR(P545&gt;AQ545,P545&lt;AR545),1,0)</f>
        <v>0</v>
      </c>
      <c r="AA545" s="206" t="str">
        <f t="shared" si="101"/>
        <v/>
      </c>
      <c r="AB545" s="205">
        <f t="shared" ref="AB545:AB608" si="103">IF(OR(R545&gt;AS545,R545&lt;AT545),1,0)</f>
        <v>0</v>
      </c>
      <c r="AC545" s="208"/>
      <c r="AD545" s="208"/>
      <c r="AE545" s="208"/>
      <c r="AF545" s="208"/>
      <c r="AG545" s="209" t="str">
        <f>IFERROR(INDEX('Local Data Previous Year'!$F:$F, MATCH($D545, 'Local Data Previous Year'!$D:$D, 0)), "")</f>
        <v/>
      </c>
      <c r="AH545" s="209" t="str">
        <f>IFERROR(INDEX('Local Data Previous Year'!$G:$G, MATCH($D545, 'Local Data Previous Year'!$D:$D, 0)), "")</f>
        <v/>
      </c>
      <c r="AI545" s="209" t="str">
        <f>IFERROR(INDEX('Local Data Previous Year'!$H:$H, MATCH($D545, 'Local Data Previous Year'!$D:$D, 0)), "")</f>
        <v/>
      </c>
      <c r="AJ545" s="209" t="str">
        <f t="shared" ref="AJ545:AJ608" si="104">IF(AG545=H545,"","change")</f>
        <v/>
      </c>
      <c r="AK545" s="209" t="str">
        <f t="shared" ref="AK545:AK585" si="105">IF(AH545=J545,"","change")</f>
        <v/>
      </c>
      <c r="AL545" s="209" t="str">
        <f t="shared" ref="AL545:AL585" si="106">IF(AI545=L545,"","change")</f>
        <v/>
      </c>
      <c r="AM545" s="208" t="str">
        <f>IF($AN545="","",IFERROR(VLOOKUP(CONCATENATE(CTR1_Billing!$E$20,$AN545),'Local Data Previous Year'!$C$3:$D$50000,2,0),CTR1_Billing!$E$21&amp;"NEW"))</f>
        <v/>
      </c>
      <c r="AN545" s="209" t="str" cm="1">
        <f t="array" ref="AN545">IF(ISERROR(INDEX('Local Data Previous Year'!$E$3:$E$50000, SMALL(IF(CTR1_Billing!$E$21='Local Data Previous Year'!$A$3:$A$50000, ROW('Local Data Previous Year'!$A$3:$A$50000)-ROW('Local Data Previous Year'!$A$3)+1), ROW(513:513)))), "", INDEX('Local Data Previous Year'!$E$3:$E$50000, SMALL(IF(CTR1_Billing!$E$21='Local Data Previous Year'!$A$3:$A$50000, ROW('Local Data Previous Year'!$A$3:$A$50000)-ROW('Local Data Previous Year'!$A$3)+1), ROW(513:513))))</f>
        <v/>
      </c>
      <c r="AO545" s="209" t="str">
        <f t="shared" ref="AO545:AO608" si="107">IF(AN545=E545,"","change")</f>
        <v/>
      </c>
      <c r="AP545" s="208"/>
      <c r="AQ545" s="209" t="str">
        <f t="shared" ref="AQ545:AQ608" si="108">IFERROR(J545*1.1,"")</f>
        <v/>
      </c>
      <c r="AR545" s="209" t="str">
        <f t="shared" ref="AR545:AR608" si="109">IFERROR(J545*0.9,"")</f>
        <v/>
      </c>
      <c r="AS545" s="202" t="str">
        <f t="shared" ref="AS545:AS608" si="110">IFERROR(L545+20,"")</f>
        <v/>
      </c>
      <c r="AT545" s="202" t="str">
        <f t="shared" ref="AT545:AT608" si="111">IFERROR(L545-20,"")</f>
        <v/>
      </c>
      <c r="AU545" s="208"/>
      <c r="AV545" s="208"/>
      <c r="AW545" s="208"/>
      <c r="AX545" s="208"/>
      <c r="AY545" s="208"/>
      <c r="AZ545" s="208"/>
      <c r="BA545" s="208"/>
      <c r="BB545" s="208"/>
      <c r="BC545" s="208"/>
      <c r="BD545" s="208"/>
      <c r="BE545" s="208"/>
      <c r="BF545" s="208"/>
      <c r="BG545" s="28"/>
      <c r="BH545" s="28"/>
      <c r="BI545" s="28"/>
      <c r="BJ545" s="28"/>
    </row>
    <row r="546" spans="1:62" s="23" customFormat="1" ht="21" customHeight="1" thickBot="1" x14ac:dyDescent="0.25">
      <c r="A546" s="846" t="str">
        <f>IF($AN546="","",IFERROR(VLOOKUP(CONCATENATE(CTR1_Billing!$E$20,$AN546),'Local Data Previous Year'!$C$3:$D$20000,2,0),CTR1_Billing!$E$21&amp;"NEW"))</f>
        <v/>
      </c>
      <c r="B546" s="846" t="str">
        <f>IF($E546="","",IFERROR(VLOOKUP(CONCATENATE(CTR1_Billing!$E$20,CTR1_Local!$E546),'Local Data Previous Year'!$C$3:$D$20000,2,0),CTR1_Billing!$E$21&amp;"NEW"))</f>
        <v/>
      </c>
      <c r="C546" s="846">
        <v>514</v>
      </c>
      <c r="D546" s="755" t="str" cm="1">
        <f t="array" ref="D546">IF(ISERROR(INDEX('Local Data Previous Year'!$D$3:$D$20000,SMALL(IF(CTR1_Billing!$E$21='Local Data Previous Year'!$A$3:$A$20000,ROW('Local Data Previous Year'!$A$3:$A$20000)-ROW('Local Data Previous Year'!$A$3)+1),ROW(514:514)))),"",INDEX('Local Data Previous Year'!$D$3:$D$20000,SMALL(IF(CTR1_Billing!$E$21='Local Data Previous Year'!$A$3:$A$20000,ROW('Local Data Previous Year'!$A$3:$A$20000)-ROW('Local Data Previous Year'!$A$3)+1),ROW(514:514))))</f>
        <v/>
      </c>
      <c r="E546" s="755" t="str" cm="1">
        <f t="array" ref="E546">IF(ISERROR(INDEX('Local Data Previous Year'!$E$3:$E$20000,SMALL(IF(CTR1_Billing!$E$21='Local Data Previous Year'!$A$3:$A$20000,ROW('Local Data Previous Year'!$A$3:$A$20000)-ROW('Local Data Previous Year'!$A$3)+1),ROW(514:514)))),"",INDEX('Local Data Previous Year'!$E$3:$E$20000,SMALL(IF(CTR1_Billing!$E$21='Local Data Previous Year'!$A$3:$A$20000,ROW('Local Data Previous Year'!$A$3:$A$20000)-ROW('Local Data Previous Year'!$A$3)+1),ROW(514:514))))</f>
        <v/>
      </c>
      <c r="F546" s="756" t="str">
        <f>IF($D546="","",IF(ISNA(MATCH($D546,'Local Data Previous Year'!$D$3:$D$20000,0)),"New",IFERROR(VLOOKUP($B546,'Local Data Previous Year'!$D$3:$I$20000,6,0),"")))</f>
        <v/>
      </c>
      <c r="G546" s="757">
        <f t="shared" ref="G546:G707" si="112">IF(F546="Charter Trustee",1,0)</f>
        <v>0</v>
      </c>
      <c r="H546" s="758" t="str">
        <f>IFERROR(INDEX('Local Data Previous Year'!$F:$F, MATCH($D546, 'Local Data Previous Year'!$D:$D, 0)), "")</f>
        <v/>
      </c>
      <c r="I546" s="759">
        <f>IF(B546=CTR1_Billing!$E$21&amp;"NEW",1,0)</f>
        <v>0</v>
      </c>
      <c r="J546" s="760" t="str">
        <f>IFERROR(INDEX('Local Data Previous Year'!$G:$G, MATCH($D546, 'Local Data Previous Year'!$D:$D, 0)), "")</f>
        <v/>
      </c>
      <c r="K546" s="762"/>
      <c r="L546" s="760" t="str">
        <f>IFERROR(INDEX('Local Data Previous Year'!$H:$H, MATCH($D546, 'Local Data Previous Year'!$D:$D, 0)), "")</f>
        <v/>
      </c>
      <c r="M546" s="762"/>
      <c r="N546" s="763"/>
      <c r="O546" s="767"/>
      <c r="P546" s="765"/>
      <c r="Q546" s="767"/>
      <c r="R546" s="766" t="str">
        <f t="shared" si="100"/>
        <v/>
      </c>
      <c r="S546" s="754"/>
      <c r="T546" s="763"/>
      <c r="U546" s="754"/>
      <c r="V546" s="763"/>
      <c r="W546" s="763"/>
      <c r="X546" s="865" t="str">
        <f>VLOOKUP(CTR1_Billing!$E$21,Data!$C$6:$D$302,1,FALSE)</f>
        <v>EZZZZ</v>
      </c>
      <c r="Y546" s="205"/>
      <c r="Z546" s="205">
        <f t="shared" si="102"/>
        <v>0</v>
      </c>
      <c r="AA546" s="206" t="str">
        <f t="shared" si="101"/>
        <v/>
      </c>
      <c r="AB546" s="205">
        <f t="shared" si="103"/>
        <v>0</v>
      </c>
      <c r="AC546" s="208"/>
      <c r="AD546" s="208"/>
      <c r="AE546" s="208"/>
      <c r="AF546" s="208"/>
      <c r="AG546" s="209" t="str">
        <f>IFERROR(INDEX('Local Data Previous Year'!$F:$F, MATCH($D546, 'Local Data Previous Year'!$D:$D, 0)), "")</f>
        <v/>
      </c>
      <c r="AH546" s="209" t="str">
        <f>IFERROR(INDEX('Local Data Previous Year'!$G:$G, MATCH($D546, 'Local Data Previous Year'!$D:$D, 0)), "")</f>
        <v/>
      </c>
      <c r="AI546" s="209" t="str">
        <f>IFERROR(INDEX('Local Data Previous Year'!$H:$H, MATCH($D546, 'Local Data Previous Year'!$D:$D, 0)), "")</f>
        <v/>
      </c>
      <c r="AJ546" s="209" t="str">
        <f t="shared" si="104"/>
        <v/>
      </c>
      <c r="AK546" s="209" t="str">
        <f t="shared" si="105"/>
        <v/>
      </c>
      <c r="AL546" s="209" t="str">
        <f t="shared" si="106"/>
        <v/>
      </c>
      <c r="AM546" s="208" t="str">
        <f>IF($AN546="","",IFERROR(VLOOKUP(CONCATENATE(CTR1_Billing!$E$20,$AN546),'Local Data Previous Year'!$C$3:$D$50000,2,0),CTR1_Billing!$E$21&amp;"NEW"))</f>
        <v/>
      </c>
      <c r="AN546" s="209" t="str" cm="1">
        <f t="array" ref="AN546">IF(ISERROR(INDEX('Local Data Previous Year'!$E$3:$E$50000, SMALL(IF(CTR1_Billing!$E$21='Local Data Previous Year'!$A$3:$A$50000, ROW('Local Data Previous Year'!$A$3:$A$50000)-ROW('Local Data Previous Year'!$A$3)+1), ROW(514:514)))), "", INDEX('Local Data Previous Year'!$E$3:$E$50000, SMALL(IF(CTR1_Billing!$E$21='Local Data Previous Year'!$A$3:$A$50000, ROW('Local Data Previous Year'!$A$3:$A$50000)-ROW('Local Data Previous Year'!$A$3)+1), ROW(514:514))))</f>
        <v/>
      </c>
      <c r="AO546" s="209" t="str">
        <f t="shared" si="107"/>
        <v/>
      </c>
      <c r="AP546" s="208"/>
      <c r="AQ546" s="209" t="str">
        <f t="shared" si="108"/>
        <v/>
      </c>
      <c r="AR546" s="209" t="str">
        <f t="shared" si="109"/>
        <v/>
      </c>
      <c r="AS546" s="202" t="str">
        <f t="shared" si="110"/>
        <v/>
      </c>
      <c r="AT546" s="202" t="str">
        <f t="shared" si="111"/>
        <v/>
      </c>
      <c r="AU546" s="208"/>
      <c r="AV546" s="208"/>
      <c r="AW546" s="208"/>
      <c r="AX546" s="208"/>
      <c r="AY546" s="208"/>
      <c r="AZ546" s="208"/>
      <c r="BA546" s="208"/>
      <c r="BB546" s="208"/>
      <c r="BC546" s="208"/>
      <c r="BD546" s="208"/>
      <c r="BE546" s="208"/>
      <c r="BF546" s="208"/>
      <c r="BG546" s="28"/>
      <c r="BH546" s="28"/>
      <c r="BI546" s="28"/>
      <c r="BJ546" s="28"/>
    </row>
    <row r="547" spans="1:62" s="23" customFormat="1" ht="21" customHeight="1" thickBot="1" x14ac:dyDescent="0.25">
      <c r="A547" s="846" t="str">
        <f>IF($AN547="","",IFERROR(VLOOKUP(CONCATENATE(CTR1_Billing!$E$20,$AN547),'Local Data Previous Year'!$C$3:$D$20000,2,0),CTR1_Billing!$E$21&amp;"NEW"))</f>
        <v/>
      </c>
      <c r="B547" s="846" t="str">
        <f>IF($E547="","",IFERROR(VLOOKUP(CONCATENATE(CTR1_Billing!$E$20,CTR1_Local!$E547),'Local Data Previous Year'!$C$3:$D$20000,2,0),CTR1_Billing!$E$21&amp;"NEW"))</f>
        <v/>
      </c>
      <c r="C547" s="846">
        <v>515</v>
      </c>
      <c r="D547" s="755" t="str" cm="1">
        <f t="array" ref="D547">IF(ISERROR(INDEX('Local Data Previous Year'!$D$3:$D$20000,SMALL(IF(CTR1_Billing!$E$21='Local Data Previous Year'!$A$3:$A$20000,ROW('Local Data Previous Year'!$A$3:$A$20000)-ROW('Local Data Previous Year'!$A$3)+1),ROW(515:515)))),"",INDEX('Local Data Previous Year'!$D$3:$D$20000,SMALL(IF(CTR1_Billing!$E$21='Local Data Previous Year'!$A$3:$A$20000,ROW('Local Data Previous Year'!$A$3:$A$20000)-ROW('Local Data Previous Year'!$A$3)+1),ROW(515:515))))</f>
        <v/>
      </c>
      <c r="E547" s="755" t="str" cm="1">
        <f t="array" ref="E547">IF(ISERROR(INDEX('Local Data Previous Year'!$E$3:$E$20000,SMALL(IF(CTR1_Billing!$E$21='Local Data Previous Year'!$A$3:$A$20000,ROW('Local Data Previous Year'!$A$3:$A$20000)-ROW('Local Data Previous Year'!$A$3)+1),ROW(515:515)))),"",INDEX('Local Data Previous Year'!$E$3:$E$20000,SMALL(IF(CTR1_Billing!$E$21='Local Data Previous Year'!$A$3:$A$20000,ROW('Local Data Previous Year'!$A$3:$A$20000)-ROW('Local Data Previous Year'!$A$3)+1),ROW(515:515))))</f>
        <v/>
      </c>
      <c r="F547" s="756" t="str">
        <f>IF($D547="","",IF(ISNA(MATCH($D547,'Local Data Previous Year'!$D$3:$D$20000,0)),"New",IFERROR(VLOOKUP($B547,'Local Data Previous Year'!$D$3:$I$20000,6,0),"")))</f>
        <v/>
      </c>
      <c r="G547" s="757">
        <f t="shared" si="112"/>
        <v>0</v>
      </c>
      <c r="H547" s="758" t="str">
        <f>IFERROR(INDEX('Local Data Previous Year'!$F:$F, MATCH($D547, 'Local Data Previous Year'!$D:$D, 0)), "")</f>
        <v/>
      </c>
      <c r="I547" s="759">
        <f>IF(B547=CTR1_Billing!$E$21&amp;"NEW",1,0)</f>
        <v>0</v>
      </c>
      <c r="J547" s="760" t="str">
        <f>IFERROR(INDEX('Local Data Previous Year'!$G:$G, MATCH($D547, 'Local Data Previous Year'!$D:$D, 0)), "")</f>
        <v/>
      </c>
      <c r="K547" s="762"/>
      <c r="L547" s="760" t="str">
        <f>IFERROR(INDEX('Local Data Previous Year'!$H:$H, MATCH($D547, 'Local Data Previous Year'!$D:$D, 0)), "")</f>
        <v/>
      </c>
      <c r="M547" s="762"/>
      <c r="N547" s="763"/>
      <c r="O547" s="767"/>
      <c r="P547" s="765"/>
      <c r="Q547" s="767"/>
      <c r="R547" s="766" t="str">
        <f t="shared" ref="R547:R610" si="113">+IF(N547="","",IF(N547+P547=0,0,+N547/P547))</f>
        <v/>
      </c>
      <c r="S547" s="754"/>
      <c r="T547" s="763"/>
      <c r="U547" s="754"/>
      <c r="V547" s="763"/>
      <c r="W547" s="763"/>
      <c r="X547" s="865" t="str">
        <f>VLOOKUP(CTR1_Billing!$E$21,Data!$C$6:$D$302,1,FALSE)</f>
        <v>EZZZZ</v>
      </c>
      <c r="Y547" s="205"/>
      <c r="Z547" s="205">
        <f t="shared" si="102"/>
        <v>0</v>
      </c>
      <c r="AA547" s="206" t="str">
        <f t="shared" si="101"/>
        <v/>
      </c>
      <c r="AB547" s="205">
        <f t="shared" si="103"/>
        <v>0</v>
      </c>
      <c r="AC547" s="208"/>
      <c r="AD547" s="208"/>
      <c r="AE547" s="208"/>
      <c r="AF547" s="208"/>
      <c r="AG547" s="209" t="str">
        <f>IFERROR(INDEX('Local Data Previous Year'!$F:$F, MATCH($D547, 'Local Data Previous Year'!$D:$D, 0)), "")</f>
        <v/>
      </c>
      <c r="AH547" s="209" t="str">
        <f>IFERROR(INDEX('Local Data Previous Year'!$G:$G, MATCH($D547, 'Local Data Previous Year'!$D:$D, 0)), "")</f>
        <v/>
      </c>
      <c r="AI547" s="209" t="str">
        <f>IFERROR(INDEX('Local Data Previous Year'!$H:$H, MATCH($D547, 'Local Data Previous Year'!$D:$D, 0)), "")</f>
        <v/>
      </c>
      <c r="AJ547" s="209" t="str">
        <f t="shared" si="104"/>
        <v/>
      </c>
      <c r="AK547" s="209" t="str">
        <f t="shared" si="105"/>
        <v/>
      </c>
      <c r="AL547" s="209" t="str">
        <f t="shared" si="106"/>
        <v/>
      </c>
      <c r="AM547" s="208" t="str">
        <f>IF($AN547="","",IFERROR(VLOOKUP(CONCATENATE(CTR1_Billing!$E$20,$AN547),'Local Data Previous Year'!$C$3:$D$50000,2,0),CTR1_Billing!$E$21&amp;"NEW"))</f>
        <v/>
      </c>
      <c r="AN547" s="209" t="str" cm="1">
        <f t="array" ref="AN547">IF(ISERROR(INDEX('Local Data Previous Year'!$E$3:$E$50000, SMALL(IF(CTR1_Billing!$E$21='Local Data Previous Year'!$A$3:$A$50000, ROW('Local Data Previous Year'!$A$3:$A$50000)-ROW('Local Data Previous Year'!$A$3)+1), ROW(515:515)))), "", INDEX('Local Data Previous Year'!$E$3:$E$50000, SMALL(IF(CTR1_Billing!$E$21='Local Data Previous Year'!$A$3:$A$50000, ROW('Local Data Previous Year'!$A$3:$A$50000)-ROW('Local Data Previous Year'!$A$3)+1), ROW(515:515))))</f>
        <v/>
      </c>
      <c r="AO547" s="209" t="str">
        <f t="shared" si="107"/>
        <v/>
      </c>
      <c r="AP547" s="208"/>
      <c r="AQ547" s="209" t="str">
        <f t="shared" si="108"/>
        <v/>
      </c>
      <c r="AR547" s="209" t="str">
        <f t="shared" si="109"/>
        <v/>
      </c>
      <c r="AS547" s="202" t="str">
        <f t="shared" si="110"/>
        <v/>
      </c>
      <c r="AT547" s="202" t="str">
        <f t="shared" si="111"/>
        <v/>
      </c>
      <c r="AU547" s="208"/>
      <c r="AV547" s="208"/>
      <c r="AW547" s="208"/>
      <c r="AX547" s="208"/>
      <c r="AY547" s="208"/>
      <c r="AZ547" s="208"/>
      <c r="BA547" s="208"/>
      <c r="BB547" s="208"/>
      <c r="BC547" s="208"/>
      <c r="BD547" s="208"/>
      <c r="BE547" s="208"/>
      <c r="BF547" s="208"/>
      <c r="BG547" s="28"/>
      <c r="BH547" s="28"/>
      <c r="BI547" s="28"/>
      <c r="BJ547" s="28"/>
    </row>
    <row r="548" spans="1:62" s="23" customFormat="1" ht="21" customHeight="1" thickBot="1" x14ac:dyDescent="0.25">
      <c r="A548" s="846" t="str">
        <f>IF($AN548="","",IFERROR(VLOOKUP(CONCATENATE(CTR1_Billing!$E$20,$AN548),'Local Data Previous Year'!$C$3:$D$20000,2,0),CTR1_Billing!$E$21&amp;"NEW"))</f>
        <v/>
      </c>
      <c r="B548" s="846" t="str">
        <f>IF($E548="","",IFERROR(VLOOKUP(CONCATENATE(CTR1_Billing!$E$20,CTR1_Local!$E548),'Local Data Previous Year'!$C$3:$D$20000,2,0),CTR1_Billing!$E$21&amp;"NEW"))</f>
        <v/>
      </c>
      <c r="C548" s="846">
        <v>516</v>
      </c>
      <c r="D548" s="755" t="str" cm="1">
        <f t="array" ref="D548">IF(ISERROR(INDEX('Local Data Previous Year'!$D$3:$D$20000,SMALL(IF(CTR1_Billing!$E$21='Local Data Previous Year'!$A$3:$A$20000,ROW('Local Data Previous Year'!$A$3:$A$20000)-ROW('Local Data Previous Year'!$A$3)+1),ROW(516:516)))),"",INDEX('Local Data Previous Year'!$D$3:$D$20000,SMALL(IF(CTR1_Billing!$E$21='Local Data Previous Year'!$A$3:$A$20000,ROW('Local Data Previous Year'!$A$3:$A$20000)-ROW('Local Data Previous Year'!$A$3)+1),ROW(516:516))))</f>
        <v/>
      </c>
      <c r="E548" s="755" t="str" cm="1">
        <f t="array" ref="E548">IF(ISERROR(INDEX('Local Data Previous Year'!$E$3:$E$20000,SMALL(IF(CTR1_Billing!$E$21='Local Data Previous Year'!$A$3:$A$20000,ROW('Local Data Previous Year'!$A$3:$A$20000)-ROW('Local Data Previous Year'!$A$3)+1),ROW(516:516)))),"",INDEX('Local Data Previous Year'!$E$3:$E$20000,SMALL(IF(CTR1_Billing!$E$21='Local Data Previous Year'!$A$3:$A$20000,ROW('Local Data Previous Year'!$A$3:$A$20000)-ROW('Local Data Previous Year'!$A$3)+1),ROW(516:516))))</f>
        <v/>
      </c>
      <c r="F548" s="756" t="str">
        <f>IF($D548="","",IF(ISNA(MATCH($D548,'Local Data Previous Year'!$D$3:$D$20000,0)),"New",IFERROR(VLOOKUP($B548,'Local Data Previous Year'!$D$3:$I$20000,6,0),"")))</f>
        <v/>
      </c>
      <c r="G548" s="757">
        <f t="shared" si="112"/>
        <v>0</v>
      </c>
      <c r="H548" s="758" t="str">
        <f>IFERROR(INDEX('Local Data Previous Year'!$F:$F, MATCH($D548, 'Local Data Previous Year'!$D:$D, 0)), "")</f>
        <v/>
      </c>
      <c r="I548" s="759">
        <f>IF(B548=CTR1_Billing!$E$21&amp;"NEW",1,0)</f>
        <v>0</v>
      </c>
      <c r="J548" s="760" t="str">
        <f>IFERROR(INDEX('Local Data Previous Year'!$G:$G, MATCH($D548, 'Local Data Previous Year'!$D:$D, 0)), "")</f>
        <v/>
      </c>
      <c r="K548" s="762"/>
      <c r="L548" s="760" t="str">
        <f>IFERROR(INDEX('Local Data Previous Year'!$H:$H, MATCH($D548, 'Local Data Previous Year'!$D:$D, 0)), "")</f>
        <v/>
      </c>
      <c r="M548" s="762"/>
      <c r="N548" s="763"/>
      <c r="O548" s="767"/>
      <c r="P548" s="765"/>
      <c r="Q548" s="767"/>
      <c r="R548" s="766" t="str">
        <f t="shared" si="113"/>
        <v/>
      </c>
      <c r="S548" s="754"/>
      <c r="T548" s="763"/>
      <c r="U548" s="754"/>
      <c r="V548" s="763"/>
      <c r="W548" s="763"/>
      <c r="X548" s="865" t="str">
        <f>VLOOKUP(CTR1_Billing!$E$21,Data!$C$6:$D$302,1,FALSE)</f>
        <v>EZZZZ</v>
      </c>
      <c r="Y548" s="205"/>
      <c r="Z548" s="205">
        <f t="shared" si="102"/>
        <v>0</v>
      </c>
      <c r="AA548" s="206" t="str">
        <f t="shared" si="101"/>
        <v/>
      </c>
      <c r="AB548" s="205">
        <f t="shared" si="103"/>
        <v>0</v>
      </c>
      <c r="AC548" s="208"/>
      <c r="AD548" s="208"/>
      <c r="AE548" s="208"/>
      <c r="AF548" s="208"/>
      <c r="AG548" s="209" t="str">
        <f>IFERROR(INDEX('Local Data Previous Year'!$F:$F, MATCH($D548, 'Local Data Previous Year'!$D:$D, 0)), "")</f>
        <v/>
      </c>
      <c r="AH548" s="209" t="str">
        <f>IFERROR(INDEX('Local Data Previous Year'!$G:$G, MATCH($D548, 'Local Data Previous Year'!$D:$D, 0)), "")</f>
        <v/>
      </c>
      <c r="AI548" s="209" t="str">
        <f>IFERROR(INDEX('Local Data Previous Year'!$H:$H, MATCH($D548, 'Local Data Previous Year'!$D:$D, 0)), "")</f>
        <v/>
      </c>
      <c r="AJ548" s="209" t="str">
        <f t="shared" si="104"/>
        <v/>
      </c>
      <c r="AK548" s="209" t="str">
        <f t="shared" si="105"/>
        <v/>
      </c>
      <c r="AL548" s="209" t="str">
        <f t="shared" si="106"/>
        <v/>
      </c>
      <c r="AM548" s="208" t="str">
        <f>IF($AN548="","",IFERROR(VLOOKUP(CONCATENATE(CTR1_Billing!$E$20,$AN548),'Local Data Previous Year'!$C$3:$D$50000,2,0),CTR1_Billing!$E$21&amp;"NEW"))</f>
        <v/>
      </c>
      <c r="AN548" s="209" t="str" cm="1">
        <f t="array" ref="AN548">IF(ISERROR(INDEX('Local Data Previous Year'!$E$3:$E$50000, SMALL(IF(CTR1_Billing!$E$21='Local Data Previous Year'!$A$3:$A$50000, ROW('Local Data Previous Year'!$A$3:$A$50000)-ROW('Local Data Previous Year'!$A$3)+1), ROW(516:516)))), "", INDEX('Local Data Previous Year'!$E$3:$E$50000, SMALL(IF(CTR1_Billing!$E$21='Local Data Previous Year'!$A$3:$A$50000, ROW('Local Data Previous Year'!$A$3:$A$50000)-ROW('Local Data Previous Year'!$A$3)+1), ROW(516:516))))</f>
        <v/>
      </c>
      <c r="AO548" s="209" t="str">
        <f t="shared" si="107"/>
        <v/>
      </c>
      <c r="AP548" s="208"/>
      <c r="AQ548" s="209" t="str">
        <f t="shared" si="108"/>
        <v/>
      </c>
      <c r="AR548" s="209" t="str">
        <f t="shared" si="109"/>
        <v/>
      </c>
      <c r="AS548" s="202" t="str">
        <f t="shared" si="110"/>
        <v/>
      </c>
      <c r="AT548" s="202" t="str">
        <f t="shared" si="111"/>
        <v/>
      </c>
      <c r="AU548" s="208"/>
      <c r="AV548" s="208"/>
      <c r="AW548" s="208"/>
      <c r="AX548" s="208"/>
      <c r="AY548" s="208"/>
      <c r="AZ548" s="208"/>
      <c r="BA548" s="208"/>
      <c r="BB548" s="208"/>
      <c r="BC548" s="208"/>
      <c r="BD548" s="208"/>
      <c r="BE548" s="208"/>
      <c r="BF548" s="208"/>
      <c r="BG548" s="28"/>
      <c r="BH548" s="28"/>
      <c r="BI548" s="28"/>
      <c r="BJ548" s="28"/>
    </row>
    <row r="549" spans="1:62" s="23" customFormat="1" ht="21" customHeight="1" thickBot="1" x14ac:dyDescent="0.25">
      <c r="A549" s="846" t="str">
        <f>IF($AN549="","",IFERROR(VLOOKUP(CONCATENATE(CTR1_Billing!$E$20,$AN549),'Local Data Previous Year'!$C$3:$D$20000,2,0),CTR1_Billing!$E$21&amp;"NEW"))</f>
        <v/>
      </c>
      <c r="B549" s="846" t="str">
        <f>IF($E549="","",IFERROR(VLOOKUP(CONCATENATE(CTR1_Billing!$E$20,CTR1_Local!$E549),'Local Data Previous Year'!$C$3:$D$20000,2,0),CTR1_Billing!$E$21&amp;"NEW"))</f>
        <v/>
      </c>
      <c r="C549" s="846">
        <v>517</v>
      </c>
      <c r="D549" s="755" t="str" cm="1">
        <f t="array" ref="D549">IF(ISERROR(INDEX('Local Data Previous Year'!$D$3:$D$20000,SMALL(IF(CTR1_Billing!$E$21='Local Data Previous Year'!$A$3:$A$20000,ROW('Local Data Previous Year'!$A$3:$A$20000)-ROW('Local Data Previous Year'!$A$3)+1),ROW(517:517)))),"",INDEX('Local Data Previous Year'!$D$3:$D$20000,SMALL(IF(CTR1_Billing!$E$21='Local Data Previous Year'!$A$3:$A$20000,ROW('Local Data Previous Year'!$A$3:$A$20000)-ROW('Local Data Previous Year'!$A$3)+1),ROW(517:517))))</f>
        <v/>
      </c>
      <c r="E549" s="755" t="str" cm="1">
        <f t="array" ref="E549">IF(ISERROR(INDEX('Local Data Previous Year'!$E$3:$E$20000,SMALL(IF(CTR1_Billing!$E$21='Local Data Previous Year'!$A$3:$A$20000,ROW('Local Data Previous Year'!$A$3:$A$20000)-ROW('Local Data Previous Year'!$A$3)+1),ROW(517:517)))),"",INDEX('Local Data Previous Year'!$E$3:$E$20000,SMALL(IF(CTR1_Billing!$E$21='Local Data Previous Year'!$A$3:$A$20000,ROW('Local Data Previous Year'!$A$3:$A$20000)-ROW('Local Data Previous Year'!$A$3)+1),ROW(517:517))))</f>
        <v/>
      </c>
      <c r="F549" s="756" t="str">
        <f>IF($D549="","",IF(ISNA(MATCH($D549,'Local Data Previous Year'!$D$3:$D$20000,0)),"New",IFERROR(VLOOKUP($B549,'Local Data Previous Year'!$D$3:$I$20000,6,0),"")))</f>
        <v/>
      </c>
      <c r="G549" s="757">
        <f t="shared" si="112"/>
        <v>0</v>
      </c>
      <c r="H549" s="758" t="str">
        <f>IFERROR(INDEX('Local Data Previous Year'!$F:$F, MATCH($D549, 'Local Data Previous Year'!$D:$D, 0)), "")</f>
        <v/>
      </c>
      <c r="I549" s="759">
        <f>IF(B549=CTR1_Billing!$E$21&amp;"NEW",1,0)</f>
        <v>0</v>
      </c>
      <c r="J549" s="760" t="str">
        <f>IFERROR(INDEX('Local Data Previous Year'!$G:$G, MATCH($D549, 'Local Data Previous Year'!$D:$D, 0)), "")</f>
        <v/>
      </c>
      <c r="K549" s="762"/>
      <c r="L549" s="760" t="str">
        <f>IFERROR(INDEX('Local Data Previous Year'!$H:$H, MATCH($D549, 'Local Data Previous Year'!$D:$D, 0)), "")</f>
        <v/>
      </c>
      <c r="M549" s="762"/>
      <c r="N549" s="763"/>
      <c r="O549" s="767"/>
      <c r="P549" s="765"/>
      <c r="Q549" s="767"/>
      <c r="R549" s="766" t="str">
        <f t="shared" si="113"/>
        <v/>
      </c>
      <c r="S549" s="754"/>
      <c r="T549" s="763"/>
      <c r="U549" s="754"/>
      <c r="V549" s="763"/>
      <c r="W549" s="763"/>
      <c r="X549" s="865" t="str">
        <f>VLOOKUP(CTR1_Billing!$E$21,Data!$C$6:$D$302,1,FALSE)</f>
        <v>EZZZZ</v>
      </c>
      <c r="Y549" s="205"/>
      <c r="Z549" s="205">
        <f t="shared" si="102"/>
        <v>0</v>
      </c>
      <c r="AA549" s="206" t="str">
        <f t="shared" si="101"/>
        <v/>
      </c>
      <c r="AB549" s="205">
        <f t="shared" si="103"/>
        <v>0</v>
      </c>
      <c r="AC549" s="208"/>
      <c r="AD549" s="208"/>
      <c r="AE549" s="208"/>
      <c r="AF549" s="208"/>
      <c r="AG549" s="209" t="str">
        <f>IFERROR(INDEX('Local Data Previous Year'!$F:$F, MATCH($D549, 'Local Data Previous Year'!$D:$D, 0)), "")</f>
        <v/>
      </c>
      <c r="AH549" s="209" t="str">
        <f>IFERROR(INDEX('Local Data Previous Year'!$G:$G, MATCH($D549, 'Local Data Previous Year'!$D:$D, 0)), "")</f>
        <v/>
      </c>
      <c r="AI549" s="209" t="str">
        <f>IFERROR(INDEX('Local Data Previous Year'!$H:$H, MATCH($D549, 'Local Data Previous Year'!$D:$D, 0)), "")</f>
        <v/>
      </c>
      <c r="AJ549" s="209" t="str">
        <f t="shared" si="104"/>
        <v/>
      </c>
      <c r="AK549" s="209" t="str">
        <f t="shared" si="105"/>
        <v/>
      </c>
      <c r="AL549" s="209" t="str">
        <f t="shared" si="106"/>
        <v/>
      </c>
      <c r="AM549" s="208" t="str">
        <f>IF($AN549="","",IFERROR(VLOOKUP(CONCATENATE(CTR1_Billing!$E$20,$AN549),'Local Data Previous Year'!$C$3:$D$50000,2,0),CTR1_Billing!$E$21&amp;"NEW"))</f>
        <v/>
      </c>
      <c r="AN549" s="209" t="str" cm="1">
        <f t="array" ref="AN549">IF(ISERROR(INDEX('Local Data Previous Year'!$E$3:$E$50000, SMALL(IF(CTR1_Billing!$E$21='Local Data Previous Year'!$A$3:$A$50000, ROW('Local Data Previous Year'!$A$3:$A$50000)-ROW('Local Data Previous Year'!$A$3)+1), ROW(517:517)))), "", INDEX('Local Data Previous Year'!$E$3:$E$50000, SMALL(IF(CTR1_Billing!$E$21='Local Data Previous Year'!$A$3:$A$50000, ROW('Local Data Previous Year'!$A$3:$A$50000)-ROW('Local Data Previous Year'!$A$3)+1), ROW(517:517))))</f>
        <v/>
      </c>
      <c r="AO549" s="209" t="str">
        <f t="shared" si="107"/>
        <v/>
      </c>
      <c r="AP549" s="208"/>
      <c r="AQ549" s="209" t="str">
        <f t="shared" si="108"/>
        <v/>
      </c>
      <c r="AR549" s="209" t="str">
        <f t="shared" si="109"/>
        <v/>
      </c>
      <c r="AS549" s="202" t="str">
        <f t="shared" si="110"/>
        <v/>
      </c>
      <c r="AT549" s="202" t="str">
        <f t="shared" si="111"/>
        <v/>
      </c>
      <c r="AU549" s="208"/>
      <c r="AV549" s="208"/>
      <c r="AW549" s="208"/>
      <c r="AX549" s="208"/>
      <c r="AY549" s="208"/>
      <c r="AZ549" s="208"/>
      <c r="BA549" s="208"/>
      <c r="BB549" s="208"/>
      <c r="BC549" s="208"/>
      <c r="BD549" s="208"/>
      <c r="BE549" s="208"/>
      <c r="BF549" s="208"/>
      <c r="BG549" s="28"/>
      <c r="BH549" s="28"/>
      <c r="BI549" s="28"/>
      <c r="BJ549" s="28"/>
    </row>
    <row r="550" spans="1:62" s="23" customFormat="1" ht="21" customHeight="1" thickBot="1" x14ac:dyDescent="0.25">
      <c r="A550" s="846" t="str">
        <f>IF($AN550="","",IFERROR(VLOOKUP(CONCATENATE(CTR1_Billing!$E$20,$AN550),'Local Data Previous Year'!$C$3:$D$20000,2,0),CTR1_Billing!$E$21&amp;"NEW"))</f>
        <v/>
      </c>
      <c r="B550" s="846" t="str">
        <f>IF($E550="","",IFERROR(VLOOKUP(CONCATENATE(CTR1_Billing!$E$20,CTR1_Local!$E550),'Local Data Previous Year'!$C$3:$D$20000,2,0),CTR1_Billing!$E$21&amp;"NEW"))</f>
        <v/>
      </c>
      <c r="C550" s="846">
        <v>518</v>
      </c>
      <c r="D550" s="755" t="str" cm="1">
        <f t="array" ref="D550">IF(ISERROR(INDEX('Local Data Previous Year'!$D$3:$D$20000,SMALL(IF(CTR1_Billing!$E$21='Local Data Previous Year'!$A$3:$A$20000,ROW('Local Data Previous Year'!$A$3:$A$20000)-ROW('Local Data Previous Year'!$A$3)+1),ROW(518:518)))),"",INDEX('Local Data Previous Year'!$D$3:$D$20000,SMALL(IF(CTR1_Billing!$E$21='Local Data Previous Year'!$A$3:$A$20000,ROW('Local Data Previous Year'!$A$3:$A$20000)-ROW('Local Data Previous Year'!$A$3)+1),ROW(518:518))))</f>
        <v/>
      </c>
      <c r="E550" s="755" t="str" cm="1">
        <f t="array" ref="E550">IF(ISERROR(INDEX('Local Data Previous Year'!$E$3:$E$20000,SMALL(IF(CTR1_Billing!$E$21='Local Data Previous Year'!$A$3:$A$20000,ROW('Local Data Previous Year'!$A$3:$A$20000)-ROW('Local Data Previous Year'!$A$3)+1),ROW(518:518)))),"",INDEX('Local Data Previous Year'!$E$3:$E$20000,SMALL(IF(CTR1_Billing!$E$21='Local Data Previous Year'!$A$3:$A$20000,ROW('Local Data Previous Year'!$A$3:$A$20000)-ROW('Local Data Previous Year'!$A$3)+1),ROW(518:518))))</f>
        <v/>
      </c>
      <c r="F550" s="756" t="str">
        <f>IF($D550="","",IF(ISNA(MATCH($D550,'Local Data Previous Year'!$D$3:$D$20000,0)),"New",IFERROR(VLOOKUP($B550,'Local Data Previous Year'!$D$3:$I$20000,6,0),"")))</f>
        <v/>
      </c>
      <c r="G550" s="757">
        <f t="shared" si="112"/>
        <v>0</v>
      </c>
      <c r="H550" s="758" t="str">
        <f>IFERROR(INDEX('Local Data Previous Year'!$F:$F, MATCH($D550, 'Local Data Previous Year'!$D:$D, 0)), "")</f>
        <v/>
      </c>
      <c r="I550" s="759">
        <f>IF(B550=CTR1_Billing!$E$21&amp;"NEW",1,0)</f>
        <v>0</v>
      </c>
      <c r="J550" s="760" t="str">
        <f>IFERROR(INDEX('Local Data Previous Year'!$G:$G, MATCH($D550, 'Local Data Previous Year'!$D:$D, 0)), "")</f>
        <v/>
      </c>
      <c r="K550" s="762"/>
      <c r="L550" s="760" t="str">
        <f>IFERROR(INDEX('Local Data Previous Year'!$H:$H, MATCH($D550, 'Local Data Previous Year'!$D:$D, 0)), "")</f>
        <v/>
      </c>
      <c r="M550" s="762"/>
      <c r="N550" s="763"/>
      <c r="O550" s="767"/>
      <c r="P550" s="765"/>
      <c r="Q550" s="767"/>
      <c r="R550" s="766" t="str">
        <f t="shared" si="113"/>
        <v/>
      </c>
      <c r="S550" s="754"/>
      <c r="T550" s="763"/>
      <c r="U550" s="754"/>
      <c r="V550" s="763"/>
      <c r="W550" s="763"/>
      <c r="X550" s="865" t="str">
        <f>VLOOKUP(CTR1_Billing!$E$21,Data!$C$6:$D$302,1,FALSE)</f>
        <v>EZZZZ</v>
      </c>
      <c r="Y550" s="205"/>
      <c r="Z550" s="205">
        <f t="shared" si="102"/>
        <v>0</v>
      </c>
      <c r="AA550" s="206" t="str">
        <f t="shared" si="101"/>
        <v/>
      </c>
      <c r="AB550" s="205">
        <f t="shared" si="103"/>
        <v>0</v>
      </c>
      <c r="AC550" s="208"/>
      <c r="AD550" s="208"/>
      <c r="AE550" s="208"/>
      <c r="AF550" s="208"/>
      <c r="AG550" s="209" t="str">
        <f>IFERROR(INDEX('Local Data Previous Year'!$F:$F, MATCH($D550, 'Local Data Previous Year'!$D:$D, 0)), "")</f>
        <v/>
      </c>
      <c r="AH550" s="209" t="str">
        <f>IFERROR(INDEX('Local Data Previous Year'!$G:$G, MATCH($D550, 'Local Data Previous Year'!$D:$D, 0)), "")</f>
        <v/>
      </c>
      <c r="AI550" s="209" t="str">
        <f>IFERROR(INDEX('Local Data Previous Year'!$H:$H, MATCH($D550, 'Local Data Previous Year'!$D:$D, 0)), "")</f>
        <v/>
      </c>
      <c r="AJ550" s="209" t="str">
        <f t="shared" si="104"/>
        <v/>
      </c>
      <c r="AK550" s="209" t="str">
        <f t="shared" si="105"/>
        <v/>
      </c>
      <c r="AL550" s="209" t="str">
        <f t="shared" si="106"/>
        <v/>
      </c>
      <c r="AM550" s="208" t="str">
        <f>IF($AN550="","",IFERROR(VLOOKUP(CONCATENATE(CTR1_Billing!$E$20,$AN550),'Local Data Previous Year'!$C$3:$D$50000,2,0),CTR1_Billing!$E$21&amp;"NEW"))</f>
        <v/>
      </c>
      <c r="AN550" s="209" t="str" cm="1">
        <f t="array" ref="AN550">IF(ISERROR(INDEX('Local Data Previous Year'!$E$3:$E$50000, SMALL(IF(CTR1_Billing!$E$21='Local Data Previous Year'!$A$3:$A$50000, ROW('Local Data Previous Year'!$A$3:$A$50000)-ROW('Local Data Previous Year'!$A$3)+1), ROW(518:518)))), "", INDEX('Local Data Previous Year'!$E$3:$E$50000, SMALL(IF(CTR1_Billing!$E$21='Local Data Previous Year'!$A$3:$A$50000, ROW('Local Data Previous Year'!$A$3:$A$50000)-ROW('Local Data Previous Year'!$A$3)+1), ROW(518:518))))</f>
        <v/>
      </c>
      <c r="AO550" s="209" t="str">
        <f t="shared" si="107"/>
        <v/>
      </c>
      <c r="AP550" s="208"/>
      <c r="AQ550" s="209" t="str">
        <f t="shared" si="108"/>
        <v/>
      </c>
      <c r="AR550" s="209" t="str">
        <f t="shared" si="109"/>
        <v/>
      </c>
      <c r="AS550" s="202" t="str">
        <f t="shared" si="110"/>
        <v/>
      </c>
      <c r="AT550" s="202" t="str">
        <f t="shared" si="111"/>
        <v/>
      </c>
      <c r="AU550" s="208"/>
      <c r="AV550" s="208"/>
      <c r="AW550" s="208"/>
      <c r="AX550" s="208"/>
      <c r="AY550" s="208"/>
      <c r="AZ550" s="208"/>
      <c r="BA550" s="208"/>
      <c r="BB550" s="208"/>
      <c r="BC550" s="208"/>
      <c r="BD550" s="208"/>
      <c r="BE550" s="208"/>
      <c r="BF550" s="208"/>
      <c r="BG550" s="28"/>
      <c r="BH550" s="28"/>
      <c r="BI550" s="28"/>
      <c r="BJ550" s="28"/>
    </row>
    <row r="551" spans="1:62" s="23" customFormat="1" ht="21" customHeight="1" thickBot="1" x14ac:dyDescent="0.25">
      <c r="A551" s="846" t="str">
        <f>IF($AN551="","",IFERROR(VLOOKUP(CONCATENATE(CTR1_Billing!$E$20,$AN551),'Local Data Previous Year'!$C$3:$D$20000,2,0),CTR1_Billing!$E$21&amp;"NEW"))</f>
        <v/>
      </c>
      <c r="B551" s="846" t="str">
        <f>IF($E551="","",IFERROR(VLOOKUP(CONCATENATE(CTR1_Billing!$E$20,CTR1_Local!$E551),'Local Data Previous Year'!$C$3:$D$20000,2,0),CTR1_Billing!$E$21&amp;"NEW"))</f>
        <v/>
      </c>
      <c r="C551" s="846">
        <v>519</v>
      </c>
      <c r="D551" s="755" t="str" cm="1">
        <f t="array" ref="D551">IF(ISERROR(INDEX('Local Data Previous Year'!$D$3:$D$20000,SMALL(IF(CTR1_Billing!$E$21='Local Data Previous Year'!$A$3:$A$20000,ROW('Local Data Previous Year'!$A$3:$A$20000)-ROW('Local Data Previous Year'!$A$3)+1),ROW(519:519)))),"",INDEX('Local Data Previous Year'!$D$3:$D$20000,SMALL(IF(CTR1_Billing!$E$21='Local Data Previous Year'!$A$3:$A$20000,ROW('Local Data Previous Year'!$A$3:$A$20000)-ROW('Local Data Previous Year'!$A$3)+1),ROW(519:519))))</f>
        <v/>
      </c>
      <c r="E551" s="755" t="str" cm="1">
        <f t="array" ref="E551">IF(ISERROR(INDEX('Local Data Previous Year'!$E$3:$E$20000,SMALL(IF(CTR1_Billing!$E$21='Local Data Previous Year'!$A$3:$A$20000,ROW('Local Data Previous Year'!$A$3:$A$20000)-ROW('Local Data Previous Year'!$A$3)+1),ROW(519:519)))),"",INDEX('Local Data Previous Year'!$E$3:$E$20000,SMALL(IF(CTR1_Billing!$E$21='Local Data Previous Year'!$A$3:$A$20000,ROW('Local Data Previous Year'!$A$3:$A$20000)-ROW('Local Data Previous Year'!$A$3)+1),ROW(519:519))))</f>
        <v/>
      </c>
      <c r="F551" s="756" t="str">
        <f>IF($D551="","",IF(ISNA(MATCH($D551,'Local Data Previous Year'!$D$3:$D$20000,0)),"New",IFERROR(VLOOKUP($B551,'Local Data Previous Year'!$D$3:$I$20000,6,0),"")))</f>
        <v/>
      </c>
      <c r="G551" s="757">
        <f t="shared" si="112"/>
        <v>0</v>
      </c>
      <c r="H551" s="758" t="str">
        <f>IFERROR(INDEX('Local Data Previous Year'!$F:$F, MATCH($D551, 'Local Data Previous Year'!$D:$D, 0)), "")</f>
        <v/>
      </c>
      <c r="I551" s="759">
        <f>IF(B551=CTR1_Billing!$E$21&amp;"NEW",1,0)</f>
        <v>0</v>
      </c>
      <c r="J551" s="760" t="str">
        <f>IFERROR(INDEX('Local Data Previous Year'!$G:$G, MATCH($D551, 'Local Data Previous Year'!$D:$D, 0)), "")</f>
        <v/>
      </c>
      <c r="K551" s="762"/>
      <c r="L551" s="760" t="str">
        <f>IFERROR(INDEX('Local Data Previous Year'!$H:$H, MATCH($D551, 'Local Data Previous Year'!$D:$D, 0)), "")</f>
        <v/>
      </c>
      <c r="M551" s="762"/>
      <c r="N551" s="763"/>
      <c r="O551" s="767"/>
      <c r="P551" s="765"/>
      <c r="Q551" s="767"/>
      <c r="R551" s="766" t="str">
        <f t="shared" si="113"/>
        <v/>
      </c>
      <c r="S551" s="754"/>
      <c r="T551" s="763"/>
      <c r="U551" s="754"/>
      <c r="V551" s="763"/>
      <c r="W551" s="763"/>
      <c r="X551" s="865" t="str">
        <f>VLOOKUP(CTR1_Billing!$E$21,Data!$C$6:$D$302,1,FALSE)</f>
        <v>EZZZZ</v>
      </c>
      <c r="Y551" s="205"/>
      <c r="Z551" s="205">
        <f t="shared" si="102"/>
        <v>0</v>
      </c>
      <c r="AA551" s="206" t="str">
        <f t="shared" si="101"/>
        <v/>
      </c>
      <c r="AB551" s="205">
        <f t="shared" si="103"/>
        <v>0</v>
      </c>
      <c r="AC551" s="208"/>
      <c r="AD551" s="208"/>
      <c r="AE551" s="208"/>
      <c r="AF551" s="208"/>
      <c r="AG551" s="209" t="str">
        <f>IFERROR(INDEX('Local Data Previous Year'!$F:$F, MATCH($D551, 'Local Data Previous Year'!$D:$D, 0)), "")</f>
        <v/>
      </c>
      <c r="AH551" s="209" t="str">
        <f>IFERROR(INDEX('Local Data Previous Year'!$G:$G, MATCH($D551, 'Local Data Previous Year'!$D:$D, 0)), "")</f>
        <v/>
      </c>
      <c r="AI551" s="209" t="str">
        <f>IFERROR(INDEX('Local Data Previous Year'!$H:$H, MATCH($D551, 'Local Data Previous Year'!$D:$D, 0)), "")</f>
        <v/>
      </c>
      <c r="AJ551" s="209" t="str">
        <f t="shared" si="104"/>
        <v/>
      </c>
      <c r="AK551" s="209" t="str">
        <f t="shared" si="105"/>
        <v/>
      </c>
      <c r="AL551" s="209" t="str">
        <f t="shared" si="106"/>
        <v/>
      </c>
      <c r="AM551" s="208" t="str">
        <f>IF($AN551="","",IFERROR(VLOOKUP(CONCATENATE(CTR1_Billing!$E$20,$AN551),'Local Data Previous Year'!$C$3:$D$50000,2,0),CTR1_Billing!$E$21&amp;"NEW"))</f>
        <v/>
      </c>
      <c r="AN551" s="209" t="str" cm="1">
        <f t="array" ref="AN551">IF(ISERROR(INDEX('Local Data Previous Year'!$E$3:$E$50000, SMALL(IF(CTR1_Billing!$E$21='Local Data Previous Year'!$A$3:$A$50000, ROW('Local Data Previous Year'!$A$3:$A$50000)-ROW('Local Data Previous Year'!$A$3)+1), ROW(519:519)))), "", INDEX('Local Data Previous Year'!$E$3:$E$50000, SMALL(IF(CTR1_Billing!$E$21='Local Data Previous Year'!$A$3:$A$50000, ROW('Local Data Previous Year'!$A$3:$A$50000)-ROW('Local Data Previous Year'!$A$3)+1), ROW(519:519))))</f>
        <v/>
      </c>
      <c r="AO551" s="209" t="str">
        <f t="shared" si="107"/>
        <v/>
      </c>
      <c r="AP551" s="208"/>
      <c r="AQ551" s="209" t="str">
        <f t="shared" si="108"/>
        <v/>
      </c>
      <c r="AR551" s="209" t="str">
        <f t="shared" si="109"/>
        <v/>
      </c>
      <c r="AS551" s="202" t="str">
        <f t="shared" si="110"/>
        <v/>
      </c>
      <c r="AT551" s="202" t="str">
        <f t="shared" si="111"/>
        <v/>
      </c>
      <c r="AU551" s="208"/>
      <c r="AV551" s="208"/>
      <c r="AW551" s="208"/>
      <c r="AX551" s="208"/>
      <c r="AY551" s="208"/>
      <c r="AZ551" s="208"/>
      <c r="BA551" s="208"/>
      <c r="BB551" s="208"/>
      <c r="BC551" s="208"/>
      <c r="BD551" s="208"/>
      <c r="BE551" s="208"/>
      <c r="BF551" s="208"/>
      <c r="BG551" s="28"/>
      <c r="BH551" s="28"/>
      <c r="BI551" s="28"/>
      <c r="BJ551" s="28"/>
    </row>
    <row r="552" spans="1:62" s="23" customFormat="1" ht="21" customHeight="1" thickBot="1" x14ac:dyDescent="0.25">
      <c r="A552" s="846" t="str">
        <f>IF($AN552="","",IFERROR(VLOOKUP(CONCATENATE(CTR1_Billing!$E$20,$AN552),'Local Data Previous Year'!$C$3:$D$20000,2,0),CTR1_Billing!$E$21&amp;"NEW"))</f>
        <v/>
      </c>
      <c r="B552" s="846" t="str">
        <f>IF($E552="","",IFERROR(VLOOKUP(CONCATENATE(CTR1_Billing!$E$20,CTR1_Local!$E552),'Local Data Previous Year'!$C$3:$D$20000,2,0),CTR1_Billing!$E$21&amp;"NEW"))</f>
        <v/>
      </c>
      <c r="C552" s="846">
        <v>520</v>
      </c>
      <c r="D552" s="755" t="str" cm="1">
        <f t="array" ref="D552">IF(ISERROR(INDEX('Local Data Previous Year'!$D$3:$D$20000,SMALL(IF(CTR1_Billing!$E$21='Local Data Previous Year'!$A$3:$A$20000,ROW('Local Data Previous Year'!$A$3:$A$20000)-ROW('Local Data Previous Year'!$A$3)+1),ROW(520:520)))),"",INDEX('Local Data Previous Year'!$D$3:$D$20000,SMALL(IF(CTR1_Billing!$E$21='Local Data Previous Year'!$A$3:$A$20000,ROW('Local Data Previous Year'!$A$3:$A$20000)-ROW('Local Data Previous Year'!$A$3)+1),ROW(520:520))))</f>
        <v/>
      </c>
      <c r="E552" s="755" t="str" cm="1">
        <f t="array" ref="E552">IF(ISERROR(INDEX('Local Data Previous Year'!$E$3:$E$20000,SMALL(IF(CTR1_Billing!$E$21='Local Data Previous Year'!$A$3:$A$20000,ROW('Local Data Previous Year'!$A$3:$A$20000)-ROW('Local Data Previous Year'!$A$3)+1),ROW(520:520)))),"",INDEX('Local Data Previous Year'!$E$3:$E$20000,SMALL(IF(CTR1_Billing!$E$21='Local Data Previous Year'!$A$3:$A$20000,ROW('Local Data Previous Year'!$A$3:$A$20000)-ROW('Local Data Previous Year'!$A$3)+1),ROW(520:520))))</f>
        <v/>
      </c>
      <c r="F552" s="756" t="str">
        <f>IF($D552="","",IF(ISNA(MATCH($D552,'Local Data Previous Year'!$D$3:$D$20000,0)),"New",IFERROR(VLOOKUP($B552,'Local Data Previous Year'!$D$3:$I$20000,6,0),"")))</f>
        <v/>
      </c>
      <c r="G552" s="757">
        <f t="shared" si="112"/>
        <v>0</v>
      </c>
      <c r="H552" s="758" t="str">
        <f>IFERROR(INDEX('Local Data Previous Year'!$F:$F, MATCH($D552, 'Local Data Previous Year'!$D:$D, 0)), "")</f>
        <v/>
      </c>
      <c r="I552" s="759">
        <f>IF(B552=CTR1_Billing!$E$21&amp;"NEW",1,0)</f>
        <v>0</v>
      </c>
      <c r="J552" s="760" t="str">
        <f>IFERROR(INDEX('Local Data Previous Year'!$G:$G, MATCH($D552, 'Local Data Previous Year'!$D:$D, 0)), "")</f>
        <v/>
      </c>
      <c r="K552" s="762"/>
      <c r="L552" s="760" t="str">
        <f>IFERROR(INDEX('Local Data Previous Year'!$H:$H, MATCH($D552, 'Local Data Previous Year'!$D:$D, 0)), "")</f>
        <v/>
      </c>
      <c r="M552" s="762"/>
      <c r="N552" s="763"/>
      <c r="O552" s="767"/>
      <c r="P552" s="765"/>
      <c r="Q552" s="767"/>
      <c r="R552" s="766" t="str">
        <f t="shared" si="113"/>
        <v/>
      </c>
      <c r="S552" s="754"/>
      <c r="T552" s="763"/>
      <c r="U552" s="754"/>
      <c r="V552" s="763"/>
      <c r="W552" s="763"/>
      <c r="X552" s="865" t="str">
        <f>VLOOKUP(CTR1_Billing!$E$21,Data!$C$6:$D$302,1,FALSE)</f>
        <v>EZZZZ</v>
      </c>
      <c r="Y552" s="205"/>
      <c r="Z552" s="205">
        <f t="shared" si="102"/>
        <v>0</v>
      </c>
      <c r="AA552" s="206" t="str">
        <f t="shared" si="101"/>
        <v/>
      </c>
      <c r="AB552" s="205">
        <f t="shared" si="103"/>
        <v>0</v>
      </c>
      <c r="AC552" s="208"/>
      <c r="AD552" s="208"/>
      <c r="AE552" s="208"/>
      <c r="AF552" s="208"/>
      <c r="AG552" s="209" t="str">
        <f>IFERROR(INDEX('Local Data Previous Year'!$F:$F, MATCH($D552, 'Local Data Previous Year'!$D:$D, 0)), "")</f>
        <v/>
      </c>
      <c r="AH552" s="209" t="str">
        <f>IFERROR(INDEX('Local Data Previous Year'!$G:$G, MATCH($D552, 'Local Data Previous Year'!$D:$D, 0)), "")</f>
        <v/>
      </c>
      <c r="AI552" s="209" t="str">
        <f>IFERROR(INDEX('Local Data Previous Year'!$H:$H, MATCH($D552, 'Local Data Previous Year'!$D:$D, 0)), "")</f>
        <v/>
      </c>
      <c r="AJ552" s="209" t="str">
        <f t="shared" si="104"/>
        <v/>
      </c>
      <c r="AK552" s="209" t="str">
        <f t="shared" si="105"/>
        <v/>
      </c>
      <c r="AL552" s="209" t="str">
        <f t="shared" si="106"/>
        <v/>
      </c>
      <c r="AM552" s="208" t="str">
        <f>IF($AN552="","",IFERROR(VLOOKUP(CONCATENATE(CTR1_Billing!$E$20,$AN552),'Local Data Previous Year'!$C$3:$D$50000,2,0),CTR1_Billing!$E$21&amp;"NEW"))</f>
        <v/>
      </c>
      <c r="AN552" s="209" t="str" cm="1">
        <f t="array" ref="AN552">IF(ISERROR(INDEX('Local Data Previous Year'!$E$3:$E$50000, SMALL(IF(CTR1_Billing!$E$21='Local Data Previous Year'!$A$3:$A$50000, ROW('Local Data Previous Year'!$A$3:$A$50000)-ROW('Local Data Previous Year'!$A$3)+1), ROW(520:520)))), "", INDEX('Local Data Previous Year'!$E$3:$E$50000, SMALL(IF(CTR1_Billing!$E$21='Local Data Previous Year'!$A$3:$A$50000, ROW('Local Data Previous Year'!$A$3:$A$50000)-ROW('Local Data Previous Year'!$A$3)+1), ROW(520:520))))</f>
        <v/>
      </c>
      <c r="AO552" s="209" t="str">
        <f t="shared" si="107"/>
        <v/>
      </c>
      <c r="AP552" s="208"/>
      <c r="AQ552" s="209" t="str">
        <f t="shared" si="108"/>
        <v/>
      </c>
      <c r="AR552" s="209" t="str">
        <f t="shared" si="109"/>
        <v/>
      </c>
      <c r="AS552" s="202" t="str">
        <f t="shared" si="110"/>
        <v/>
      </c>
      <c r="AT552" s="202" t="str">
        <f t="shared" si="111"/>
        <v/>
      </c>
      <c r="AU552" s="208"/>
      <c r="AV552" s="208"/>
      <c r="AW552" s="208"/>
      <c r="AX552" s="208"/>
      <c r="AY552" s="208"/>
      <c r="AZ552" s="208"/>
      <c r="BA552" s="208"/>
      <c r="BB552" s="208"/>
      <c r="BC552" s="208"/>
      <c r="BD552" s="208"/>
      <c r="BE552" s="208"/>
      <c r="BF552" s="208"/>
      <c r="BG552" s="28"/>
      <c r="BH552" s="28"/>
      <c r="BI552" s="28"/>
      <c r="BJ552" s="28"/>
    </row>
    <row r="553" spans="1:62" s="23" customFormat="1" ht="21" customHeight="1" thickBot="1" x14ac:dyDescent="0.25">
      <c r="A553" s="846" t="str">
        <f>IF($AN553="","",IFERROR(VLOOKUP(CONCATENATE(CTR1_Billing!$E$20,$AN553),'Local Data Previous Year'!$C$3:$D$20000,2,0),CTR1_Billing!$E$21&amp;"NEW"))</f>
        <v/>
      </c>
      <c r="B553" s="846" t="str">
        <f>IF($E553="","",IFERROR(VLOOKUP(CONCATENATE(CTR1_Billing!$E$20,CTR1_Local!$E553),'Local Data Previous Year'!$C$3:$D$20000,2,0),CTR1_Billing!$E$21&amp;"NEW"))</f>
        <v/>
      </c>
      <c r="C553" s="846">
        <v>521</v>
      </c>
      <c r="D553" s="755" t="str" cm="1">
        <f t="array" ref="D553">IF(ISERROR(INDEX('Local Data Previous Year'!$D$3:$D$20000,SMALL(IF(CTR1_Billing!$E$21='Local Data Previous Year'!$A$3:$A$20000,ROW('Local Data Previous Year'!$A$3:$A$20000)-ROW('Local Data Previous Year'!$A$3)+1),ROW(521:521)))),"",INDEX('Local Data Previous Year'!$D$3:$D$20000,SMALL(IF(CTR1_Billing!$E$21='Local Data Previous Year'!$A$3:$A$20000,ROW('Local Data Previous Year'!$A$3:$A$20000)-ROW('Local Data Previous Year'!$A$3)+1),ROW(521:521))))</f>
        <v/>
      </c>
      <c r="E553" s="755" t="str" cm="1">
        <f t="array" ref="E553">IF(ISERROR(INDEX('Local Data Previous Year'!$E$3:$E$20000,SMALL(IF(CTR1_Billing!$E$21='Local Data Previous Year'!$A$3:$A$20000,ROW('Local Data Previous Year'!$A$3:$A$20000)-ROW('Local Data Previous Year'!$A$3)+1),ROW(521:521)))),"",INDEX('Local Data Previous Year'!$E$3:$E$20000,SMALL(IF(CTR1_Billing!$E$21='Local Data Previous Year'!$A$3:$A$20000,ROW('Local Data Previous Year'!$A$3:$A$20000)-ROW('Local Data Previous Year'!$A$3)+1),ROW(521:521))))</f>
        <v/>
      </c>
      <c r="F553" s="756" t="str">
        <f>IF($D553="","",IF(ISNA(MATCH($D553,'Local Data Previous Year'!$D$3:$D$20000,0)),"New",IFERROR(VLOOKUP($B553,'Local Data Previous Year'!$D$3:$I$20000,6,0),"")))</f>
        <v/>
      </c>
      <c r="G553" s="757">
        <f t="shared" si="112"/>
        <v>0</v>
      </c>
      <c r="H553" s="758" t="str">
        <f>IFERROR(INDEX('Local Data Previous Year'!$F:$F, MATCH($D553, 'Local Data Previous Year'!$D:$D, 0)), "")</f>
        <v/>
      </c>
      <c r="I553" s="759">
        <f>IF(B553=CTR1_Billing!$E$21&amp;"NEW",1,0)</f>
        <v>0</v>
      </c>
      <c r="J553" s="760" t="str">
        <f>IFERROR(INDEX('Local Data Previous Year'!$G:$G, MATCH($D553, 'Local Data Previous Year'!$D:$D, 0)), "")</f>
        <v/>
      </c>
      <c r="K553" s="762"/>
      <c r="L553" s="760" t="str">
        <f>IFERROR(INDEX('Local Data Previous Year'!$H:$H, MATCH($D553, 'Local Data Previous Year'!$D:$D, 0)), "")</f>
        <v/>
      </c>
      <c r="M553" s="762"/>
      <c r="N553" s="763"/>
      <c r="O553" s="767"/>
      <c r="P553" s="765"/>
      <c r="Q553" s="767"/>
      <c r="R553" s="766" t="str">
        <f t="shared" si="113"/>
        <v/>
      </c>
      <c r="S553" s="754"/>
      <c r="T553" s="763"/>
      <c r="U553" s="754"/>
      <c r="V553" s="763"/>
      <c r="W553" s="763"/>
      <c r="X553" s="865" t="str">
        <f>VLOOKUP(CTR1_Billing!$E$21,Data!$C$6:$D$302,1,FALSE)</f>
        <v>EZZZZ</v>
      </c>
      <c r="Y553" s="205"/>
      <c r="Z553" s="205">
        <f t="shared" si="102"/>
        <v>0</v>
      </c>
      <c r="AA553" s="206" t="str">
        <f t="shared" si="101"/>
        <v/>
      </c>
      <c r="AB553" s="205">
        <f t="shared" si="103"/>
        <v>0</v>
      </c>
      <c r="AC553" s="208"/>
      <c r="AD553" s="208"/>
      <c r="AE553" s="208"/>
      <c r="AF553" s="208"/>
      <c r="AG553" s="209" t="str">
        <f>IFERROR(INDEX('Local Data Previous Year'!$F:$F, MATCH($D553, 'Local Data Previous Year'!$D:$D, 0)), "")</f>
        <v/>
      </c>
      <c r="AH553" s="209" t="str">
        <f>IFERROR(INDEX('Local Data Previous Year'!$G:$G, MATCH($D553, 'Local Data Previous Year'!$D:$D, 0)), "")</f>
        <v/>
      </c>
      <c r="AI553" s="209" t="str">
        <f>IFERROR(INDEX('Local Data Previous Year'!$H:$H, MATCH($D553, 'Local Data Previous Year'!$D:$D, 0)), "")</f>
        <v/>
      </c>
      <c r="AJ553" s="209" t="str">
        <f t="shared" si="104"/>
        <v/>
      </c>
      <c r="AK553" s="209" t="str">
        <f t="shared" si="105"/>
        <v/>
      </c>
      <c r="AL553" s="209" t="str">
        <f t="shared" si="106"/>
        <v/>
      </c>
      <c r="AM553" s="208" t="str">
        <f>IF($AN553="","",IFERROR(VLOOKUP(CONCATENATE(CTR1_Billing!$E$20,$AN553),'Local Data Previous Year'!$C$3:$D$50000,2,0),CTR1_Billing!$E$21&amp;"NEW"))</f>
        <v/>
      </c>
      <c r="AN553" s="209" t="str" cm="1">
        <f t="array" ref="AN553">IF(ISERROR(INDEX('Local Data Previous Year'!$E$3:$E$50000, SMALL(IF(CTR1_Billing!$E$21='Local Data Previous Year'!$A$3:$A$50000, ROW('Local Data Previous Year'!$A$3:$A$50000)-ROW('Local Data Previous Year'!$A$3)+1), ROW(521:521)))), "", INDEX('Local Data Previous Year'!$E$3:$E$50000, SMALL(IF(CTR1_Billing!$E$21='Local Data Previous Year'!$A$3:$A$50000, ROW('Local Data Previous Year'!$A$3:$A$50000)-ROW('Local Data Previous Year'!$A$3)+1), ROW(521:521))))</f>
        <v/>
      </c>
      <c r="AO553" s="209" t="str">
        <f t="shared" si="107"/>
        <v/>
      </c>
      <c r="AP553" s="208"/>
      <c r="AQ553" s="209" t="str">
        <f t="shared" si="108"/>
        <v/>
      </c>
      <c r="AR553" s="209" t="str">
        <f t="shared" si="109"/>
        <v/>
      </c>
      <c r="AS553" s="202" t="str">
        <f t="shared" si="110"/>
        <v/>
      </c>
      <c r="AT553" s="202" t="str">
        <f t="shared" si="111"/>
        <v/>
      </c>
      <c r="AU553" s="208"/>
      <c r="AV553" s="208"/>
      <c r="AW553" s="208"/>
      <c r="AX553" s="208"/>
      <c r="AY553" s="208"/>
      <c r="AZ553" s="208"/>
      <c r="BA553" s="208"/>
      <c r="BB553" s="208"/>
      <c r="BC553" s="208"/>
      <c r="BD553" s="208"/>
      <c r="BE553" s="208"/>
      <c r="BF553" s="208"/>
      <c r="BG553" s="28"/>
      <c r="BH553" s="28"/>
      <c r="BI553" s="28"/>
      <c r="BJ553" s="28"/>
    </row>
    <row r="554" spans="1:62" s="23" customFormat="1" ht="21" customHeight="1" thickBot="1" x14ac:dyDescent="0.25">
      <c r="A554" s="846" t="str">
        <f>IF($AN554="","",IFERROR(VLOOKUP(CONCATENATE(CTR1_Billing!$E$20,$AN554),'Local Data Previous Year'!$C$3:$D$20000,2,0),CTR1_Billing!$E$21&amp;"NEW"))</f>
        <v/>
      </c>
      <c r="B554" s="846" t="str">
        <f>IF($E554="","",IFERROR(VLOOKUP(CONCATENATE(CTR1_Billing!$E$20,CTR1_Local!$E554),'Local Data Previous Year'!$C$3:$D$20000,2,0),CTR1_Billing!$E$21&amp;"NEW"))</f>
        <v/>
      </c>
      <c r="C554" s="846">
        <v>522</v>
      </c>
      <c r="D554" s="755" t="str" cm="1">
        <f t="array" ref="D554">IF(ISERROR(INDEX('Local Data Previous Year'!$D$3:$D$20000,SMALL(IF(CTR1_Billing!$E$21='Local Data Previous Year'!$A$3:$A$20000,ROW('Local Data Previous Year'!$A$3:$A$20000)-ROW('Local Data Previous Year'!$A$3)+1),ROW(522:522)))),"",INDEX('Local Data Previous Year'!$D$3:$D$20000,SMALL(IF(CTR1_Billing!$E$21='Local Data Previous Year'!$A$3:$A$20000,ROW('Local Data Previous Year'!$A$3:$A$20000)-ROW('Local Data Previous Year'!$A$3)+1),ROW(522:522))))</f>
        <v/>
      </c>
      <c r="E554" s="755" t="str" cm="1">
        <f t="array" ref="E554">IF(ISERROR(INDEX('Local Data Previous Year'!$E$3:$E$20000,SMALL(IF(CTR1_Billing!$E$21='Local Data Previous Year'!$A$3:$A$20000,ROW('Local Data Previous Year'!$A$3:$A$20000)-ROW('Local Data Previous Year'!$A$3)+1),ROW(522:522)))),"",INDEX('Local Data Previous Year'!$E$3:$E$20000,SMALL(IF(CTR1_Billing!$E$21='Local Data Previous Year'!$A$3:$A$20000,ROW('Local Data Previous Year'!$A$3:$A$20000)-ROW('Local Data Previous Year'!$A$3)+1),ROW(522:522))))</f>
        <v/>
      </c>
      <c r="F554" s="756" t="str">
        <f>IF($D554="","",IF(ISNA(MATCH($D554,'Local Data Previous Year'!$D$3:$D$20000,0)),"New",IFERROR(VLOOKUP($B554,'Local Data Previous Year'!$D$3:$I$20000,6,0),"")))</f>
        <v/>
      </c>
      <c r="G554" s="757">
        <f t="shared" si="112"/>
        <v>0</v>
      </c>
      <c r="H554" s="758" t="str">
        <f>IFERROR(INDEX('Local Data Previous Year'!$F:$F, MATCH($D554, 'Local Data Previous Year'!$D:$D, 0)), "")</f>
        <v/>
      </c>
      <c r="I554" s="759">
        <f>IF(B554=CTR1_Billing!$E$21&amp;"NEW",1,0)</f>
        <v>0</v>
      </c>
      <c r="J554" s="760" t="str">
        <f>IFERROR(INDEX('Local Data Previous Year'!$G:$G, MATCH($D554, 'Local Data Previous Year'!$D:$D, 0)), "")</f>
        <v/>
      </c>
      <c r="K554" s="762"/>
      <c r="L554" s="760" t="str">
        <f>IFERROR(INDEX('Local Data Previous Year'!$H:$H, MATCH($D554, 'Local Data Previous Year'!$D:$D, 0)), "")</f>
        <v/>
      </c>
      <c r="M554" s="762"/>
      <c r="N554" s="763"/>
      <c r="O554" s="767"/>
      <c r="P554" s="765"/>
      <c r="Q554" s="767"/>
      <c r="R554" s="766" t="str">
        <f t="shared" si="113"/>
        <v/>
      </c>
      <c r="S554" s="754"/>
      <c r="T554" s="763"/>
      <c r="U554" s="754"/>
      <c r="V554" s="763"/>
      <c r="W554" s="763"/>
      <c r="X554" s="865" t="str">
        <f>VLOOKUP(CTR1_Billing!$E$21,Data!$C$6:$D$302,1,FALSE)</f>
        <v>EZZZZ</v>
      </c>
      <c r="Y554" s="205"/>
      <c r="Z554" s="205">
        <f t="shared" si="102"/>
        <v>0</v>
      </c>
      <c r="AA554" s="206" t="str">
        <f t="shared" si="101"/>
        <v/>
      </c>
      <c r="AB554" s="205">
        <f t="shared" si="103"/>
        <v>0</v>
      </c>
      <c r="AC554" s="208"/>
      <c r="AD554" s="208"/>
      <c r="AE554" s="208"/>
      <c r="AF554" s="208"/>
      <c r="AG554" s="209" t="str">
        <f>IFERROR(INDEX('Local Data Previous Year'!$F:$F, MATCH($D554, 'Local Data Previous Year'!$D:$D, 0)), "")</f>
        <v/>
      </c>
      <c r="AH554" s="209" t="str">
        <f>IFERROR(INDEX('Local Data Previous Year'!$G:$G, MATCH($D554, 'Local Data Previous Year'!$D:$D, 0)), "")</f>
        <v/>
      </c>
      <c r="AI554" s="209" t="str">
        <f>IFERROR(INDEX('Local Data Previous Year'!$H:$H, MATCH($D554, 'Local Data Previous Year'!$D:$D, 0)), "")</f>
        <v/>
      </c>
      <c r="AJ554" s="209" t="str">
        <f t="shared" si="104"/>
        <v/>
      </c>
      <c r="AK554" s="209" t="str">
        <f t="shared" si="105"/>
        <v/>
      </c>
      <c r="AL554" s="209" t="str">
        <f t="shared" si="106"/>
        <v/>
      </c>
      <c r="AM554" s="208" t="str">
        <f>IF($AN554="","",IFERROR(VLOOKUP(CONCATENATE(CTR1_Billing!$E$20,$AN554),'Local Data Previous Year'!$C$3:$D$50000,2,0),CTR1_Billing!$E$21&amp;"NEW"))</f>
        <v/>
      </c>
      <c r="AN554" s="209" t="str" cm="1">
        <f t="array" ref="AN554">IF(ISERROR(INDEX('Local Data Previous Year'!$E$3:$E$50000, SMALL(IF(CTR1_Billing!$E$21='Local Data Previous Year'!$A$3:$A$50000, ROW('Local Data Previous Year'!$A$3:$A$50000)-ROW('Local Data Previous Year'!$A$3)+1), ROW(522:522)))), "", INDEX('Local Data Previous Year'!$E$3:$E$50000, SMALL(IF(CTR1_Billing!$E$21='Local Data Previous Year'!$A$3:$A$50000, ROW('Local Data Previous Year'!$A$3:$A$50000)-ROW('Local Data Previous Year'!$A$3)+1), ROW(522:522))))</f>
        <v/>
      </c>
      <c r="AO554" s="209" t="str">
        <f t="shared" si="107"/>
        <v/>
      </c>
      <c r="AP554" s="208"/>
      <c r="AQ554" s="209" t="str">
        <f t="shared" si="108"/>
        <v/>
      </c>
      <c r="AR554" s="209" t="str">
        <f t="shared" si="109"/>
        <v/>
      </c>
      <c r="AS554" s="202" t="str">
        <f t="shared" si="110"/>
        <v/>
      </c>
      <c r="AT554" s="202" t="str">
        <f t="shared" si="111"/>
        <v/>
      </c>
      <c r="AU554" s="208"/>
      <c r="AV554" s="208"/>
      <c r="AW554" s="208"/>
      <c r="AX554" s="208"/>
      <c r="AY554" s="208"/>
      <c r="AZ554" s="208"/>
      <c r="BA554" s="208"/>
      <c r="BB554" s="208"/>
      <c r="BC554" s="208"/>
      <c r="BD554" s="208"/>
      <c r="BE554" s="208"/>
      <c r="BF554" s="208"/>
      <c r="BG554" s="28"/>
      <c r="BH554" s="28"/>
      <c r="BI554" s="28"/>
      <c r="BJ554" s="28"/>
    </row>
    <row r="555" spans="1:62" s="23" customFormat="1" ht="21" customHeight="1" thickBot="1" x14ac:dyDescent="0.25">
      <c r="A555" s="846" t="str">
        <f>IF($AN555="","",IFERROR(VLOOKUP(CONCATENATE(CTR1_Billing!$E$20,$AN555),'Local Data Previous Year'!$C$3:$D$20000,2,0),CTR1_Billing!$E$21&amp;"NEW"))</f>
        <v/>
      </c>
      <c r="B555" s="846" t="str">
        <f>IF($E555="","",IFERROR(VLOOKUP(CONCATENATE(CTR1_Billing!$E$20,CTR1_Local!$E555),'Local Data Previous Year'!$C$3:$D$20000,2,0),CTR1_Billing!$E$21&amp;"NEW"))</f>
        <v/>
      </c>
      <c r="C555" s="846">
        <v>523</v>
      </c>
      <c r="D555" s="755" t="str" cm="1">
        <f t="array" ref="D555">IF(ISERROR(INDEX('Local Data Previous Year'!$D$3:$D$20000,SMALL(IF(CTR1_Billing!$E$21='Local Data Previous Year'!$A$3:$A$20000,ROW('Local Data Previous Year'!$A$3:$A$20000)-ROW('Local Data Previous Year'!$A$3)+1),ROW(523:523)))),"",INDEX('Local Data Previous Year'!$D$3:$D$20000,SMALL(IF(CTR1_Billing!$E$21='Local Data Previous Year'!$A$3:$A$20000,ROW('Local Data Previous Year'!$A$3:$A$20000)-ROW('Local Data Previous Year'!$A$3)+1),ROW(523:523))))</f>
        <v/>
      </c>
      <c r="E555" s="755" t="str" cm="1">
        <f t="array" ref="E555">IF(ISERROR(INDEX('Local Data Previous Year'!$E$3:$E$20000,SMALL(IF(CTR1_Billing!$E$21='Local Data Previous Year'!$A$3:$A$20000,ROW('Local Data Previous Year'!$A$3:$A$20000)-ROW('Local Data Previous Year'!$A$3)+1),ROW(523:523)))),"",INDEX('Local Data Previous Year'!$E$3:$E$20000,SMALL(IF(CTR1_Billing!$E$21='Local Data Previous Year'!$A$3:$A$20000,ROW('Local Data Previous Year'!$A$3:$A$20000)-ROW('Local Data Previous Year'!$A$3)+1),ROW(523:523))))</f>
        <v/>
      </c>
      <c r="F555" s="756" t="str">
        <f>IF($D555="","",IF(ISNA(MATCH($D555,'Local Data Previous Year'!$D$3:$D$20000,0)),"New",IFERROR(VLOOKUP($B555,'Local Data Previous Year'!$D$3:$I$20000,6,0),"")))</f>
        <v/>
      </c>
      <c r="G555" s="757">
        <f t="shared" si="112"/>
        <v>0</v>
      </c>
      <c r="H555" s="758" t="str">
        <f>IFERROR(INDEX('Local Data Previous Year'!$F:$F, MATCH($D555, 'Local Data Previous Year'!$D:$D, 0)), "")</f>
        <v/>
      </c>
      <c r="I555" s="759">
        <f>IF(B555=CTR1_Billing!$E$21&amp;"NEW",1,0)</f>
        <v>0</v>
      </c>
      <c r="J555" s="760" t="str">
        <f>IFERROR(INDEX('Local Data Previous Year'!$G:$G, MATCH($D555, 'Local Data Previous Year'!$D:$D, 0)), "")</f>
        <v/>
      </c>
      <c r="K555" s="762"/>
      <c r="L555" s="760" t="str">
        <f>IFERROR(INDEX('Local Data Previous Year'!$H:$H, MATCH($D555, 'Local Data Previous Year'!$D:$D, 0)), "")</f>
        <v/>
      </c>
      <c r="M555" s="762"/>
      <c r="N555" s="763"/>
      <c r="O555" s="767"/>
      <c r="P555" s="765"/>
      <c r="Q555" s="767"/>
      <c r="R555" s="766" t="str">
        <f t="shared" si="113"/>
        <v/>
      </c>
      <c r="S555" s="754"/>
      <c r="T555" s="763"/>
      <c r="U555" s="754"/>
      <c r="V555" s="763"/>
      <c r="W555" s="763"/>
      <c r="X555" s="865" t="str">
        <f>VLOOKUP(CTR1_Billing!$E$21,Data!$C$6:$D$302,1,FALSE)</f>
        <v>EZZZZ</v>
      </c>
      <c r="Y555" s="205"/>
      <c r="Z555" s="205">
        <f t="shared" si="102"/>
        <v>0</v>
      </c>
      <c r="AA555" s="206" t="str">
        <f t="shared" si="101"/>
        <v/>
      </c>
      <c r="AB555" s="205">
        <f t="shared" si="103"/>
        <v>0</v>
      </c>
      <c r="AC555" s="208"/>
      <c r="AD555" s="208"/>
      <c r="AE555" s="208"/>
      <c r="AF555" s="208"/>
      <c r="AG555" s="209" t="str">
        <f>IFERROR(INDEX('Local Data Previous Year'!$F:$F, MATCH($D555, 'Local Data Previous Year'!$D:$D, 0)), "")</f>
        <v/>
      </c>
      <c r="AH555" s="209" t="str">
        <f>IFERROR(INDEX('Local Data Previous Year'!$G:$G, MATCH($D555, 'Local Data Previous Year'!$D:$D, 0)), "")</f>
        <v/>
      </c>
      <c r="AI555" s="209" t="str">
        <f>IFERROR(INDEX('Local Data Previous Year'!$H:$H, MATCH($D555, 'Local Data Previous Year'!$D:$D, 0)), "")</f>
        <v/>
      </c>
      <c r="AJ555" s="209" t="str">
        <f t="shared" si="104"/>
        <v/>
      </c>
      <c r="AK555" s="209" t="str">
        <f t="shared" si="105"/>
        <v/>
      </c>
      <c r="AL555" s="209" t="str">
        <f t="shared" si="106"/>
        <v/>
      </c>
      <c r="AM555" s="208" t="str">
        <f>IF($AN555="","",IFERROR(VLOOKUP(CONCATENATE(CTR1_Billing!$E$20,$AN555),'Local Data Previous Year'!$C$3:$D$50000,2,0),CTR1_Billing!$E$21&amp;"NEW"))</f>
        <v/>
      </c>
      <c r="AN555" s="209" t="str" cm="1">
        <f t="array" ref="AN555">IF(ISERROR(INDEX('Local Data Previous Year'!$E$3:$E$50000, SMALL(IF(CTR1_Billing!$E$21='Local Data Previous Year'!$A$3:$A$50000, ROW('Local Data Previous Year'!$A$3:$A$50000)-ROW('Local Data Previous Year'!$A$3)+1), ROW(523:523)))), "", INDEX('Local Data Previous Year'!$E$3:$E$50000, SMALL(IF(CTR1_Billing!$E$21='Local Data Previous Year'!$A$3:$A$50000, ROW('Local Data Previous Year'!$A$3:$A$50000)-ROW('Local Data Previous Year'!$A$3)+1), ROW(523:523))))</f>
        <v/>
      </c>
      <c r="AO555" s="209" t="str">
        <f t="shared" si="107"/>
        <v/>
      </c>
      <c r="AP555" s="208"/>
      <c r="AQ555" s="209" t="str">
        <f t="shared" si="108"/>
        <v/>
      </c>
      <c r="AR555" s="209" t="str">
        <f t="shared" si="109"/>
        <v/>
      </c>
      <c r="AS555" s="202" t="str">
        <f t="shared" si="110"/>
        <v/>
      </c>
      <c r="AT555" s="202" t="str">
        <f t="shared" si="111"/>
        <v/>
      </c>
      <c r="AU555" s="208"/>
      <c r="AV555" s="208"/>
      <c r="AW555" s="208"/>
      <c r="AX555" s="208"/>
      <c r="AY555" s="208"/>
      <c r="AZ555" s="208"/>
      <c r="BA555" s="208"/>
      <c r="BB555" s="208"/>
      <c r="BC555" s="208"/>
      <c r="BD555" s="208"/>
      <c r="BE555" s="208"/>
      <c r="BF555" s="208"/>
      <c r="BG555" s="28"/>
      <c r="BH555" s="28"/>
      <c r="BI555" s="28"/>
      <c r="BJ555" s="28"/>
    </row>
    <row r="556" spans="1:62" s="23" customFormat="1" ht="21" customHeight="1" thickBot="1" x14ac:dyDescent="0.25">
      <c r="A556" s="846" t="str">
        <f>IF($AN556="","",IFERROR(VLOOKUP(CONCATENATE(CTR1_Billing!$E$20,$AN556),'Local Data Previous Year'!$C$3:$D$20000,2,0),CTR1_Billing!$E$21&amp;"NEW"))</f>
        <v/>
      </c>
      <c r="B556" s="846" t="str">
        <f>IF($E556="","",IFERROR(VLOOKUP(CONCATENATE(CTR1_Billing!$E$20,CTR1_Local!$E556),'Local Data Previous Year'!$C$3:$D$20000,2,0),CTR1_Billing!$E$21&amp;"NEW"))</f>
        <v/>
      </c>
      <c r="C556" s="846">
        <v>524</v>
      </c>
      <c r="D556" s="755" t="str" cm="1">
        <f t="array" ref="D556">IF(ISERROR(INDEX('Local Data Previous Year'!$D$3:$D$20000,SMALL(IF(CTR1_Billing!$E$21='Local Data Previous Year'!$A$3:$A$20000,ROW('Local Data Previous Year'!$A$3:$A$20000)-ROW('Local Data Previous Year'!$A$3)+1),ROW(524:524)))),"",INDEX('Local Data Previous Year'!$D$3:$D$20000,SMALL(IF(CTR1_Billing!$E$21='Local Data Previous Year'!$A$3:$A$20000,ROW('Local Data Previous Year'!$A$3:$A$20000)-ROW('Local Data Previous Year'!$A$3)+1),ROW(524:524))))</f>
        <v/>
      </c>
      <c r="E556" s="755" t="str" cm="1">
        <f t="array" ref="E556">IF(ISERROR(INDEX('Local Data Previous Year'!$E$3:$E$20000,SMALL(IF(CTR1_Billing!$E$21='Local Data Previous Year'!$A$3:$A$20000,ROW('Local Data Previous Year'!$A$3:$A$20000)-ROW('Local Data Previous Year'!$A$3)+1),ROW(524:524)))),"",INDEX('Local Data Previous Year'!$E$3:$E$20000,SMALL(IF(CTR1_Billing!$E$21='Local Data Previous Year'!$A$3:$A$20000,ROW('Local Data Previous Year'!$A$3:$A$20000)-ROW('Local Data Previous Year'!$A$3)+1),ROW(524:524))))</f>
        <v/>
      </c>
      <c r="F556" s="756" t="str">
        <f>IF($D556="","",IF(ISNA(MATCH($D556,'Local Data Previous Year'!$D$3:$D$20000,0)),"New",IFERROR(VLOOKUP($B556,'Local Data Previous Year'!$D$3:$I$20000,6,0),"")))</f>
        <v/>
      </c>
      <c r="G556" s="757">
        <f t="shared" si="112"/>
        <v>0</v>
      </c>
      <c r="H556" s="758" t="str">
        <f>IFERROR(INDEX('Local Data Previous Year'!$F:$F, MATCH($D556, 'Local Data Previous Year'!$D:$D, 0)), "")</f>
        <v/>
      </c>
      <c r="I556" s="759">
        <f>IF(B556=CTR1_Billing!$E$21&amp;"NEW",1,0)</f>
        <v>0</v>
      </c>
      <c r="J556" s="760" t="str">
        <f>IFERROR(INDEX('Local Data Previous Year'!$G:$G, MATCH($D556, 'Local Data Previous Year'!$D:$D, 0)), "")</f>
        <v/>
      </c>
      <c r="K556" s="762"/>
      <c r="L556" s="760" t="str">
        <f>IFERROR(INDEX('Local Data Previous Year'!$H:$H, MATCH($D556, 'Local Data Previous Year'!$D:$D, 0)), "")</f>
        <v/>
      </c>
      <c r="M556" s="762"/>
      <c r="N556" s="763"/>
      <c r="O556" s="767"/>
      <c r="P556" s="765"/>
      <c r="Q556" s="767"/>
      <c r="R556" s="766" t="str">
        <f t="shared" si="113"/>
        <v/>
      </c>
      <c r="S556" s="754"/>
      <c r="T556" s="763"/>
      <c r="U556" s="754"/>
      <c r="V556" s="763"/>
      <c r="W556" s="763"/>
      <c r="X556" s="865" t="str">
        <f>VLOOKUP(CTR1_Billing!$E$21,Data!$C$6:$D$302,1,FALSE)</f>
        <v>EZZZZ</v>
      </c>
      <c r="Y556" s="205"/>
      <c r="Z556" s="205">
        <f t="shared" si="102"/>
        <v>0</v>
      </c>
      <c r="AA556" s="206" t="str">
        <f t="shared" si="101"/>
        <v/>
      </c>
      <c r="AB556" s="205">
        <f t="shared" si="103"/>
        <v>0</v>
      </c>
      <c r="AC556" s="208"/>
      <c r="AD556" s="208"/>
      <c r="AE556" s="208"/>
      <c r="AF556" s="208"/>
      <c r="AG556" s="209" t="str">
        <f>IFERROR(INDEX('Local Data Previous Year'!$F:$F, MATCH($D556, 'Local Data Previous Year'!$D:$D, 0)), "")</f>
        <v/>
      </c>
      <c r="AH556" s="209" t="str">
        <f>IFERROR(INDEX('Local Data Previous Year'!$G:$G, MATCH($D556, 'Local Data Previous Year'!$D:$D, 0)), "")</f>
        <v/>
      </c>
      <c r="AI556" s="209" t="str">
        <f>IFERROR(INDEX('Local Data Previous Year'!$H:$H, MATCH($D556, 'Local Data Previous Year'!$D:$D, 0)), "")</f>
        <v/>
      </c>
      <c r="AJ556" s="209" t="str">
        <f t="shared" si="104"/>
        <v/>
      </c>
      <c r="AK556" s="209" t="str">
        <f t="shared" si="105"/>
        <v/>
      </c>
      <c r="AL556" s="209" t="str">
        <f t="shared" si="106"/>
        <v/>
      </c>
      <c r="AM556" s="208" t="str">
        <f>IF($AN556="","",IFERROR(VLOOKUP(CONCATENATE(CTR1_Billing!$E$20,$AN556),'Local Data Previous Year'!$C$3:$D$50000,2,0),CTR1_Billing!$E$21&amp;"NEW"))</f>
        <v/>
      </c>
      <c r="AN556" s="209" t="str" cm="1">
        <f t="array" ref="AN556">IF(ISERROR(INDEX('Local Data Previous Year'!$E$3:$E$50000, SMALL(IF(CTR1_Billing!$E$21='Local Data Previous Year'!$A$3:$A$50000, ROW('Local Data Previous Year'!$A$3:$A$50000)-ROW('Local Data Previous Year'!$A$3)+1), ROW(524:524)))), "", INDEX('Local Data Previous Year'!$E$3:$E$50000, SMALL(IF(CTR1_Billing!$E$21='Local Data Previous Year'!$A$3:$A$50000, ROW('Local Data Previous Year'!$A$3:$A$50000)-ROW('Local Data Previous Year'!$A$3)+1), ROW(524:524))))</f>
        <v/>
      </c>
      <c r="AO556" s="209" t="str">
        <f t="shared" si="107"/>
        <v/>
      </c>
      <c r="AP556" s="208"/>
      <c r="AQ556" s="209" t="str">
        <f t="shared" si="108"/>
        <v/>
      </c>
      <c r="AR556" s="209" t="str">
        <f t="shared" si="109"/>
        <v/>
      </c>
      <c r="AS556" s="202" t="str">
        <f t="shared" si="110"/>
        <v/>
      </c>
      <c r="AT556" s="202" t="str">
        <f t="shared" si="111"/>
        <v/>
      </c>
      <c r="AU556" s="208"/>
      <c r="AV556" s="208"/>
      <c r="AW556" s="208"/>
      <c r="AX556" s="208"/>
      <c r="AY556" s="208"/>
      <c r="AZ556" s="208"/>
      <c r="BA556" s="208"/>
      <c r="BB556" s="208"/>
      <c r="BC556" s="208"/>
      <c r="BD556" s="208"/>
      <c r="BE556" s="208"/>
      <c r="BF556" s="208"/>
      <c r="BG556" s="28"/>
      <c r="BH556" s="28"/>
      <c r="BI556" s="28"/>
      <c r="BJ556" s="28"/>
    </row>
    <row r="557" spans="1:62" s="23" customFormat="1" ht="21" customHeight="1" thickBot="1" x14ac:dyDescent="0.25">
      <c r="A557" s="846" t="str">
        <f>IF($AN557="","",IFERROR(VLOOKUP(CONCATENATE(CTR1_Billing!$E$20,$AN557),'Local Data Previous Year'!$C$3:$D$20000,2,0),CTR1_Billing!$E$21&amp;"NEW"))</f>
        <v/>
      </c>
      <c r="B557" s="846" t="str">
        <f>IF($E557="","",IFERROR(VLOOKUP(CONCATENATE(CTR1_Billing!$E$20,CTR1_Local!$E557),'Local Data Previous Year'!$C$3:$D$20000,2,0),CTR1_Billing!$E$21&amp;"NEW"))</f>
        <v/>
      </c>
      <c r="C557" s="846">
        <v>525</v>
      </c>
      <c r="D557" s="755" t="str" cm="1">
        <f t="array" ref="D557">IF(ISERROR(INDEX('Local Data Previous Year'!$D$3:$D$20000,SMALL(IF(CTR1_Billing!$E$21='Local Data Previous Year'!$A$3:$A$20000,ROW('Local Data Previous Year'!$A$3:$A$20000)-ROW('Local Data Previous Year'!$A$3)+1),ROW(525:525)))),"",INDEX('Local Data Previous Year'!$D$3:$D$20000,SMALL(IF(CTR1_Billing!$E$21='Local Data Previous Year'!$A$3:$A$20000,ROW('Local Data Previous Year'!$A$3:$A$20000)-ROW('Local Data Previous Year'!$A$3)+1),ROW(525:525))))</f>
        <v/>
      </c>
      <c r="E557" s="755" t="str" cm="1">
        <f t="array" ref="E557">IF(ISERROR(INDEX('Local Data Previous Year'!$E$3:$E$20000,SMALL(IF(CTR1_Billing!$E$21='Local Data Previous Year'!$A$3:$A$20000,ROW('Local Data Previous Year'!$A$3:$A$20000)-ROW('Local Data Previous Year'!$A$3)+1),ROW(525:525)))),"",INDEX('Local Data Previous Year'!$E$3:$E$20000,SMALL(IF(CTR1_Billing!$E$21='Local Data Previous Year'!$A$3:$A$20000,ROW('Local Data Previous Year'!$A$3:$A$20000)-ROW('Local Data Previous Year'!$A$3)+1),ROW(525:525))))</f>
        <v/>
      </c>
      <c r="F557" s="756" t="str">
        <f>IF($D557="","",IF(ISNA(MATCH($D557,'Local Data Previous Year'!$D$3:$D$20000,0)),"New",IFERROR(VLOOKUP($B557,'Local Data Previous Year'!$D$3:$I$20000,6,0),"")))</f>
        <v/>
      </c>
      <c r="G557" s="757">
        <f t="shared" si="112"/>
        <v>0</v>
      </c>
      <c r="H557" s="758" t="str">
        <f>IFERROR(INDEX('Local Data Previous Year'!$F:$F, MATCH($D557, 'Local Data Previous Year'!$D:$D, 0)), "")</f>
        <v/>
      </c>
      <c r="I557" s="759">
        <f>IF(B557=CTR1_Billing!$E$21&amp;"NEW",1,0)</f>
        <v>0</v>
      </c>
      <c r="J557" s="760" t="str">
        <f>IFERROR(INDEX('Local Data Previous Year'!$G:$G, MATCH($D557, 'Local Data Previous Year'!$D:$D, 0)), "")</f>
        <v/>
      </c>
      <c r="K557" s="762"/>
      <c r="L557" s="760" t="str">
        <f>IFERROR(INDEX('Local Data Previous Year'!$H:$H, MATCH($D557, 'Local Data Previous Year'!$D:$D, 0)), "")</f>
        <v/>
      </c>
      <c r="M557" s="762"/>
      <c r="N557" s="763"/>
      <c r="O557" s="767"/>
      <c r="P557" s="765"/>
      <c r="Q557" s="767"/>
      <c r="R557" s="766" t="str">
        <f t="shared" si="113"/>
        <v/>
      </c>
      <c r="S557" s="754"/>
      <c r="T557" s="763"/>
      <c r="U557" s="754"/>
      <c r="V557" s="763"/>
      <c r="W557" s="763"/>
      <c r="X557" s="865" t="str">
        <f>VLOOKUP(CTR1_Billing!$E$21,Data!$C$6:$D$302,1,FALSE)</f>
        <v>EZZZZ</v>
      </c>
      <c r="Y557" s="205"/>
      <c r="Z557" s="205">
        <f t="shared" si="102"/>
        <v>0</v>
      </c>
      <c r="AA557" s="206" t="str">
        <f t="shared" si="101"/>
        <v/>
      </c>
      <c r="AB557" s="205">
        <f t="shared" si="103"/>
        <v>0</v>
      </c>
      <c r="AC557" s="208"/>
      <c r="AD557" s="208"/>
      <c r="AE557" s="208"/>
      <c r="AF557" s="208"/>
      <c r="AG557" s="209" t="str">
        <f>IFERROR(INDEX('Local Data Previous Year'!$F:$F, MATCH($D557, 'Local Data Previous Year'!$D:$D, 0)), "")</f>
        <v/>
      </c>
      <c r="AH557" s="209" t="str">
        <f>IFERROR(INDEX('Local Data Previous Year'!$G:$G, MATCH($D557, 'Local Data Previous Year'!$D:$D, 0)), "")</f>
        <v/>
      </c>
      <c r="AI557" s="209" t="str">
        <f>IFERROR(INDEX('Local Data Previous Year'!$H:$H, MATCH($D557, 'Local Data Previous Year'!$D:$D, 0)), "")</f>
        <v/>
      </c>
      <c r="AJ557" s="209" t="str">
        <f t="shared" si="104"/>
        <v/>
      </c>
      <c r="AK557" s="209" t="str">
        <f t="shared" si="105"/>
        <v/>
      </c>
      <c r="AL557" s="209" t="str">
        <f t="shared" si="106"/>
        <v/>
      </c>
      <c r="AM557" s="208" t="str">
        <f>IF($AN557="","",IFERROR(VLOOKUP(CONCATENATE(CTR1_Billing!$E$20,$AN557),'Local Data Previous Year'!$C$3:$D$50000,2,0),CTR1_Billing!$E$21&amp;"NEW"))</f>
        <v/>
      </c>
      <c r="AN557" s="209" t="str" cm="1">
        <f t="array" ref="AN557">IF(ISERROR(INDEX('Local Data Previous Year'!$E$3:$E$50000, SMALL(IF(CTR1_Billing!$E$21='Local Data Previous Year'!$A$3:$A$50000, ROW('Local Data Previous Year'!$A$3:$A$50000)-ROW('Local Data Previous Year'!$A$3)+1), ROW(525:525)))), "", INDEX('Local Data Previous Year'!$E$3:$E$50000, SMALL(IF(CTR1_Billing!$E$21='Local Data Previous Year'!$A$3:$A$50000, ROW('Local Data Previous Year'!$A$3:$A$50000)-ROW('Local Data Previous Year'!$A$3)+1), ROW(525:525))))</f>
        <v/>
      </c>
      <c r="AO557" s="209" t="str">
        <f t="shared" si="107"/>
        <v/>
      </c>
      <c r="AP557" s="208"/>
      <c r="AQ557" s="209" t="str">
        <f t="shared" si="108"/>
        <v/>
      </c>
      <c r="AR557" s="209" t="str">
        <f t="shared" si="109"/>
        <v/>
      </c>
      <c r="AS557" s="202" t="str">
        <f t="shared" si="110"/>
        <v/>
      </c>
      <c r="AT557" s="202" t="str">
        <f t="shared" si="111"/>
        <v/>
      </c>
      <c r="AU557" s="208"/>
      <c r="AV557" s="208"/>
      <c r="AW557" s="208"/>
      <c r="AX557" s="208"/>
      <c r="AY557" s="208"/>
      <c r="AZ557" s="208"/>
      <c r="BA557" s="208"/>
      <c r="BB557" s="208"/>
      <c r="BC557" s="208"/>
      <c r="BD557" s="208"/>
      <c r="BE557" s="208"/>
      <c r="BF557" s="208"/>
      <c r="BG557" s="28"/>
      <c r="BH557" s="28"/>
      <c r="BI557" s="28"/>
      <c r="BJ557" s="28"/>
    </row>
    <row r="558" spans="1:62" s="23" customFormat="1" ht="21" customHeight="1" thickBot="1" x14ac:dyDescent="0.25">
      <c r="A558" s="846" t="str">
        <f>IF($AN558="","",IFERROR(VLOOKUP(CONCATENATE(CTR1_Billing!$E$20,$AN558),'Local Data Previous Year'!$C$3:$D$20000,2,0),CTR1_Billing!$E$21&amp;"NEW"))</f>
        <v/>
      </c>
      <c r="B558" s="846" t="str">
        <f>IF($E558="","",IFERROR(VLOOKUP(CONCATENATE(CTR1_Billing!$E$20,CTR1_Local!$E558),'Local Data Previous Year'!$C$3:$D$20000,2,0),CTR1_Billing!$E$21&amp;"NEW"))</f>
        <v/>
      </c>
      <c r="C558" s="846">
        <v>526</v>
      </c>
      <c r="D558" s="755" t="str" cm="1">
        <f t="array" ref="D558">IF(ISERROR(INDEX('Local Data Previous Year'!$D$3:$D$20000,SMALL(IF(CTR1_Billing!$E$21='Local Data Previous Year'!$A$3:$A$20000,ROW('Local Data Previous Year'!$A$3:$A$20000)-ROW('Local Data Previous Year'!$A$3)+1),ROW(526:526)))),"",INDEX('Local Data Previous Year'!$D$3:$D$20000,SMALL(IF(CTR1_Billing!$E$21='Local Data Previous Year'!$A$3:$A$20000,ROW('Local Data Previous Year'!$A$3:$A$20000)-ROW('Local Data Previous Year'!$A$3)+1),ROW(526:526))))</f>
        <v/>
      </c>
      <c r="E558" s="755" t="str" cm="1">
        <f t="array" ref="E558">IF(ISERROR(INDEX('Local Data Previous Year'!$E$3:$E$20000,SMALL(IF(CTR1_Billing!$E$21='Local Data Previous Year'!$A$3:$A$20000,ROW('Local Data Previous Year'!$A$3:$A$20000)-ROW('Local Data Previous Year'!$A$3)+1),ROW(526:526)))),"",INDEX('Local Data Previous Year'!$E$3:$E$20000,SMALL(IF(CTR1_Billing!$E$21='Local Data Previous Year'!$A$3:$A$20000,ROW('Local Data Previous Year'!$A$3:$A$20000)-ROW('Local Data Previous Year'!$A$3)+1),ROW(526:526))))</f>
        <v/>
      </c>
      <c r="F558" s="756" t="str">
        <f>IF($D558="","",IF(ISNA(MATCH($D558,'Local Data Previous Year'!$D$3:$D$20000,0)),"New",IFERROR(VLOOKUP($B558,'Local Data Previous Year'!$D$3:$I$20000,6,0),"")))</f>
        <v/>
      </c>
      <c r="G558" s="757">
        <f t="shared" si="112"/>
        <v>0</v>
      </c>
      <c r="H558" s="758" t="str">
        <f>IFERROR(INDEX('Local Data Previous Year'!$F:$F, MATCH($D558, 'Local Data Previous Year'!$D:$D, 0)), "")</f>
        <v/>
      </c>
      <c r="I558" s="759">
        <f>IF(B558=CTR1_Billing!$E$21&amp;"NEW",1,0)</f>
        <v>0</v>
      </c>
      <c r="J558" s="760" t="str">
        <f>IFERROR(INDEX('Local Data Previous Year'!$G:$G, MATCH($D558, 'Local Data Previous Year'!$D:$D, 0)), "")</f>
        <v/>
      </c>
      <c r="K558" s="762"/>
      <c r="L558" s="760" t="str">
        <f>IFERROR(INDEX('Local Data Previous Year'!$H:$H, MATCH($D558, 'Local Data Previous Year'!$D:$D, 0)), "")</f>
        <v/>
      </c>
      <c r="M558" s="762"/>
      <c r="N558" s="763"/>
      <c r="O558" s="767"/>
      <c r="P558" s="765"/>
      <c r="Q558" s="767"/>
      <c r="R558" s="766" t="str">
        <f t="shared" si="113"/>
        <v/>
      </c>
      <c r="S558" s="754"/>
      <c r="T558" s="763"/>
      <c r="U558" s="754"/>
      <c r="V558" s="763"/>
      <c r="W558" s="763"/>
      <c r="X558" s="865" t="str">
        <f>VLOOKUP(CTR1_Billing!$E$21,Data!$C$6:$D$302,1,FALSE)</f>
        <v>EZZZZ</v>
      </c>
      <c r="Y558" s="205"/>
      <c r="Z558" s="205">
        <f t="shared" si="102"/>
        <v>0</v>
      </c>
      <c r="AA558" s="206" t="str">
        <f t="shared" si="101"/>
        <v/>
      </c>
      <c r="AB558" s="205">
        <f t="shared" si="103"/>
        <v>0</v>
      </c>
      <c r="AC558" s="208"/>
      <c r="AD558" s="208"/>
      <c r="AE558" s="208"/>
      <c r="AF558" s="208"/>
      <c r="AG558" s="209" t="str">
        <f>IFERROR(INDEX('Local Data Previous Year'!$F:$F, MATCH($D558, 'Local Data Previous Year'!$D:$D, 0)), "")</f>
        <v/>
      </c>
      <c r="AH558" s="209" t="str">
        <f>IFERROR(INDEX('Local Data Previous Year'!$G:$G, MATCH($D558, 'Local Data Previous Year'!$D:$D, 0)), "")</f>
        <v/>
      </c>
      <c r="AI558" s="209" t="str">
        <f>IFERROR(INDEX('Local Data Previous Year'!$H:$H, MATCH($D558, 'Local Data Previous Year'!$D:$D, 0)), "")</f>
        <v/>
      </c>
      <c r="AJ558" s="209" t="str">
        <f t="shared" si="104"/>
        <v/>
      </c>
      <c r="AK558" s="209" t="str">
        <f t="shared" si="105"/>
        <v/>
      </c>
      <c r="AL558" s="209" t="str">
        <f t="shared" si="106"/>
        <v/>
      </c>
      <c r="AM558" s="208" t="str">
        <f>IF($AN558="","",IFERROR(VLOOKUP(CONCATENATE(CTR1_Billing!$E$20,$AN558),'Local Data Previous Year'!$C$3:$D$50000,2,0),CTR1_Billing!$E$21&amp;"NEW"))</f>
        <v/>
      </c>
      <c r="AN558" s="209" t="str" cm="1">
        <f t="array" ref="AN558">IF(ISERROR(INDEX('Local Data Previous Year'!$E$3:$E$50000, SMALL(IF(CTR1_Billing!$E$21='Local Data Previous Year'!$A$3:$A$50000, ROW('Local Data Previous Year'!$A$3:$A$50000)-ROW('Local Data Previous Year'!$A$3)+1), ROW(526:526)))), "", INDEX('Local Data Previous Year'!$E$3:$E$50000, SMALL(IF(CTR1_Billing!$E$21='Local Data Previous Year'!$A$3:$A$50000, ROW('Local Data Previous Year'!$A$3:$A$50000)-ROW('Local Data Previous Year'!$A$3)+1), ROW(526:526))))</f>
        <v/>
      </c>
      <c r="AO558" s="209" t="str">
        <f t="shared" si="107"/>
        <v/>
      </c>
      <c r="AP558" s="208"/>
      <c r="AQ558" s="209" t="str">
        <f t="shared" si="108"/>
        <v/>
      </c>
      <c r="AR558" s="209" t="str">
        <f t="shared" si="109"/>
        <v/>
      </c>
      <c r="AS558" s="202" t="str">
        <f t="shared" si="110"/>
        <v/>
      </c>
      <c r="AT558" s="202" t="str">
        <f t="shared" si="111"/>
        <v/>
      </c>
      <c r="AU558" s="208"/>
      <c r="AV558" s="208"/>
      <c r="AW558" s="208"/>
      <c r="AX558" s="208"/>
      <c r="AY558" s="208"/>
      <c r="AZ558" s="208"/>
      <c r="BA558" s="208"/>
      <c r="BB558" s="208"/>
      <c r="BC558" s="208"/>
      <c r="BD558" s="208"/>
      <c r="BE558" s="208"/>
      <c r="BF558" s="208"/>
      <c r="BG558" s="28"/>
      <c r="BH558" s="28"/>
      <c r="BI558" s="28"/>
      <c r="BJ558" s="28"/>
    </row>
    <row r="559" spans="1:62" s="23" customFormat="1" ht="21" customHeight="1" thickBot="1" x14ac:dyDescent="0.25">
      <c r="A559" s="846" t="str">
        <f>IF($AN559="","",IFERROR(VLOOKUP(CONCATENATE(CTR1_Billing!$E$20,$AN559),'Local Data Previous Year'!$C$3:$D$20000,2,0),CTR1_Billing!$E$21&amp;"NEW"))</f>
        <v/>
      </c>
      <c r="B559" s="846" t="str">
        <f>IF($E559="","",IFERROR(VLOOKUP(CONCATENATE(CTR1_Billing!$E$20,CTR1_Local!$E559),'Local Data Previous Year'!$C$3:$D$20000,2,0),CTR1_Billing!$E$21&amp;"NEW"))</f>
        <v/>
      </c>
      <c r="C559" s="846">
        <v>527</v>
      </c>
      <c r="D559" s="755" t="str" cm="1">
        <f t="array" ref="D559">IF(ISERROR(INDEX('Local Data Previous Year'!$D$3:$D$20000,SMALL(IF(CTR1_Billing!$E$21='Local Data Previous Year'!$A$3:$A$20000,ROW('Local Data Previous Year'!$A$3:$A$20000)-ROW('Local Data Previous Year'!$A$3)+1),ROW(527:527)))),"",INDEX('Local Data Previous Year'!$D$3:$D$20000,SMALL(IF(CTR1_Billing!$E$21='Local Data Previous Year'!$A$3:$A$20000,ROW('Local Data Previous Year'!$A$3:$A$20000)-ROW('Local Data Previous Year'!$A$3)+1),ROW(527:527))))</f>
        <v/>
      </c>
      <c r="E559" s="755" t="str" cm="1">
        <f t="array" ref="E559">IF(ISERROR(INDEX('Local Data Previous Year'!$E$3:$E$20000,SMALL(IF(CTR1_Billing!$E$21='Local Data Previous Year'!$A$3:$A$20000,ROW('Local Data Previous Year'!$A$3:$A$20000)-ROW('Local Data Previous Year'!$A$3)+1),ROW(527:527)))),"",INDEX('Local Data Previous Year'!$E$3:$E$20000,SMALL(IF(CTR1_Billing!$E$21='Local Data Previous Year'!$A$3:$A$20000,ROW('Local Data Previous Year'!$A$3:$A$20000)-ROW('Local Data Previous Year'!$A$3)+1),ROW(527:527))))</f>
        <v/>
      </c>
      <c r="F559" s="756" t="str">
        <f>IF($D559="","",IF(ISNA(MATCH($D559,'Local Data Previous Year'!$D$3:$D$20000,0)),"New",IFERROR(VLOOKUP($B559,'Local Data Previous Year'!$D$3:$I$20000,6,0),"")))</f>
        <v/>
      </c>
      <c r="G559" s="757">
        <f t="shared" si="112"/>
        <v>0</v>
      </c>
      <c r="H559" s="758" t="str">
        <f>IFERROR(INDEX('Local Data Previous Year'!$F:$F, MATCH($D559, 'Local Data Previous Year'!$D:$D, 0)), "")</f>
        <v/>
      </c>
      <c r="I559" s="759">
        <f>IF(B559=CTR1_Billing!$E$21&amp;"NEW",1,0)</f>
        <v>0</v>
      </c>
      <c r="J559" s="760" t="str">
        <f>IFERROR(INDEX('Local Data Previous Year'!$G:$G, MATCH($D559, 'Local Data Previous Year'!$D:$D, 0)), "")</f>
        <v/>
      </c>
      <c r="K559" s="762"/>
      <c r="L559" s="760" t="str">
        <f>IFERROR(INDEX('Local Data Previous Year'!$H:$H, MATCH($D559, 'Local Data Previous Year'!$D:$D, 0)), "")</f>
        <v/>
      </c>
      <c r="M559" s="762"/>
      <c r="N559" s="763"/>
      <c r="O559" s="767"/>
      <c r="P559" s="765"/>
      <c r="Q559" s="767"/>
      <c r="R559" s="766" t="str">
        <f t="shared" si="113"/>
        <v/>
      </c>
      <c r="S559" s="754"/>
      <c r="T559" s="763"/>
      <c r="U559" s="754"/>
      <c r="V559" s="763"/>
      <c r="W559" s="763"/>
      <c r="X559" s="865" t="str">
        <f>VLOOKUP(CTR1_Billing!$E$21,Data!$C$6:$D$302,1,FALSE)</f>
        <v>EZZZZ</v>
      </c>
      <c r="Y559" s="205"/>
      <c r="Z559" s="205">
        <f t="shared" si="102"/>
        <v>0</v>
      </c>
      <c r="AA559" s="206" t="str">
        <f t="shared" si="101"/>
        <v/>
      </c>
      <c r="AB559" s="205">
        <f t="shared" si="103"/>
        <v>0</v>
      </c>
      <c r="AC559" s="208"/>
      <c r="AD559" s="208"/>
      <c r="AE559" s="208"/>
      <c r="AF559" s="208"/>
      <c r="AG559" s="209" t="str">
        <f>IFERROR(INDEX('Local Data Previous Year'!$F:$F, MATCH($D559, 'Local Data Previous Year'!$D:$D, 0)), "")</f>
        <v/>
      </c>
      <c r="AH559" s="209" t="str">
        <f>IFERROR(INDEX('Local Data Previous Year'!$G:$G, MATCH($D559, 'Local Data Previous Year'!$D:$D, 0)), "")</f>
        <v/>
      </c>
      <c r="AI559" s="209" t="str">
        <f>IFERROR(INDEX('Local Data Previous Year'!$H:$H, MATCH($D559, 'Local Data Previous Year'!$D:$D, 0)), "")</f>
        <v/>
      </c>
      <c r="AJ559" s="209" t="str">
        <f t="shared" si="104"/>
        <v/>
      </c>
      <c r="AK559" s="209" t="str">
        <f t="shared" si="105"/>
        <v/>
      </c>
      <c r="AL559" s="209" t="str">
        <f t="shared" si="106"/>
        <v/>
      </c>
      <c r="AM559" s="208" t="str">
        <f>IF($AN559="","",IFERROR(VLOOKUP(CONCATENATE(CTR1_Billing!$E$20,$AN559),'Local Data Previous Year'!$C$3:$D$50000,2,0),CTR1_Billing!$E$21&amp;"NEW"))</f>
        <v/>
      </c>
      <c r="AN559" s="209" t="str" cm="1">
        <f t="array" ref="AN559">IF(ISERROR(INDEX('Local Data Previous Year'!$E$3:$E$50000, SMALL(IF(CTR1_Billing!$E$21='Local Data Previous Year'!$A$3:$A$50000, ROW('Local Data Previous Year'!$A$3:$A$50000)-ROW('Local Data Previous Year'!$A$3)+1), ROW(527:527)))), "", INDEX('Local Data Previous Year'!$E$3:$E$50000, SMALL(IF(CTR1_Billing!$E$21='Local Data Previous Year'!$A$3:$A$50000, ROW('Local Data Previous Year'!$A$3:$A$50000)-ROW('Local Data Previous Year'!$A$3)+1), ROW(527:527))))</f>
        <v/>
      </c>
      <c r="AO559" s="209" t="str">
        <f t="shared" si="107"/>
        <v/>
      </c>
      <c r="AP559" s="208"/>
      <c r="AQ559" s="209" t="str">
        <f t="shared" si="108"/>
        <v/>
      </c>
      <c r="AR559" s="209" t="str">
        <f t="shared" si="109"/>
        <v/>
      </c>
      <c r="AS559" s="202" t="str">
        <f t="shared" si="110"/>
        <v/>
      </c>
      <c r="AT559" s="202" t="str">
        <f t="shared" si="111"/>
        <v/>
      </c>
      <c r="AU559" s="208"/>
      <c r="AV559" s="208"/>
      <c r="AW559" s="208"/>
      <c r="AX559" s="208"/>
      <c r="AY559" s="208"/>
      <c r="AZ559" s="208"/>
      <c r="BA559" s="208"/>
      <c r="BB559" s="208"/>
      <c r="BC559" s="208"/>
      <c r="BD559" s="208"/>
      <c r="BE559" s="208"/>
      <c r="BF559" s="208"/>
      <c r="BG559" s="28"/>
      <c r="BH559" s="28"/>
      <c r="BI559" s="28"/>
      <c r="BJ559" s="28"/>
    </row>
    <row r="560" spans="1:62" s="23" customFormat="1" ht="21" customHeight="1" thickBot="1" x14ac:dyDescent="0.25">
      <c r="A560" s="846" t="str">
        <f>IF($AN560="","",IFERROR(VLOOKUP(CONCATENATE(CTR1_Billing!$E$20,$AN560),'Local Data Previous Year'!$C$3:$D$20000,2,0),CTR1_Billing!$E$21&amp;"NEW"))</f>
        <v/>
      </c>
      <c r="B560" s="846" t="str">
        <f>IF($E560="","",IFERROR(VLOOKUP(CONCATENATE(CTR1_Billing!$E$20,CTR1_Local!$E560),'Local Data Previous Year'!$C$3:$D$20000,2,0),CTR1_Billing!$E$21&amp;"NEW"))</f>
        <v/>
      </c>
      <c r="C560" s="846">
        <v>528</v>
      </c>
      <c r="D560" s="755" t="str" cm="1">
        <f t="array" ref="D560">IF(ISERROR(INDEX('Local Data Previous Year'!$D$3:$D$20000,SMALL(IF(CTR1_Billing!$E$21='Local Data Previous Year'!$A$3:$A$20000,ROW('Local Data Previous Year'!$A$3:$A$20000)-ROW('Local Data Previous Year'!$A$3)+1),ROW(528:528)))),"",INDEX('Local Data Previous Year'!$D$3:$D$20000,SMALL(IF(CTR1_Billing!$E$21='Local Data Previous Year'!$A$3:$A$20000,ROW('Local Data Previous Year'!$A$3:$A$20000)-ROW('Local Data Previous Year'!$A$3)+1),ROW(528:528))))</f>
        <v/>
      </c>
      <c r="E560" s="755" t="str" cm="1">
        <f t="array" ref="E560">IF(ISERROR(INDEX('Local Data Previous Year'!$E$3:$E$20000,SMALL(IF(CTR1_Billing!$E$21='Local Data Previous Year'!$A$3:$A$20000,ROW('Local Data Previous Year'!$A$3:$A$20000)-ROW('Local Data Previous Year'!$A$3)+1),ROW(528:528)))),"",INDEX('Local Data Previous Year'!$E$3:$E$20000,SMALL(IF(CTR1_Billing!$E$21='Local Data Previous Year'!$A$3:$A$20000,ROW('Local Data Previous Year'!$A$3:$A$20000)-ROW('Local Data Previous Year'!$A$3)+1),ROW(528:528))))</f>
        <v/>
      </c>
      <c r="F560" s="756" t="str">
        <f>IF($D560="","",IF(ISNA(MATCH($D560,'Local Data Previous Year'!$D$3:$D$20000,0)),"New",IFERROR(VLOOKUP($B560,'Local Data Previous Year'!$D$3:$I$20000,6,0),"")))</f>
        <v/>
      </c>
      <c r="G560" s="757">
        <f t="shared" si="112"/>
        <v>0</v>
      </c>
      <c r="H560" s="758" t="str">
        <f>IFERROR(INDEX('Local Data Previous Year'!$F:$F, MATCH($D560, 'Local Data Previous Year'!$D:$D, 0)), "")</f>
        <v/>
      </c>
      <c r="I560" s="759">
        <f>IF(B560=CTR1_Billing!$E$21&amp;"NEW",1,0)</f>
        <v>0</v>
      </c>
      <c r="J560" s="760" t="str">
        <f>IFERROR(INDEX('Local Data Previous Year'!$G:$G, MATCH($D560, 'Local Data Previous Year'!$D:$D, 0)), "")</f>
        <v/>
      </c>
      <c r="K560" s="762"/>
      <c r="L560" s="760" t="str">
        <f>IFERROR(INDEX('Local Data Previous Year'!$H:$H, MATCH($D560, 'Local Data Previous Year'!$D:$D, 0)), "")</f>
        <v/>
      </c>
      <c r="M560" s="762"/>
      <c r="N560" s="763"/>
      <c r="O560" s="767"/>
      <c r="P560" s="765"/>
      <c r="Q560" s="767"/>
      <c r="R560" s="766" t="str">
        <f t="shared" si="113"/>
        <v/>
      </c>
      <c r="S560" s="754"/>
      <c r="T560" s="763"/>
      <c r="U560" s="754"/>
      <c r="V560" s="763"/>
      <c r="W560" s="763"/>
      <c r="X560" s="865" t="str">
        <f>VLOOKUP(CTR1_Billing!$E$21,Data!$C$6:$D$302,1,FALSE)</f>
        <v>EZZZZ</v>
      </c>
      <c r="Y560" s="205"/>
      <c r="Z560" s="205">
        <f t="shared" si="102"/>
        <v>0</v>
      </c>
      <c r="AA560" s="206" t="str">
        <f t="shared" si="101"/>
        <v/>
      </c>
      <c r="AB560" s="205">
        <f t="shared" si="103"/>
        <v>0</v>
      </c>
      <c r="AC560" s="208"/>
      <c r="AD560" s="208"/>
      <c r="AE560" s="208"/>
      <c r="AF560" s="208"/>
      <c r="AG560" s="209" t="str">
        <f>IFERROR(INDEX('Local Data Previous Year'!$F:$F, MATCH($D560, 'Local Data Previous Year'!$D:$D, 0)), "")</f>
        <v/>
      </c>
      <c r="AH560" s="209" t="str">
        <f>IFERROR(INDEX('Local Data Previous Year'!$G:$G, MATCH($D560, 'Local Data Previous Year'!$D:$D, 0)), "")</f>
        <v/>
      </c>
      <c r="AI560" s="209" t="str">
        <f>IFERROR(INDEX('Local Data Previous Year'!$H:$H, MATCH($D560, 'Local Data Previous Year'!$D:$D, 0)), "")</f>
        <v/>
      </c>
      <c r="AJ560" s="209" t="str">
        <f t="shared" si="104"/>
        <v/>
      </c>
      <c r="AK560" s="209" t="str">
        <f t="shared" si="105"/>
        <v/>
      </c>
      <c r="AL560" s="209" t="str">
        <f t="shared" si="106"/>
        <v/>
      </c>
      <c r="AM560" s="208" t="str">
        <f>IF($AN560="","",IFERROR(VLOOKUP(CONCATENATE(CTR1_Billing!$E$20,$AN560),'Local Data Previous Year'!$C$3:$D$50000,2,0),CTR1_Billing!$E$21&amp;"NEW"))</f>
        <v/>
      </c>
      <c r="AN560" s="209" t="str" cm="1">
        <f t="array" ref="AN560">IF(ISERROR(INDEX('Local Data Previous Year'!$E$3:$E$50000, SMALL(IF(CTR1_Billing!$E$21='Local Data Previous Year'!$A$3:$A$50000, ROW('Local Data Previous Year'!$A$3:$A$50000)-ROW('Local Data Previous Year'!$A$3)+1), ROW(528:528)))), "", INDEX('Local Data Previous Year'!$E$3:$E$50000, SMALL(IF(CTR1_Billing!$E$21='Local Data Previous Year'!$A$3:$A$50000, ROW('Local Data Previous Year'!$A$3:$A$50000)-ROW('Local Data Previous Year'!$A$3)+1), ROW(528:528))))</f>
        <v/>
      </c>
      <c r="AO560" s="209" t="str">
        <f t="shared" si="107"/>
        <v/>
      </c>
      <c r="AP560" s="208"/>
      <c r="AQ560" s="209" t="str">
        <f t="shared" si="108"/>
        <v/>
      </c>
      <c r="AR560" s="209" t="str">
        <f t="shared" si="109"/>
        <v/>
      </c>
      <c r="AS560" s="202" t="str">
        <f t="shared" si="110"/>
        <v/>
      </c>
      <c r="AT560" s="202" t="str">
        <f t="shared" si="111"/>
        <v/>
      </c>
      <c r="AU560" s="208"/>
      <c r="AV560" s="208"/>
      <c r="AW560" s="208"/>
      <c r="AX560" s="208"/>
      <c r="AY560" s="208"/>
      <c r="AZ560" s="208"/>
      <c r="BA560" s="208"/>
      <c r="BB560" s="208"/>
      <c r="BC560" s="208"/>
      <c r="BD560" s="208"/>
      <c r="BE560" s="208"/>
      <c r="BF560" s="208"/>
      <c r="BG560" s="28"/>
      <c r="BH560" s="28"/>
      <c r="BI560" s="28"/>
      <c r="BJ560" s="28"/>
    </row>
    <row r="561" spans="1:62" s="23" customFormat="1" ht="21" customHeight="1" thickBot="1" x14ac:dyDescent="0.25">
      <c r="A561" s="846" t="str">
        <f>IF($AN561="","",IFERROR(VLOOKUP(CONCATENATE(CTR1_Billing!$E$20,$AN561),'Local Data Previous Year'!$C$3:$D$20000,2,0),CTR1_Billing!$E$21&amp;"NEW"))</f>
        <v/>
      </c>
      <c r="B561" s="846" t="str">
        <f>IF($E561="","",IFERROR(VLOOKUP(CONCATENATE(CTR1_Billing!$E$20,CTR1_Local!$E561),'Local Data Previous Year'!$C$3:$D$20000,2,0),CTR1_Billing!$E$21&amp;"NEW"))</f>
        <v/>
      </c>
      <c r="C561" s="846">
        <v>529</v>
      </c>
      <c r="D561" s="755" t="str" cm="1">
        <f t="array" ref="D561">IF(ISERROR(INDEX('Local Data Previous Year'!$D$3:$D$20000,SMALL(IF(CTR1_Billing!$E$21='Local Data Previous Year'!$A$3:$A$20000,ROW('Local Data Previous Year'!$A$3:$A$20000)-ROW('Local Data Previous Year'!$A$3)+1),ROW(529:529)))),"",INDEX('Local Data Previous Year'!$D$3:$D$20000,SMALL(IF(CTR1_Billing!$E$21='Local Data Previous Year'!$A$3:$A$20000,ROW('Local Data Previous Year'!$A$3:$A$20000)-ROW('Local Data Previous Year'!$A$3)+1),ROW(529:529))))</f>
        <v/>
      </c>
      <c r="E561" s="755" t="str" cm="1">
        <f t="array" ref="E561">IF(ISERROR(INDEX('Local Data Previous Year'!$E$3:$E$20000,SMALL(IF(CTR1_Billing!$E$21='Local Data Previous Year'!$A$3:$A$20000,ROW('Local Data Previous Year'!$A$3:$A$20000)-ROW('Local Data Previous Year'!$A$3)+1),ROW(529:529)))),"",INDEX('Local Data Previous Year'!$E$3:$E$20000,SMALL(IF(CTR1_Billing!$E$21='Local Data Previous Year'!$A$3:$A$20000,ROW('Local Data Previous Year'!$A$3:$A$20000)-ROW('Local Data Previous Year'!$A$3)+1),ROW(529:529))))</f>
        <v/>
      </c>
      <c r="F561" s="756" t="str">
        <f>IF($D561="","",IF(ISNA(MATCH($D561,'Local Data Previous Year'!$D$3:$D$20000,0)),"New",IFERROR(VLOOKUP($B561,'Local Data Previous Year'!$D$3:$I$20000,6,0),"")))</f>
        <v/>
      </c>
      <c r="G561" s="757">
        <f t="shared" si="112"/>
        <v>0</v>
      </c>
      <c r="H561" s="758" t="str">
        <f>IFERROR(INDEX('Local Data Previous Year'!$F:$F, MATCH($D561, 'Local Data Previous Year'!$D:$D, 0)), "")</f>
        <v/>
      </c>
      <c r="I561" s="759">
        <f>IF(B561=CTR1_Billing!$E$21&amp;"NEW",1,0)</f>
        <v>0</v>
      </c>
      <c r="J561" s="760" t="str">
        <f>IFERROR(INDEX('Local Data Previous Year'!$G:$G, MATCH($D561, 'Local Data Previous Year'!$D:$D, 0)), "")</f>
        <v/>
      </c>
      <c r="K561" s="762"/>
      <c r="L561" s="760" t="str">
        <f>IFERROR(INDEX('Local Data Previous Year'!$H:$H, MATCH($D561, 'Local Data Previous Year'!$D:$D, 0)), "")</f>
        <v/>
      </c>
      <c r="M561" s="762"/>
      <c r="N561" s="763"/>
      <c r="O561" s="767"/>
      <c r="P561" s="765"/>
      <c r="Q561" s="767"/>
      <c r="R561" s="766" t="str">
        <f t="shared" si="113"/>
        <v/>
      </c>
      <c r="S561" s="754"/>
      <c r="T561" s="763"/>
      <c r="U561" s="754"/>
      <c r="V561" s="763"/>
      <c r="W561" s="763"/>
      <c r="X561" s="865" t="str">
        <f>VLOOKUP(CTR1_Billing!$E$21,Data!$C$6:$D$302,1,FALSE)</f>
        <v>EZZZZ</v>
      </c>
      <c r="Y561" s="205"/>
      <c r="Z561" s="205">
        <f t="shared" si="102"/>
        <v>0</v>
      </c>
      <c r="AA561" s="206" t="str">
        <f t="shared" si="101"/>
        <v/>
      </c>
      <c r="AB561" s="205">
        <f t="shared" si="103"/>
        <v>0</v>
      </c>
      <c r="AC561" s="208"/>
      <c r="AD561" s="208"/>
      <c r="AE561" s="208"/>
      <c r="AF561" s="208"/>
      <c r="AG561" s="209" t="str">
        <f>IFERROR(INDEX('Local Data Previous Year'!$F:$F, MATCH($D561, 'Local Data Previous Year'!$D:$D, 0)), "")</f>
        <v/>
      </c>
      <c r="AH561" s="209" t="str">
        <f>IFERROR(INDEX('Local Data Previous Year'!$G:$G, MATCH($D561, 'Local Data Previous Year'!$D:$D, 0)), "")</f>
        <v/>
      </c>
      <c r="AI561" s="209" t="str">
        <f>IFERROR(INDEX('Local Data Previous Year'!$H:$H, MATCH($D561, 'Local Data Previous Year'!$D:$D, 0)), "")</f>
        <v/>
      </c>
      <c r="AJ561" s="209" t="str">
        <f t="shared" si="104"/>
        <v/>
      </c>
      <c r="AK561" s="209" t="str">
        <f t="shared" si="105"/>
        <v/>
      </c>
      <c r="AL561" s="209" t="str">
        <f t="shared" si="106"/>
        <v/>
      </c>
      <c r="AM561" s="208" t="str">
        <f>IF($AN561="","",IFERROR(VLOOKUP(CONCATENATE(CTR1_Billing!$E$20,$AN561),'Local Data Previous Year'!$C$3:$D$50000,2,0),CTR1_Billing!$E$21&amp;"NEW"))</f>
        <v/>
      </c>
      <c r="AN561" s="209" t="str" cm="1">
        <f t="array" ref="AN561">IF(ISERROR(INDEX('Local Data Previous Year'!$E$3:$E$50000, SMALL(IF(CTR1_Billing!$E$21='Local Data Previous Year'!$A$3:$A$50000, ROW('Local Data Previous Year'!$A$3:$A$50000)-ROW('Local Data Previous Year'!$A$3)+1), ROW(529:529)))), "", INDEX('Local Data Previous Year'!$E$3:$E$50000, SMALL(IF(CTR1_Billing!$E$21='Local Data Previous Year'!$A$3:$A$50000, ROW('Local Data Previous Year'!$A$3:$A$50000)-ROW('Local Data Previous Year'!$A$3)+1), ROW(529:529))))</f>
        <v/>
      </c>
      <c r="AO561" s="209" t="str">
        <f t="shared" si="107"/>
        <v/>
      </c>
      <c r="AP561" s="208"/>
      <c r="AQ561" s="209" t="str">
        <f t="shared" si="108"/>
        <v/>
      </c>
      <c r="AR561" s="209" t="str">
        <f t="shared" si="109"/>
        <v/>
      </c>
      <c r="AS561" s="202" t="str">
        <f t="shared" si="110"/>
        <v/>
      </c>
      <c r="AT561" s="202" t="str">
        <f t="shared" si="111"/>
        <v/>
      </c>
      <c r="AU561" s="208"/>
      <c r="AV561" s="208"/>
      <c r="AW561" s="208"/>
      <c r="AX561" s="208"/>
      <c r="AY561" s="208"/>
      <c r="AZ561" s="208"/>
      <c r="BA561" s="208"/>
      <c r="BB561" s="208"/>
      <c r="BC561" s="208"/>
      <c r="BD561" s="208"/>
      <c r="BE561" s="208"/>
      <c r="BF561" s="208"/>
      <c r="BG561" s="28"/>
      <c r="BH561" s="28"/>
      <c r="BI561" s="28"/>
      <c r="BJ561" s="28"/>
    </row>
    <row r="562" spans="1:62" s="23" customFormat="1" ht="21" customHeight="1" thickBot="1" x14ac:dyDescent="0.25">
      <c r="A562" s="846" t="str">
        <f>IF($AN562="","",IFERROR(VLOOKUP(CONCATENATE(CTR1_Billing!$E$20,$AN562),'Local Data Previous Year'!$C$3:$D$20000,2,0),CTR1_Billing!$E$21&amp;"NEW"))</f>
        <v/>
      </c>
      <c r="B562" s="846" t="str">
        <f>IF($E562="","",IFERROR(VLOOKUP(CONCATENATE(CTR1_Billing!$E$20,CTR1_Local!$E562),'Local Data Previous Year'!$C$3:$D$20000,2,0),CTR1_Billing!$E$21&amp;"NEW"))</f>
        <v/>
      </c>
      <c r="C562" s="846">
        <v>530</v>
      </c>
      <c r="D562" s="755" t="str" cm="1">
        <f t="array" ref="D562">IF(ISERROR(INDEX('Local Data Previous Year'!$D$3:$D$20000,SMALL(IF(CTR1_Billing!$E$21='Local Data Previous Year'!$A$3:$A$20000,ROW('Local Data Previous Year'!$A$3:$A$20000)-ROW('Local Data Previous Year'!$A$3)+1),ROW(530:530)))),"",INDEX('Local Data Previous Year'!$D$3:$D$20000,SMALL(IF(CTR1_Billing!$E$21='Local Data Previous Year'!$A$3:$A$20000,ROW('Local Data Previous Year'!$A$3:$A$20000)-ROW('Local Data Previous Year'!$A$3)+1),ROW(530:530))))</f>
        <v/>
      </c>
      <c r="E562" s="755" t="str" cm="1">
        <f t="array" ref="E562">IF(ISERROR(INDEX('Local Data Previous Year'!$E$3:$E$20000,SMALL(IF(CTR1_Billing!$E$21='Local Data Previous Year'!$A$3:$A$20000,ROW('Local Data Previous Year'!$A$3:$A$20000)-ROW('Local Data Previous Year'!$A$3)+1),ROW(530:530)))),"",INDEX('Local Data Previous Year'!$E$3:$E$20000,SMALL(IF(CTR1_Billing!$E$21='Local Data Previous Year'!$A$3:$A$20000,ROW('Local Data Previous Year'!$A$3:$A$20000)-ROW('Local Data Previous Year'!$A$3)+1),ROW(530:530))))</f>
        <v/>
      </c>
      <c r="F562" s="756" t="str">
        <f>IF($D562="","",IF(ISNA(MATCH($D562,'Local Data Previous Year'!$D$3:$D$20000,0)),"New",IFERROR(VLOOKUP($B562,'Local Data Previous Year'!$D$3:$I$20000,6,0),"")))</f>
        <v/>
      </c>
      <c r="G562" s="757">
        <f t="shared" si="112"/>
        <v>0</v>
      </c>
      <c r="H562" s="758" t="str">
        <f>IFERROR(INDEX('Local Data Previous Year'!$F:$F, MATCH($D562, 'Local Data Previous Year'!$D:$D, 0)), "")</f>
        <v/>
      </c>
      <c r="I562" s="759">
        <f>IF(B562=CTR1_Billing!$E$21&amp;"NEW",1,0)</f>
        <v>0</v>
      </c>
      <c r="J562" s="760" t="str">
        <f>IFERROR(INDEX('Local Data Previous Year'!$G:$G, MATCH($D562, 'Local Data Previous Year'!$D:$D, 0)), "")</f>
        <v/>
      </c>
      <c r="K562" s="762"/>
      <c r="L562" s="760" t="str">
        <f>IFERROR(INDEX('Local Data Previous Year'!$H:$H, MATCH($D562, 'Local Data Previous Year'!$D:$D, 0)), "")</f>
        <v/>
      </c>
      <c r="M562" s="762"/>
      <c r="N562" s="763"/>
      <c r="O562" s="767"/>
      <c r="P562" s="765"/>
      <c r="Q562" s="767"/>
      <c r="R562" s="766" t="str">
        <f t="shared" si="113"/>
        <v/>
      </c>
      <c r="S562" s="754"/>
      <c r="T562" s="763"/>
      <c r="U562" s="754"/>
      <c r="V562" s="763"/>
      <c r="W562" s="763"/>
      <c r="X562" s="865" t="str">
        <f>VLOOKUP(CTR1_Billing!$E$21,Data!$C$6:$D$302,1,FALSE)</f>
        <v>EZZZZ</v>
      </c>
      <c r="Y562" s="205"/>
      <c r="Z562" s="205">
        <f t="shared" si="102"/>
        <v>0</v>
      </c>
      <c r="AA562" s="206" t="str">
        <f t="shared" si="101"/>
        <v/>
      </c>
      <c r="AB562" s="205">
        <f t="shared" si="103"/>
        <v>0</v>
      </c>
      <c r="AC562" s="208"/>
      <c r="AD562" s="208"/>
      <c r="AE562" s="208"/>
      <c r="AF562" s="208"/>
      <c r="AG562" s="209" t="str">
        <f>IFERROR(INDEX('Local Data Previous Year'!$F:$F, MATCH($D562, 'Local Data Previous Year'!$D:$D, 0)), "")</f>
        <v/>
      </c>
      <c r="AH562" s="209" t="str">
        <f>IFERROR(INDEX('Local Data Previous Year'!$G:$G, MATCH($D562, 'Local Data Previous Year'!$D:$D, 0)), "")</f>
        <v/>
      </c>
      <c r="AI562" s="209" t="str">
        <f>IFERROR(INDEX('Local Data Previous Year'!$H:$H, MATCH($D562, 'Local Data Previous Year'!$D:$D, 0)), "")</f>
        <v/>
      </c>
      <c r="AJ562" s="209" t="str">
        <f t="shared" si="104"/>
        <v/>
      </c>
      <c r="AK562" s="209" t="str">
        <f t="shared" si="105"/>
        <v/>
      </c>
      <c r="AL562" s="209" t="str">
        <f t="shared" si="106"/>
        <v/>
      </c>
      <c r="AM562" s="208" t="str">
        <f>IF($AN562="","",IFERROR(VLOOKUP(CONCATENATE(CTR1_Billing!$E$20,$AN562),'Local Data Previous Year'!$C$3:$D$50000,2,0),CTR1_Billing!$E$21&amp;"NEW"))</f>
        <v/>
      </c>
      <c r="AN562" s="209" t="str" cm="1">
        <f t="array" ref="AN562">IF(ISERROR(INDEX('Local Data Previous Year'!$E$3:$E$50000, SMALL(IF(CTR1_Billing!$E$21='Local Data Previous Year'!$A$3:$A$50000, ROW('Local Data Previous Year'!$A$3:$A$50000)-ROW('Local Data Previous Year'!$A$3)+1), ROW(530:530)))), "", INDEX('Local Data Previous Year'!$E$3:$E$50000, SMALL(IF(CTR1_Billing!$E$21='Local Data Previous Year'!$A$3:$A$50000, ROW('Local Data Previous Year'!$A$3:$A$50000)-ROW('Local Data Previous Year'!$A$3)+1), ROW(530:530))))</f>
        <v/>
      </c>
      <c r="AO562" s="209" t="str">
        <f t="shared" si="107"/>
        <v/>
      </c>
      <c r="AP562" s="208"/>
      <c r="AQ562" s="209" t="str">
        <f t="shared" si="108"/>
        <v/>
      </c>
      <c r="AR562" s="209" t="str">
        <f t="shared" si="109"/>
        <v/>
      </c>
      <c r="AS562" s="202" t="str">
        <f t="shared" si="110"/>
        <v/>
      </c>
      <c r="AT562" s="202" t="str">
        <f t="shared" si="111"/>
        <v/>
      </c>
      <c r="AU562" s="208"/>
      <c r="AV562" s="208"/>
      <c r="AW562" s="208"/>
      <c r="AX562" s="208"/>
      <c r="AY562" s="208"/>
      <c r="AZ562" s="208"/>
      <c r="BA562" s="208"/>
      <c r="BB562" s="208"/>
      <c r="BC562" s="208"/>
      <c r="BD562" s="208"/>
      <c r="BE562" s="208"/>
      <c r="BF562" s="208"/>
      <c r="BG562" s="28"/>
      <c r="BH562" s="28"/>
      <c r="BI562" s="28"/>
      <c r="BJ562" s="28"/>
    </row>
    <row r="563" spans="1:62" s="23" customFormat="1" ht="21" customHeight="1" thickBot="1" x14ac:dyDescent="0.25">
      <c r="A563" s="846" t="str">
        <f>IF($AN563="","",IFERROR(VLOOKUP(CONCATENATE(CTR1_Billing!$E$20,$AN563),'Local Data Previous Year'!$C$3:$D$20000,2,0),CTR1_Billing!$E$21&amp;"NEW"))</f>
        <v/>
      </c>
      <c r="B563" s="846" t="str">
        <f>IF($E563="","",IFERROR(VLOOKUP(CONCATENATE(CTR1_Billing!$E$20,CTR1_Local!$E563),'Local Data Previous Year'!$C$3:$D$20000,2,0),CTR1_Billing!$E$21&amp;"NEW"))</f>
        <v/>
      </c>
      <c r="C563" s="846">
        <v>531</v>
      </c>
      <c r="D563" s="755" t="str" cm="1">
        <f t="array" ref="D563">IF(ISERROR(INDEX('Local Data Previous Year'!$D$3:$D$20000,SMALL(IF(CTR1_Billing!$E$21='Local Data Previous Year'!$A$3:$A$20000,ROW('Local Data Previous Year'!$A$3:$A$20000)-ROW('Local Data Previous Year'!$A$3)+1),ROW(531:531)))),"",INDEX('Local Data Previous Year'!$D$3:$D$20000,SMALL(IF(CTR1_Billing!$E$21='Local Data Previous Year'!$A$3:$A$20000,ROW('Local Data Previous Year'!$A$3:$A$20000)-ROW('Local Data Previous Year'!$A$3)+1),ROW(531:531))))</f>
        <v/>
      </c>
      <c r="E563" s="755" t="str" cm="1">
        <f t="array" ref="E563">IF(ISERROR(INDEX('Local Data Previous Year'!$E$3:$E$20000,SMALL(IF(CTR1_Billing!$E$21='Local Data Previous Year'!$A$3:$A$20000,ROW('Local Data Previous Year'!$A$3:$A$20000)-ROW('Local Data Previous Year'!$A$3)+1),ROW(531:531)))),"",INDEX('Local Data Previous Year'!$E$3:$E$20000,SMALL(IF(CTR1_Billing!$E$21='Local Data Previous Year'!$A$3:$A$20000,ROW('Local Data Previous Year'!$A$3:$A$20000)-ROW('Local Data Previous Year'!$A$3)+1),ROW(531:531))))</f>
        <v/>
      </c>
      <c r="F563" s="756" t="str">
        <f>IF($D563="","",IF(ISNA(MATCH($D563,'Local Data Previous Year'!$D$3:$D$20000,0)),"New",IFERROR(VLOOKUP($B563,'Local Data Previous Year'!$D$3:$I$20000,6,0),"")))</f>
        <v/>
      </c>
      <c r="G563" s="757">
        <f t="shared" si="112"/>
        <v>0</v>
      </c>
      <c r="H563" s="758" t="str">
        <f>IFERROR(INDEX('Local Data Previous Year'!$F:$F, MATCH($D563, 'Local Data Previous Year'!$D:$D, 0)), "")</f>
        <v/>
      </c>
      <c r="I563" s="759">
        <f>IF(B563=CTR1_Billing!$E$21&amp;"NEW",1,0)</f>
        <v>0</v>
      </c>
      <c r="J563" s="760" t="str">
        <f>IFERROR(INDEX('Local Data Previous Year'!$G:$G, MATCH($D563, 'Local Data Previous Year'!$D:$D, 0)), "")</f>
        <v/>
      </c>
      <c r="K563" s="762"/>
      <c r="L563" s="760" t="str">
        <f>IFERROR(INDEX('Local Data Previous Year'!$H:$H, MATCH($D563, 'Local Data Previous Year'!$D:$D, 0)), "")</f>
        <v/>
      </c>
      <c r="M563" s="762"/>
      <c r="N563" s="763"/>
      <c r="O563" s="767"/>
      <c r="P563" s="765"/>
      <c r="Q563" s="767"/>
      <c r="R563" s="766" t="str">
        <f t="shared" si="113"/>
        <v/>
      </c>
      <c r="S563" s="754"/>
      <c r="T563" s="763"/>
      <c r="U563" s="754"/>
      <c r="V563" s="763"/>
      <c r="W563" s="763"/>
      <c r="X563" s="865" t="str">
        <f>VLOOKUP(CTR1_Billing!$E$21,Data!$C$6:$D$302,1,FALSE)</f>
        <v>EZZZZ</v>
      </c>
      <c r="Y563" s="205"/>
      <c r="Z563" s="205">
        <f t="shared" si="102"/>
        <v>0</v>
      </c>
      <c r="AA563" s="206" t="str">
        <f t="shared" si="101"/>
        <v/>
      </c>
      <c r="AB563" s="205">
        <f t="shared" si="103"/>
        <v>0</v>
      </c>
      <c r="AC563" s="208"/>
      <c r="AD563" s="208"/>
      <c r="AE563" s="208"/>
      <c r="AF563" s="208"/>
      <c r="AG563" s="209" t="str">
        <f>IFERROR(INDEX('Local Data Previous Year'!$F:$F, MATCH($D563, 'Local Data Previous Year'!$D:$D, 0)), "")</f>
        <v/>
      </c>
      <c r="AH563" s="209" t="str">
        <f>IFERROR(INDEX('Local Data Previous Year'!$G:$G, MATCH($D563, 'Local Data Previous Year'!$D:$D, 0)), "")</f>
        <v/>
      </c>
      <c r="AI563" s="209" t="str">
        <f>IFERROR(INDEX('Local Data Previous Year'!$H:$H, MATCH($D563, 'Local Data Previous Year'!$D:$D, 0)), "")</f>
        <v/>
      </c>
      <c r="AJ563" s="209" t="str">
        <f t="shared" si="104"/>
        <v/>
      </c>
      <c r="AK563" s="209" t="str">
        <f t="shared" si="105"/>
        <v/>
      </c>
      <c r="AL563" s="209" t="str">
        <f t="shared" si="106"/>
        <v/>
      </c>
      <c r="AM563" s="208" t="str">
        <f>IF($AN563="","",IFERROR(VLOOKUP(CONCATENATE(CTR1_Billing!$E$20,$AN563),'Local Data Previous Year'!$C$3:$D$50000,2,0),CTR1_Billing!$E$21&amp;"NEW"))</f>
        <v/>
      </c>
      <c r="AN563" s="209" t="str" cm="1">
        <f t="array" ref="AN563">IF(ISERROR(INDEX('Local Data Previous Year'!$E$3:$E$50000, SMALL(IF(CTR1_Billing!$E$21='Local Data Previous Year'!$A$3:$A$50000, ROW('Local Data Previous Year'!$A$3:$A$50000)-ROW('Local Data Previous Year'!$A$3)+1), ROW(531:531)))), "", INDEX('Local Data Previous Year'!$E$3:$E$50000, SMALL(IF(CTR1_Billing!$E$21='Local Data Previous Year'!$A$3:$A$50000, ROW('Local Data Previous Year'!$A$3:$A$50000)-ROW('Local Data Previous Year'!$A$3)+1), ROW(531:531))))</f>
        <v/>
      </c>
      <c r="AO563" s="209" t="str">
        <f t="shared" si="107"/>
        <v/>
      </c>
      <c r="AP563" s="208"/>
      <c r="AQ563" s="209" t="str">
        <f t="shared" si="108"/>
        <v/>
      </c>
      <c r="AR563" s="209" t="str">
        <f t="shared" si="109"/>
        <v/>
      </c>
      <c r="AS563" s="202" t="str">
        <f t="shared" si="110"/>
        <v/>
      </c>
      <c r="AT563" s="202" t="str">
        <f t="shared" si="111"/>
        <v/>
      </c>
      <c r="AU563" s="208"/>
      <c r="AV563" s="208"/>
      <c r="AW563" s="208"/>
      <c r="AX563" s="208"/>
      <c r="AY563" s="208"/>
      <c r="AZ563" s="208"/>
      <c r="BA563" s="208"/>
      <c r="BB563" s="208"/>
      <c r="BC563" s="208"/>
      <c r="BD563" s="208"/>
      <c r="BE563" s="208"/>
      <c r="BF563" s="208"/>
      <c r="BG563" s="28"/>
      <c r="BH563" s="28"/>
      <c r="BI563" s="28"/>
      <c r="BJ563" s="28"/>
    </row>
    <row r="564" spans="1:62" s="23" customFormat="1" ht="21" customHeight="1" thickBot="1" x14ac:dyDescent="0.25">
      <c r="A564" s="846" t="str">
        <f>IF($AN564="","",IFERROR(VLOOKUP(CONCATENATE(CTR1_Billing!$E$20,$AN564),'Local Data Previous Year'!$C$3:$D$20000,2,0),CTR1_Billing!$E$21&amp;"NEW"))</f>
        <v/>
      </c>
      <c r="B564" s="846" t="str">
        <f>IF($E564="","",IFERROR(VLOOKUP(CONCATENATE(CTR1_Billing!$E$20,CTR1_Local!$E564),'Local Data Previous Year'!$C$3:$D$20000,2,0),CTR1_Billing!$E$21&amp;"NEW"))</f>
        <v/>
      </c>
      <c r="C564" s="846">
        <v>532</v>
      </c>
      <c r="D564" s="755" t="str" cm="1">
        <f t="array" ref="D564">IF(ISERROR(INDEX('Local Data Previous Year'!$D$3:$D$20000,SMALL(IF(CTR1_Billing!$E$21='Local Data Previous Year'!$A$3:$A$20000,ROW('Local Data Previous Year'!$A$3:$A$20000)-ROW('Local Data Previous Year'!$A$3)+1),ROW(532:532)))),"",INDEX('Local Data Previous Year'!$D$3:$D$20000,SMALL(IF(CTR1_Billing!$E$21='Local Data Previous Year'!$A$3:$A$20000,ROW('Local Data Previous Year'!$A$3:$A$20000)-ROW('Local Data Previous Year'!$A$3)+1),ROW(532:532))))</f>
        <v/>
      </c>
      <c r="E564" s="755" t="str" cm="1">
        <f t="array" ref="E564">IF(ISERROR(INDEX('Local Data Previous Year'!$E$3:$E$20000,SMALL(IF(CTR1_Billing!$E$21='Local Data Previous Year'!$A$3:$A$20000,ROW('Local Data Previous Year'!$A$3:$A$20000)-ROW('Local Data Previous Year'!$A$3)+1),ROW(532:532)))),"",INDEX('Local Data Previous Year'!$E$3:$E$20000,SMALL(IF(CTR1_Billing!$E$21='Local Data Previous Year'!$A$3:$A$20000,ROW('Local Data Previous Year'!$A$3:$A$20000)-ROW('Local Data Previous Year'!$A$3)+1),ROW(532:532))))</f>
        <v/>
      </c>
      <c r="F564" s="756" t="str">
        <f>IF($D564="","",IF(ISNA(MATCH($D564,'Local Data Previous Year'!$D$3:$D$20000,0)),"New",IFERROR(VLOOKUP($B564,'Local Data Previous Year'!$D$3:$I$20000,6,0),"")))</f>
        <v/>
      </c>
      <c r="G564" s="757">
        <f t="shared" si="112"/>
        <v>0</v>
      </c>
      <c r="H564" s="758" t="str">
        <f>IFERROR(INDEX('Local Data Previous Year'!$F:$F, MATCH($D564, 'Local Data Previous Year'!$D:$D, 0)), "")</f>
        <v/>
      </c>
      <c r="I564" s="759">
        <f>IF(B564=CTR1_Billing!$E$21&amp;"NEW",1,0)</f>
        <v>0</v>
      </c>
      <c r="J564" s="760" t="str">
        <f>IFERROR(INDEX('Local Data Previous Year'!$G:$G, MATCH($D564, 'Local Data Previous Year'!$D:$D, 0)), "")</f>
        <v/>
      </c>
      <c r="K564" s="762"/>
      <c r="L564" s="760" t="str">
        <f>IFERROR(INDEX('Local Data Previous Year'!$H:$H, MATCH($D564, 'Local Data Previous Year'!$D:$D, 0)), "")</f>
        <v/>
      </c>
      <c r="M564" s="762"/>
      <c r="N564" s="763"/>
      <c r="O564" s="767"/>
      <c r="P564" s="765"/>
      <c r="Q564" s="767"/>
      <c r="R564" s="766" t="str">
        <f t="shared" si="113"/>
        <v/>
      </c>
      <c r="S564" s="754"/>
      <c r="T564" s="763"/>
      <c r="U564" s="754"/>
      <c r="V564" s="763"/>
      <c r="W564" s="763"/>
      <c r="X564" s="865" t="str">
        <f>VLOOKUP(CTR1_Billing!$E$21,Data!$C$6:$D$302,1,FALSE)</f>
        <v>EZZZZ</v>
      </c>
      <c r="Y564" s="205"/>
      <c r="Z564" s="205">
        <f t="shared" si="102"/>
        <v>0</v>
      </c>
      <c r="AA564" s="206" t="str">
        <f t="shared" si="101"/>
        <v/>
      </c>
      <c r="AB564" s="205">
        <f t="shared" si="103"/>
        <v>0</v>
      </c>
      <c r="AC564" s="208"/>
      <c r="AD564" s="208"/>
      <c r="AE564" s="208"/>
      <c r="AF564" s="208"/>
      <c r="AG564" s="209" t="str">
        <f>IFERROR(INDEX('Local Data Previous Year'!$F:$F, MATCH($D564, 'Local Data Previous Year'!$D:$D, 0)), "")</f>
        <v/>
      </c>
      <c r="AH564" s="209" t="str">
        <f>IFERROR(INDEX('Local Data Previous Year'!$G:$G, MATCH($D564, 'Local Data Previous Year'!$D:$D, 0)), "")</f>
        <v/>
      </c>
      <c r="AI564" s="209" t="str">
        <f>IFERROR(INDEX('Local Data Previous Year'!$H:$H, MATCH($D564, 'Local Data Previous Year'!$D:$D, 0)), "")</f>
        <v/>
      </c>
      <c r="AJ564" s="209" t="str">
        <f t="shared" si="104"/>
        <v/>
      </c>
      <c r="AK564" s="209" t="str">
        <f t="shared" si="105"/>
        <v/>
      </c>
      <c r="AL564" s="209" t="str">
        <f t="shared" si="106"/>
        <v/>
      </c>
      <c r="AM564" s="208" t="str">
        <f>IF($AN564="","",IFERROR(VLOOKUP(CONCATENATE(CTR1_Billing!$E$20,$AN564),'Local Data Previous Year'!$C$3:$D$50000,2,0),CTR1_Billing!$E$21&amp;"NEW"))</f>
        <v/>
      </c>
      <c r="AN564" s="209" t="str" cm="1">
        <f t="array" ref="AN564">IF(ISERROR(INDEX('Local Data Previous Year'!$E$3:$E$50000, SMALL(IF(CTR1_Billing!$E$21='Local Data Previous Year'!$A$3:$A$50000, ROW('Local Data Previous Year'!$A$3:$A$50000)-ROW('Local Data Previous Year'!$A$3)+1), ROW(532:532)))), "", INDEX('Local Data Previous Year'!$E$3:$E$50000, SMALL(IF(CTR1_Billing!$E$21='Local Data Previous Year'!$A$3:$A$50000, ROW('Local Data Previous Year'!$A$3:$A$50000)-ROW('Local Data Previous Year'!$A$3)+1), ROW(532:532))))</f>
        <v/>
      </c>
      <c r="AO564" s="209" t="str">
        <f t="shared" si="107"/>
        <v/>
      </c>
      <c r="AP564" s="208"/>
      <c r="AQ564" s="209" t="str">
        <f t="shared" si="108"/>
        <v/>
      </c>
      <c r="AR564" s="209" t="str">
        <f t="shared" si="109"/>
        <v/>
      </c>
      <c r="AS564" s="202" t="str">
        <f t="shared" si="110"/>
        <v/>
      </c>
      <c r="AT564" s="202" t="str">
        <f t="shared" si="111"/>
        <v/>
      </c>
      <c r="AU564" s="208"/>
      <c r="AV564" s="208"/>
      <c r="AW564" s="208"/>
      <c r="AX564" s="208"/>
      <c r="AY564" s="208"/>
      <c r="AZ564" s="208"/>
      <c r="BA564" s="208"/>
      <c r="BB564" s="208"/>
      <c r="BC564" s="208"/>
      <c r="BD564" s="208"/>
      <c r="BE564" s="208"/>
      <c r="BF564" s="208"/>
      <c r="BG564" s="28"/>
      <c r="BH564" s="28"/>
      <c r="BI564" s="28"/>
      <c r="BJ564" s="28"/>
    </row>
    <row r="565" spans="1:62" s="23" customFormat="1" ht="21" customHeight="1" thickBot="1" x14ac:dyDescent="0.25">
      <c r="A565" s="846" t="str">
        <f>IF($AN565="","",IFERROR(VLOOKUP(CONCATENATE(CTR1_Billing!$E$20,$AN565),'Local Data Previous Year'!$C$3:$D$20000,2,0),CTR1_Billing!$E$21&amp;"NEW"))</f>
        <v/>
      </c>
      <c r="B565" s="846" t="str">
        <f>IF($E565="","",IFERROR(VLOOKUP(CONCATENATE(CTR1_Billing!$E$20,CTR1_Local!$E565),'Local Data Previous Year'!$C$3:$D$20000,2,0),CTR1_Billing!$E$21&amp;"NEW"))</f>
        <v/>
      </c>
      <c r="C565" s="846">
        <v>533</v>
      </c>
      <c r="D565" s="755" t="str" cm="1">
        <f t="array" ref="D565">IF(ISERROR(INDEX('Local Data Previous Year'!$D$3:$D$20000,SMALL(IF(CTR1_Billing!$E$21='Local Data Previous Year'!$A$3:$A$20000,ROW('Local Data Previous Year'!$A$3:$A$20000)-ROW('Local Data Previous Year'!$A$3)+1),ROW(533:533)))),"",INDEX('Local Data Previous Year'!$D$3:$D$20000,SMALL(IF(CTR1_Billing!$E$21='Local Data Previous Year'!$A$3:$A$20000,ROW('Local Data Previous Year'!$A$3:$A$20000)-ROW('Local Data Previous Year'!$A$3)+1),ROW(533:533))))</f>
        <v/>
      </c>
      <c r="E565" s="755" t="str" cm="1">
        <f t="array" ref="E565">IF(ISERROR(INDEX('Local Data Previous Year'!$E$3:$E$20000,SMALL(IF(CTR1_Billing!$E$21='Local Data Previous Year'!$A$3:$A$20000,ROW('Local Data Previous Year'!$A$3:$A$20000)-ROW('Local Data Previous Year'!$A$3)+1),ROW(533:533)))),"",INDEX('Local Data Previous Year'!$E$3:$E$20000,SMALL(IF(CTR1_Billing!$E$21='Local Data Previous Year'!$A$3:$A$20000,ROW('Local Data Previous Year'!$A$3:$A$20000)-ROW('Local Data Previous Year'!$A$3)+1),ROW(533:533))))</f>
        <v/>
      </c>
      <c r="F565" s="756" t="str">
        <f>IF($D565="","",IF(ISNA(MATCH($D565,'Local Data Previous Year'!$D$3:$D$20000,0)),"New",IFERROR(VLOOKUP($B565,'Local Data Previous Year'!$D$3:$I$20000,6,0),"")))</f>
        <v/>
      </c>
      <c r="G565" s="757">
        <f t="shared" si="112"/>
        <v>0</v>
      </c>
      <c r="H565" s="758" t="str">
        <f>IFERROR(INDEX('Local Data Previous Year'!$F:$F, MATCH($D565, 'Local Data Previous Year'!$D:$D, 0)), "")</f>
        <v/>
      </c>
      <c r="I565" s="759">
        <f>IF(B565=CTR1_Billing!$E$21&amp;"NEW",1,0)</f>
        <v>0</v>
      </c>
      <c r="J565" s="760" t="str">
        <f>IFERROR(INDEX('Local Data Previous Year'!$G:$G, MATCH($D565, 'Local Data Previous Year'!$D:$D, 0)), "")</f>
        <v/>
      </c>
      <c r="K565" s="762"/>
      <c r="L565" s="760" t="str">
        <f>IFERROR(INDEX('Local Data Previous Year'!$H:$H, MATCH($D565, 'Local Data Previous Year'!$D:$D, 0)), "")</f>
        <v/>
      </c>
      <c r="M565" s="762"/>
      <c r="N565" s="763"/>
      <c r="O565" s="767"/>
      <c r="P565" s="765"/>
      <c r="Q565" s="767"/>
      <c r="R565" s="766" t="str">
        <f t="shared" si="113"/>
        <v/>
      </c>
      <c r="S565" s="754"/>
      <c r="T565" s="763"/>
      <c r="U565" s="754"/>
      <c r="V565" s="763"/>
      <c r="W565" s="763"/>
      <c r="X565" s="865" t="str">
        <f>VLOOKUP(CTR1_Billing!$E$21,Data!$C$6:$D$302,1,FALSE)</f>
        <v>EZZZZ</v>
      </c>
      <c r="Y565" s="205"/>
      <c r="Z565" s="205">
        <f t="shared" si="102"/>
        <v>0</v>
      </c>
      <c r="AA565" s="206" t="str">
        <f t="shared" si="101"/>
        <v/>
      </c>
      <c r="AB565" s="205">
        <f t="shared" si="103"/>
        <v>0</v>
      </c>
      <c r="AC565" s="208"/>
      <c r="AD565" s="208"/>
      <c r="AE565" s="208"/>
      <c r="AF565" s="208"/>
      <c r="AG565" s="209" t="str">
        <f>IFERROR(INDEX('Local Data Previous Year'!$F:$F, MATCH($D565, 'Local Data Previous Year'!$D:$D, 0)), "")</f>
        <v/>
      </c>
      <c r="AH565" s="209" t="str">
        <f>IFERROR(INDEX('Local Data Previous Year'!$G:$G, MATCH($D565, 'Local Data Previous Year'!$D:$D, 0)), "")</f>
        <v/>
      </c>
      <c r="AI565" s="209" t="str">
        <f>IFERROR(INDEX('Local Data Previous Year'!$H:$H, MATCH($D565, 'Local Data Previous Year'!$D:$D, 0)), "")</f>
        <v/>
      </c>
      <c r="AJ565" s="209" t="str">
        <f t="shared" si="104"/>
        <v/>
      </c>
      <c r="AK565" s="209" t="str">
        <f t="shared" si="105"/>
        <v/>
      </c>
      <c r="AL565" s="209" t="str">
        <f t="shared" si="106"/>
        <v/>
      </c>
      <c r="AM565" s="208" t="str">
        <f>IF($AN565="","",IFERROR(VLOOKUP(CONCATENATE(CTR1_Billing!$E$20,$AN565),'Local Data Previous Year'!$C$3:$D$50000,2,0),CTR1_Billing!$E$21&amp;"NEW"))</f>
        <v/>
      </c>
      <c r="AN565" s="209" t="str" cm="1">
        <f t="array" ref="AN565">IF(ISERROR(INDEX('Local Data Previous Year'!$E$3:$E$50000, SMALL(IF(CTR1_Billing!$E$21='Local Data Previous Year'!$A$3:$A$50000, ROW('Local Data Previous Year'!$A$3:$A$50000)-ROW('Local Data Previous Year'!$A$3)+1), ROW(533:533)))), "", INDEX('Local Data Previous Year'!$E$3:$E$50000, SMALL(IF(CTR1_Billing!$E$21='Local Data Previous Year'!$A$3:$A$50000, ROW('Local Data Previous Year'!$A$3:$A$50000)-ROW('Local Data Previous Year'!$A$3)+1), ROW(533:533))))</f>
        <v/>
      </c>
      <c r="AO565" s="209" t="str">
        <f t="shared" si="107"/>
        <v/>
      </c>
      <c r="AP565" s="208"/>
      <c r="AQ565" s="209" t="str">
        <f t="shared" si="108"/>
        <v/>
      </c>
      <c r="AR565" s="209" t="str">
        <f t="shared" si="109"/>
        <v/>
      </c>
      <c r="AS565" s="202" t="str">
        <f t="shared" si="110"/>
        <v/>
      </c>
      <c r="AT565" s="202" t="str">
        <f t="shared" si="111"/>
        <v/>
      </c>
      <c r="AU565" s="208"/>
      <c r="AV565" s="208"/>
      <c r="AW565" s="208"/>
      <c r="AX565" s="208"/>
      <c r="AY565" s="208"/>
      <c r="AZ565" s="208"/>
      <c r="BA565" s="208"/>
      <c r="BB565" s="208"/>
      <c r="BC565" s="208"/>
      <c r="BD565" s="208"/>
      <c r="BE565" s="208"/>
      <c r="BF565" s="208"/>
      <c r="BG565" s="28"/>
      <c r="BH565" s="28"/>
      <c r="BI565" s="28"/>
      <c r="BJ565" s="28"/>
    </row>
    <row r="566" spans="1:62" s="23" customFormat="1" ht="21" customHeight="1" thickBot="1" x14ac:dyDescent="0.25">
      <c r="A566" s="846" t="str">
        <f>IF($AN566="","",IFERROR(VLOOKUP(CONCATENATE(CTR1_Billing!$E$20,$AN566),'Local Data Previous Year'!$C$3:$D$20000,2,0),CTR1_Billing!$E$21&amp;"NEW"))</f>
        <v/>
      </c>
      <c r="B566" s="846" t="str">
        <f>IF($E566="","",IFERROR(VLOOKUP(CONCATENATE(CTR1_Billing!$E$20,CTR1_Local!$E566),'Local Data Previous Year'!$C$3:$D$20000,2,0),CTR1_Billing!$E$21&amp;"NEW"))</f>
        <v/>
      </c>
      <c r="C566" s="846">
        <v>534</v>
      </c>
      <c r="D566" s="755" t="str" cm="1">
        <f t="array" ref="D566">IF(ISERROR(INDEX('Local Data Previous Year'!$D$3:$D$20000,SMALL(IF(CTR1_Billing!$E$21='Local Data Previous Year'!$A$3:$A$20000,ROW('Local Data Previous Year'!$A$3:$A$20000)-ROW('Local Data Previous Year'!$A$3)+1),ROW(534:534)))),"",INDEX('Local Data Previous Year'!$D$3:$D$20000,SMALL(IF(CTR1_Billing!$E$21='Local Data Previous Year'!$A$3:$A$20000,ROW('Local Data Previous Year'!$A$3:$A$20000)-ROW('Local Data Previous Year'!$A$3)+1),ROW(534:534))))</f>
        <v/>
      </c>
      <c r="E566" s="755" t="str" cm="1">
        <f t="array" ref="E566">IF(ISERROR(INDEX('Local Data Previous Year'!$E$3:$E$20000,SMALL(IF(CTR1_Billing!$E$21='Local Data Previous Year'!$A$3:$A$20000,ROW('Local Data Previous Year'!$A$3:$A$20000)-ROW('Local Data Previous Year'!$A$3)+1),ROW(534:534)))),"",INDEX('Local Data Previous Year'!$E$3:$E$20000,SMALL(IF(CTR1_Billing!$E$21='Local Data Previous Year'!$A$3:$A$20000,ROW('Local Data Previous Year'!$A$3:$A$20000)-ROW('Local Data Previous Year'!$A$3)+1),ROW(534:534))))</f>
        <v/>
      </c>
      <c r="F566" s="756" t="str">
        <f>IF($D566="","",IF(ISNA(MATCH($D566,'Local Data Previous Year'!$D$3:$D$20000,0)),"New",IFERROR(VLOOKUP($B566,'Local Data Previous Year'!$D$3:$I$20000,6,0),"")))</f>
        <v/>
      </c>
      <c r="G566" s="757">
        <f t="shared" si="112"/>
        <v>0</v>
      </c>
      <c r="H566" s="758" t="str">
        <f>IFERROR(INDEX('Local Data Previous Year'!$F:$F, MATCH($D566, 'Local Data Previous Year'!$D:$D, 0)), "")</f>
        <v/>
      </c>
      <c r="I566" s="759">
        <f>IF(B566=CTR1_Billing!$E$21&amp;"NEW",1,0)</f>
        <v>0</v>
      </c>
      <c r="J566" s="760" t="str">
        <f>IFERROR(INDEX('Local Data Previous Year'!$G:$G, MATCH($D566, 'Local Data Previous Year'!$D:$D, 0)), "")</f>
        <v/>
      </c>
      <c r="K566" s="762"/>
      <c r="L566" s="760" t="str">
        <f>IFERROR(INDEX('Local Data Previous Year'!$H:$H, MATCH($D566, 'Local Data Previous Year'!$D:$D, 0)), "")</f>
        <v/>
      </c>
      <c r="M566" s="762"/>
      <c r="N566" s="763"/>
      <c r="O566" s="767"/>
      <c r="P566" s="765"/>
      <c r="Q566" s="767"/>
      <c r="R566" s="766" t="str">
        <f t="shared" si="113"/>
        <v/>
      </c>
      <c r="S566" s="754"/>
      <c r="T566" s="763"/>
      <c r="U566" s="754"/>
      <c r="V566" s="763"/>
      <c r="W566" s="763"/>
      <c r="X566" s="865" t="str">
        <f>VLOOKUP(CTR1_Billing!$E$21,Data!$C$6:$D$302,1,FALSE)</f>
        <v>EZZZZ</v>
      </c>
      <c r="Y566" s="205"/>
      <c r="Z566" s="205">
        <f t="shared" si="102"/>
        <v>0</v>
      </c>
      <c r="AA566" s="206" t="str">
        <f t="shared" si="101"/>
        <v/>
      </c>
      <c r="AB566" s="205">
        <f t="shared" si="103"/>
        <v>0</v>
      </c>
      <c r="AC566" s="208"/>
      <c r="AD566" s="208"/>
      <c r="AE566" s="208"/>
      <c r="AF566" s="208"/>
      <c r="AG566" s="209" t="str">
        <f>IFERROR(INDEX('Local Data Previous Year'!$F:$F, MATCH($D566, 'Local Data Previous Year'!$D:$D, 0)), "")</f>
        <v/>
      </c>
      <c r="AH566" s="209" t="str">
        <f>IFERROR(INDEX('Local Data Previous Year'!$G:$G, MATCH($D566, 'Local Data Previous Year'!$D:$D, 0)), "")</f>
        <v/>
      </c>
      <c r="AI566" s="209" t="str">
        <f>IFERROR(INDEX('Local Data Previous Year'!$H:$H, MATCH($D566, 'Local Data Previous Year'!$D:$D, 0)), "")</f>
        <v/>
      </c>
      <c r="AJ566" s="209" t="str">
        <f t="shared" si="104"/>
        <v/>
      </c>
      <c r="AK566" s="209" t="str">
        <f t="shared" si="105"/>
        <v/>
      </c>
      <c r="AL566" s="209" t="str">
        <f t="shared" si="106"/>
        <v/>
      </c>
      <c r="AM566" s="208" t="str">
        <f>IF($AN566="","",IFERROR(VLOOKUP(CONCATENATE(CTR1_Billing!$E$20,$AN566),'Local Data Previous Year'!$C$3:$D$50000,2,0),CTR1_Billing!$E$21&amp;"NEW"))</f>
        <v/>
      </c>
      <c r="AN566" s="209" t="str" cm="1">
        <f t="array" ref="AN566">IF(ISERROR(INDEX('Local Data Previous Year'!$E$3:$E$50000, SMALL(IF(CTR1_Billing!$E$21='Local Data Previous Year'!$A$3:$A$50000, ROW('Local Data Previous Year'!$A$3:$A$50000)-ROW('Local Data Previous Year'!$A$3)+1), ROW(534:534)))), "", INDEX('Local Data Previous Year'!$E$3:$E$50000, SMALL(IF(CTR1_Billing!$E$21='Local Data Previous Year'!$A$3:$A$50000, ROW('Local Data Previous Year'!$A$3:$A$50000)-ROW('Local Data Previous Year'!$A$3)+1), ROW(534:534))))</f>
        <v/>
      </c>
      <c r="AO566" s="209" t="str">
        <f t="shared" si="107"/>
        <v/>
      </c>
      <c r="AP566" s="208"/>
      <c r="AQ566" s="209" t="str">
        <f t="shared" si="108"/>
        <v/>
      </c>
      <c r="AR566" s="209" t="str">
        <f t="shared" si="109"/>
        <v/>
      </c>
      <c r="AS566" s="202" t="str">
        <f t="shared" si="110"/>
        <v/>
      </c>
      <c r="AT566" s="202" t="str">
        <f t="shared" si="111"/>
        <v/>
      </c>
      <c r="AU566" s="208"/>
      <c r="AV566" s="208"/>
      <c r="AW566" s="208"/>
      <c r="AX566" s="208"/>
      <c r="AY566" s="208"/>
      <c r="AZ566" s="208"/>
      <c r="BA566" s="208"/>
      <c r="BB566" s="208"/>
      <c r="BC566" s="208"/>
      <c r="BD566" s="208"/>
      <c r="BE566" s="208"/>
      <c r="BF566" s="208"/>
      <c r="BG566" s="28"/>
      <c r="BH566" s="28"/>
      <c r="BI566" s="28"/>
      <c r="BJ566" s="28"/>
    </row>
    <row r="567" spans="1:62" s="23" customFormat="1" ht="21" customHeight="1" thickBot="1" x14ac:dyDescent="0.25">
      <c r="A567" s="846" t="str">
        <f>IF($AN567="","",IFERROR(VLOOKUP(CONCATENATE(CTR1_Billing!$E$20,$AN567),'Local Data Previous Year'!$C$3:$D$20000,2,0),CTR1_Billing!$E$21&amp;"NEW"))</f>
        <v/>
      </c>
      <c r="B567" s="846" t="str">
        <f>IF($E567="","",IFERROR(VLOOKUP(CONCATENATE(CTR1_Billing!$E$20,CTR1_Local!$E567),'Local Data Previous Year'!$C$3:$D$20000,2,0),CTR1_Billing!$E$21&amp;"NEW"))</f>
        <v/>
      </c>
      <c r="C567" s="846">
        <v>535</v>
      </c>
      <c r="D567" s="755" t="str" cm="1">
        <f t="array" ref="D567">IF(ISERROR(INDEX('Local Data Previous Year'!$D$3:$D$20000,SMALL(IF(CTR1_Billing!$E$21='Local Data Previous Year'!$A$3:$A$20000,ROW('Local Data Previous Year'!$A$3:$A$20000)-ROW('Local Data Previous Year'!$A$3)+1),ROW(535:535)))),"",INDEX('Local Data Previous Year'!$D$3:$D$20000,SMALL(IF(CTR1_Billing!$E$21='Local Data Previous Year'!$A$3:$A$20000,ROW('Local Data Previous Year'!$A$3:$A$20000)-ROW('Local Data Previous Year'!$A$3)+1),ROW(535:535))))</f>
        <v/>
      </c>
      <c r="E567" s="755" t="str" cm="1">
        <f t="array" ref="E567">IF(ISERROR(INDEX('Local Data Previous Year'!$E$3:$E$20000,SMALL(IF(CTR1_Billing!$E$21='Local Data Previous Year'!$A$3:$A$20000,ROW('Local Data Previous Year'!$A$3:$A$20000)-ROW('Local Data Previous Year'!$A$3)+1),ROW(535:535)))),"",INDEX('Local Data Previous Year'!$E$3:$E$20000,SMALL(IF(CTR1_Billing!$E$21='Local Data Previous Year'!$A$3:$A$20000,ROW('Local Data Previous Year'!$A$3:$A$20000)-ROW('Local Data Previous Year'!$A$3)+1),ROW(535:535))))</f>
        <v/>
      </c>
      <c r="F567" s="756" t="str">
        <f>IF($D567="","",IF(ISNA(MATCH($D567,'Local Data Previous Year'!$D$3:$D$20000,0)),"New",IFERROR(VLOOKUP($B567,'Local Data Previous Year'!$D$3:$I$20000,6,0),"")))</f>
        <v/>
      </c>
      <c r="G567" s="757">
        <f t="shared" si="112"/>
        <v>0</v>
      </c>
      <c r="H567" s="758" t="str">
        <f>IFERROR(INDEX('Local Data Previous Year'!$F:$F, MATCH($D567, 'Local Data Previous Year'!$D:$D, 0)), "")</f>
        <v/>
      </c>
      <c r="I567" s="759">
        <f>IF(B567=CTR1_Billing!$E$21&amp;"NEW",1,0)</f>
        <v>0</v>
      </c>
      <c r="J567" s="760" t="str">
        <f>IFERROR(INDEX('Local Data Previous Year'!$G:$G, MATCH($D567, 'Local Data Previous Year'!$D:$D, 0)), "")</f>
        <v/>
      </c>
      <c r="K567" s="762"/>
      <c r="L567" s="760" t="str">
        <f>IFERROR(INDEX('Local Data Previous Year'!$H:$H, MATCH($D567, 'Local Data Previous Year'!$D:$D, 0)), "")</f>
        <v/>
      </c>
      <c r="M567" s="762"/>
      <c r="N567" s="763"/>
      <c r="O567" s="767"/>
      <c r="P567" s="765"/>
      <c r="Q567" s="767"/>
      <c r="R567" s="766" t="str">
        <f t="shared" si="113"/>
        <v/>
      </c>
      <c r="S567" s="754"/>
      <c r="T567" s="763"/>
      <c r="U567" s="754"/>
      <c r="V567" s="763"/>
      <c r="W567" s="763"/>
      <c r="X567" s="865" t="str">
        <f>VLOOKUP(CTR1_Billing!$E$21,Data!$C$6:$D$302,1,FALSE)</f>
        <v>EZZZZ</v>
      </c>
      <c r="Y567" s="205"/>
      <c r="Z567" s="205">
        <f t="shared" si="102"/>
        <v>0</v>
      </c>
      <c r="AA567" s="206" t="str">
        <f t="shared" si="101"/>
        <v/>
      </c>
      <c r="AB567" s="205">
        <f t="shared" si="103"/>
        <v>0</v>
      </c>
      <c r="AC567" s="208"/>
      <c r="AD567" s="208"/>
      <c r="AE567" s="208"/>
      <c r="AF567" s="208"/>
      <c r="AG567" s="209" t="str">
        <f>IFERROR(INDEX('Local Data Previous Year'!$F:$F, MATCH($D567, 'Local Data Previous Year'!$D:$D, 0)), "")</f>
        <v/>
      </c>
      <c r="AH567" s="209" t="str">
        <f>IFERROR(INDEX('Local Data Previous Year'!$G:$G, MATCH($D567, 'Local Data Previous Year'!$D:$D, 0)), "")</f>
        <v/>
      </c>
      <c r="AI567" s="209" t="str">
        <f>IFERROR(INDEX('Local Data Previous Year'!$H:$H, MATCH($D567, 'Local Data Previous Year'!$D:$D, 0)), "")</f>
        <v/>
      </c>
      <c r="AJ567" s="209" t="str">
        <f t="shared" si="104"/>
        <v/>
      </c>
      <c r="AK567" s="209" t="str">
        <f t="shared" si="105"/>
        <v/>
      </c>
      <c r="AL567" s="209" t="str">
        <f t="shared" si="106"/>
        <v/>
      </c>
      <c r="AM567" s="208" t="str">
        <f>IF($AN567="","",IFERROR(VLOOKUP(CONCATENATE(CTR1_Billing!$E$20,$AN567),'Local Data Previous Year'!$C$3:$D$50000,2,0),CTR1_Billing!$E$21&amp;"NEW"))</f>
        <v/>
      </c>
      <c r="AN567" s="209" t="str" cm="1">
        <f t="array" ref="AN567">IF(ISERROR(INDEX('Local Data Previous Year'!$E$3:$E$50000, SMALL(IF(CTR1_Billing!$E$21='Local Data Previous Year'!$A$3:$A$50000, ROW('Local Data Previous Year'!$A$3:$A$50000)-ROW('Local Data Previous Year'!$A$3)+1), ROW(535:535)))), "", INDEX('Local Data Previous Year'!$E$3:$E$50000, SMALL(IF(CTR1_Billing!$E$21='Local Data Previous Year'!$A$3:$A$50000, ROW('Local Data Previous Year'!$A$3:$A$50000)-ROW('Local Data Previous Year'!$A$3)+1), ROW(535:535))))</f>
        <v/>
      </c>
      <c r="AO567" s="209" t="str">
        <f t="shared" si="107"/>
        <v/>
      </c>
      <c r="AP567" s="208"/>
      <c r="AQ567" s="209" t="str">
        <f t="shared" si="108"/>
        <v/>
      </c>
      <c r="AR567" s="209" t="str">
        <f t="shared" si="109"/>
        <v/>
      </c>
      <c r="AS567" s="202" t="str">
        <f t="shared" si="110"/>
        <v/>
      </c>
      <c r="AT567" s="202" t="str">
        <f t="shared" si="111"/>
        <v/>
      </c>
      <c r="AU567" s="208"/>
      <c r="AV567" s="208"/>
      <c r="AW567" s="208"/>
      <c r="AX567" s="208"/>
      <c r="AY567" s="208"/>
      <c r="AZ567" s="208"/>
      <c r="BA567" s="208"/>
      <c r="BB567" s="208"/>
      <c r="BC567" s="208"/>
      <c r="BD567" s="208"/>
      <c r="BE567" s="208"/>
      <c r="BF567" s="208"/>
      <c r="BG567" s="28"/>
      <c r="BH567" s="28"/>
      <c r="BI567" s="28"/>
      <c r="BJ567" s="28"/>
    </row>
    <row r="568" spans="1:62" s="23" customFormat="1" ht="21" customHeight="1" thickBot="1" x14ac:dyDescent="0.25">
      <c r="A568" s="846" t="str">
        <f>IF($AN568="","",IFERROR(VLOOKUP(CONCATENATE(CTR1_Billing!$E$20,$AN568),'Local Data Previous Year'!$C$3:$D$20000,2,0),CTR1_Billing!$E$21&amp;"NEW"))</f>
        <v/>
      </c>
      <c r="B568" s="846" t="str">
        <f>IF($E568="","",IFERROR(VLOOKUP(CONCATENATE(CTR1_Billing!$E$20,CTR1_Local!$E568),'Local Data Previous Year'!$C$3:$D$20000,2,0),CTR1_Billing!$E$21&amp;"NEW"))</f>
        <v/>
      </c>
      <c r="C568" s="846">
        <v>536</v>
      </c>
      <c r="D568" s="755" t="str" cm="1">
        <f t="array" ref="D568">IF(ISERROR(INDEX('Local Data Previous Year'!$D$3:$D$20000,SMALL(IF(CTR1_Billing!$E$21='Local Data Previous Year'!$A$3:$A$20000,ROW('Local Data Previous Year'!$A$3:$A$20000)-ROW('Local Data Previous Year'!$A$3)+1),ROW(536:536)))),"",INDEX('Local Data Previous Year'!$D$3:$D$20000,SMALL(IF(CTR1_Billing!$E$21='Local Data Previous Year'!$A$3:$A$20000,ROW('Local Data Previous Year'!$A$3:$A$20000)-ROW('Local Data Previous Year'!$A$3)+1),ROW(536:536))))</f>
        <v/>
      </c>
      <c r="E568" s="755" t="str" cm="1">
        <f t="array" ref="E568">IF(ISERROR(INDEX('Local Data Previous Year'!$E$3:$E$20000,SMALL(IF(CTR1_Billing!$E$21='Local Data Previous Year'!$A$3:$A$20000,ROW('Local Data Previous Year'!$A$3:$A$20000)-ROW('Local Data Previous Year'!$A$3)+1),ROW(536:536)))),"",INDEX('Local Data Previous Year'!$E$3:$E$20000,SMALL(IF(CTR1_Billing!$E$21='Local Data Previous Year'!$A$3:$A$20000,ROW('Local Data Previous Year'!$A$3:$A$20000)-ROW('Local Data Previous Year'!$A$3)+1),ROW(536:536))))</f>
        <v/>
      </c>
      <c r="F568" s="756" t="str">
        <f>IF($D568="","",IF(ISNA(MATCH($D568,'Local Data Previous Year'!$D$3:$D$20000,0)),"New",IFERROR(VLOOKUP($B568,'Local Data Previous Year'!$D$3:$I$20000,6,0),"")))</f>
        <v/>
      </c>
      <c r="G568" s="757">
        <f t="shared" si="112"/>
        <v>0</v>
      </c>
      <c r="H568" s="758" t="str">
        <f>IFERROR(INDEX('Local Data Previous Year'!$F:$F, MATCH($D568, 'Local Data Previous Year'!$D:$D, 0)), "")</f>
        <v/>
      </c>
      <c r="I568" s="759">
        <f>IF(B568=CTR1_Billing!$E$21&amp;"NEW",1,0)</f>
        <v>0</v>
      </c>
      <c r="J568" s="760" t="str">
        <f>IFERROR(INDEX('Local Data Previous Year'!$G:$G, MATCH($D568, 'Local Data Previous Year'!$D:$D, 0)), "")</f>
        <v/>
      </c>
      <c r="K568" s="762"/>
      <c r="L568" s="760" t="str">
        <f>IFERROR(INDEX('Local Data Previous Year'!$H:$H, MATCH($D568, 'Local Data Previous Year'!$D:$D, 0)), "")</f>
        <v/>
      </c>
      <c r="M568" s="762"/>
      <c r="N568" s="763"/>
      <c r="O568" s="767"/>
      <c r="P568" s="765"/>
      <c r="Q568" s="767"/>
      <c r="R568" s="766" t="str">
        <f t="shared" si="113"/>
        <v/>
      </c>
      <c r="S568" s="754"/>
      <c r="T568" s="763"/>
      <c r="U568" s="754"/>
      <c r="V568" s="763"/>
      <c r="W568" s="763"/>
      <c r="X568" s="865" t="str">
        <f>VLOOKUP(CTR1_Billing!$E$21,Data!$C$6:$D$302,1,FALSE)</f>
        <v>EZZZZ</v>
      </c>
      <c r="Y568" s="205"/>
      <c r="Z568" s="205">
        <f t="shared" si="102"/>
        <v>0</v>
      </c>
      <c r="AA568" s="206" t="str">
        <f t="shared" si="101"/>
        <v/>
      </c>
      <c r="AB568" s="205">
        <f t="shared" si="103"/>
        <v>0</v>
      </c>
      <c r="AC568" s="208"/>
      <c r="AD568" s="208"/>
      <c r="AE568" s="208"/>
      <c r="AF568" s="208"/>
      <c r="AG568" s="209" t="str">
        <f>IFERROR(INDEX('Local Data Previous Year'!$F:$F, MATCH($D568, 'Local Data Previous Year'!$D:$D, 0)), "")</f>
        <v/>
      </c>
      <c r="AH568" s="209" t="str">
        <f>IFERROR(INDEX('Local Data Previous Year'!$G:$G, MATCH($D568, 'Local Data Previous Year'!$D:$D, 0)), "")</f>
        <v/>
      </c>
      <c r="AI568" s="209" t="str">
        <f>IFERROR(INDEX('Local Data Previous Year'!$H:$H, MATCH($D568, 'Local Data Previous Year'!$D:$D, 0)), "")</f>
        <v/>
      </c>
      <c r="AJ568" s="209" t="str">
        <f t="shared" si="104"/>
        <v/>
      </c>
      <c r="AK568" s="209" t="str">
        <f t="shared" si="105"/>
        <v/>
      </c>
      <c r="AL568" s="209" t="str">
        <f t="shared" si="106"/>
        <v/>
      </c>
      <c r="AM568" s="208" t="str">
        <f>IF($AN568="","",IFERROR(VLOOKUP(CONCATENATE(CTR1_Billing!$E$20,$AN568),'Local Data Previous Year'!$C$3:$D$50000,2,0),CTR1_Billing!$E$21&amp;"NEW"))</f>
        <v/>
      </c>
      <c r="AN568" s="209" t="str" cm="1">
        <f t="array" ref="AN568">IF(ISERROR(INDEX('Local Data Previous Year'!$E$3:$E$50000, SMALL(IF(CTR1_Billing!$E$21='Local Data Previous Year'!$A$3:$A$50000, ROW('Local Data Previous Year'!$A$3:$A$50000)-ROW('Local Data Previous Year'!$A$3)+1), ROW(536:536)))), "", INDEX('Local Data Previous Year'!$E$3:$E$50000, SMALL(IF(CTR1_Billing!$E$21='Local Data Previous Year'!$A$3:$A$50000, ROW('Local Data Previous Year'!$A$3:$A$50000)-ROW('Local Data Previous Year'!$A$3)+1), ROW(536:536))))</f>
        <v/>
      </c>
      <c r="AO568" s="209" t="str">
        <f t="shared" si="107"/>
        <v/>
      </c>
      <c r="AP568" s="208"/>
      <c r="AQ568" s="209" t="str">
        <f t="shared" si="108"/>
        <v/>
      </c>
      <c r="AR568" s="209" t="str">
        <f t="shared" si="109"/>
        <v/>
      </c>
      <c r="AS568" s="202" t="str">
        <f t="shared" si="110"/>
        <v/>
      </c>
      <c r="AT568" s="202" t="str">
        <f t="shared" si="111"/>
        <v/>
      </c>
      <c r="AU568" s="208"/>
      <c r="AV568" s="208"/>
      <c r="AW568" s="208"/>
      <c r="AX568" s="208"/>
      <c r="AY568" s="208"/>
      <c r="AZ568" s="208"/>
      <c r="BA568" s="208"/>
      <c r="BB568" s="208"/>
      <c r="BC568" s="208"/>
      <c r="BD568" s="208"/>
      <c r="BE568" s="208"/>
      <c r="BF568" s="208"/>
      <c r="BG568" s="28"/>
      <c r="BH568" s="28"/>
      <c r="BI568" s="28"/>
      <c r="BJ568" s="28"/>
    </row>
    <row r="569" spans="1:62" s="23" customFormat="1" ht="21" customHeight="1" thickBot="1" x14ac:dyDescent="0.25">
      <c r="A569" s="846" t="str">
        <f>IF($AN569="","",IFERROR(VLOOKUP(CONCATENATE(CTR1_Billing!$E$20,$AN569),'Local Data Previous Year'!$C$3:$D$20000,2,0),CTR1_Billing!$E$21&amp;"NEW"))</f>
        <v/>
      </c>
      <c r="B569" s="846" t="str">
        <f>IF($E569="","",IFERROR(VLOOKUP(CONCATENATE(CTR1_Billing!$E$20,CTR1_Local!$E569),'Local Data Previous Year'!$C$3:$D$20000,2,0),CTR1_Billing!$E$21&amp;"NEW"))</f>
        <v/>
      </c>
      <c r="C569" s="846">
        <v>537</v>
      </c>
      <c r="D569" s="755" t="str" cm="1">
        <f t="array" ref="D569">IF(ISERROR(INDEX('Local Data Previous Year'!$D$3:$D$20000,SMALL(IF(CTR1_Billing!$E$21='Local Data Previous Year'!$A$3:$A$20000,ROW('Local Data Previous Year'!$A$3:$A$20000)-ROW('Local Data Previous Year'!$A$3)+1),ROW(537:537)))),"",INDEX('Local Data Previous Year'!$D$3:$D$20000,SMALL(IF(CTR1_Billing!$E$21='Local Data Previous Year'!$A$3:$A$20000,ROW('Local Data Previous Year'!$A$3:$A$20000)-ROW('Local Data Previous Year'!$A$3)+1),ROW(537:537))))</f>
        <v/>
      </c>
      <c r="E569" s="755" t="str" cm="1">
        <f t="array" ref="E569">IF(ISERROR(INDEX('Local Data Previous Year'!$E$3:$E$20000,SMALL(IF(CTR1_Billing!$E$21='Local Data Previous Year'!$A$3:$A$20000,ROW('Local Data Previous Year'!$A$3:$A$20000)-ROW('Local Data Previous Year'!$A$3)+1),ROW(537:537)))),"",INDEX('Local Data Previous Year'!$E$3:$E$20000,SMALL(IF(CTR1_Billing!$E$21='Local Data Previous Year'!$A$3:$A$20000,ROW('Local Data Previous Year'!$A$3:$A$20000)-ROW('Local Data Previous Year'!$A$3)+1),ROW(537:537))))</f>
        <v/>
      </c>
      <c r="F569" s="756" t="str">
        <f>IF($D569="","",IF(ISNA(MATCH($D569,'Local Data Previous Year'!$D$3:$D$20000,0)),"New",IFERROR(VLOOKUP($B569,'Local Data Previous Year'!$D$3:$I$20000,6,0),"")))</f>
        <v/>
      </c>
      <c r="G569" s="757">
        <f t="shared" si="112"/>
        <v>0</v>
      </c>
      <c r="H569" s="758" t="str">
        <f>IFERROR(INDEX('Local Data Previous Year'!$F:$F, MATCH($D569, 'Local Data Previous Year'!$D:$D, 0)), "")</f>
        <v/>
      </c>
      <c r="I569" s="759">
        <f>IF(B569=CTR1_Billing!$E$21&amp;"NEW",1,0)</f>
        <v>0</v>
      </c>
      <c r="J569" s="760" t="str">
        <f>IFERROR(INDEX('Local Data Previous Year'!$G:$G, MATCH($D569, 'Local Data Previous Year'!$D:$D, 0)), "")</f>
        <v/>
      </c>
      <c r="K569" s="762"/>
      <c r="L569" s="760" t="str">
        <f>IFERROR(INDEX('Local Data Previous Year'!$H:$H, MATCH($D569, 'Local Data Previous Year'!$D:$D, 0)), "")</f>
        <v/>
      </c>
      <c r="M569" s="762"/>
      <c r="N569" s="763"/>
      <c r="O569" s="767"/>
      <c r="P569" s="765"/>
      <c r="Q569" s="767"/>
      <c r="R569" s="766" t="str">
        <f t="shared" si="113"/>
        <v/>
      </c>
      <c r="S569" s="754"/>
      <c r="T569" s="763"/>
      <c r="U569" s="754"/>
      <c r="V569" s="763"/>
      <c r="W569" s="763"/>
      <c r="X569" s="865" t="str">
        <f>VLOOKUP(CTR1_Billing!$E$21,Data!$C$6:$D$302,1,FALSE)</f>
        <v>EZZZZ</v>
      </c>
      <c r="Y569" s="205"/>
      <c r="Z569" s="205">
        <f t="shared" si="102"/>
        <v>0</v>
      </c>
      <c r="AA569" s="206" t="str">
        <f t="shared" si="101"/>
        <v/>
      </c>
      <c r="AB569" s="205">
        <f t="shared" si="103"/>
        <v>0</v>
      </c>
      <c r="AC569" s="208"/>
      <c r="AD569" s="208"/>
      <c r="AE569" s="208"/>
      <c r="AF569" s="208"/>
      <c r="AG569" s="209" t="str">
        <f>IFERROR(INDEX('Local Data Previous Year'!$F:$F, MATCH($D569, 'Local Data Previous Year'!$D:$D, 0)), "")</f>
        <v/>
      </c>
      <c r="AH569" s="209" t="str">
        <f>IFERROR(INDEX('Local Data Previous Year'!$G:$G, MATCH($D569, 'Local Data Previous Year'!$D:$D, 0)), "")</f>
        <v/>
      </c>
      <c r="AI569" s="209" t="str">
        <f>IFERROR(INDEX('Local Data Previous Year'!$H:$H, MATCH($D569, 'Local Data Previous Year'!$D:$D, 0)), "")</f>
        <v/>
      </c>
      <c r="AJ569" s="209" t="str">
        <f t="shared" si="104"/>
        <v/>
      </c>
      <c r="AK569" s="209" t="str">
        <f t="shared" si="105"/>
        <v/>
      </c>
      <c r="AL569" s="209" t="str">
        <f t="shared" si="106"/>
        <v/>
      </c>
      <c r="AM569" s="208" t="str">
        <f>IF($AN569="","",IFERROR(VLOOKUP(CONCATENATE(CTR1_Billing!$E$20,$AN569),'Local Data Previous Year'!$C$3:$D$50000,2,0),CTR1_Billing!$E$21&amp;"NEW"))</f>
        <v/>
      </c>
      <c r="AN569" s="209" t="str" cm="1">
        <f t="array" ref="AN569">IF(ISERROR(INDEX('Local Data Previous Year'!$E$3:$E$50000, SMALL(IF(CTR1_Billing!$E$21='Local Data Previous Year'!$A$3:$A$50000, ROW('Local Data Previous Year'!$A$3:$A$50000)-ROW('Local Data Previous Year'!$A$3)+1), ROW(537:537)))), "", INDEX('Local Data Previous Year'!$E$3:$E$50000, SMALL(IF(CTR1_Billing!$E$21='Local Data Previous Year'!$A$3:$A$50000, ROW('Local Data Previous Year'!$A$3:$A$50000)-ROW('Local Data Previous Year'!$A$3)+1), ROW(537:537))))</f>
        <v/>
      </c>
      <c r="AO569" s="209" t="str">
        <f t="shared" si="107"/>
        <v/>
      </c>
      <c r="AP569" s="208"/>
      <c r="AQ569" s="209" t="str">
        <f t="shared" si="108"/>
        <v/>
      </c>
      <c r="AR569" s="209" t="str">
        <f t="shared" si="109"/>
        <v/>
      </c>
      <c r="AS569" s="202" t="str">
        <f t="shared" si="110"/>
        <v/>
      </c>
      <c r="AT569" s="202" t="str">
        <f t="shared" si="111"/>
        <v/>
      </c>
      <c r="AU569" s="208"/>
      <c r="AV569" s="208"/>
      <c r="AW569" s="208"/>
      <c r="AX569" s="208"/>
      <c r="AY569" s="208"/>
      <c r="AZ569" s="208"/>
      <c r="BA569" s="208"/>
      <c r="BB569" s="208"/>
      <c r="BC569" s="208"/>
      <c r="BD569" s="208"/>
      <c r="BE569" s="208"/>
      <c r="BF569" s="208"/>
      <c r="BG569" s="28"/>
      <c r="BH569" s="28"/>
      <c r="BI569" s="28"/>
      <c r="BJ569" s="28"/>
    </row>
    <row r="570" spans="1:62" s="23" customFormat="1" ht="21" customHeight="1" thickBot="1" x14ac:dyDescent="0.25">
      <c r="A570" s="846" t="str">
        <f>IF($AN570="","",IFERROR(VLOOKUP(CONCATENATE(CTR1_Billing!$E$20,$AN570),'Local Data Previous Year'!$C$3:$D$20000,2,0),CTR1_Billing!$E$21&amp;"NEW"))</f>
        <v/>
      </c>
      <c r="B570" s="846" t="str">
        <f>IF($E570="","",IFERROR(VLOOKUP(CONCATENATE(CTR1_Billing!$E$20,CTR1_Local!$E570),'Local Data Previous Year'!$C$3:$D$20000,2,0),CTR1_Billing!$E$21&amp;"NEW"))</f>
        <v/>
      </c>
      <c r="C570" s="846">
        <v>538</v>
      </c>
      <c r="D570" s="755" t="str" cm="1">
        <f t="array" ref="D570">IF(ISERROR(INDEX('Local Data Previous Year'!$D$3:$D$20000,SMALL(IF(CTR1_Billing!$E$21='Local Data Previous Year'!$A$3:$A$20000,ROW('Local Data Previous Year'!$A$3:$A$20000)-ROW('Local Data Previous Year'!$A$3)+1),ROW(538:538)))),"",INDEX('Local Data Previous Year'!$D$3:$D$20000,SMALL(IF(CTR1_Billing!$E$21='Local Data Previous Year'!$A$3:$A$20000,ROW('Local Data Previous Year'!$A$3:$A$20000)-ROW('Local Data Previous Year'!$A$3)+1),ROW(538:538))))</f>
        <v/>
      </c>
      <c r="E570" s="755" t="str" cm="1">
        <f t="array" ref="E570">IF(ISERROR(INDEX('Local Data Previous Year'!$E$3:$E$20000,SMALL(IF(CTR1_Billing!$E$21='Local Data Previous Year'!$A$3:$A$20000,ROW('Local Data Previous Year'!$A$3:$A$20000)-ROW('Local Data Previous Year'!$A$3)+1),ROW(538:538)))),"",INDEX('Local Data Previous Year'!$E$3:$E$20000,SMALL(IF(CTR1_Billing!$E$21='Local Data Previous Year'!$A$3:$A$20000,ROW('Local Data Previous Year'!$A$3:$A$20000)-ROW('Local Data Previous Year'!$A$3)+1),ROW(538:538))))</f>
        <v/>
      </c>
      <c r="F570" s="756" t="str">
        <f>IF($D570="","",IF(ISNA(MATCH($D570,'Local Data Previous Year'!$D$3:$D$20000,0)),"New",IFERROR(VLOOKUP($B570,'Local Data Previous Year'!$D$3:$I$20000,6,0),"")))</f>
        <v/>
      </c>
      <c r="G570" s="757">
        <f t="shared" si="112"/>
        <v>0</v>
      </c>
      <c r="H570" s="758" t="str">
        <f>IFERROR(INDEX('Local Data Previous Year'!$F:$F, MATCH($D570, 'Local Data Previous Year'!$D:$D, 0)), "")</f>
        <v/>
      </c>
      <c r="I570" s="759">
        <f>IF(B570=CTR1_Billing!$E$21&amp;"NEW",1,0)</f>
        <v>0</v>
      </c>
      <c r="J570" s="760" t="str">
        <f>IFERROR(INDEX('Local Data Previous Year'!$G:$G, MATCH($D570, 'Local Data Previous Year'!$D:$D, 0)), "")</f>
        <v/>
      </c>
      <c r="K570" s="762"/>
      <c r="L570" s="760" t="str">
        <f>IFERROR(INDEX('Local Data Previous Year'!$H:$H, MATCH($D570, 'Local Data Previous Year'!$D:$D, 0)), "")</f>
        <v/>
      </c>
      <c r="M570" s="762"/>
      <c r="N570" s="763"/>
      <c r="O570" s="767"/>
      <c r="P570" s="765"/>
      <c r="Q570" s="767"/>
      <c r="R570" s="766" t="str">
        <f t="shared" si="113"/>
        <v/>
      </c>
      <c r="S570" s="754"/>
      <c r="T570" s="763"/>
      <c r="U570" s="754"/>
      <c r="V570" s="763"/>
      <c r="W570" s="763"/>
      <c r="X570" s="865" t="str">
        <f>VLOOKUP(CTR1_Billing!$E$21,Data!$C$6:$D$302,1,FALSE)</f>
        <v>EZZZZ</v>
      </c>
      <c r="Y570" s="205"/>
      <c r="Z570" s="205">
        <f t="shared" si="102"/>
        <v>0</v>
      </c>
      <c r="AA570" s="206" t="str">
        <f t="shared" si="101"/>
        <v/>
      </c>
      <c r="AB570" s="205">
        <f t="shared" si="103"/>
        <v>0</v>
      </c>
      <c r="AC570" s="208"/>
      <c r="AD570" s="208"/>
      <c r="AE570" s="208"/>
      <c r="AF570" s="208"/>
      <c r="AG570" s="209" t="str">
        <f>IFERROR(INDEX('Local Data Previous Year'!$F:$F, MATCH($D570, 'Local Data Previous Year'!$D:$D, 0)), "")</f>
        <v/>
      </c>
      <c r="AH570" s="209" t="str">
        <f>IFERROR(INDEX('Local Data Previous Year'!$G:$G, MATCH($D570, 'Local Data Previous Year'!$D:$D, 0)), "")</f>
        <v/>
      </c>
      <c r="AI570" s="209" t="str">
        <f>IFERROR(INDEX('Local Data Previous Year'!$H:$H, MATCH($D570, 'Local Data Previous Year'!$D:$D, 0)), "")</f>
        <v/>
      </c>
      <c r="AJ570" s="209" t="str">
        <f t="shared" si="104"/>
        <v/>
      </c>
      <c r="AK570" s="209" t="str">
        <f t="shared" si="105"/>
        <v/>
      </c>
      <c r="AL570" s="209" t="str">
        <f t="shared" si="106"/>
        <v/>
      </c>
      <c r="AM570" s="208" t="str">
        <f>IF($AN570="","",IFERROR(VLOOKUP(CONCATENATE(CTR1_Billing!$E$20,$AN570),'Local Data Previous Year'!$C$3:$D$50000,2,0),CTR1_Billing!$E$21&amp;"NEW"))</f>
        <v/>
      </c>
      <c r="AN570" s="209" t="str" cm="1">
        <f t="array" ref="AN570">IF(ISERROR(INDEX('Local Data Previous Year'!$E$3:$E$50000, SMALL(IF(CTR1_Billing!$E$21='Local Data Previous Year'!$A$3:$A$50000, ROW('Local Data Previous Year'!$A$3:$A$50000)-ROW('Local Data Previous Year'!$A$3)+1), ROW(538:538)))), "", INDEX('Local Data Previous Year'!$E$3:$E$50000, SMALL(IF(CTR1_Billing!$E$21='Local Data Previous Year'!$A$3:$A$50000, ROW('Local Data Previous Year'!$A$3:$A$50000)-ROW('Local Data Previous Year'!$A$3)+1), ROW(538:538))))</f>
        <v/>
      </c>
      <c r="AO570" s="209" t="str">
        <f t="shared" si="107"/>
        <v/>
      </c>
      <c r="AP570" s="208"/>
      <c r="AQ570" s="209" t="str">
        <f t="shared" si="108"/>
        <v/>
      </c>
      <c r="AR570" s="209" t="str">
        <f t="shared" si="109"/>
        <v/>
      </c>
      <c r="AS570" s="202" t="str">
        <f t="shared" si="110"/>
        <v/>
      </c>
      <c r="AT570" s="202" t="str">
        <f t="shared" si="111"/>
        <v/>
      </c>
      <c r="AU570" s="208"/>
      <c r="AV570" s="208"/>
      <c r="AW570" s="208"/>
      <c r="AX570" s="208"/>
      <c r="AY570" s="208"/>
      <c r="AZ570" s="208"/>
      <c r="BA570" s="208"/>
      <c r="BB570" s="208"/>
      <c r="BC570" s="208"/>
      <c r="BD570" s="208"/>
      <c r="BE570" s="208"/>
      <c r="BF570" s="208"/>
      <c r="BG570" s="28"/>
      <c r="BH570" s="28"/>
      <c r="BI570" s="28"/>
      <c r="BJ570" s="28"/>
    </row>
    <row r="571" spans="1:62" s="23" customFormat="1" ht="21" customHeight="1" thickBot="1" x14ac:dyDescent="0.25">
      <c r="A571" s="846" t="str">
        <f>IF($AN571="","",IFERROR(VLOOKUP(CONCATENATE(CTR1_Billing!$E$20,$AN571),'Local Data Previous Year'!$C$3:$D$20000,2,0),CTR1_Billing!$E$21&amp;"NEW"))</f>
        <v/>
      </c>
      <c r="B571" s="846" t="str">
        <f>IF($E571="","",IFERROR(VLOOKUP(CONCATENATE(CTR1_Billing!$E$20,CTR1_Local!$E571),'Local Data Previous Year'!$C$3:$D$20000,2,0),CTR1_Billing!$E$21&amp;"NEW"))</f>
        <v/>
      </c>
      <c r="C571" s="846">
        <v>539</v>
      </c>
      <c r="D571" s="755" t="str" cm="1">
        <f t="array" ref="D571">IF(ISERROR(INDEX('Local Data Previous Year'!$D$3:$D$20000,SMALL(IF(CTR1_Billing!$E$21='Local Data Previous Year'!$A$3:$A$20000,ROW('Local Data Previous Year'!$A$3:$A$20000)-ROW('Local Data Previous Year'!$A$3)+1),ROW(539:539)))),"",INDEX('Local Data Previous Year'!$D$3:$D$20000,SMALL(IF(CTR1_Billing!$E$21='Local Data Previous Year'!$A$3:$A$20000,ROW('Local Data Previous Year'!$A$3:$A$20000)-ROW('Local Data Previous Year'!$A$3)+1),ROW(539:539))))</f>
        <v/>
      </c>
      <c r="E571" s="755" t="str" cm="1">
        <f t="array" ref="E571">IF(ISERROR(INDEX('Local Data Previous Year'!$E$3:$E$20000,SMALL(IF(CTR1_Billing!$E$21='Local Data Previous Year'!$A$3:$A$20000,ROW('Local Data Previous Year'!$A$3:$A$20000)-ROW('Local Data Previous Year'!$A$3)+1),ROW(539:539)))),"",INDEX('Local Data Previous Year'!$E$3:$E$20000,SMALL(IF(CTR1_Billing!$E$21='Local Data Previous Year'!$A$3:$A$20000,ROW('Local Data Previous Year'!$A$3:$A$20000)-ROW('Local Data Previous Year'!$A$3)+1),ROW(539:539))))</f>
        <v/>
      </c>
      <c r="F571" s="756" t="str">
        <f>IF($D571="","",IF(ISNA(MATCH($D571,'Local Data Previous Year'!$D$3:$D$20000,0)),"New",IFERROR(VLOOKUP($B571,'Local Data Previous Year'!$D$3:$I$20000,6,0),"")))</f>
        <v/>
      </c>
      <c r="G571" s="757">
        <f t="shared" si="112"/>
        <v>0</v>
      </c>
      <c r="H571" s="758" t="str">
        <f>IFERROR(INDEX('Local Data Previous Year'!$F:$F, MATCH($D571, 'Local Data Previous Year'!$D:$D, 0)), "")</f>
        <v/>
      </c>
      <c r="I571" s="759">
        <f>IF(B571=CTR1_Billing!$E$21&amp;"NEW",1,0)</f>
        <v>0</v>
      </c>
      <c r="J571" s="760" t="str">
        <f>IFERROR(INDEX('Local Data Previous Year'!$G:$G, MATCH($D571, 'Local Data Previous Year'!$D:$D, 0)), "")</f>
        <v/>
      </c>
      <c r="K571" s="762"/>
      <c r="L571" s="760" t="str">
        <f>IFERROR(INDEX('Local Data Previous Year'!$H:$H, MATCH($D571, 'Local Data Previous Year'!$D:$D, 0)), "")</f>
        <v/>
      </c>
      <c r="M571" s="762"/>
      <c r="N571" s="763"/>
      <c r="O571" s="767"/>
      <c r="P571" s="765"/>
      <c r="Q571" s="767"/>
      <c r="R571" s="766" t="str">
        <f t="shared" si="113"/>
        <v/>
      </c>
      <c r="S571" s="754"/>
      <c r="T571" s="763"/>
      <c r="U571" s="754"/>
      <c r="V571" s="763"/>
      <c r="W571" s="763"/>
      <c r="X571" s="865" t="str">
        <f>VLOOKUP(CTR1_Billing!$E$21,Data!$C$6:$D$302,1,FALSE)</f>
        <v>EZZZZ</v>
      </c>
      <c r="Y571" s="205"/>
      <c r="Z571" s="205">
        <f t="shared" si="102"/>
        <v>0</v>
      </c>
      <c r="AA571" s="206" t="str">
        <f t="shared" si="101"/>
        <v/>
      </c>
      <c r="AB571" s="205">
        <f t="shared" si="103"/>
        <v>0</v>
      </c>
      <c r="AC571" s="208"/>
      <c r="AD571" s="208"/>
      <c r="AE571" s="208"/>
      <c r="AF571" s="208"/>
      <c r="AG571" s="209" t="str">
        <f>IFERROR(INDEX('Local Data Previous Year'!$F:$F, MATCH($D571, 'Local Data Previous Year'!$D:$D, 0)), "")</f>
        <v/>
      </c>
      <c r="AH571" s="209" t="str">
        <f>IFERROR(INDEX('Local Data Previous Year'!$G:$G, MATCH($D571, 'Local Data Previous Year'!$D:$D, 0)), "")</f>
        <v/>
      </c>
      <c r="AI571" s="209" t="str">
        <f>IFERROR(INDEX('Local Data Previous Year'!$H:$H, MATCH($D571, 'Local Data Previous Year'!$D:$D, 0)), "")</f>
        <v/>
      </c>
      <c r="AJ571" s="209" t="str">
        <f t="shared" si="104"/>
        <v/>
      </c>
      <c r="AK571" s="209" t="str">
        <f t="shared" si="105"/>
        <v/>
      </c>
      <c r="AL571" s="209" t="str">
        <f t="shared" si="106"/>
        <v/>
      </c>
      <c r="AM571" s="208" t="str">
        <f>IF($AN571="","",IFERROR(VLOOKUP(CONCATENATE(CTR1_Billing!$E$20,$AN571),'Local Data Previous Year'!$C$3:$D$50000,2,0),CTR1_Billing!$E$21&amp;"NEW"))</f>
        <v/>
      </c>
      <c r="AN571" s="209" t="str" cm="1">
        <f t="array" ref="AN571">IF(ISERROR(INDEX('Local Data Previous Year'!$E$3:$E$50000, SMALL(IF(CTR1_Billing!$E$21='Local Data Previous Year'!$A$3:$A$50000, ROW('Local Data Previous Year'!$A$3:$A$50000)-ROW('Local Data Previous Year'!$A$3)+1), ROW(539:539)))), "", INDEX('Local Data Previous Year'!$E$3:$E$50000, SMALL(IF(CTR1_Billing!$E$21='Local Data Previous Year'!$A$3:$A$50000, ROW('Local Data Previous Year'!$A$3:$A$50000)-ROW('Local Data Previous Year'!$A$3)+1), ROW(539:539))))</f>
        <v/>
      </c>
      <c r="AO571" s="209" t="str">
        <f t="shared" si="107"/>
        <v/>
      </c>
      <c r="AP571" s="208"/>
      <c r="AQ571" s="209" t="str">
        <f t="shared" si="108"/>
        <v/>
      </c>
      <c r="AR571" s="209" t="str">
        <f t="shared" si="109"/>
        <v/>
      </c>
      <c r="AS571" s="202" t="str">
        <f t="shared" si="110"/>
        <v/>
      </c>
      <c r="AT571" s="202" t="str">
        <f t="shared" si="111"/>
        <v/>
      </c>
      <c r="AU571" s="208"/>
      <c r="AV571" s="208"/>
      <c r="AW571" s="208"/>
      <c r="AX571" s="208"/>
      <c r="AY571" s="208"/>
      <c r="AZ571" s="208"/>
      <c r="BA571" s="208"/>
      <c r="BB571" s="208"/>
      <c r="BC571" s="208"/>
      <c r="BD571" s="208"/>
      <c r="BE571" s="208"/>
      <c r="BF571" s="208"/>
      <c r="BG571" s="28"/>
      <c r="BH571" s="28"/>
      <c r="BI571" s="28"/>
      <c r="BJ571" s="28"/>
    </row>
    <row r="572" spans="1:62" s="23" customFormat="1" ht="21" customHeight="1" thickBot="1" x14ac:dyDescent="0.25">
      <c r="A572" s="846" t="str">
        <f>IF($AN572="","",IFERROR(VLOOKUP(CONCATENATE(CTR1_Billing!$E$20,$AN572),'Local Data Previous Year'!$C$3:$D$20000,2,0),CTR1_Billing!$E$21&amp;"NEW"))</f>
        <v/>
      </c>
      <c r="B572" s="846" t="str">
        <f>IF($E572="","",IFERROR(VLOOKUP(CONCATENATE(CTR1_Billing!$E$20,CTR1_Local!$E572),'Local Data Previous Year'!$C$3:$D$20000,2,0),CTR1_Billing!$E$21&amp;"NEW"))</f>
        <v/>
      </c>
      <c r="C572" s="846">
        <v>540</v>
      </c>
      <c r="D572" s="755" t="str" cm="1">
        <f t="array" ref="D572">IF(ISERROR(INDEX('Local Data Previous Year'!$D$3:$D$20000,SMALL(IF(CTR1_Billing!$E$21='Local Data Previous Year'!$A$3:$A$20000,ROW('Local Data Previous Year'!$A$3:$A$20000)-ROW('Local Data Previous Year'!$A$3)+1),ROW(540:540)))),"",INDEX('Local Data Previous Year'!$D$3:$D$20000,SMALL(IF(CTR1_Billing!$E$21='Local Data Previous Year'!$A$3:$A$20000,ROW('Local Data Previous Year'!$A$3:$A$20000)-ROW('Local Data Previous Year'!$A$3)+1),ROW(540:540))))</f>
        <v/>
      </c>
      <c r="E572" s="755" t="str" cm="1">
        <f t="array" ref="E572">IF(ISERROR(INDEX('Local Data Previous Year'!$E$3:$E$20000,SMALL(IF(CTR1_Billing!$E$21='Local Data Previous Year'!$A$3:$A$20000,ROW('Local Data Previous Year'!$A$3:$A$20000)-ROW('Local Data Previous Year'!$A$3)+1),ROW(540:540)))),"",INDEX('Local Data Previous Year'!$E$3:$E$20000,SMALL(IF(CTR1_Billing!$E$21='Local Data Previous Year'!$A$3:$A$20000,ROW('Local Data Previous Year'!$A$3:$A$20000)-ROW('Local Data Previous Year'!$A$3)+1),ROW(540:540))))</f>
        <v/>
      </c>
      <c r="F572" s="756" t="str">
        <f>IF($D572="","",IF(ISNA(MATCH($D572,'Local Data Previous Year'!$D$3:$D$20000,0)),"New",IFERROR(VLOOKUP($B572,'Local Data Previous Year'!$D$3:$I$20000,6,0),"")))</f>
        <v/>
      </c>
      <c r="G572" s="757">
        <f t="shared" si="112"/>
        <v>0</v>
      </c>
      <c r="H572" s="758" t="str">
        <f>IFERROR(INDEX('Local Data Previous Year'!$F:$F, MATCH($D572, 'Local Data Previous Year'!$D:$D, 0)), "")</f>
        <v/>
      </c>
      <c r="I572" s="759">
        <f>IF(B572=CTR1_Billing!$E$21&amp;"NEW",1,0)</f>
        <v>0</v>
      </c>
      <c r="J572" s="760" t="str">
        <f>IFERROR(INDEX('Local Data Previous Year'!$G:$G, MATCH($D572, 'Local Data Previous Year'!$D:$D, 0)), "")</f>
        <v/>
      </c>
      <c r="K572" s="762"/>
      <c r="L572" s="760" t="str">
        <f>IFERROR(INDEX('Local Data Previous Year'!$H:$H, MATCH($D572, 'Local Data Previous Year'!$D:$D, 0)), "")</f>
        <v/>
      </c>
      <c r="M572" s="762"/>
      <c r="N572" s="763"/>
      <c r="O572" s="767"/>
      <c r="P572" s="765"/>
      <c r="Q572" s="767"/>
      <c r="R572" s="766" t="str">
        <f t="shared" si="113"/>
        <v/>
      </c>
      <c r="S572" s="754"/>
      <c r="T572" s="763"/>
      <c r="U572" s="754"/>
      <c r="V572" s="763"/>
      <c r="W572" s="763"/>
      <c r="X572" s="865" t="str">
        <f>VLOOKUP(CTR1_Billing!$E$21,Data!$C$6:$D$302,1,FALSE)</f>
        <v>EZZZZ</v>
      </c>
      <c r="Y572" s="205"/>
      <c r="Z572" s="205">
        <f t="shared" si="102"/>
        <v>0</v>
      </c>
      <c r="AA572" s="206" t="str">
        <f t="shared" si="101"/>
        <v/>
      </c>
      <c r="AB572" s="205">
        <f t="shared" si="103"/>
        <v>0</v>
      </c>
      <c r="AC572" s="208"/>
      <c r="AD572" s="208"/>
      <c r="AE572" s="208"/>
      <c r="AF572" s="208"/>
      <c r="AG572" s="209" t="str">
        <f>IFERROR(INDEX('Local Data Previous Year'!$F:$F, MATCH($D572, 'Local Data Previous Year'!$D:$D, 0)), "")</f>
        <v/>
      </c>
      <c r="AH572" s="209" t="str">
        <f>IFERROR(INDEX('Local Data Previous Year'!$G:$G, MATCH($D572, 'Local Data Previous Year'!$D:$D, 0)), "")</f>
        <v/>
      </c>
      <c r="AI572" s="209" t="str">
        <f>IFERROR(INDEX('Local Data Previous Year'!$H:$H, MATCH($D572, 'Local Data Previous Year'!$D:$D, 0)), "")</f>
        <v/>
      </c>
      <c r="AJ572" s="209" t="str">
        <f t="shared" si="104"/>
        <v/>
      </c>
      <c r="AK572" s="209" t="str">
        <f t="shared" si="105"/>
        <v/>
      </c>
      <c r="AL572" s="209" t="str">
        <f t="shared" si="106"/>
        <v/>
      </c>
      <c r="AM572" s="208" t="str">
        <f>IF($AN572="","",IFERROR(VLOOKUP(CONCATENATE(CTR1_Billing!$E$20,$AN572),'Local Data Previous Year'!$C$3:$D$50000,2,0),CTR1_Billing!$E$21&amp;"NEW"))</f>
        <v/>
      </c>
      <c r="AN572" s="209" t="str" cm="1">
        <f t="array" ref="AN572">IF(ISERROR(INDEX('Local Data Previous Year'!$E$3:$E$50000, SMALL(IF(CTR1_Billing!$E$21='Local Data Previous Year'!$A$3:$A$50000, ROW('Local Data Previous Year'!$A$3:$A$50000)-ROW('Local Data Previous Year'!$A$3)+1), ROW(540:540)))), "", INDEX('Local Data Previous Year'!$E$3:$E$50000, SMALL(IF(CTR1_Billing!$E$21='Local Data Previous Year'!$A$3:$A$50000, ROW('Local Data Previous Year'!$A$3:$A$50000)-ROW('Local Data Previous Year'!$A$3)+1), ROW(540:540))))</f>
        <v/>
      </c>
      <c r="AO572" s="209" t="str">
        <f t="shared" si="107"/>
        <v/>
      </c>
      <c r="AP572" s="208"/>
      <c r="AQ572" s="209" t="str">
        <f t="shared" si="108"/>
        <v/>
      </c>
      <c r="AR572" s="209" t="str">
        <f t="shared" si="109"/>
        <v/>
      </c>
      <c r="AS572" s="202" t="str">
        <f t="shared" si="110"/>
        <v/>
      </c>
      <c r="AT572" s="202" t="str">
        <f t="shared" si="111"/>
        <v/>
      </c>
      <c r="AU572" s="208"/>
      <c r="AV572" s="208"/>
      <c r="AW572" s="208"/>
      <c r="AX572" s="208"/>
      <c r="AY572" s="208"/>
      <c r="AZ572" s="208"/>
      <c r="BA572" s="208"/>
      <c r="BB572" s="208"/>
      <c r="BC572" s="208"/>
      <c r="BD572" s="208"/>
      <c r="BE572" s="208"/>
      <c r="BF572" s="208"/>
      <c r="BG572" s="28"/>
      <c r="BH572" s="28"/>
      <c r="BI572" s="28"/>
      <c r="BJ572" s="28"/>
    </row>
    <row r="573" spans="1:62" s="23" customFormat="1" ht="21" customHeight="1" thickBot="1" x14ac:dyDescent="0.25">
      <c r="A573" s="846" t="str">
        <f>IF($AN573="","",IFERROR(VLOOKUP(CONCATENATE(CTR1_Billing!$E$20,$AN573),'Local Data Previous Year'!$C$3:$D$20000,2,0),CTR1_Billing!$E$21&amp;"NEW"))</f>
        <v/>
      </c>
      <c r="B573" s="846" t="str">
        <f>IF($E573="","",IFERROR(VLOOKUP(CONCATENATE(CTR1_Billing!$E$20,CTR1_Local!$E573),'Local Data Previous Year'!$C$3:$D$20000,2,0),CTR1_Billing!$E$21&amp;"NEW"))</f>
        <v/>
      </c>
      <c r="C573" s="846">
        <v>541</v>
      </c>
      <c r="D573" s="755" t="str" cm="1">
        <f t="array" ref="D573">IF(ISERROR(INDEX('Local Data Previous Year'!$D$3:$D$20000,SMALL(IF(CTR1_Billing!$E$21='Local Data Previous Year'!$A$3:$A$20000,ROW('Local Data Previous Year'!$A$3:$A$20000)-ROW('Local Data Previous Year'!$A$3)+1),ROW(541:541)))),"",INDEX('Local Data Previous Year'!$D$3:$D$20000,SMALL(IF(CTR1_Billing!$E$21='Local Data Previous Year'!$A$3:$A$20000,ROW('Local Data Previous Year'!$A$3:$A$20000)-ROW('Local Data Previous Year'!$A$3)+1),ROW(541:541))))</f>
        <v/>
      </c>
      <c r="E573" s="755" t="str" cm="1">
        <f t="array" ref="E573">IF(ISERROR(INDEX('Local Data Previous Year'!$E$3:$E$20000,SMALL(IF(CTR1_Billing!$E$21='Local Data Previous Year'!$A$3:$A$20000,ROW('Local Data Previous Year'!$A$3:$A$20000)-ROW('Local Data Previous Year'!$A$3)+1),ROW(541:541)))),"",INDEX('Local Data Previous Year'!$E$3:$E$20000,SMALL(IF(CTR1_Billing!$E$21='Local Data Previous Year'!$A$3:$A$20000,ROW('Local Data Previous Year'!$A$3:$A$20000)-ROW('Local Data Previous Year'!$A$3)+1),ROW(541:541))))</f>
        <v/>
      </c>
      <c r="F573" s="756" t="str">
        <f>IF($D573="","",IF(ISNA(MATCH($D573,'Local Data Previous Year'!$D$3:$D$20000,0)),"New",IFERROR(VLOOKUP($B573,'Local Data Previous Year'!$D$3:$I$20000,6,0),"")))</f>
        <v/>
      </c>
      <c r="G573" s="757">
        <f t="shared" si="112"/>
        <v>0</v>
      </c>
      <c r="H573" s="758" t="str">
        <f>IFERROR(INDEX('Local Data Previous Year'!$F:$F, MATCH($D573, 'Local Data Previous Year'!$D:$D, 0)), "")</f>
        <v/>
      </c>
      <c r="I573" s="759">
        <f>IF(B573=CTR1_Billing!$E$21&amp;"NEW",1,0)</f>
        <v>0</v>
      </c>
      <c r="J573" s="760" t="str">
        <f>IFERROR(INDEX('Local Data Previous Year'!$G:$G, MATCH($D573, 'Local Data Previous Year'!$D:$D, 0)), "")</f>
        <v/>
      </c>
      <c r="K573" s="762"/>
      <c r="L573" s="760" t="str">
        <f>IFERROR(INDEX('Local Data Previous Year'!$H:$H, MATCH($D573, 'Local Data Previous Year'!$D:$D, 0)), "")</f>
        <v/>
      </c>
      <c r="M573" s="762"/>
      <c r="N573" s="763"/>
      <c r="O573" s="767"/>
      <c r="P573" s="765"/>
      <c r="Q573" s="767"/>
      <c r="R573" s="766" t="str">
        <f t="shared" si="113"/>
        <v/>
      </c>
      <c r="S573" s="754"/>
      <c r="T573" s="763"/>
      <c r="U573" s="754"/>
      <c r="V573" s="763"/>
      <c r="W573" s="763"/>
      <c r="X573" s="865" t="str">
        <f>VLOOKUP(CTR1_Billing!$E$21,Data!$C$6:$D$302,1,FALSE)</f>
        <v>EZZZZ</v>
      </c>
      <c r="Y573" s="205"/>
      <c r="Z573" s="205">
        <f t="shared" si="102"/>
        <v>0</v>
      </c>
      <c r="AA573" s="206" t="str">
        <f t="shared" si="101"/>
        <v/>
      </c>
      <c r="AB573" s="205">
        <f t="shared" si="103"/>
        <v>0</v>
      </c>
      <c r="AC573" s="208"/>
      <c r="AD573" s="208"/>
      <c r="AE573" s="208"/>
      <c r="AF573" s="208"/>
      <c r="AG573" s="209" t="str">
        <f>IFERROR(INDEX('Local Data Previous Year'!$F:$F, MATCH($D573, 'Local Data Previous Year'!$D:$D, 0)), "")</f>
        <v/>
      </c>
      <c r="AH573" s="209" t="str">
        <f>IFERROR(INDEX('Local Data Previous Year'!$G:$G, MATCH($D573, 'Local Data Previous Year'!$D:$D, 0)), "")</f>
        <v/>
      </c>
      <c r="AI573" s="209" t="str">
        <f>IFERROR(INDEX('Local Data Previous Year'!$H:$H, MATCH($D573, 'Local Data Previous Year'!$D:$D, 0)), "")</f>
        <v/>
      </c>
      <c r="AJ573" s="209" t="str">
        <f t="shared" si="104"/>
        <v/>
      </c>
      <c r="AK573" s="209" t="str">
        <f t="shared" si="105"/>
        <v/>
      </c>
      <c r="AL573" s="209" t="str">
        <f t="shared" si="106"/>
        <v/>
      </c>
      <c r="AM573" s="208" t="str">
        <f>IF($AN573="","",IFERROR(VLOOKUP(CONCATENATE(CTR1_Billing!$E$20,$AN573),'Local Data Previous Year'!$C$3:$D$50000,2,0),CTR1_Billing!$E$21&amp;"NEW"))</f>
        <v/>
      </c>
      <c r="AN573" s="209" t="str" cm="1">
        <f t="array" ref="AN573">IF(ISERROR(INDEX('Local Data Previous Year'!$E$3:$E$50000, SMALL(IF(CTR1_Billing!$E$21='Local Data Previous Year'!$A$3:$A$50000, ROW('Local Data Previous Year'!$A$3:$A$50000)-ROW('Local Data Previous Year'!$A$3)+1), ROW(541:541)))), "", INDEX('Local Data Previous Year'!$E$3:$E$50000, SMALL(IF(CTR1_Billing!$E$21='Local Data Previous Year'!$A$3:$A$50000, ROW('Local Data Previous Year'!$A$3:$A$50000)-ROW('Local Data Previous Year'!$A$3)+1), ROW(541:541))))</f>
        <v/>
      </c>
      <c r="AO573" s="209" t="str">
        <f t="shared" si="107"/>
        <v/>
      </c>
      <c r="AP573" s="208"/>
      <c r="AQ573" s="209" t="str">
        <f t="shared" si="108"/>
        <v/>
      </c>
      <c r="AR573" s="209" t="str">
        <f t="shared" si="109"/>
        <v/>
      </c>
      <c r="AS573" s="202" t="str">
        <f t="shared" si="110"/>
        <v/>
      </c>
      <c r="AT573" s="202" t="str">
        <f t="shared" si="111"/>
        <v/>
      </c>
      <c r="AU573" s="208"/>
      <c r="AV573" s="208"/>
      <c r="AW573" s="208"/>
      <c r="AX573" s="208"/>
      <c r="AY573" s="208"/>
      <c r="AZ573" s="208"/>
      <c r="BA573" s="208"/>
      <c r="BB573" s="208"/>
      <c r="BC573" s="208"/>
      <c r="BD573" s="208"/>
      <c r="BE573" s="208"/>
      <c r="BF573" s="208"/>
      <c r="BG573" s="28"/>
      <c r="BH573" s="28"/>
      <c r="BI573" s="28"/>
      <c r="BJ573" s="28"/>
    </row>
    <row r="574" spans="1:62" s="23" customFormat="1" ht="21" customHeight="1" thickBot="1" x14ac:dyDescent="0.25">
      <c r="A574" s="846" t="str">
        <f>IF($AN574="","",IFERROR(VLOOKUP(CONCATENATE(CTR1_Billing!$E$20,$AN574),'Local Data Previous Year'!$C$3:$D$20000,2,0),CTR1_Billing!$E$21&amp;"NEW"))</f>
        <v/>
      </c>
      <c r="B574" s="846" t="str">
        <f>IF($E574="","",IFERROR(VLOOKUP(CONCATENATE(CTR1_Billing!$E$20,CTR1_Local!$E574),'Local Data Previous Year'!$C$3:$D$20000,2,0),CTR1_Billing!$E$21&amp;"NEW"))</f>
        <v/>
      </c>
      <c r="C574" s="846">
        <v>542</v>
      </c>
      <c r="D574" s="755" t="str" cm="1">
        <f t="array" ref="D574">IF(ISERROR(INDEX('Local Data Previous Year'!$D$3:$D$20000,SMALL(IF(CTR1_Billing!$E$21='Local Data Previous Year'!$A$3:$A$20000,ROW('Local Data Previous Year'!$A$3:$A$20000)-ROW('Local Data Previous Year'!$A$3)+1),ROW(542:542)))),"",INDEX('Local Data Previous Year'!$D$3:$D$20000,SMALL(IF(CTR1_Billing!$E$21='Local Data Previous Year'!$A$3:$A$20000,ROW('Local Data Previous Year'!$A$3:$A$20000)-ROW('Local Data Previous Year'!$A$3)+1),ROW(542:542))))</f>
        <v/>
      </c>
      <c r="E574" s="755" t="str" cm="1">
        <f t="array" ref="E574">IF(ISERROR(INDEX('Local Data Previous Year'!$E$3:$E$20000,SMALL(IF(CTR1_Billing!$E$21='Local Data Previous Year'!$A$3:$A$20000,ROW('Local Data Previous Year'!$A$3:$A$20000)-ROW('Local Data Previous Year'!$A$3)+1),ROW(542:542)))),"",INDEX('Local Data Previous Year'!$E$3:$E$20000,SMALL(IF(CTR1_Billing!$E$21='Local Data Previous Year'!$A$3:$A$20000,ROW('Local Data Previous Year'!$A$3:$A$20000)-ROW('Local Data Previous Year'!$A$3)+1),ROW(542:542))))</f>
        <v/>
      </c>
      <c r="F574" s="756" t="str">
        <f>IF($D574="","",IF(ISNA(MATCH($D574,'Local Data Previous Year'!$D$3:$D$20000,0)),"New",IFERROR(VLOOKUP($B574,'Local Data Previous Year'!$D$3:$I$20000,6,0),"")))</f>
        <v/>
      </c>
      <c r="G574" s="757">
        <f t="shared" si="112"/>
        <v>0</v>
      </c>
      <c r="H574" s="758" t="str">
        <f>IFERROR(INDEX('Local Data Previous Year'!$F:$F, MATCH($D574, 'Local Data Previous Year'!$D:$D, 0)), "")</f>
        <v/>
      </c>
      <c r="I574" s="759">
        <f>IF(B574=CTR1_Billing!$E$21&amp;"NEW",1,0)</f>
        <v>0</v>
      </c>
      <c r="J574" s="760" t="str">
        <f>IFERROR(INDEX('Local Data Previous Year'!$G:$G, MATCH($D574, 'Local Data Previous Year'!$D:$D, 0)), "")</f>
        <v/>
      </c>
      <c r="K574" s="762"/>
      <c r="L574" s="760" t="str">
        <f>IFERROR(INDEX('Local Data Previous Year'!$H:$H, MATCH($D574, 'Local Data Previous Year'!$D:$D, 0)), "")</f>
        <v/>
      </c>
      <c r="M574" s="762"/>
      <c r="N574" s="763"/>
      <c r="O574" s="767"/>
      <c r="P574" s="765"/>
      <c r="Q574" s="767"/>
      <c r="R574" s="766" t="str">
        <f t="shared" si="113"/>
        <v/>
      </c>
      <c r="S574" s="754"/>
      <c r="T574" s="763"/>
      <c r="U574" s="754"/>
      <c r="V574" s="763"/>
      <c r="W574" s="763"/>
      <c r="X574" s="865" t="str">
        <f>VLOOKUP(CTR1_Billing!$E$21,Data!$C$6:$D$302,1,FALSE)</f>
        <v>EZZZZ</v>
      </c>
      <c r="Y574" s="205"/>
      <c r="Z574" s="205">
        <f t="shared" si="102"/>
        <v>0</v>
      </c>
      <c r="AA574" s="206" t="str">
        <f t="shared" si="101"/>
        <v/>
      </c>
      <c r="AB574" s="205">
        <f t="shared" si="103"/>
        <v>0</v>
      </c>
      <c r="AC574" s="208"/>
      <c r="AD574" s="208"/>
      <c r="AE574" s="208"/>
      <c r="AF574" s="208"/>
      <c r="AG574" s="209" t="str">
        <f>IFERROR(INDEX('Local Data Previous Year'!$F:$F, MATCH($D574, 'Local Data Previous Year'!$D:$D, 0)), "")</f>
        <v/>
      </c>
      <c r="AH574" s="209" t="str">
        <f>IFERROR(INDEX('Local Data Previous Year'!$G:$G, MATCH($D574, 'Local Data Previous Year'!$D:$D, 0)), "")</f>
        <v/>
      </c>
      <c r="AI574" s="209" t="str">
        <f>IFERROR(INDEX('Local Data Previous Year'!$H:$H, MATCH($D574, 'Local Data Previous Year'!$D:$D, 0)), "")</f>
        <v/>
      </c>
      <c r="AJ574" s="209" t="str">
        <f t="shared" si="104"/>
        <v/>
      </c>
      <c r="AK574" s="209" t="str">
        <f t="shared" si="105"/>
        <v/>
      </c>
      <c r="AL574" s="209" t="str">
        <f t="shared" si="106"/>
        <v/>
      </c>
      <c r="AM574" s="208" t="str">
        <f>IF($AN574="","",IFERROR(VLOOKUP(CONCATENATE(CTR1_Billing!$E$20,$AN574),'Local Data Previous Year'!$C$3:$D$50000,2,0),CTR1_Billing!$E$21&amp;"NEW"))</f>
        <v/>
      </c>
      <c r="AN574" s="209" t="str" cm="1">
        <f t="array" ref="AN574">IF(ISERROR(INDEX('Local Data Previous Year'!$E$3:$E$50000, SMALL(IF(CTR1_Billing!$E$21='Local Data Previous Year'!$A$3:$A$50000, ROW('Local Data Previous Year'!$A$3:$A$50000)-ROW('Local Data Previous Year'!$A$3)+1), ROW(542:542)))), "", INDEX('Local Data Previous Year'!$E$3:$E$50000, SMALL(IF(CTR1_Billing!$E$21='Local Data Previous Year'!$A$3:$A$50000, ROW('Local Data Previous Year'!$A$3:$A$50000)-ROW('Local Data Previous Year'!$A$3)+1), ROW(542:542))))</f>
        <v/>
      </c>
      <c r="AO574" s="209" t="str">
        <f t="shared" si="107"/>
        <v/>
      </c>
      <c r="AP574" s="208"/>
      <c r="AQ574" s="209" t="str">
        <f t="shared" si="108"/>
        <v/>
      </c>
      <c r="AR574" s="209" t="str">
        <f t="shared" si="109"/>
        <v/>
      </c>
      <c r="AS574" s="202" t="str">
        <f t="shared" si="110"/>
        <v/>
      </c>
      <c r="AT574" s="202" t="str">
        <f t="shared" si="111"/>
        <v/>
      </c>
      <c r="AU574" s="208"/>
      <c r="AV574" s="208"/>
      <c r="AW574" s="208"/>
      <c r="AX574" s="208"/>
      <c r="AY574" s="208"/>
      <c r="AZ574" s="208"/>
      <c r="BA574" s="208"/>
      <c r="BB574" s="208"/>
      <c r="BC574" s="208"/>
      <c r="BD574" s="208"/>
      <c r="BE574" s="208"/>
      <c r="BF574" s="208"/>
      <c r="BG574" s="28"/>
      <c r="BH574" s="28"/>
      <c r="BI574" s="28"/>
      <c r="BJ574" s="28"/>
    </row>
    <row r="575" spans="1:62" s="23" customFormat="1" ht="21" customHeight="1" thickBot="1" x14ac:dyDescent="0.25">
      <c r="A575" s="846" t="str">
        <f>IF($AN575="","",IFERROR(VLOOKUP(CONCATENATE(CTR1_Billing!$E$20,$AN575),'Local Data Previous Year'!$C$3:$D$20000,2,0),CTR1_Billing!$E$21&amp;"NEW"))</f>
        <v/>
      </c>
      <c r="B575" s="846" t="str">
        <f>IF($E575="","",IFERROR(VLOOKUP(CONCATENATE(CTR1_Billing!$E$20,CTR1_Local!$E575),'Local Data Previous Year'!$C$3:$D$20000,2,0),CTR1_Billing!$E$21&amp;"NEW"))</f>
        <v/>
      </c>
      <c r="C575" s="846">
        <v>543</v>
      </c>
      <c r="D575" s="755" t="str" cm="1">
        <f t="array" ref="D575">IF(ISERROR(INDEX('Local Data Previous Year'!$D$3:$D$20000,SMALL(IF(CTR1_Billing!$E$21='Local Data Previous Year'!$A$3:$A$20000,ROW('Local Data Previous Year'!$A$3:$A$20000)-ROW('Local Data Previous Year'!$A$3)+1),ROW(543:543)))),"",INDEX('Local Data Previous Year'!$D$3:$D$20000,SMALL(IF(CTR1_Billing!$E$21='Local Data Previous Year'!$A$3:$A$20000,ROW('Local Data Previous Year'!$A$3:$A$20000)-ROW('Local Data Previous Year'!$A$3)+1),ROW(543:543))))</f>
        <v/>
      </c>
      <c r="E575" s="755" t="str" cm="1">
        <f t="array" ref="E575">IF(ISERROR(INDEX('Local Data Previous Year'!$E$3:$E$20000,SMALL(IF(CTR1_Billing!$E$21='Local Data Previous Year'!$A$3:$A$20000,ROW('Local Data Previous Year'!$A$3:$A$20000)-ROW('Local Data Previous Year'!$A$3)+1),ROW(543:543)))),"",INDEX('Local Data Previous Year'!$E$3:$E$20000,SMALL(IF(CTR1_Billing!$E$21='Local Data Previous Year'!$A$3:$A$20000,ROW('Local Data Previous Year'!$A$3:$A$20000)-ROW('Local Data Previous Year'!$A$3)+1),ROW(543:543))))</f>
        <v/>
      </c>
      <c r="F575" s="756" t="str">
        <f>IF($D575="","",IF(ISNA(MATCH($D575,'Local Data Previous Year'!$D$3:$D$20000,0)),"New",IFERROR(VLOOKUP($B575,'Local Data Previous Year'!$D$3:$I$20000,6,0),"")))</f>
        <v/>
      </c>
      <c r="G575" s="757">
        <f t="shared" si="112"/>
        <v>0</v>
      </c>
      <c r="H575" s="758" t="str">
        <f>IFERROR(INDEX('Local Data Previous Year'!$F:$F, MATCH($D575, 'Local Data Previous Year'!$D:$D, 0)), "")</f>
        <v/>
      </c>
      <c r="I575" s="759">
        <f>IF(B575=CTR1_Billing!$E$21&amp;"NEW",1,0)</f>
        <v>0</v>
      </c>
      <c r="J575" s="760" t="str">
        <f>IFERROR(INDEX('Local Data Previous Year'!$G:$G, MATCH($D575, 'Local Data Previous Year'!$D:$D, 0)), "")</f>
        <v/>
      </c>
      <c r="K575" s="762"/>
      <c r="L575" s="760" t="str">
        <f>IFERROR(INDEX('Local Data Previous Year'!$H:$H, MATCH($D575, 'Local Data Previous Year'!$D:$D, 0)), "")</f>
        <v/>
      </c>
      <c r="M575" s="762"/>
      <c r="N575" s="763"/>
      <c r="O575" s="767"/>
      <c r="P575" s="765"/>
      <c r="Q575" s="767"/>
      <c r="R575" s="766" t="str">
        <f t="shared" si="113"/>
        <v/>
      </c>
      <c r="S575" s="754"/>
      <c r="T575" s="763"/>
      <c r="U575" s="754"/>
      <c r="V575" s="763"/>
      <c r="W575" s="763"/>
      <c r="X575" s="865" t="str">
        <f>VLOOKUP(CTR1_Billing!$E$21,Data!$C$6:$D$302,1,FALSE)</f>
        <v>EZZZZ</v>
      </c>
      <c r="Y575" s="205"/>
      <c r="Z575" s="205">
        <f t="shared" si="102"/>
        <v>0</v>
      </c>
      <c r="AA575" s="206" t="str">
        <f t="shared" si="101"/>
        <v/>
      </c>
      <c r="AB575" s="205">
        <f t="shared" si="103"/>
        <v>0</v>
      </c>
      <c r="AC575" s="208"/>
      <c r="AD575" s="208"/>
      <c r="AE575" s="208"/>
      <c r="AF575" s="208"/>
      <c r="AG575" s="209" t="str">
        <f>IFERROR(INDEX('Local Data Previous Year'!$F:$F, MATCH($D575, 'Local Data Previous Year'!$D:$D, 0)), "")</f>
        <v/>
      </c>
      <c r="AH575" s="209" t="str">
        <f>IFERROR(INDEX('Local Data Previous Year'!$G:$G, MATCH($D575, 'Local Data Previous Year'!$D:$D, 0)), "")</f>
        <v/>
      </c>
      <c r="AI575" s="209" t="str">
        <f>IFERROR(INDEX('Local Data Previous Year'!$H:$H, MATCH($D575, 'Local Data Previous Year'!$D:$D, 0)), "")</f>
        <v/>
      </c>
      <c r="AJ575" s="209" t="str">
        <f t="shared" si="104"/>
        <v/>
      </c>
      <c r="AK575" s="209" t="str">
        <f t="shared" si="105"/>
        <v/>
      </c>
      <c r="AL575" s="209" t="str">
        <f t="shared" si="106"/>
        <v/>
      </c>
      <c r="AM575" s="208" t="str">
        <f>IF($AN575="","",IFERROR(VLOOKUP(CONCATENATE(CTR1_Billing!$E$20,$AN575),'Local Data Previous Year'!$C$3:$D$50000,2,0),CTR1_Billing!$E$21&amp;"NEW"))</f>
        <v/>
      </c>
      <c r="AN575" s="209" t="str" cm="1">
        <f t="array" ref="AN575">IF(ISERROR(INDEX('Local Data Previous Year'!$E$3:$E$50000, SMALL(IF(CTR1_Billing!$E$21='Local Data Previous Year'!$A$3:$A$50000, ROW('Local Data Previous Year'!$A$3:$A$50000)-ROW('Local Data Previous Year'!$A$3)+1), ROW(543:543)))), "", INDEX('Local Data Previous Year'!$E$3:$E$50000, SMALL(IF(CTR1_Billing!$E$21='Local Data Previous Year'!$A$3:$A$50000, ROW('Local Data Previous Year'!$A$3:$A$50000)-ROW('Local Data Previous Year'!$A$3)+1), ROW(543:543))))</f>
        <v/>
      </c>
      <c r="AO575" s="209" t="str">
        <f t="shared" si="107"/>
        <v/>
      </c>
      <c r="AP575" s="208"/>
      <c r="AQ575" s="209" t="str">
        <f t="shared" si="108"/>
        <v/>
      </c>
      <c r="AR575" s="209" t="str">
        <f t="shared" si="109"/>
        <v/>
      </c>
      <c r="AS575" s="202" t="str">
        <f t="shared" si="110"/>
        <v/>
      </c>
      <c r="AT575" s="202" t="str">
        <f t="shared" si="111"/>
        <v/>
      </c>
      <c r="AU575" s="208"/>
      <c r="AV575" s="208"/>
      <c r="AW575" s="208"/>
      <c r="AX575" s="208"/>
      <c r="AY575" s="208"/>
      <c r="AZ575" s="208"/>
      <c r="BA575" s="208"/>
      <c r="BB575" s="208"/>
      <c r="BC575" s="208"/>
      <c r="BD575" s="208"/>
      <c r="BE575" s="208"/>
      <c r="BF575" s="208"/>
      <c r="BG575" s="28"/>
      <c r="BH575" s="28"/>
      <c r="BI575" s="28"/>
      <c r="BJ575" s="28"/>
    </row>
    <row r="576" spans="1:62" s="23" customFormat="1" ht="21" customHeight="1" thickBot="1" x14ac:dyDescent="0.25">
      <c r="A576" s="846" t="str">
        <f>IF($AN576="","",IFERROR(VLOOKUP(CONCATENATE(CTR1_Billing!$E$20,$AN576),'Local Data Previous Year'!$C$3:$D$20000,2,0),CTR1_Billing!$E$21&amp;"NEW"))</f>
        <v/>
      </c>
      <c r="B576" s="846" t="str">
        <f>IF($E576="","",IFERROR(VLOOKUP(CONCATENATE(CTR1_Billing!$E$20,CTR1_Local!$E576),'Local Data Previous Year'!$C$3:$D$20000,2,0),CTR1_Billing!$E$21&amp;"NEW"))</f>
        <v/>
      </c>
      <c r="C576" s="846">
        <v>544</v>
      </c>
      <c r="D576" s="755" t="str" cm="1">
        <f t="array" ref="D576">IF(ISERROR(INDEX('Local Data Previous Year'!$D$3:$D$20000,SMALL(IF(CTR1_Billing!$E$21='Local Data Previous Year'!$A$3:$A$20000,ROW('Local Data Previous Year'!$A$3:$A$20000)-ROW('Local Data Previous Year'!$A$3)+1),ROW(544:544)))),"",INDEX('Local Data Previous Year'!$D$3:$D$20000,SMALL(IF(CTR1_Billing!$E$21='Local Data Previous Year'!$A$3:$A$20000,ROW('Local Data Previous Year'!$A$3:$A$20000)-ROW('Local Data Previous Year'!$A$3)+1),ROW(544:544))))</f>
        <v/>
      </c>
      <c r="E576" s="755" t="str" cm="1">
        <f t="array" ref="E576">IF(ISERROR(INDEX('Local Data Previous Year'!$E$3:$E$20000,SMALL(IF(CTR1_Billing!$E$21='Local Data Previous Year'!$A$3:$A$20000,ROW('Local Data Previous Year'!$A$3:$A$20000)-ROW('Local Data Previous Year'!$A$3)+1),ROW(544:544)))),"",INDEX('Local Data Previous Year'!$E$3:$E$20000,SMALL(IF(CTR1_Billing!$E$21='Local Data Previous Year'!$A$3:$A$20000,ROW('Local Data Previous Year'!$A$3:$A$20000)-ROW('Local Data Previous Year'!$A$3)+1),ROW(544:544))))</f>
        <v/>
      </c>
      <c r="F576" s="756" t="str">
        <f>IF($D576="","",IF(ISNA(MATCH($D576,'Local Data Previous Year'!$D$3:$D$20000,0)),"New",IFERROR(VLOOKUP($B576,'Local Data Previous Year'!$D$3:$I$20000,6,0),"")))</f>
        <v/>
      </c>
      <c r="G576" s="757">
        <f t="shared" si="112"/>
        <v>0</v>
      </c>
      <c r="H576" s="758" t="str">
        <f>IFERROR(INDEX('Local Data Previous Year'!$F:$F, MATCH($D576, 'Local Data Previous Year'!$D:$D, 0)), "")</f>
        <v/>
      </c>
      <c r="I576" s="759">
        <f>IF(B576=CTR1_Billing!$E$21&amp;"NEW",1,0)</f>
        <v>0</v>
      </c>
      <c r="J576" s="760" t="str">
        <f>IFERROR(INDEX('Local Data Previous Year'!$G:$G, MATCH($D576, 'Local Data Previous Year'!$D:$D, 0)), "")</f>
        <v/>
      </c>
      <c r="K576" s="762"/>
      <c r="L576" s="760" t="str">
        <f>IFERROR(INDEX('Local Data Previous Year'!$H:$H, MATCH($D576, 'Local Data Previous Year'!$D:$D, 0)), "")</f>
        <v/>
      </c>
      <c r="M576" s="762"/>
      <c r="N576" s="763"/>
      <c r="O576" s="767"/>
      <c r="P576" s="765"/>
      <c r="Q576" s="767"/>
      <c r="R576" s="766" t="str">
        <f t="shared" si="113"/>
        <v/>
      </c>
      <c r="S576" s="754"/>
      <c r="T576" s="763"/>
      <c r="U576" s="754"/>
      <c r="V576" s="763"/>
      <c r="W576" s="763"/>
      <c r="X576" s="865" t="str">
        <f>VLOOKUP(CTR1_Billing!$E$21,Data!$C$6:$D$302,1,FALSE)</f>
        <v>EZZZZ</v>
      </c>
      <c r="Y576" s="205"/>
      <c r="Z576" s="205">
        <f t="shared" si="102"/>
        <v>0</v>
      </c>
      <c r="AA576" s="206" t="str">
        <f t="shared" si="101"/>
        <v/>
      </c>
      <c r="AB576" s="205">
        <f t="shared" si="103"/>
        <v>0</v>
      </c>
      <c r="AC576" s="208"/>
      <c r="AD576" s="208"/>
      <c r="AE576" s="208"/>
      <c r="AF576" s="208"/>
      <c r="AG576" s="209" t="str">
        <f>IFERROR(INDEX('Local Data Previous Year'!$F:$F, MATCH($D576, 'Local Data Previous Year'!$D:$D, 0)), "")</f>
        <v/>
      </c>
      <c r="AH576" s="209" t="str">
        <f>IFERROR(INDEX('Local Data Previous Year'!$G:$G, MATCH($D576, 'Local Data Previous Year'!$D:$D, 0)), "")</f>
        <v/>
      </c>
      <c r="AI576" s="209" t="str">
        <f>IFERROR(INDEX('Local Data Previous Year'!$H:$H, MATCH($D576, 'Local Data Previous Year'!$D:$D, 0)), "")</f>
        <v/>
      </c>
      <c r="AJ576" s="209" t="str">
        <f t="shared" si="104"/>
        <v/>
      </c>
      <c r="AK576" s="209" t="str">
        <f t="shared" si="105"/>
        <v/>
      </c>
      <c r="AL576" s="209" t="str">
        <f t="shared" si="106"/>
        <v/>
      </c>
      <c r="AM576" s="208" t="str">
        <f>IF($AN576="","",IFERROR(VLOOKUP(CONCATENATE(CTR1_Billing!$E$20,$AN576),'Local Data Previous Year'!$C$3:$D$50000,2,0),CTR1_Billing!$E$21&amp;"NEW"))</f>
        <v/>
      </c>
      <c r="AN576" s="209" t="str" cm="1">
        <f t="array" ref="AN576">IF(ISERROR(INDEX('Local Data Previous Year'!$E$3:$E$50000, SMALL(IF(CTR1_Billing!$E$21='Local Data Previous Year'!$A$3:$A$50000, ROW('Local Data Previous Year'!$A$3:$A$50000)-ROW('Local Data Previous Year'!$A$3)+1), ROW(544:544)))), "", INDEX('Local Data Previous Year'!$E$3:$E$50000, SMALL(IF(CTR1_Billing!$E$21='Local Data Previous Year'!$A$3:$A$50000, ROW('Local Data Previous Year'!$A$3:$A$50000)-ROW('Local Data Previous Year'!$A$3)+1), ROW(544:544))))</f>
        <v/>
      </c>
      <c r="AO576" s="209" t="str">
        <f t="shared" si="107"/>
        <v/>
      </c>
      <c r="AP576" s="208"/>
      <c r="AQ576" s="209" t="str">
        <f t="shared" si="108"/>
        <v/>
      </c>
      <c r="AR576" s="209" t="str">
        <f t="shared" si="109"/>
        <v/>
      </c>
      <c r="AS576" s="202" t="str">
        <f t="shared" si="110"/>
        <v/>
      </c>
      <c r="AT576" s="202" t="str">
        <f t="shared" si="111"/>
        <v/>
      </c>
      <c r="AU576" s="208"/>
      <c r="AV576" s="208"/>
      <c r="AW576" s="208"/>
      <c r="AX576" s="208"/>
      <c r="AY576" s="208"/>
      <c r="AZ576" s="208"/>
      <c r="BA576" s="208"/>
      <c r="BB576" s="208"/>
      <c r="BC576" s="208"/>
      <c r="BD576" s="208"/>
      <c r="BE576" s="208"/>
      <c r="BF576" s="208"/>
      <c r="BG576" s="28"/>
      <c r="BH576" s="28"/>
      <c r="BI576" s="28"/>
      <c r="BJ576" s="28"/>
    </row>
    <row r="577" spans="1:62" s="23" customFormat="1" ht="21" customHeight="1" thickBot="1" x14ac:dyDescent="0.25">
      <c r="A577" s="846" t="str">
        <f>IF($AN577="","",IFERROR(VLOOKUP(CONCATENATE(CTR1_Billing!$E$20,$AN577),'Local Data Previous Year'!$C$3:$D$20000,2,0),CTR1_Billing!$E$21&amp;"NEW"))</f>
        <v/>
      </c>
      <c r="B577" s="846" t="str">
        <f>IF($E577="","",IFERROR(VLOOKUP(CONCATENATE(CTR1_Billing!$E$20,CTR1_Local!$E577),'Local Data Previous Year'!$C$3:$D$20000,2,0),CTR1_Billing!$E$21&amp;"NEW"))</f>
        <v/>
      </c>
      <c r="C577" s="846">
        <v>545</v>
      </c>
      <c r="D577" s="755" t="str" cm="1">
        <f t="array" ref="D577">IF(ISERROR(INDEX('Local Data Previous Year'!$D$3:$D$20000,SMALL(IF(CTR1_Billing!$E$21='Local Data Previous Year'!$A$3:$A$20000,ROW('Local Data Previous Year'!$A$3:$A$20000)-ROW('Local Data Previous Year'!$A$3)+1),ROW(545:545)))),"",INDEX('Local Data Previous Year'!$D$3:$D$20000,SMALL(IF(CTR1_Billing!$E$21='Local Data Previous Year'!$A$3:$A$20000,ROW('Local Data Previous Year'!$A$3:$A$20000)-ROW('Local Data Previous Year'!$A$3)+1),ROW(545:545))))</f>
        <v/>
      </c>
      <c r="E577" s="755" t="str" cm="1">
        <f t="array" ref="E577">IF(ISERROR(INDEX('Local Data Previous Year'!$E$3:$E$20000,SMALL(IF(CTR1_Billing!$E$21='Local Data Previous Year'!$A$3:$A$20000,ROW('Local Data Previous Year'!$A$3:$A$20000)-ROW('Local Data Previous Year'!$A$3)+1),ROW(545:545)))),"",INDEX('Local Data Previous Year'!$E$3:$E$20000,SMALL(IF(CTR1_Billing!$E$21='Local Data Previous Year'!$A$3:$A$20000,ROW('Local Data Previous Year'!$A$3:$A$20000)-ROW('Local Data Previous Year'!$A$3)+1),ROW(545:545))))</f>
        <v/>
      </c>
      <c r="F577" s="756" t="str">
        <f>IF($D577="","",IF(ISNA(MATCH($D577,'Local Data Previous Year'!$D$3:$D$20000,0)),"New",IFERROR(VLOOKUP($B577,'Local Data Previous Year'!$D$3:$I$20000,6,0),"")))</f>
        <v/>
      </c>
      <c r="G577" s="757">
        <f t="shared" si="112"/>
        <v>0</v>
      </c>
      <c r="H577" s="758" t="str">
        <f>IFERROR(INDEX('Local Data Previous Year'!$F:$F, MATCH($D577, 'Local Data Previous Year'!$D:$D, 0)), "")</f>
        <v/>
      </c>
      <c r="I577" s="759">
        <f>IF(B577=CTR1_Billing!$E$21&amp;"NEW",1,0)</f>
        <v>0</v>
      </c>
      <c r="J577" s="760" t="str">
        <f>IFERROR(INDEX('Local Data Previous Year'!$G:$G, MATCH($D577, 'Local Data Previous Year'!$D:$D, 0)), "")</f>
        <v/>
      </c>
      <c r="K577" s="762"/>
      <c r="L577" s="760" t="str">
        <f>IFERROR(INDEX('Local Data Previous Year'!$H:$H, MATCH($D577, 'Local Data Previous Year'!$D:$D, 0)), "")</f>
        <v/>
      </c>
      <c r="M577" s="762"/>
      <c r="N577" s="763"/>
      <c r="O577" s="767"/>
      <c r="P577" s="765"/>
      <c r="Q577" s="767"/>
      <c r="R577" s="766" t="str">
        <f t="shared" si="113"/>
        <v/>
      </c>
      <c r="S577" s="754"/>
      <c r="T577" s="763"/>
      <c r="U577" s="754"/>
      <c r="V577" s="763"/>
      <c r="W577" s="763"/>
      <c r="X577" s="865" t="str">
        <f>VLOOKUP(CTR1_Billing!$E$21,Data!$C$6:$D$302,1,FALSE)</f>
        <v>EZZZZ</v>
      </c>
      <c r="Y577" s="205"/>
      <c r="Z577" s="205">
        <f t="shared" si="102"/>
        <v>0</v>
      </c>
      <c r="AA577" s="206" t="str">
        <f t="shared" si="101"/>
        <v/>
      </c>
      <c r="AB577" s="205">
        <f t="shared" si="103"/>
        <v>0</v>
      </c>
      <c r="AC577" s="208"/>
      <c r="AD577" s="208"/>
      <c r="AE577" s="208"/>
      <c r="AF577" s="208"/>
      <c r="AG577" s="209" t="str">
        <f>IFERROR(INDEX('Local Data Previous Year'!$F:$F, MATCH($D577, 'Local Data Previous Year'!$D:$D, 0)), "")</f>
        <v/>
      </c>
      <c r="AH577" s="209" t="str">
        <f>IFERROR(INDEX('Local Data Previous Year'!$G:$G, MATCH($D577, 'Local Data Previous Year'!$D:$D, 0)), "")</f>
        <v/>
      </c>
      <c r="AI577" s="209" t="str">
        <f>IFERROR(INDEX('Local Data Previous Year'!$H:$H, MATCH($D577, 'Local Data Previous Year'!$D:$D, 0)), "")</f>
        <v/>
      </c>
      <c r="AJ577" s="209" t="str">
        <f t="shared" si="104"/>
        <v/>
      </c>
      <c r="AK577" s="209" t="str">
        <f t="shared" si="105"/>
        <v/>
      </c>
      <c r="AL577" s="209" t="str">
        <f t="shared" si="106"/>
        <v/>
      </c>
      <c r="AM577" s="208" t="str">
        <f>IF($AN577="","",IFERROR(VLOOKUP(CONCATENATE(CTR1_Billing!$E$20,$AN577),'Local Data Previous Year'!$C$3:$D$50000,2,0),CTR1_Billing!$E$21&amp;"NEW"))</f>
        <v/>
      </c>
      <c r="AN577" s="209" t="str" cm="1">
        <f t="array" ref="AN577">IF(ISERROR(INDEX('Local Data Previous Year'!$E$3:$E$50000, SMALL(IF(CTR1_Billing!$E$21='Local Data Previous Year'!$A$3:$A$50000, ROW('Local Data Previous Year'!$A$3:$A$50000)-ROW('Local Data Previous Year'!$A$3)+1), ROW(545:545)))), "", INDEX('Local Data Previous Year'!$E$3:$E$50000, SMALL(IF(CTR1_Billing!$E$21='Local Data Previous Year'!$A$3:$A$50000, ROW('Local Data Previous Year'!$A$3:$A$50000)-ROW('Local Data Previous Year'!$A$3)+1), ROW(545:545))))</f>
        <v/>
      </c>
      <c r="AO577" s="209" t="str">
        <f t="shared" si="107"/>
        <v/>
      </c>
      <c r="AP577" s="208"/>
      <c r="AQ577" s="209" t="str">
        <f t="shared" si="108"/>
        <v/>
      </c>
      <c r="AR577" s="209" t="str">
        <f t="shared" si="109"/>
        <v/>
      </c>
      <c r="AS577" s="202" t="str">
        <f t="shared" si="110"/>
        <v/>
      </c>
      <c r="AT577" s="202" t="str">
        <f t="shared" si="111"/>
        <v/>
      </c>
      <c r="AU577" s="208"/>
      <c r="AV577" s="208"/>
      <c r="AW577" s="208"/>
      <c r="AX577" s="208"/>
      <c r="AY577" s="208"/>
      <c r="AZ577" s="208"/>
      <c r="BA577" s="208"/>
      <c r="BB577" s="208"/>
      <c r="BC577" s="208"/>
      <c r="BD577" s="208"/>
      <c r="BE577" s="208"/>
      <c r="BF577" s="208"/>
      <c r="BG577" s="28"/>
      <c r="BH577" s="28"/>
      <c r="BI577" s="28"/>
      <c r="BJ577" s="28"/>
    </row>
    <row r="578" spans="1:62" s="23" customFormat="1" ht="21" customHeight="1" thickBot="1" x14ac:dyDescent="0.25">
      <c r="A578" s="846" t="str">
        <f>IF($AN578="","",IFERROR(VLOOKUP(CONCATENATE(CTR1_Billing!$E$20,$AN578),'Local Data Previous Year'!$C$3:$D$20000,2,0),CTR1_Billing!$E$21&amp;"NEW"))</f>
        <v/>
      </c>
      <c r="B578" s="846" t="str">
        <f>IF($E578="","",IFERROR(VLOOKUP(CONCATENATE(CTR1_Billing!$E$20,CTR1_Local!$E578),'Local Data Previous Year'!$C$3:$D$20000,2,0),CTR1_Billing!$E$21&amp;"NEW"))</f>
        <v/>
      </c>
      <c r="C578" s="846">
        <v>546</v>
      </c>
      <c r="D578" s="755" t="str" cm="1">
        <f t="array" ref="D578">IF(ISERROR(INDEX('Local Data Previous Year'!$D$3:$D$20000,SMALL(IF(CTR1_Billing!$E$21='Local Data Previous Year'!$A$3:$A$20000,ROW('Local Data Previous Year'!$A$3:$A$20000)-ROW('Local Data Previous Year'!$A$3)+1),ROW(546:546)))),"",INDEX('Local Data Previous Year'!$D$3:$D$20000,SMALL(IF(CTR1_Billing!$E$21='Local Data Previous Year'!$A$3:$A$20000,ROW('Local Data Previous Year'!$A$3:$A$20000)-ROW('Local Data Previous Year'!$A$3)+1),ROW(546:546))))</f>
        <v/>
      </c>
      <c r="E578" s="755" t="str" cm="1">
        <f t="array" ref="E578">IF(ISERROR(INDEX('Local Data Previous Year'!$E$3:$E$20000,SMALL(IF(CTR1_Billing!$E$21='Local Data Previous Year'!$A$3:$A$20000,ROW('Local Data Previous Year'!$A$3:$A$20000)-ROW('Local Data Previous Year'!$A$3)+1),ROW(546:546)))),"",INDEX('Local Data Previous Year'!$E$3:$E$20000,SMALL(IF(CTR1_Billing!$E$21='Local Data Previous Year'!$A$3:$A$20000,ROW('Local Data Previous Year'!$A$3:$A$20000)-ROW('Local Data Previous Year'!$A$3)+1),ROW(546:546))))</f>
        <v/>
      </c>
      <c r="F578" s="756" t="str">
        <f>IF($D578="","",IF(ISNA(MATCH($D578,'Local Data Previous Year'!$D$3:$D$20000,0)),"New",IFERROR(VLOOKUP($B578,'Local Data Previous Year'!$D$3:$I$20000,6,0),"")))</f>
        <v/>
      </c>
      <c r="G578" s="757">
        <f t="shared" si="112"/>
        <v>0</v>
      </c>
      <c r="H578" s="758" t="str">
        <f>IFERROR(INDEX('Local Data Previous Year'!$F:$F, MATCH($D578, 'Local Data Previous Year'!$D:$D, 0)), "")</f>
        <v/>
      </c>
      <c r="I578" s="759">
        <f>IF(B578=CTR1_Billing!$E$21&amp;"NEW",1,0)</f>
        <v>0</v>
      </c>
      <c r="J578" s="760" t="str">
        <f>IFERROR(INDEX('Local Data Previous Year'!$G:$G, MATCH($D578, 'Local Data Previous Year'!$D:$D, 0)), "")</f>
        <v/>
      </c>
      <c r="K578" s="762"/>
      <c r="L578" s="760" t="str">
        <f>IFERROR(INDEX('Local Data Previous Year'!$H:$H, MATCH($D578, 'Local Data Previous Year'!$D:$D, 0)), "")</f>
        <v/>
      </c>
      <c r="M578" s="762"/>
      <c r="N578" s="763"/>
      <c r="O578" s="767"/>
      <c r="P578" s="765"/>
      <c r="Q578" s="767"/>
      <c r="R578" s="766" t="str">
        <f t="shared" si="113"/>
        <v/>
      </c>
      <c r="S578" s="754"/>
      <c r="T578" s="763"/>
      <c r="U578" s="754"/>
      <c r="V578" s="763"/>
      <c r="W578" s="763"/>
      <c r="X578" s="865" t="str">
        <f>VLOOKUP(CTR1_Billing!$E$21,Data!$C$6:$D$302,1,FALSE)</f>
        <v>EZZZZ</v>
      </c>
      <c r="Y578" s="205"/>
      <c r="Z578" s="205">
        <f t="shared" si="102"/>
        <v>0</v>
      </c>
      <c r="AA578" s="206" t="str">
        <f t="shared" si="101"/>
        <v/>
      </c>
      <c r="AB578" s="205">
        <f t="shared" si="103"/>
        <v>0</v>
      </c>
      <c r="AC578" s="208"/>
      <c r="AD578" s="208"/>
      <c r="AE578" s="208"/>
      <c r="AF578" s="208"/>
      <c r="AG578" s="209" t="str">
        <f>IFERROR(INDEX('Local Data Previous Year'!$F:$F, MATCH($D578, 'Local Data Previous Year'!$D:$D, 0)), "")</f>
        <v/>
      </c>
      <c r="AH578" s="209" t="str">
        <f>IFERROR(INDEX('Local Data Previous Year'!$G:$G, MATCH($D578, 'Local Data Previous Year'!$D:$D, 0)), "")</f>
        <v/>
      </c>
      <c r="AI578" s="209" t="str">
        <f>IFERROR(INDEX('Local Data Previous Year'!$H:$H, MATCH($D578, 'Local Data Previous Year'!$D:$D, 0)), "")</f>
        <v/>
      </c>
      <c r="AJ578" s="209" t="str">
        <f t="shared" si="104"/>
        <v/>
      </c>
      <c r="AK578" s="209" t="str">
        <f t="shared" si="105"/>
        <v/>
      </c>
      <c r="AL578" s="209" t="str">
        <f t="shared" si="106"/>
        <v/>
      </c>
      <c r="AM578" s="208" t="str">
        <f>IF($AN578="","",IFERROR(VLOOKUP(CONCATENATE(CTR1_Billing!$E$20,$AN578),'Local Data Previous Year'!$C$3:$D$50000,2,0),CTR1_Billing!$E$21&amp;"NEW"))</f>
        <v/>
      </c>
      <c r="AN578" s="209" t="str" cm="1">
        <f t="array" ref="AN578">IF(ISERROR(INDEX('Local Data Previous Year'!$E$3:$E$50000, SMALL(IF(CTR1_Billing!$E$21='Local Data Previous Year'!$A$3:$A$50000, ROW('Local Data Previous Year'!$A$3:$A$50000)-ROW('Local Data Previous Year'!$A$3)+1), ROW(546:546)))), "", INDEX('Local Data Previous Year'!$E$3:$E$50000, SMALL(IF(CTR1_Billing!$E$21='Local Data Previous Year'!$A$3:$A$50000, ROW('Local Data Previous Year'!$A$3:$A$50000)-ROW('Local Data Previous Year'!$A$3)+1), ROW(546:546))))</f>
        <v/>
      </c>
      <c r="AO578" s="209" t="str">
        <f t="shared" si="107"/>
        <v/>
      </c>
      <c r="AP578" s="208"/>
      <c r="AQ578" s="209" t="str">
        <f t="shared" si="108"/>
        <v/>
      </c>
      <c r="AR578" s="209" t="str">
        <f t="shared" si="109"/>
        <v/>
      </c>
      <c r="AS578" s="202" t="str">
        <f t="shared" si="110"/>
        <v/>
      </c>
      <c r="AT578" s="202" t="str">
        <f t="shared" si="111"/>
        <v/>
      </c>
      <c r="AU578" s="208"/>
      <c r="AV578" s="208"/>
      <c r="AW578" s="208"/>
      <c r="AX578" s="208"/>
      <c r="AY578" s="208"/>
      <c r="AZ578" s="208"/>
      <c r="BA578" s="208"/>
      <c r="BB578" s="208"/>
      <c r="BC578" s="208"/>
      <c r="BD578" s="208"/>
      <c r="BE578" s="208"/>
      <c r="BF578" s="208"/>
      <c r="BG578" s="28"/>
      <c r="BH578" s="28"/>
      <c r="BI578" s="28"/>
      <c r="BJ578" s="28"/>
    </row>
    <row r="579" spans="1:62" s="23" customFormat="1" ht="21" customHeight="1" thickBot="1" x14ac:dyDescent="0.25">
      <c r="A579" s="846" t="str">
        <f>IF($AN579="","",IFERROR(VLOOKUP(CONCATENATE(CTR1_Billing!$E$20,$AN579),'Local Data Previous Year'!$C$3:$D$20000,2,0),CTR1_Billing!$E$21&amp;"NEW"))</f>
        <v/>
      </c>
      <c r="B579" s="846" t="str">
        <f>IF($E579="","",IFERROR(VLOOKUP(CONCATENATE(CTR1_Billing!$E$20,CTR1_Local!$E579),'Local Data Previous Year'!$C$3:$D$20000,2,0),CTR1_Billing!$E$21&amp;"NEW"))</f>
        <v/>
      </c>
      <c r="C579" s="846">
        <v>547</v>
      </c>
      <c r="D579" s="755" t="str" cm="1">
        <f t="array" ref="D579">IF(ISERROR(INDEX('Local Data Previous Year'!$D$3:$D$20000,SMALL(IF(CTR1_Billing!$E$21='Local Data Previous Year'!$A$3:$A$20000,ROW('Local Data Previous Year'!$A$3:$A$20000)-ROW('Local Data Previous Year'!$A$3)+1),ROW(547:547)))),"",INDEX('Local Data Previous Year'!$D$3:$D$20000,SMALL(IF(CTR1_Billing!$E$21='Local Data Previous Year'!$A$3:$A$20000,ROW('Local Data Previous Year'!$A$3:$A$20000)-ROW('Local Data Previous Year'!$A$3)+1),ROW(547:547))))</f>
        <v/>
      </c>
      <c r="E579" s="755" t="str" cm="1">
        <f t="array" ref="E579">IF(ISERROR(INDEX('Local Data Previous Year'!$E$3:$E$20000,SMALL(IF(CTR1_Billing!$E$21='Local Data Previous Year'!$A$3:$A$20000,ROW('Local Data Previous Year'!$A$3:$A$20000)-ROW('Local Data Previous Year'!$A$3)+1),ROW(547:547)))),"",INDEX('Local Data Previous Year'!$E$3:$E$20000,SMALL(IF(CTR1_Billing!$E$21='Local Data Previous Year'!$A$3:$A$20000,ROW('Local Data Previous Year'!$A$3:$A$20000)-ROW('Local Data Previous Year'!$A$3)+1),ROW(547:547))))</f>
        <v/>
      </c>
      <c r="F579" s="756" t="str">
        <f>IF($D579="","",IF(ISNA(MATCH($D579,'Local Data Previous Year'!$D$3:$D$20000,0)),"New",IFERROR(VLOOKUP($B579,'Local Data Previous Year'!$D$3:$I$20000,6,0),"")))</f>
        <v/>
      </c>
      <c r="G579" s="757">
        <f t="shared" si="112"/>
        <v>0</v>
      </c>
      <c r="H579" s="758" t="str">
        <f>IFERROR(INDEX('Local Data Previous Year'!$F:$F, MATCH($D579, 'Local Data Previous Year'!$D:$D, 0)), "")</f>
        <v/>
      </c>
      <c r="I579" s="759">
        <f>IF(B579=CTR1_Billing!$E$21&amp;"NEW",1,0)</f>
        <v>0</v>
      </c>
      <c r="J579" s="760" t="str">
        <f>IFERROR(INDEX('Local Data Previous Year'!$G:$G, MATCH($D579, 'Local Data Previous Year'!$D:$D, 0)), "")</f>
        <v/>
      </c>
      <c r="K579" s="762"/>
      <c r="L579" s="760" t="str">
        <f>IFERROR(INDEX('Local Data Previous Year'!$H:$H, MATCH($D579, 'Local Data Previous Year'!$D:$D, 0)), "")</f>
        <v/>
      </c>
      <c r="M579" s="762"/>
      <c r="N579" s="763"/>
      <c r="O579" s="767"/>
      <c r="P579" s="765"/>
      <c r="Q579" s="767"/>
      <c r="R579" s="766" t="str">
        <f t="shared" si="113"/>
        <v/>
      </c>
      <c r="S579" s="754"/>
      <c r="T579" s="763"/>
      <c r="U579" s="754"/>
      <c r="V579" s="763"/>
      <c r="W579" s="763"/>
      <c r="X579" s="865" t="str">
        <f>VLOOKUP(CTR1_Billing!$E$21,Data!$C$6:$D$302,1,FALSE)</f>
        <v>EZZZZ</v>
      </c>
      <c r="Y579" s="205"/>
      <c r="Z579" s="205">
        <f t="shared" si="102"/>
        <v>0</v>
      </c>
      <c r="AA579" s="206" t="str">
        <f t="shared" si="101"/>
        <v/>
      </c>
      <c r="AB579" s="205">
        <f t="shared" si="103"/>
        <v>0</v>
      </c>
      <c r="AC579" s="208"/>
      <c r="AD579" s="208"/>
      <c r="AE579" s="208"/>
      <c r="AF579" s="208"/>
      <c r="AG579" s="209" t="str">
        <f>IFERROR(INDEX('Local Data Previous Year'!$F:$F, MATCH($D579, 'Local Data Previous Year'!$D:$D, 0)), "")</f>
        <v/>
      </c>
      <c r="AH579" s="209" t="str">
        <f>IFERROR(INDEX('Local Data Previous Year'!$G:$G, MATCH($D579, 'Local Data Previous Year'!$D:$D, 0)), "")</f>
        <v/>
      </c>
      <c r="AI579" s="209" t="str">
        <f>IFERROR(INDEX('Local Data Previous Year'!$H:$H, MATCH($D579, 'Local Data Previous Year'!$D:$D, 0)), "")</f>
        <v/>
      </c>
      <c r="AJ579" s="209" t="str">
        <f t="shared" si="104"/>
        <v/>
      </c>
      <c r="AK579" s="209" t="str">
        <f t="shared" si="105"/>
        <v/>
      </c>
      <c r="AL579" s="209" t="str">
        <f t="shared" si="106"/>
        <v/>
      </c>
      <c r="AM579" s="208" t="str">
        <f>IF($AN579="","",IFERROR(VLOOKUP(CONCATENATE(CTR1_Billing!$E$20,$AN579),'Local Data Previous Year'!$C$3:$D$50000,2,0),CTR1_Billing!$E$21&amp;"NEW"))</f>
        <v/>
      </c>
      <c r="AN579" s="209" t="str" cm="1">
        <f t="array" ref="AN579">IF(ISERROR(INDEX('Local Data Previous Year'!$E$3:$E$50000, SMALL(IF(CTR1_Billing!$E$21='Local Data Previous Year'!$A$3:$A$50000, ROW('Local Data Previous Year'!$A$3:$A$50000)-ROW('Local Data Previous Year'!$A$3)+1), ROW(547:547)))), "", INDEX('Local Data Previous Year'!$E$3:$E$50000, SMALL(IF(CTR1_Billing!$E$21='Local Data Previous Year'!$A$3:$A$50000, ROW('Local Data Previous Year'!$A$3:$A$50000)-ROW('Local Data Previous Year'!$A$3)+1), ROW(547:547))))</f>
        <v/>
      </c>
      <c r="AO579" s="209" t="str">
        <f t="shared" si="107"/>
        <v/>
      </c>
      <c r="AP579" s="208"/>
      <c r="AQ579" s="209" t="str">
        <f t="shared" si="108"/>
        <v/>
      </c>
      <c r="AR579" s="209" t="str">
        <f t="shared" si="109"/>
        <v/>
      </c>
      <c r="AS579" s="202" t="str">
        <f t="shared" si="110"/>
        <v/>
      </c>
      <c r="AT579" s="202" t="str">
        <f t="shared" si="111"/>
        <v/>
      </c>
      <c r="AU579" s="208"/>
      <c r="AV579" s="208"/>
      <c r="AW579" s="208"/>
      <c r="AX579" s="208"/>
      <c r="AY579" s="208"/>
      <c r="AZ579" s="208"/>
      <c r="BA579" s="208"/>
      <c r="BB579" s="208"/>
      <c r="BC579" s="208"/>
      <c r="BD579" s="208"/>
      <c r="BE579" s="208"/>
      <c r="BF579" s="208"/>
      <c r="BG579" s="28"/>
      <c r="BH579" s="28"/>
      <c r="BI579" s="28"/>
      <c r="BJ579" s="28"/>
    </row>
    <row r="580" spans="1:62" s="23" customFormat="1" ht="21" customHeight="1" thickBot="1" x14ac:dyDescent="0.25">
      <c r="A580" s="846" t="str">
        <f>IF($AN580="","",IFERROR(VLOOKUP(CONCATENATE(CTR1_Billing!$E$20,$AN580),'Local Data Previous Year'!$C$3:$D$20000,2,0),CTR1_Billing!$E$21&amp;"NEW"))</f>
        <v/>
      </c>
      <c r="B580" s="846" t="str">
        <f>IF($E580="","",IFERROR(VLOOKUP(CONCATENATE(CTR1_Billing!$E$20,CTR1_Local!$E580),'Local Data Previous Year'!$C$3:$D$20000,2,0),CTR1_Billing!$E$21&amp;"NEW"))</f>
        <v/>
      </c>
      <c r="C580" s="846">
        <v>548</v>
      </c>
      <c r="D580" s="755" t="str" cm="1">
        <f t="array" ref="D580">IF(ISERROR(INDEX('Local Data Previous Year'!$D$3:$D$20000,SMALL(IF(CTR1_Billing!$E$21='Local Data Previous Year'!$A$3:$A$20000,ROW('Local Data Previous Year'!$A$3:$A$20000)-ROW('Local Data Previous Year'!$A$3)+1),ROW(548:548)))),"",INDEX('Local Data Previous Year'!$D$3:$D$20000,SMALL(IF(CTR1_Billing!$E$21='Local Data Previous Year'!$A$3:$A$20000,ROW('Local Data Previous Year'!$A$3:$A$20000)-ROW('Local Data Previous Year'!$A$3)+1),ROW(548:548))))</f>
        <v/>
      </c>
      <c r="E580" s="755" t="str" cm="1">
        <f t="array" ref="E580">IF(ISERROR(INDEX('Local Data Previous Year'!$E$3:$E$20000,SMALL(IF(CTR1_Billing!$E$21='Local Data Previous Year'!$A$3:$A$20000,ROW('Local Data Previous Year'!$A$3:$A$20000)-ROW('Local Data Previous Year'!$A$3)+1),ROW(548:548)))),"",INDEX('Local Data Previous Year'!$E$3:$E$20000,SMALL(IF(CTR1_Billing!$E$21='Local Data Previous Year'!$A$3:$A$20000,ROW('Local Data Previous Year'!$A$3:$A$20000)-ROW('Local Data Previous Year'!$A$3)+1),ROW(548:548))))</f>
        <v/>
      </c>
      <c r="F580" s="756" t="str">
        <f>IF($D580="","",IF(ISNA(MATCH($D580,'Local Data Previous Year'!$D$3:$D$20000,0)),"New",IFERROR(VLOOKUP($B580,'Local Data Previous Year'!$D$3:$I$20000,6,0),"")))</f>
        <v/>
      </c>
      <c r="G580" s="757">
        <f t="shared" si="112"/>
        <v>0</v>
      </c>
      <c r="H580" s="758" t="str">
        <f>IFERROR(INDEX('Local Data Previous Year'!$F:$F, MATCH($D580, 'Local Data Previous Year'!$D:$D, 0)), "")</f>
        <v/>
      </c>
      <c r="I580" s="759">
        <f>IF(B580=CTR1_Billing!$E$21&amp;"NEW",1,0)</f>
        <v>0</v>
      </c>
      <c r="J580" s="760" t="str">
        <f>IFERROR(INDEX('Local Data Previous Year'!$G:$G, MATCH($D580, 'Local Data Previous Year'!$D:$D, 0)), "")</f>
        <v/>
      </c>
      <c r="K580" s="762"/>
      <c r="L580" s="760" t="str">
        <f>IFERROR(INDEX('Local Data Previous Year'!$H:$H, MATCH($D580, 'Local Data Previous Year'!$D:$D, 0)), "")</f>
        <v/>
      </c>
      <c r="M580" s="762"/>
      <c r="N580" s="763"/>
      <c r="O580" s="767"/>
      <c r="P580" s="765"/>
      <c r="Q580" s="767"/>
      <c r="R580" s="766" t="str">
        <f t="shared" si="113"/>
        <v/>
      </c>
      <c r="S580" s="754"/>
      <c r="T580" s="763"/>
      <c r="U580" s="754"/>
      <c r="V580" s="763"/>
      <c r="W580" s="763"/>
      <c r="X580" s="865" t="str">
        <f>VLOOKUP(CTR1_Billing!$E$21,Data!$C$6:$D$302,1,FALSE)</f>
        <v>EZZZZ</v>
      </c>
      <c r="Y580" s="205"/>
      <c r="Z580" s="205">
        <f t="shared" si="102"/>
        <v>0</v>
      </c>
      <c r="AA580" s="206" t="str">
        <f t="shared" si="101"/>
        <v/>
      </c>
      <c r="AB580" s="205">
        <f t="shared" si="103"/>
        <v>0</v>
      </c>
      <c r="AC580" s="208"/>
      <c r="AD580" s="208"/>
      <c r="AE580" s="208"/>
      <c r="AF580" s="208"/>
      <c r="AG580" s="209" t="str">
        <f>IFERROR(INDEX('Local Data Previous Year'!$F:$F, MATCH($D580, 'Local Data Previous Year'!$D:$D, 0)), "")</f>
        <v/>
      </c>
      <c r="AH580" s="209" t="str">
        <f>IFERROR(INDEX('Local Data Previous Year'!$G:$G, MATCH($D580, 'Local Data Previous Year'!$D:$D, 0)), "")</f>
        <v/>
      </c>
      <c r="AI580" s="209" t="str">
        <f>IFERROR(INDEX('Local Data Previous Year'!$H:$H, MATCH($D580, 'Local Data Previous Year'!$D:$D, 0)), "")</f>
        <v/>
      </c>
      <c r="AJ580" s="209" t="str">
        <f t="shared" si="104"/>
        <v/>
      </c>
      <c r="AK580" s="209" t="str">
        <f t="shared" si="105"/>
        <v/>
      </c>
      <c r="AL580" s="209" t="str">
        <f t="shared" si="106"/>
        <v/>
      </c>
      <c r="AM580" s="208" t="str">
        <f>IF($AN580="","",IFERROR(VLOOKUP(CONCATENATE(CTR1_Billing!$E$20,$AN580),'Local Data Previous Year'!$C$3:$D$50000,2,0),CTR1_Billing!$E$21&amp;"NEW"))</f>
        <v/>
      </c>
      <c r="AN580" s="209" t="str" cm="1">
        <f t="array" ref="AN580">IF(ISERROR(INDEX('Local Data Previous Year'!$E$3:$E$50000, SMALL(IF(CTR1_Billing!$E$21='Local Data Previous Year'!$A$3:$A$50000, ROW('Local Data Previous Year'!$A$3:$A$50000)-ROW('Local Data Previous Year'!$A$3)+1), ROW(548:548)))), "", INDEX('Local Data Previous Year'!$E$3:$E$50000, SMALL(IF(CTR1_Billing!$E$21='Local Data Previous Year'!$A$3:$A$50000, ROW('Local Data Previous Year'!$A$3:$A$50000)-ROW('Local Data Previous Year'!$A$3)+1), ROW(548:548))))</f>
        <v/>
      </c>
      <c r="AO580" s="209" t="str">
        <f t="shared" si="107"/>
        <v/>
      </c>
      <c r="AP580" s="208"/>
      <c r="AQ580" s="209" t="str">
        <f t="shared" si="108"/>
        <v/>
      </c>
      <c r="AR580" s="209" t="str">
        <f t="shared" si="109"/>
        <v/>
      </c>
      <c r="AS580" s="202" t="str">
        <f t="shared" si="110"/>
        <v/>
      </c>
      <c r="AT580" s="202" t="str">
        <f t="shared" si="111"/>
        <v/>
      </c>
      <c r="AU580" s="208"/>
      <c r="AV580" s="208"/>
      <c r="AW580" s="208"/>
      <c r="AX580" s="208"/>
      <c r="AY580" s="208"/>
      <c r="AZ580" s="208"/>
      <c r="BA580" s="208"/>
      <c r="BB580" s="208"/>
      <c r="BC580" s="208"/>
      <c r="BD580" s="208"/>
      <c r="BE580" s="208"/>
      <c r="BF580" s="208"/>
      <c r="BG580" s="28"/>
      <c r="BH580" s="28"/>
      <c r="BI580" s="28"/>
      <c r="BJ580" s="28"/>
    </row>
    <row r="581" spans="1:62" s="23" customFormat="1" ht="21" customHeight="1" thickBot="1" x14ac:dyDescent="0.25">
      <c r="A581" s="846" t="str">
        <f>IF($AN581="","",IFERROR(VLOOKUP(CONCATENATE(CTR1_Billing!$E$20,$AN581),'Local Data Previous Year'!$C$3:$D$20000,2,0),CTR1_Billing!$E$21&amp;"NEW"))</f>
        <v/>
      </c>
      <c r="B581" s="846" t="str">
        <f>IF($E581="","",IFERROR(VLOOKUP(CONCATENATE(CTR1_Billing!$E$20,CTR1_Local!$E581),'Local Data Previous Year'!$C$3:$D$20000,2,0),CTR1_Billing!$E$21&amp;"NEW"))</f>
        <v/>
      </c>
      <c r="C581" s="846">
        <v>549</v>
      </c>
      <c r="D581" s="755" t="str" cm="1">
        <f t="array" ref="D581">IF(ISERROR(INDEX('Local Data Previous Year'!$D$3:$D$20000,SMALL(IF(CTR1_Billing!$E$21='Local Data Previous Year'!$A$3:$A$20000,ROW('Local Data Previous Year'!$A$3:$A$20000)-ROW('Local Data Previous Year'!$A$3)+1),ROW(549:549)))),"",INDEX('Local Data Previous Year'!$D$3:$D$20000,SMALL(IF(CTR1_Billing!$E$21='Local Data Previous Year'!$A$3:$A$20000,ROW('Local Data Previous Year'!$A$3:$A$20000)-ROW('Local Data Previous Year'!$A$3)+1),ROW(549:549))))</f>
        <v/>
      </c>
      <c r="E581" s="755" t="str" cm="1">
        <f t="array" ref="E581">IF(ISERROR(INDEX('Local Data Previous Year'!$E$3:$E$20000,SMALL(IF(CTR1_Billing!$E$21='Local Data Previous Year'!$A$3:$A$20000,ROW('Local Data Previous Year'!$A$3:$A$20000)-ROW('Local Data Previous Year'!$A$3)+1),ROW(549:549)))),"",INDEX('Local Data Previous Year'!$E$3:$E$20000,SMALL(IF(CTR1_Billing!$E$21='Local Data Previous Year'!$A$3:$A$20000,ROW('Local Data Previous Year'!$A$3:$A$20000)-ROW('Local Data Previous Year'!$A$3)+1),ROW(549:549))))</f>
        <v/>
      </c>
      <c r="F581" s="756" t="str">
        <f>IF($D581="","",IF(ISNA(MATCH($D581,'Local Data Previous Year'!$D$3:$D$20000,0)),"New",IFERROR(VLOOKUP($B581,'Local Data Previous Year'!$D$3:$I$20000,6,0),"")))</f>
        <v/>
      </c>
      <c r="G581" s="757">
        <f t="shared" si="112"/>
        <v>0</v>
      </c>
      <c r="H581" s="758" t="str">
        <f>IFERROR(INDEX('Local Data Previous Year'!$F:$F, MATCH($D581, 'Local Data Previous Year'!$D:$D, 0)), "")</f>
        <v/>
      </c>
      <c r="I581" s="759">
        <f>IF(B581=CTR1_Billing!$E$21&amp;"NEW",1,0)</f>
        <v>0</v>
      </c>
      <c r="J581" s="760" t="str">
        <f>IFERROR(INDEX('Local Data Previous Year'!$G:$G, MATCH($D581, 'Local Data Previous Year'!$D:$D, 0)), "")</f>
        <v/>
      </c>
      <c r="K581" s="762"/>
      <c r="L581" s="760" t="str">
        <f>IFERROR(INDEX('Local Data Previous Year'!$H:$H, MATCH($D581, 'Local Data Previous Year'!$D:$D, 0)), "")</f>
        <v/>
      </c>
      <c r="M581" s="762"/>
      <c r="N581" s="763"/>
      <c r="O581" s="767"/>
      <c r="P581" s="765"/>
      <c r="Q581" s="767"/>
      <c r="R581" s="766" t="str">
        <f t="shared" si="113"/>
        <v/>
      </c>
      <c r="S581" s="754"/>
      <c r="T581" s="763"/>
      <c r="U581" s="754"/>
      <c r="V581" s="763"/>
      <c r="W581" s="763"/>
      <c r="X581" s="865" t="str">
        <f>VLOOKUP(CTR1_Billing!$E$21,Data!$C$6:$D$302,1,FALSE)</f>
        <v>EZZZZ</v>
      </c>
      <c r="Y581" s="205"/>
      <c r="Z581" s="205">
        <f t="shared" si="102"/>
        <v>0</v>
      </c>
      <c r="AA581" s="206" t="str">
        <f t="shared" si="101"/>
        <v/>
      </c>
      <c r="AB581" s="205">
        <f t="shared" si="103"/>
        <v>0</v>
      </c>
      <c r="AC581" s="208"/>
      <c r="AD581" s="208"/>
      <c r="AE581" s="208"/>
      <c r="AF581" s="208"/>
      <c r="AG581" s="209" t="str">
        <f>IFERROR(INDEX('Local Data Previous Year'!$F:$F, MATCH($D581, 'Local Data Previous Year'!$D:$D, 0)), "")</f>
        <v/>
      </c>
      <c r="AH581" s="209" t="str">
        <f>IFERROR(INDEX('Local Data Previous Year'!$G:$G, MATCH($D581, 'Local Data Previous Year'!$D:$D, 0)), "")</f>
        <v/>
      </c>
      <c r="AI581" s="209" t="str">
        <f>IFERROR(INDEX('Local Data Previous Year'!$H:$H, MATCH($D581, 'Local Data Previous Year'!$D:$D, 0)), "")</f>
        <v/>
      </c>
      <c r="AJ581" s="209" t="str">
        <f t="shared" si="104"/>
        <v/>
      </c>
      <c r="AK581" s="209" t="str">
        <f t="shared" si="105"/>
        <v/>
      </c>
      <c r="AL581" s="209" t="str">
        <f t="shared" si="106"/>
        <v/>
      </c>
      <c r="AM581" s="208" t="str">
        <f>IF($AN581="","",IFERROR(VLOOKUP(CONCATENATE(CTR1_Billing!$E$20,$AN581),'Local Data Previous Year'!$C$3:$D$50000,2,0),CTR1_Billing!$E$21&amp;"NEW"))</f>
        <v/>
      </c>
      <c r="AN581" s="209" t="str" cm="1">
        <f t="array" ref="AN581">IF(ISERROR(INDEX('Local Data Previous Year'!$E$3:$E$50000, SMALL(IF(CTR1_Billing!$E$21='Local Data Previous Year'!$A$3:$A$50000, ROW('Local Data Previous Year'!$A$3:$A$50000)-ROW('Local Data Previous Year'!$A$3)+1), ROW(549:549)))), "", INDEX('Local Data Previous Year'!$E$3:$E$50000, SMALL(IF(CTR1_Billing!$E$21='Local Data Previous Year'!$A$3:$A$50000, ROW('Local Data Previous Year'!$A$3:$A$50000)-ROW('Local Data Previous Year'!$A$3)+1), ROW(549:549))))</f>
        <v/>
      </c>
      <c r="AO581" s="209" t="str">
        <f t="shared" si="107"/>
        <v/>
      </c>
      <c r="AP581" s="208"/>
      <c r="AQ581" s="209" t="str">
        <f t="shared" si="108"/>
        <v/>
      </c>
      <c r="AR581" s="209" t="str">
        <f t="shared" si="109"/>
        <v/>
      </c>
      <c r="AS581" s="202" t="str">
        <f t="shared" si="110"/>
        <v/>
      </c>
      <c r="AT581" s="202" t="str">
        <f t="shared" si="111"/>
        <v/>
      </c>
      <c r="AU581" s="208"/>
      <c r="AV581" s="208"/>
      <c r="AW581" s="208"/>
      <c r="AX581" s="208"/>
      <c r="AY581" s="208"/>
      <c r="AZ581" s="208"/>
      <c r="BA581" s="208"/>
      <c r="BB581" s="208"/>
      <c r="BC581" s="208"/>
      <c r="BD581" s="208"/>
      <c r="BE581" s="208"/>
      <c r="BF581" s="208"/>
      <c r="BG581" s="28"/>
      <c r="BH581" s="28"/>
      <c r="BI581" s="28"/>
      <c r="BJ581" s="28"/>
    </row>
    <row r="582" spans="1:62" s="23" customFormat="1" ht="21" customHeight="1" thickBot="1" x14ac:dyDescent="0.25">
      <c r="A582" s="846" t="str">
        <f>IF($AN582="","",IFERROR(VLOOKUP(CONCATENATE(CTR1_Billing!$E$20,$AN582),'Local Data Previous Year'!$C$3:$D$20000,2,0),CTR1_Billing!$E$21&amp;"NEW"))</f>
        <v/>
      </c>
      <c r="B582" s="846" t="str">
        <f>IF($E582="","",IFERROR(VLOOKUP(CONCATENATE(CTR1_Billing!$E$20,CTR1_Local!$E582),'Local Data Previous Year'!$C$3:$D$20000,2,0),CTR1_Billing!$E$21&amp;"NEW"))</f>
        <v/>
      </c>
      <c r="C582" s="846">
        <v>550</v>
      </c>
      <c r="D582" s="755" t="str" cm="1">
        <f t="array" ref="D582">IF(ISERROR(INDEX('Local Data Previous Year'!$D$3:$D$20000,SMALL(IF(CTR1_Billing!$E$21='Local Data Previous Year'!$A$3:$A$20000,ROW('Local Data Previous Year'!$A$3:$A$20000)-ROW('Local Data Previous Year'!$A$3)+1),ROW(550:550)))),"",INDEX('Local Data Previous Year'!$D$3:$D$20000,SMALL(IF(CTR1_Billing!$E$21='Local Data Previous Year'!$A$3:$A$20000,ROW('Local Data Previous Year'!$A$3:$A$20000)-ROW('Local Data Previous Year'!$A$3)+1),ROW(550:550))))</f>
        <v/>
      </c>
      <c r="E582" s="755" t="str" cm="1">
        <f t="array" ref="E582">IF(ISERROR(INDEX('Local Data Previous Year'!$E$3:$E$20000,SMALL(IF(CTR1_Billing!$E$21='Local Data Previous Year'!$A$3:$A$20000,ROW('Local Data Previous Year'!$A$3:$A$20000)-ROW('Local Data Previous Year'!$A$3)+1),ROW(550:550)))),"",INDEX('Local Data Previous Year'!$E$3:$E$20000,SMALL(IF(CTR1_Billing!$E$21='Local Data Previous Year'!$A$3:$A$20000,ROW('Local Data Previous Year'!$A$3:$A$20000)-ROW('Local Data Previous Year'!$A$3)+1),ROW(550:550))))</f>
        <v/>
      </c>
      <c r="F582" s="756" t="str">
        <f>IF($D582="","",IF(ISNA(MATCH($D582,'Local Data Previous Year'!$D$3:$D$20000,0)),"New",IFERROR(VLOOKUP($B582,'Local Data Previous Year'!$D$3:$I$20000,6,0),"")))</f>
        <v/>
      </c>
      <c r="G582" s="757">
        <f t="shared" si="112"/>
        <v>0</v>
      </c>
      <c r="H582" s="758" t="str">
        <f>IFERROR(INDEX('Local Data Previous Year'!$F:$F, MATCH($D582, 'Local Data Previous Year'!$D:$D, 0)), "")</f>
        <v/>
      </c>
      <c r="I582" s="759">
        <f>IF(B582=CTR1_Billing!$E$21&amp;"NEW",1,0)</f>
        <v>0</v>
      </c>
      <c r="J582" s="760" t="str">
        <f>IFERROR(INDEX('Local Data Previous Year'!$G:$G, MATCH($D582, 'Local Data Previous Year'!$D:$D, 0)), "")</f>
        <v/>
      </c>
      <c r="K582" s="762"/>
      <c r="L582" s="760" t="str">
        <f>IFERROR(INDEX('Local Data Previous Year'!$H:$H, MATCH($D582, 'Local Data Previous Year'!$D:$D, 0)), "")</f>
        <v/>
      </c>
      <c r="M582" s="762"/>
      <c r="N582" s="763"/>
      <c r="O582" s="767"/>
      <c r="P582" s="765"/>
      <c r="Q582" s="767"/>
      <c r="R582" s="766" t="str">
        <f t="shared" si="113"/>
        <v/>
      </c>
      <c r="S582" s="754"/>
      <c r="T582" s="763"/>
      <c r="U582" s="754"/>
      <c r="V582" s="763"/>
      <c r="W582" s="763"/>
      <c r="X582" s="865" t="str">
        <f>VLOOKUP(CTR1_Billing!$E$21,Data!$C$6:$D$302,1,FALSE)</f>
        <v>EZZZZ</v>
      </c>
      <c r="Y582" s="205"/>
      <c r="Z582" s="205">
        <f t="shared" si="102"/>
        <v>0</v>
      </c>
      <c r="AA582" s="206" t="str">
        <f t="shared" si="101"/>
        <v/>
      </c>
      <c r="AB582" s="205">
        <f t="shared" si="103"/>
        <v>0</v>
      </c>
      <c r="AC582" s="208"/>
      <c r="AD582" s="208"/>
      <c r="AE582" s="208"/>
      <c r="AF582" s="208"/>
      <c r="AG582" s="209" t="str">
        <f>IFERROR(INDEX('Local Data Previous Year'!$F:$F, MATCH($D582, 'Local Data Previous Year'!$D:$D, 0)), "")</f>
        <v/>
      </c>
      <c r="AH582" s="209" t="str">
        <f>IFERROR(INDEX('Local Data Previous Year'!$G:$G, MATCH($D582, 'Local Data Previous Year'!$D:$D, 0)), "")</f>
        <v/>
      </c>
      <c r="AI582" s="209" t="str">
        <f>IFERROR(INDEX('Local Data Previous Year'!$H:$H, MATCH($D582, 'Local Data Previous Year'!$D:$D, 0)), "")</f>
        <v/>
      </c>
      <c r="AJ582" s="209" t="str">
        <f t="shared" si="104"/>
        <v/>
      </c>
      <c r="AK582" s="209" t="str">
        <f t="shared" si="105"/>
        <v/>
      </c>
      <c r="AL582" s="209" t="str">
        <f t="shared" si="106"/>
        <v/>
      </c>
      <c r="AM582" s="208" t="str">
        <f>IF($AN582="","",IFERROR(VLOOKUP(CONCATENATE(CTR1_Billing!$E$20,$AN582),'Local Data Previous Year'!$C$3:$D$50000,2,0),CTR1_Billing!$E$21&amp;"NEW"))</f>
        <v/>
      </c>
      <c r="AN582" s="209" t="str" cm="1">
        <f t="array" ref="AN582">IF(ISERROR(INDEX('Local Data Previous Year'!$E$3:$E$50000, SMALL(IF(CTR1_Billing!$E$21='Local Data Previous Year'!$A$3:$A$50000, ROW('Local Data Previous Year'!$A$3:$A$50000)-ROW('Local Data Previous Year'!$A$3)+1), ROW(550:550)))), "", INDEX('Local Data Previous Year'!$E$3:$E$50000, SMALL(IF(CTR1_Billing!$E$21='Local Data Previous Year'!$A$3:$A$50000, ROW('Local Data Previous Year'!$A$3:$A$50000)-ROW('Local Data Previous Year'!$A$3)+1), ROW(550:550))))</f>
        <v/>
      </c>
      <c r="AO582" s="209" t="str">
        <f t="shared" si="107"/>
        <v/>
      </c>
      <c r="AP582" s="208"/>
      <c r="AQ582" s="209" t="str">
        <f t="shared" si="108"/>
        <v/>
      </c>
      <c r="AR582" s="209" t="str">
        <f t="shared" si="109"/>
        <v/>
      </c>
      <c r="AS582" s="202" t="str">
        <f t="shared" si="110"/>
        <v/>
      </c>
      <c r="AT582" s="202" t="str">
        <f t="shared" si="111"/>
        <v/>
      </c>
      <c r="AU582" s="208"/>
      <c r="AV582" s="208"/>
      <c r="AW582" s="208"/>
      <c r="AX582" s="208"/>
      <c r="AY582" s="208"/>
      <c r="AZ582" s="208"/>
      <c r="BA582" s="208"/>
      <c r="BB582" s="208"/>
      <c r="BC582" s="208"/>
      <c r="BD582" s="208"/>
      <c r="BE582" s="208"/>
      <c r="BF582" s="208"/>
      <c r="BG582" s="28"/>
      <c r="BH582" s="28"/>
      <c r="BI582" s="28"/>
      <c r="BJ582" s="28"/>
    </row>
    <row r="583" spans="1:62" s="23" customFormat="1" ht="21" customHeight="1" thickBot="1" x14ac:dyDescent="0.25">
      <c r="A583" s="846" t="str">
        <f>IF($AN583="","",IFERROR(VLOOKUP(CONCATENATE(CTR1_Billing!$E$20,$AN583),'Local Data Previous Year'!$C$3:$D$20000,2,0),CTR1_Billing!$E$21&amp;"NEW"))</f>
        <v/>
      </c>
      <c r="B583" s="846" t="str">
        <f>IF($E583="","",IFERROR(VLOOKUP(CONCATENATE(CTR1_Billing!$E$20,CTR1_Local!$E583),'Local Data Previous Year'!$C$3:$D$20000,2,0),CTR1_Billing!$E$21&amp;"NEW"))</f>
        <v/>
      </c>
      <c r="C583" s="846">
        <v>551</v>
      </c>
      <c r="D583" s="755" t="str" cm="1">
        <f t="array" ref="D583">IF(ISERROR(INDEX('Local Data Previous Year'!$D$3:$D$20000,SMALL(IF(CTR1_Billing!$E$21='Local Data Previous Year'!$A$3:$A$20000,ROW('Local Data Previous Year'!$A$3:$A$20000)-ROW('Local Data Previous Year'!$A$3)+1),ROW(551:551)))),"",INDEX('Local Data Previous Year'!$D$3:$D$20000,SMALL(IF(CTR1_Billing!$E$21='Local Data Previous Year'!$A$3:$A$20000,ROW('Local Data Previous Year'!$A$3:$A$20000)-ROW('Local Data Previous Year'!$A$3)+1),ROW(551:551))))</f>
        <v/>
      </c>
      <c r="E583" s="755" t="str" cm="1">
        <f t="array" ref="E583">IF(ISERROR(INDEX('Local Data Previous Year'!$E$3:$E$20000,SMALL(IF(CTR1_Billing!$E$21='Local Data Previous Year'!$A$3:$A$20000,ROW('Local Data Previous Year'!$A$3:$A$20000)-ROW('Local Data Previous Year'!$A$3)+1),ROW(551:551)))),"",INDEX('Local Data Previous Year'!$E$3:$E$20000,SMALL(IF(CTR1_Billing!$E$21='Local Data Previous Year'!$A$3:$A$20000,ROW('Local Data Previous Year'!$A$3:$A$20000)-ROW('Local Data Previous Year'!$A$3)+1),ROW(551:551))))</f>
        <v/>
      </c>
      <c r="F583" s="756" t="str">
        <f>IF($D583="","",IF(ISNA(MATCH($D583,'Local Data Previous Year'!$D$3:$D$20000,0)),"New",IFERROR(VLOOKUP($B583,'Local Data Previous Year'!$D$3:$I$20000,6,0),"")))</f>
        <v/>
      </c>
      <c r="G583" s="757">
        <f t="shared" si="112"/>
        <v>0</v>
      </c>
      <c r="H583" s="758" t="str">
        <f>IFERROR(INDEX('Local Data Previous Year'!$F:$F, MATCH($D583, 'Local Data Previous Year'!$D:$D, 0)), "")</f>
        <v/>
      </c>
      <c r="I583" s="759">
        <f>IF(B583=CTR1_Billing!$E$21&amp;"NEW",1,0)</f>
        <v>0</v>
      </c>
      <c r="J583" s="760" t="str">
        <f>IFERROR(INDEX('Local Data Previous Year'!$G:$G, MATCH($D583, 'Local Data Previous Year'!$D:$D, 0)), "")</f>
        <v/>
      </c>
      <c r="K583" s="762"/>
      <c r="L583" s="760" t="str">
        <f>IFERROR(INDEX('Local Data Previous Year'!$H:$H, MATCH($D583, 'Local Data Previous Year'!$D:$D, 0)), "")</f>
        <v/>
      </c>
      <c r="M583" s="762"/>
      <c r="N583" s="763"/>
      <c r="O583" s="767"/>
      <c r="P583" s="765"/>
      <c r="Q583" s="767"/>
      <c r="R583" s="766" t="str">
        <f t="shared" si="113"/>
        <v/>
      </c>
      <c r="S583" s="754"/>
      <c r="T583" s="763"/>
      <c r="U583" s="754"/>
      <c r="V583" s="763"/>
      <c r="W583" s="763"/>
      <c r="X583" s="865" t="str">
        <f>VLOOKUP(CTR1_Billing!$E$21,Data!$C$6:$D$302,1,FALSE)</f>
        <v>EZZZZ</v>
      </c>
      <c r="Y583" s="205"/>
      <c r="Z583" s="205">
        <f t="shared" si="102"/>
        <v>0</v>
      </c>
      <c r="AA583" s="206" t="str">
        <f t="shared" si="101"/>
        <v/>
      </c>
      <c r="AB583" s="205">
        <f t="shared" si="103"/>
        <v>0</v>
      </c>
      <c r="AC583" s="208"/>
      <c r="AD583" s="208"/>
      <c r="AE583" s="208"/>
      <c r="AF583" s="208"/>
      <c r="AG583" s="209" t="str">
        <f>IFERROR(INDEX('Local Data Previous Year'!$F:$F, MATCH($D583, 'Local Data Previous Year'!$D:$D, 0)), "")</f>
        <v/>
      </c>
      <c r="AH583" s="209" t="str">
        <f>IFERROR(INDEX('Local Data Previous Year'!$G:$G, MATCH($D583, 'Local Data Previous Year'!$D:$D, 0)), "")</f>
        <v/>
      </c>
      <c r="AI583" s="209" t="str">
        <f>IFERROR(INDEX('Local Data Previous Year'!$H:$H, MATCH($D583, 'Local Data Previous Year'!$D:$D, 0)), "")</f>
        <v/>
      </c>
      <c r="AJ583" s="209" t="str">
        <f t="shared" si="104"/>
        <v/>
      </c>
      <c r="AK583" s="209" t="str">
        <f t="shared" si="105"/>
        <v/>
      </c>
      <c r="AL583" s="209" t="str">
        <f t="shared" si="106"/>
        <v/>
      </c>
      <c r="AM583" s="208" t="str">
        <f>IF($AN583="","",IFERROR(VLOOKUP(CONCATENATE(CTR1_Billing!$E$20,$AN583),'Local Data Previous Year'!$C$3:$D$50000,2,0),CTR1_Billing!$E$21&amp;"NEW"))</f>
        <v/>
      </c>
      <c r="AN583" s="209" t="str" cm="1">
        <f t="array" ref="AN583">IF(ISERROR(INDEX('Local Data Previous Year'!$E$3:$E$50000, SMALL(IF(CTR1_Billing!$E$21='Local Data Previous Year'!$A$3:$A$50000, ROW('Local Data Previous Year'!$A$3:$A$50000)-ROW('Local Data Previous Year'!$A$3)+1), ROW(551:551)))), "", INDEX('Local Data Previous Year'!$E$3:$E$50000, SMALL(IF(CTR1_Billing!$E$21='Local Data Previous Year'!$A$3:$A$50000, ROW('Local Data Previous Year'!$A$3:$A$50000)-ROW('Local Data Previous Year'!$A$3)+1), ROW(551:551))))</f>
        <v/>
      </c>
      <c r="AO583" s="209" t="str">
        <f t="shared" si="107"/>
        <v/>
      </c>
      <c r="AP583" s="208"/>
      <c r="AQ583" s="209" t="str">
        <f t="shared" si="108"/>
        <v/>
      </c>
      <c r="AR583" s="209" t="str">
        <f t="shared" si="109"/>
        <v/>
      </c>
      <c r="AS583" s="202" t="str">
        <f t="shared" si="110"/>
        <v/>
      </c>
      <c r="AT583" s="202" t="str">
        <f t="shared" si="111"/>
        <v/>
      </c>
      <c r="AU583" s="208"/>
      <c r="AV583" s="208"/>
      <c r="AW583" s="208"/>
      <c r="AX583" s="208"/>
      <c r="AY583" s="208"/>
      <c r="AZ583" s="208"/>
      <c r="BA583" s="208"/>
      <c r="BB583" s="208"/>
      <c r="BC583" s="208"/>
      <c r="BD583" s="208"/>
      <c r="BE583" s="208"/>
      <c r="BF583" s="208"/>
      <c r="BG583" s="28"/>
      <c r="BH583" s="28"/>
      <c r="BI583" s="28"/>
      <c r="BJ583" s="28"/>
    </row>
    <row r="584" spans="1:62" s="23" customFormat="1" ht="21" customHeight="1" thickBot="1" x14ac:dyDescent="0.25">
      <c r="A584" s="846" t="str">
        <f>IF($AN584="","",IFERROR(VLOOKUP(CONCATENATE(CTR1_Billing!$E$20,$AN584),'Local Data Previous Year'!$C$3:$D$20000,2,0),CTR1_Billing!$E$21&amp;"NEW"))</f>
        <v/>
      </c>
      <c r="B584" s="846" t="str">
        <f>IF($E584="","",IFERROR(VLOOKUP(CONCATENATE(CTR1_Billing!$E$20,CTR1_Local!$E584),'Local Data Previous Year'!$C$3:$D$20000,2,0),CTR1_Billing!$E$21&amp;"NEW"))</f>
        <v/>
      </c>
      <c r="C584" s="846">
        <v>552</v>
      </c>
      <c r="D584" s="755" t="str" cm="1">
        <f t="array" ref="D584">IF(ISERROR(INDEX('Local Data Previous Year'!$D$3:$D$20000,SMALL(IF(CTR1_Billing!$E$21='Local Data Previous Year'!$A$3:$A$20000,ROW('Local Data Previous Year'!$A$3:$A$20000)-ROW('Local Data Previous Year'!$A$3)+1),ROW(552:552)))),"",INDEX('Local Data Previous Year'!$D$3:$D$20000,SMALL(IF(CTR1_Billing!$E$21='Local Data Previous Year'!$A$3:$A$20000,ROW('Local Data Previous Year'!$A$3:$A$20000)-ROW('Local Data Previous Year'!$A$3)+1),ROW(552:552))))</f>
        <v/>
      </c>
      <c r="E584" s="755" t="str" cm="1">
        <f t="array" ref="E584">IF(ISERROR(INDEX('Local Data Previous Year'!$E$3:$E$20000,SMALL(IF(CTR1_Billing!$E$21='Local Data Previous Year'!$A$3:$A$20000,ROW('Local Data Previous Year'!$A$3:$A$20000)-ROW('Local Data Previous Year'!$A$3)+1),ROW(552:552)))),"",INDEX('Local Data Previous Year'!$E$3:$E$20000,SMALL(IF(CTR1_Billing!$E$21='Local Data Previous Year'!$A$3:$A$20000,ROW('Local Data Previous Year'!$A$3:$A$20000)-ROW('Local Data Previous Year'!$A$3)+1),ROW(552:552))))</f>
        <v/>
      </c>
      <c r="F584" s="756" t="str">
        <f>IF($D584="","",IF(ISNA(MATCH($D584,'Local Data Previous Year'!$D$3:$D$20000,0)),"New",IFERROR(VLOOKUP($B584,'Local Data Previous Year'!$D$3:$I$20000,6,0),"")))</f>
        <v/>
      </c>
      <c r="G584" s="757">
        <f t="shared" si="112"/>
        <v>0</v>
      </c>
      <c r="H584" s="758" t="str">
        <f>IFERROR(INDEX('Local Data Previous Year'!$F:$F, MATCH($D584, 'Local Data Previous Year'!$D:$D, 0)), "")</f>
        <v/>
      </c>
      <c r="I584" s="759">
        <f>IF(B584=CTR1_Billing!$E$21&amp;"NEW",1,0)</f>
        <v>0</v>
      </c>
      <c r="J584" s="760" t="str">
        <f>IFERROR(INDEX('Local Data Previous Year'!$G:$G, MATCH($D584, 'Local Data Previous Year'!$D:$D, 0)), "")</f>
        <v/>
      </c>
      <c r="K584" s="762"/>
      <c r="L584" s="760" t="str">
        <f>IFERROR(INDEX('Local Data Previous Year'!$H:$H, MATCH($D584, 'Local Data Previous Year'!$D:$D, 0)), "")</f>
        <v/>
      </c>
      <c r="M584" s="762"/>
      <c r="N584" s="763"/>
      <c r="O584" s="767"/>
      <c r="P584" s="765"/>
      <c r="Q584" s="767"/>
      <c r="R584" s="766" t="str">
        <f t="shared" si="113"/>
        <v/>
      </c>
      <c r="S584" s="754"/>
      <c r="T584" s="763"/>
      <c r="U584" s="754"/>
      <c r="V584" s="763"/>
      <c r="W584" s="763"/>
      <c r="X584" s="865" t="str">
        <f>VLOOKUP(CTR1_Billing!$E$21,Data!$C$6:$D$302,1,FALSE)</f>
        <v>EZZZZ</v>
      </c>
      <c r="Y584" s="205"/>
      <c r="Z584" s="205">
        <f t="shared" si="102"/>
        <v>0</v>
      </c>
      <c r="AA584" s="206" t="str">
        <f t="shared" si="101"/>
        <v/>
      </c>
      <c r="AB584" s="205">
        <f t="shared" si="103"/>
        <v>0</v>
      </c>
      <c r="AC584" s="208"/>
      <c r="AD584" s="208"/>
      <c r="AE584" s="208"/>
      <c r="AF584" s="208"/>
      <c r="AG584" s="209" t="str">
        <f>IFERROR(INDEX('Local Data Previous Year'!$F:$F, MATCH($D584, 'Local Data Previous Year'!$D:$D, 0)), "")</f>
        <v/>
      </c>
      <c r="AH584" s="209" t="str">
        <f>IFERROR(INDEX('Local Data Previous Year'!$G:$G, MATCH($D584, 'Local Data Previous Year'!$D:$D, 0)), "")</f>
        <v/>
      </c>
      <c r="AI584" s="209" t="str">
        <f>IFERROR(INDEX('Local Data Previous Year'!$H:$H, MATCH($D584, 'Local Data Previous Year'!$D:$D, 0)), "")</f>
        <v/>
      </c>
      <c r="AJ584" s="209" t="str">
        <f t="shared" si="104"/>
        <v/>
      </c>
      <c r="AK584" s="209" t="str">
        <f t="shared" si="105"/>
        <v/>
      </c>
      <c r="AL584" s="209" t="str">
        <f t="shared" si="106"/>
        <v/>
      </c>
      <c r="AM584" s="208" t="str">
        <f>IF($AN584="","",IFERROR(VLOOKUP(CONCATENATE(CTR1_Billing!$E$20,$AN584),'Local Data Previous Year'!$C$3:$D$50000,2,0),CTR1_Billing!$E$21&amp;"NEW"))</f>
        <v/>
      </c>
      <c r="AN584" s="209" t="str" cm="1">
        <f t="array" ref="AN584">IF(ISERROR(INDEX('Local Data Previous Year'!$E$3:$E$50000, SMALL(IF(CTR1_Billing!$E$21='Local Data Previous Year'!$A$3:$A$50000, ROW('Local Data Previous Year'!$A$3:$A$50000)-ROW('Local Data Previous Year'!$A$3)+1), ROW(552:552)))), "", INDEX('Local Data Previous Year'!$E$3:$E$50000, SMALL(IF(CTR1_Billing!$E$21='Local Data Previous Year'!$A$3:$A$50000, ROW('Local Data Previous Year'!$A$3:$A$50000)-ROW('Local Data Previous Year'!$A$3)+1), ROW(552:552))))</f>
        <v/>
      </c>
      <c r="AO584" s="209" t="str">
        <f t="shared" si="107"/>
        <v/>
      </c>
      <c r="AP584" s="208"/>
      <c r="AQ584" s="209" t="str">
        <f t="shared" si="108"/>
        <v/>
      </c>
      <c r="AR584" s="209" t="str">
        <f t="shared" si="109"/>
        <v/>
      </c>
      <c r="AS584" s="202" t="str">
        <f t="shared" si="110"/>
        <v/>
      </c>
      <c r="AT584" s="202" t="str">
        <f t="shared" si="111"/>
        <v/>
      </c>
      <c r="AU584" s="208"/>
      <c r="AV584" s="208"/>
      <c r="AW584" s="208"/>
      <c r="AX584" s="208"/>
      <c r="AY584" s="208"/>
      <c r="AZ584" s="208"/>
      <c r="BA584" s="208"/>
      <c r="BB584" s="208"/>
      <c r="BC584" s="208"/>
      <c r="BD584" s="208"/>
      <c r="BE584" s="208"/>
      <c r="BF584" s="208"/>
      <c r="BG584" s="28"/>
      <c r="BH584" s="28"/>
      <c r="BI584" s="28"/>
      <c r="BJ584" s="28"/>
    </row>
    <row r="585" spans="1:62" s="23" customFormat="1" ht="21" customHeight="1" thickBot="1" x14ac:dyDescent="0.25">
      <c r="A585" s="846" t="str">
        <f>IF($AN585="","",IFERROR(VLOOKUP(CONCATENATE(CTR1_Billing!$E$20,$AN585),'Local Data Previous Year'!$C$3:$D$20000,2,0),CTR1_Billing!$E$21&amp;"NEW"))</f>
        <v/>
      </c>
      <c r="B585" s="846" t="str">
        <f>IF($E585="","",IFERROR(VLOOKUP(CONCATENATE(CTR1_Billing!$E$20,CTR1_Local!$E585),'Local Data Previous Year'!$C$3:$D$20000,2,0),CTR1_Billing!$E$21&amp;"NEW"))</f>
        <v/>
      </c>
      <c r="C585" s="846">
        <v>553</v>
      </c>
      <c r="D585" s="755" t="str" cm="1">
        <f t="array" ref="D585">IF(ISERROR(INDEX('Local Data Previous Year'!$D$3:$D$20000,SMALL(IF(CTR1_Billing!$E$21='Local Data Previous Year'!$A$3:$A$20000,ROW('Local Data Previous Year'!$A$3:$A$20000)-ROW('Local Data Previous Year'!$A$3)+1),ROW(553:553)))),"",INDEX('Local Data Previous Year'!$D$3:$D$20000,SMALL(IF(CTR1_Billing!$E$21='Local Data Previous Year'!$A$3:$A$20000,ROW('Local Data Previous Year'!$A$3:$A$20000)-ROW('Local Data Previous Year'!$A$3)+1),ROW(553:553))))</f>
        <v/>
      </c>
      <c r="E585" s="755" t="str" cm="1">
        <f t="array" ref="E585">IF(ISERROR(INDEX('Local Data Previous Year'!$E$3:$E$20000,SMALL(IF(CTR1_Billing!$E$21='Local Data Previous Year'!$A$3:$A$20000,ROW('Local Data Previous Year'!$A$3:$A$20000)-ROW('Local Data Previous Year'!$A$3)+1),ROW(553:553)))),"",INDEX('Local Data Previous Year'!$E$3:$E$20000,SMALL(IF(CTR1_Billing!$E$21='Local Data Previous Year'!$A$3:$A$20000,ROW('Local Data Previous Year'!$A$3:$A$20000)-ROW('Local Data Previous Year'!$A$3)+1),ROW(553:553))))</f>
        <v/>
      </c>
      <c r="F585" s="756" t="str">
        <f>IF($D585="","",IF(ISNA(MATCH($D585,'Local Data Previous Year'!$D$3:$D$20000,0)),"New",IFERROR(VLOOKUP($B585,'Local Data Previous Year'!$D$3:$I$20000,6,0),"")))</f>
        <v/>
      </c>
      <c r="G585" s="757">
        <f t="shared" si="112"/>
        <v>0</v>
      </c>
      <c r="H585" s="758" t="str">
        <f>IFERROR(INDEX('Local Data Previous Year'!$F:$F, MATCH($D585, 'Local Data Previous Year'!$D:$D, 0)), "")</f>
        <v/>
      </c>
      <c r="I585" s="759">
        <f>IF(B585=CTR1_Billing!$E$21&amp;"NEW",1,0)</f>
        <v>0</v>
      </c>
      <c r="J585" s="760" t="str">
        <f>IFERROR(INDEX('Local Data Previous Year'!$G:$G, MATCH($D585, 'Local Data Previous Year'!$D:$D, 0)), "")</f>
        <v/>
      </c>
      <c r="K585" s="762"/>
      <c r="L585" s="760" t="str">
        <f>IFERROR(INDEX('Local Data Previous Year'!$H:$H, MATCH($D585, 'Local Data Previous Year'!$D:$D, 0)), "")</f>
        <v/>
      </c>
      <c r="M585" s="762"/>
      <c r="N585" s="763"/>
      <c r="O585" s="767"/>
      <c r="P585" s="765"/>
      <c r="Q585" s="767"/>
      <c r="R585" s="766" t="str">
        <f t="shared" si="113"/>
        <v/>
      </c>
      <c r="S585" s="754"/>
      <c r="T585" s="763"/>
      <c r="U585" s="754"/>
      <c r="V585" s="763"/>
      <c r="W585" s="763"/>
      <c r="X585" s="865" t="str">
        <f>VLOOKUP(CTR1_Billing!$E$21,Data!$C$6:$D$302,1,FALSE)</f>
        <v>EZZZZ</v>
      </c>
      <c r="Y585" s="205"/>
      <c r="Z585" s="205">
        <f t="shared" si="102"/>
        <v>0</v>
      </c>
      <c r="AA585" s="206" t="str">
        <f t="shared" si="101"/>
        <v/>
      </c>
      <c r="AB585" s="205">
        <f t="shared" si="103"/>
        <v>0</v>
      </c>
      <c r="AC585" s="208"/>
      <c r="AD585" s="208"/>
      <c r="AE585" s="208"/>
      <c r="AF585" s="208"/>
      <c r="AG585" s="209" t="str">
        <f>IFERROR(INDEX('Local Data Previous Year'!$F:$F, MATCH($D585, 'Local Data Previous Year'!$D:$D, 0)), "")</f>
        <v/>
      </c>
      <c r="AH585" s="209" t="str">
        <f>IFERROR(INDEX('Local Data Previous Year'!$G:$G, MATCH($D585, 'Local Data Previous Year'!$D:$D, 0)), "")</f>
        <v/>
      </c>
      <c r="AI585" s="209" t="str">
        <f>IFERROR(INDEX('Local Data Previous Year'!$H:$H, MATCH($D585, 'Local Data Previous Year'!$D:$D, 0)), "")</f>
        <v/>
      </c>
      <c r="AJ585" s="209" t="str">
        <f t="shared" si="104"/>
        <v/>
      </c>
      <c r="AK585" s="209" t="str">
        <f t="shared" si="105"/>
        <v/>
      </c>
      <c r="AL585" s="209" t="str">
        <f t="shared" si="106"/>
        <v/>
      </c>
      <c r="AM585" s="208" t="str">
        <f>IF($AN585="","",IFERROR(VLOOKUP(CONCATENATE(CTR1_Billing!$E$20,$AN585),'Local Data Previous Year'!$C$3:$D$50000,2,0),CTR1_Billing!$E$21&amp;"NEW"))</f>
        <v/>
      </c>
      <c r="AN585" s="209" t="str" cm="1">
        <f t="array" ref="AN585">IF(ISERROR(INDEX('Local Data Previous Year'!$E$3:$E$50000, SMALL(IF(CTR1_Billing!$E$21='Local Data Previous Year'!$A$3:$A$50000, ROW('Local Data Previous Year'!$A$3:$A$50000)-ROW('Local Data Previous Year'!$A$3)+1), ROW(553:553)))), "", INDEX('Local Data Previous Year'!$E$3:$E$50000, SMALL(IF(CTR1_Billing!$E$21='Local Data Previous Year'!$A$3:$A$50000, ROW('Local Data Previous Year'!$A$3:$A$50000)-ROW('Local Data Previous Year'!$A$3)+1), ROW(553:553))))</f>
        <v/>
      </c>
      <c r="AO585" s="209" t="str">
        <f t="shared" si="107"/>
        <v/>
      </c>
      <c r="AP585" s="208"/>
      <c r="AQ585" s="209" t="str">
        <f t="shared" si="108"/>
        <v/>
      </c>
      <c r="AR585" s="209" t="str">
        <f t="shared" si="109"/>
        <v/>
      </c>
      <c r="AS585" s="202" t="str">
        <f t="shared" si="110"/>
        <v/>
      </c>
      <c r="AT585" s="202" t="str">
        <f t="shared" si="111"/>
        <v/>
      </c>
      <c r="AU585" s="208"/>
      <c r="AV585" s="208"/>
      <c r="AW585" s="208"/>
      <c r="AX585" s="208"/>
      <c r="AY585" s="208"/>
      <c r="AZ585" s="208"/>
      <c r="BA585" s="208"/>
      <c r="BB585" s="208"/>
      <c r="BC585" s="208"/>
      <c r="BD585" s="208"/>
      <c r="BE585" s="208"/>
      <c r="BF585" s="208"/>
      <c r="BG585" s="28"/>
      <c r="BH585" s="28"/>
      <c r="BI585" s="28"/>
      <c r="BJ585" s="28"/>
    </row>
    <row r="586" spans="1:62" s="23" customFormat="1" ht="21" customHeight="1" thickBot="1" x14ac:dyDescent="0.25">
      <c r="A586" s="846" t="str">
        <f>IF($AN586="","",IFERROR(VLOOKUP(CONCATENATE(CTR1_Billing!$E$20,$AN586),'Local Data Previous Year'!$C$3:$D$20000,2,0),CTR1_Billing!$E$21&amp;"NEW"))</f>
        <v/>
      </c>
      <c r="B586" s="846" t="str">
        <f>IF($E586="","",IFERROR(VLOOKUP(CONCATENATE(CTR1_Billing!$E$20,CTR1_Local!$E586),'Local Data Previous Year'!$C$3:$D$20000,2,0),CTR1_Billing!$E$21&amp;"NEW"))</f>
        <v/>
      </c>
      <c r="C586" s="846">
        <v>554</v>
      </c>
      <c r="D586" s="755" t="str" cm="1">
        <f t="array" ref="D586">IF(ISERROR(INDEX('Local Data Previous Year'!$D$3:$D$20000,SMALL(IF(CTR1_Billing!$E$21='Local Data Previous Year'!$A$3:$A$20000,ROW('Local Data Previous Year'!$A$3:$A$20000)-ROW('Local Data Previous Year'!$A$3)+1),ROW(554:554)))),"",INDEX('Local Data Previous Year'!$D$3:$D$20000,SMALL(IF(CTR1_Billing!$E$21='Local Data Previous Year'!$A$3:$A$20000,ROW('Local Data Previous Year'!$A$3:$A$20000)-ROW('Local Data Previous Year'!$A$3)+1),ROW(554:554))))</f>
        <v/>
      </c>
      <c r="E586" s="755" t="str" cm="1">
        <f t="array" ref="E586">IF(ISERROR(INDEX('Local Data Previous Year'!$E$3:$E$20000,SMALL(IF(CTR1_Billing!$E$21='Local Data Previous Year'!$A$3:$A$20000,ROW('Local Data Previous Year'!$A$3:$A$20000)-ROW('Local Data Previous Year'!$A$3)+1),ROW(554:554)))),"",INDEX('Local Data Previous Year'!$E$3:$E$20000,SMALL(IF(CTR1_Billing!$E$21='Local Data Previous Year'!$A$3:$A$20000,ROW('Local Data Previous Year'!$A$3:$A$20000)-ROW('Local Data Previous Year'!$A$3)+1),ROW(554:554))))</f>
        <v/>
      </c>
      <c r="F586" s="756" t="str">
        <f>IF($D586="","",IF(ISNA(MATCH($D586,'Local Data Previous Year'!$D$3:$D$20000,0)),"New",IFERROR(VLOOKUP($B586,'Local Data Previous Year'!$D$3:$I$20000,6,0),"")))</f>
        <v/>
      </c>
      <c r="G586" s="757">
        <f t="shared" si="112"/>
        <v>0</v>
      </c>
      <c r="H586" s="758" t="str">
        <f>IFERROR(INDEX('Local Data Previous Year'!$F:$F, MATCH($D586, 'Local Data Previous Year'!$D:$D, 0)), "")</f>
        <v/>
      </c>
      <c r="I586" s="759">
        <f>IF(B586=CTR1_Billing!$E$21&amp;"NEW",1,0)</f>
        <v>0</v>
      </c>
      <c r="J586" s="760" t="str">
        <f>IFERROR(INDEX('Local Data Previous Year'!$G:$G, MATCH($D586, 'Local Data Previous Year'!$D:$D, 0)), "")</f>
        <v/>
      </c>
      <c r="K586" s="762"/>
      <c r="L586" s="760" t="str">
        <f>IFERROR(INDEX('Local Data Previous Year'!$H:$H, MATCH($D586, 'Local Data Previous Year'!$D:$D, 0)), "")</f>
        <v/>
      </c>
      <c r="M586" s="762"/>
      <c r="N586" s="763"/>
      <c r="O586" s="767"/>
      <c r="P586" s="765"/>
      <c r="Q586" s="767"/>
      <c r="R586" s="766" t="str">
        <f t="shared" si="113"/>
        <v/>
      </c>
      <c r="S586" s="754"/>
      <c r="T586" s="763"/>
      <c r="U586" s="754"/>
      <c r="V586" s="763"/>
      <c r="W586" s="763"/>
      <c r="X586" s="865" t="str">
        <f>VLOOKUP(CTR1_Billing!$E$21,Data!$C$6:$D$302,1,FALSE)</f>
        <v>EZZZZ</v>
      </c>
      <c r="Y586" s="205"/>
      <c r="Z586" s="205">
        <f t="shared" si="102"/>
        <v>0</v>
      </c>
      <c r="AA586" s="206" t="str">
        <f t="shared" si="101"/>
        <v/>
      </c>
      <c r="AB586" s="205">
        <f t="shared" si="103"/>
        <v>0</v>
      </c>
      <c r="AC586" s="208"/>
      <c r="AD586" s="208"/>
      <c r="AE586" s="208"/>
      <c r="AF586" s="208"/>
      <c r="AG586" s="209" t="str">
        <f>IFERROR(INDEX('Local Data Previous Year'!$F:$F, MATCH($D586, 'Local Data Previous Year'!$D:$D, 0)), "")</f>
        <v/>
      </c>
      <c r="AH586" s="209" t="str">
        <f>IFERROR(INDEX('Local Data Previous Year'!$G:$G, MATCH($D586, 'Local Data Previous Year'!$D:$D, 0)), "")</f>
        <v/>
      </c>
      <c r="AI586" s="209" t="str">
        <f>IFERROR(INDEX('Local Data Previous Year'!$H:$H, MATCH($D586, 'Local Data Previous Year'!$D:$D, 0)), "")</f>
        <v/>
      </c>
      <c r="AJ586" s="209" t="str">
        <f t="shared" si="104"/>
        <v/>
      </c>
      <c r="AK586" s="209" t="str">
        <f t="shared" ref="AK586:AK587" si="114">IF(AH586=J586,"","change")</f>
        <v/>
      </c>
      <c r="AL586" s="209" t="str">
        <f t="shared" ref="AL586:AL587" si="115">IF(AI586=L586,"","change")</f>
        <v/>
      </c>
      <c r="AM586" s="208" t="str">
        <f>IF($AN586="","",IFERROR(VLOOKUP(CONCATENATE(CTR1_Billing!$E$20,$AN586),'Local Data Previous Year'!$C$3:$D$50000,2,0),CTR1_Billing!$E$21&amp;"NEW"))</f>
        <v/>
      </c>
      <c r="AN586" s="209" t="str" cm="1">
        <f t="array" ref="AN586">IF(ISERROR(INDEX('Local Data Previous Year'!$E$3:$E$50000, SMALL(IF(CTR1_Billing!$E$21='Local Data Previous Year'!$A$3:$A$50000, ROW('Local Data Previous Year'!$A$3:$A$50000)-ROW('Local Data Previous Year'!$A$3)+1), ROW(554:554)))), "", INDEX('Local Data Previous Year'!$E$3:$E$50000, SMALL(IF(CTR1_Billing!$E$21='Local Data Previous Year'!$A$3:$A$50000, ROW('Local Data Previous Year'!$A$3:$A$50000)-ROW('Local Data Previous Year'!$A$3)+1), ROW(554:554))))</f>
        <v/>
      </c>
      <c r="AO586" s="209" t="str">
        <f t="shared" si="107"/>
        <v/>
      </c>
      <c r="AP586" s="208"/>
      <c r="AQ586" s="209" t="str">
        <f t="shared" si="108"/>
        <v/>
      </c>
      <c r="AR586" s="209" t="str">
        <f t="shared" si="109"/>
        <v/>
      </c>
      <c r="AS586" s="202" t="str">
        <f t="shared" si="110"/>
        <v/>
      </c>
      <c r="AT586" s="202" t="str">
        <f t="shared" si="111"/>
        <v/>
      </c>
      <c r="AU586" s="208"/>
      <c r="AV586" s="208"/>
      <c r="AW586" s="208"/>
      <c r="AX586" s="208"/>
      <c r="AY586" s="208"/>
      <c r="AZ586" s="208"/>
      <c r="BA586" s="208"/>
      <c r="BB586" s="208"/>
      <c r="BC586" s="208"/>
      <c r="BD586" s="208"/>
      <c r="BE586" s="208"/>
      <c r="BF586" s="208"/>
      <c r="BG586" s="28"/>
      <c r="BH586" s="28"/>
      <c r="BI586" s="28"/>
      <c r="BJ586" s="28"/>
    </row>
    <row r="587" spans="1:62" s="23" customFormat="1" ht="21" customHeight="1" thickBot="1" x14ac:dyDescent="0.25">
      <c r="A587" s="846" t="str">
        <f>IF($AN587="","",IFERROR(VLOOKUP(CONCATENATE(CTR1_Billing!$E$20,$AN587),'Local Data Previous Year'!$C$3:$D$20000,2,0),CTR1_Billing!$E$21&amp;"NEW"))</f>
        <v/>
      </c>
      <c r="B587" s="846" t="str">
        <f>IF($E587="","",IFERROR(VLOOKUP(CONCATENATE(CTR1_Billing!$E$20,CTR1_Local!$E587),'Local Data Previous Year'!$C$3:$D$20000,2,0),CTR1_Billing!$E$21&amp;"NEW"))</f>
        <v/>
      </c>
      <c r="C587" s="846">
        <v>555</v>
      </c>
      <c r="D587" s="755" t="str" cm="1">
        <f t="array" ref="D587">IF(ISERROR(INDEX('Local Data Previous Year'!$D$3:$D$20000,SMALL(IF(CTR1_Billing!$E$21='Local Data Previous Year'!$A$3:$A$20000,ROW('Local Data Previous Year'!$A$3:$A$20000)-ROW('Local Data Previous Year'!$A$3)+1),ROW(555:555)))),"",INDEX('Local Data Previous Year'!$D$3:$D$20000,SMALL(IF(CTR1_Billing!$E$21='Local Data Previous Year'!$A$3:$A$20000,ROW('Local Data Previous Year'!$A$3:$A$20000)-ROW('Local Data Previous Year'!$A$3)+1),ROW(555:555))))</f>
        <v/>
      </c>
      <c r="E587" s="755" t="str" cm="1">
        <f t="array" ref="E587">IF(ISERROR(INDEX('Local Data Previous Year'!$E$3:$E$20000,SMALL(IF(CTR1_Billing!$E$21='Local Data Previous Year'!$A$3:$A$20000,ROW('Local Data Previous Year'!$A$3:$A$20000)-ROW('Local Data Previous Year'!$A$3)+1),ROW(555:555)))),"",INDEX('Local Data Previous Year'!$E$3:$E$20000,SMALL(IF(CTR1_Billing!$E$21='Local Data Previous Year'!$A$3:$A$20000,ROW('Local Data Previous Year'!$A$3:$A$20000)-ROW('Local Data Previous Year'!$A$3)+1),ROW(555:555))))</f>
        <v/>
      </c>
      <c r="F587" s="756" t="str">
        <f>IF($D587="","",IF(ISNA(MATCH($D587,'Local Data Previous Year'!$D$3:$D$20000,0)),"New",IFERROR(VLOOKUP($B587,'Local Data Previous Year'!$D$3:$I$20000,6,0),"")))</f>
        <v/>
      </c>
      <c r="G587" s="757">
        <f t="shared" si="112"/>
        <v>0</v>
      </c>
      <c r="H587" s="758" t="str">
        <f>IFERROR(INDEX('Local Data Previous Year'!$F:$F, MATCH($D587, 'Local Data Previous Year'!$D:$D, 0)), "")</f>
        <v/>
      </c>
      <c r="I587" s="759">
        <f>IF(B587=CTR1_Billing!$E$21&amp;"NEW",1,0)</f>
        <v>0</v>
      </c>
      <c r="J587" s="760" t="str">
        <f>IFERROR(INDEX('Local Data Previous Year'!$G:$G, MATCH($D587, 'Local Data Previous Year'!$D:$D, 0)), "")</f>
        <v/>
      </c>
      <c r="K587" s="762"/>
      <c r="L587" s="760" t="str">
        <f>IFERROR(INDEX('Local Data Previous Year'!$H:$H, MATCH($D587, 'Local Data Previous Year'!$D:$D, 0)), "")</f>
        <v/>
      </c>
      <c r="M587" s="762"/>
      <c r="N587" s="763"/>
      <c r="O587" s="767"/>
      <c r="P587" s="765"/>
      <c r="Q587" s="767"/>
      <c r="R587" s="766" t="str">
        <f t="shared" si="113"/>
        <v/>
      </c>
      <c r="S587" s="754"/>
      <c r="T587" s="763"/>
      <c r="U587" s="754"/>
      <c r="V587" s="763"/>
      <c r="W587" s="763"/>
      <c r="X587" s="865" t="str">
        <f>VLOOKUP(CTR1_Billing!$E$21,Data!$C$6:$D$302,1,FALSE)</f>
        <v>EZZZZ</v>
      </c>
      <c r="Y587" s="205"/>
      <c r="Z587" s="205">
        <f t="shared" si="102"/>
        <v>0</v>
      </c>
      <c r="AA587" s="206" t="str">
        <f t="shared" si="101"/>
        <v/>
      </c>
      <c r="AB587" s="205">
        <f t="shared" si="103"/>
        <v>0</v>
      </c>
      <c r="AC587" s="208"/>
      <c r="AD587" s="208"/>
      <c r="AE587" s="208"/>
      <c r="AF587" s="208"/>
      <c r="AG587" s="209" t="str">
        <f>IFERROR(INDEX('Local Data Previous Year'!$F:$F, MATCH($D587, 'Local Data Previous Year'!$D:$D, 0)), "")</f>
        <v/>
      </c>
      <c r="AH587" s="209" t="str">
        <f>IFERROR(INDEX('Local Data Previous Year'!$G:$G, MATCH($D587, 'Local Data Previous Year'!$D:$D, 0)), "")</f>
        <v/>
      </c>
      <c r="AI587" s="209" t="str">
        <f>IFERROR(INDEX('Local Data Previous Year'!$H:$H, MATCH($D587, 'Local Data Previous Year'!$D:$D, 0)), "")</f>
        <v/>
      </c>
      <c r="AJ587" s="209" t="str">
        <f t="shared" si="104"/>
        <v/>
      </c>
      <c r="AK587" s="209" t="str">
        <f t="shared" si="114"/>
        <v/>
      </c>
      <c r="AL587" s="209" t="str">
        <f t="shared" si="115"/>
        <v/>
      </c>
      <c r="AM587" s="208" t="str">
        <f>IF($AN587="","",IFERROR(VLOOKUP(CONCATENATE(CTR1_Billing!$E$20,$AN587),'Local Data Previous Year'!$C$3:$D$50000,2,0),CTR1_Billing!$E$21&amp;"NEW"))</f>
        <v/>
      </c>
      <c r="AN587" s="209" t="str" cm="1">
        <f t="array" ref="AN587">IF(ISERROR(INDEX('Local Data Previous Year'!$E$3:$E$50000, SMALL(IF(CTR1_Billing!$E$21='Local Data Previous Year'!$A$3:$A$50000, ROW('Local Data Previous Year'!$A$3:$A$50000)-ROW('Local Data Previous Year'!$A$3)+1), ROW(555:555)))), "", INDEX('Local Data Previous Year'!$E$3:$E$50000, SMALL(IF(CTR1_Billing!$E$21='Local Data Previous Year'!$A$3:$A$50000, ROW('Local Data Previous Year'!$A$3:$A$50000)-ROW('Local Data Previous Year'!$A$3)+1), ROW(555:555))))</f>
        <v/>
      </c>
      <c r="AO587" s="209" t="str">
        <f t="shared" si="107"/>
        <v/>
      </c>
      <c r="AP587" s="208"/>
      <c r="AQ587" s="209" t="str">
        <f t="shared" si="108"/>
        <v/>
      </c>
      <c r="AR587" s="209" t="str">
        <f t="shared" si="109"/>
        <v/>
      </c>
      <c r="AS587" s="202" t="str">
        <f t="shared" si="110"/>
        <v/>
      </c>
      <c r="AT587" s="202" t="str">
        <f t="shared" si="111"/>
        <v/>
      </c>
      <c r="AU587" s="208"/>
      <c r="AV587" s="208"/>
      <c r="AW587" s="208"/>
      <c r="AX587" s="208"/>
      <c r="AY587" s="208"/>
      <c r="AZ587" s="208"/>
      <c r="BA587" s="208"/>
      <c r="BB587" s="208"/>
      <c r="BC587" s="208"/>
      <c r="BD587" s="208"/>
      <c r="BE587" s="208"/>
      <c r="BF587" s="208"/>
      <c r="BG587" s="28"/>
      <c r="BH587" s="28"/>
      <c r="BI587" s="28"/>
      <c r="BJ587" s="28"/>
    </row>
    <row r="588" spans="1:62" s="23" customFormat="1" ht="21" customHeight="1" thickBot="1" x14ac:dyDescent="0.25">
      <c r="A588" s="846" t="str">
        <f>IF($AN588="","",IFERROR(VLOOKUP(CONCATENATE(CTR1_Billing!$E$20,$AN588),'Local Data Previous Year'!$C$3:$D$20000,2,0),CTR1_Billing!$E$21&amp;"NEW"))</f>
        <v/>
      </c>
      <c r="B588" s="846" t="str">
        <f>IF($E588="","",IFERROR(VLOOKUP(CONCATENATE(CTR1_Billing!$E$20,CTR1_Local!$E588),'Local Data Previous Year'!$C$3:$D$20000,2,0),CTR1_Billing!$E$21&amp;"NEW"))</f>
        <v/>
      </c>
      <c r="C588" s="846">
        <v>556</v>
      </c>
      <c r="D588" s="755" t="str" cm="1">
        <f t="array" ref="D588">IF(ISERROR(INDEX('Local Data Previous Year'!$D$3:$D$20000,SMALL(IF(CTR1_Billing!$E$21='Local Data Previous Year'!$A$3:$A$20000,ROW('Local Data Previous Year'!$A$3:$A$20000)-ROW('Local Data Previous Year'!$A$3)+1),ROW(556:556)))),"",INDEX('Local Data Previous Year'!$D$3:$D$20000,SMALL(IF(CTR1_Billing!$E$21='Local Data Previous Year'!$A$3:$A$20000,ROW('Local Data Previous Year'!$A$3:$A$20000)-ROW('Local Data Previous Year'!$A$3)+1),ROW(556:556))))</f>
        <v/>
      </c>
      <c r="E588" s="755" t="str" cm="1">
        <f t="array" ref="E588">IF(ISERROR(INDEX('Local Data Previous Year'!$E$3:$E$20000,SMALL(IF(CTR1_Billing!$E$21='Local Data Previous Year'!$A$3:$A$20000,ROW('Local Data Previous Year'!$A$3:$A$20000)-ROW('Local Data Previous Year'!$A$3)+1),ROW(556:556)))),"",INDEX('Local Data Previous Year'!$E$3:$E$20000,SMALL(IF(CTR1_Billing!$E$21='Local Data Previous Year'!$A$3:$A$20000,ROW('Local Data Previous Year'!$A$3:$A$20000)-ROW('Local Data Previous Year'!$A$3)+1),ROW(556:556))))</f>
        <v/>
      </c>
      <c r="F588" s="756" t="str">
        <f>IF($D588="","",IF(ISNA(MATCH($D588,'Local Data Previous Year'!$D$3:$D$20000,0)),"New",IFERROR(VLOOKUP($B588,'Local Data Previous Year'!$D$3:$I$20000,6,0),"")))</f>
        <v/>
      </c>
      <c r="G588" s="757">
        <f t="shared" si="112"/>
        <v>0</v>
      </c>
      <c r="H588" s="758" t="str">
        <f>IFERROR(INDEX('Local Data Previous Year'!$F:$F, MATCH($D588, 'Local Data Previous Year'!$D:$D, 0)), "")</f>
        <v/>
      </c>
      <c r="I588" s="759">
        <f>IF(B588=CTR1_Billing!$E$21&amp;"NEW",1,0)</f>
        <v>0</v>
      </c>
      <c r="J588" s="760" t="str">
        <f>IFERROR(INDEX('Local Data Previous Year'!$G:$G, MATCH($D588, 'Local Data Previous Year'!$D:$D, 0)), "")</f>
        <v/>
      </c>
      <c r="K588" s="762"/>
      <c r="L588" s="760" t="str">
        <f>IFERROR(INDEX('Local Data Previous Year'!$H:$H, MATCH($D588, 'Local Data Previous Year'!$D:$D, 0)), "")</f>
        <v/>
      </c>
      <c r="M588" s="762"/>
      <c r="N588" s="763"/>
      <c r="O588" s="767"/>
      <c r="P588" s="765"/>
      <c r="Q588" s="767"/>
      <c r="R588" s="766" t="str">
        <f t="shared" si="113"/>
        <v/>
      </c>
      <c r="S588" s="754"/>
      <c r="T588" s="763"/>
      <c r="U588" s="754"/>
      <c r="V588" s="763"/>
      <c r="W588" s="763"/>
      <c r="X588" s="865" t="str">
        <f>VLOOKUP(CTR1_Billing!$E$21,Data!$C$6:$D$302,1,FALSE)</f>
        <v>EZZZZ</v>
      </c>
      <c r="Y588" s="205"/>
      <c r="Z588" s="205">
        <f t="shared" si="102"/>
        <v>0</v>
      </c>
      <c r="AA588" s="206" t="str">
        <f t="shared" si="101"/>
        <v/>
      </c>
      <c r="AB588" s="205">
        <f t="shared" si="103"/>
        <v>0</v>
      </c>
      <c r="AC588" s="208"/>
      <c r="AD588" s="208"/>
      <c r="AE588" s="208"/>
      <c r="AF588" s="208"/>
      <c r="AG588" s="209" t="str">
        <f>IFERROR(INDEX('Local Data Previous Year'!$F:$F, MATCH($D588, 'Local Data Previous Year'!$D:$D, 0)), "")</f>
        <v/>
      </c>
      <c r="AH588" s="209" t="str">
        <f>IFERROR(INDEX('Local Data Previous Year'!$G:$G, MATCH($D588, 'Local Data Previous Year'!$D:$D, 0)), "")</f>
        <v/>
      </c>
      <c r="AI588" s="209" t="str">
        <f>IFERROR(INDEX('Local Data Previous Year'!$H:$H, MATCH($D588, 'Local Data Previous Year'!$D:$D, 0)), "")</f>
        <v/>
      </c>
      <c r="AJ588" s="209" t="str">
        <f t="shared" si="104"/>
        <v/>
      </c>
      <c r="AK588" s="209" t="str">
        <f t="shared" ref="AK588:AK704" si="116">IF(AH588=J588,"","change")</f>
        <v/>
      </c>
      <c r="AL588" s="209" t="str">
        <f t="shared" ref="AL588:AL704" si="117">IF(AI588=L588,"","change")</f>
        <v/>
      </c>
      <c r="AM588" s="208" t="str">
        <f>IF($AN588="","",IFERROR(VLOOKUP(CONCATENATE(CTR1_Billing!$E$20,$AN588),'Local Data Previous Year'!$C$3:$D$50000,2,0),CTR1_Billing!$E$21&amp;"NEW"))</f>
        <v/>
      </c>
      <c r="AN588" s="209" t="str" cm="1">
        <f t="array" ref="AN588">IF(ISERROR(INDEX('Local Data Previous Year'!$E$3:$E$50000, SMALL(IF(CTR1_Billing!$E$21='Local Data Previous Year'!$A$3:$A$50000, ROW('Local Data Previous Year'!$A$3:$A$50000)-ROW('Local Data Previous Year'!$A$3)+1), ROW(556:556)))), "", INDEX('Local Data Previous Year'!$E$3:$E$50000, SMALL(IF(CTR1_Billing!$E$21='Local Data Previous Year'!$A$3:$A$50000, ROW('Local Data Previous Year'!$A$3:$A$50000)-ROW('Local Data Previous Year'!$A$3)+1), ROW(556:556))))</f>
        <v/>
      </c>
      <c r="AO588" s="209" t="str">
        <f t="shared" si="107"/>
        <v/>
      </c>
      <c r="AP588" s="208"/>
      <c r="AQ588" s="209" t="str">
        <f t="shared" si="108"/>
        <v/>
      </c>
      <c r="AR588" s="209" t="str">
        <f t="shared" si="109"/>
        <v/>
      </c>
      <c r="AS588" s="202" t="str">
        <f t="shared" si="110"/>
        <v/>
      </c>
      <c r="AT588" s="202" t="str">
        <f t="shared" si="111"/>
        <v/>
      </c>
      <c r="AU588" s="208"/>
      <c r="AV588" s="208"/>
      <c r="AW588" s="208"/>
      <c r="AX588" s="208"/>
      <c r="AY588" s="208"/>
      <c r="AZ588" s="208"/>
      <c r="BA588" s="208"/>
      <c r="BB588" s="208"/>
      <c r="BC588" s="208"/>
      <c r="BD588" s="208"/>
      <c r="BE588" s="208"/>
      <c r="BF588" s="208"/>
      <c r="BG588" s="28"/>
      <c r="BH588" s="28"/>
      <c r="BI588" s="28"/>
      <c r="BJ588" s="28"/>
    </row>
    <row r="589" spans="1:62" s="23" customFormat="1" ht="21" customHeight="1" thickBot="1" x14ac:dyDescent="0.25">
      <c r="A589" s="846" t="str">
        <f>IF($AN589="","",IFERROR(VLOOKUP(CONCATENATE(CTR1_Billing!$E$20,$AN589),'Local Data Previous Year'!$C$3:$D$20000,2,0),CTR1_Billing!$E$21&amp;"NEW"))</f>
        <v/>
      </c>
      <c r="B589" s="846" t="str">
        <f>IF($E589="","",IFERROR(VLOOKUP(CONCATENATE(CTR1_Billing!$E$20,CTR1_Local!$E589),'Local Data Previous Year'!$C$3:$D$20000,2,0),CTR1_Billing!$E$21&amp;"NEW"))</f>
        <v/>
      </c>
      <c r="C589" s="846">
        <v>557</v>
      </c>
      <c r="D589" s="755" t="str" cm="1">
        <f t="array" ref="D589">IF(ISERROR(INDEX('Local Data Previous Year'!$D$3:$D$20000,SMALL(IF(CTR1_Billing!$E$21='Local Data Previous Year'!$A$3:$A$20000,ROW('Local Data Previous Year'!$A$3:$A$20000)-ROW('Local Data Previous Year'!$A$3)+1),ROW(557:557)))),"",INDEX('Local Data Previous Year'!$D$3:$D$20000,SMALL(IF(CTR1_Billing!$E$21='Local Data Previous Year'!$A$3:$A$20000,ROW('Local Data Previous Year'!$A$3:$A$20000)-ROW('Local Data Previous Year'!$A$3)+1),ROW(557:557))))</f>
        <v/>
      </c>
      <c r="E589" s="755" t="str" cm="1">
        <f t="array" ref="E589">IF(ISERROR(INDEX('Local Data Previous Year'!$E$3:$E$20000,SMALL(IF(CTR1_Billing!$E$21='Local Data Previous Year'!$A$3:$A$20000,ROW('Local Data Previous Year'!$A$3:$A$20000)-ROW('Local Data Previous Year'!$A$3)+1),ROW(557:557)))),"",INDEX('Local Data Previous Year'!$E$3:$E$20000,SMALL(IF(CTR1_Billing!$E$21='Local Data Previous Year'!$A$3:$A$20000,ROW('Local Data Previous Year'!$A$3:$A$20000)-ROW('Local Data Previous Year'!$A$3)+1),ROW(557:557))))</f>
        <v/>
      </c>
      <c r="F589" s="756" t="str">
        <f>IF($D589="","",IF(ISNA(MATCH($D589,'Local Data Previous Year'!$D$3:$D$20000,0)),"New",IFERROR(VLOOKUP($B589,'Local Data Previous Year'!$D$3:$I$20000,6,0),"")))</f>
        <v/>
      </c>
      <c r="G589" s="757">
        <f t="shared" si="112"/>
        <v>0</v>
      </c>
      <c r="H589" s="758" t="str">
        <f>IFERROR(INDEX('Local Data Previous Year'!$F:$F, MATCH($D589, 'Local Data Previous Year'!$D:$D, 0)), "")</f>
        <v/>
      </c>
      <c r="I589" s="759">
        <f>IF(B589=CTR1_Billing!$E$21&amp;"NEW",1,0)</f>
        <v>0</v>
      </c>
      <c r="J589" s="760" t="str">
        <f>IFERROR(INDEX('Local Data Previous Year'!$G:$G, MATCH($D589, 'Local Data Previous Year'!$D:$D, 0)), "")</f>
        <v/>
      </c>
      <c r="K589" s="762"/>
      <c r="L589" s="760" t="str">
        <f>IFERROR(INDEX('Local Data Previous Year'!$H:$H, MATCH($D589, 'Local Data Previous Year'!$D:$D, 0)), "")</f>
        <v/>
      </c>
      <c r="M589" s="762"/>
      <c r="N589" s="763"/>
      <c r="O589" s="767"/>
      <c r="P589" s="765"/>
      <c r="Q589" s="767"/>
      <c r="R589" s="766" t="str">
        <f t="shared" si="113"/>
        <v/>
      </c>
      <c r="S589" s="754"/>
      <c r="T589" s="763"/>
      <c r="U589" s="754"/>
      <c r="V589" s="763"/>
      <c r="W589" s="763"/>
      <c r="X589" s="865" t="str">
        <f>VLOOKUP(CTR1_Billing!$E$21,Data!$C$6:$D$302,1,FALSE)</f>
        <v>EZZZZ</v>
      </c>
      <c r="Y589" s="205"/>
      <c r="Z589" s="205">
        <f t="shared" si="102"/>
        <v>0</v>
      </c>
      <c r="AA589" s="206" t="str">
        <f t="shared" si="101"/>
        <v/>
      </c>
      <c r="AB589" s="205">
        <f t="shared" si="103"/>
        <v>0</v>
      </c>
      <c r="AC589" s="208"/>
      <c r="AD589" s="208"/>
      <c r="AE589" s="208"/>
      <c r="AF589" s="208"/>
      <c r="AG589" s="209" t="str">
        <f>IFERROR(INDEX('Local Data Previous Year'!$F:$F, MATCH($D589, 'Local Data Previous Year'!$D:$D, 0)), "")</f>
        <v/>
      </c>
      <c r="AH589" s="209" t="str">
        <f>IFERROR(INDEX('Local Data Previous Year'!$G:$G, MATCH($D589, 'Local Data Previous Year'!$D:$D, 0)), "")</f>
        <v/>
      </c>
      <c r="AI589" s="209" t="str">
        <f>IFERROR(INDEX('Local Data Previous Year'!$H:$H, MATCH($D589, 'Local Data Previous Year'!$D:$D, 0)), "")</f>
        <v/>
      </c>
      <c r="AJ589" s="209" t="str">
        <f t="shared" si="104"/>
        <v/>
      </c>
      <c r="AK589" s="209" t="str">
        <f t="shared" si="116"/>
        <v/>
      </c>
      <c r="AL589" s="209" t="str">
        <f t="shared" si="117"/>
        <v/>
      </c>
      <c r="AM589" s="208" t="str">
        <f>IF($AN589="","",IFERROR(VLOOKUP(CONCATENATE(CTR1_Billing!$E$20,$AN589),'Local Data Previous Year'!$C$3:$D$50000,2,0),CTR1_Billing!$E$21&amp;"NEW"))</f>
        <v/>
      </c>
      <c r="AN589" s="209" t="str" cm="1">
        <f t="array" ref="AN589">IF(ISERROR(INDEX('Local Data Previous Year'!$E$3:$E$50000, SMALL(IF(CTR1_Billing!$E$21='Local Data Previous Year'!$A$3:$A$50000, ROW('Local Data Previous Year'!$A$3:$A$50000)-ROW('Local Data Previous Year'!$A$3)+1), ROW(557:557)))), "", INDEX('Local Data Previous Year'!$E$3:$E$50000, SMALL(IF(CTR1_Billing!$E$21='Local Data Previous Year'!$A$3:$A$50000, ROW('Local Data Previous Year'!$A$3:$A$50000)-ROW('Local Data Previous Year'!$A$3)+1), ROW(557:557))))</f>
        <v/>
      </c>
      <c r="AO589" s="209" t="str">
        <f t="shared" si="107"/>
        <v/>
      </c>
      <c r="AP589" s="208"/>
      <c r="AQ589" s="209" t="str">
        <f t="shared" si="108"/>
        <v/>
      </c>
      <c r="AR589" s="209" t="str">
        <f t="shared" si="109"/>
        <v/>
      </c>
      <c r="AS589" s="202" t="str">
        <f t="shared" si="110"/>
        <v/>
      </c>
      <c r="AT589" s="202" t="str">
        <f t="shared" si="111"/>
        <v/>
      </c>
      <c r="AU589" s="208"/>
      <c r="AV589" s="208"/>
      <c r="AW589" s="208"/>
      <c r="AX589" s="208"/>
      <c r="AY589" s="208"/>
      <c r="AZ589" s="208"/>
      <c r="BA589" s="208"/>
      <c r="BB589" s="208"/>
      <c r="BC589" s="208"/>
      <c r="BD589" s="208"/>
      <c r="BE589" s="208"/>
      <c r="BF589" s="208"/>
      <c r="BG589" s="28"/>
      <c r="BH589" s="28"/>
      <c r="BI589" s="28"/>
      <c r="BJ589" s="28"/>
    </row>
    <row r="590" spans="1:62" s="23" customFormat="1" ht="21" customHeight="1" thickBot="1" x14ac:dyDescent="0.25">
      <c r="A590" s="846" t="str">
        <f>IF($AN590="","",IFERROR(VLOOKUP(CONCATENATE(CTR1_Billing!$E$20,$AN590),'Local Data Previous Year'!$C$3:$D$20000,2,0),CTR1_Billing!$E$21&amp;"NEW"))</f>
        <v/>
      </c>
      <c r="B590" s="846" t="str">
        <f>IF($E590="","",IFERROR(VLOOKUP(CONCATENATE(CTR1_Billing!$E$20,CTR1_Local!$E590),'Local Data Previous Year'!$C$3:$D$20000,2,0),CTR1_Billing!$E$21&amp;"NEW"))</f>
        <v/>
      </c>
      <c r="C590" s="846">
        <v>558</v>
      </c>
      <c r="D590" s="755" t="str" cm="1">
        <f t="array" ref="D590">IF(ISERROR(INDEX('Local Data Previous Year'!$D$3:$D$20000,SMALL(IF(CTR1_Billing!$E$21='Local Data Previous Year'!$A$3:$A$20000,ROW('Local Data Previous Year'!$A$3:$A$20000)-ROW('Local Data Previous Year'!$A$3)+1),ROW(558:558)))),"",INDEX('Local Data Previous Year'!$D$3:$D$20000,SMALL(IF(CTR1_Billing!$E$21='Local Data Previous Year'!$A$3:$A$20000,ROW('Local Data Previous Year'!$A$3:$A$20000)-ROW('Local Data Previous Year'!$A$3)+1),ROW(558:558))))</f>
        <v/>
      </c>
      <c r="E590" s="755" t="str" cm="1">
        <f t="array" ref="E590">IF(ISERROR(INDEX('Local Data Previous Year'!$E$3:$E$20000,SMALL(IF(CTR1_Billing!$E$21='Local Data Previous Year'!$A$3:$A$20000,ROW('Local Data Previous Year'!$A$3:$A$20000)-ROW('Local Data Previous Year'!$A$3)+1),ROW(558:558)))),"",INDEX('Local Data Previous Year'!$E$3:$E$20000,SMALL(IF(CTR1_Billing!$E$21='Local Data Previous Year'!$A$3:$A$20000,ROW('Local Data Previous Year'!$A$3:$A$20000)-ROW('Local Data Previous Year'!$A$3)+1),ROW(558:558))))</f>
        <v/>
      </c>
      <c r="F590" s="756" t="str">
        <f>IF($D590="","",IF(ISNA(MATCH($D590,'Local Data Previous Year'!$D$3:$D$20000,0)),"New",IFERROR(VLOOKUP($B590,'Local Data Previous Year'!$D$3:$I$20000,6,0),"")))</f>
        <v/>
      </c>
      <c r="G590" s="757">
        <f t="shared" si="112"/>
        <v>0</v>
      </c>
      <c r="H590" s="758" t="str">
        <f>IFERROR(INDEX('Local Data Previous Year'!$F:$F, MATCH($D590, 'Local Data Previous Year'!$D:$D, 0)), "")</f>
        <v/>
      </c>
      <c r="I590" s="759">
        <f>IF(B590=CTR1_Billing!$E$21&amp;"NEW",1,0)</f>
        <v>0</v>
      </c>
      <c r="J590" s="760" t="str">
        <f>IFERROR(INDEX('Local Data Previous Year'!$G:$G, MATCH($D590, 'Local Data Previous Year'!$D:$D, 0)), "")</f>
        <v/>
      </c>
      <c r="K590" s="762"/>
      <c r="L590" s="760" t="str">
        <f>IFERROR(INDEX('Local Data Previous Year'!$H:$H, MATCH($D590, 'Local Data Previous Year'!$D:$D, 0)), "")</f>
        <v/>
      </c>
      <c r="M590" s="762"/>
      <c r="N590" s="763"/>
      <c r="O590" s="767"/>
      <c r="P590" s="765"/>
      <c r="Q590" s="767"/>
      <c r="R590" s="766" t="str">
        <f t="shared" si="113"/>
        <v/>
      </c>
      <c r="S590" s="754"/>
      <c r="T590" s="763"/>
      <c r="U590" s="754"/>
      <c r="V590" s="763"/>
      <c r="W590" s="763"/>
      <c r="X590" s="865" t="str">
        <f>VLOOKUP(CTR1_Billing!$E$21,Data!$C$6:$D$302,1,FALSE)</f>
        <v>EZZZZ</v>
      </c>
      <c r="Y590" s="205"/>
      <c r="Z590" s="205">
        <f t="shared" si="102"/>
        <v>0</v>
      </c>
      <c r="AA590" s="206" t="str">
        <f t="shared" si="101"/>
        <v/>
      </c>
      <c r="AB590" s="205">
        <f t="shared" si="103"/>
        <v>0</v>
      </c>
      <c r="AC590" s="208"/>
      <c r="AD590" s="208"/>
      <c r="AE590" s="208"/>
      <c r="AF590" s="208"/>
      <c r="AG590" s="209" t="str">
        <f>IFERROR(INDEX('Local Data Previous Year'!$F:$F, MATCH($D590, 'Local Data Previous Year'!$D:$D, 0)), "")</f>
        <v/>
      </c>
      <c r="AH590" s="209" t="str">
        <f>IFERROR(INDEX('Local Data Previous Year'!$G:$G, MATCH($D590, 'Local Data Previous Year'!$D:$D, 0)), "")</f>
        <v/>
      </c>
      <c r="AI590" s="209" t="str">
        <f>IFERROR(INDEX('Local Data Previous Year'!$H:$H, MATCH($D590, 'Local Data Previous Year'!$D:$D, 0)), "")</f>
        <v/>
      </c>
      <c r="AJ590" s="209" t="str">
        <f t="shared" si="104"/>
        <v/>
      </c>
      <c r="AK590" s="209" t="str">
        <f t="shared" si="116"/>
        <v/>
      </c>
      <c r="AL590" s="209" t="str">
        <f t="shared" si="117"/>
        <v/>
      </c>
      <c r="AM590" s="208" t="str">
        <f>IF($AN590="","",IFERROR(VLOOKUP(CONCATENATE(CTR1_Billing!$E$20,$AN590),'Local Data Previous Year'!$C$3:$D$50000,2,0),CTR1_Billing!$E$21&amp;"NEW"))</f>
        <v/>
      </c>
      <c r="AN590" s="209" t="str" cm="1">
        <f t="array" ref="AN590">IF(ISERROR(INDEX('Local Data Previous Year'!$E$3:$E$50000, SMALL(IF(CTR1_Billing!$E$21='Local Data Previous Year'!$A$3:$A$50000, ROW('Local Data Previous Year'!$A$3:$A$50000)-ROW('Local Data Previous Year'!$A$3)+1), ROW(558:558)))), "", INDEX('Local Data Previous Year'!$E$3:$E$50000, SMALL(IF(CTR1_Billing!$E$21='Local Data Previous Year'!$A$3:$A$50000, ROW('Local Data Previous Year'!$A$3:$A$50000)-ROW('Local Data Previous Year'!$A$3)+1), ROW(558:558))))</f>
        <v/>
      </c>
      <c r="AO590" s="209" t="str">
        <f t="shared" si="107"/>
        <v/>
      </c>
      <c r="AP590" s="208"/>
      <c r="AQ590" s="209" t="str">
        <f t="shared" si="108"/>
        <v/>
      </c>
      <c r="AR590" s="209" t="str">
        <f t="shared" si="109"/>
        <v/>
      </c>
      <c r="AS590" s="202" t="str">
        <f t="shared" si="110"/>
        <v/>
      </c>
      <c r="AT590" s="202" t="str">
        <f t="shared" si="111"/>
        <v/>
      </c>
      <c r="AU590" s="208"/>
      <c r="AV590" s="208"/>
      <c r="AW590" s="208"/>
      <c r="AX590" s="208"/>
      <c r="AY590" s="208"/>
      <c r="AZ590" s="208"/>
      <c r="BA590" s="208"/>
      <c r="BB590" s="208"/>
      <c r="BC590" s="208"/>
      <c r="BD590" s="208"/>
      <c r="BE590" s="208"/>
      <c r="BF590" s="208"/>
      <c r="BG590" s="28"/>
      <c r="BH590" s="28"/>
      <c r="BI590" s="28"/>
      <c r="BJ590" s="28"/>
    </row>
    <row r="591" spans="1:62" s="23" customFormat="1" ht="21" customHeight="1" thickBot="1" x14ac:dyDescent="0.25">
      <c r="A591" s="846" t="str">
        <f>IF($AN591="","",IFERROR(VLOOKUP(CONCATENATE(CTR1_Billing!$E$20,$AN591),'Local Data Previous Year'!$C$3:$D$20000,2,0),CTR1_Billing!$E$21&amp;"NEW"))</f>
        <v/>
      </c>
      <c r="B591" s="846" t="str">
        <f>IF($E591="","",IFERROR(VLOOKUP(CONCATENATE(CTR1_Billing!$E$20,CTR1_Local!$E591),'Local Data Previous Year'!$C$3:$D$20000,2,0),CTR1_Billing!$E$21&amp;"NEW"))</f>
        <v/>
      </c>
      <c r="C591" s="846">
        <v>559</v>
      </c>
      <c r="D591" s="755" t="str" cm="1">
        <f t="array" ref="D591">IF(ISERROR(INDEX('Local Data Previous Year'!$D$3:$D$20000,SMALL(IF(CTR1_Billing!$E$21='Local Data Previous Year'!$A$3:$A$20000,ROW('Local Data Previous Year'!$A$3:$A$20000)-ROW('Local Data Previous Year'!$A$3)+1),ROW(559:559)))),"",INDEX('Local Data Previous Year'!$D$3:$D$20000,SMALL(IF(CTR1_Billing!$E$21='Local Data Previous Year'!$A$3:$A$20000,ROW('Local Data Previous Year'!$A$3:$A$20000)-ROW('Local Data Previous Year'!$A$3)+1),ROW(559:559))))</f>
        <v/>
      </c>
      <c r="E591" s="755" t="str" cm="1">
        <f t="array" ref="E591">IF(ISERROR(INDEX('Local Data Previous Year'!$E$3:$E$20000,SMALL(IF(CTR1_Billing!$E$21='Local Data Previous Year'!$A$3:$A$20000,ROW('Local Data Previous Year'!$A$3:$A$20000)-ROW('Local Data Previous Year'!$A$3)+1),ROW(559:559)))),"",INDEX('Local Data Previous Year'!$E$3:$E$20000,SMALL(IF(CTR1_Billing!$E$21='Local Data Previous Year'!$A$3:$A$20000,ROW('Local Data Previous Year'!$A$3:$A$20000)-ROW('Local Data Previous Year'!$A$3)+1),ROW(559:559))))</f>
        <v/>
      </c>
      <c r="F591" s="756" t="str">
        <f>IF($D591="","",IF(ISNA(MATCH($D591,'Local Data Previous Year'!$D$3:$D$20000,0)),"New",IFERROR(VLOOKUP($B591,'Local Data Previous Year'!$D$3:$I$20000,6,0),"")))</f>
        <v/>
      </c>
      <c r="G591" s="757">
        <f t="shared" si="112"/>
        <v>0</v>
      </c>
      <c r="H591" s="758" t="str">
        <f>IFERROR(INDEX('Local Data Previous Year'!$F:$F, MATCH($D591, 'Local Data Previous Year'!$D:$D, 0)), "")</f>
        <v/>
      </c>
      <c r="I591" s="759">
        <f>IF(B591=CTR1_Billing!$E$21&amp;"NEW",1,0)</f>
        <v>0</v>
      </c>
      <c r="J591" s="760" t="str">
        <f>IFERROR(INDEX('Local Data Previous Year'!$G:$G, MATCH($D591, 'Local Data Previous Year'!$D:$D, 0)), "")</f>
        <v/>
      </c>
      <c r="K591" s="762"/>
      <c r="L591" s="760" t="str">
        <f>IFERROR(INDEX('Local Data Previous Year'!$H:$H, MATCH($D591, 'Local Data Previous Year'!$D:$D, 0)), "")</f>
        <v/>
      </c>
      <c r="M591" s="762"/>
      <c r="N591" s="763"/>
      <c r="O591" s="767"/>
      <c r="P591" s="765"/>
      <c r="Q591" s="767"/>
      <c r="R591" s="766" t="str">
        <f t="shared" si="113"/>
        <v/>
      </c>
      <c r="S591" s="754"/>
      <c r="T591" s="763"/>
      <c r="U591" s="754"/>
      <c r="V591" s="763"/>
      <c r="W591" s="763"/>
      <c r="X591" s="865" t="str">
        <f>VLOOKUP(CTR1_Billing!$E$21,Data!$C$6:$D$302,1,FALSE)</f>
        <v>EZZZZ</v>
      </c>
      <c r="Y591" s="205"/>
      <c r="Z591" s="205">
        <f t="shared" si="102"/>
        <v>0</v>
      </c>
      <c r="AA591" s="206" t="str">
        <f t="shared" si="101"/>
        <v/>
      </c>
      <c r="AB591" s="205">
        <f t="shared" si="103"/>
        <v>0</v>
      </c>
      <c r="AC591" s="208"/>
      <c r="AD591" s="208"/>
      <c r="AE591" s="208"/>
      <c r="AF591" s="208"/>
      <c r="AG591" s="209" t="str">
        <f>IFERROR(INDEX('Local Data Previous Year'!$F:$F, MATCH($D591, 'Local Data Previous Year'!$D:$D, 0)), "")</f>
        <v/>
      </c>
      <c r="AH591" s="209" t="str">
        <f>IFERROR(INDEX('Local Data Previous Year'!$G:$G, MATCH($D591, 'Local Data Previous Year'!$D:$D, 0)), "")</f>
        <v/>
      </c>
      <c r="AI591" s="209" t="str">
        <f>IFERROR(INDEX('Local Data Previous Year'!$H:$H, MATCH($D591, 'Local Data Previous Year'!$D:$D, 0)), "")</f>
        <v/>
      </c>
      <c r="AJ591" s="209" t="str">
        <f t="shared" si="104"/>
        <v/>
      </c>
      <c r="AK591" s="209" t="str">
        <f t="shared" si="116"/>
        <v/>
      </c>
      <c r="AL591" s="209" t="str">
        <f t="shared" si="117"/>
        <v/>
      </c>
      <c r="AM591" s="208" t="str">
        <f>IF($AN591="","",IFERROR(VLOOKUP(CONCATENATE(CTR1_Billing!$E$20,$AN591),'Local Data Previous Year'!$C$3:$D$50000,2,0),CTR1_Billing!$E$21&amp;"NEW"))</f>
        <v/>
      </c>
      <c r="AN591" s="209" t="str" cm="1">
        <f t="array" ref="AN591">IF(ISERROR(INDEX('Local Data Previous Year'!$E$3:$E$50000, SMALL(IF(CTR1_Billing!$E$21='Local Data Previous Year'!$A$3:$A$50000, ROW('Local Data Previous Year'!$A$3:$A$50000)-ROW('Local Data Previous Year'!$A$3)+1), ROW(559:559)))), "", INDEX('Local Data Previous Year'!$E$3:$E$50000, SMALL(IF(CTR1_Billing!$E$21='Local Data Previous Year'!$A$3:$A$50000, ROW('Local Data Previous Year'!$A$3:$A$50000)-ROW('Local Data Previous Year'!$A$3)+1), ROW(559:559))))</f>
        <v/>
      </c>
      <c r="AO591" s="209" t="str">
        <f t="shared" si="107"/>
        <v/>
      </c>
      <c r="AP591" s="208"/>
      <c r="AQ591" s="209" t="str">
        <f t="shared" si="108"/>
        <v/>
      </c>
      <c r="AR591" s="209" t="str">
        <f t="shared" si="109"/>
        <v/>
      </c>
      <c r="AS591" s="202" t="str">
        <f t="shared" si="110"/>
        <v/>
      </c>
      <c r="AT591" s="202" t="str">
        <f t="shared" si="111"/>
        <v/>
      </c>
      <c r="AU591" s="208"/>
      <c r="AV591" s="208"/>
      <c r="AW591" s="208"/>
      <c r="AX591" s="208"/>
      <c r="AY591" s="208"/>
      <c r="AZ591" s="208"/>
      <c r="BA591" s="208"/>
      <c r="BB591" s="208"/>
      <c r="BC591" s="208"/>
      <c r="BD591" s="208"/>
      <c r="BE591" s="208"/>
      <c r="BF591" s="208"/>
      <c r="BG591" s="28"/>
      <c r="BH591" s="28"/>
      <c r="BI591" s="28"/>
      <c r="BJ591" s="28"/>
    </row>
    <row r="592" spans="1:62" s="23" customFormat="1" ht="21" customHeight="1" thickBot="1" x14ac:dyDescent="0.25">
      <c r="A592" s="846" t="str">
        <f>IF($AN592="","",IFERROR(VLOOKUP(CONCATENATE(CTR1_Billing!$E$20,$AN592),'Local Data Previous Year'!$C$3:$D$20000,2,0),CTR1_Billing!$E$21&amp;"NEW"))</f>
        <v/>
      </c>
      <c r="B592" s="846" t="str">
        <f>IF($E592="","",IFERROR(VLOOKUP(CONCATENATE(CTR1_Billing!$E$20,CTR1_Local!$E592),'Local Data Previous Year'!$C$3:$D$20000,2,0),CTR1_Billing!$E$21&amp;"NEW"))</f>
        <v/>
      </c>
      <c r="C592" s="846">
        <v>560</v>
      </c>
      <c r="D592" s="755" t="str" cm="1">
        <f t="array" ref="D592">IF(ISERROR(INDEX('Local Data Previous Year'!$D$3:$D$20000,SMALL(IF(CTR1_Billing!$E$21='Local Data Previous Year'!$A$3:$A$20000,ROW('Local Data Previous Year'!$A$3:$A$20000)-ROW('Local Data Previous Year'!$A$3)+1),ROW(560:560)))),"",INDEX('Local Data Previous Year'!$D$3:$D$20000,SMALL(IF(CTR1_Billing!$E$21='Local Data Previous Year'!$A$3:$A$20000,ROW('Local Data Previous Year'!$A$3:$A$20000)-ROW('Local Data Previous Year'!$A$3)+1),ROW(560:560))))</f>
        <v/>
      </c>
      <c r="E592" s="755" t="str" cm="1">
        <f t="array" ref="E592">IF(ISERROR(INDEX('Local Data Previous Year'!$E$3:$E$20000,SMALL(IF(CTR1_Billing!$E$21='Local Data Previous Year'!$A$3:$A$20000,ROW('Local Data Previous Year'!$A$3:$A$20000)-ROW('Local Data Previous Year'!$A$3)+1),ROW(560:560)))),"",INDEX('Local Data Previous Year'!$E$3:$E$20000,SMALL(IF(CTR1_Billing!$E$21='Local Data Previous Year'!$A$3:$A$20000,ROW('Local Data Previous Year'!$A$3:$A$20000)-ROW('Local Data Previous Year'!$A$3)+1),ROW(560:560))))</f>
        <v/>
      </c>
      <c r="F592" s="756" t="str">
        <f>IF($D592="","",IF(ISNA(MATCH($D592,'Local Data Previous Year'!$D$3:$D$20000,0)),"New",IFERROR(VLOOKUP($B592,'Local Data Previous Year'!$D$3:$I$20000,6,0),"")))</f>
        <v/>
      </c>
      <c r="G592" s="757">
        <f t="shared" si="112"/>
        <v>0</v>
      </c>
      <c r="H592" s="758" t="str">
        <f>IFERROR(INDEX('Local Data Previous Year'!$F:$F, MATCH($D592, 'Local Data Previous Year'!$D:$D, 0)), "")</f>
        <v/>
      </c>
      <c r="I592" s="759">
        <f>IF(B592=CTR1_Billing!$E$21&amp;"NEW",1,0)</f>
        <v>0</v>
      </c>
      <c r="J592" s="760" t="str">
        <f>IFERROR(INDEX('Local Data Previous Year'!$G:$G, MATCH($D592, 'Local Data Previous Year'!$D:$D, 0)), "")</f>
        <v/>
      </c>
      <c r="K592" s="762"/>
      <c r="L592" s="760" t="str">
        <f>IFERROR(INDEX('Local Data Previous Year'!$H:$H, MATCH($D592, 'Local Data Previous Year'!$D:$D, 0)), "")</f>
        <v/>
      </c>
      <c r="M592" s="762"/>
      <c r="N592" s="763"/>
      <c r="O592" s="767"/>
      <c r="P592" s="765"/>
      <c r="Q592" s="767"/>
      <c r="R592" s="766" t="str">
        <f t="shared" si="113"/>
        <v/>
      </c>
      <c r="S592" s="754"/>
      <c r="T592" s="763"/>
      <c r="U592" s="754"/>
      <c r="V592" s="763"/>
      <c r="W592" s="763"/>
      <c r="X592" s="865" t="str">
        <f>VLOOKUP(CTR1_Billing!$E$21,Data!$C$6:$D$302,1,FALSE)</f>
        <v>EZZZZ</v>
      </c>
      <c r="Y592" s="205"/>
      <c r="Z592" s="205">
        <f t="shared" si="102"/>
        <v>0</v>
      </c>
      <c r="AA592" s="206" t="str">
        <f t="shared" si="101"/>
        <v/>
      </c>
      <c r="AB592" s="205">
        <f t="shared" si="103"/>
        <v>0</v>
      </c>
      <c r="AC592" s="208"/>
      <c r="AD592" s="208"/>
      <c r="AE592" s="208"/>
      <c r="AF592" s="208"/>
      <c r="AG592" s="209" t="str">
        <f>IFERROR(INDEX('Local Data Previous Year'!$F:$F, MATCH($D592, 'Local Data Previous Year'!$D:$D, 0)), "")</f>
        <v/>
      </c>
      <c r="AH592" s="209" t="str">
        <f>IFERROR(INDEX('Local Data Previous Year'!$G:$G, MATCH($D592, 'Local Data Previous Year'!$D:$D, 0)), "")</f>
        <v/>
      </c>
      <c r="AI592" s="209" t="str">
        <f>IFERROR(INDEX('Local Data Previous Year'!$H:$H, MATCH($D592, 'Local Data Previous Year'!$D:$D, 0)), "")</f>
        <v/>
      </c>
      <c r="AJ592" s="209" t="str">
        <f t="shared" si="104"/>
        <v/>
      </c>
      <c r="AK592" s="209" t="str">
        <f t="shared" si="116"/>
        <v/>
      </c>
      <c r="AL592" s="209" t="str">
        <f t="shared" si="117"/>
        <v/>
      </c>
      <c r="AM592" s="208" t="str">
        <f>IF($AN592="","",IFERROR(VLOOKUP(CONCATENATE(CTR1_Billing!$E$20,$AN592),'Local Data Previous Year'!$C$3:$D$50000,2,0),CTR1_Billing!$E$21&amp;"NEW"))</f>
        <v/>
      </c>
      <c r="AN592" s="209" t="str" cm="1">
        <f t="array" ref="AN592">IF(ISERROR(INDEX('Local Data Previous Year'!$E$3:$E$50000, SMALL(IF(CTR1_Billing!$E$21='Local Data Previous Year'!$A$3:$A$50000, ROW('Local Data Previous Year'!$A$3:$A$50000)-ROW('Local Data Previous Year'!$A$3)+1), ROW(560:560)))), "", INDEX('Local Data Previous Year'!$E$3:$E$50000, SMALL(IF(CTR1_Billing!$E$21='Local Data Previous Year'!$A$3:$A$50000, ROW('Local Data Previous Year'!$A$3:$A$50000)-ROW('Local Data Previous Year'!$A$3)+1), ROW(560:560))))</f>
        <v/>
      </c>
      <c r="AO592" s="209" t="str">
        <f t="shared" si="107"/>
        <v/>
      </c>
      <c r="AP592" s="208"/>
      <c r="AQ592" s="209" t="str">
        <f t="shared" si="108"/>
        <v/>
      </c>
      <c r="AR592" s="209" t="str">
        <f t="shared" si="109"/>
        <v/>
      </c>
      <c r="AS592" s="202" t="str">
        <f t="shared" si="110"/>
        <v/>
      </c>
      <c r="AT592" s="202" t="str">
        <f t="shared" si="111"/>
        <v/>
      </c>
      <c r="AU592" s="208"/>
      <c r="AV592" s="208"/>
      <c r="AW592" s="208"/>
      <c r="AX592" s="208"/>
      <c r="AY592" s="208"/>
      <c r="AZ592" s="208"/>
      <c r="BA592" s="208"/>
      <c r="BB592" s="208"/>
      <c r="BC592" s="208"/>
      <c r="BD592" s="208"/>
      <c r="BE592" s="208"/>
      <c r="BF592" s="208"/>
      <c r="BG592" s="28"/>
      <c r="BH592" s="28"/>
      <c r="BI592" s="28"/>
      <c r="BJ592" s="28"/>
    </row>
    <row r="593" spans="1:62" s="23" customFormat="1" ht="21" customHeight="1" thickBot="1" x14ac:dyDescent="0.25">
      <c r="A593" s="846" t="str">
        <f>IF($AN593="","",IFERROR(VLOOKUP(CONCATENATE(CTR1_Billing!$E$20,$AN593),'Local Data Previous Year'!$C$3:$D$20000,2,0),CTR1_Billing!$E$21&amp;"NEW"))</f>
        <v/>
      </c>
      <c r="B593" s="846" t="str">
        <f>IF($E593="","",IFERROR(VLOOKUP(CONCATENATE(CTR1_Billing!$E$20,CTR1_Local!$E593),'Local Data Previous Year'!$C$3:$D$20000,2,0),CTR1_Billing!$E$21&amp;"NEW"))</f>
        <v/>
      </c>
      <c r="C593" s="846">
        <v>561</v>
      </c>
      <c r="D593" s="755" t="str" cm="1">
        <f t="array" ref="D593">IF(ISERROR(INDEX('Local Data Previous Year'!$D$3:$D$20000,SMALL(IF(CTR1_Billing!$E$21='Local Data Previous Year'!$A$3:$A$20000,ROW('Local Data Previous Year'!$A$3:$A$20000)-ROW('Local Data Previous Year'!$A$3)+1),ROW(561:561)))),"",INDEX('Local Data Previous Year'!$D$3:$D$20000,SMALL(IF(CTR1_Billing!$E$21='Local Data Previous Year'!$A$3:$A$20000,ROW('Local Data Previous Year'!$A$3:$A$20000)-ROW('Local Data Previous Year'!$A$3)+1),ROW(561:561))))</f>
        <v/>
      </c>
      <c r="E593" s="755" t="str" cm="1">
        <f t="array" ref="E593">IF(ISERROR(INDEX('Local Data Previous Year'!$E$3:$E$20000,SMALL(IF(CTR1_Billing!$E$21='Local Data Previous Year'!$A$3:$A$20000,ROW('Local Data Previous Year'!$A$3:$A$20000)-ROW('Local Data Previous Year'!$A$3)+1),ROW(561:561)))),"",INDEX('Local Data Previous Year'!$E$3:$E$20000,SMALL(IF(CTR1_Billing!$E$21='Local Data Previous Year'!$A$3:$A$20000,ROW('Local Data Previous Year'!$A$3:$A$20000)-ROW('Local Data Previous Year'!$A$3)+1),ROW(561:561))))</f>
        <v/>
      </c>
      <c r="F593" s="756" t="str">
        <f>IF($D593="","",IF(ISNA(MATCH($D593,'Local Data Previous Year'!$D$3:$D$20000,0)),"New",IFERROR(VLOOKUP($B593,'Local Data Previous Year'!$D$3:$I$20000,6,0),"")))</f>
        <v/>
      </c>
      <c r="G593" s="757">
        <f t="shared" si="112"/>
        <v>0</v>
      </c>
      <c r="H593" s="758" t="str">
        <f>IFERROR(INDEX('Local Data Previous Year'!$F:$F, MATCH($D593, 'Local Data Previous Year'!$D:$D, 0)), "")</f>
        <v/>
      </c>
      <c r="I593" s="759">
        <f>IF(B593=CTR1_Billing!$E$21&amp;"NEW",1,0)</f>
        <v>0</v>
      </c>
      <c r="J593" s="760" t="str">
        <f>IFERROR(INDEX('Local Data Previous Year'!$G:$G, MATCH($D593, 'Local Data Previous Year'!$D:$D, 0)), "")</f>
        <v/>
      </c>
      <c r="K593" s="762"/>
      <c r="L593" s="760" t="str">
        <f>IFERROR(INDEX('Local Data Previous Year'!$H:$H, MATCH($D593, 'Local Data Previous Year'!$D:$D, 0)), "")</f>
        <v/>
      </c>
      <c r="M593" s="762"/>
      <c r="N593" s="763"/>
      <c r="O593" s="767"/>
      <c r="P593" s="765"/>
      <c r="Q593" s="767"/>
      <c r="R593" s="766" t="str">
        <f t="shared" si="113"/>
        <v/>
      </c>
      <c r="S593" s="754"/>
      <c r="T593" s="763"/>
      <c r="U593" s="754"/>
      <c r="V593" s="763"/>
      <c r="W593" s="763"/>
      <c r="X593" s="865" t="str">
        <f>VLOOKUP(CTR1_Billing!$E$21,Data!$C$6:$D$302,1,FALSE)</f>
        <v>EZZZZ</v>
      </c>
      <c r="Y593" s="205"/>
      <c r="Z593" s="205">
        <f t="shared" si="102"/>
        <v>0</v>
      </c>
      <c r="AA593" s="206" t="str">
        <f t="shared" si="101"/>
        <v/>
      </c>
      <c r="AB593" s="205">
        <f t="shared" si="103"/>
        <v>0</v>
      </c>
      <c r="AC593" s="208"/>
      <c r="AD593" s="208"/>
      <c r="AE593" s="208"/>
      <c r="AF593" s="208"/>
      <c r="AG593" s="209" t="str">
        <f>IFERROR(INDEX('Local Data Previous Year'!$F:$F, MATCH($D593, 'Local Data Previous Year'!$D:$D, 0)), "")</f>
        <v/>
      </c>
      <c r="AH593" s="209" t="str">
        <f>IFERROR(INDEX('Local Data Previous Year'!$G:$G, MATCH($D593, 'Local Data Previous Year'!$D:$D, 0)), "")</f>
        <v/>
      </c>
      <c r="AI593" s="209" t="str">
        <f>IFERROR(INDEX('Local Data Previous Year'!$H:$H, MATCH($D593, 'Local Data Previous Year'!$D:$D, 0)), "")</f>
        <v/>
      </c>
      <c r="AJ593" s="209" t="str">
        <f t="shared" si="104"/>
        <v/>
      </c>
      <c r="AK593" s="209" t="str">
        <f t="shared" si="116"/>
        <v/>
      </c>
      <c r="AL593" s="209" t="str">
        <f t="shared" si="117"/>
        <v/>
      </c>
      <c r="AM593" s="208" t="str">
        <f>IF($AN593="","",IFERROR(VLOOKUP(CONCATENATE(CTR1_Billing!$E$20,$AN593),'Local Data Previous Year'!$C$3:$D$50000,2,0),CTR1_Billing!$E$21&amp;"NEW"))</f>
        <v/>
      </c>
      <c r="AN593" s="209" t="str" cm="1">
        <f t="array" ref="AN593">IF(ISERROR(INDEX('Local Data Previous Year'!$E$3:$E$50000, SMALL(IF(CTR1_Billing!$E$21='Local Data Previous Year'!$A$3:$A$50000, ROW('Local Data Previous Year'!$A$3:$A$50000)-ROW('Local Data Previous Year'!$A$3)+1), ROW(561:561)))), "", INDEX('Local Data Previous Year'!$E$3:$E$50000, SMALL(IF(CTR1_Billing!$E$21='Local Data Previous Year'!$A$3:$A$50000, ROW('Local Data Previous Year'!$A$3:$A$50000)-ROW('Local Data Previous Year'!$A$3)+1), ROW(561:561))))</f>
        <v/>
      </c>
      <c r="AO593" s="209" t="str">
        <f t="shared" si="107"/>
        <v/>
      </c>
      <c r="AP593" s="208"/>
      <c r="AQ593" s="209" t="str">
        <f t="shared" si="108"/>
        <v/>
      </c>
      <c r="AR593" s="209" t="str">
        <f t="shared" si="109"/>
        <v/>
      </c>
      <c r="AS593" s="202" t="str">
        <f t="shared" si="110"/>
        <v/>
      </c>
      <c r="AT593" s="202" t="str">
        <f t="shared" si="111"/>
        <v/>
      </c>
      <c r="AU593" s="208"/>
      <c r="AV593" s="208"/>
      <c r="AW593" s="208"/>
      <c r="AX593" s="208"/>
      <c r="AY593" s="208"/>
      <c r="AZ593" s="208"/>
      <c r="BA593" s="208"/>
      <c r="BB593" s="208"/>
      <c r="BC593" s="208"/>
      <c r="BD593" s="208"/>
      <c r="BE593" s="208"/>
      <c r="BF593" s="208"/>
      <c r="BG593" s="28"/>
      <c r="BH593" s="28"/>
      <c r="BI593" s="28"/>
      <c r="BJ593" s="28"/>
    </row>
    <row r="594" spans="1:62" s="23" customFormat="1" ht="21" customHeight="1" thickBot="1" x14ac:dyDescent="0.25">
      <c r="A594" s="846" t="str">
        <f>IF($AN594="","",IFERROR(VLOOKUP(CONCATENATE(CTR1_Billing!$E$20,$AN594),'Local Data Previous Year'!$C$3:$D$20000,2,0),CTR1_Billing!$E$21&amp;"NEW"))</f>
        <v/>
      </c>
      <c r="B594" s="846" t="str">
        <f>IF($E594="","",IFERROR(VLOOKUP(CONCATENATE(CTR1_Billing!$E$20,CTR1_Local!$E594),'Local Data Previous Year'!$C$3:$D$20000,2,0),CTR1_Billing!$E$21&amp;"NEW"))</f>
        <v/>
      </c>
      <c r="C594" s="846">
        <v>562</v>
      </c>
      <c r="D594" s="755" t="str" cm="1">
        <f t="array" ref="D594">IF(ISERROR(INDEX('Local Data Previous Year'!$D$3:$D$20000,SMALL(IF(CTR1_Billing!$E$21='Local Data Previous Year'!$A$3:$A$20000,ROW('Local Data Previous Year'!$A$3:$A$20000)-ROW('Local Data Previous Year'!$A$3)+1),ROW(562:562)))),"",INDEX('Local Data Previous Year'!$D$3:$D$20000,SMALL(IF(CTR1_Billing!$E$21='Local Data Previous Year'!$A$3:$A$20000,ROW('Local Data Previous Year'!$A$3:$A$20000)-ROW('Local Data Previous Year'!$A$3)+1),ROW(562:562))))</f>
        <v/>
      </c>
      <c r="E594" s="755" t="str" cm="1">
        <f t="array" ref="E594">IF(ISERROR(INDEX('Local Data Previous Year'!$E$3:$E$20000,SMALL(IF(CTR1_Billing!$E$21='Local Data Previous Year'!$A$3:$A$20000,ROW('Local Data Previous Year'!$A$3:$A$20000)-ROW('Local Data Previous Year'!$A$3)+1),ROW(562:562)))),"",INDEX('Local Data Previous Year'!$E$3:$E$20000,SMALL(IF(CTR1_Billing!$E$21='Local Data Previous Year'!$A$3:$A$20000,ROW('Local Data Previous Year'!$A$3:$A$20000)-ROW('Local Data Previous Year'!$A$3)+1),ROW(562:562))))</f>
        <v/>
      </c>
      <c r="F594" s="756" t="str">
        <f>IF($D594="","",IF(ISNA(MATCH($D594,'Local Data Previous Year'!$D$3:$D$20000,0)),"New",IFERROR(VLOOKUP($B594,'Local Data Previous Year'!$D$3:$I$20000,6,0),"")))</f>
        <v/>
      </c>
      <c r="G594" s="757">
        <f t="shared" si="112"/>
        <v>0</v>
      </c>
      <c r="H594" s="758" t="str">
        <f>IFERROR(INDEX('Local Data Previous Year'!$F:$F, MATCH($D594, 'Local Data Previous Year'!$D:$D, 0)), "")</f>
        <v/>
      </c>
      <c r="I594" s="759">
        <f>IF(B594=CTR1_Billing!$E$21&amp;"NEW",1,0)</f>
        <v>0</v>
      </c>
      <c r="J594" s="760" t="str">
        <f>IFERROR(INDEX('Local Data Previous Year'!$G:$G, MATCH($D594, 'Local Data Previous Year'!$D:$D, 0)), "")</f>
        <v/>
      </c>
      <c r="K594" s="762"/>
      <c r="L594" s="760" t="str">
        <f>IFERROR(INDEX('Local Data Previous Year'!$H:$H, MATCH($D594, 'Local Data Previous Year'!$D:$D, 0)), "")</f>
        <v/>
      </c>
      <c r="M594" s="762"/>
      <c r="N594" s="763"/>
      <c r="O594" s="767"/>
      <c r="P594" s="765"/>
      <c r="Q594" s="767"/>
      <c r="R594" s="766" t="str">
        <f t="shared" si="113"/>
        <v/>
      </c>
      <c r="S594" s="754"/>
      <c r="T594" s="763"/>
      <c r="U594" s="754"/>
      <c r="V594" s="763"/>
      <c r="W594" s="763"/>
      <c r="X594" s="865" t="str">
        <f>VLOOKUP(CTR1_Billing!$E$21,Data!$C$6:$D$302,1,FALSE)</f>
        <v>EZZZZ</v>
      </c>
      <c r="Y594" s="205"/>
      <c r="Z594" s="205">
        <f t="shared" si="102"/>
        <v>0</v>
      </c>
      <c r="AA594" s="206" t="str">
        <f t="shared" si="101"/>
        <v/>
      </c>
      <c r="AB594" s="205">
        <f t="shared" si="103"/>
        <v>0</v>
      </c>
      <c r="AC594" s="208"/>
      <c r="AD594" s="208"/>
      <c r="AE594" s="208"/>
      <c r="AF594" s="208"/>
      <c r="AG594" s="209" t="str">
        <f>IFERROR(INDEX('Local Data Previous Year'!$F:$F, MATCH($D594, 'Local Data Previous Year'!$D:$D, 0)), "")</f>
        <v/>
      </c>
      <c r="AH594" s="209" t="str">
        <f>IFERROR(INDEX('Local Data Previous Year'!$G:$G, MATCH($D594, 'Local Data Previous Year'!$D:$D, 0)), "")</f>
        <v/>
      </c>
      <c r="AI594" s="209" t="str">
        <f>IFERROR(INDEX('Local Data Previous Year'!$H:$H, MATCH($D594, 'Local Data Previous Year'!$D:$D, 0)), "")</f>
        <v/>
      </c>
      <c r="AJ594" s="209" t="str">
        <f t="shared" si="104"/>
        <v/>
      </c>
      <c r="AK594" s="209" t="str">
        <f t="shared" si="116"/>
        <v/>
      </c>
      <c r="AL594" s="209" t="str">
        <f t="shared" si="117"/>
        <v/>
      </c>
      <c r="AM594" s="208" t="str">
        <f>IF($AN594="","",IFERROR(VLOOKUP(CONCATENATE(CTR1_Billing!$E$20,$AN594),'Local Data Previous Year'!$C$3:$D$50000,2,0),CTR1_Billing!$E$21&amp;"NEW"))</f>
        <v/>
      </c>
      <c r="AN594" s="209" t="str" cm="1">
        <f t="array" ref="AN594">IF(ISERROR(INDEX('Local Data Previous Year'!$E$3:$E$50000, SMALL(IF(CTR1_Billing!$E$21='Local Data Previous Year'!$A$3:$A$50000, ROW('Local Data Previous Year'!$A$3:$A$50000)-ROW('Local Data Previous Year'!$A$3)+1), ROW(562:562)))), "", INDEX('Local Data Previous Year'!$E$3:$E$50000, SMALL(IF(CTR1_Billing!$E$21='Local Data Previous Year'!$A$3:$A$50000, ROW('Local Data Previous Year'!$A$3:$A$50000)-ROW('Local Data Previous Year'!$A$3)+1), ROW(562:562))))</f>
        <v/>
      </c>
      <c r="AO594" s="209" t="str">
        <f t="shared" si="107"/>
        <v/>
      </c>
      <c r="AP594" s="208"/>
      <c r="AQ594" s="209" t="str">
        <f t="shared" si="108"/>
        <v/>
      </c>
      <c r="AR594" s="209" t="str">
        <f t="shared" si="109"/>
        <v/>
      </c>
      <c r="AS594" s="202" t="str">
        <f t="shared" si="110"/>
        <v/>
      </c>
      <c r="AT594" s="202" t="str">
        <f t="shared" si="111"/>
        <v/>
      </c>
      <c r="AU594" s="208"/>
      <c r="AV594" s="208"/>
      <c r="AW594" s="208"/>
      <c r="AX594" s="208"/>
      <c r="AY594" s="208"/>
      <c r="AZ594" s="208"/>
      <c r="BA594" s="208"/>
      <c r="BB594" s="208"/>
      <c r="BC594" s="208"/>
      <c r="BD594" s="208"/>
      <c r="BE594" s="208"/>
      <c r="BF594" s="208"/>
      <c r="BG594" s="28"/>
      <c r="BH594" s="28"/>
      <c r="BI594" s="28"/>
      <c r="BJ594" s="28"/>
    </row>
    <row r="595" spans="1:62" s="23" customFormat="1" ht="21" customHeight="1" thickBot="1" x14ac:dyDescent="0.25">
      <c r="A595" s="846" t="str">
        <f>IF($AN595="","",IFERROR(VLOOKUP(CONCATENATE(CTR1_Billing!$E$20,$AN595),'Local Data Previous Year'!$C$3:$D$20000,2,0),CTR1_Billing!$E$21&amp;"NEW"))</f>
        <v/>
      </c>
      <c r="B595" s="846" t="str">
        <f>IF($E595="","",IFERROR(VLOOKUP(CONCATENATE(CTR1_Billing!$E$20,CTR1_Local!$E595),'Local Data Previous Year'!$C$3:$D$20000,2,0),CTR1_Billing!$E$21&amp;"NEW"))</f>
        <v/>
      </c>
      <c r="C595" s="846">
        <v>563</v>
      </c>
      <c r="D595" s="755" t="str" cm="1">
        <f t="array" ref="D595">IF(ISERROR(INDEX('Local Data Previous Year'!$D$3:$D$20000,SMALL(IF(CTR1_Billing!$E$21='Local Data Previous Year'!$A$3:$A$20000,ROW('Local Data Previous Year'!$A$3:$A$20000)-ROW('Local Data Previous Year'!$A$3)+1),ROW(563:563)))),"",INDEX('Local Data Previous Year'!$D$3:$D$20000,SMALL(IF(CTR1_Billing!$E$21='Local Data Previous Year'!$A$3:$A$20000,ROW('Local Data Previous Year'!$A$3:$A$20000)-ROW('Local Data Previous Year'!$A$3)+1),ROW(563:563))))</f>
        <v/>
      </c>
      <c r="E595" s="755" t="str" cm="1">
        <f t="array" ref="E595">IF(ISERROR(INDEX('Local Data Previous Year'!$E$3:$E$20000,SMALL(IF(CTR1_Billing!$E$21='Local Data Previous Year'!$A$3:$A$20000,ROW('Local Data Previous Year'!$A$3:$A$20000)-ROW('Local Data Previous Year'!$A$3)+1),ROW(563:563)))),"",INDEX('Local Data Previous Year'!$E$3:$E$20000,SMALL(IF(CTR1_Billing!$E$21='Local Data Previous Year'!$A$3:$A$20000,ROW('Local Data Previous Year'!$A$3:$A$20000)-ROW('Local Data Previous Year'!$A$3)+1),ROW(563:563))))</f>
        <v/>
      </c>
      <c r="F595" s="756" t="str">
        <f>IF($D595="","",IF(ISNA(MATCH($D595,'Local Data Previous Year'!$D$3:$D$20000,0)),"New",IFERROR(VLOOKUP($B595,'Local Data Previous Year'!$D$3:$I$20000,6,0),"")))</f>
        <v/>
      </c>
      <c r="G595" s="757">
        <f t="shared" si="112"/>
        <v>0</v>
      </c>
      <c r="H595" s="758" t="str">
        <f>IFERROR(INDEX('Local Data Previous Year'!$F:$F, MATCH($D595, 'Local Data Previous Year'!$D:$D, 0)), "")</f>
        <v/>
      </c>
      <c r="I595" s="759">
        <f>IF(B595=CTR1_Billing!$E$21&amp;"NEW",1,0)</f>
        <v>0</v>
      </c>
      <c r="J595" s="760" t="str">
        <f>IFERROR(INDEX('Local Data Previous Year'!$G:$G, MATCH($D595, 'Local Data Previous Year'!$D:$D, 0)), "")</f>
        <v/>
      </c>
      <c r="K595" s="762"/>
      <c r="L595" s="760" t="str">
        <f>IFERROR(INDEX('Local Data Previous Year'!$H:$H, MATCH($D595, 'Local Data Previous Year'!$D:$D, 0)), "")</f>
        <v/>
      </c>
      <c r="M595" s="762"/>
      <c r="N595" s="763"/>
      <c r="O595" s="767"/>
      <c r="P595" s="765"/>
      <c r="Q595" s="767"/>
      <c r="R595" s="766" t="str">
        <f t="shared" si="113"/>
        <v/>
      </c>
      <c r="S595" s="754"/>
      <c r="T595" s="763"/>
      <c r="U595" s="754"/>
      <c r="V595" s="763"/>
      <c r="W595" s="763"/>
      <c r="X595" s="865" t="str">
        <f>VLOOKUP(CTR1_Billing!$E$21,Data!$C$6:$D$302,1,FALSE)</f>
        <v>EZZZZ</v>
      </c>
      <c r="Y595" s="205"/>
      <c r="Z595" s="205">
        <f t="shared" si="102"/>
        <v>0</v>
      </c>
      <c r="AA595" s="206" t="str">
        <f t="shared" si="101"/>
        <v/>
      </c>
      <c r="AB595" s="205">
        <f t="shared" si="103"/>
        <v>0</v>
      </c>
      <c r="AC595" s="208"/>
      <c r="AD595" s="208"/>
      <c r="AE595" s="208"/>
      <c r="AF595" s="208"/>
      <c r="AG595" s="209" t="str">
        <f>IFERROR(INDEX('Local Data Previous Year'!$F:$F, MATCH($D595, 'Local Data Previous Year'!$D:$D, 0)), "")</f>
        <v/>
      </c>
      <c r="AH595" s="209" t="str">
        <f>IFERROR(INDEX('Local Data Previous Year'!$G:$G, MATCH($D595, 'Local Data Previous Year'!$D:$D, 0)), "")</f>
        <v/>
      </c>
      <c r="AI595" s="209" t="str">
        <f>IFERROR(INDEX('Local Data Previous Year'!$H:$H, MATCH($D595, 'Local Data Previous Year'!$D:$D, 0)), "")</f>
        <v/>
      </c>
      <c r="AJ595" s="209" t="str">
        <f t="shared" si="104"/>
        <v/>
      </c>
      <c r="AK595" s="209" t="str">
        <f t="shared" si="116"/>
        <v/>
      </c>
      <c r="AL595" s="209" t="str">
        <f t="shared" si="117"/>
        <v/>
      </c>
      <c r="AM595" s="208" t="str">
        <f>IF($AN595="","",IFERROR(VLOOKUP(CONCATENATE(CTR1_Billing!$E$20,$AN595),'Local Data Previous Year'!$C$3:$D$50000,2,0),CTR1_Billing!$E$21&amp;"NEW"))</f>
        <v/>
      </c>
      <c r="AN595" s="209" t="str" cm="1">
        <f t="array" ref="AN595">IF(ISERROR(INDEX('Local Data Previous Year'!$E$3:$E$50000, SMALL(IF(CTR1_Billing!$E$21='Local Data Previous Year'!$A$3:$A$50000, ROW('Local Data Previous Year'!$A$3:$A$50000)-ROW('Local Data Previous Year'!$A$3)+1), ROW(563:563)))), "", INDEX('Local Data Previous Year'!$E$3:$E$50000, SMALL(IF(CTR1_Billing!$E$21='Local Data Previous Year'!$A$3:$A$50000, ROW('Local Data Previous Year'!$A$3:$A$50000)-ROW('Local Data Previous Year'!$A$3)+1), ROW(563:563))))</f>
        <v/>
      </c>
      <c r="AO595" s="209" t="str">
        <f t="shared" si="107"/>
        <v/>
      </c>
      <c r="AP595" s="208"/>
      <c r="AQ595" s="209" t="str">
        <f t="shared" si="108"/>
        <v/>
      </c>
      <c r="AR595" s="209" t="str">
        <f t="shared" si="109"/>
        <v/>
      </c>
      <c r="AS595" s="202" t="str">
        <f t="shared" si="110"/>
        <v/>
      </c>
      <c r="AT595" s="202" t="str">
        <f t="shared" si="111"/>
        <v/>
      </c>
      <c r="AU595" s="208"/>
      <c r="AV595" s="208"/>
      <c r="AW595" s="208"/>
      <c r="AX595" s="208"/>
      <c r="AY595" s="208"/>
      <c r="AZ595" s="208"/>
      <c r="BA595" s="208"/>
      <c r="BB595" s="208"/>
      <c r="BC595" s="208"/>
      <c r="BD595" s="208"/>
      <c r="BE595" s="208"/>
      <c r="BF595" s="208"/>
      <c r="BG595" s="28"/>
      <c r="BH595" s="28"/>
      <c r="BI595" s="28"/>
      <c r="BJ595" s="28"/>
    </row>
    <row r="596" spans="1:62" s="23" customFormat="1" ht="21" customHeight="1" thickBot="1" x14ac:dyDescent="0.25">
      <c r="A596" s="846" t="str">
        <f>IF($AN596="","",IFERROR(VLOOKUP(CONCATENATE(CTR1_Billing!$E$20,$AN596),'Local Data Previous Year'!$C$3:$D$20000,2,0),CTR1_Billing!$E$21&amp;"NEW"))</f>
        <v/>
      </c>
      <c r="B596" s="846" t="str">
        <f>IF($E596="","",IFERROR(VLOOKUP(CONCATENATE(CTR1_Billing!$E$20,CTR1_Local!$E596),'Local Data Previous Year'!$C$3:$D$20000,2,0),CTR1_Billing!$E$21&amp;"NEW"))</f>
        <v/>
      </c>
      <c r="C596" s="846">
        <v>564</v>
      </c>
      <c r="D596" s="755" t="str" cm="1">
        <f t="array" ref="D596">IF(ISERROR(INDEX('Local Data Previous Year'!$D$3:$D$20000,SMALL(IF(CTR1_Billing!$E$21='Local Data Previous Year'!$A$3:$A$20000,ROW('Local Data Previous Year'!$A$3:$A$20000)-ROW('Local Data Previous Year'!$A$3)+1),ROW(564:564)))),"",INDEX('Local Data Previous Year'!$D$3:$D$20000,SMALL(IF(CTR1_Billing!$E$21='Local Data Previous Year'!$A$3:$A$20000,ROW('Local Data Previous Year'!$A$3:$A$20000)-ROW('Local Data Previous Year'!$A$3)+1),ROW(564:564))))</f>
        <v/>
      </c>
      <c r="E596" s="755" t="str" cm="1">
        <f t="array" ref="E596">IF(ISERROR(INDEX('Local Data Previous Year'!$E$3:$E$20000,SMALL(IF(CTR1_Billing!$E$21='Local Data Previous Year'!$A$3:$A$20000,ROW('Local Data Previous Year'!$A$3:$A$20000)-ROW('Local Data Previous Year'!$A$3)+1),ROW(564:564)))),"",INDEX('Local Data Previous Year'!$E$3:$E$20000,SMALL(IF(CTR1_Billing!$E$21='Local Data Previous Year'!$A$3:$A$20000,ROW('Local Data Previous Year'!$A$3:$A$20000)-ROW('Local Data Previous Year'!$A$3)+1),ROW(564:564))))</f>
        <v/>
      </c>
      <c r="F596" s="756" t="str">
        <f>IF($D596="","",IF(ISNA(MATCH($D596,'Local Data Previous Year'!$D$3:$D$20000,0)),"New",IFERROR(VLOOKUP($B596,'Local Data Previous Year'!$D$3:$I$20000,6,0),"")))</f>
        <v/>
      </c>
      <c r="G596" s="757">
        <f t="shared" si="112"/>
        <v>0</v>
      </c>
      <c r="H596" s="758" t="str">
        <f>IFERROR(INDEX('Local Data Previous Year'!$F:$F, MATCH($D596, 'Local Data Previous Year'!$D:$D, 0)), "")</f>
        <v/>
      </c>
      <c r="I596" s="759">
        <f>IF(B596=CTR1_Billing!$E$21&amp;"NEW",1,0)</f>
        <v>0</v>
      </c>
      <c r="J596" s="760" t="str">
        <f>IFERROR(INDEX('Local Data Previous Year'!$G:$G, MATCH($D596, 'Local Data Previous Year'!$D:$D, 0)), "")</f>
        <v/>
      </c>
      <c r="K596" s="762"/>
      <c r="L596" s="760" t="str">
        <f>IFERROR(INDEX('Local Data Previous Year'!$H:$H, MATCH($D596, 'Local Data Previous Year'!$D:$D, 0)), "")</f>
        <v/>
      </c>
      <c r="M596" s="762"/>
      <c r="N596" s="763"/>
      <c r="O596" s="767"/>
      <c r="P596" s="765"/>
      <c r="Q596" s="767"/>
      <c r="R596" s="766" t="str">
        <f t="shared" si="113"/>
        <v/>
      </c>
      <c r="S596" s="754"/>
      <c r="T596" s="763"/>
      <c r="U596" s="754"/>
      <c r="V596" s="763"/>
      <c r="W596" s="763"/>
      <c r="X596" s="865" t="str">
        <f>VLOOKUP(CTR1_Billing!$E$21,Data!$C$6:$D$302,1,FALSE)</f>
        <v>EZZZZ</v>
      </c>
      <c r="Y596" s="205"/>
      <c r="Z596" s="205">
        <f t="shared" si="102"/>
        <v>0</v>
      </c>
      <c r="AA596" s="206" t="str">
        <f t="shared" si="101"/>
        <v/>
      </c>
      <c r="AB596" s="205">
        <f t="shared" si="103"/>
        <v>0</v>
      </c>
      <c r="AC596" s="208"/>
      <c r="AD596" s="208"/>
      <c r="AE596" s="208"/>
      <c r="AF596" s="208"/>
      <c r="AG596" s="209" t="str">
        <f>IFERROR(INDEX('Local Data Previous Year'!$F:$F, MATCH($D596, 'Local Data Previous Year'!$D:$D, 0)), "")</f>
        <v/>
      </c>
      <c r="AH596" s="209" t="str">
        <f>IFERROR(INDEX('Local Data Previous Year'!$G:$G, MATCH($D596, 'Local Data Previous Year'!$D:$D, 0)), "")</f>
        <v/>
      </c>
      <c r="AI596" s="209" t="str">
        <f>IFERROR(INDEX('Local Data Previous Year'!$H:$H, MATCH($D596, 'Local Data Previous Year'!$D:$D, 0)), "")</f>
        <v/>
      </c>
      <c r="AJ596" s="209" t="str">
        <f t="shared" si="104"/>
        <v/>
      </c>
      <c r="AK596" s="209" t="str">
        <f t="shared" si="116"/>
        <v/>
      </c>
      <c r="AL596" s="209" t="str">
        <f t="shared" si="117"/>
        <v/>
      </c>
      <c r="AM596" s="208" t="str">
        <f>IF($AN596="","",IFERROR(VLOOKUP(CONCATENATE(CTR1_Billing!$E$20,$AN596),'Local Data Previous Year'!$C$3:$D$50000,2,0),CTR1_Billing!$E$21&amp;"NEW"))</f>
        <v/>
      </c>
      <c r="AN596" s="209" t="str" cm="1">
        <f t="array" ref="AN596">IF(ISERROR(INDEX('Local Data Previous Year'!$E$3:$E$50000, SMALL(IF(CTR1_Billing!$E$21='Local Data Previous Year'!$A$3:$A$50000, ROW('Local Data Previous Year'!$A$3:$A$50000)-ROW('Local Data Previous Year'!$A$3)+1), ROW(564:564)))), "", INDEX('Local Data Previous Year'!$E$3:$E$50000, SMALL(IF(CTR1_Billing!$E$21='Local Data Previous Year'!$A$3:$A$50000, ROW('Local Data Previous Year'!$A$3:$A$50000)-ROW('Local Data Previous Year'!$A$3)+1), ROW(564:564))))</f>
        <v/>
      </c>
      <c r="AO596" s="209" t="str">
        <f t="shared" si="107"/>
        <v/>
      </c>
      <c r="AP596" s="208"/>
      <c r="AQ596" s="209" t="str">
        <f t="shared" si="108"/>
        <v/>
      </c>
      <c r="AR596" s="209" t="str">
        <f t="shared" si="109"/>
        <v/>
      </c>
      <c r="AS596" s="202" t="str">
        <f t="shared" si="110"/>
        <v/>
      </c>
      <c r="AT596" s="202" t="str">
        <f t="shared" si="111"/>
        <v/>
      </c>
      <c r="AU596" s="208"/>
      <c r="AV596" s="208"/>
      <c r="AW596" s="208"/>
      <c r="AX596" s="208"/>
      <c r="AY596" s="208"/>
      <c r="AZ596" s="208"/>
      <c r="BA596" s="208"/>
      <c r="BB596" s="208"/>
      <c r="BC596" s="208"/>
      <c r="BD596" s="208"/>
      <c r="BE596" s="208"/>
      <c r="BF596" s="208"/>
      <c r="BG596" s="28"/>
      <c r="BH596" s="28"/>
      <c r="BI596" s="28"/>
      <c r="BJ596" s="28"/>
    </row>
    <row r="597" spans="1:62" s="23" customFormat="1" ht="21" customHeight="1" thickBot="1" x14ac:dyDescent="0.25">
      <c r="A597" s="846" t="str">
        <f>IF($AN597="","",IFERROR(VLOOKUP(CONCATENATE(CTR1_Billing!$E$20,$AN597),'Local Data Previous Year'!$C$3:$D$20000,2,0),CTR1_Billing!$E$21&amp;"NEW"))</f>
        <v/>
      </c>
      <c r="B597" s="846" t="str">
        <f>IF($E597="","",IFERROR(VLOOKUP(CONCATENATE(CTR1_Billing!$E$20,CTR1_Local!$E597),'Local Data Previous Year'!$C$3:$D$20000,2,0),CTR1_Billing!$E$21&amp;"NEW"))</f>
        <v/>
      </c>
      <c r="C597" s="846">
        <v>565</v>
      </c>
      <c r="D597" s="755" t="str" cm="1">
        <f t="array" ref="D597">IF(ISERROR(INDEX('Local Data Previous Year'!$D$3:$D$20000,SMALL(IF(CTR1_Billing!$E$21='Local Data Previous Year'!$A$3:$A$20000,ROW('Local Data Previous Year'!$A$3:$A$20000)-ROW('Local Data Previous Year'!$A$3)+1),ROW(565:565)))),"",INDEX('Local Data Previous Year'!$D$3:$D$20000,SMALL(IF(CTR1_Billing!$E$21='Local Data Previous Year'!$A$3:$A$20000,ROW('Local Data Previous Year'!$A$3:$A$20000)-ROW('Local Data Previous Year'!$A$3)+1),ROW(565:565))))</f>
        <v/>
      </c>
      <c r="E597" s="755" t="str" cm="1">
        <f t="array" ref="E597">IF(ISERROR(INDEX('Local Data Previous Year'!$E$3:$E$20000,SMALL(IF(CTR1_Billing!$E$21='Local Data Previous Year'!$A$3:$A$20000,ROW('Local Data Previous Year'!$A$3:$A$20000)-ROW('Local Data Previous Year'!$A$3)+1),ROW(565:565)))),"",INDEX('Local Data Previous Year'!$E$3:$E$20000,SMALL(IF(CTR1_Billing!$E$21='Local Data Previous Year'!$A$3:$A$20000,ROW('Local Data Previous Year'!$A$3:$A$20000)-ROW('Local Data Previous Year'!$A$3)+1),ROW(565:565))))</f>
        <v/>
      </c>
      <c r="F597" s="756" t="str">
        <f>IF($D597="","",IF(ISNA(MATCH($D597,'Local Data Previous Year'!$D$3:$D$20000,0)),"New",IFERROR(VLOOKUP($B597,'Local Data Previous Year'!$D$3:$I$20000,6,0),"")))</f>
        <v/>
      </c>
      <c r="G597" s="757">
        <f t="shared" si="112"/>
        <v>0</v>
      </c>
      <c r="H597" s="758" t="str">
        <f>IFERROR(INDEX('Local Data Previous Year'!$F:$F, MATCH($D597, 'Local Data Previous Year'!$D:$D, 0)), "")</f>
        <v/>
      </c>
      <c r="I597" s="759">
        <f>IF(B597=CTR1_Billing!$E$21&amp;"NEW",1,0)</f>
        <v>0</v>
      </c>
      <c r="J597" s="760" t="str">
        <f>IFERROR(INDEX('Local Data Previous Year'!$G:$G, MATCH($D597, 'Local Data Previous Year'!$D:$D, 0)), "")</f>
        <v/>
      </c>
      <c r="K597" s="762"/>
      <c r="L597" s="760" t="str">
        <f>IFERROR(INDEX('Local Data Previous Year'!$H:$H, MATCH($D597, 'Local Data Previous Year'!$D:$D, 0)), "")</f>
        <v/>
      </c>
      <c r="M597" s="762"/>
      <c r="N597" s="763"/>
      <c r="O597" s="767"/>
      <c r="P597" s="765"/>
      <c r="Q597" s="767"/>
      <c r="R597" s="766" t="str">
        <f t="shared" si="113"/>
        <v/>
      </c>
      <c r="S597" s="754"/>
      <c r="T597" s="763"/>
      <c r="U597" s="754"/>
      <c r="V597" s="763"/>
      <c r="W597" s="763"/>
      <c r="X597" s="865" t="str">
        <f>VLOOKUP(CTR1_Billing!$E$21,Data!$C$6:$D$302,1,FALSE)</f>
        <v>EZZZZ</v>
      </c>
      <c r="Y597" s="205"/>
      <c r="Z597" s="205">
        <f t="shared" si="102"/>
        <v>0</v>
      </c>
      <c r="AA597" s="206" t="str">
        <f t="shared" si="101"/>
        <v/>
      </c>
      <c r="AB597" s="205">
        <f t="shared" si="103"/>
        <v>0</v>
      </c>
      <c r="AC597" s="208"/>
      <c r="AD597" s="208"/>
      <c r="AE597" s="208"/>
      <c r="AF597" s="208"/>
      <c r="AG597" s="209" t="str">
        <f>IFERROR(INDEX('Local Data Previous Year'!$F:$F, MATCH($D597, 'Local Data Previous Year'!$D:$D, 0)), "")</f>
        <v/>
      </c>
      <c r="AH597" s="209" t="str">
        <f>IFERROR(INDEX('Local Data Previous Year'!$G:$G, MATCH($D597, 'Local Data Previous Year'!$D:$D, 0)), "")</f>
        <v/>
      </c>
      <c r="AI597" s="209" t="str">
        <f>IFERROR(INDEX('Local Data Previous Year'!$H:$H, MATCH($D597, 'Local Data Previous Year'!$D:$D, 0)), "")</f>
        <v/>
      </c>
      <c r="AJ597" s="209" t="str">
        <f t="shared" si="104"/>
        <v/>
      </c>
      <c r="AK597" s="209" t="str">
        <f t="shared" si="116"/>
        <v/>
      </c>
      <c r="AL597" s="209" t="str">
        <f t="shared" si="117"/>
        <v/>
      </c>
      <c r="AM597" s="208" t="str">
        <f>IF($AN597="","",IFERROR(VLOOKUP(CONCATENATE(CTR1_Billing!$E$20,$AN597),'Local Data Previous Year'!$C$3:$D$50000,2,0),CTR1_Billing!$E$21&amp;"NEW"))</f>
        <v/>
      </c>
      <c r="AN597" s="209" t="str" cm="1">
        <f t="array" ref="AN597">IF(ISERROR(INDEX('Local Data Previous Year'!$E$3:$E$50000, SMALL(IF(CTR1_Billing!$E$21='Local Data Previous Year'!$A$3:$A$50000, ROW('Local Data Previous Year'!$A$3:$A$50000)-ROW('Local Data Previous Year'!$A$3)+1), ROW(565:565)))), "", INDEX('Local Data Previous Year'!$E$3:$E$50000, SMALL(IF(CTR1_Billing!$E$21='Local Data Previous Year'!$A$3:$A$50000, ROW('Local Data Previous Year'!$A$3:$A$50000)-ROW('Local Data Previous Year'!$A$3)+1), ROW(565:565))))</f>
        <v/>
      </c>
      <c r="AO597" s="209" t="str">
        <f t="shared" si="107"/>
        <v/>
      </c>
      <c r="AP597" s="208"/>
      <c r="AQ597" s="209" t="str">
        <f t="shared" si="108"/>
        <v/>
      </c>
      <c r="AR597" s="209" t="str">
        <f t="shared" si="109"/>
        <v/>
      </c>
      <c r="AS597" s="202" t="str">
        <f t="shared" si="110"/>
        <v/>
      </c>
      <c r="AT597" s="202" t="str">
        <f t="shared" si="111"/>
        <v/>
      </c>
      <c r="AU597" s="208"/>
      <c r="AV597" s="208"/>
      <c r="AW597" s="208"/>
      <c r="AX597" s="208"/>
      <c r="AY597" s="208"/>
      <c r="AZ597" s="208"/>
      <c r="BA597" s="208"/>
      <c r="BB597" s="208"/>
      <c r="BC597" s="208"/>
      <c r="BD597" s="208"/>
      <c r="BE597" s="208"/>
      <c r="BF597" s="208"/>
      <c r="BG597" s="28"/>
      <c r="BH597" s="28"/>
      <c r="BI597" s="28"/>
      <c r="BJ597" s="28"/>
    </row>
    <row r="598" spans="1:62" s="23" customFormat="1" ht="21" customHeight="1" thickBot="1" x14ac:dyDescent="0.25">
      <c r="A598" s="846" t="str">
        <f>IF($AN598="","",IFERROR(VLOOKUP(CONCATENATE(CTR1_Billing!$E$20,$AN598),'Local Data Previous Year'!$C$3:$D$20000,2,0),CTR1_Billing!$E$21&amp;"NEW"))</f>
        <v/>
      </c>
      <c r="B598" s="846" t="str">
        <f>IF($E598="","",IFERROR(VLOOKUP(CONCATENATE(CTR1_Billing!$E$20,CTR1_Local!$E598),'Local Data Previous Year'!$C$3:$D$20000,2,0),CTR1_Billing!$E$21&amp;"NEW"))</f>
        <v/>
      </c>
      <c r="C598" s="846">
        <v>566</v>
      </c>
      <c r="D598" s="755" t="str" cm="1">
        <f t="array" ref="D598">IF(ISERROR(INDEX('Local Data Previous Year'!$D$3:$D$20000,SMALL(IF(CTR1_Billing!$E$21='Local Data Previous Year'!$A$3:$A$20000,ROW('Local Data Previous Year'!$A$3:$A$20000)-ROW('Local Data Previous Year'!$A$3)+1),ROW(566:566)))),"",INDEX('Local Data Previous Year'!$D$3:$D$20000,SMALL(IF(CTR1_Billing!$E$21='Local Data Previous Year'!$A$3:$A$20000,ROW('Local Data Previous Year'!$A$3:$A$20000)-ROW('Local Data Previous Year'!$A$3)+1),ROW(566:566))))</f>
        <v/>
      </c>
      <c r="E598" s="755" t="str" cm="1">
        <f t="array" ref="E598">IF(ISERROR(INDEX('Local Data Previous Year'!$E$3:$E$20000,SMALL(IF(CTR1_Billing!$E$21='Local Data Previous Year'!$A$3:$A$20000,ROW('Local Data Previous Year'!$A$3:$A$20000)-ROW('Local Data Previous Year'!$A$3)+1),ROW(566:566)))),"",INDEX('Local Data Previous Year'!$E$3:$E$20000,SMALL(IF(CTR1_Billing!$E$21='Local Data Previous Year'!$A$3:$A$20000,ROW('Local Data Previous Year'!$A$3:$A$20000)-ROW('Local Data Previous Year'!$A$3)+1),ROW(566:566))))</f>
        <v/>
      </c>
      <c r="F598" s="756" t="str">
        <f>IF($D598="","",IF(ISNA(MATCH($D598,'Local Data Previous Year'!$D$3:$D$20000,0)),"New",IFERROR(VLOOKUP($B598,'Local Data Previous Year'!$D$3:$I$20000,6,0),"")))</f>
        <v/>
      </c>
      <c r="G598" s="757">
        <f t="shared" si="112"/>
        <v>0</v>
      </c>
      <c r="H598" s="758" t="str">
        <f>IFERROR(INDEX('Local Data Previous Year'!$F:$F, MATCH($D598, 'Local Data Previous Year'!$D:$D, 0)), "")</f>
        <v/>
      </c>
      <c r="I598" s="759">
        <f>IF(B598=CTR1_Billing!$E$21&amp;"NEW",1,0)</f>
        <v>0</v>
      </c>
      <c r="J598" s="760" t="str">
        <f>IFERROR(INDEX('Local Data Previous Year'!$G:$G, MATCH($D598, 'Local Data Previous Year'!$D:$D, 0)), "")</f>
        <v/>
      </c>
      <c r="K598" s="762"/>
      <c r="L598" s="760" t="str">
        <f>IFERROR(INDEX('Local Data Previous Year'!$H:$H, MATCH($D598, 'Local Data Previous Year'!$D:$D, 0)), "")</f>
        <v/>
      </c>
      <c r="M598" s="762"/>
      <c r="N598" s="763"/>
      <c r="O598" s="767"/>
      <c r="P598" s="765"/>
      <c r="Q598" s="767"/>
      <c r="R598" s="766" t="str">
        <f t="shared" si="113"/>
        <v/>
      </c>
      <c r="S598" s="754"/>
      <c r="T598" s="763"/>
      <c r="U598" s="754"/>
      <c r="V598" s="763"/>
      <c r="W598" s="763"/>
      <c r="X598" s="865" t="str">
        <f>VLOOKUP(CTR1_Billing!$E$21,Data!$C$6:$D$302,1,FALSE)</f>
        <v>EZZZZ</v>
      </c>
      <c r="Y598" s="205"/>
      <c r="Z598" s="205">
        <f t="shared" si="102"/>
        <v>0</v>
      </c>
      <c r="AA598" s="206" t="str">
        <f t="shared" si="101"/>
        <v/>
      </c>
      <c r="AB598" s="205">
        <f t="shared" si="103"/>
        <v>0</v>
      </c>
      <c r="AC598" s="208"/>
      <c r="AD598" s="208"/>
      <c r="AE598" s="208"/>
      <c r="AF598" s="208"/>
      <c r="AG598" s="209" t="str">
        <f>IFERROR(INDEX('Local Data Previous Year'!$F:$F, MATCH($D598, 'Local Data Previous Year'!$D:$D, 0)), "")</f>
        <v/>
      </c>
      <c r="AH598" s="209" t="str">
        <f>IFERROR(INDEX('Local Data Previous Year'!$G:$G, MATCH($D598, 'Local Data Previous Year'!$D:$D, 0)), "")</f>
        <v/>
      </c>
      <c r="AI598" s="209" t="str">
        <f>IFERROR(INDEX('Local Data Previous Year'!$H:$H, MATCH($D598, 'Local Data Previous Year'!$D:$D, 0)), "")</f>
        <v/>
      </c>
      <c r="AJ598" s="209" t="str">
        <f t="shared" si="104"/>
        <v/>
      </c>
      <c r="AK598" s="209" t="str">
        <f t="shared" si="116"/>
        <v/>
      </c>
      <c r="AL598" s="209" t="str">
        <f t="shared" si="117"/>
        <v/>
      </c>
      <c r="AM598" s="208" t="str">
        <f>IF($AN598="","",IFERROR(VLOOKUP(CONCATENATE(CTR1_Billing!$E$20,$AN598),'Local Data Previous Year'!$C$3:$D$50000,2,0),CTR1_Billing!$E$21&amp;"NEW"))</f>
        <v/>
      </c>
      <c r="AN598" s="209" t="str" cm="1">
        <f t="array" ref="AN598">IF(ISERROR(INDEX('Local Data Previous Year'!$E$3:$E$50000, SMALL(IF(CTR1_Billing!$E$21='Local Data Previous Year'!$A$3:$A$50000, ROW('Local Data Previous Year'!$A$3:$A$50000)-ROW('Local Data Previous Year'!$A$3)+1), ROW(566:566)))), "", INDEX('Local Data Previous Year'!$E$3:$E$50000, SMALL(IF(CTR1_Billing!$E$21='Local Data Previous Year'!$A$3:$A$50000, ROW('Local Data Previous Year'!$A$3:$A$50000)-ROW('Local Data Previous Year'!$A$3)+1), ROW(566:566))))</f>
        <v/>
      </c>
      <c r="AO598" s="209" t="str">
        <f t="shared" si="107"/>
        <v/>
      </c>
      <c r="AP598" s="208"/>
      <c r="AQ598" s="209" t="str">
        <f t="shared" si="108"/>
        <v/>
      </c>
      <c r="AR598" s="209" t="str">
        <f t="shared" si="109"/>
        <v/>
      </c>
      <c r="AS598" s="202" t="str">
        <f t="shared" si="110"/>
        <v/>
      </c>
      <c r="AT598" s="202" t="str">
        <f t="shared" si="111"/>
        <v/>
      </c>
      <c r="AU598" s="208"/>
      <c r="AV598" s="208"/>
      <c r="AW598" s="208"/>
      <c r="AX598" s="208"/>
      <c r="AY598" s="208"/>
      <c r="AZ598" s="208"/>
      <c r="BA598" s="208"/>
      <c r="BB598" s="208"/>
      <c r="BC598" s="208"/>
      <c r="BD598" s="208"/>
      <c r="BE598" s="208"/>
      <c r="BF598" s="208"/>
      <c r="BG598" s="28"/>
      <c r="BH598" s="28"/>
      <c r="BI598" s="28"/>
      <c r="BJ598" s="28"/>
    </row>
    <row r="599" spans="1:62" s="23" customFormat="1" ht="21" customHeight="1" thickBot="1" x14ac:dyDescent="0.25">
      <c r="A599" s="846" t="str">
        <f>IF($AN599="","",IFERROR(VLOOKUP(CONCATENATE(CTR1_Billing!$E$20,$AN599),'Local Data Previous Year'!$C$3:$D$20000,2,0),CTR1_Billing!$E$21&amp;"NEW"))</f>
        <v/>
      </c>
      <c r="B599" s="846" t="str">
        <f>IF($E599="","",IFERROR(VLOOKUP(CONCATENATE(CTR1_Billing!$E$20,CTR1_Local!$E599),'Local Data Previous Year'!$C$3:$D$20000,2,0),CTR1_Billing!$E$21&amp;"NEW"))</f>
        <v/>
      </c>
      <c r="C599" s="846">
        <v>567</v>
      </c>
      <c r="D599" s="755" t="str" cm="1">
        <f t="array" ref="D599">IF(ISERROR(INDEX('Local Data Previous Year'!$D$3:$D$20000,SMALL(IF(CTR1_Billing!$E$21='Local Data Previous Year'!$A$3:$A$20000,ROW('Local Data Previous Year'!$A$3:$A$20000)-ROW('Local Data Previous Year'!$A$3)+1),ROW(567:567)))),"",INDEX('Local Data Previous Year'!$D$3:$D$20000,SMALL(IF(CTR1_Billing!$E$21='Local Data Previous Year'!$A$3:$A$20000,ROW('Local Data Previous Year'!$A$3:$A$20000)-ROW('Local Data Previous Year'!$A$3)+1),ROW(567:567))))</f>
        <v/>
      </c>
      <c r="E599" s="755" t="str" cm="1">
        <f t="array" ref="E599">IF(ISERROR(INDEX('Local Data Previous Year'!$E$3:$E$20000,SMALL(IF(CTR1_Billing!$E$21='Local Data Previous Year'!$A$3:$A$20000,ROW('Local Data Previous Year'!$A$3:$A$20000)-ROW('Local Data Previous Year'!$A$3)+1),ROW(567:567)))),"",INDEX('Local Data Previous Year'!$E$3:$E$20000,SMALL(IF(CTR1_Billing!$E$21='Local Data Previous Year'!$A$3:$A$20000,ROW('Local Data Previous Year'!$A$3:$A$20000)-ROW('Local Data Previous Year'!$A$3)+1),ROW(567:567))))</f>
        <v/>
      </c>
      <c r="F599" s="756" t="str">
        <f>IF($D599="","",IF(ISNA(MATCH($D599,'Local Data Previous Year'!$D$3:$D$20000,0)),"New",IFERROR(VLOOKUP($B599,'Local Data Previous Year'!$D$3:$I$20000,6,0),"")))</f>
        <v/>
      </c>
      <c r="G599" s="757">
        <f t="shared" si="112"/>
        <v>0</v>
      </c>
      <c r="H599" s="758" t="str">
        <f>IFERROR(INDEX('Local Data Previous Year'!$F:$F, MATCH($D599, 'Local Data Previous Year'!$D:$D, 0)), "")</f>
        <v/>
      </c>
      <c r="I599" s="759">
        <f>IF(B599=CTR1_Billing!$E$21&amp;"NEW",1,0)</f>
        <v>0</v>
      </c>
      <c r="J599" s="760" t="str">
        <f>IFERROR(INDEX('Local Data Previous Year'!$G:$G, MATCH($D599, 'Local Data Previous Year'!$D:$D, 0)), "")</f>
        <v/>
      </c>
      <c r="K599" s="762"/>
      <c r="L599" s="760" t="str">
        <f>IFERROR(INDEX('Local Data Previous Year'!$H:$H, MATCH($D599, 'Local Data Previous Year'!$D:$D, 0)), "")</f>
        <v/>
      </c>
      <c r="M599" s="762"/>
      <c r="N599" s="763"/>
      <c r="O599" s="767"/>
      <c r="P599" s="765"/>
      <c r="Q599" s="767"/>
      <c r="R599" s="766" t="str">
        <f t="shared" si="113"/>
        <v/>
      </c>
      <c r="S599" s="754"/>
      <c r="T599" s="763"/>
      <c r="U599" s="754"/>
      <c r="V599" s="763"/>
      <c r="W599" s="763"/>
      <c r="X599" s="865" t="str">
        <f>VLOOKUP(CTR1_Billing!$E$21,Data!$C$6:$D$302,1,FALSE)</f>
        <v>EZZZZ</v>
      </c>
      <c r="Y599" s="205"/>
      <c r="Z599" s="205">
        <f t="shared" si="102"/>
        <v>0</v>
      </c>
      <c r="AA599" s="206" t="str">
        <f t="shared" si="101"/>
        <v/>
      </c>
      <c r="AB599" s="205">
        <f t="shared" si="103"/>
        <v>0</v>
      </c>
      <c r="AC599" s="208"/>
      <c r="AD599" s="208"/>
      <c r="AE599" s="208"/>
      <c r="AF599" s="208"/>
      <c r="AG599" s="209" t="str">
        <f>IFERROR(INDEX('Local Data Previous Year'!$F:$F, MATCH($D599, 'Local Data Previous Year'!$D:$D, 0)), "")</f>
        <v/>
      </c>
      <c r="AH599" s="209" t="str">
        <f>IFERROR(INDEX('Local Data Previous Year'!$G:$G, MATCH($D599, 'Local Data Previous Year'!$D:$D, 0)), "")</f>
        <v/>
      </c>
      <c r="AI599" s="209" t="str">
        <f>IFERROR(INDEX('Local Data Previous Year'!$H:$H, MATCH($D599, 'Local Data Previous Year'!$D:$D, 0)), "")</f>
        <v/>
      </c>
      <c r="AJ599" s="209" t="str">
        <f t="shared" si="104"/>
        <v/>
      </c>
      <c r="AK599" s="209" t="str">
        <f t="shared" si="116"/>
        <v/>
      </c>
      <c r="AL599" s="209" t="str">
        <f t="shared" si="117"/>
        <v/>
      </c>
      <c r="AM599" s="208" t="str">
        <f>IF($AN599="","",IFERROR(VLOOKUP(CONCATENATE(CTR1_Billing!$E$20,$AN599),'Local Data Previous Year'!$C$3:$D$50000,2,0),CTR1_Billing!$E$21&amp;"NEW"))</f>
        <v/>
      </c>
      <c r="AN599" s="209" t="str" cm="1">
        <f t="array" ref="AN599">IF(ISERROR(INDEX('Local Data Previous Year'!$E$3:$E$50000, SMALL(IF(CTR1_Billing!$E$21='Local Data Previous Year'!$A$3:$A$50000, ROW('Local Data Previous Year'!$A$3:$A$50000)-ROW('Local Data Previous Year'!$A$3)+1), ROW(567:567)))), "", INDEX('Local Data Previous Year'!$E$3:$E$50000, SMALL(IF(CTR1_Billing!$E$21='Local Data Previous Year'!$A$3:$A$50000, ROW('Local Data Previous Year'!$A$3:$A$50000)-ROW('Local Data Previous Year'!$A$3)+1), ROW(567:567))))</f>
        <v/>
      </c>
      <c r="AO599" s="209" t="str">
        <f t="shared" si="107"/>
        <v/>
      </c>
      <c r="AP599" s="208"/>
      <c r="AQ599" s="209" t="str">
        <f t="shared" si="108"/>
        <v/>
      </c>
      <c r="AR599" s="209" t="str">
        <f t="shared" si="109"/>
        <v/>
      </c>
      <c r="AS599" s="202" t="str">
        <f t="shared" si="110"/>
        <v/>
      </c>
      <c r="AT599" s="202" t="str">
        <f t="shared" si="111"/>
        <v/>
      </c>
      <c r="AU599" s="208"/>
      <c r="AV599" s="208"/>
      <c r="AW599" s="208"/>
      <c r="AX599" s="208"/>
      <c r="AY599" s="208"/>
      <c r="AZ599" s="208"/>
      <c r="BA599" s="208"/>
      <c r="BB599" s="208"/>
      <c r="BC599" s="208"/>
      <c r="BD599" s="208"/>
      <c r="BE599" s="208"/>
      <c r="BF599" s="208"/>
      <c r="BG599" s="28"/>
      <c r="BH599" s="28"/>
      <c r="BI599" s="28"/>
      <c r="BJ599" s="28"/>
    </row>
    <row r="600" spans="1:62" s="23" customFormat="1" ht="21" customHeight="1" thickBot="1" x14ac:dyDescent="0.25">
      <c r="A600" s="846" t="str">
        <f>IF($AN600="","",IFERROR(VLOOKUP(CONCATENATE(CTR1_Billing!$E$20,$AN600),'Local Data Previous Year'!$C$3:$D$20000,2,0),CTR1_Billing!$E$21&amp;"NEW"))</f>
        <v/>
      </c>
      <c r="B600" s="846" t="str">
        <f>IF($E600="","",IFERROR(VLOOKUP(CONCATENATE(CTR1_Billing!$E$20,CTR1_Local!$E600),'Local Data Previous Year'!$C$3:$D$20000,2,0),CTR1_Billing!$E$21&amp;"NEW"))</f>
        <v/>
      </c>
      <c r="C600" s="846">
        <v>568</v>
      </c>
      <c r="D600" s="755" t="str" cm="1">
        <f t="array" ref="D600">IF(ISERROR(INDEX('Local Data Previous Year'!$D$3:$D$20000,SMALL(IF(CTR1_Billing!$E$21='Local Data Previous Year'!$A$3:$A$20000,ROW('Local Data Previous Year'!$A$3:$A$20000)-ROW('Local Data Previous Year'!$A$3)+1),ROW(568:568)))),"",INDEX('Local Data Previous Year'!$D$3:$D$20000,SMALL(IF(CTR1_Billing!$E$21='Local Data Previous Year'!$A$3:$A$20000,ROW('Local Data Previous Year'!$A$3:$A$20000)-ROW('Local Data Previous Year'!$A$3)+1),ROW(568:568))))</f>
        <v/>
      </c>
      <c r="E600" s="755" t="str" cm="1">
        <f t="array" ref="E600">IF(ISERROR(INDEX('Local Data Previous Year'!$E$3:$E$20000,SMALL(IF(CTR1_Billing!$E$21='Local Data Previous Year'!$A$3:$A$20000,ROW('Local Data Previous Year'!$A$3:$A$20000)-ROW('Local Data Previous Year'!$A$3)+1),ROW(568:568)))),"",INDEX('Local Data Previous Year'!$E$3:$E$20000,SMALL(IF(CTR1_Billing!$E$21='Local Data Previous Year'!$A$3:$A$20000,ROW('Local Data Previous Year'!$A$3:$A$20000)-ROW('Local Data Previous Year'!$A$3)+1),ROW(568:568))))</f>
        <v/>
      </c>
      <c r="F600" s="756" t="str">
        <f>IF($D600="","",IF(ISNA(MATCH($D600,'Local Data Previous Year'!$D$3:$D$20000,0)),"New",IFERROR(VLOOKUP($B600,'Local Data Previous Year'!$D$3:$I$20000,6,0),"")))</f>
        <v/>
      </c>
      <c r="G600" s="757">
        <f t="shared" si="112"/>
        <v>0</v>
      </c>
      <c r="H600" s="758" t="str">
        <f>IFERROR(INDEX('Local Data Previous Year'!$F:$F, MATCH($D600, 'Local Data Previous Year'!$D:$D, 0)), "")</f>
        <v/>
      </c>
      <c r="I600" s="759">
        <f>IF(B600=CTR1_Billing!$E$21&amp;"NEW",1,0)</f>
        <v>0</v>
      </c>
      <c r="J600" s="760" t="str">
        <f>IFERROR(INDEX('Local Data Previous Year'!$G:$G, MATCH($D600, 'Local Data Previous Year'!$D:$D, 0)), "")</f>
        <v/>
      </c>
      <c r="K600" s="762"/>
      <c r="L600" s="760" t="str">
        <f>IFERROR(INDEX('Local Data Previous Year'!$H:$H, MATCH($D600, 'Local Data Previous Year'!$D:$D, 0)), "")</f>
        <v/>
      </c>
      <c r="M600" s="762"/>
      <c r="N600" s="763"/>
      <c r="O600" s="767"/>
      <c r="P600" s="765"/>
      <c r="Q600" s="767"/>
      <c r="R600" s="766" t="str">
        <f t="shared" si="113"/>
        <v/>
      </c>
      <c r="S600" s="754"/>
      <c r="T600" s="763"/>
      <c r="U600" s="754"/>
      <c r="V600" s="763"/>
      <c r="W600" s="763"/>
      <c r="X600" s="865" t="str">
        <f>VLOOKUP(CTR1_Billing!$E$21,Data!$C$6:$D$302,1,FALSE)</f>
        <v>EZZZZ</v>
      </c>
      <c r="Y600" s="205"/>
      <c r="Z600" s="205">
        <f t="shared" si="102"/>
        <v>0</v>
      </c>
      <c r="AA600" s="206" t="str">
        <f t="shared" si="101"/>
        <v/>
      </c>
      <c r="AB600" s="205">
        <f t="shared" si="103"/>
        <v>0</v>
      </c>
      <c r="AC600" s="208"/>
      <c r="AD600" s="208"/>
      <c r="AE600" s="208"/>
      <c r="AF600" s="208"/>
      <c r="AG600" s="209" t="str">
        <f>IFERROR(INDEX('Local Data Previous Year'!$F:$F, MATCH($D600, 'Local Data Previous Year'!$D:$D, 0)), "")</f>
        <v/>
      </c>
      <c r="AH600" s="209" t="str">
        <f>IFERROR(INDEX('Local Data Previous Year'!$G:$G, MATCH($D600, 'Local Data Previous Year'!$D:$D, 0)), "")</f>
        <v/>
      </c>
      <c r="AI600" s="209" t="str">
        <f>IFERROR(INDEX('Local Data Previous Year'!$H:$H, MATCH($D600, 'Local Data Previous Year'!$D:$D, 0)), "")</f>
        <v/>
      </c>
      <c r="AJ600" s="209" t="str">
        <f t="shared" si="104"/>
        <v/>
      </c>
      <c r="AK600" s="209" t="str">
        <f t="shared" si="116"/>
        <v/>
      </c>
      <c r="AL600" s="209" t="str">
        <f t="shared" si="117"/>
        <v/>
      </c>
      <c r="AM600" s="208" t="str">
        <f>IF($AN600="","",IFERROR(VLOOKUP(CONCATENATE(CTR1_Billing!$E$20,$AN600),'Local Data Previous Year'!$C$3:$D$50000,2,0),CTR1_Billing!$E$21&amp;"NEW"))</f>
        <v/>
      </c>
      <c r="AN600" s="209" t="str" cm="1">
        <f t="array" ref="AN600">IF(ISERROR(INDEX('Local Data Previous Year'!$E$3:$E$50000, SMALL(IF(CTR1_Billing!$E$21='Local Data Previous Year'!$A$3:$A$50000, ROW('Local Data Previous Year'!$A$3:$A$50000)-ROW('Local Data Previous Year'!$A$3)+1), ROW(568:568)))), "", INDEX('Local Data Previous Year'!$E$3:$E$50000, SMALL(IF(CTR1_Billing!$E$21='Local Data Previous Year'!$A$3:$A$50000, ROW('Local Data Previous Year'!$A$3:$A$50000)-ROW('Local Data Previous Year'!$A$3)+1), ROW(568:568))))</f>
        <v/>
      </c>
      <c r="AO600" s="209" t="str">
        <f t="shared" si="107"/>
        <v/>
      </c>
      <c r="AP600" s="208"/>
      <c r="AQ600" s="209" t="str">
        <f t="shared" si="108"/>
        <v/>
      </c>
      <c r="AR600" s="209" t="str">
        <f t="shared" si="109"/>
        <v/>
      </c>
      <c r="AS600" s="202" t="str">
        <f t="shared" si="110"/>
        <v/>
      </c>
      <c r="AT600" s="202" t="str">
        <f t="shared" si="111"/>
        <v/>
      </c>
      <c r="AU600" s="208"/>
      <c r="AV600" s="208"/>
      <c r="AW600" s="208"/>
      <c r="AX600" s="208"/>
      <c r="AY600" s="208"/>
      <c r="AZ600" s="208"/>
      <c r="BA600" s="208"/>
      <c r="BB600" s="208"/>
      <c r="BC600" s="208"/>
      <c r="BD600" s="208"/>
      <c r="BE600" s="208"/>
      <c r="BF600" s="208"/>
      <c r="BG600" s="28"/>
      <c r="BH600" s="28"/>
      <c r="BI600" s="28"/>
      <c r="BJ600" s="28"/>
    </row>
    <row r="601" spans="1:62" s="23" customFormat="1" ht="21" customHeight="1" thickBot="1" x14ac:dyDescent="0.25">
      <c r="A601" s="846" t="str">
        <f>IF($AN601="","",IFERROR(VLOOKUP(CONCATENATE(CTR1_Billing!$E$20,$AN601),'Local Data Previous Year'!$C$3:$D$20000,2,0),CTR1_Billing!$E$21&amp;"NEW"))</f>
        <v/>
      </c>
      <c r="B601" s="846" t="str">
        <f>IF($E601="","",IFERROR(VLOOKUP(CONCATENATE(CTR1_Billing!$E$20,CTR1_Local!$E601),'Local Data Previous Year'!$C$3:$D$20000,2,0),CTR1_Billing!$E$21&amp;"NEW"))</f>
        <v/>
      </c>
      <c r="C601" s="846">
        <v>569</v>
      </c>
      <c r="D601" s="755" t="str" cm="1">
        <f t="array" ref="D601">IF(ISERROR(INDEX('Local Data Previous Year'!$D$3:$D$20000,SMALL(IF(CTR1_Billing!$E$21='Local Data Previous Year'!$A$3:$A$20000,ROW('Local Data Previous Year'!$A$3:$A$20000)-ROW('Local Data Previous Year'!$A$3)+1),ROW(569:569)))),"",INDEX('Local Data Previous Year'!$D$3:$D$20000,SMALL(IF(CTR1_Billing!$E$21='Local Data Previous Year'!$A$3:$A$20000,ROW('Local Data Previous Year'!$A$3:$A$20000)-ROW('Local Data Previous Year'!$A$3)+1),ROW(569:569))))</f>
        <v/>
      </c>
      <c r="E601" s="755" t="str" cm="1">
        <f t="array" ref="E601">IF(ISERROR(INDEX('Local Data Previous Year'!$E$3:$E$20000,SMALL(IF(CTR1_Billing!$E$21='Local Data Previous Year'!$A$3:$A$20000,ROW('Local Data Previous Year'!$A$3:$A$20000)-ROW('Local Data Previous Year'!$A$3)+1),ROW(569:569)))),"",INDEX('Local Data Previous Year'!$E$3:$E$20000,SMALL(IF(CTR1_Billing!$E$21='Local Data Previous Year'!$A$3:$A$20000,ROW('Local Data Previous Year'!$A$3:$A$20000)-ROW('Local Data Previous Year'!$A$3)+1),ROW(569:569))))</f>
        <v/>
      </c>
      <c r="F601" s="756" t="str">
        <f>IF($D601="","",IF(ISNA(MATCH($D601,'Local Data Previous Year'!$D$3:$D$20000,0)),"New",IFERROR(VLOOKUP($B601,'Local Data Previous Year'!$D$3:$I$20000,6,0),"")))</f>
        <v/>
      </c>
      <c r="G601" s="757">
        <f t="shared" si="112"/>
        <v>0</v>
      </c>
      <c r="H601" s="758" t="str">
        <f>IFERROR(INDEX('Local Data Previous Year'!$F:$F, MATCH($D601, 'Local Data Previous Year'!$D:$D, 0)), "")</f>
        <v/>
      </c>
      <c r="I601" s="759">
        <f>IF(B601=CTR1_Billing!$E$21&amp;"NEW",1,0)</f>
        <v>0</v>
      </c>
      <c r="J601" s="760" t="str">
        <f>IFERROR(INDEX('Local Data Previous Year'!$G:$G, MATCH($D601, 'Local Data Previous Year'!$D:$D, 0)), "")</f>
        <v/>
      </c>
      <c r="K601" s="762"/>
      <c r="L601" s="760" t="str">
        <f>IFERROR(INDEX('Local Data Previous Year'!$H:$H, MATCH($D601, 'Local Data Previous Year'!$D:$D, 0)), "")</f>
        <v/>
      </c>
      <c r="M601" s="762"/>
      <c r="N601" s="763"/>
      <c r="O601" s="767"/>
      <c r="P601" s="765"/>
      <c r="Q601" s="767"/>
      <c r="R601" s="766" t="str">
        <f t="shared" si="113"/>
        <v/>
      </c>
      <c r="S601" s="754"/>
      <c r="T601" s="763"/>
      <c r="U601" s="754"/>
      <c r="V601" s="763"/>
      <c r="W601" s="763"/>
      <c r="X601" s="865" t="str">
        <f>VLOOKUP(CTR1_Billing!$E$21,Data!$C$6:$D$302,1,FALSE)</f>
        <v>EZZZZ</v>
      </c>
      <c r="Y601" s="205"/>
      <c r="Z601" s="205">
        <f t="shared" si="102"/>
        <v>0</v>
      </c>
      <c r="AA601" s="206" t="str">
        <f t="shared" si="101"/>
        <v/>
      </c>
      <c r="AB601" s="205">
        <f t="shared" si="103"/>
        <v>0</v>
      </c>
      <c r="AC601" s="208"/>
      <c r="AD601" s="208"/>
      <c r="AE601" s="208"/>
      <c r="AF601" s="208"/>
      <c r="AG601" s="209" t="str">
        <f>IFERROR(INDEX('Local Data Previous Year'!$F:$F, MATCH($D601, 'Local Data Previous Year'!$D:$D, 0)), "")</f>
        <v/>
      </c>
      <c r="AH601" s="209" t="str">
        <f>IFERROR(INDEX('Local Data Previous Year'!$G:$G, MATCH($D601, 'Local Data Previous Year'!$D:$D, 0)), "")</f>
        <v/>
      </c>
      <c r="AI601" s="209" t="str">
        <f>IFERROR(INDEX('Local Data Previous Year'!$H:$H, MATCH($D601, 'Local Data Previous Year'!$D:$D, 0)), "")</f>
        <v/>
      </c>
      <c r="AJ601" s="209" t="str">
        <f t="shared" si="104"/>
        <v/>
      </c>
      <c r="AK601" s="209" t="str">
        <f t="shared" si="116"/>
        <v/>
      </c>
      <c r="AL601" s="209" t="str">
        <f t="shared" si="117"/>
        <v/>
      </c>
      <c r="AM601" s="208" t="str">
        <f>IF($AN601="","",IFERROR(VLOOKUP(CONCATENATE(CTR1_Billing!$E$20,$AN601),'Local Data Previous Year'!$C$3:$D$50000,2,0),CTR1_Billing!$E$21&amp;"NEW"))</f>
        <v/>
      </c>
      <c r="AN601" s="209" t="str" cm="1">
        <f t="array" ref="AN601">IF(ISERROR(INDEX('Local Data Previous Year'!$E$3:$E$50000, SMALL(IF(CTR1_Billing!$E$21='Local Data Previous Year'!$A$3:$A$50000, ROW('Local Data Previous Year'!$A$3:$A$50000)-ROW('Local Data Previous Year'!$A$3)+1), ROW(569:569)))), "", INDEX('Local Data Previous Year'!$E$3:$E$50000, SMALL(IF(CTR1_Billing!$E$21='Local Data Previous Year'!$A$3:$A$50000, ROW('Local Data Previous Year'!$A$3:$A$50000)-ROW('Local Data Previous Year'!$A$3)+1), ROW(569:569))))</f>
        <v/>
      </c>
      <c r="AO601" s="209" t="str">
        <f t="shared" si="107"/>
        <v/>
      </c>
      <c r="AP601" s="208"/>
      <c r="AQ601" s="209" t="str">
        <f t="shared" si="108"/>
        <v/>
      </c>
      <c r="AR601" s="209" t="str">
        <f t="shared" si="109"/>
        <v/>
      </c>
      <c r="AS601" s="202" t="str">
        <f t="shared" si="110"/>
        <v/>
      </c>
      <c r="AT601" s="202" t="str">
        <f t="shared" si="111"/>
        <v/>
      </c>
      <c r="AU601" s="208"/>
      <c r="AV601" s="208"/>
      <c r="AW601" s="208"/>
      <c r="AX601" s="208"/>
      <c r="AY601" s="208"/>
      <c r="AZ601" s="208"/>
      <c r="BA601" s="208"/>
      <c r="BB601" s="208"/>
      <c r="BC601" s="208"/>
      <c r="BD601" s="208"/>
      <c r="BE601" s="208"/>
      <c r="BF601" s="208"/>
      <c r="BG601" s="28"/>
      <c r="BH601" s="28"/>
      <c r="BI601" s="28"/>
      <c r="BJ601" s="28"/>
    </row>
    <row r="602" spans="1:62" s="23" customFormat="1" ht="21" customHeight="1" thickBot="1" x14ac:dyDescent="0.25">
      <c r="A602" s="846" t="str">
        <f>IF($AN602="","",IFERROR(VLOOKUP(CONCATENATE(CTR1_Billing!$E$20,$AN602),'Local Data Previous Year'!$C$3:$D$20000,2,0),CTR1_Billing!$E$21&amp;"NEW"))</f>
        <v/>
      </c>
      <c r="B602" s="846" t="str">
        <f>IF($E602="","",IFERROR(VLOOKUP(CONCATENATE(CTR1_Billing!$E$20,CTR1_Local!$E602),'Local Data Previous Year'!$C$3:$D$20000,2,0),CTR1_Billing!$E$21&amp;"NEW"))</f>
        <v/>
      </c>
      <c r="C602" s="846">
        <v>570</v>
      </c>
      <c r="D602" s="755" t="str" cm="1">
        <f t="array" ref="D602">IF(ISERROR(INDEX('Local Data Previous Year'!$D$3:$D$20000,SMALL(IF(CTR1_Billing!$E$21='Local Data Previous Year'!$A$3:$A$20000,ROW('Local Data Previous Year'!$A$3:$A$20000)-ROW('Local Data Previous Year'!$A$3)+1),ROW(570:570)))),"",INDEX('Local Data Previous Year'!$D$3:$D$20000,SMALL(IF(CTR1_Billing!$E$21='Local Data Previous Year'!$A$3:$A$20000,ROW('Local Data Previous Year'!$A$3:$A$20000)-ROW('Local Data Previous Year'!$A$3)+1),ROW(570:570))))</f>
        <v/>
      </c>
      <c r="E602" s="755" t="str" cm="1">
        <f t="array" ref="E602">IF(ISERROR(INDEX('Local Data Previous Year'!$E$3:$E$20000,SMALL(IF(CTR1_Billing!$E$21='Local Data Previous Year'!$A$3:$A$20000,ROW('Local Data Previous Year'!$A$3:$A$20000)-ROW('Local Data Previous Year'!$A$3)+1),ROW(570:570)))),"",INDEX('Local Data Previous Year'!$E$3:$E$20000,SMALL(IF(CTR1_Billing!$E$21='Local Data Previous Year'!$A$3:$A$20000,ROW('Local Data Previous Year'!$A$3:$A$20000)-ROW('Local Data Previous Year'!$A$3)+1),ROW(570:570))))</f>
        <v/>
      </c>
      <c r="F602" s="756" t="str">
        <f>IF($D602="","",IF(ISNA(MATCH($D602,'Local Data Previous Year'!$D$3:$D$20000,0)),"New",IFERROR(VLOOKUP($B602,'Local Data Previous Year'!$D$3:$I$20000,6,0),"")))</f>
        <v/>
      </c>
      <c r="G602" s="757">
        <f t="shared" si="112"/>
        <v>0</v>
      </c>
      <c r="H602" s="758" t="str">
        <f>IFERROR(INDEX('Local Data Previous Year'!$F:$F, MATCH($D602, 'Local Data Previous Year'!$D:$D, 0)), "")</f>
        <v/>
      </c>
      <c r="I602" s="759">
        <f>IF(B602=CTR1_Billing!$E$21&amp;"NEW",1,0)</f>
        <v>0</v>
      </c>
      <c r="J602" s="760" t="str">
        <f>IFERROR(INDEX('Local Data Previous Year'!$G:$G, MATCH($D602, 'Local Data Previous Year'!$D:$D, 0)), "")</f>
        <v/>
      </c>
      <c r="K602" s="762"/>
      <c r="L602" s="760" t="str">
        <f>IFERROR(INDEX('Local Data Previous Year'!$H:$H, MATCH($D602, 'Local Data Previous Year'!$D:$D, 0)), "")</f>
        <v/>
      </c>
      <c r="M602" s="762"/>
      <c r="N602" s="763"/>
      <c r="O602" s="767"/>
      <c r="P602" s="765"/>
      <c r="Q602" s="767"/>
      <c r="R602" s="766" t="str">
        <f t="shared" si="113"/>
        <v/>
      </c>
      <c r="S602" s="754"/>
      <c r="T602" s="763"/>
      <c r="U602" s="754"/>
      <c r="V602" s="763"/>
      <c r="W602" s="763"/>
      <c r="X602" s="865" t="str">
        <f>VLOOKUP(CTR1_Billing!$E$21,Data!$C$6:$D$302,1,FALSE)</f>
        <v>EZZZZ</v>
      </c>
      <c r="Y602" s="205"/>
      <c r="Z602" s="205">
        <f t="shared" si="102"/>
        <v>0</v>
      </c>
      <c r="AA602" s="206" t="str">
        <f t="shared" si="101"/>
        <v/>
      </c>
      <c r="AB602" s="205">
        <f t="shared" si="103"/>
        <v>0</v>
      </c>
      <c r="AC602" s="208"/>
      <c r="AD602" s="208"/>
      <c r="AE602" s="208"/>
      <c r="AF602" s="208"/>
      <c r="AG602" s="209" t="str">
        <f>IFERROR(INDEX('Local Data Previous Year'!$F:$F, MATCH($D602, 'Local Data Previous Year'!$D:$D, 0)), "")</f>
        <v/>
      </c>
      <c r="AH602" s="209" t="str">
        <f>IFERROR(INDEX('Local Data Previous Year'!$G:$G, MATCH($D602, 'Local Data Previous Year'!$D:$D, 0)), "")</f>
        <v/>
      </c>
      <c r="AI602" s="209" t="str">
        <f>IFERROR(INDEX('Local Data Previous Year'!$H:$H, MATCH($D602, 'Local Data Previous Year'!$D:$D, 0)), "")</f>
        <v/>
      </c>
      <c r="AJ602" s="209" t="str">
        <f t="shared" si="104"/>
        <v/>
      </c>
      <c r="AK602" s="209" t="str">
        <f t="shared" si="116"/>
        <v/>
      </c>
      <c r="AL602" s="209" t="str">
        <f t="shared" si="117"/>
        <v/>
      </c>
      <c r="AM602" s="208" t="str">
        <f>IF($AN602="","",IFERROR(VLOOKUP(CONCATENATE(CTR1_Billing!$E$20,$AN602),'Local Data Previous Year'!$C$3:$D$50000,2,0),CTR1_Billing!$E$21&amp;"NEW"))</f>
        <v/>
      </c>
      <c r="AN602" s="209" t="str" cm="1">
        <f t="array" ref="AN602">IF(ISERROR(INDEX('Local Data Previous Year'!$E$3:$E$50000, SMALL(IF(CTR1_Billing!$E$21='Local Data Previous Year'!$A$3:$A$50000, ROW('Local Data Previous Year'!$A$3:$A$50000)-ROW('Local Data Previous Year'!$A$3)+1), ROW(570:570)))), "", INDEX('Local Data Previous Year'!$E$3:$E$50000, SMALL(IF(CTR1_Billing!$E$21='Local Data Previous Year'!$A$3:$A$50000, ROW('Local Data Previous Year'!$A$3:$A$50000)-ROW('Local Data Previous Year'!$A$3)+1), ROW(570:570))))</f>
        <v/>
      </c>
      <c r="AO602" s="209" t="str">
        <f t="shared" si="107"/>
        <v/>
      </c>
      <c r="AP602" s="208"/>
      <c r="AQ602" s="209" t="str">
        <f t="shared" si="108"/>
        <v/>
      </c>
      <c r="AR602" s="209" t="str">
        <f t="shared" si="109"/>
        <v/>
      </c>
      <c r="AS602" s="202" t="str">
        <f t="shared" si="110"/>
        <v/>
      </c>
      <c r="AT602" s="202" t="str">
        <f t="shared" si="111"/>
        <v/>
      </c>
      <c r="AU602" s="208"/>
      <c r="AV602" s="208"/>
      <c r="AW602" s="208"/>
      <c r="AX602" s="208"/>
      <c r="AY602" s="208"/>
      <c r="AZ602" s="208"/>
      <c r="BA602" s="208"/>
      <c r="BB602" s="208"/>
      <c r="BC602" s="208"/>
      <c r="BD602" s="208"/>
      <c r="BE602" s="208"/>
      <c r="BF602" s="208"/>
      <c r="BG602" s="28"/>
      <c r="BH602" s="28"/>
      <c r="BI602" s="28"/>
      <c r="BJ602" s="28"/>
    </row>
    <row r="603" spans="1:62" s="23" customFormat="1" ht="21" customHeight="1" thickBot="1" x14ac:dyDescent="0.25">
      <c r="A603" s="846" t="str">
        <f>IF($AN603="","",IFERROR(VLOOKUP(CONCATENATE(CTR1_Billing!$E$20,$AN603),'Local Data Previous Year'!$C$3:$D$20000,2,0),CTR1_Billing!$E$21&amp;"NEW"))</f>
        <v/>
      </c>
      <c r="B603" s="846" t="str">
        <f>IF($E603="","",IFERROR(VLOOKUP(CONCATENATE(CTR1_Billing!$E$20,CTR1_Local!$E603),'Local Data Previous Year'!$C$3:$D$20000,2,0),CTR1_Billing!$E$21&amp;"NEW"))</f>
        <v/>
      </c>
      <c r="C603" s="846">
        <v>571</v>
      </c>
      <c r="D603" s="755" t="str" cm="1">
        <f t="array" ref="D603">IF(ISERROR(INDEX('Local Data Previous Year'!$D$3:$D$20000,SMALL(IF(CTR1_Billing!$E$21='Local Data Previous Year'!$A$3:$A$20000,ROW('Local Data Previous Year'!$A$3:$A$20000)-ROW('Local Data Previous Year'!$A$3)+1),ROW(571:571)))),"",INDEX('Local Data Previous Year'!$D$3:$D$20000,SMALL(IF(CTR1_Billing!$E$21='Local Data Previous Year'!$A$3:$A$20000,ROW('Local Data Previous Year'!$A$3:$A$20000)-ROW('Local Data Previous Year'!$A$3)+1),ROW(571:571))))</f>
        <v/>
      </c>
      <c r="E603" s="755" t="str" cm="1">
        <f t="array" ref="E603">IF(ISERROR(INDEX('Local Data Previous Year'!$E$3:$E$20000,SMALL(IF(CTR1_Billing!$E$21='Local Data Previous Year'!$A$3:$A$20000,ROW('Local Data Previous Year'!$A$3:$A$20000)-ROW('Local Data Previous Year'!$A$3)+1),ROW(571:571)))),"",INDEX('Local Data Previous Year'!$E$3:$E$20000,SMALL(IF(CTR1_Billing!$E$21='Local Data Previous Year'!$A$3:$A$20000,ROW('Local Data Previous Year'!$A$3:$A$20000)-ROW('Local Data Previous Year'!$A$3)+1),ROW(571:571))))</f>
        <v/>
      </c>
      <c r="F603" s="756" t="str">
        <f>IF($D603="","",IF(ISNA(MATCH($D603,'Local Data Previous Year'!$D$3:$D$20000,0)),"New",IFERROR(VLOOKUP($B603,'Local Data Previous Year'!$D$3:$I$20000,6,0),"")))</f>
        <v/>
      </c>
      <c r="G603" s="757">
        <f t="shared" si="112"/>
        <v>0</v>
      </c>
      <c r="H603" s="758" t="str">
        <f>IFERROR(INDEX('Local Data Previous Year'!$F:$F, MATCH($D603, 'Local Data Previous Year'!$D:$D, 0)), "")</f>
        <v/>
      </c>
      <c r="I603" s="759">
        <f>IF(B603=CTR1_Billing!$E$21&amp;"NEW",1,0)</f>
        <v>0</v>
      </c>
      <c r="J603" s="760" t="str">
        <f>IFERROR(INDEX('Local Data Previous Year'!$G:$G, MATCH($D603, 'Local Data Previous Year'!$D:$D, 0)), "")</f>
        <v/>
      </c>
      <c r="K603" s="762"/>
      <c r="L603" s="760" t="str">
        <f>IFERROR(INDEX('Local Data Previous Year'!$H:$H, MATCH($D603, 'Local Data Previous Year'!$D:$D, 0)), "")</f>
        <v/>
      </c>
      <c r="M603" s="762"/>
      <c r="N603" s="763"/>
      <c r="O603" s="767"/>
      <c r="P603" s="765"/>
      <c r="Q603" s="767"/>
      <c r="R603" s="766" t="str">
        <f t="shared" si="113"/>
        <v/>
      </c>
      <c r="S603" s="754"/>
      <c r="T603" s="763"/>
      <c r="U603" s="754"/>
      <c r="V603" s="763"/>
      <c r="W603" s="763"/>
      <c r="X603" s="865" t="str">
        <f>VLOOKUP(CTR1_Billing!$E$21,Data!$C$6:$D$302,1,FALSE)</f>
        <v>EZZZZ</v>
      </c>
      <c r="Y603" s="205"/>
      <c r="Z603" s="205">
        <f t="shared" si="102"/>
        <v>0</v>
      </c>
      <c r="AA603" s="206" t="str">
        <f t="shared" si="101"/>
        <v/>
      </c>
      <c r="AB603" s="205">
        <f t="shared" si="103"/>
        <v>0</v>
      </c>
      <c r="AC603" s="208"/>
      <c r="AD603" s="208"/>
      <c r="AE603" s="208"/>
      <c r="AF603" s="208"/>
      <c r="AG603" s="209" t="str">
        <f>IFERROR(INDEX('Local Data Previous Year'!$F:$F, MATCH($D603, 'Local Data Previous Year'!$D:$D, 0)), "")</f>
        <v/>
      </c>
      <c r="AH603" s="209" t="str">
        <f>IFERROR(INDEX('Local Data Previous Year'!$G:$G, MATCH($D603, 'Local Data Previous Year'!$D:$D, 0)), "")</f>
        <v/>
      </c>
      <c r="AI603" s="209" t="str">
        <f>IFERROR(INDEX('Local Data Previous Year'!$H:$H, MATCH($D603, 'Local Data Previous Year'!$D:$D, 0)), "")</f>
        <v/>
      </c>
      <c r="AJ603" s="209" t="str">
        <f t="shared" si="104"/>
        <v/>
      </c>
      <c r="AK603" s="209" t="str">
        <f t="shared" si="116"/>
        <v/>
      </c>
      <c r="AL603" s="209" t="str">
        <f t="shared" si="117"/>
        <v/>
      </c>
      <c r="AM603" s="208" t="str">
        <f>IF($AN603="","",IFERROR(VLOOKUP(CONCATENATE(CTR1_Billing!$E$20,$AN603),'Local Data Previous Year'!$C$3:$D$50000,2,0),CTR1_Billing!$E$21&amp;"NEW"))</f>
        <v/>
      </c>
      <c r="AN603" s="209" t="str" cm="1">
        <f t="array" ref="AN603">IF(ISERROR(INDEX('Local Data Previous Year'!$E$3:$E$50000, SMALL(IF(CTR1_Billing!$E$21='Local Data Previous Year'!$A$3:$A$50000, ROW('Local Data Previous Year'!$A$3:$A$50000)-ROW('Local Data Previous Year'!$A$3)+1), ROW(571:571)))), "", INDEX('Local Data Previous Year'!$E$3:$E$50000, SMALL(IF(CTR1_Billing!$E$21='Local Data Previous Year'!$A$3:$A$50000, ROW('Local Data Previous Year'!$A$3:$A$50000)-ROW('Local Data Previous Year'!$A$3)+1), ROW(571:571))))</f>
        <v/>
      </c>
      <c r="AO603" s="209" t="str">
        <f t="shared" si="107"/>
        <v/>
      </c>
      <c r="AP603" s="208"/>
      <c r="AQ603" s="209" t="str">
        <f t="shared" si="108"/>
        <v/>
      </c>
      <c r="AR603" s="209" t="str">
        <f t="shared" si="109"/>
        <v/>
      </c>
      <c r="AS603" s="202" t="str">
        <f t="shared" si="110"/>
        <v/>
      </c>
      <c r="AT603" s="202" t="str">
        <f t="shared" si="111"/>
        <v/>
      </c>
      <c r="AU603" s="208"/>
      <c r="AV603" s="208"/>
      <c r="AW603" s="208"/>
      <c r="AX603" s="208"/>
      <c r="AY603" s="208"/>
      <c r="AZ603" s="208"/>
      <c r="BA603" s="208"/>
      <c r="BB603" s="208"/>
      <c r="BC603" s="208"/>
      <c r="BD603" s="208"/>
      <c r="BE603" s="208"/>
      <c r="BF603" s="208"/>
      <c r="BG603" s="28"/>
      <c r="BH603" s="28"/>
      <c r="BI603" s="28"/>
      <c r="BJ603" s="28"/>
    </row>
    <row r="604" spans="1:62" s="23" customFormat="1" ht="21" customHeight="1" thickBot="1" x14ac:dyDescent="0.25">
      <c r="A604" s="846" t="str">
        <f>IF($AN604="","",IFERROR(VLOOKUP(CONCATENATE(CTR1_Billing!$E$20,$AN604),'Local Data Previous Year'!$C$3:$D$20000,2,0),CTR1_Billing!$E$21&amp;"NEW"))</f>
        <v/>
      </c>
      <c r="B604" s="846" t="str">
        <f>IF($E604="","",IFERROR(VLOOKUP(CONCATENATE(CTR1_Billing!$E$20,CTR1_Local!$E604),'Local Data Previous Year'!$C$3:$D$20000,2,0),CTR1_Billing!$E$21&amp;"NEW"))</f>
        <v/>
      </c>
      <c r="C604" s="846">
        <v>572</v>
      </c>
      <c r="D604" s="755" t="str" cm="1">
        <f t="array" ref="D604">IF(ISERROR(INDEX('Local Data Previous Year'!$D$3:$D$20000,SMALL(IF(CTR1_Billing!$E$21='Local Data Previous Year'!$A$3:$A$20000,ROW('Local Data Previous Year'!$A$3:$A$20000)-ROW('Local Data Previous Year'!$A$3)+1),ROW(572:572)))),"",INDEX('Local Data Previous Year'!$D$3:$D$20000,SMALL(IF(CTR1_Billing!$E$21='Local Data Previous Year'!$A$3:$A$20000,ROW('Local Data Previous Year'!$A$3:$A$20000)-ROW('Local Data Previous Year'!$A$3)+1),ROW(572:572))))</f>
        <v/>
      </c>
      <c r="E604" s="755" t="str" cm="1">
        <f t="array" ref="E604">IF(ISERROR(INDEX('Local Data Previous Year'!$E$3:$E$20000,SMALL(IF(CTR1_Billing!$E$21='Local Data Previous Year'!$A$3:$A$20000,ROW('Local Data Previous Year'!$A$3:$A$20000)-ROW('Local Data Previous Year'!$A$3)+1),ROW(572:572)))),"",INDEX('Local Data Previous Year'!$E$3:$E$20000,SMALL(IF(CTR1_Billing!$E$21='Local Data Previous Year'!$A$3:$A$20000,ROW('Local Data Previous Year'!$A$3:$A$20000)-ROW('Local Data Previous Year'!$A$3)+1),ROW(572:572))))</f>
        <v/>
      </c>
      <c r="F604" s="756" t="str">
        <f>IF($D604="","",IF(ISNA(MATCH($D604,'Local Data Previous Year'!$D$3:$D$20000,0)),"New",IFERROR(VLOOKUP($B604,'Local Data Previous Year'!$D$3:$I$20000,6,0),"")))</f>
        <v/>
      </c>
      <c r="G604" s="757">
        <f t="shared" si="112"/>
        <v>0</v>
      </c>
      <c r="H604" s="758" t="str">
        <f>IFERROR(INDEX('Local Data Previous Year'!$F:$F, MATCH($D604, 'Local Data Previous Year'!$D:$D, 0)), "")</f>
        <v/>
      </c>
      <c r="I604" s="759">
        <f>IF(B604=CTR1_Billing!$E$21&amp;"NEW",1,0)</f>
        <v>0</v>
      </c>
      <c r="J604" s="760" t="str">
        <f>IFERROR(INDEX('Local Data Previous Year'!$G:$G, MATCH($D604, 'Local Data Previous Year'!$D:$D, 0)), "")</f>
        <v/>
      </c>
      <c r="K604" s="762"/>
      <c r="L604" s="760" t="str">
        <f>IFERROR(INDEX('Local Data Previous Year'!$H:$H, MATCH($D604, 'Local Data Previous Year'!$D:$D, 0)), "")</f>
        <v/>
      </c>
      <c r="M604" s="762"/>
      <c r="N604" s="763"/>
      <c r="O604" s="767"/>
      <c r="P604" s="765"/>
      <c r="Q604" s="767"/>
      <c r="R604" s="766" t="str">
        <f t="shared" si="113"/>
        <v/>
      </c>
      <c r="S604" s="754"/>
      <c r="T604" s="763"/>
      <c r="U604" s="754"/>
      <c r="V604" s="763"/>
      <c r="W604" s="763"/>
      <c r="X604" s="865" t="str">
        <f>VLOOKUP(CTR1_Billing!$E$21,Data!$C$6:$D$302,1,FALSE)</f>
        <v>EZZZZ</v>
      </c>
      <c r="Y604" s="205"/>
      <c r="Z604" s="205">
        <f t="shared" si="102"/>
        <v>0</v>
      </c>
      <c r="AA604" s="206" t="str">
        <f t="shared" si="101"/>
        <v/>
      </c>
      <c r="AB604" s="205">
        <f t="shared" si="103"/>
        <v>0</v>
      </c>
      <c r="AC604" s="208"/>
      <c r="AD604" s="208"/>
      <c r="AE604" s="208"/>
      <c r="AF604" s="208"/>
      <c r="AG604" s="209" t="str">
        <f>IFERROR(INDEX('Local Data Previous Year'!$F:$F, MATCH($D604, 'Local Data Previous Year'!$D:$D, 0)), "")</f>
        <v/>
      </c>
      <c r="AH604" s="209" t="str">
        <f>IFERROR(INDEX('Local Data Previous Year'!$G:$G, MATCH($D604, 'Local Data Previous Year'!$D:$D, 0)), "")</f>
        <v/>
      </c>
      <c r="AI604" s="209" t="str">
        <f>IFERROR(INDEX('Local Data Previous Year'!$H:$H, MATCH($D604, 'Local Data Previous Year'!$D:$D, 0)), "")</f>
        <v/>
      </c>
      <c r="AJ604" s="209" t="str">
        <f t="shared" si="104"/>
        <v/>
      </c>
      <c r="AK604" s="209" t="str">
        <f t="shared" si="116"/>
        <v/>
      </c>
      <c r="AL604" s="209" t="str">
        <f t="shared" si="117"/>
        <v/>
      </c>
      <c r="AM604" s="208" t="str">
        <f>IF($AN604="","",IFERROR(VLOOKUP(CONCATENATE(CTR1_Billing!$E$20,$AN604),'Local Data Previous Year'!$C$3:$D$50000,2,0),CTR1_Billing!$E$21&amp;"NEW"))</f>
        <v/>
      </c>
      <c r="AN604" s="209" t="str" cm="1">
        <f t="array" ref="AN604">IF(ISERROR(INDEX('Local Data Previous Year'!$E$3:$E$50000, SMALL(IF(CTR1_Billing!$E$21='Local Data Previous Year'!$A$3:$A$50000, ROW('Local Data Previous Year'!$A$3:$A$50000)-ROW('Local Data Previous Year'!$A$3)+1), ROW(572:572)))), "", INDEX('Local Data Previous Year'!$E$3:$E$50000, SMALL(IF(CTR1_Billing!$E$21='Local Data Previous Year'!$A$3:$A$50000, ROW('Local Data Previous Year'!$A$3:$A$50000)-ROW('Local Data Previous Year'!$A$3)+1), ROW(572:572))))</f>
        <v/>
      </c>
      <c r="AO604" s="209" t="str">
        <f t="shared" si="107"/>
        <v/>
      </c>
      <c r="AP604" s="208"/>
      <c r="AQ604" s="209" t="str">
        <f t="shared" si="108"/>
        <v/>
      </c>
      <c r="AR604" s="209" t="str">
        <f t="shared" si="109"/>
        <v/>
      </c>
      <c r="AS604" s="202" t="str">
        <f t="shared" si="110"/>
        <v/>
      </c>
      <c r="AT604" s="202" t="str">
        <f t="shared" si="111"/>
        <v/>
      </c>
      <c r="AU604" s="208"/>
      <c r="AV604" s="208"/>
      <c r="AW604" s="208"/>
      <c r="AX604" s="208"/>
      <c r="AY604" s="208"/>
      <c r="AZ604" s="208"/>
      <c r="BA604" s="208"/>
      <c r="BB604" s="208"/>
      <c r="BC604" s="208"/>
      <c r="BD604" s="208"/>
      <c r="BE604" s="208"/>
      <c r="BF604" s="208"/>
      <c r="BG604" s="28"/>
      <c r="BH604" s="28"/>
      <c r="BI604" s="28"/>
      <c r="BJ604" s="28"/>
    </row>
    <row r="605" spans="1:62" s="23" customFormat="1" ht="21" customHeight="1" thickBot="1" x14ac:dyDescent="0.25">
      <c r="A605" s="846" t="str">
        <f>IF($AN605="","",IFERROR(VLOOKUP(CONCATENATE(CTR1_Billing!$E$20,$AN605),'Local Data Previous Year'!$C$3:$D$20000,2,0),CTR1_Billing!$E$21&amp;"NEW"))</f>
        <v/>
      </c>
      <c r="B605" s="846" t="str">
        <f>IF($E605="","",IFERROR(VLOOKUP(CONCATENATE(CTR1_Billing!$E$20,CTR1_Local!$E605),'Local Data Previous Year'!$C$3:$D$20000,2,0),CTR1_Billing!$E$21&amp;"NEW"))</f>
        <v/>
      </c>
      <c r="C605" s="846">
        <v>573</v>
      </c>
      <c r="D605" s="755" t="str" cm="1">
        <f t="array" ref="D605">IF(ISERROR(INDEX('Local Data Previous Year'!$D$3:$D$20000,SMALL(IF(CTR1_Billing!$E$21='Local Data Previous Year'!$A$3:$A$20000,ROW('Local Data Previous Year'!$A$3:$A$20000)-ROW('Local Data Previous Year'!$A$3)+1),ROW(573:573)))),"",INDEX('Local Data Previous Year'!$D$3:$D$20000,SMALL(IF(CTR1_Billing!$E$21='Local Data Previous Year'!$A$3:$A$20000,ROW('Local Data Previous Year'!$A$3:$A$20000)-ROW('Local Data Previous Year'!$A$3)+1),ROW(573:573))))</f>
        <v/>
      </c>
      <c r="E605" s="755" t="str" cm="1">
        <f t="array" ref="E605">IF(ISERROR(INDEX('Local Data Previous Year'!$E$3:$E$20000,SMALL(IF(CTR1_Billing!$E$21='Local Data Previous Year'!$A$3:$A$20000,ROW('Local Data Previous Year'!$A$3:$A$20000)-ROW('Local Data Previous Year'!$A$3)+1),ROW(573:573)))),"",INDEX('Local Data Previous Year'!$E$3:$E$20000,SMALL(IF(CTR1_Billing!$E$21='Local Data Previous Year'!$A$3:$A$20000,ROW('Local Data Previous Year'!$A$3:$A$20000)-ROW('Local Data Previous Year'!$A$3)+1),ROW(573:573))))</f>
        <v/>
      </c>
      <c r="F605" s="756" t="str">
        <f>IF($D605="","",IF(ISNA(MATCH($D605,'Local Data Previous Year'!$D$3:$D$20000,0)),"New",IFERROR(VLOOKUP($B605,'Local Data Previous Year'!$D$3:$I$20000,6,0),"")))</f>
        <v/>
      </c>
      <c r="G605" s="757">
        <f t="shared" si="112"/>
        <v>0</v>
      </c>
      <c r="H605" s="758" t="str">
        <f>IFERROR(INDEX('Local Data Previous Year'!$F:$F, MATCH($D605, 'Local Data Previous Year'!$D:$D, 0)), "")</f>
        <v/>
      </c>
      <c r="I605" s="759">
        <f>IF(B605=CTR1_Billing!$E$21&amp;"NEW",1,0)</f>
        <v>0</v>
      </c>
      <c r="J605" s="760" t="str">
        <f>IFERROR(INDEX('Local Data Previous Year'!$G:$G, MATCH($D605, 'Local Data Previous Year'!$D:$D, 0)), "")</f>
        <v/>
      </c>
      <c r="K605" s="762"/>
      <c r="L605" s="760" t="str">
        <f>IFERROR(INDEX('Local Data Previous Year'!$H:$H, MATCH($D605, 'Local Data Previous Year'!$D:$D, 0)), "")</f>
        <v/>
      </c>
      <c r="M605" s="762"/>
      <c r="N605" s="763"/>
      <c r="O605" s="767"/>
      <c r="P605" s="765"/>
      <c r="Q605" s="767"/>
      <c r="R605" s="766" t="str">
        <f t="shared" si="113"/>
        <v/>
      </c>
      <c r="S605" s="754"/>
      <c r="T605" s="763"/>
      <c r="U605" s="754"/>
      <c r="V605" s="763"/>
      <c r="W605" s="763"/>
      <c r="X605" s="865" t="str">
        <f>VLOOKUP(CTR1_Billing!$E$21,Data!$C$6:$D$302,1,FALSE)</f>
        <v>EZZZZ</v>
      </c>
      <c r="Y605" s="205"/>
      <c r="Z605" s="205">
        <f t="shared" si="102"/>
        <v>0</v>
      </c>
      <c r="AA605" s="206" t="str">
        <f t="shared" si="101"/>
        <v/>
      </c>
      <c r="AB605" s="205">
        <f t="shared" si="103"/>
        <v>0</v>
      </c>
      <c r="AC605" s="208"/>
      <c r="AD605" s="208"/>
      <c r="AE605" s="208"/>
      <c r="AF605" s="208"/>
      <c r="AG605" s="209" t="str">
        <f>IFERROR(INDEX('Local Data Previous Year'!$F:$F, MATCH($D605, 'Local Data Previous Year'!$D:$D, 0)), "")</f>
        <v/>
      </c>
      <c r="AH605" s="209" t="str">
        <f>IFERROR(INDEX('Local Data Previous Year'!$G:$G, MATCH($D605, 'Local Data Previous Year'!$D:$D, 0)), "")</f>
        <v/>
      </c>
      <c r="AI605" s="209" t="str">
        <f>IFERROR(INDEX('Local Data Previous Year'!$H:$H, MATCH($D605, 'Local Data Previous Year'!$D:$D, 0)), "")</f>
        <v/>
      </c>
      <c r="AJ605" s="209" t="str">
        <f t="shared" si="104"/>
        <v/>
      </c>
      <c r="AK605" s="209" t="str">
        <f t="shared" si="116"/>
        <v/>
      </c>
      <c r="AL605" s="209" t="str">
        <f t="shared" si="117"/>
        <v/>
      </c>
      <c r="AM605" s="208" t="str">
        <f>IF($AN605="","",IFERROR(VLOOKUP(CONCATENATE(CTR1_Billing!$E$20,$AN605),'Local Data Previous Year'!$C$3:$D$50000,2,0),CTR1_Billing!$E$21&amp;"NEW"))</f>
        <v/>
      </c>
      <c r="AN605" s="209" t="str" cm="1">
        <f t="array" ref="AN605">IF(ISERROR(INDEX('Local Data Previous Year'!$E$3:$E$50000, SMALL(IF(CTR1_Billing!$E$21='Local Data Previous Year'!$A$3:$A$50000, ROW('Local Data Previous Year'!$A$3:$A$50000)-ROW('Local Data Previous Year'!$A$3)+1), ROW(573:573)))), "", INDEX('Local Data Previous Year'!$E$3:$E$50000, SMALL(IF(CTR1_Billing!$E$21='Local Data Previous Year'!$A$3:$A$50000, ROW('Local Data Previous Year'!$A$3:$A$50000)-ROW('Local Data Previous Year'!$A$3)+1), ROW(573:573))))</f>
        <v/>
      </c>
      <c r="AO605" s="209" t="str">
        <f t="shared" si="107"/>
        <v/>
      </c>
      <c r="AP605" s="208"/>
      <c r="AQ605" s="209" t="str">
        <f t="shared" si="108"/>
        <v/>
      </c>
      <c r="AR605" s="209" t="str">
        <f t="shared" si="109"/>
        <v/>
      </c>
      <c r="AS605" s="202" t="str">
        <f t="shared" si="110"/>
        <v/>
      </c>
      <c r="AT605" s="202" t="str">
        <f t="shared" si="111"/>
        <v/>
      </c>
      <c r="AU605" s="208"/>
      <c r="AV605" s="208"/>
      <c r="AW605" s="208"/>
      <c r="AX605" s="208"/>
      <c r="AY605" s="208"/>
      <c r="AZ605" s="208"/>
      <c r="BA605" s="208"/>
      <c r="BB605" s="208"/>
      <c r="BC605" s="208"/>
      <c r="BD605" s="208"/>
      <c r="BE605" s="208"/>
      <c r="BF605" s="208"/>
      <c r="BG605" s="28"/>
      <c r="BH605" s="28"/>
      <c r="BI605" s="28"/>
      <c r="BJ605" s="28"/>
    </row>
    <row r="606" spans="1:62" s="23" customFormat="1" ht="21" customHeight="1" thickBot="1" x14ac:dyDescent="0.25">
      <c r="A606" s="846" t="str">
        <f>IF($AN606="","",IFERROR(VLOOKUP(CONCATENATE(CTR1_Billing!$E$20,$AN606),'Local Data Previous Year'!$C$3:$D$20000,2,0),CTR1_Billing!$E$21&amp;"NEW"))</f>
        <v/>
      </c>
      <c r="B606" s="846" t="str">
        <f>IF($E606="","",IFERROR(VLOOKUP(CONCATENATE(CTR1_Billing!$E$20,CTR1_Local!$E606),'Local Data Previous Year'!$C$3:$D$20000,2,0),CTR1_Billing!$E$21&amp;"NEW"))</f>
        <v/>
      </c>
      <c r="C606" s="846">
        <v>574</v>
      </c>
      <c r="D606" s="755" t="str" cm="1">
        <f t="array" ref="D606">IF(ISERROR(INDEX('Local Data Previous Year'!$D$3:$D$20000,SMALL(IF(CTR1_Billing!$E$21='Local Data Previous Year'!$A$3:$A$20000,ROW('Local Data Previous Year'!$A$3:$A$20000)-ROW('Local Data Previous Year'!$A$3)+1),ROW(574:574)))),"",INDEX('Local Data Previous Year'!$D$3:$D$20000,SMALL(IF(CTR1_Billing!$E$21='Local Data Previous Year'!$A$3:$A$20000,ROW('Local Data Previous Year'!$A$3:$A$20000)-ROW('Local Data Previous Year'!$A$3)+1),ROW(574:574))))</f>
        <v/>
      </c>
      <c r="E606" s="755" t="str" cm="1">
        <f t="array" ref="E606">IF(ISERROR(INDEX('Local Data Previous Year'!$E$3:$E$20000,SMALL(IF(CTR1_Billing!$E$21='Local Data Previous Year'!$A$3:$A$20000,ROW('Local Data Previous Year'!$A$3:$A$20000)-ROW('Local Data Previous Year'!$A$3)+1),ROW(574:574)))),"",INDEX('Local Data Previous Year'!$E$3:$E$20000,SMALL(IF(CTR1_Billing!$E$21='Local Data Previous Year'!$A$3:$A$20000,ROW('Local Data Previous Year'!$A$3:$A$20000)-ROW('Local Data Previous Year'!$A$3)+1),ROW(574:574))))</f>
        <v/>
      </c>
      <c r="F606" s="756" t="str">
        <f>IF($D606="","",IF(ISNA(MATCH($D606,'Local Data Previous Year'!$D$3:$D$20000,0)),"New",IFERROR(VLOOKUP($B606,'Local Data Previous Year'!$D$3:$I$20000,6,0),"")))</f>
        <v/>
      </c>
      <c r="G606" s="757">
        <f t="shared" si="112"/>
        <v>0</v>
      </c>
      <c r="H606" s="758" t="str">
        <f>IFERROR(INDEX('Local Data Previous Year'!$F:$F, MATCH($D606, 'Local Data Previous Year'!$D:$D, 0)), "")</f>
        <v/>
      </c>
      <c r="I606" s="759">
        <f>IF(B606=CTR1_Billing!$E$21&amp;"NEW",1,0)</f>
        <v>0</v>
      </c>
      <c r="J606" s="760" t="str">
        <f>IFERROR(INDEX('Local Data Previous Year'!$G:$G, MATCH($D606, 'Local Data Previous Year'!$D:$D, 0)), "")</f>
        <v/>
      </c>
      <c r="K606" s="762"/>
      <c r="L606" s="760" t="str">
        <f>IFERROR(INDEX('Local Data Previous Year'!$H:$H, MATCH($D606, 'Local Data Previous Year'!$D:$D, 0)), "")</f>
        <v/>
      </c>
      <c r="M606" s="762"/>
      <c r="N606" s="763"/>
      <c r="O606" s="767"/>
      <c r="P606" s="765"/>
      <c r="Q606" s="767"/>
      <c r="R606" s="766" t="str">
        <f t="shared" si="113"/>
        <v/>
      </c>
      <c r="S606" s="754"/>
      <c r="T606" s="763"/>
      <c r="U606" s="754"/>
      <c r="V606" s="763"/>
      <c r="W606" s="763"/>
      <c r="X606" s="865" t="str">
        <f>VLOOKUP(CTR1_Billing!$E$21,Data!$C$6:$D$302,1,FALSE)</f>
        <v>EZZZZ</v>
      </c>
      <c r="Y606" s="205"/>
      <c r="Z606" s="205">
        <f t="shared" si="102"/>
        <v>0</v>
      </c>
      <c r="AA606" s="206" t="str">
        <f t="shared" ref="AA606:AA669" si="118">IF(R606="","",IF(R606=0,"ok",IF(R606&lt;&gt;(N606/P606),"error","ok")))</f>
        <v/>
      </c>
      <c r="AB606" s="205">
        <f t="shared" si="103"/>
        <v>0</v>
      </c>
      <c r="AC606" s="208"/>
      <c r="AD606" s="208"/>
      <c r="AE606" s="208"/>
      <c r="AF606" s="208"/>
      <c r="AG606" s="209" t="str">
        <f>IFERROR(INDEX('Local Data Previous Year'!$F:$F, MATCH($D606, 'Local Data Previous Year'!$D:$D, 0)), "")</f>
        <v/>
      </c>
      <c r="AH606" s="209" t="str">
        <f>IFERROR(INDEX('Local Data Previous Year'!$G:$G, MATCH($D606, 'Local Data Previous Year'!$D:$D, 0)), "")</f>
        <v/>
      </c>
      <c r="AI606" s="209" t="str">
        <f>IFERROR(INDEX('Local Data Previous Year'!$H:$H, MATCH($D606, 'Local Data Previous Year'!$D:$D, 0)), "")</f>
        <v/>
      </c>
      <c r="AJ606" s="209" t="str">
        <f t="shared" si="104"/>
        <v/>
      </c>
      <c r="AK606" s="209" t="str">
        <f t="shared" si="116"/>
        <v/>
      </c>
      <c r="AL606" s="209" t="str">
        <f t="shared" si="117"/>
        <v/>
      </c>
      <c r="AM606" s="208" t="str">
        <f>IF($AN606="","",IFERROR(VLOOKUP(CONCATENATE(CTR1_Billing!$E$20,$AN606),'Local Data Previous Year'!$C$3:$D$50000,2,0),CTR1_Billing!$E$21&amp;"NEW"))</f>
        <v/>
      </c>
      <c r="AN606" s="209" t="str" cm="1">
        <f t="array" ref="AN606">IF(ISERROR(INDEX('Local Data Previous Year'!$E$3:$E$50000, SMALL(IF(CTR1_Billing!$E$21='Local Data Previous Year'!$A$3:$A$50000, ROW('Local Data Previous Year'!$A$3:$A$50000)-ROW('Local Data Previous Year'!$A$3)+1), ROW(574:574)))), "", INDEX('Local Data Previous Year'!$E$3:$E$50000, SMALL(IF(CTR1_Billing!$E$21='Local Data Previous Year'!$A$3:$A$50000, ROW('Local Data Previous Year'!$A$3:$A$50000)-ROW('Local Data Previous Year'!$A$3)+1), ROW(574:574))))</f>
        <v/>
      </c>
      <c r="AO606" s="209" t="str">
        <f t="shared" si="107"/>
        <v/>
      </c>
      <c r="AP606" s="208"/>
      <c r="AQ606" s="209" t="str">
        <f t="shared" si="108"/>
        <v/>
      </c>
      <c r="AR606" s="209" t="str">
        <f t="shared" si="109"/>
        <v/>
      </c>
      <c r="AS606" s="202" t="str">
        <f t="shared" si="110"/>
        <v/>
      </c>
      <c r="AT606" s="202" t="str">
        <f t="shared" si="111"/>
        <v/>
      </c>
      <c r="AU606" s="208"/>
      <c r="AV606" s="208"/>
      <c r="AW606" s="208"/>
      <c r="AX606" s="208"/>
      <c r="AY606" s="208"/>
      <c r="AZ606" s="208"/>
      <c r="BA606" s="208"/>
      <c r="BB606" s="208"/>
      <c r="BC606" s="208"/>
      <c r="BD606" s="208"/>
      <c r="BE606" s="208"/>
      <c r="BF606" s="208"/>
      <c r="BG606" s="28"/>
      <c r="BH606" s="28"/>
      <c r="BI606" s="28"/>
      <c r="BJ606" s="28"/>
    </row>
    <row r="607" spans="1:62" s="23" customFormat="1" ht="21" customHeight="1" thickBot="1" x14ac:dyDescent="0.25">
      <c r="A607" s="846" t="str">
        <f>IF($AN607="","",IFERROR(VLOOKUP(CONCATENATE(CTR1_Billing!$E$20,$AN607),'Local Data Previous Year'!$C$3:$D$20000,2,0),CTR1_Billing!$E$21&amp;"NEW"))</f>
        <v/>
      </c>
      <c r="B607" s="846" t="str">
        <f>IF($E607="","",IFERROR(VLOOKUP(CONCATENATE(CTR1_Billing!$E$20,CTR1_Local!$E607),'Local Data Previous Year'!$C$3:$D$20000,2,0),CTR1_Billing!$E$21&amp;"NEW"))</f>
        <v/>
      </c>
      <c r="C607" s="846">
        <v>575</v>
      </c>
      <c r="D607" s="755" t="str" cm="1">
        <f t="array" ref="D607">IF(ISERROR(INDEX('Local Data Previous Year'!$D$3:$D$20000,SMALL(IF(CTR1_Billing!$E$21='Local Data Previous Year'!$A$3:$A$20000,ROW('Local Data Previous Year'!$A$3:$A$20000)-ROW('Local Data Previous Year'!$A$3)+1),ROW(575:575)))),"",INDEX('Local Data Previous Year'!$D$3:$D$20000,SMALL(IF(CTR1_Billing!$E$21='Local Data Previous Year'!$A$3:$A$20000,ROW('Local Data Previous Year'!$A$3:$A$20000)-ROW('Local Data Previous Year'!$A$3)+1),ROW(575:575))))</f>
        <v/>
      </c>
      <c r="E607" s="755" t="str" cm="1">
        <f t="array" ref="E607">IF(ISERROR(INDEX('Local Data Previous Year'!$E$3:$E$20000,SMALL(IF(CTR1_Billing!$E$21='Local Data Previous Year'!$A$3:$A$20000,ROW('Local Data Previous Year'!$A$3:$A$20000)-ROW('Local Data Previous Year'!$A$3)+1),ROW(575:575)))),"",INDEX('Local Data Previous Year'!$E$3:$E$20000,SMALL(IF(CTR1_Billing!$E$21='Local Data Previous Year'!$A$3:$A$20000,ROW('Local Data Previous Year'!$A$3:$A$20000)-ROW('Local Data Previous Year'!$A$3)+1),ROW(575:575))))</f>
        <v/>
      </c>
      <c r="F607" s="756" t="str">
        <f>IF($D607="","",IF(ISNA(MATCH($D607,'Local Data Previous Year'!$D$3:$D$20000,0)),"New",IFERROR(VLOOKUP($B607,'Local Data Previous Year'!$D$3:$I$20000,6,0),"")))</f>
        <v/>
      </c>
      <c r="G607" s="757">
        <f t="shared" si="112"/>
        <v>0</v>
      </c>
      <c r="H607" s="758" t="str">
        <f>IFERROR(INDEX('Local Data Previous Year'!$F:$F, MATCH($D607, 'Local Data Previous Year'!$D:$D, 0)), "")</f>
        <v/>
      </c>
      <c r="I607" s="759">
        <f>IF(B607=CTR1_Billing!$E$21&amp;"NEW",1,0)</f>
        <v>0</v>
      </c>
      <c r="J607" s="760" t="str">
        <f>IFERROR(INDEX('Local Data Previous Year'!$G:$G, MATCH($D607, 'Local Data Previous Year'!$D:$D, 0)), "")</f>
        <v/>
      </c>
      <c r="K607" s="762"/>
      <c r="L607" s="760" t="str">
        <f>IFERROR(INDEX('Local Data Previous Year'!$H:$H, MATCH($D607, 'Local Data Previous Year'!$D:$D, 0)), "")</f>
        <v/>
      </c>
      <c r="M607" s="762"/>
      <c r="N607" s="763"/>
      <c r="O607" s="767"/>
      <c r="P607" s="765"/>
      <c r="Q607" s="767"/>
      <c r="R607" s="766" t="str">
        <f t="shared" si="113"/>
        <v/>
      </c>
      <c r="S607" s="754"/>
      <c r="T607" s="763"/>
      <c r="U607" s="754"/>
      <c r="V607" s="763"/>
      <c r="W607" s="763"/>
      <c r="X607" s="865" t="str">
        <f>VLOOKUP(CTR1_Billing!$E$21,Data!$C$6:$D$302,1,FALSE)</f>
        <v>EZZZZ</v>
      </c>
      <c r="Y607" s="205"/>
      <c r="Z607" s="205">
        <f t="shared" si="102"/>
        <v>0</v>
      </c>
      <c r="AA607" s="206" t="str">
        <f t="shared" si="118"/>
        <v/>
      </c>
      <c r="AB607" s="205">
        <f t="shared" si="103"/>
        <v>0</v>
      </c>
      <c r="AC607" s="208"/>
      <c r="AD607" s="208"/>
      <c r="AE607" s="208"/>
      <c r="AF607" s="208"/>
      <c r="AG607" s="209" t="str">
        <f>IFERROR(INDEX('Local Data Previous Year'!$F:$F, MATCH($D607, 'Local Data Previous Year'!$D:$D, 0)), "")</f>
        <v/>
      </c>
      <c r="AH607" s="209" t="str">
        <f>IFERROR(INDEX('Local Data Previous Year'!$G:$G, MATCH($D607, 'Local Data Previous Year'!$D:$D, 0)), "")</f>
        <v/>
      </c>
      <c r="AI607" s="209" t="str">
        <f>IFERROR(INDEX('Local Data Previous Year'!$H:$H, MATCH($D607, 'Local Data Previous Year'!$D:$D, 0)), "")</f>
        <v/>
      </c>
      <c r="AJ607" s="209" t="str">
        <f t="shared" si="104"/>
        <v/>
      </c>
      <c r="AK607" s="209" t="str">
        <f t="shared" si="116"/>
        <v/>
      </c>
      <c r="AL607" s="209" t="str">
        <f t="shared" si="117"/>
        <v/>
      </c>
      <c r="AM607" s="208" t="str">
        <f>IF($AN607="","",IFERROR(VLOOKUP(CONCATENATE(CTR1_Billing!$E$20,$AN607),'Local Data Previous Year'!$C$3:$D$50000,2,0),CTR1_Billing!$E$21&amp;"NEW"))</f>
        <v/>
      </c>
      <c r="AN607" s="209" t="str" cm="1">
        <f t="array" ref="AN607">IF(ISERROR(INDEX('Local Data Previous Year'!$E$3:$E$50000, SMALL(IF(CTR1_Billing!$E$21='Local Data Previous Year'!$A$3:$A$50000, ROW('Local Data Previous Year'!$A$3:$A$50000)-ROW('Local Data Previous Year'!$A$3)+1), ROW(575:575)))), "", INDEX('Local Data Previous Year'!$E$3:$E$50000, SMALL(IF(CTR1_Billing!$E$21='Local Data Previous Year'!$A$3:$A$50000, ROW('Local Data Previous Year'!$A$3:$A$50000)-ROW('Local Data Previous Year'!$A$3)+1), ROW(575:575))))</f>
        <v/>
      </c>
      <c r="AO607" s="209" t="str">
        <f t="shared" si="107"/>
        <v/>
      </c>
      <c r="AP607" s="208"/>
      <c r="AQ607" s="209" t="str">
        <f t="shared" si="108"/>
        <v/>
      </c>
      <c r="AR607" s="209" t="str">
        <f t="shared" si="109"/>
        <v/>
      </c>
      <c r="AS607" s="202" t="str">
        <f t="shared" si="110"/>
        <v/>
      </c>
      <c r="AT607" s="202" t="str">
        <f t="shared" si="111"/>
        <v/>
      </c>
      <c r="AU607" s="208"/>
      <c r="AV607" s="208"/>
      <c r="AW607" s="208"/>
      <c r="AX607" s="208"/>
      <c r="AY607" s="208"/>
      <c r="AZ607" s="208"/>
      <c r="BA607" s="208"/>
      <c r="BB607" s="208"/>
      <c r="BC607" s="208"/>
      <c r="BD607" s="208"/>
      <c r="BE607" s="208"/>
      <c r="BF607" s="208"/>
      <c r="BG607" s="28"/>
      <c r="BH607" s="28"/>
      <c r="BI607" s="28"/>
      <c r="BJ607" s="28"/>
    </row>
    <row r="608" spans="1:62" s="23" customFormat="1" ht="21" customHeight="1" thickBot="1" x14ac:dyDescent="0.25">
      <c r="A608" s="846" t="str">
        <f>IF($AN608="","",IFERROR(VLOOKUP(CONCATENATE(CTR1_Billing!$E$20,$AN608),'Local Data Previous Year'!$C$3:$D$20000,2,0),CTR1_Billing!$E$21&amp;"NEW"))</f>
        <v/>
      </c>
      <c r="B608" s="846" t="str">
        <f>IF($E608="","",IFERROR(VLOOKUP(CONCATENATE(CTR1_Billing!$E$20,CTR1_Local!$E608),'Local Data Previous Year'!$C$3:$D$20000,2,0),CTR1_Billing!$E$21&amp;"NEW"))</f>
        <v/>
      </c>
      <c r="C608" s="846">
        <v>576</v>
      </c>
      <c r="D608" s="755" t="str" cm="1">
        <f t="array" ref="D608">IF(ISERROR(INDEX('Local Data Previous Year'!$D$3:$D$20000,SMALL(IF(CTR1_Billing!$E$21='Local Data Previous Year'!$A$3:$A$20000,ROW('Local Data Previous Year'!$A$3:$A$20000)-ROW('Local Data Previous Year'!$A$3)+1),ROW(576:576)))),"",INDEX('Local Data Previous Year'!$D$3:$D$20000,SMALL(IF(CTR1_Billing!$E$21='Local Data Previous Year'!$A$3:$A$20000,ROW('Local Data Previous Year'!$A$3:$A$20000)-ROW('Local Data Previous Year'!$A$3)+1),ROW(576:576))))</f>
        <v/>
      </c>
      <c r="E608" s="755" t="str" cm="1">
        <f t="array" ref="E608">IF(ISERROR(INDEX('Local Data Previous Year'!$E$3:$E$20000,SMALL(IF(CTR1_Billing!$E$21='Local Data Previous Year'!$A$3:$A$20000,ROW('Local Data Previous Year'!$A$3:$A$20000)-ROW('Local Data Previous Year'!$A$3)+1),ROW(576:576)))),"",INDEX('Local Data Previous Year'!$E$3:$E$20000,SMALL(IF(CTR1_Billing!$E$21='Local Data Previous Year'!$A$3:$A$20000,ROW('Local Data Previous Year'!$A$3:$A$20000)-ROW('Local Data Previous Year'!$A$3)+1),ROW(576:576))))</f>
        <v/>
      </c>
      <c r="F608" s="756" t="str">
        <f>IF($D608="","",IF(ISNA(MATCH($D608,'Local Data Previous Year'!$D$3:$D$20000,0)),"New",IFERROR(VLOOKUP($B608,'Local Data Previous Year'!$D$3:$I$20000,6,0),"")))</f>
        <v/>
      </c>
      <c r="G608" s="757">
        <f t="shared" si="112"/>
        <v>0</v>
      </c>
      <c r="H608" s="758" t="str">
        <f>IFERROR(INDEX('Local Data Previous Year'!$F:$F, MATCH($D608, 'Local Data Previous Year'!$D:$D, 0)), "")</f>
        <v/>
      </c>
      <c r="I608" s="759">
        <f>IF(B608=CTR1_Billing!$E$21&amp;"NEW",1,0)</f>
        <v>0</v>
      </c>
      <c r="J608" s="760" t="str">
        <f>IFERROR(INDEX('Local Data Previous Year'!$G:$G, MATCH($D608, 'Local Data Previous Year'!$D:$D, 0)), "")</f>
        <v/>
      </c>
      <c r="K608" s="762"/>
      <c r="L608" s="760" t="str">
        <f>IFERROR(INDEX('Local Data Previous Year'!$H:$H, MATCH($D608, 'Local Data Previous Year'!$D:$D, 0)), "")</f>
        <v/>
      </c>
      <c r="M608" s="762"/>
      <c r="N608" s="763"/>
      <c r="O608" s="767"/>
      <c r="P608" s="765"/>
      <c r="Q608" s="767"/>
      <c r="R608" s="766" t="str">
        <f t="shared" si="113"/>
        <v/>
      </c>
      <c r="S608" s="754"/>
      <c r="T608" s="763"/>
      <c r="U608" s="754"/>
      <c r="V608" s="763"/>
      <c r="W608" s="763"/>
      <c r="X608" s="865" t="str">
        <f>VLOOKUP(CTR1_Billing!$E$21,Data!$C$6:$D$302,1,FALSE)</f>
        <v>EZZZZ</v>
      </c>
      <c r="Y608" s="205"/>
      <c r="Z608" s="205">
        <f t="shared" si="102"/>
        <v>0</v>
      </c>
      <c r="AA608" s="206" t="str">
        <f t="shared" si="118"/>
        <v/>
      </c>
      <c r="AB608" s="205">
        <f t="shared" si="103"/>
        <v>0</v>
      </c>
      <c r="AC608" s="208"/>
      <c r="AD608" s="208"/>
      <c r="AE608" s="208"/>
      <c r="AF608" s="208"/>
      <c r="AG608" s="209" t="str">
        <f>IFERROR(INDEX('Local Data Previous Year'!$F:$F, MATCH($D608, 'Local Data Previous Year'!$D:$D, 0)), "")</f>
        <v/>
      </c>
      <c r="AH608" s="209" t="str">
        <f>IFERROR(INDEX('Local Data Previous Year'!$G:$G, MATCH($D608, 'Local Data Previous Year'!$D:$D, 0)), "")</f>
        <v/>
      </c>
      <c r="AI608" s="209" t="str">
        <f>IFERROR(INDEX('Local Data Previous Year'!$H:$H, MATCH($D608, 'Local Data Previous Year'!$D:$D, 0)), "")</f>
        <v/>
      </c>
      <c r="AJ608" s="209" t="str">
        <f t="shared" si="104"/>
        <v/>
      </c>
      <c r="AK608" s="209" t="str">
        <f t="shared" si="116"/>
        <v/>
      </c>
      <c r="AL608" s="209" t="str">
        <f t="shared" si="117"/>
        <v/>
      </c>
      <c r="AM608" s="208" t="str">
        <f>IF($AN608="","",IFERROR(VLOOKUP(CONCATENATE(CTR1_Billing!$E$20,$AN608),'Local Data Previous Year'!$C$3:$D$50000,2,0),CTR1_Billing!$E$21&amp;"NEW"))</f>
        <v/>
      </c>
      <c r="AN608" s="209" t="str" cm="1">
        <f t="array" ref="AN608">IF(ISERROR(INDEX('Local Data Previous Year'!$E$3:$E$50000, SMALL(IF(CTR1_Billing!$E$21='Local Data Previous Year'!$A$3:$A$50000, ROW('Local Data Previous Year'!$A$3:$A$50000)-ROW('Local Data Previous Year'!$A$3)+1), ROW(576:576)))), "", INDEX('Local Data Previous Year'!$E$3:$E$50000, SMALL(IF(CTR1_Billing!$E$21='Local Data Previous Year'!$A$3:$A$50000, ROW('Local Data Previous Year'!$A$3:$A$50000)-ROW('Local Data Previous Year'!$A$3)+1), ROW(576:576))))</f>
        <v/>
      </c>
      <c r="AO608" s="209" t="str">
        <f t="shared" si="107"/>
        <v/>
      </c>
      <c r="AP608" s="208"/>
      <c r="AQ608" s="209" t="str">
        <f t="shared" si="108"/>
        <v/>
      </c>
      <c r="AR608" s="209" t="str">
        <f t="shared" si="109"/>
        <v/>
      </c>
      <c r="AS608" s="202" t="str">
        <f t="shared" si="110"/>
        <v/>
      </c>
      <c r="AT608" s="202" t="str">
        <f t="shared" si="111"/>
        <v/>
      </c>
      <c r="AU608" s="208"/>
      <c r="AV608" s="208"/>
      <c r="AW608" s="208"/>
      <c r="AX608" s="208"/>
      <c r="AY608" s="208"/>
      <c r="AZ608" s="208"/>
      <c r="BA608" s="208"/>
      <c r="BB608" s="208"/>
      <c r="BC608" s="208"/>
      <c r="BD608" s="208"/>
      <c r="BE608" s="208"/>
      <c r="BF608" s="208"/>
      <c r="BG608" s="28"/>
      <c r="BH608" s="28"/>
      <c r="BI608" s="28"/>
      <c r="BJ608" s="28"/>
    </row>
    <row r="609" spans="1:62" s="23" customFormat="1" ht="21" customHeight="1" thickBot="1" x14ac:dyDescent="0.25">
      <c r="A609" s="846" t="str">
        <f>IF($AN609="","",IFERROR(VLOOKUP(CONCATENATE(CTR1_Billing!$E$20,$AN609),'Local Data Previous Year'!$C$3:$D$20000,2,0),CTR1_Billing!$E$21&amp;"NEW"))</f>
        <v/>
      </c>
      <c r="B609" s="846" t="str">
        <f>IF($E609="","",IFERROR(VLOOKUP(CONCATENATE(CTR1_Billing!$E$20,CTR1_Local!$E609),'Local Data Previous Year'!$C$3:$D$20000,2,0),CTR1_Billing!$E$21&amp;"NEW"))</f>
        <v/>
      </c>
      <c r="C609" s="846">
        <v>577</v>
      </c>
      <c r="D609" s="755" t="str" cm="1">
        <f t="array" ref="D609">IF(ISERROR(INDEX('Local Data Previous Year'!$D$3:$D$20000,SMALL(IF(CTR1_Billing!$E$21='Local Data Previous Year'!$A$3:$A$20000,ROW('Local Data Previous Year'!$A$3:$A$20000)-ROW('Local Data Previous Year'!$A$3)+1),ROW(577:577)))),"",INDEX('Local Data Previous Year'!$D$3:$D$20000,SMALL(IF(CTR1_Billing!$E$21='Local Data Previous Year'!$A$3:$A$20000,ROW('Local Data Previous Year'!$A$3:$A$20000)-ROW('Local Data Previous Year'!$A$3)+1),ROW(577:577))))</f>
        <v/>
      </c>
      <c r="E609" s="755" t="str" cm="1">
        <f t="array" ref="E609">IF(ISERROR(INDEX('Local Data Previous Year'!$E$3:$E$20000,SMALL(IF(CTR1_Billing!$E$21='Local Data Previous Year'!$A$3:$A$20000,ROW('Local Data Previous Year'!$A$3:$A$20000)-ROW('Local Data Previous Year'!$A$3)+1),ROW(577:577)))),"",INDEX('Local Data Previous Year'!$E$3:$E$20000,SMALL(IF(CTR1_Billing!$E$21='Local Data Previous Year'!$A$3:$A$20000,ROW('Local Data Previous Year'!$A$3:$A$20000)-ROW('Local Data Previous Year'!$A$3)+1),ROW(577:577))))</f>
        <v/>
      </c>
      <c r="F609" s="756" t="str">
        <f>IF($D609="","",IF(ISNA(MATCH($D609,'Local Data Previous Year'!$D$3:$D$20000,0)),"New",IFERROR(VLOOKUP($B609,'Local Data Previous Year'!$D$3:$I$20000,6,0),"")))</f>
        <v/>
      </c>
      <c r="G609" s="757">
        <f t="shared" si="112"/>
        <v>0</v>
      </c>
      <c r="H609" s="758" t="str">
        <f>IFERROR(INDEX('Local Data Previous Year'!$F:$F, MATCH($D609, 'Local Data Previous Year'!$D:$D, 0)), "")</f>
        <v/>
      </c>
      <c r="I609" s="759">
        <f>IF(B609=CTR1_Billing!$E$21&amp;"NEW",1,0)</f>
        <v>0</v>
      </c>
      <c r="J609" s="760" t="str">
        <f>IFERROR(INDEX('Local Data Previous Year'!$G:$G, MATCH($D609, 'Local Data Previous Year'!$D:$D, 0)), "")</f>
        <v/>
      </c>
      <c r="K609" s="762"/>
      <c r="L609" s="760" t="str">
        <f>IFERROR(INDEX('Local Data Previous Year'!$H:$H, MATCH($D609, 'Local Data Previous Year'!$D:$D, 0)), "")</f>
        <v/>
      </c>
      <c r="M609" s="762"/>
      <c r="N609" s="763"/>
      <c r="O609" s="767"/>
      <c r="P609" s="765"/>
      <c r="Q609" s="767"/>
      <c r="R609" s="766" t="str">
        <f t="shared" si="113"/>
        <v/>
      </c>
      <c r="S609" s="754"/>
      <c r="T609" s="763"/>
      <c r="U609" s="754"/>
      <c r="V609" s="763"/>
      <c r="W609" s="763"/>
      <c r="X609" s="865" t="str">
        <f>VLOOKUP(CTR1_Billing!$E$21,Data!$C$6:$D$302,1,FALSE)</f>
        <v>EZZZZ</v>
      </c>
      <c r="Y609" s="205"/>
      <c r="Z609" s="205">
        <f t="shared" ref="Z609:Z672" si="119">IF(OR(P609&gt;AQ609,P609&lt;AR609),1,0)</f>
        <v>0</v>
      </c>
      <c r="AA609" s="206" t="str">
        <f t="shared" si="118"/>
        <v/>
      </c>
      <c r="AB609" s="205">
        <f t="shared" ref="AB609:AB672" si="120">IF(OR(R609&gt;AS609,R609&lt;AT609),1,0)</f>
        <v>0</v>
      </c>
      <c r="AC609" s="208"/>
      <c r="AD609" s="208"/>
      <c r="AE609" s="208"/>
      <c r="AF609" s="208"/>
      <c r="AG609" s="209" t="str">
        <f>IFERROR(INDEX('Local Data Previous Year'!$F:$F, MATCH($D609, 'Local Data Previous Year'!$D:$D, 0)), "")</f>
        <v/>
      </c>
      <c r="AH609" s="209" t="str">
        <f>IFERROR(INDEX('Local Data Previous Year'!$G:$G, MATCH($D609, 'Local Data Previous Year'!$D:$D, 0)), "")</f>
        <v/>
      </c>
      <c r="AI609" s="209" t="str">
        <f>IFERROR(INDEX('Local Data Previous Year'!$H:$H, MATCH($D609, 'Local Data Previous Year'!$D:$D, 0)), "")</f>
        <v/>
      </c>
      <c r="AJ609" s="209" t="str">
        <f t="shared" ref="AJ609:AJ672" si="121">IF(AG609=H609,"","change")</f>
        <v/>
      </c>
      <c r="AK609" s="209" t="str">
        <f t="shared" si="116"/>
        <v/>
      </c>
      <c r="AL609" s="209" t="str">
        <f t="shared" si="117"/>
        <v/>
      </c>
      <c r="AM609" s="208" t="str">
        <f>IF($AN609="","",IFERROR(VLOOKUP(CONCATENATE(CTR1_Billing!$E$20,$AN609),'Local Data Previous Year'!$C$3:$D$50000,2,0),CTR1_Billing!$E$21&amp;"NEW"))</f>
        <v/>
      </c>
      <c r="AN609" s="209" t="str" cm="1">
        <f t="array" ref="AN609">IF(ISERROR(INDEX('Local Data Previous Year'!$E$3:$E$50000, SMALL(IF(CTR1_Billing!$E$21='Local Data Previous Year'!$A$3:$A$50000, ROW('Local Data Previous Year'!$A$3:$A$50000)-ROW('Local Data Previous Year'!$A$3)+1), ROW(577:577)))), "", INDEX('Local Data Previous Year'!$E$3:$E$50000, SMALL(IF(CTR1_Billing!$E$21='Local Data Previous Year'!$A$3:$A$50000, ROW('Local Data Previous Year'!$A$3:$A$50000)-ROW('Local Data Previous Year'!$A$3)+1), ROW(577:577))))</f>
        <v/>
      </c>
      <c r="AO609" s="209" t="str">
        <f t="shared" ref="AO609:AO672" si="122">IF(AN609=E609,"","change")</f>
        <v/>
      </c>
      <c r="AP609" s="208"/>
      <c r="AQ609" s="209" t="str">
        <f t="shared" ref="AQ609:AQ672" si="123">IFERROR(J609*1.1,"")</f>
        <v/>
      </c>
      <c r="AR609" s="209" t="str">
        <f t="shared" ref="AR609:AR672" si="124">IFERROR(J609*0.9,"")</f>
        <v/>
      </c>
      <c r="AS609" s="202" t="str">
        <f t="shared" ref="AS609:AS672" si="125">IFERROR(L609+20,"")</f>
        <v/>
      </c>
      <c r="AT609" s="202" t="str">
        <f t="shared" ref="AT609:AT672" si="126">IFERROR(L609-20,"")</f>
        <v/>
      </c>
      <c r="AU609" s="208"/>
      <c r="AV609" s="208"/>
      <c r="AW609" s="208"/>
      <c r="AX609" s="208"/>
      <c r="AY609" s="208"/>
      <c r="AZ609" s="208"/>
      <c r="BA609" s="208"/>
      <c r="BB609" s="208"/>
      <c r="BC609" s="208"/>
      <c r="BD609" s="208"/>
      <c r="BE609" s="208"/>
      <c r="BF609" s="208"/>
      <c r="BG609" s="28"/>
      <c r="BH609" s="28"/>
      <c r="BI609" s="28"/>
      <c r="BJ609" s="28"/>
    </row>
    <row r="610" spans="1:62" s="23" customFormat="1" ht="21" customHeight="1" thickBot="1" x14ac:dyDescent="0.25">
      <c r="A610" s="846" t="str">
        <f>IF($AN610="","",IFERROR(VLOOKUP(CONCATENATE(CTR1_Billing!$E$20,$AN610),'Local Data Previous Year'!$C$3:$D$20000,2,0),CTR1_Billing!$E$21&amp;"NEW"))</f>
        <v/>
      </c>
      <c r="B610" s="846" t="str">
        <f>IF($E610="","",IFERROR(VLOOKUP(CONCATENATE(CTR1_Billing!$E$20,CTR1_Local!$E610),'Local Data Previous Year'!$C$3:$D$20000,2,0),CTR1_Billing!$E$21&amp;"NEW"))</f>
        <v/>
      </c>
      <c r="C610" s="846">
        <v>578</v>
      </c>
      <c r="D610" s="755" t="str" cm="1">
        <f t="array" ref="D610">IF(ISERROR(INDEX('Local Data Previous Year'!$D$3:$D$20000,SMALL(IF(CTR1_Billing!$E$21='Local Data Previous Year'!$A$3:$A$20000,ROW('Local Data Previous Year'!$A$3:$A$20000)-ROW('Local Data Previous Year'!$A$3)+1),ROW(578:578)))),"",INDEX('Local Data Previous Year'!$D$3:$D$20000,SMALL(IF(CTR1_Billing!$E$21='Local Data Previous Year'!$A$3:$A$20000,ROW('Local Data Previous Year'!$A$3:$A$20000)-ROW('Local Data Previous Year'!$A$3)+1),ROW(578:578))))</f>
        <v/>
      </c>
      <c r="E610" s="755" t="str" cm="1">
        <f t="array" ref="E610">IF(ISERROR(INDEX('Local Data Previous Year'!$E$3:$E$20000,SMALL(IF(CTR1_Billing!$E$21='Local Data Previous Year'!$A$3:$A$20000,ROW('Local Data Previous Year'!$A$3:$A$20000)-ROW('Local Data Previous Year'!$A$3)+1),ROW(578:578)))),"",INDEX('Local Data Previous Year'!$E$3:$E$20000,SMALL(IF(CTR1_Billing!$E$21='Local Data Previous Year'!$A$3:$A$20000,ROW('Local Data Previous Year'!$A$3:$A$20000)-ROW('Local Data Previous Year'!$A$3)+1),ROW(578:578))))</f>
        <v/>
      </c>
      <c r="F610" s="756" t="str">
        <f>IF($D610="","",IF(ISNA(MATCH($D610,'Local Data Previous Year'!$D$3:$D$20000,0)),"New",IFERROR(VLOOKUP($B610,'Local Data Previous Year'!$D$3:$I$20000,6,0),"")))</f>
        <v/>
      </c>
      <c r="G610" s="757">
        <f t="shared" si="112"/>
        <v>0</v>
      </c>
      <c r="H610" s="758" t="str">
        <f>IFERROR(INDEX('Local Data Previous Year'!$F:$F, MATCH($D610, 'Local Data Previous Year'!$D:$D, 0)), "")</f>
        <v/>
      </c>
      <c r="I610" s="759">
        <f>IF(B610=CTR1_Billing!$E$21&amp;"NEW",1,0)</f>
        <v>0</v>
      </c>
      <c r="J610" s="760" t="str">
        <f>IFERROR(INDEX('Local Data Previous Year'!$G:$G, MATCH($D610, 'Local Data Previous Year'!$D:$D, 0)), "")</f>
        <v/>
      </c>
      <c r="K610" s="762"/>
      <c r="L610" s="760" t="str">
        <f>IFERROR(INDEX('Local Data Previous Year'!$H:$H, MATCH($D610, 'Local Data Previous Year'!$D:$D, 0)), "")</f>
        <v/>
      </c>
      <c r="M610" s="762"/>
      <c r="N610" s="763"/>
      <c r="O610" s="767"/>
      <c r="P610" s="765"/>
      <c r="Q610" s="767"/>
      <c r="R610" s="766" t="str">
        <f t="shared" si="113"/>
        <v/>
      </c>
      <c r="S610" s="754"/>
      <c r="T610" s="763"/>
      <c r="U610" s="754"/>
      <c r="V610" s="763"/>
      <c r="W610" s="763"/>
      <c r="X610" s="865" t="str">
        <f>VLOOKUP(CTR1_Billing!$E$21,Data!$C$6:$D$302,1,FALSE)</f>
        <v>EZZZZ</v>
      </c>
      <c r="Y610" s="205"/>
      <c r="Z610" s="205">
        <f t="shared" si="119"/>
        <v>0</v>
      </c>
      <c r="AA610" s="206" t="str">
        <f t="shared" si="118"/>
        <v/>
      </c>
      <c r="AB610" s="205">
        <f t="shared" si="120"/>
        <v>0</v>
      </c>
      <c r="AC610" s="208"/>
      <c r="AD610" s="208"/>
      <c r="AE610" s="208"/>
      <c r="AF610" s="208"/>
      <c r="AG610" s="209" t="str">
        <f>IFERROR(INDEX('Local Data Previous Year'!$F:$F, MATCH($D610, 'Local Data Previous Year'!$D:$D, 0)), "")</f>
        <v/>
      </c>
      <c r="AH610" s="209" t="str">
        <f>IFERROR(INDEX('Local Data Previous Year'!$G:$G, MATCH($D610, 'Local Data Previous Year'!$D:$D, 0)), "")</f>
        <v/>
      </c>
      <c r="AI610" s="209" t="str">
        <f>IFERROR(INDEX('Local Data Previous Year'!$H:$H, MATCH($D610, 'Local Data Previous Year'!$D:$D, 0)), "")</f>
        <v/>
      </c>
      <c r="AJ610" s="209" t="str">
        <f t="shared" si="121"/>
        <v/>
      </c>
      <c r="AK610" s="209" t="str">
        <f t="shared" si="116"/>
        <v/>
      </c>
      <c r="AL610" s="209" t="str">
        <f t="shared" si="117"/>
        <v/>
      </c>
      <c r="AM610" s="208" t="str">
        <f>IF($AN610="","",IFERROR(VLOOKUP(CONCATENATE(CTR1_Billing!$E$20,$AN610),'Local Data Previous Year'!$C$3:$D$50000,2,0),CTR1_Billing!$E$21&amp;"NEW"))</f>
        <v/>
      </c>
      <c r="AN610" s="209" t="str" cm="1">
        <f t="array" ref="AN610">IF(ISERROR(INDEX('Local Data Previous Year'!$E$3:$E$50000, SMALL(IF(CTR1_Billing!$E$21='Local Data Previous Year'!$A$3:$A$50000, ROW('Local Data Previous Year'!$A$3:$A$50000)-ROW('Local Data Previous Year'!$A$3)+1), ROW(578:578)))), "", INDEX('Local Data Previous Year'!$E$3:$E$50000, SMALL(IF(CTR1_Billing!$E$21='Local Data Previous Year'!$A$3:$A$50000, ROW('Local Data Previous Year'!$A$3:$A$50000)-ROW('Local Data Previous Year'!$A$3)+1), ROW(578:578))))</f>
        <v/>
      </c>
      <c r="AO610" s="209" t="str">
        <f t="shared" si="122"/>
        <v/>
      </c>
      <c r="AP610" s="208"/>
      <c r="AQ610" s="209" t="str">
        <f t="shared" si="123"/>
        <v/>
      </c>
      <c r="AR610" s="209" t="str">
        <f t="shared" si="124"/>
        <v/>
      </c>
      <c r="AS610" s="202" t="str">
        <f t="shared" si="125"/>
        <v/>
      </c>
      <c r="AT610" s="202" t="str">
        <f t="shared" si="126"/>
        <v/>
      </c>
      <c r="AU610" s="208"/>
      <c r="AV610" s="208"/>
      <c r="AW610" s="208"/>
      <c r="AX610" s="208"/>
      <c r="AY610" s="208"/>
      <c r="AZ610" s="208"/>
      <c r="BA610" s="208"/>
      <c r="BB610" s="208"/>
      <c r="BC610" s="208"/>
      <c r="BD610" s="208"/>
      <c r="BE610" s="208"/>
      <c r="BF610" s="208"/>
      <c r="BG610" s="28"/>
      <c r="BH610" s="28"/>
      <c r="BI610" s="28"/>
      <c r="BJ610" s="28"/>
    </row>
    <row r="611" spans="1:62" s="23" customFormat="1" ht="21" customHeight="1" thickBot="1" x14ac:dyDescent="0.25">
      <c r="A611" s="846" t="str">
        <f>IF($AN611="","",IFERROR(VLOOKUP(CONCATENATE(CTR1_Billing!$E$20,$AN611),'Local Data Previous Year'!$C$3:$D$20000,2,0),CTR1_Billing!$E$21&amp;"NEW"))</f>
        <v/>
      </c>
      <c r="B611" s="846" t="str">
        <f>IF($E611="","",IFERROR(VLOOKUP(CONCATENATE(CTR1_Billing!$E$20,CTR1_Local!$E611),'Local Data Previous Year'!$C$3:$D$20000,2,0),CTR1_Billing!$E$21&amp;"NEW"))</f>
        <v/>
      </c>
      <c r="C611" s="846">
        <v>579</v>
      </c>
      <c r="D611" s="755" t="str" cm="1">
        <f t="array" ref="D611">IF(ISERROR(INDEX('Local Data Previous Year'!$D$3:$D$20000,SMALL(IF(CTR1_Billing!$E$21='Local Data Previous Year'!$A$3:$A$20000,ROW('Local Data Previous Year'!$A$3:$A$20000)-ROW('Local Data Previous Year'!$A$3)+1),ROW(579:579)))),"",INDEX('Local Data Previous Year'!$D$3:$D$20000,SMALL(IF(CTR1_Billing!$E$21='Local Data Previous Year'!$A$3:$A$20000,ROW('Local Data Previous Year'!$A$3:$A$20000)-ROW('Local Data Previous Year'!$A$3)+1),ROW(579:579))))</f>
        <v/>
      </c>
      <c r="E611" s="755" t="str" cm="1">
        <f t="array" ref="E611">IF(ISERROR(INDEX('Local Data Previous Year'!$E$3:$E$20000,SMALL(IF(CTR1_Billing!$E$21='Local Data Previous Year'!$A$3:$A$20000,ROW('Local Data Previous Year'!$A$3:$A$20000)-ROW('Local Data Previous Year'!$A$3)+1),ROW(579:579)))),"",INDEX('Local Data Previous Year'!$E$3:$E$20000,SMALL(IF(CTR1_Billing!$E$21='Local Data Previous Year'!$A$3:$A$20000,ROW('Local Data Previous Year'!$A$3:$A$20000)-ROW('Local Data Previous Year'!$A$3)+1),ROW(579:579))))</f>
        <v/>
      </c>
      <c r="F611" s="756" t="str">
        <f>IF($D611="","",IF(ISNA(MATCH($D611,'Local Data Previous Year'!$D$3:$D$20000,0)),"New",IFERROR(VLOOKUP($B611,'Local Data Previous Year'!$D$3:$I$20000,6,0),"")))</f>
        <v/>
      </c>
      <c r="G611" s="757">
        <f t="shared" si="112"/>
        <v>0</v>
      </c>
      <c r="H611" s="758" t="str">
        <f>IFERROR(INDEX('Local Data Previous Year'!$F:$F, MATCH($D611, 'Local Data Previous Year'!$D:$D, 0)), "")</f>
        <v/>
      </c>
      <c r="I611" s="759">
        <f>IF(B611=CTR1_Billing!$E$21&amp;"NEW",1,0)</f>
        <v>0</v>
      </c>
      <c r="J611" s="760" t="str">
        <f>IFERROR(INDEX('Local Data Previous Year'!$G:$G, MATCH($D611, 'Local Data Previous Year'!$D:$D, 0)), "")</f>
        <v/>
      </c>
      <c r="K611" s="762"/>
      <c r="L611" s="760" t="str">
        <f>IFERROR(INDEX('Local Data Previous Year'!$H:$H, MATCH($D611, 'Local Data Previous Year'!$D:$D, 0)), "")</f>
        <v/>
      </c>
      <c r="M611" s="762"/>
      <c r="N611" s="763"/>
      <c r="O611" s="767"/>
      <c r="P611" s="765"/>
      <c r="Q611" s="767"/>
      <c r="R611" s="766" t="str">
        <f t="shared" ref="R611:R674" si="127">+IF(N611="","",IF(N611+P611=0,0,+N611/P611))</f>
        <v/>
      </c>
      <c r="S611" s="754"/>
      <c r="T611" s="763"/>
      <c r="U611" s="754"/>
      <c r="V611" s="763"/>
      <c r="W611" s="763"/>
      <c r="X611" s="865" t="str">
        <f>VLOOKUP(CTR1_Billing!$E$21,Data!$C$6:$D$302,1,FALSE)</f>
        <v>EZZZZ</v>
      </c>
      <c r="Y611" s="205"/>
      <c r="Z611" s="205">
        <f t="shared" si="119"/>
        <v>0</v>
      </c>
      <c r="AA611" s="206" t="str">
        <f t="shared" si="118"/>
        <v/>
      </c>
      <c r="AB611" s="205">
        <f t="shared" si="120"/>
        <v>0</v>
      </c>
      <c r="AC611" s="208"/>
      <c r="AD611" s="208"/>
      <c r="AE611" s="208"/>
      <c r="AF611" s="208"/>
      <c r="AG611" s="209" t="str">
        <f>IFERROR(INDEX('Local Data Previous Year'!$F:$F, MATCH($D611, 'Local Data Previous Year'!$D:$D, 0)), "")</f>
        <v/>
      </c>
      <c r="AH611" s="209" t="str">
        <f>IFERROR(INDEX('Local Data Previous Year'!$G:$G, MATCH($D611, 'Local Data Previous Year'!$D:$D, 0)), "")</f>
        <v/>
      </c>
      <c r="AI611" s="209" t="str">
        <f>IFERROR(INDEX('Local Data Previous Year'!$H:$H, MATCH($D611, 'Local Data Previous Year'!$D:$D, 0)), "")</f>
        <v/>
      </c>
      <c r="AJ611" s="209" t="str">
        <f t="shared" si="121"/>
        <v/>
      </c>
      <c r="AK611" s="209" t="str">
        <f t="shared" si="116"/>
        <v/>
      </c>
      <c r="AL611" s="209" t="str">
        <f t="shared" si="117"/>
        <v/>
      </c>
      <c r="AM611" s="208" t="str">
        <f>IF($AN611="","",IFERROR(VLOOKUP(CONCATENATE(CTR1_Billing!$E$20,$AN611),'Local Data Previous Year'!$C$3:$D$50000,2,0),CTR1_Billing!$E$21&amp;"NEW"))</f>
        <v/>
      </c>
      <c r="AN611" s="209" t="str" cm="1">
        <f t="array" ref="AN611">IF(ISERROR(INDEX('Local Data Previous Year'!$E$3:$E$50000, SMALL(IF(CTR1_Billing!$E$21='Local Data Previous Year'!$A$3:$A$50000, ROW('Local Data Previous Year'!$A$3:$A$50000)-ROW('Local Data Previous Year'!$A$3)+1), ROW(579:579)))), "", INDEX('Local Data Previous Year'!$E$3:$E$50000, SMALL(IF(CTR1_Billing!$E$21='Local Data Previous Year'!$A$3:$A$50000, ROW('Local Data Previous Year'!$A$3:$A$50000)-ROW('Local Data Previous Year'!$A$3)+1), ROW(579:579))))</f>
        <v/>
      </c>
      <c r="AO611" s="209" t="str">
        <f t="shared" si="122"/>
        <v/>
      </c>
      <c r="AP611" s="208"/>
      <c r="AQ611" s="209" t="str">
        <f t="shared" si="123"/>
        <v/>
      </c>
      <c r="AR611" s="209" t="str">
        <f t="shared" si="124"/>
        <v/>
      </c>
      <c r="AS611" s="202" t="str">
        <f t="shared" si="125"/>
        <v/>
      </c>
      <c r="AT611" s="202" t="str">
        <f t="shared" si="126"/>
        <v/>
      </c>
      <c r="AU611" s="208"/>
      <c r="AV611" s="208"/>
      <c r="AW611" s="208"/>
      <c r="AX611" s="208"/>
      <c r="AY611" s="208"/>
      <c r="AZ611" s="208"/>
      <c r="BA611" s="208"/>
      <c r="BB611" s="208"/>
      <c r="BC611" s="208"/>
      <c r="BD611" s="208"/>
      <c r="BE611" s="208"/>
      <c r="BF611" s="208"/>
      <c r="BG611" s="28"/>
      <c r="BH611" s="28"/>
      <c r="BI611" s="28"/>
      <c r="BJ611" s="28"/>
    </row>
    <row r="612" spans="1:62" s="23" customFormat="1" ht="21" customHeight="1" thickBot="1" x14ac:dyDescent="0.25">
      <c r="A612" s="846" t="str">
        <f>IF($AN612="","",IFERROR(VLOOKUP(CONCATENATE(CTR1_Billing!$E$20,$AN612),'Local Data Previous Year'!$C$3:$D$20000,2,0),CTR1_Billing!$E$21&amp;"NEW"))</f>
        <v/>
      </c>
      <c r="B612" s="846" t="str">
        <f>IF($E612="","",IFERROR(VLOOKUP(CONCATENATE(CTR1_Billing!$E$20,CTR1_Local!$E612),'Local Data Previous Year'!$C$3:$D$20000,2,0),CTR1_Billing!$E$21&amp;"NEW"))</f>
        <v/>
      </c>
      <c r="C612" s="846">
        <v>580</v>
      </c>
      <c r="D612" s="755" t="str" cm="1">
        <f t="array" ref="D612">IF(ISERROR(INDEX('Local Data Previous Year'!$D$3:$D$20000,SMALL(IF(CTR1_Billing!$E$21='Local Data Previous Year'!$A$3:$A$20000,ROW('Local Data Previous Year'!$A$3:$A$20000)-ROW('Local Data Previous Year'!$A$3)+1),ROW(580:580)))),"",INDEX('Local Data Previous Year'!$D$3:$D$20000,SMALL(IF(CTR1_Billing!$E$21='Local Data Previous Year'!$A$3:$A$20000,ROW('Local Data Previous Year'!$A$3:$A$20000)-ROW('Local Data Previous Year'!$A$3)+1),ROW(580:580))))</f>
        <v/>
      </c>
      <c r="E612" s="755" t="str" cm="1">
        <f t="array" ref="E612">IF(ISERROR(INDEX('Local Data Previous Year'!$E$3:$E$20000,SMALL(IF(CTR1_Billing!$E$21='Local Data Previous Year'!$A$3:$A$20000,ROW('Local Data Previous Year'!$A$3:$A$20000)-ROW('Local Data Previous Year'!$A$3)+1),ROW(580:580)))),"",INDEX('Local Data Previous Year'!$E$3:$E$20000,SMALL(IF(CTR1_Billing!$E$21='Local Data Previous Year'!$A$3:$A$20000,ROW('Local Data Previous Year'!$A$3:$A$20000)-ROW('Local Data Previous Year'!$A$3)+1),ROW(580:580))))</f>
        <v/>
      </c>
      <c r="F612" s="756" t="str">
        <f>IF($D612="","",IF(ISNA(MATCH($D612,'Local Data Previous Year'!$D$3:$D$20000,0)),"New",IFERROR(VLOOKUP($B612,'Local Data Previous Year'!$D$3:$I$20000,6,0),"")))</f>
        <v/>
      </c>
      <c r="G612" s="757">
        <f t="shared" si="112"/>
        <v>0</v>
      </c>
      <c r="H612" s="758" t="str">
        <f>IFERROR(INDEX('Local Data Previous Year'!$F:$F, MATCH($D612, 'Local Data Previous Year'!$D:$D, 0)), "")</f>
        <v/>
      </c>
      <c r="I612" s="759">
        <f>IF(B612=CTR1_Billing!$E$21&amp;"NEW",1,0)</f>
        <v>0</v>
      </c>
      <c r="J612" s="760" t="str">
        <f>IFERROR(INDEX('Local Data Previous Year'!$G:$G, MATCH($D612, 'Local Data Previous Year'!$D:$D, 0)), "")</f>
        <v/>
      </c>
      <c r="K612" s="762"/>
      <c r="L612" s="760" t="str">
        <f>IFERROR(INDEX('Local Data Previous Year'!$H:$H, MATCH($D612, 'Local Data Previous Year'!$D:$D, 0)), "")</f>
        <v/>
      </c>
      <c r="M612" s="762"/>
      <c r="N612" s="763"/>
      <c r="O612" s="767"/>
      <c r="P612" s="765"/>
      <c r="Q612" s="767"/>
      <c r="R612" s="766" t="str">
        <f t="shared" si="127"/>
        <v/>
      </c>
      <c r="S612" s="754"/>
      <c r="T612" s="763"/>
      <c r="U612" s="754"/>
      <c r="V612" s="763"/>
      <c r="W612" s="763"/>
      <c r="X612" s="865" t="str">
        <f>VLOOKUP(CTR1_Billing!$E$21,Data!$C$6:$D$302,1,FALSE)</f>
        <v>EZZZZ</v>
      </c>
      <c r="Y612" s="205"/>
      <c r="Z612" s="205">
        <f t="shared" si="119"/>
        <v>0</v>
      </c>
      <c r="AA612" s="206" t="str">
        <f t="shared" si="118"/>
        <v/>
      </c>
      <c r="AB612" s="205">
        <f t="shared" si="120"/>
        <v>0</v>
      </c>
      <c r="AC612" s="208"/>
      <c r="AD612" s="208"/>
      <c r="AE612" s="208"/>
      <c r="AF612" s="208"/>
      <c r="AG612" s="209" t="str">
        <f>IFERROR(INDEX('Local Data Previous Year'!$F:$F, MATCH($D612, 'Local Data Previous Year'!$D:$D, 0)), "")</f>
        <v/>
      </c>
      <c r="AH612" s="209" t="str">
        <f>IFERROR(INDEX('Local Data Previous Year'!$G:$G, MATCH($D612, 'Local Data Previous Year'!$D:$D, 0)), "")</f>
        <v/>
      </c>
      <c r="AI612" s="209" t="str">
        <f>IFERROR(INDEX('Local Data Previous Year'!$H:$H, MATCH($D612, 'Local Data Previous Year'!$D:$D, 0)), "")</f>
        <v/>
      </c>
      <c r="AJ612" s="209" t="str">
        <f t="shared" si="121"/>
        <v/>
      </c>
      <c r="AK612" s="209" t="str">
        <f t="shared" si="116"/>
        <v/>
      </c>
      <c r="AL612" s="209" t="str">
        <f t="shared" si="117"/>
        <v/>
      </c>
      <c r="AM612" s="208" t="str">
        <f>IF($AN612="","",IFERROR(VLOOKUP(CONCATENATE(CTR1_Billing!$E$20,$AN612),'Local Data Previous Year'!$C$3:$D$50000,2,0),CTR1_Billing!$E$21&amp;"NEW"))</f>
        <v/>
      </c>
      <c r="AN612" s="209" t="str" cm="1">
        <f t="array" ref="AN612">IF(ISERROR(INDEX('Local Data Previous Year'!$E$3:$E$50000, SMALL(IF(CTR1_Billing!$E$21='Local Data Previous Year'!$A$3:$A$50000, ROW('Local Data Previous Year'!$A$3:$A$50000)-ROW('Local Data Previous Year'!$A$3)+1), ROW(580:580)))), "", INDEX('Local Data Previous Year'!$E$3:$E$50000, SMALL(IF(CTR1_Billing!$E$21='Local Data Previous Year'!$A$3:$A$50000, ROW('Local Data Previous Year'!$A$3:$A$50000)-ROW('Local Data Previous Year'!$A$3)+1), ROW(580:580))))</f>
        <v/>
      </c>
      <c r="AO612" s="209" t="str">
        <f t="shared" si="122"/>
        <v/>
      </c>
      <c r="AP612" s="208"/>
      <c r="AQ612" s="209" t="str">
        <f t="shared" si="123"/>
        <v/>
      </c>
      <c r="AR612" s="209" t="str">
        <f t="shared" si="124"/>
        <v/>
      </c>
      <c r="AS612" s="202" t="str">
        <f t="shared" si="125"/>
        <v/>
      </c>
      <c r="AT612" s="202" t="str">
        <f t="shared" si="126"/>
        <v/>
      </c>
      <c r="AU612" s="208"/>
      <c r="AV612" s="208"/>
      <c r="AW612" s="208"/>
      <c r="AX612" s="208"/>
      <c r="AY612" s="208"/>
      <c r="AZ612" s="208"/>
      <c r="BA612" s="208"/>
      <c r="BB612" s="208"/>
      <c r="BC612" s="208"/>
      <c r="BD612" s="208"/>
      <c r="BE612" s="208"/>
      <c r="BF612" s="208"/>
      <c r="BG612" s="28"/>
      <c r="BH612" s="28"/>
      <c r="BI612" s="28"/>
      <c r="BJ612" s="28"/>
    </row>
    <row r="613" spans="1:62" s="23" customFormat="1" ht="21" customHeight="1" thickBot="1" x14ac:dyDescent="0.25">
      <c r="A613" s="846" t="str">
        <f>IF($AN613="","",IFERROR(VLOOKUP(CONCATENATE(CTR1_Billing!$E$20,$AN613),'Local Data Previous Year'!$C$3:$D$20000,2,0),CTR1_Billing!$E$21&amp;"NEW"))</f>
        <v/>
      </c>
      <c r="B613" s="846" t="str">
        <f>IF($E613="","",IFERROR(VLOOKUP(CONCATENATE(CTR1_Billing!$E$20,CTR1_Local!$E613),'Local Data Previous Year'!$C$3:$D$20000,2,0),CTR1_Billing!$E$21&amp;"NEW"))</f>
        <v/>
      </c>
      <c r="C613" s="846">
        <v>581</v>
      </c>
      <c r="D613" s="755" t="str" cm="1">
        <f t="array" ref="D613">IF(ISERROR(INDEX('Local Data Previous Year'!$D$3:$D$20000,SMALL(IF(CTR1_Billing!$E$21='Local Data Previous Year'!$A$3:$A$20000,ROW('Local Data Previous Year'!$A$3:$A$20000)-ROW('Local Data Previous Year'!$A$3)+1),ROW(581:581)))),"",INDEX('Local Data Previous Year'!$D$3:$D$20000,SMALL(IF(CTR1_Billing!$E$21='Local Data Previous Year'!$A$3:$A$20000,ROW('Local Data Previous Year'!$A$3:$A$20000)-ROW('Local Data Previous Year'!$A$3)+1),ROW(581:581))))</f>
        <v/>
      </c>
      <c r="E613" s="755" t="str" cm="1">
        <f t="array" ref="E613">IF(ISERROR(INDEX('Local Data Previous Year'!$E$3:$E$20000,SMALL(IF(CTR1_Billing!$E$21='Local Data Previous Year'!$A$3:$A$20000,ROW('Local Data Previous Year'!$A$3:$A$20000)-ROW('Local Data Previous Year'!$A$3)+1),ROW(581:581)))),"",INDEX('Local Data Previous Year'!$E$3:$E$20000,SMALL(IF(CTR1_Billing!$E$21='Local Data Previous Year'!$A$3:$A$20000,ROW('Local Data Previous Year'!$A$3:$A$20000)-ROW('Local Data Previous Year'!$A$3)+1),ROW(581:581))))</f>
        <v/>
      </c>
      <c r="F613" s="756" t="str">
        <f>IF($D613="","",IF(ISNA(MATCH($D613,'Local Data Previous Year'!$D$3:$D$20000,0)),"New",IFERROR(VLOOKUP($B613,'Local Data Previous Year'!$D$3:$I$20000,6,0),"")))</f>
        <v/>
      </c>
      <c r="G613" s="757">
        <f t="shared" si="112"/>
        <v>0</v>
      </c>
      <c r="H613" s="758" t="str">
        <f>IFERROR(INDEX('Local Data Previous Year'!$F:$F, MATCH($D613, 'Local Data Previous Year'!$D:$D, 0)), "")</f>
        <v/>
      </c>
      <c r="I613" s="759">
        <f>IF(B613=CTR1_Billing!$E$21&amp;"NEW",1,0)</f>
        <v>0</v>
      </c>
      <c r="J613" s="760" t="str">
        <f>IFERROR(INDEX('Local Data Previous Year'!$G:$G, MATCH($D613, 'Local Data Previous Year'!$D:$D, 0)), "")</f>
        <v/>
      </c>
      <c r="K613" s="762"/>
      <c r="L613" s="760" t="str">
        <f>IFERROR(INDEX('Local Data Previous Year'!$H:$H, MATCH($D613, 'Local Data Previous Year'!$D:$D, 0)), "")</f>
        <v/>
      </c>
      <c r="M613" s="762"/>
      <c r="N613" s="763"/>
      <c r="O613" s="767"/>
      <c r="P613" s="765"/>
      <c r="Q613" s="767"/>
      <c r="R613" s="766" t="str">
        <f t="shared" si="127"/>
        <v/>
      </c>
      <c r="S613" s="754"/>
      <c r="T613" s="763"/>
      <c r="U613" s="754"/>
      <c r="V613" s="763"/>
      <c r="W613" s="763"/>
      <c r="X613" s="865" t="str">
        <f>VLOOKUP(CTR1_Billing!$E$21,Data!$C$6:$D$302,1,FALSE)</f>
        <v>EZZZZ</v>
      </c>
      <c r="Y613" s="205"/>
      <c r="Z613" s="205">
        <f t="shared" si="119"/>
        <v>0</v>
      </c>
      <c r="AA613" s="206" t="str">
        <f t="shared" si="118"/>
        <v/>
      </c>
      <c r="AB613" s="205">
        <f t="shared" si="120"/>
        <v>0</v>
      </c>
      <c r="AC613" s="208"/>
      <c r="AD613" s="208"/>
      <c r="AE613" s="208"/>
      <c r="AF613" s="208"/>
      <c r="AG613" s="209" t="str">
        <f>IFERROR(INDEX('Local Data Previous Year'!$F:$F, MATCH($D613, 'Local Data Previous Year'!$D:$D, 0)), "")</f>
        <v/>
      </c>
      <c r="AH613" s="209" t="str">
        <f>IFERROR(INDEX('Local Data Previous Year'!$G:$G, MATCH($D613, 'Local Data Previous Year'!$D:$D, 0)), "")</f>
        <v/>
      </c>
      <c r="AI613" s="209" t="str">
        <f>IFERROR(INDEX('Local Data Previous Year'!$H:$H, MATCH($D613, 'Local Data Previous Year'!$D:$D, 0)), "")</f>
        <v/>
      </c>
      <c r="AJ613" s="209" t="str">
        <f t="shared" si="121"/>
        <v/>
      </c>
      <c r="AK613" s="209" t="str">
        <f t="shared" si="116"/>
        <v/>
      </c>
      <c r="AL613" s="209" t="str">
        <f t="shared" si="117"/>
        <v/>
      </c>
      <c r="AM613" s="208" t="str">
        <f>IF($AN613="","",IFERROR(VLOOKUP(CONCATENATE(CTR1_Billing!$E$20,$AN613),'Local Data Previous Year'!$C$3:$D$50000,2,0),CTR1_Billing!$E$21&amp;"NEW"))</f>
        <v/>
      </c>
      <c r="AN613" s="209" t="str" cm="1">
        <f t="array" ref="AN613">IF(ISERROR(INDEX('Local Data Previous Year'!$E$3:$E$50000, SMALL(IF(CTR1_Billing!$E$21='Local Data Previous Year'!$A$3:$A$50000, ROW('Local Data Previous Year'!$A$3:$A$50000)-ROW('Local Data Previous Year'!$A$3)+1), ROW(581:581)))), "", INDEX('Local Data Previous Year'!$E$3:$E$50000, SMALL(IF(CTR1_Billing!$E$21='Local Data Previous Year'!$A$3:$A$50000, ROW('Local Data Previous Year'!$A$3:$A$50000)-ROW('Local Data Previous Year'!$A$3)+1), ROW(581:581))))</f>
        <v/>
      </c>
      <c r="AO613" s="209" t="str">
        <f t="shared" si="122"/>
        <v/>
      </c>
      <c r="AP613" s="208"/>
      <c r="AQ613" s="209" t="str">
        <f t="shared" si="123"/>
        <v/>
      </c>
      <c r="AR613" s="209" t="str">
        <f t="shared" si="124"/>
        <v/>
      </c>
      <c r="AS613" s="202" t="str">
        <f t="shared" si="125"/>
        <v/>
      </c>
      <c r="AT613" s="202" t="str">
        <f t="shared" si="126"/>
        <v/>
      </c>
      <c r="AU613" s="208"/>
      <c r="AV613" s="208"/>
      <c r="AW613" s="208"/>
      <c r="AX613" s="208"/>
      <c r="AY613" s="208"/>
      <c r="AZ613" s="208"/>
      <c r="BA613" s="208"/>
      <c r="BB613" s="208"/>
      <c r="BC613" s="208"/>
      <c r="BD613" s="208"/>
      <c r="BE613" s="208"/>
      <c r="BF613" s="208"/>
      <c r="BG613" s="28"/>
      <c r="BH613" s="28"/>
      <c r="BI613" s="28"/>
      <c r="BJ613" s="28"/>
    </row>
    <row r="614" spans="1:62" s="23" customFormat="1" ht="21" customHeight="1" thickBot="1" x14ac:dyDescent="0.25">
      <c r="A614" s="846" t="str">
        <f>IF($AN614="","",IFERROR(VLOOKUP(CONCATENATE(CTR1_Billing!$E$20,$AN614),'Local Data Previous Year'!$C$3:$D$20000,2,0),CTR1_Billing!$E$21&amp;"NEW"))</f>
        <v/>
      </c>
      <c r="B614" s="846" t="str">
        <f>IF($E614="","",IFERROR(VLOOKUP(CONCATENATE(CTR1_Billing!$E$20,CTR1_Local!$E614),'Local Data Previous Year'!$C$3:$D$20000,2,0),CTR1_Billing!$E$21&amp;"NEW"))</f>
        <v/>
      </c>
      <c r="C614" s="846">
        <v>582</v>
      </c>
      <c r="D614" s="755" t="str" cm="1">
        <f t="array" ref="D614">IF(ISERROR(INDEX('Local Data Previous Year'!$D$3:$D$20000,SMALL(IF(CTR1_Billing!$E$21='Local Data Previous Year'!$A$3:$A$20000,ROW('Local Data Previous Year'!$A$3:$A$20000)-ROW('Local Data Previous Year'!$A$3)+1),ROW(582:582)))),"",INDEX('Local Data Previous Year'!$D$3:$D$20000,SMALL(IF(CTR1_Billing!$E$21='Local Data Previous Year'!$A$3:$A$20000,ROW('Local Data Previous Year'!$A$3:$A$20000)-ROW('Local Data Previous Year'!$A$3)+1),ROW(582:582))))</f>
        <v/>
      </c>
      <c r="E614" s="755" t="str" cm="1">
        <f t="array" ref="E614">IF(ISERROR(INDEX('Local Data Previous Year'!$E$3:$E$20000,SMALL(IF(CTR1_Billing!$E$21='Local Data Previous Year'!$A$3:$A$20000,ROW('Local Data Previous Year'!$A$3:$A$20000)-ROW('Local Data Previous Year'!$A$3)+1),ROW(582:582)))),"",INDEX('Local Data Previous Year'!$E$3:$E$20000,SMALL(IF(CTR1_Billing!$E$21='Local Data Previous Year'!$A$3:$A$20000,ROW('Local Data Previous Year'!$A$3:$A$20000)-ROW('Local Data Previous Year'!$A$3)+1),ROW(582:582))))</f>
        <v/>
      </c>
      <c r="F614" s="756" t="str">
        <f>IF($D614="","",IF(ISNA(MATCH($D614,'Local Data Previous Year'!$D$3:$D$20000,0)),"New",IFERROR(VLOOKUP($B614,'Local Data Previous Year'!$D$3:$I$20000,6,0),"")))</f>
        <v/>
      </c>
      <c r="G614" s="757">
        <f t="shared" si="112"/>
        <v>0</v>
      </c>
      <c r="H614" s="758" t="str">
        <f>IFERROR(INDEX('Local Data Previous Year'!$F:$F, MATCH($D614, 'Local Data Previous Year'!$D:$D, 0)), "")</f>
        <v/>
      </c>
      <c r="I614" s="759">
        <f>IF(B614=CTR1_Billing!$E$21&amp;"NEW",1,0)</f>
        <v>0</v>
      </c>
      <c r="J614" s="760" t="str">
        <f>IFERROR(INDEX('Local Data Previous Year'!$G:$G, MATCH($D614, 'Local Data Previous Year'!$D:$D, 0)), "")</f>
        <v/>
      </c>
      <c r="K614" s="762"/>
      <c r="L614" s="760" t="str">
        <f>IFERROR(INDEX('Local Data Previous Year'!$H:$H, MATCH($D614, 'Local Data Previous Year'!$D:$D, 0)), "")</f>
        <v/>
      </c>
      <c r="M614" s="762"/>
      <c r="N614" s="763"/>
      <c r="O614" s="767"/>
      <c r="P614" s="765"/>
      <c r="Q614" s="767"/>
      <c r="R614" s="766" t="str">
        <f t="shared" si="127"/>
        <v/>
      </c>
      <c r="S614" s="754"/>
      <c r="T614" s="763"/>
      <c r="U614" s="754"/>
      <c r="V614" s="763"/>
      <c r="W614" s="763"/>
      <c r="X614" s="865" t="str">
        <f>VLOOKUP(CTR1_Billing!$E$21,Data!$C$6:$D$302,1,FALSE)</f>
        <v>EZZZZ</v>
      </c>
      <c r="Y614" s="205"/>
      <c r="Z614" s="205">
        <f t="shared" si="119"/>
        <v>0</v>
      </c>
      <c r="AA614" s="206" t="str">
        <f t="shared" si="118"/>
        <v/>
      </c>
      <c r="AB614" s="205">
        <f t="shared" si="120"/>
        <v>0</v>
      </c>
      <c r="AC614" s="208"/>
      <c r="AD614" s="208"/>
      <c r="AE614" s="208"/>
      <c r="AF614" s="208"/>
      <c r="AG614" s="209" t="str">
        <f>IFERROR(INDEX('Local Data Previous Year'!$F:$F, MATCH($D614, 'Local Data Previous Year'!$D:$D, 0)), "")</f>
        <v/>
      </c>
      <c r="AH614" s="209" t="str">
        <f>IFERROR(INDEX('Local Data Previous Year'!$G:$G, MATCH($D614, 'Local Data Previous Year'!$D:$D, 0)), "")</f>
        <v/>
      </c>
      <c r="AI614" s="209" t="str">
        <f>IFERROR(INDEX('Local Data Previous Year'!$H:$H, MATCH($D614, 'Local Data Previous Year'!$D:$D, 0)), "")</f>
        <v/>
      </c>
      <c r="AJ614" s="209" t="str">
        <f t="shared" si="121"/>
        <v/>
      </c>
      <c r="AK614" s="209" t="str">
        <f t="shared" si="116"/>
        <v/>
      </c>
      <c r="AL614" s="209" t="str">
        <f t="shared" si="117"/>
        <v/>
      </c>
      <c r="AM614" s="208" t="str">
        <f>IF($AN614="","",IFERROR(VLOOKUP(CONCATENATE(CTR1_Billing!$E$20,$AN614),'Local Data Previous Year'!$C$3:$D$50000,2,0),CTR1_Billing!$E$21&amp;"NEW"))</f>
        <v/>
      </c>
      <c r="AN614" s="209" t="str" cm="1">
        <f t="array" ref="AN614">IF(ISERROR(INDEX('Local Data Previous Year'!$E$3:$E$50000, SMALL(IF(CTR1_Billing!$E$21='Local Data Previous Year'!$A$3:$A$50000, ROW('Local Data Previous Year'!$A$3:$A$50000)-ROW('Local Data Previous Year'!$A$3)+1), ROW(582:582)))), "", INDEX('Local Data Previous Year'!$E$3:$E$50000, SMALL(IF(CTR1_Billing!$E$21='Local Data Previous Year'!$A$3:$A$50000, ROW('Local Data Previous Year'!$A$3:$A$50000)-ROW('Local Data Previous Year'!$A$3)+1), ROW(582:582))))</f>
        <v/>
      </c>
      <c r="AO614" s="209" t="str">
        <f t="shared" si="122"/>
        <v/>
      </c>
      <c r="AP614" s="208"/>
      <c r="AQ614" s="209" t="str">
        <f t="shared" si="123"/>
        <v/>
      </c>
      <c r="AR614" s="209" t="str">
        <f t="shared" si="124"/>
        <v/>
      </c>
      <c r="AS614" s="202" t="str">
        <f t="shared" si="125"/>
        <v/>
      </c>
      <c r="AT614" s="202" t="str">
        <f t="shared" si="126"/>
        <v/>
      </c>
      <c r="AU614" s="208"/>
      <c r="AV614" s="208"/>
      <c r="AW614" s="208"/>
      <c r="AX614" s="208"/>
      <c r="AY614" s="208"/>
      <c r="AZ614" s="208"/>
      <c r="BA614" s="208"/>
      <c r="BB614" s="208"/>
      <c r="BC614" s="208"/>
      <c r="BD614" s="208"/>
      <c r="BE614" s="208"/>
      <c r="BF614" s="208"/>
      <c r="BG614" s="28"/>
      <c r="BH614" s="28"/>
      <c r="BI614" s="28"/>
      <c r="BJ614" s="28"/>
    </row>
    <row r="615" spans="1:62" s="23" customFormat="1" ht="21" customHeight="1" thickBot="1" x14ac:dyDescent="0.25">
      <c r="A615" s="846" t="str">
        <f>IF($AN615="","",IFERROR(VLOOKUP(CONCATENATE(CTR1_Billing!$E$20,$AN615),'Local Data Previous Year'!$C$3:$D$20000,2,0),CTR1_Billing!$E$21&amp;"NEW"))</f>
        <v/>
      </c>
      <c r="B615" s="846" t="str">
        <f>IF($E615="","",IFERROR(VLOOKUP(CONCATENATE(CTR1_Billing!$E$20,CTR1_Local!$E615),'Local Data Previous Year'!$C$3:$D$20000,2,0),CTR1_Billing!$E$21&amp;"NEW"))</f>
        <v/>
      </c>
      <c r="C615" s="846">
        <v>583</v>
      </c>
      <c r="D615" s="755" t="str" cm="1">
        <f t="array" ref="D615">IF(ISERROR(INDEX('Local Data Previous Year'!$D$3:$D$20000,SMALL(IF(CTR1_Billing!$E$21='Local Data Previous Year'!$A$3:$A$20000,ROW('Local Data Previous Year'!$A$3:$A$20000)-ROW('Local Data Previous Year'!$A$3)+1),ROW(583:583)))),"",INDEX('Local Data Previous Year'!$D$3:$D$20000,SMALL(IF(CTR1_Billing!$E$21='Local Data Previous Year'!$A$3:$A$20000,ROW('Local Data Previous Year'!$A$3:$A$20000)-ROW('Local Data Previous Year'!$A$3)+1),ROW(583:583))))</f>
        <v/>
      </c>
      <c r="E615" s="755" t="str" cm="1">
        <f t="array" ref="E615">IF(ISERROR(INDEX('Local Data Previous Year'!$E$3:$E$20000,SMALL(IF(CTR1_Billing!$E$21='Local Data Previous Year'!$A$3:$A$20000,ROW('Local Data Previous Year'!$A$3:$A$20000)-ROW('Local Data Previous Year'!$A$3)+1),ROW(583:583)))),"",INDEX('Local Data Previous Year'!$E$3:$E$20000,SMALL(IF(CTR1_Billing!$E$21='Local Data Previous Year'!$A$3:$A$20000,ROW('Local Data Previous Year'!$A$3:$A$20000)-ROW('Local Data Previous Year'!$A$3)+1),ROW(583:583))))</f>
        <v/>
      </c>
      <c r="F615" s="756" t="str">
        <f>IF($D615="","",IF(ISNA(MATCH($D615,'Local Data Previous Year'!$D$3:$D$20000,0)),"New",IFERROR(VLOOKUP($B615,'Local Data Previous Year'!$D$3:$I$20000,6,0),"")))</f>
        <v/>
      </c>
      <c r="G615" s="757">
        <f t="shared" si="112"/>
        <v>0</v>
      </c>
      <c r="H615" s="758" t="str">
        <f>IFERROR(INDEX('Local Data Previous Year'!$F:$F, MATCH($D615, 'Local Data Previous Year'!$D:$D, 0)), "")</f>
        <v/>
      </c>
      <c r="I615" s="759">
        <f>IF(B615=CTR1_Billing!$E$21&amp;"NEW",1,0)</f>
        <v>0</v>
      </c>
      <c r="J615" s="760" t="str">
        <f>IFERROR(INDEX('Local Data Previous Year'!$G:$G, MATCH($D615, 'Local Data Previous Year'!$D:$D, 0)), "")</f>
        <v/>
      </c>
      <c r="K615" s="762"/>
      <c r="L615" s="760" t="str">
        <f>IFERROR(INDEX('Local Data Previous Year'!$H:$H, MATCH($D615, 'Local Data Previous Year'!$D:$D, 0)), "")</f>
        <v/>
      </c>
      <c r="M615" s="762"/>
      <c r="N615" s="763"/>
      <c r="O615" s="767"/>
      <c r="P615" s="765"/>
      <c r="Q615" s="767"/>
      <c r="R615" s="766" t="str">
        <f t="shared" si="127"/>
        <v/>
      </c>
      <c r="S615" s="754"/>
      <c r="T615" s="763"/>
      <c r="U615" s="754"/>
      <c r="V615" s="763"/>
      <c r="W615" s="763"/>
      <c r="X615" s="865" t="str">
        <f>VLOOKUP(CTR1_Billing!$E$21,Data!$C$6:$D$302,1,FALSE)</f>
        <v>EZZZZ</v>
      </c>
      <c r="Y615" s="205"/>
      <c r="Z615" s="205">
        <f t="shared" si="119"/>
        <v>0</v>
      </c>
      <c r="AA615" s="206" t="str">
        <f t="shared" si="118"/>
        <v/>
      </c>
      <c r="AB615" s="205">
        <f t="shared" si="120"/>
        <v>0</v>
      </c>
      <c r="AC615" s="208"/>
      <c r="AD615" s="208"/>
      <c r="AE615" s="208"/>
      <c r="AF615" s="208"/>
      <c r="AG615" s="209" t="str">
        <f>IFERROR(INDEX('Local Data Previous Year'!$F:$F, MATCH($D615, 'Local Data Previous Year'!$D:$D, 0)), "")</f>
        <v/>
      </c>
      <c r="AH615" s="209" t="str">
        <f>IFERROR(INDEX('Local Data Previous Year'!$G:$G, MATCH($D615, 'Local Data Previous Year'!$D:$D, 0)), "")</f>
        <v/>
      </c>
      <c r="AI615" s="209" t="str">
        <f>IFERROR(INDEX('Local Data Previous Year'!$H:$H, MATCH($D615, 'Local Data Previous Year'!$D:$D, 0)), "")</f>
        <v/>
      </c>
      <c r="AJ615" s="209" t="str">
        <f t="shared" si="121"/>
        <v/>
      </c>
      <c r="AK615" s="209" t="str">
        <f t="shared" si="116"/>
        <v/>
      </c>
      <c r="AL615" s="209" t="str">
        <f t="shared" si="117"/>
        <v/>
      </c>
      <c r="AM615" s="208" t="str">
        <f>IF($AN615="","",IFERROR(VLOOKUP(CONCATENATE(CTR1_Billing!$E$20,$AN615),'Local Data Previous Year'!$C$3:$D$50000,2,0),CTR1_Billing!$E$21&amp;"NEW"))</f>
        <v/>
      </c>
      <c r="AN615" s="209" t="str" cm="1">
        <f t="array" ref="AN615">IF(ISERROR(INDEX('Local Data Previous Year'!$E$3:$E$50000, SMALL(IF(CTR1_Billing!$E$21='Local Data Previous Year'!$A$3:$A$50000, ROW('Local Data Previous Year'!$A$3:$A$50000)-ROW('Local Data Previous Year'!$A$3)+1), ROW(583:583)))), "", INDEX('Local Data Previous Year'!$E$3:$E$50000, SMALL(IF(CTR1_Billing!$E$21='Local Data Previous Year'!$A$3:$A$50000, ROW('Local Data Previous Year'!$A$3:$A$50000)-ROW('Local Data Previous Year'!$A$3)+1), ROW(583:583))))</f>
        <v/>
      </c>
      <c r="AO615" s="209" t="str">
        <f t="shared" si="122"/>
        <v/>
      </c>
      <c r="AP615" s="208"/>
      <c r="AQ615" s="209" t="str">
        <f t="shared" si="123"/>
        <v/>
      </c>
      <c r="AR615" s="209" t="str">
        <f t="shared" si="124"/>
        <v/>
      </c>
      <c r="AS615" s="202" t="str">
        <f t="shared" si="125"/>
        <v/>
      </c>
      <c r="AT615" s="202" t="str">
        <f t="shared" si="126"/>
        <v/>
      </c>
      <c r="AU615" s="208"/>
      <c r="AV615" s="208"/>
      <c r="AW615" s="208"/>
      <c r="AX615" s="208"/>
      <c r="AY615" s="208"/>
      <c r="AZ615" s="208"/>
      <c r="BA615" s="208"/>
      <c r="BB615" s="208"/>
      <c r="BC615" s="208"/>
      <c r="BD615" s="208"/>
      <c r="BE615" s="208"/>
      <c r="BF615" s="208"/>
      <c r="BG615" s="28"/>
      <c r="BH615" s="28"/>
      <c r="BI615" s="28"/>
      <c r="BJ615" s="28"/>
    </row>
    <row r="616" spans="1:62" s="23" customFormat="1" ht="21" customHeight="1" thickBot="1" x14ac:dyDescent="0.25">
      <c r="A616" s="846" t="str">
        <f>IF($AN616="","",IFERROR(VLOOKUP(CONCATENATE(CTR1_Billing!$E$20,$AN616),'Local Data Previous Year'!$C$3:$D$20000,2,0),CTR1_Billing!$E$21&amp;"NEW"))</f>
        <v/>
      </c>
      <c r="B616" s="846" t="str">
        <f>IF($E616="","",IFERROR(VLOOKUP(CONCATENATE(CTR1_Billing!$E$20,CTR1_Local!$E616),'Local Data Previous Year'!$C$3:$D$20000,2,0),CTR1_Billing!$E$21&amp;"NEW"))</f>
        <v/>
      </c>
      <c r="C616" s="846">
        <v>584</v>
      </c>
      <c r="D616" s="755" t="str" cm="1">
        <f t="array" ref="D616">IF(ISERROR(INDEX('Local Data Previous Year'!$D$3:$D$20000,SMALL(IF(CTR1_Billing!$E$21='Local Data Previous Year'!$A$3:$A$20000,ROW('Local Data Previous Year'!$A$3:$A$20000)-ROW('Local Data Previous Year'!$A$3)+1),ROW(584:584)))),"",INDEX('Local Data Previous Year'!$D$3:$D$20000,SMALL(IF(CTR1_Billing!$E$21='Local Data Previous Year'!$A$3:$A$20000,ROW('Local Data Previous Year'!$A$3:$A$20000)-ROW('Local Data Previous Year'!$A$3)+1),ROW(584:584))))</f>
        <v/>
      </c>
      <c r="E616" s="755" t="str" cm="1">
        <f t="array" ref="E616">IF(ISERROR(INDEX('Local Data Previous Year'!$E$3:$E$20000,SMALL(IF(CTR1_Billing!$E$21='Local Data Previous Year'!$A$3:$A$20000,ROW('Local Data Previous Year'!$A$3:$A$20000)-ROW('Local Data Previous Year'!$A$3)+1),ROW(584:584)))),"",INDEX('Local Data Previous Year'!$E$3:$E$20000,SMALL(IF(CTR1_Billing!$E$21='Local Data Previous Year'!$A$3:$A$20000,ROW('Local Data Previous Year'!$A$3:$A$20000)-ROW('Local Data Previous Year'!$A$3)+1),ROW(584:584))))</f>
        <v/>
      </c>
      <c r="F616" s="756" t="str">
        <f>IF($D616="","",IF(ISNA(MATCH($D616,'Local Data Previous Year'!$D$3:$D$20000,0)),"New",IFERROR(VLOOKUP($B616,'Local Data Previous Year'!$D$3:$I$20000,6,0),"")))</f>
        <v/>
      </c>
      <c r="G616" s="757">
        <f t="shared" si="112"/>
        <v>0</v>
      </c>
      <c r="H616" s="758" t="str">
        <f>IFERROR(INDEX('Local Data Previous Year'!$F:$F, MATCH($D616, 'Local Data Previous Year'!$D:$D, 0)), "")</f>
        <v/>
      </c>
      <c r="I616" s="759">
        <f>IF(B616=CTR1_Billing!$E$21&amp;"NEW",1,0)</f>
        <v>0</v>
      </c>
      <c r="J616" s="760" t="str">
        <f>IFERROR(INDEX('Local Data Previous Year'!$G:$G, MATCH($D616, 'Local Data Previous Year'!$D:$D, 0)), "")</f>
        <v/>
      </c>
      <c r="K616" s="762"/>
      <c r="L616" s="760" t="str">
        <f>IFERROR(INDEX('Local Data Previous Year'!$H:$H, MATCH($D616, 'Local Data Previous Year'!$D:$D, 0)), "")</f>
        <v/>
      </c>
      <c r="M616" s="762"/>
      <c r="N616" s="763"/>
      <c r="O616" s="767"/>
      <c r="P616" s="765"/>
      <c r="Q616" s="767"/>
      <c r="R616" s="766" t="str">
        <f t="shared" si="127"/>
        <v/>
      </c>
      <c r="S616" s="754"/>
      <c r="T616" s="763"/>
      <c r="U616" s="754"/>
      <c r="V616" s="763"/>
      <c r="W616" s="763"/>
      <c r="X616" s="865" t="str">
        <f>VLOOKUP(CTR1_Billing!$E$21,Data!$C$6:$D$302,1,FALSE)</f>
        <v>EZZZZ</v>
      </c>
      <c r="Y616" s="205"/>
      <c r="Z616" s="205">
        <f t="shared" si="119"/>
        <v>0</v>
      </c>
      <c r="AA616" s="206" t="str">
        <f t="shared" si="118"/>
        <v/>
      </c>
      <c r="AB616" s="205">
        <f t="shared" si="120"/>
        <v>0</v>
      </c>
      <c r="AC616" s="208"/>
      <c r="AD616" s="208"/>
      <c r="AE616" s="208"/>
      <c r="AF616" s="208"/>
      <c r="AG616" s="209" t="str">
        <f>IFERROR(INDEX('Local Data Previous Year'!$F:$F, MATCH($D616, 'Local Data Previous Year'!$D:$D, 0)), "")</f>
        <v/>
      </c>
      <c r="AH616" s="209" t="str">
        <f>IFERROR(INDEX('Local Data Previous Year'!$G:$G, MATCH($D616, 'Local Data Previous Year'!$D:$D, 0)), "")</f>
        <v/>
      </c>
      <c r="AI616" s="209" t="str">
        <f>IFERROR(INDEX('Local Data Previous Year'!$H:$H, MATCH($D616, 'Local Data Previous Year'!$D:$D, 0)), "")</f>
        <v/>
      </c>
      <c r="AJ616" s="209" t="str">
        <f t="shared" si="121"/>
        <v/>
      </c>
      <c r="AK616" s="209" t="str">
        <f t="shared" si="116"/>
        <v/>
      </c>
      <c r="AL616" s="209" t="str">
        <f t="shared" si="117"/>
        <v/>
      </c>
      <c r="AM616" s="208" t="str">
        <f>IF($AN616="","",IFERROR(VLOOKUP(CONCATENATE(CTR1_Billing!$E$20,$AN616),'Local Data Previous Year'!$C$3:$D$50000,2,0),CTR1_Billing!$E$21&amp;"NEW"))</f>
        <v/>
      </c>
      <c r="AN616" s="209" t="str" cm="1">
        <f t="array" ref="AN616">IF(ISERROR(INDEX('Local Data Previous Year'!$E$3:$E$50000, SMALL(IF(CTR1_Billing!$E$21='Local Data Previous Year'!$A$3:$A$50000, ROW('Local Data Previous Year'!$A$3:$A$50000)-ROW('Local Data Previous Year'!$A$3)+1), ROW(584:584)))), "", INDEX('Local Data Previous Year'!$E$3:$E$50000, SMALL(IF(CTR1_Billing!$E$21='Local Data Previous Year'!$A$3:$A$50000, ROW('Local Data Previous Year'!$A$3:$A$50000)-ROW('Local Data Previous Year'!$A$3)+1), ROW(584:584))))</f>
        <v/>
      </c>
      <c r="AO616" s="209" t="str">
        <f t="shared" si="122"/>
        <v/>
      </c>
      <c r="AP616" s="208"/>
      <c r="AQ616" s="209" t="str">
        <f t="shared" si="123"/>
        <v/>
      </c>
      <c r="AR616" s="209" t="str">
        <f t="shared" si="124"/>
        <v/>
      </c>
      <c r="AS616" s="202" t="str">
        <f t="shared" si="125"/>
        <v/>
      </c>
      <c r="AT616" s="202" t="str">
        <f t="shared" si="126"/>
        <v/>
      </c>
      <c r="AU616" s="208"/>
      <c r="AV616" s="208"/>
      <c r="AW616" s="208"/>
      <c r="AX616" s="208"/>
      <c r="AY616" s="208"/>
      <c r="AZ616" s="208"/>
      <c r="BA616" s="208"/>
      <c r="BB616" s="208"/>
      <c r="BC616" s="208"/>
      <c r="BD616" s="208"/>
      <c r="BE616" s="208"/>
      <c r="BF616" s="208"/>
      <c r="BG616" s="28"/>
      <c r="BH616" s="28"/>
      <c r="BI616" s="28"/>
      <c r="BJ616" s="28"/>
    </row>
    <row r="617" spans="1:62" s="23" customFormat="1" ht="21" customHeight="1" thickBot="1" x14ac:dyDescent="0.25">
      <c r="A617" s="846" t="str">
        <f>IF($AN617="","",IFERROR(VLOOKUP(CONCATENATE(CTR1_Billing!$E$20,$AN617),'Local Data Previous Year'!$C$3:$D$20000,2,0),CTR1_Billing!$E$21&amp;"NEW"))</f>
        <v/>
      </c>
      <c r="B617" s="846" t="str">
        <f>IF($E617="","",IFERROR(VLOOKUP(CONCATENATE(CTR1_Billing!$E$20,CTR1_Local!$E617),'Local Data Previous Year'!$C$3:$D$20000,2,0),CTR1_Billing!$E$21&amp;"NEW"))</f>
        <v/>
      </c>
      <c r="C617" s="846">
        <v>585</v>
      </c>
      <c r="D617" s="755" t="str" cm="1">
        <f t="array" ref="D617">IF(ISERROR(INDEX('Local Data Previous Year'!$D$3:$D$20000,SMALL(IF(CTR1_Billing!$E$21='Local Data Previous Year'!$A$3:$A$20000,ROW('Local Data Previous Year'!$A$3:$A$20000)-ROW('Local Data Previous Year'!$A$3)+1),ROW(585:585)))),"",INDEX('Local Data Previous Year'!$D$3:$D$20000,SMALL(IF(CTR1_Billing!$E$21='Local Data Previous Year'!$A$3:$A$20000,ROW('Local Data Previous Year'!$A$3:$A$20000)-ROW('Local Data Previous Year'!$A$3)+1),ROW(585:585))))</f>
        <v/>
      </c>
      <c r="E617" s="755" t="str" cm="1">
        <f t="array" ref="E617">IF(ISERROR(INDEX('Local Data Previous Year'!$E$3:$E$20000,SMALL(IF(CTR1_Billing!$E$21='Local Data Previous Year'!$A$3:$A$20000,ROW('Local Data Previous Year'!$A$3:$A$20000)-ROW('Local Data Previous Year'!$A$3)+1),ROW(585:585)))),"",INDEX('Local Data Previous Year'!$E$3:$E$20000,SMALL(IF(CTR1_Billing!$E$21='Local Data Previous Year'!$A$3:$A$20000,ROW('Local Data Previous Year'!$A$3:$A$20000)-ROW('Local Data Previous Year'!$A$3)+1),ROW(585:585))))</f>
        <v/>
      </c>
      <c r="F617" s="756" t="str">
        <f>IF($D617="","",IF(ISNA(MATCH($D617,'Local Data Previous Year'!$D$3:$D$20000,0)),"New",IFERROR(VLOOKUP($B617,'Local Data Previous Year'!$D$3:$I$20000,6,0),"")))</f>
        <v/>
      </c>
      <c r="G617" s="757">
        <f t="shared" si="112"/>
        <v>0</v>
      </c>
      <c r="H617" s="758" t="str">
        <f>IFERROR(INDEX('Local Data Previous Year'!$F:$F, MATCH($D617, 'Local Data Previous Year'!$D:$D, 0)), "")</f>
        <v/>
      </c>
      <c r="I617" s="759">
        <f>IF(B617=CTR1_Billing!$E$21&amp;"NEW",1,0)</f>
        <v>0</v>
      </c>
      <c r="J617" s="760" t="str">
        <f>IFERROR(INDEX('Local Data Previous Year'!$G:$G, MATCH($D617, 'Local Data Previous Year'!$D:$D, 0)), "")</f>
        <v/>
      </c>
      <c r="K617" s="762"/>
      <c r="L617" s="760" t="str">
        <f>IFERROR(INDEX('Local Data Previous Year'!$H:$H, MATCH($D617, 'Local Data Previous Year'!$D:$D, 0)), "")</f>
        <v/>
      </c>
      <c r="M617" s="762"/>
      <c r="N617" s="763"/>
      <c r="O617" s="767"/>
      <c r="P617" s="765"/>
      <c r="Q617" s="767"/>
      <c r="R617" s="766" t="str">
        <f t="shared" si="127"/>
        <v/>
      </c>
      <c r="S617" s="754"/>
      <c r="T617" s="763"/>
      <c r="U617" s="754"/>
      <c r="V617" s="763"/>
      <c r="W617" s="763"/>
      <c r="X617" s="865" t="str">
        <f>VLOOKUP(CTR1_Billing!$E$21,Data!$C$6:$D$302,1,FALSE)</f>
        <v>EZZZZ</v>
      </c>
      <c r="Y617" s="205"/>
      <c r="Z617" s="205">
        <f t="shared" si="119"/>
        <v>0</v>
      </c>
      <c r="AA617" s="206" t="str">
        <f t="shared" si="118"/>
        <v/>
      </c>
      <c r="AB617" s="205">
        <f t="shared" si="120"/>
        <v>0</v>
      </c>
      <c r="AC617" s="208"/>
      <c r="AD617" s="208"/>
      <c r="AE617" s="208"/>
      <c r="AF617" s="208"/>
      <c r="AG617" s="209" t="str">
        <f>IFERROR(INDEX('Local Data Previous Year'!$F:$F, MATCH($D617, 'Local Data Previous Year'!$D:$D, 0)), "")</f>
        <v/>
      </c>
      <c r="AH617" s="209" t="str">
        <f>IFERROR(INDEX('Local Data Previous Year'!$G:$G, MATCH($D617, 'Local Data Previous Year'!$D:$D, 0)), "")</f>
        <v/>
      </c>
      <c r="AI617" s="209" t="str">
        <f>IFERROR(INDEX('Local Data Previous Year'!$H:$H, MATCH($D617, 'Local Data Previous Year'!$D:$D, 0)), "")</f>
        <v/>
      </c>
      <c r="AJ617" s="209" t="str">
        <f t="shared" si="121"/>
        <v/>
      </c>
      <c r="AK617" s="209" t="str">
        <f t="shared" si="116"/>
        <v/>
      </c>
      <c r="AL617" s="209" t="str">
        <f t="shared" si="117"/>
        <v/>
      </c>
      <c r="AM617" s="208" t="str">
        <f>IF($AN617="","",IFERROR(VLOOKUP(CONCATENATE(CTR1_Billing!$E$20,$AN617),'Local Data Previous Year'!$C$3:$D$50000,2,0),CTR1_Billing!$E$21&amp;"NEW"))</f>
        <v/>
      </c>
      <c r="AN617" s="209" t="str" cm="1">
        <f t="array" ref="AN617">IF(ISERROR(INDEX('Local Data Previous Year'!$E$3:$E$50000, SMALL(IF(CTR1_Billing!$E$21='Local Data Previous Year'!$A$3:$A$50000, ROW('Local Data Previous Year'!$A$3:$A$50000)-ROW('Local Data Previous Year'!$A$3)+1), ROW(585:585)))), "", INDEX('Local Data Previous Year'!$E$3:$E$50000, SMALL(IF(CTR1_Billing!$E$21='Local Data Previous Year'!$A$3:$A$50000, ROW('Local Data Previous Year'!$A$3:$A$50000)-ROW('Local Data Previous Year'!$A$3)+1), ROW(585:585))))</f>
        <v/>
      </c>
      <c r="AO617" s="209" t="str">
        <f t="shared" si="122"/>
        <v/>
      </c>
      <c r="AP617" s="208"/>
      <c r="AQ617" s="209" t="str">
        <f t="shared" si="123"/>
        <v/>
      </c>
      <c r="AR617" s="209" t="str">
        <f t="shared" si="124"/>
        <v/>
      </c>
      <c r="AS617" s="202" t="str">
        <f t="shared" si="125"/>
        <v/>
      </c>
      <c r="AT617" s="202" t="str">
        <f t="shared" si="126"/>
        <v/>
      </c>
      <c r="AU617" s="208"/>
      <c r="AV617" s="208"/>
      <c r="AW617" s="208"/>
      <c r="AX617" s="208"/>
      <c r="AY617" s="208"/>
      <c r="AZ617" s="208"/>
      <c r="BA617" s="208"/>
      <c r="BB617" s="208"/>
      <c r="BC617" s="208"/>
      <c r="BD617" s="208"/>
      <c r="BE617" s="208"/>
      <c r="BF617" s="208"/>
      <c r="BG617" s="28"/>
      <c r="BH617" s="28"/>
      <c r="BI617" s="28"/>
      <c r="BJ617" s="28"/>
    </row>
    <row r="618" spans="1:62" s="23" customFormat="1" ht="21" customHeight="1" thickBot="1" x14ac:dyDescent="0.25">
      <c r="A618" s="846" t="str">
        <f>IF($AN618="","",IFERROR(VLOOKUP(CONCATENATE(CTR1_Billing!$E$20,$AN618),'Local Data Previous Year'!$C$3:$D$20000,2,0),CTR1_Billing!$E$21&amp;"NEW"))</f>
        <v/>
      </c>
      <c r="B618" s="846" t="str">
        <f>IF($E618="","",IFERROR(VLOOKUP(CONCATENATE(CTR1_Billing!$E$20,CTR1_Local!$E618),'Local Data Previous Year'!$C$3:$D$20000,2,0),CTR1_Billing!$E$21&amp;"NEW"))</f>
        <v/>
      </c>
      <c r="C618" s="846">
        <v>586</v>
      </c>
      <c r="D618" s="755" t="str" cm="1">
        <f t="array" ref="D618">IF(ISERROR(INDEX('Local Data Previous Year'!$D$3:$D$20000,SMALL(IF(CTR1_Billing!$E$21='Local Data Previous Year'!$A$3:$A$20000,ROW('Local Data Previous Year'!$A$3:$A$20000)-ROW('Local Data Previous Year'!$A$3)+1),ROW(586:586)))),"",INDEX('Local Data Previous Year'!$D$3:$D$20000,SMALL(IF(CTR1_Billing!$E$21='Local Data Previous Year'!$A$3:$A$20000,ROW('Local Data Previous Year'!$A$3:$A$20000)-ROW('Local Data Previous Year'!$A$3)+1),ROW(586:586))))</f>
        <v/>
      </c>
      <c r="E618" s="755" t="str" cm="1">
        <f t="array" ref="E618">IF(ISERROR(INDEX('Local Data Previous Year'!$E$3:$E$20000,SMALL(IF(CTR1_Billing!$E$21='Local Data Previous Year'!$A$3:$A$20000,ROW('Local Data Previous Year'!$A$3:$A$20000)-ROW('Local Data Previous Year'!$A$3)+1),ROW(586:586)))),"",INDEX('Local Data Previous Year'!$E$3:$E$20000,SMALL(IF(CTR1_Billing!$E$21='Local Data Previous Year'!$A$3:$A$20000,ROW('Local Data Previous Year'!$A$3:$A$20000)-ROW('Local Data Previous Year'!$A$3)+1),ROW(586:586))))</f>
        <v/>
      </c>
      <c r="F618" s="756" t="str">
        <f>IF($D618="","",IF(ISNA(MATCH($D618,'Local Data Previous Year'!$D$3:$D$20000,0)),"New",IFERROR(VLOOKUP($B618,'Local Data Previous Year'!$D$3:$I$20000,6,0),"")))</f>
        <v/>
      </c>
      <c r="G618" s="757">
        <f t="shared" si="112"/>
        <v>0</v>
      </c>
      <c r="H618" s="758" t="str">
        <f>IFERROR(INDEX('Local Data Previous Year'!$F:$F, MATCH($D618, 'Local Data Previous Year'!$D:$D, 0)), "")</f>
        <v/>
      </c>
      <c r="I618" s="759">
        <f>IF(B618=CTR1_Billing!$E$21&amp;"NEW",1,0)</f>
        <v>0</v>
      </c>
      <c r="J618" s="760" t="str">
        <f>IFERROR(INDEX('Local Data Previous Year'!$G:$G, MATCH($D618, 'Local Data Previous Year'!$D:$D, 0)), "")</f>
        <v/>
      </c>
      <c r="K618" s="762"/>
      <c r="L618" s="760" t="str">
        <f>IFERROR(INDEX('Local Data Previous Year'!$H:$H, MATCH($D618, 'Local Data Previous Year'!$D:$D, 0)), "")</f>
        <v/>
      </c>
      <c r="M618" s="762"/>
      <c r="N618" s="763"/>
      <c r="O618" s="767"/>
      <c r="P618" s="765"/>
      <c r="Q618" s="767"/>
      <c r="R618" s="766" t="str">
        <f t="shared" si="127"/>
        <v/>
      </c>
      <c r="S618" s="754"/>
      <c r="T618" s="763"/>
      <c r="U618" s="754"/>
      <c r="V618" s="763"/>
      <c r="W618" s="763"/>
      <c r="X618" s="865" t="str">
        <f>VLOOKUP(CTR1_Billing!$E$21,Data!$C$6:$D$302,1,FALSE)</f>
        <v>EZZZZ</v>
      </c>
      <c r="Y618" s="205"/>
      <c r="Z618" s="205">
        <f t="shared" si="119"/>
        <v>0</v>
      </c>
      <c r="AA618" s="206" t="str">
        <f t="shared" si="118"/>
        <v/>
      </c>
      <c r="AB618" s="205">
        <f t="shared" si="120"/>
        <v>0</v>
      </c>
      <c r="AC618" s="208"/>
      <c r="AD618" s="208"/>
      <c r="AE618" s="208"/>
      <c r="AF618" s="208"/>
      <c r="AG618" s="209" t="str">
        <f>IFERROR(INDEX('Local Data Previous Year'!$F:$F, MATCH($D618, 'Local Data Previous Year'!$D:$D, 0)), "")</f>
        <v/>
      </c>
      <c r="AH618" s="209" t="str">
        <f>IFERROR(INDEX('Local Data Previous Year'!$G:$G, MATCH($D618, 'Local Data Previous Year'!$D:$D, 0)), "")</f>
        <v/>
      </c>
      <c r="AI618" s="209" t="str">
        <f>IFERROR(INDEX('Local Data Previous Year'!$H:$H, MATCH($D618, 'Local Data Previous Year'!$D:$D, 0)), "")</f>
        <v/>
      </c>
      <c r="AJ618" s="209" t="str">
        <f t="shared" si="121"/>
        <v/>
      </c>
      <c r="AK618" s="209" t="str">
        <f t="shared" si="116"/>
        <v/>
      </c>
      <c r="AL618" s="209" t="str">
        <f t="shared" si="117"/>
        <v/>
      </c>
      <c r="AM618" s="208" t="str">
        <f>IF($AN618="","",IFERROR(VLOOKUP(CONCATENATE(CTR1_Billing!$E$20,$AN618),'Local Data Previous Year'!$C$3:$D$50000,2,0),CTR1_Billing!$E$21&amp;"NEW"))</f>
        <v/>
      </c>
      <c r="AN618" s="209" t="str" cm="1">
        <f t="array" ref="AN618">IF(ISERROR(INDEX('Local Data Previous Year'!$E$3:$E$50000, SMALL(IF(CTR1_Billing!$E$21='Local Data Previous Year'!$A$3:$A$50000, ROW('Local Data Previous Year'!$A$3:$A$50000)-ROW('Local Data Previous Year'!$A$3)+1), ROW(586:586)))), "", INDEX('Local Data Previous Year'!$E$3:$E$50000, SMALL(IF(CTR1_Billing!$E$21='Local Data Previous Year'!$A$3:$A$50000, ROW('Local Data Previous Year'!$A$3:$A$50000)-ROW('Local Data Previous Year'!$A$3)+1), ROW(586:586))))</f>
        <v/>
      </c>
      <c r="AO618" s="209" t="str">
        <f t="shared" si="122"/>
        <v/>
      </c>
      <c r="AP618" s="208"/>
      <c r="AQ618" s="209" t="str">
        <f t="shared" si="123"/>
        <v/>
      </c>
      <c r="AR618" s="209" t="str">
        <f t="shared" si="124"/>
        <v/>
      </c>
      <c r="AS618" s="202" t="str">
        <f t="shared" si="125"/>
        <v/>
      </c>
      <c r="AT618" s="202" t="str">
        <f t="shared" si="126"/>
        <v/>
      </c>
      <c r="AU618" s="208"/>
      <c r="AV618" s="208"/>
      <c r="AW618" s="208"/>
      <c r="AX618" s="208"/>
      <c r="AY618" s="208"/>
      <c r="AZ618" s="208"/>
      <c r="BA618" s="208"/>
      <c r="BB618" s="208"/>
      <c r="BC618" s="208"/>
      <c r="BD618" s="208"/>
      <c r="BE618" s="208"/>
      <c r="BF618" s="208"/>
      <c r="BG618" s="28"/>
      <c r="BH618" s="28"/>
      <c r="BI618" s="28"/>
      <c r="BJ618" s="28"/>
    </row>
    <row r="619" spans="1:62" s="23" customFormat="1" ht="21" customHeight="1" thickBot="1" x14ac:dyDescent="0.25">
      <c r="A619" s="846" t="str">
        <f>IF($AN619="","",IFERROR(VLOOKUP(CONCATENATE(CTR1_Billing!$E$20,$AN619),'Local Data Previous Year'!$C$3:$D$20000,2,0),CTR1_Billing!$E$21&amp;"NEW"))</f>
        <v/>
      </c>
      <c r="B619" s="846" t="str">
        <f>IF($E619="","",IFERROR(VLOOKUP(CONCATENATE(CTR1_Billing!$E$20,CTR1_Local!$E619),'Local Data Previous Year'!$C$3:$D$20000,2,0),CTR1_Billing!$E$21&amp;"NEW"))</f>
        <v/>
      </c>
      <c r="C619" s="846">
        <v>587</v>
      </c>
      <c r="D619" s="755" t="str" cm="1">
        <f t="array" ref="D619">IF(ISERROR(INDEX('Local Data Previous Year'!$D$3:$D$20000,SMALL(IF(CTR1_Billing!$E$21='Local Data Previous Year'!$A$3:$A$20000,ROW('Local Data Previous Year'!$A$3:$A$20000)-ROW('Local Data Previous Year'!$A$3)+1),ROW(587:587)))),"",INDEX('Local Data Previous Year'!$D$3:$D$20000,SMALL(IF(CTR1_Billing!$E$21='Local Data Previous Year'!$A$3:$A$20000,ROW('Local Data Previous Year'!$A$3:$A$20000)-ROW('Local Data Previous Year'!$A$3)+1),ROW(587:587))))</f>
        <v/>
      </c>
      <c r="E619" s="755" t="str" cm="1">
        <f t="array" ref="E619">IF(ISERROR(INDEX('Local Data Previous Year'!$E$3:$E$20000,SMALL(IF(CTR1_Billing!$E$21='Local Data Previous Year'!$A$3:$A$20000,ROW('Local Data Previous Year'!$A$3:$A$20000)-ROW('Local Data Previous Year'!$A$3)+1),ROW(587:587)))),"",INDEX('Local Data Previous Year'!$E$3:$E$20000,SMALL(IF(CTR1_Billing!$E$21='Local Data Previous Year'!$A$3:$A$20000,ROW('Local Data Previous Year'!$A$3:$A$20000)-ROW('Local Data Previous Year'!$A$3)+1),ROW(587:587))))</f>
        <v/>
      </c>
      <c r="F619" s="756" t="str">
        <f>IF($D619="","",IF(ISNA(MATCH($D619,'Local Data Previous Year'!$D$3:$D$20000,0)),"New",IFERROR(VLOOKUP($B619,'Local Data Previous Year'!$D$3:$I$20000,6,0),"")))</f>
        <v/>
      </c>
      <c r="G619" s="757">
        <f t="shared" si="112"/>
        <v>0</v>
      </c>
      <c r="H619" s="758" t="str">
        <f>IFERROR(INDEX('Local Data Previous Year'!$F:$F, MATCH($D619, 'Local Data Previous Year'!$D:$D, 0)), "")</f>
        <v/>
      </c>
      <c r="I619" s="759">
        <f>IF(B619=CTR1_Billing!$E$21&amp;"NEW",1,0)</f>
        <v>0</v>
      </c>
      <c r="J619" s="760" t="str">
        <f>IFERROR(INDEX('Local Data Previous Year'!$G:$G, MATCH($D619, 'Local Data Previous Year'!$D:$D, 0)), "")</f>
        <v/>
      </c>
      <c r="K619" s="762"/>
      <c r="L619" s="760" t="str">
        <f>IFERROR(INDEX('Local Data Previous Year'!$H:$H, MATCH($D619, 'Local Data Previous Year'!$D:$D, 0)), "")</f>
        <v/>
      </c>
      <c r="M619" s="762"/>
      <c r="N619" s="763"/>
      <c r="O619" s="767"/>
      <c r="P619" s="765"/>
      <c r="Q619" s="767"/>
      <c r="R619" s="766" t="str">
        <f t="shared" si="127"/>
        <v/>
      </c>
      <c r="S619" s="754"/>
      <c r="T619" s="763"/>
      <c r="U619" s="754"/>
      <c r="V619" s="763"/>
      <c r="W619" s="763"/>
      <c r="X619" s="865" t="str">
        <f>VLOOKUP(CTR1_Billing!$E$21,Data!$C$6:$D$302,1,FALSE)</f>
        <v>EZZZZ</v>
      </c>
      <c r="Y619" s="205"/>
      <c r="Z619" s="205">
        <f t="shared" si="119"/>
        <v>0</v>
      </c>
      <c r="AA619" s="206" t="str">
        <f t="shared" si="118"/>
        <v/>
      </c>
      <c r="AB619" s="205">
        <f t="shared" si="120"/>
        <v>0</v>
      </c>
      <c r="AC619" s="208"/>
      <c r="AD619" s="208"/>
      <c r="AE619" s="208"/>
      <c r="AF619" s="208"/>
      <c r="AG619" s="209" t="str">
        <f>IFERROR(INDEX('Local Data Previous Year'!$F:$F, MATCH($D619, 'Local Data Previous Year'!$D:$D, 0)), "")</f>
        <v/>
      </c>
      <c r="AH619" s="209" t="str">
        <f>IFERROR(INDEX('Local Data Previous Year'!$G:$G, MATCH($D619, 'Local Data Previous Year'!$D:$D, 0)), "")</f>
        <v/>
      </c>
      <c r="AI619" s="209" t="str">
        <f>IFERROR(INDEX('Local Data Previous Year'!$H:$H, MATCH($D619, 'Local Data Previous Year'!$D:$D, 0)), "")</f>
        <v/>
      </c>
      <c r="AJ619" s="209" t="str">
        <f t="shared" si="121"/>
        <v/>
      </c>
      <c r="AK619" s="209" t="str">
        <f t="shared" si="116"/>
        <v/>
      </c>
      <c r="AL619" s="209" t="str">
        <f t="shared" si="117"/>
        <v/>
      </c>
      <c r="AM619" s="208" t="str">
        <f>IF($AN619="","",IFERROR(VLOOKUP(CONCATENATE(CTR1_Billing!$E$20,$AN619),'Local Data Previous Year'!$C$3:$D$50000,2,0),CTR1_Billing!$E$21&amp;"NEW"))</f>
        <v/>
      </c>
      <c r="AN619" s="209" t="str" cm="1">
        <f t="array" ref="AN619">IF(ISERROR(INDEX('Local Data Previous Year'!$E$3:$E$50000, SMALL(IF(CTR1_Billing!$E$21='Local Data Previous Year'!$A$3:$A$50000, ROW('Local Data Previous Year'!$A$3:$A$50000)-ROW('Local Data Previous Year'!$A$3)+1), ROW(587:587)))), "", INDEX('Local Data Previous Year'!$E$3:$E$50000, SMALL(IF(CTR1_Billing!$E$21='Local Data Previous Year'!$A$3:$A$50000, ROW('Local Data Previous Year'!$A$3:$A$50000)-ROW('Local Data Previous Year'!$A$3)+1), ROW(587:587))))</f>
        <v/>
      </c>
      <c r="AO619" s="209" t="str">
        <f t="shared" si="122"/>
        <v/>
      </c>
      <c r="AP619" s="208"/>
      <c r="AQ619" s="209" t="str">
        <f t="shared" si="123"/>
        <v/>
      </c>
      <c r="AR619" s="209" t="str">
        <f t="shared" si="124"/>
        <v/>
      </c>
      <c r="AS619" s="202" t="str">
        <f t="shared" si="125"/>
        <v/>
      </c>
      <c r="AT619" s="202" t="str">
        <f t="shared" si="126"/>
        <v/>
      </c>
      <c r="AU619" s="208"/>
      <c r="AV619" s="208"/>
      <c r="AW619" s="208"/>
      <c r="AX619" s="208"/>
      <c r="AY619" s="208"/>
      <c r="AZ619" s="208"/>
      <c r="BA619" s="208"/>
      <c r="BB619" s="208"/>
      <c r="BC619" s="208"/>
      <c r="BD619" s="208"/>
      <c r="BE619" s="208"/>
      <c r="BF619" s="208"/>
      <c r="BG619" s="28"/>
      <c r="BH619" s="28"/>
      <c r="BI619" s="28"/>
      <c r="BJ619" s="28"/>
    </row>
    <row r="620" spans="1:62" s="23" customFormat="1" ht="21" customHeight="1" thickBot="1" x14ac:dyDescent="0.25">
      <c r="A620" s="846" t="str">
        <f>IF($AN620="","",IFERROR(VLOOKUP(CONCATENATE(CTR1_Billing!$E$20,$AN620),'Local Data Previous Year'!$C$3:$D$20000,2,0),CTR1_Billing!$E$21&amp;"NEW"))</f>
        <v/>
      </c>
      <c r="B620" s="846" t="str">
        <f>IF($E620="","",IFERROR(VLOOKUP(CONCATENATE(CTR1_Billing!$E$20,CTR1_Local!$E620),'Local Data Previous Year'!$C$3:$D$20000,2,0),CTR1_Billing!$E$21&amp;"NEW"))</f>
        <v/>
      </c>
      <c r="C620" s="846">
        <v>588</v>
      </c>
      <c r="D620" s="755" t="str" cm="1">
        <f t="array" ref="D620">IF(ISERROR(INDEX('Local Data Previous Year'!$D$3:$D$20000,SMALL(IF(CTR1_Billing!$E$21='Local Data Previous Year'!$A$3:$A$20000,ROW('Local Data Previous Year'!$A$3:$A$20000)-ROW('Local Data Previous Year'!$A$3)+1),ROW(588:588)))),"",INDEX('Local Data Previous Year'!$D$3:$D$20000,SMALL(IF(CTR1_Billing!$E$21='Local Data Previous Year'!$A$3:$A$20000,ROW('Local Data Previous Year'!$A$3:$A$20000)-ROW('Local Data Previous Year'!$A$3)+1),ROW(588:588))))</f>
        <v/>
      </c>
      <c r="E620" s="755" t="str" cm="1">
        <f t="array" ref="E620">IF(ISERROR(INDEX('Local Data Previous Year'!$E$3:$E$20000,SMALL(IF(CTR1_Billing!$E$21='Local Data Previous Year'!$A$3:$A$20000,ROW('Local Data Previous Year'!$A$3:$A$20000)-ROW('Local Data Previous Year'!$A$3)+1),ROW(588:588)))),"",INDEX('Local Data Previous Year'!$E$3:$E$20000,SMALL(IF(CTR1_Billing!$E$21='Local Data Previous Year'!$A$3:$A$20000,ROW('Local Data Previous Year'!$A$3:$A$20000)-ROW('Local Data Previous Year'!$A$3)+1),ROW(588:588))))</f>
        <v/>
      </c>
      <c r="F620" s="756" t="str">
        <f>IF($D620="","",IF(ISNA(MATCH($D620,'Local Data Previous Year'!$D$3:$D$20000,0)),"New",IFERROR(VLOOKUP($B620,'Local Data Previous Year'!$D$3:$I$20000,6,0),"")))</f>
        <v/>
      </c>
      <c r="G620" s="757">
        <f t="shared" si="112"/>
        <v>0</v>
      </c>
      <c r="H620" s="758" t="str">
        <f>IFERROR(INDEX('Local Data Previous Year'!$F:$F, MATCH($D620, 'Local Data Previous Year'!$D:$D, 0)), "")</f>
        <v/>
      </c>
      <c r="I620" s="759">
        <f>IF(B620=CTR1_Billing!$E$21&amp;"NEW",1,0)</f>
        <v>0</v>
      </c>
      <c r="J620" s="760" t="str">
        <f>IFERROR(INDEX('Local Data Previous Year'!$G:$G, MATCH($D620, 'Local Data Previous Year'!$D:$D, 0)), "")</f>
        <v/>
      </c>
      <c r="K620" s="762"/>
      <c r="L620" s="760" t="str">
        <f>IFERROR(INDEX('Local Data Previous Year'!$H:$H, MATCH($D620, 'Local Data Previous Year'!$D:$D, 0)), "")</f>
        <v/>
      </c>
      <c r="M620" s="762"/>
      <c r="N620" s="763"/>
      <c r="O620" s="767"/>
      <c r="P620" s="765"/>
      <c r="Q620" s="767"/>
      <c r="R620" s="766" t="str">
        <f t="shared" si="127"/>
        <v/>
      </c>
      <c r="S620" s="754"/>
      <c r="T620" s="763"/>
      <c r="U620" s="754"/>
      <c r="V620" s="763"/>
      <c r="W620" s="763"/>
      <c r="X620" s="865" t="str">
        <f>VLOOKUP(CTR1_Billing!$E$21,Data!$C$6:$D$302,1,FALSE)</f>
        <v>EZZZZ</v>
      </c>
      <c r="Y620" s="205"/>
      <c r="Z620" s="205">
        <f t="shared" si="119"/>
        <v>0</v>
      </c>
      <c r="AA620" s="206" t="str">
        <f t="shared" si="118"/>
        <v/>
      </c>
      <c r="AB620" s="205">
        <f t="shared" si="120"/>
        <v>0</v>
      </c>
      <c r="AC620" s="208"/>
      <c r="AD620" s="208"/>
      <c r="AE620" s="208"/>
      <c r="AF620" s="208"/>
      <c r="AG620" s="209" t="str">
        <f>IFERROR(INDEX('Local Data Previous Year'!$F:$F, MATCH($D620, 'Local Data Previous Year'!$D:$D, 0)), "")</f>
        <v/>
      </c>
      <c r="AH620" s="209" t="str">
        <f>IFERROR(INDEX('Local Data Previous Year'!$G:$G, MATCH($D620, 'Local Data Previous Year'!$D:$D, 0)), "")</f>
        <v/>
      </c>
      <c r="AI620" s="209" t="str">
        <f>IFERROR(INDEX('Local Data Previous Year'!$H:$H, MATCH($D620, 'Local Data Previous Year'!$D:$D, 0)), "")</f>
        <v/>
      </c>
      <c r="AJ620" s="209" t="str">
        <f t="shared" si="121"/>
        <v/>
      </c>
      <c r="AK620" s="209" t="str">
        <f t="shared" si="116"/>
        <v/>
      </c>
      <c r="AL620" s="209" t="str">
        <f t="shared" si="117"/>
        <v/>
      </c>
      <c r="AM620" s="208" t="str">
        <f>IF($AN620="","",IFERROR(VLOOKUP(CONCATENATE(CTR1_Billing!$E$20,$AN620),'Local Data Previous Year'!$C$3:$D$50000,2,0),CTR1_Billing!$E$21&amp;"NEW"))</f>
        <v/>
      </c>
      <c r="AN620" s="209" t="str" cm="1">
        <f t="array" ref="AN620">IF(ISERROR(INDEX('Local Data Previous Year'!$E$3:$E$50000, SMALL(IF(CTR1_Billing!$E$21='Local Data Previous Year'!$A$3:$A$50000, ROW('Local Data Previous Year'!$A$3:$A$50000)-ROW('Local Data Previous Year'!$A$3)+1), ROW(588:588)))), "", INDEX('Local Data Previous Year'!$E$3:$E$50000, SMALL(IF(CTR1_Billing!$E$21='Local Data Previous Year'!$A$3:$A$50000, ROW('Local Data Previous Year'!$A$3:$A$50000)-ROW('Local Data Previous Year'!$A$3)+1), ROW(588:588))))</f>
        <v/>
      </c>
      <c r="AO620" s="209" t="str">
        <f t="shared" si="122"/>
        <v/>
      </c>
      <c r="AP620" s="208"/>
      <c r="AQ620" s="209" t="str">
        <f t="shared" si="123"/>
        <v/>
      </c>
      <c r="AR620" s="209" t="str">
        <f t="shared" si="124"/>
        <v/>
      </c>
      <c r="AS620" s="202" t="str">
        <f t="shared" si="125"/>
        <v/>
      </c>
      <c r="AT620" s="202" t="str">
        <f t="shared" si="126"/>
        <v/>
      </c>
      <c r="AU620" s="208"/>
      <c r="AV620" s="208"/>
      <c r="AW620" s="208"/>
      <c r="AX620" s="208"/>
      <c r="AY620" s="208"/>
      <c r="AZ620" s="208"/>
      <c r="BA620" s="208"/>
      <c r="BB620" s="208"/>
      <c r="BC620" s="208"/>
      <c r="BD620" s="208"/>
      <c r="BE620" s="208"/>
      <c r="BF620" s="208"/>
      <c r="BG620" s="28"/>
      <c r="BH620" s="28"/>
      <c r="BI620" s="28"/>
      <c r="BJ620" s="28"/>
    </row>
    <row r="621" spans="1:62" s="23" customFormat="1" ht="21" customHeight="1" thickBot="1" x14ac:dyDescent="0.25">
      <c r="A621" s="846" t="str">
        <f>IF($AN621="","",IFERROR(VLOOKUP(CONCATENATE(CTR1_Billing!$E$20,$AN621),'Local Data Previous Year'!$C$3:$D$20000,2,0),CTR1_Billing!$E$21&amp;"NEW"))</f>
        <v/>
      </c>
      <c r="B621" s="846" t="str">
        <f>IF($E621="","",IFERROR(VLOOKUP(CONCATENATE(CTR1_Billing!$E$20,CTR1_Local!$E621),'Local Data Previous Year'!$C$3:$D$20000,2,0),CTR1_Billing!$E$21&amp;"NEW"))</f>
        <v/>
      </c>
      <c r="C621" s="846">
        <v>589</v>
      </c>
      <c r="D621" s="755" t="str" cm="1">
        <f t="array" ref="D621">IF(ISERROR(INDEX('Local Data Previous Year'!$D$3:$D$20000,SMALL(IF(CTR1_Billing!$E$21='Local Data Previous Year'!$A$3:$A$20000,ROW('Local Data Previous Year'!$A$3:$A$20000)-ROW('Local Data Previous Year'!$A$3)+1),ROW(589:589)))),"",INDEX('Local Data Previous Year'!$D$3:$D$20000,SMALL(IF(CTR1_Billing!$E$21='Local Data Previous Year'!$A$3:$A$20000,ROW('Local Data Previous Year'!$A$3:$A$20000)-ROW('Local Data Previous Year'!$A$3)+1),ROW(589:589))))</f>
        <v/>
      </c>
      <c r="E621" s="755" t="str" cm="1">
        <f t="array" ref="E621">IF(ISERROR(INDEX('Local Data Previous Year'!$E$3:$E$20000,SMALL(IF(CTR1_Billing!$E$21='Local Data Previous Year'!$A$3:$A$20000,ROW('Local Data Previous Year'!$A$3:$A$20000)-ROW('Local Data Previous Year'!$A$3)+1),ROW(589:589)))),"",INDEX('Local Data Previous Year'!$E$3:$E$20000,SMALL(IF(CTR1_Billing!$E$21='Local Data Previous Year'!$A$3:$A$20000,ROW('Local Data Previous Year'!$A$3:$A$20000)-ROW('Local Data Previous Year'!$A$3)+1),ROW(589:589))))</f>
        <v/>
      </c>
      <c r="F621" s="756" t="str">
        <f>IF($D621="","",IF(ISNA(MATCH($D621,'Local Data Previous Year'!$D$3:$D$20000,0)),"New",IFERROR(VLOOKUP($B621,'Local Data Previous Year'!$D$3:$I$20000,6,0),"")))</f>
        <v/>
      </c>
      <c r="G621" s="757">
        <f t="shared" si="112"/>
        <v>0</v>
      </c>
      <c r="H621" s="758" t="str">
        <f>IFERROR(INDEX('Local Data Previous Year'!$F:$F, MATCH($D621, 'Local Data Previous Year'!$D:$D, 0)), "")</f>
        <v/>
      </c>
      <c r="I621" s="759">
        <f>IF(B621=CTR1_Billing!$E$21&amp;"NEW",1,0)</f>
        <v>0</v>
      </c>
      <c r="J621" s="760" t="str">
        <f>IFERROR(INDEX('Local Data Previous Year'!$G:$G, MATCH($D621, 'Local Data Previous Year'!$D:$D, 0)), "")</f>
        <v/>
      </c>
      <c r="K621" s="762"/>
      <c r="L621" s="760" t="str">
        <f>IFERROR(INDEX('Local Data Previous Year'!$H:$H, MATCH($D621, 'Local Data Previous Year'!$D:$D, 0)), "")</f>
        <v/>
      </c>
      <c r="M621" s="762"/>
      <c r="N621" s="763"/>
      <c r="O621" s="767"/>
      <c r="P621" s="765"/>
      <c r="Q621" s="767"/>
      <c r="R621" s="766" t="str">
        <f t="shared" si="127"/>
        <v/>
      </c>
      <c r="S621" s="754"/>
      <c r="T621" s="763"/>
      <c r="U621" s="754"/>
      <c r="V621" s="763"/>
      <c r="W621" s="763"/>
      <c r="X621" s="865" t="str">
        <f>VLOOKUP(CTR1_Billing!$E$21,Data!$C$6:$D$302,1,FALSE)</f>
        <v>EZZZZ</v>
      </c>
      <c r="Y621" s="205"/>
      <c r="Z621" s="205">
        <f t="shared" si="119"/>
        <v>0</v>
      </c>
      <c r="AA621" s="206" t="str">
        <f t="shared" si="118"/>
        <v/>
      </c>
      <c r="AB621" s="205">
        <f t="shared" si="120"/>
        <v>0</v>
      </c>
      <c r="AC621" s="208"/>
      <c r="AD621" s="208"/>
      <c r="AE621" s="208"/>
      <c r="AF621" s="208"/>
      <c r="AG621" s="209" t="str">
        <f>IFERROR(INDEX('Local Data Previous Year'!$F:$F, MATCH($D621, 'Local Data Previous Year'!$D:$D, 0)), "")</f>
        <v/>
      </c>
      <c r="AH621" s="209" t="str">
        <f>IFERROR(INDEX('Local Data Previous Year'!$G:$G, MATCH($D621, 'Local Data Previous Year'!$D:$D, 0)), "")</f>
        <v/>
      </c>
      <c r="AI621" s="209" t="str">
        <f>IFERROR(INDEX('Local Data Previous Year'!$H:$H, MATCH($D621, 'Local Data Previous Year'!$D:$D, 0)), "")</f>
        <v/>
      </c>
      <c r="AJ621" s="209" t="str">
        <f t="shared" si="121"/>
        <v/>
      </c>
      <c r="AK621" s="209" t="str">
        <f t="shared" si="116"/>
        <v/>
      </c>
      <c r="AL621" s="209" t="str">
        <f t="shared" si="117"/>
        <v/>
      </c>
      <c r="AM621" s="208" t="str">
        <f>IF($AN621="","",IFERROR(VLOOKUP(CONCATENATE(CTR1_Billing!$E$20,$AN621),'Local Data Previous Year'!$C$3:$D$50000,2,0),CTR1_Billing!$E$21&amp;"NEW"))</f>
        <v/>
      </c>
      <c r="AN621" s="209" t="str" cm="1">
        <f t="array" ref="AN621">IF(ISERROR(INDEX('Local Data Previous Year'!$E$3:$E$50000, SMALL(IF(CTR1_Billing!$E$21='Local Data Previous Year'!$A$3:$A$50000, ROW('Local Data Previous Year'!$A$3:$A$50000)-ROW('Local Data Previous Year'!$A$3)+1), ROW(589:589)))), "", INDEX('Local Data Previous Year'!$E$3:$E$50000, SMALL(IF(CTR1_Billing!$E$21='Local Data Previous Year'!$A$3:$A$50000, ROW('Local Data Previous Year'!$A$3:$A$50000)-ROW('Local Data Previous Year'!$A$3)+1), ROW(589:589))))</f>
        <v/>
      </c>
      <c r="AO621" s="209" t="str">
        <f t="shared" si="122"/>
        <v/>
      </c>
      <c r="AP621" s="208"/>
      <c r="AQ621" s="209" t="str">
        <f t="shared" si="123"/>
        <v/>
      </c>
      <c r="AR621" s="209" t="str">
        <f t="shared" si="124"/>
        <v/>
      </c>
      <c r="AS621" s="202" t="str">
        <f t="shared" si="125"/>
        <v/>
      </c>
      <c r="AT621" s="202" t="str">
        <f t="shared" si="126"/>
        <v/>
      </c>
      <c r="AU621" s="208"/>
      <c r="AV621" s="208"/>
      <c r="AW621" s="208"/>
      <c r="AX621" s="208"/>
      <c r="AY621" s="208"/>
      <c r="AZ621" s="208"/>
      <c r="BA621" s="208"/>
      <c r="BB621" s="208"/>
      <c r="BC621" s="208"/>
      <c r="BD621" s="208"/>
      <c r="BE621" s="208"/>
      <c r="BF621" s="208"/>
      <c r="BG621" s="28"/>
      <c r="BH621" s="28"/>
      <c r="BI621" s="28"/>
      <c r="BJ621" s="28"/>
    </row>
    <row r="622" spans="1:62" s="23" customFormat="1" ht="21" customHeight="1" thickBot="1" x14ac:dyDescent="0.25">
      <c r="A622" s="846" t="str">
        <f>IF($AN622="","",IFERROR(VLOOKUP(CONCATENATE(CTR1_Billing!$E$20,$AN622),'Local Data Previous Year'!$C$3:$D$20000,2,0),CTR1_Billing!$E$21&amp;"NEW"))</f>
        <v/>
      </c>
      <c r="B622" s="846" t="str">
        <f>IF($E622="","",IFERROR(VLOOKUP(CONCATENATE(CTR1_Billing!$E$20,CTR1_Local!$E622),'Local Data Previous Year'!$C$3:$D$20000,2,0),CTR1_Billing!$E$21&amp;"NEW"))</f>
        <v/>
      </c>
      <c r="C622" s="846">
        <v>590</v>
      </c>
      <c r="D622" s="755" t="str" cm="1">
        <f t="array" ref="D622">IF(ISERROR(INDEX('Local Data Previous Year'!$D$3:$D$20000,SMALL(IF(CTR1_Billing!$E$21='Local Data Previous Year'!$A$3:$A$20000,ROW('Local Data Previous Year'!$A$3:$A$20000)-ROW('Local Data Previous Year'!$A$3)+1),ROW(590:590)))),"",INDEX('Local Data Previous Year'!$D$3:$D$20000,SMALL(IF(CTR1_Billing!$E$21='Local Data Previous Year'!$A$3:$A$20000,ROW('Local Data Previous Year'!$A$3:$A$20000)-ROW('Local Data Previous Year'!$A$3)+1),ROW(590:590))))</f>
        <v/>
      </c>
      <c r="E622" s="755" t="str" cm="1">
        <f t="array" ref="E622">IF(ISERROR(INDEX('Local Data Previous Year'!$E$3:$E$20000,SMALL(IF(CTR1_Billing!$E$21='Local Data Previous Year'!$A$3:$A$20000,ROW('Local Data Previous Year'!$A$3:$A$20000)-ROW('Local Data Previous Year'!$A$3)+1),ROW(590:590)))),"",INDEX('Local Data Previous Year'!$E$3:$E$20000,SMALL(IF(CTR1_Billing!$E$21='Local Data Previous Year'!$A$3:$A$20000,ROW('Local Data Previous Year'!$A$3:$A$20000)-ROW('Local Data Previous Year'!$A$3)+1),ROW(590:590))))</f>
        <v/>
      </c>
      <c r="F622" s="756" t="str">
        <f>IF($D622="","",IF(ISNA(MATCH($D622,'Local Data Previous Year'!$D$3:$D$20000,0)),"New",IFERROR(VLOOKUP($B622,'Local Data Previous Year'!$D$3:$I$20000,6,0),"")))</f>
        <v/>
      </c>
      <c r="G622" s="757">
        <f t="shared" si="112"/>
        <v>0</v>
      </c>
      <c r="H622" s="758" t="str">
        <f>IFERROR(INDEX('Local Data Previous Year'!$F:$F, MATCH($D622, 'Local Data Previous Year'!$D:$D, 0)), "")</f>
        <v/>
      </c>
      <c r="I622" s="759">
        <f>IF(B622=CTR1_Billing!$E$21&amp;"NEW",1,0)</f>
        <v>0</v>
      </c>
      <c r="J622" s="760" t="str">
        <f>IFERROR(INDEX('Local Data Previous Year'!$G:$G, MATCH($D622, 'Local Data Previous Year'!$D:$D, 0)), "")</f>
        <v/>
      </c>
      <c r="K622" s="762"/>
      <c r="L622" s="760" t="str">
        <f>IFERROR(INDEX('Local Data Previous Year'!$H:$H, MATCH($D622, 'Local Data Previous Year'!$D:$D, 0)), "")</f>
        <v/>
      </c>
      <c r="M622" s="762"/>
      <c r="N622" s="763"/>
      <c r="O622" s="767"/>
      <c r="P622" s="765"/>
      <c r="Q622" s="767"/>
      <c r="R622" s="766" t="str">
        <f t="shared" si="127"/>
        <v/>
      </c>
      <c r="S622" s="754"/>
      <c r="T622" s="763"/>
      <c r="U622" s="754"/>
      <c r="V622" s="763"/>
      <c r="W622" s="763"/>
      <c r="X622" s="865" t="str">
        <f>VLOOKUP(CTR1_Billing!$E$21,Data!$C$6:$D$302,1,FALSE)</f>
        <v>EZZZZ</v>
      </c>
      <c r="Y622" s="205"/>
      <c r="Z622" s="205">
        <f t="shared" si="119"/>
        <v>0</v>
      </c>
      <c r="AA622" s="206" t="str">
        <f t="shared" si="118"/>
        <v/>
      </c>
      <c r="AB622" s="205">
        <f t="shared" si="120"/>
        <v>0</v>
      </c>
      <c r="AC622" s="208"/>
      <c r="AD622" s="208"/>
      <c r="AE622" s="208"/>
      <c r="AF622" s="208"/>
      <c r="AG622" s="209" t="str">
        <f>IFERROR(INDEX('Local Data Previous Year'!$F:$F, MATCH($D622, 'Local Data Previous Year'!$D:$D, 0)), "")</f>
        <v/>
      </c>
      <c r="AH622" s="209" t="str">
        <f>IFERROR(INDEX('Local Data Previous Year'!$G:$G, MATCH($D622, 'Local Data Previous Year'!$D:$D, 0)), "")</f>
        <v/>
      </c>
      <c r="AI622" s="209" t="str">
        <f>IFERROR(INDEX('Local Data Previous Year'!$H:$H, MATCH($D622, 'Local Data Previous Year'!$D:$D, 0)), "")</f>
        <v/>
      </c>
      <c r="AJ622" s="209" t="str">
        <f t="shared" si="121"/>
        <v/>
      </c>
      <c r="AK622" s="209" t="str">
        <f t="shared" si="116"/>
        <v/>
      </c>
      <c r="AL622" s="209" t="str">
        <f t="shared" si="117"/>
        <v/>
      </c>
      <c r="AM622" s="208" t="str">
        <f>IF($AN622="","",IFERROR(VLOOKUP(CONCATENATE(CTR1_Billing!$E$20,$AN622),'Local Data Previous Year'!$C$3:$D$50000,2,0),CTR1_Billing!$E$21&amp;"NEW"))</f>
        <v/>
      </c>
      <c r="AN622" s="209" t="str" cm="1">
        <f t="array" ref="AN622">IF(ISERROR(INDEX('Local Data Previous Year'!$E$3:$E$50000, SMALL(IF(CTR1_Billing!$E$21='Local Data Previous Year'!$A$3:$A$50000, ROW('Local Data Previous Year'!$A$3:$A$50000)-ROW('Local Data Previous Year'!$A$3)+1), ROW(590:590)))), "", INDEX('Local Data Previous Year'!$E$3:$E$50000, SMALL(IF(CTR1_Billing!$E$21='Local Data Previous Year'!$A$3:$A$50000, ROW('Local Data Previous Year'!$A$3:$A$50000)-ROW('Local Data Previous Year'!$A$3)+1), ROW(590:590))))</f>
        <v/>
      </c>
      <c r="AO622" s="209" t="str">
        <f t="shared" si="122"/>
        <v/>
      </c>
      <c r="AP622" s="208"/>
      <c r="AQ622" s="209" t="str">
        <f t="shared" si="123"/>
        <v/>
      </c>
      <c r="AR622" s="209" t="str">
        <f t="shared" si="124"/>
        <v/>
      </c>
      <c r="AS622" s="202" t="str">
        <f t="shared" si="125"/>
        <v/>
      </c>
      <c r="AT622" s="202" t="str">
        <f t="shared" si="126"/>
        <v/>
      </c>
      <c r="AU622" s="208"/>
      <c r="AV622" s="208"/>
      <c r="AW622" s="208"/>
      <c r="AX622" s="208"/>
      <c r="AY622" s="208"/>
      <c r="AZ622" s="208"/>
      <c r="BA622" s="208"/>
      <c r="BB622" s="208"/>
      <c r="BC622" s="208"/>
      <c r="BD622" s="208"/>
      <c r="BE622" s="208"/>
      <c r="BF622" s="208"/>
      <c r="BG622" s="28"/>
      <c r="BH622" s="28"/>
      <c r="BI622" s="28"/>
      <c r="BJ622" s="28"/>
    </row>
    <row r="623" spans="1:62" s="23" customFormat="1" ht="21" customHeight="1" thickBot="1" x14ac:dyDescent="0.25">
      <c r="A623" s="846" t="str">
        <f>IF($AN623="","",IFERROR(VLOOKUP(CONCATENATE(CTR1_Billing!$E$20,$AN623),'Local Data Previous Year'!$C$3:$D$20000,2,0),CTR1_Billing!$E$21&amp;"NEW"))</f>
        <v/>
      </c>
      <c r="B623" s="846" t="str">
        <f>IF($E623="","",IFERROR(VLOOKUP(CONCATENATE(CTR1_Billing!$E$20,CTR1_Local!$E623),'Local Data Previous Year'!$C$3:$D$20000,2,0),CTR1_Billing!$E$21&amp;"NEW"))</f>
        <v/>
      </c>
      <c r="C623" s="846">
        <v>591</v>
      </c>
      <c r="D623" s="755" t="str" cm="1">
        <f t="array" ref="D623">IF(ISERROR(INDEX('Local Data Previous Year'!$D$3:$D$20000,SMALL(IF(CTR1_Billing!$E$21='Local Data Previous Year'!$A$3:$A$20000,ROW('Local Data Previous Year'!$A$3:$A$20000)-ROW('Local Data Previous Year'!$A$3)+1),ROW(591:591)))),"",INDEX('Local Data Previous Year'!$D$3:$D$20000,SMALL(IF(CTR1_Billing!$E$21='Local Data Previous Year'!$A$3:$A$20000,ROW('Local Data Previous Year'!$A$3:$A$20000)-ROW('Local Data Previous Year'!$A$3)+1),ROW(591:591))))</f>
        <v/>
      </c>
      <c r="E623" s="755" t="str" cm="1">
        <f t="array" ref="E623">IF(ISERROR(INDEX('Local Data Previous Year'!$E$3:$E$20000,SMALL(IF(CTR1_Billing!$E$21='Local Data Previous Year'!$A$3:$A$20000,ROW('Local Data Previous Year'!$A$3:$A$20000)-ROW('Local Data Previous Year'!$A$3)+1),ROW(591:591)))),"",INDEX('Local Data Previous Year'!$E$3:$E$20000,SMALL(IF(CTR1_Billing!$E$21='Local Data Previous Year'!$A$3:$A$20000,ROW('Local Data Previous Year'!$A$3:$A$20000)-ROW('Local Data Previous Year'!$A$3)+1),ROW(591:591))))</f>
        <v/>
      </c>
      <c r="F623" s="756" t="str">
        <f>IF($D623="","",IF(ISNA(MATCH($D623,'Local Data Previous Year'!$D$3:$D$20000,0)),"New",IFERROR(VLOOKUP($B623,'Local Data Previous Year'!$D$3:$I$20000,6,0),"")))</f>
        <v/>
      </c>
      <c r="G623" s="757">
        <f t="shared" si="112"/>
        <v>0</v>
      </c>
      <c r="H623" s="758" t="str">
        <f>IFERROR(INDEX('Local Data Previous Year'!$F:$F, MATCH($D623, 'Local Data Previous Year'!$D:$D, 0)), "")</f>
        <v/>
      </c>
      <c r="I623" s="759">
        <f>IF(B623=CTR1_Billing!$E$21&amp;"NEW",1,0)</f>
        <v>0</v>
      </c>
      <c r="J623" s="760" t="str">
        <f>IFERROR(INDEX('Local Data Previous Year'!$G:$G, MATCH($D623, 'Local Data Previous Year'!$D:$D, 0)), "")</f>
        <v/>
      </c>
      <c r="K623" s="762"/>
      <c r="L623" s="760" t="str">
        <f>IFERROR(INDEX('Local Data Previous Year'!$H:$H, MATCH($D623, 'Local Data Previous Year'!$D:$D, 0)), "")</f>
        <v/>
      </c>
      <c r="M623" s="762"/>
      <c r="N623" s="763"/>
      <c r="O623" s="767"/>
      <c r="P623" s="765"/>
      <c r="Q623" s="767"/>
      <c r="R623" s="766" t="str">
        <f t="shared" si="127"/>
        <v/>
      </c>
      <c r="S623" s="754"/>
      <c r="T623" s="763"/>
      <c r="U623" s="754"/>
      <c r="V623" s="763"/>
      <c r="W623" s="763"/>
      <c r="X623" s="865" t="str">
        <f>VLOOKUP(CTR1_Billing!$E$21,Data!$C$6:$D$302,1,FALSE)</f>
        <v>EZZZZ</v>
      </c>
      <c r="Y623" s="205"/>
      <c r="Z623" s="205">
        <f t="shared" si="119"/>
        <v>0</v>
      </c>
      <c r="AA623" s="206" t="str">
        <f t="shared" si="118"/>
        <v/>
      </c>
      <c r="AB623" s="205">
        <f t="shared" si="120"/>
        <v>0</v>
      </c>
      <c r="AC623" s="208"/>
      <c r="AD623" s="208"/>
      <c r="AE623" s="208"/>
      <c r="AF623" s="208"/>
      <c r="AG623" s="209" t="str">
        <f>IFERROR(INDEX('Local Data Previous Year'!$F:$F, MATCH($D623, 'Local Data Previous Year'!$D:$D, 0)), "")</f>
        <v/>
      </c>
      <c r="AH623" s="209" t="str">
        <f>IFERROR(INDEX('Local Data Previous Year'!$G:$G, MATCH($D623, 'Local Data Previous Year'!$D:$D, 0)), "")</f>
        <v/>
      </c>
      <c r="AI623" s="209" t="str">
        <f>IFERROR(INDEX('Local Data Previous Year'!$H:$H, MATCH($D623, 'Local Data Previous Year'!$D:$D, 0)), "")</f>
        <v/>
      </c>
      <c r="AJ623" s="209" t="str">
        <f t="shared" si="121"/>
        <v/>
      </c>
      <c r="AK623" s="209" t="str">
        <f t="shared" si="116"/>
        <v/>
      </c>
      <c r="AL623" s="209" t="str">
        <f t="shared" si="117"/>
        <v/>
      </c>
      <c r="AM623" s="208" t="str">
        <f>IF($AN623="","",IFERROR(VLOOKUP(CONCATENATE(CTR1_Billing!$E$20,$AN623),'Local Data Previous Year'!$C$3:$D$50000,2,0),CTR1_Billing!$E$21&amp;"NEW"))</f>
        <v/>
      </c>
      <c r="AN623" s="209" t="str" cm="1">
        <f t="array" ref="AN623">IF(ISERROR(INDEX('Local Data Previous Year'!$E$3:$E$50000, SMALL(IF(CTR1_Billing!$E$21='Local Data Previous Year'!$A$3:$A$50000, ROW('Local Data Previous Year'!$A$3:$A$50000)-ROW('Local Data Previous Year'!$A$3)+1), ROW(591:591)))), "", INDEX('Local Data Previous Year'!$E$3:$E$50000, SMALL(IF(CTR1_Billing!$E$21='Local Data Previous Year'!$A$3:$A$50000, ROW('Local Data Previous Year'!$A$3:$A$50000)-ROW('Local Data Previous Year'!$A$3)+1), ROW(591:591))))</f>
        <v/>
      </c>
      <c r="AO623" s="209" t="str">
        <f t="shared" si="122"/>
        <v/>
      </c>
      <c r="AP623" s="208"/>
      <c r="AQ623" s="209" t="str">
        <f t="shared" si="123"/>
        <v/>
      </c>
      <c r="AR623" s="209" t="str">
        <f t="shared" si="124"/>
        <v/>
      </c>
      <c r="AS623" s="202" t="str">
        <f t="shared" si="125"/>
        <v/>
      </c>
      <c r="AT623" s="202" t="str">
        <f t="shared" si="126"/>
        <v/>
      </c>
      <c r="AU623" s="208"/>
      <c r="AV623" s="208"/>
      <c r="AW623" s="208"/>
      <c r="AX623" s="208"/>
      <c r="AY623" s="208"/>
      <c r="AZ623" s="208"/>
      <c r="BA623" s="208"/>
      <c r="BB623" s="208"/>
      <c r="BC623" s="208"/>
      <c r="BD623" s="208"/>
      <c r="BE623" s="208"/>
      <c r="BF623" s="208"/>
      <c r="BG623" s="28"/>
      <c r="BH623" s="28"/>
      <c r="BI623" s="28"/>
      <c r="BJ623" s="28"/>
    </row>
    <row r="624" spans="1:62" s="23" customFormat="1" ht="21" customHeight="1" thickBot="1" x14ac:dyDescent="0.25">
      <c r="A624" s="846" t="str">
        <f>IF($AN624="","",IFERROR(VLOOKUP(CONCATENATE(CTR1_Billing!$E$20,$AN624),'Local Data Previous Year'!$C$3:$D$20000,2,0),CTR1_Billing!$E$21&amp;"NEW"))</f>
        <v/>
      </c>
      <c r="B624" s="846" t="str">
        <f>IF($E624="","",IFERROR(VLOOKUP(CONCATENATE(CTR1_Billing!$E$20,CTR1_Local!$E624),'Local Data Previous Year'!$C$3:$D$20000,2,0),CTR1_Billing!$E$21&amp;"NEW"))</f>
        <v/>
      </c>
      <c r="C624" s="846">
        <v>592</v>
      </c>
      <c r="D624" s="755" t="str" cm="1">
        <f t="array" ref="D624">IF(ISERROR(INDEX('Local Data Previous Year'!$D$3:$D$20000,SMALL(IF(CTR1_Billing!$E$21='Local Data Previous Year'!$A$3:$A$20000,ROW('Local Data Previous Year'!$A$3:$A$20000)-ROW('Local Data Previous Year'!$A$3)+1),ROW(592:592)))),"",INDEX('Local Data Previous Year'!$D$3:$D$20000,SMALL(IF(CTR1_Billing!$E$21='Local Data Previous Year'!$A$3:$A$20000,ROW('Local Data Previous Year'!$A$3:$A$20000)-ROW('Local Data Previous Year'!$A$3)+1),ROW(592:592))))</f>
        <v/>
      </c>
      <c r="E624" s="755" t="str" cm="1">
        <f t="array" ref="E624">IF(ISERROR(INDEX('Local Data Previous Year'!$E$3:$E$20000,SMALL(IF(CTR1_Billing!$E$21='Local Data Previous Year'!$A$3:$A$20000,ROW('Local Data Previous Year'!$A$3:$A$20000)-ROW('Local Data Previous Year'!$A$3)+1),ROW(592:592)))),"",INDEX('Local Data Previous Year'!$E$3:$E$20000,SMALL(IF(CTR1_Billing!$E$21='Local Data Previous Year'!$A$3:$A$20000,ROW('Local Data Previous Year'!$A$3:$A$20000)-ROW('Local Data Previous Year'!$A$3)+1),ROW(592:592))))</f>
        <v/>
      </c>
      <c r="F624" s="756" t="str">
        <f>IF($D624="","",IF(ISNA(MATCH($D624,'Local Data Previous Year'!$D$3:$D$20000,0)),"New",IFERROR(VLOOKUP($B624,'Local Data Previous Year'!$D$3:$I$20000,6,0),"")))</f>
        <v/>
      </c>
      <c r="G624" s="757">
        <f t="shared" si="112"/>
        <v>0</v>
      </c>
      <c r="H624" s="758" t="str">
        <f>IFERROR(INDEX('Local Data Previous Year'!$F:$F, MATCH($D624, 'Local Data Previous Year'!$D:$D, 0)), "")</f>
        <v/>
      </c>
      <c r="I624" s="759">
        <f>IF(B624=CTR1_Billing!$E$21&amp;"NEW",1,0)</f>
        <v>0</v>
      </c>
      <c r="J624" s="760" t="str">
        <f>IFERROR(INDEX('Local Data Previous Year'!$G:$G, MATCH($D624, 'Local Data Previous Year'!$D:$D, 0)), "")</f>
        <v/>
      </c>
      <c r="K624" s="762"/>
      <c r="L624" s="760" t="str">
        <f>IFERROR(INDEX('Local Data Previous Year'!$H:$H, MATCH($D624, 'Local Data Previous Year'!$D:$D, 0)), "")</f>
        <v/>
      </c>
      <c r="M624" s="762"/>
      <c r="N624" s="763"/>
      <c r="O624" s="767"/>
      <c r="P624" s="765"/>
      <c r="Q624" s="767"/>
      <c r="R624" s="766" t="str">
        <f t="shared" si="127"/>
        <v/>
      </c>
      <c r="S624" s="754"/>
      <c r="T624" s="763"/>
      <c r="U624" s="754"/>
      <c r="V624" s="763"/>
      <c r="W624" s="763"/>
      <c r="X624" s="865" t="str">
        <f>VLOOKUP(CTR1_Billing!$E$21,Data!$C$6:$D$302,1,FALSE)</f>
        <v>EZZZZ</v>
      </c>
      <c r="Y624" s="205"/>
      <c r="Z624" s="205">
        <f t="shared" si="119"/>
        <v>0</v>
      </c>
      <c r="AA624" s="206" t="str">
        <f t="shared" si="118"/>
        <v/>
      </c>
      <c r="AB624" s="205">
        <f t="shared" si="120"/>
        <v>0</v>
      </c>
      <c r="AC624" s="208"/>
      <c r="AD624" s="208"/>
      <c r="AE624" s="208"/>
      <c r="AF624" s="208"/>
      <c r="AG624" s="209" t="str">
        <f>IFERROR(INDEX('Local Data Previous Year'!$F:$F, MATCH($D624, 'Local Data Previous Year'!$D:$D, 0)), "")</f>
        <v/>
      </c>
      <c r="AH624" s="209" t="str">
        <f>IFERROR(INDEX('Local Data Previous Year'!$G:$G, MATCH($D624, 'Local Data Previous Year'!$D:$D, 0)), "")</f>
        <v/>
      </c>
      <c r="AI624" s="209" t="str">
        <f>IFERROR(INDEX('Local Data Previous Year'!$H:$H, MATCH($D624, 'Local Data Previous Year'!$D:$D, 0)), "")</f>
        <v/>
      </c>
      <c r="AJ624" s="209" t="str">
        <f t="shared" si="121"/>
        <v/>
      </c>
      <c r="AK624" s="209" t="str">
        <f t="shared" si="116"/>
        <v/>
      </c>
      <c r="AL624" s="209" t="str">
        <f t="shared" si="117"/>
        <v/>
      </c>
      <c r="AM624" s="208" t="str">
        <f>IF($AN624="","",IFERROR(VLOOKUP(CONCATENATE(CTR1_Billing!$E$20,$AN624),'Local Data Previous Year'!$C$3:$D$50000,2,0),CTR1_Billing!$E$21&amp;"NEW"))</f>
        <v/>
      </c>
      <c r="AN624" s="209" t="str" cm="1">
        <f t="array" ref="AN624">IF(ISERROR(INDEX('Local Data Previous Year'!$E$3:$E$50000, SMALL(IF(CTR1_Billing!$E$21='Local Data Previous Year'!$A$3:$A$50000, ROW('Local Data Previous Year'!$A$3:$A$50000)-ROW('Local Data Previous Year'!$A$3)+1), ROW(592:592)))), "", INDEX('Local Data Previous Year'!$E$3:$E$50000, SMALL(IF(CTR1_Billing!$E$21='Local Data Previous Year'!$A$3:$A$50000, ROW('Local Data Previous Year'!$A$3:$A$50000)-ROW('Local Data Previous Year'!$A$3)+1), ROW(592:592))))</f>
        <v/>
      </c>
      <c r="AO624" s="209" t="str">
        <f t="shared" si="122"/>
        <v/>
      </c>
      <c r="AP624" s="208"/>
      <c r="AQ624" s="209" t="str">
        <f t="shared" si="123"/>
        <v/>
      </c>
      <c r="AR624" s="209" t="str">
        <f t="shared" si="124"/>
        <v/>
      </c>
      <c r="AS624" s="202" t="str">
        <f t="shared" si="125"/>
        <v/>
      </c>
      <c r="AT624" s="202" t="str">
        <f t="shared" si="126"/>
        <v/>
      </c>
      <c r="AU624" s="208"/>
      <c r="AV624" s="208"/>
      <c r="AW624" s="208"/>
      <c r="AX624" s="208"/>
      <c r="AY624" s="208"/>
      <c r="AZ624" s="208"/>
      <c r="BA624" s="208"/>
      <c r="BB624" s="208"/>
      <c r="BC624" s="208"/>
      <c r="BD624" s="208"/>
      <c r="BE624" s="208"/>
      <c r="BF624" s="208"/>
      <c r="BG624" s="28"/>
      <c r="BH624" s="28"/>
      <c r="BI624" s="28"/>
      <c r="BJ624" s="28"/>
    </row>
    <row r="625" spans="1:62" s="23" customFormat="1" ht="21" customHeight="1" thickBot="1" x14ac:dyDescent="0.25">
      <c r="A625" s="846" t="str">
        <f>IF($AN625="","",IFERROR(VLOOKUP(CONCATENATE(CTR1_Billing!$E$20,$AN625),'Local Data Previous Year'!$C$3:$D$20000,2,0),CTR1_Billing!$E$21&amp;"NEW"))</f>
        <v/>
      </c>
      <c r="B625" s="846" t="str">
        <f>IF($E625="","",IFERROR(VLOOKUP(CONCATENATE(CTR1_Billing!$E$20,CTR1_Local!$E625),'Local Data Previous Year'!$C$3:$D$20000,2,0),CTR1_Billing!$E$21&amp;"NEW"))</f>
        <v/>
      </c>
      <c r="C625" s="846">
        <v>593</v>
      </c>
      <c r="D625" s="755" t="str" cm="1">
        <f t="array" ref="D625">IF(ISERROR(INDEX('Local Data Previous Year'!$D$3:$D$20000,SMALL(IF(CTR1_Billing!$E$21='Local Data Previous Year'!$A$3:$A$20000,ROW('Local Data Previous Year'!$A$3:$A$20000)-ROW('Local Data Previous Year'!$A$3)+1),ROW(593:593)))),"",INDEX('Local Data Previous Year'!$D$3:$D$20000,SMALL(IF(CTR1_Billing!$E$21='Local Data Previous Year'!$A$3:$A$20000,ROW('Local Data Previous Year'!$A$3:$A$20000)-ROW('Local Data Previous Year'!$A$3)+1),ROW(593:593))))</f>
        <v/>
      </c>
      <c r="E625" s="755" t="str" cm="1">
        <f t="array" ref="E625">IF(ISERROR(INDEX('Local Data Previous Year'!$E$3:$E$20000,SMALL(IF(CTR1_Billing!$E$21='Local Data Previous Year'!$A$3:$A$20000,ROW('Local Data Previous Year'!$A$3:$A$20000)-ROW('Local Data Previous Year'!$A$3)+1),ROW(593:593)))),"",INDEX('Local Data Previous Year'!$E$3:$E$20000,SMALL(IF(CTR1_Billing!$E$21='Local Data Previous Year'!$A$3:$A$20000,ROW('Local Data Previous Year'!$A$3:$A$20000)-ROW('Local Data Previous Year'!$A$3)+1),ROW(593:593))))</f>
        <v/>
      </c>
      <c r="F625" s="756" t="str">
        <f>IF($D625="","",IF(ISNA(MATCH($D625,'Local Data Previous Year'!$D$3:$D$20000,0)),"New",IFERROR(VLOOKUP($B625,'Local Data Previous Year'!$D$3:$I$20000,6,0),"")))</f>
        <v/>
      </c>
      <c r="G625" s="757">
        <f t="shared" si="112"/>
        <v>0</v>
      </c>
      <c r="H625" s="758" t="str">
        <f>IFERROR(INDEX('Local Data Previous Year'!$F:$F, MATCH($D625, 'Local Data Previous Year'!$D:$D, 0)), "")</f>
        <v/>
      </c>
      <c r="I625" s="759">
        <f>IF(B625=CTR1_Billing!$E$21&amp;"NEW",1,0)</f>
        <v>0</v>
      </c>
      <c r="J625" s="760" t="str">
        <f>IFERROR(INDEX('Local Data Previous Year'!$G:$G, MATCH($D625, 'Local Data Previous Year'!$D:$D, 0)), "")</f>
        <v/>
      </c>
      <c r="K625" s="762"/>
      <c r="L625" s="760" t="str">
        <f>IFERROR(INDEX('Local Data Previous Year'!$H:$H, MATCH($D625, 'Local Data Previous Year'!$D:$D, 0)), "")</f>
        <v/>
      </c>
      <c r="M625" s="762"/>
      <c r="N625" s="763"/>
      <c r="O625" s="767"/>
      <c r="P625" s="765"/>
      <c r="Q625" s="767"/>
      <c r="R625" s="766" t="str">
        <f t="shared" si="127"/>
        <v/>
      </c>
      <c r="S625" s="754"/>
      <c r="T625" s="763"/>
      <c r="U625" s="754"/>
      <c r="V625" s="763"/>
      <c r="W625" s="763"/>
      <c r="X625" s="865" t="str">
        <f>VLOOKUP(CTR1_Billing!$E$21,Data!$C$6:$D$302,1,FALSE)</f>
        <v>EZZZZ</v>
      </c>
      <c r="Y625" s="205"/>
      <c r="Z625" s="205">
        <f t="shared" si="119"/>
        <v>0</v>
      </c>
      <c r="AA625" s="206" t="str">
        <f t="shared" si="118"/>
        <v/>
      </c>
      <c r="AB625" s="205">
        <f t="shared" si="120"/>
        <v>0</v>
      </c>
      <c r="AC625" s="208"/>
      <c r="AD625" s="208"/>
      <c r="AE625" s="208"/>
      <c r="AF625" s="208"/>
      <c r="AG625" s="209" t="str">
        <f>IFERROR(INDEX('Local Data Previous Year'!$F:$F, MATCH($D625, 'Local Data Previous Year'!$D:$D, 0)), "")</f>
        <v/>
      </c>
      <c r="AH625" s="209" t="str">
        <f>IFERROR(INDEX('Local Data Previous Year'!$G:$G, MATCH($D625, 'Local Data Previous Year'!$D:$D, 0)), "")</f>
        <v/>
      </c>
      <c r="AI625" s="209" t="str">
        <f>IFERROR(INDEX('Local Data Previous Year'!$H:$H, MATCH($D625, 'Local Data Previous Year'!$D:$D, 0)), "")</f>
        <v/>
      </c>
      <c r="AJ625" s="209" t="str">
        <f t="shared" si="121"/>
        <v/>
      </c>
      <c r="AK625" s="209" t="str">
        <f t="shared" si="116"/>
        <v/>
      </c>
      <c r="AL625" s="209" t="str">
        <f t="shared" si="117"/>
        <v/>
      </c>
      <c r="AM625" s="208" t="str">
        <f>IF($AN625="","",IFERROR(VLOOKUP(CONCATENATE(CTR1_Billing!$E$20,$AN625),'Local Data Previous Year'!$C$3:$D$50000,2,0),CTR1_Billing!$E$21&amp;"NEW"))</f>
        <v/>
      </c>
      <c r="AN625" s="209" t="str" cm="1">
        <f t="array" ref="AN625">IF(ISERROR(INDEX('Local Data Previous Year'!$E$3:$E$50000, SMALL(IF(CTR1_Billing!$E$21='Local Data Previous Year'!$A$3:$A$50000, ROW('Local Data Previous Year'!$A$3:$A$50000)-ROW('Local Data Previous Year'!$A$3)+1), ROW(593:593)))), "", INDEX('Local Data Previous Year'!$E$3:$E$50000, SMALL(IF(CTR1_Billing!$E$21='Local Data Previous Year'!$A$3:$A$50000, ROW('Local Data Previous Year'!$A$3:$A$50000)-ROW('Local Data Previous Year'!$A$3)+1), ROW(593:593))))</f>
        <v/>
      </c>
      <c r="AO625" s="209" t="str">
        <f t="shared" si="122"/>
        <v/>
      </c>
      <c r="AP625" s="208"/>
      <c r="AQ625" s="209" t="str">
        <f t="shared" si="123"/>
        <v/>
      </c>
      <c r="AR625" s="209" t="str">
        <f t="shared" si="124"/>
        <v/>
      </c>
      <c r="AS625" s="202" t="str">
        <f t="shared" si="125"/>
        <v/>
      </c>
      <c r="AT625" s="202" t="str">
        <f t="shared" si="126"/>
        <v/>
      </c>
      <c r="AU625" s="208"/>
      <c r="AV625" s="208"/>
      <c r="AW625" s="208"/>
      <c r="AX625" s="208"/>
      <c r="AY625" s="208"/>
      <c r="AZ625" s="208"/>
      <c r="BA625" s="208"/>
      <c r="BB625" s="208"/>
      <c r="BC625" s="208"/>
      <c r="BD625" s="208"/>
      <c r="BE625" s="208"/>
      <c r="BF625" s="208"/>
      <c r="BG625" s="28"/>
      <c r="BH625" s="28"/>
      <c r="BI625" s="28"/>
      <c r="BJ625" s="28"/>
    </row>
    <row r="626" spans="1:62" s="23" customFormat="1" ht="21" customHeight="1" thickBot="1" x14ac:dyDescent="0.25">
      <c r="A626" s="846" t="str">
        <f>IF($AN626="","",IFERROR(VLOOKUP(CONCATENATE(CTR1_Billing!$E$20,$AN626),'Local Data Previous Year'!$C$3:$D$20000,2,0),CTR1_Billing!$E$21&amp;"NEW"))</f>
        <v/>
      </c>
      <c r="B626" s="846" t="str">
        <f>IF($E626="","",IFERROR(VLOOKUP(CONCATENATE(CTR1_Billing!$E$20,CTR1_Local!$E626),'Local Data Previous Year'!$C$3:$D$20000,2,0),CTR1_Billing!$E$21&amp;"NEW"))</f>
        <v/>
      </c>
      <c r="C626" s="846">
        <v>594</v>
      </c>
      <c r="D626" s="755" t="str" cm="1">
        <f t="array" ref="D626">IF(ISERROR(INDEX('Local Data Previous Year'!$D$3:$D$20000,SMALL(IF(CTR1_Billing!$E$21='Local Data Previous Year'!$A$3:$A$20000,ROW('Local Data Previous Year'!$A$3:$A$20000)-ROW('Local Data Previous Year'!$A$3)+1),ROW(594:594)))),"",INDEX('Local Data Previous Year'!$D$3:$D$20000,SMALL(IF(CTR1_Billing!$E$21='Local Data Previous Year'!$A$3:$A$20000,ROW('Local Data Previous Year'!$A$3:$A$20000)-ROW('Local Data Previous Year'!$A$3)+1),ROW(594:594))))</f>
        <v/>
      </c>
      <c r="E626" s="755" t="str" cm="1">
        <f t="array" ref="E626">IF(ISERROR(INDEX('Local Data Previous Year'!$E$3:$E$20000,SMALL(IF(CTR1_Billing!$E$21='Local Data Previous Year'!$A$3:$A$20000,ROW('Local Data Previous Year'!$A$3:$A$20000)-ROW('Local Data Previous Year'!$A$3)+1),ROW(594:594)))),"",INDEX('Local Data Previous Year'!$E$3:$E$20000,SMALL(IF(CTR1_Billing!$E$21='Local Data Previous Year'!$A$3:$A$20000,ROW('Local Data Previous Year'!$A$3:$A$20000)-ROW('Local Data Previous Year'!$A$3)+1),ROW(594:594))))</f>
        <v/>
      </c>
      <c r="F626" s="756" t="str">
        <f>IF($D626="","",IF(ISNA(MATCH($D626,'Local Data Previous Year'!$D$3:$D$20000,0)),"New",IFERROR(VLOOKUP($B626,'Local Data Previous Year'!$D$3:$I$20000,6,0),"")))</f>
        <v/>
      </c>
      <c r="G626" s="757">
        <f t="shared" si="112"/>
        <v>0</v>
      </c>
      <c r="H626" s="758" t="str">
        <f>IFERROR(INDEX('Local Data Previous Year'!$F:$F, MATCH($D626, 'Local Data Previous Year'!$D:$D, 0)), "")</f>
        <v/>
      </c>
      <c r="I626" s="759">
        <f>IF(B626=CTR1_Billing!$E$21&amp;"NEW",1,0)</f>
        <v>0</v>
      </c>
      <c r="J626" s="760" t="str">
        <f>IFERROR(INDEX('Local Data Previous Year'!$G:$G, MATCH($D626, 'Local Data Previous Year'!$D:$D, 0)), "")</f>
        <v/>
      </c>
      <c r="K626" s="762"/>
      <c r="L626" s="760" t="str">
        <f>IFERROR(INDEX('Local Data Previous Year'!$H:$H, MATCH($D626, 'Local Data Previous Year'!$D:$D, 0)), "")</f>
        <v/>
      </c>
      <c r="M626" s="762"/>
      <c r="N626" s="763"/>
      <c r="O626" s="767"/>
      <c r="P626" s="765"/>
      <c r="Q626" s="767"/>
      <c r="R626" s="766" t="str">
        <f t="shared" si="127"/>
        <v/>
      </c>
      <c r="S626" s="754"/>
      <c r="T626" s="763"/>
      <c r="U626" s="754"/>
      <c r="V626" s="763"/>
      <c r="W626" s="763"/>
      <c r="X626" s="865" t="str">
        <f>VLOOKUP(CTR1_Billing!$E$21,Data!$C$6:$D$302,1,FALSE)</f>
        <v>EZZZZ</v>
      </c>
      <c r="Y626" s="205"/>
      <c r="Z626" s="205">
        <f t="shared" si="119"/>
        <v>0</v>
      </c>
      <c r="AA626" s="206" t="str">
        <f t="shared" si="118"/>
        <v/>
      </c>
      <c r="AB626" s="205">
        <f t="shared" si="120"/>
        <v>0</v>
      </c>
      <c r="AC626" s="208"/>
      <c r="AD626" s="208"/>
      <c r="AE626" s="208"/>
      <c r="AF626" s="208"/>
      <c r="AG626" s="209" t="str">
        <f>IFERROR(INDEX('Local Data Previous Year'!$F:$F, MATCH($D626, 'Local Data Previous Year'!$D:$D, 0)), "")</f>
        <v/>
      </c>
      <c r="AH626" s="209" t="str">
        <f>IFERROR(INDEX('Local Data Previous Year'!$G:$G, MATCH($D626, 'Local Data Previous Year'!$D:$D, 0)), "")</f>
        <v/>
      </c>
      <c r="AI626" s="209" t="str">
        <f>IFERROR(INDEX('Local Data Previous Year'!$H:$H, MATCH($D626, 'Local Data Previous Year'!$D:$D, 0)), "")</f>
        <v/>
      </c>
      <c r="AJ626" s="209" t="str">
        <f t="shared" si="121"/>
        <v/>
      </c>
      <c r="AK626" s="209" t="str">
        <f t="shared" si="116"/>
        <v/>
      </c>
      <c r="AL626" s="209" t="str">
        <f t="shared" si="117"/>
        <v/>
      </c>
      <c r="AM626" s="208" t="str">
        <f>IF($AN626="","",IFERROR(VLOOKUP(CONCATENATE(CTR1_Billing!$E$20,$AN626),'Local Data Previous Year'!$C$3:$D$50000,2,0),CTR1_Billing!$E$21&amp;"NEW"))</f>
        <v/>
      </c>
      <c r="AN626" s="209" t="str" cm="1">
        <f t="array" ref="AN626">IF(ISERROR(INDEX('Local Data Previous Year'!$E$3:$E$50000, SMALL(IF(CTR1_Billing!$E$21='Local Data Previous Year'!$A$3:$A$50000, ROW('Local Data Previous Year'!$A$3:$A$50000)-ROW('Local Data Previous Year'!$A$3)+1), ROW(594:594)))), "", INDEX('Local Data Previous Year'!$E$3:$E$50000, SMALL(IF(CTR1_Billing!$E$21='Local Data Previous Year'!$A$3:$A$50000, ROW('Local Data Previous Year'!$A$3:$A$50000)-ROW('Local Data Previous Year'!$A$3)+1), ROW(594:594))))</f>
        <v/>
      </c>
      <c r="AO626" s="209" t="str">
        <f t="shared" si="122"/>
        <v/>
      </c>
      <c r="AP626" s="208"/>
      <c r="AQ626" s="209" t="str">
        <f t="shared" si="123"/>
        <v/>
      </c>
      <c r="AR626" s="209" t="str">
        <f t="shared" si="124"/>
        <v/>
      </c>
      <c r="AS626" s="202" t="str">
        <f t="shared" si="125"/>
        <v/>
      </c>
      <c r="AT626" s="202" t="str">
        <f t="shared" si="126"/>
        <v/>
      </c>
      <c r="AU626" s="208"/>
      <c r="AV626" s="208"/>
      <c r="AW626" s="208"/>
      <c r="AX626" s="208"/>
      <c r="AY626" s="208"/>
      <c r="AZ626" s="208"/>
      <c r="BA626" s="208"/>
      <c r="BB626" s="208"/>
      <c r="BC626" s="208"/>
      <c r="BD626" s="208"/>
      <c r="BE626" s="208"/>
      <c r="BF626" s="208"/>
      <c r="BG626" s="28"/>
      <c r="BH626" s="28"/>
      <c r="BI626" s="28"/>
      <c r="BJ626" s="28"/>
    </row>
    <row r="627" spans="1:62" s="23" customFormat="1" ht="21" customHeight="1" thickBot="1" x14ac:dyDescent="0.25">
      <c r="A627" s="846" t="str">
        <f>IF($AN627="","",IFERROR(VLOOKUP(CONCATENATE(CTR1_Billing!$E$20,$AN627),'Local Data Previous Year'!$C$3:$D$20000,2,0),CTR1_Billing!$E$21&amp;"NEW"))</f>
        <v/>
      </c>
      <c r="B627" s="846" t="str">
        <f>IF($E627="","",IFERROR(VLOOKUP(CONCATENATE(CTR1_Billing!$E$20,CTR1_Local!$E627),'Local Data Previous Year'!$C$3:$D$20000,2,0),CTR1_Billing!$E$21&amp;"NEW"))</f>
        <v/>
      </c>
      <c r="C627" s="846">
        <v>595</v>
      </c>
      <c r="D627" s="755" t="str" cm="1">
        <f t="array" ref="D627">IF(ISERROR(INDEX('Local Data Previous Year'!$D$3:$D$20000,SMALL(IF(CTR1_Billing!$E$21='Local Data Previous Year'!$A$3:$A$20000,ROW('Local Data Previous Year'!$A$3:$A$20000)-ROW('Local Data Previous Year'!$A$3)+1),ROW(595:595)))),"",INDEX('Local Data Previous Year'!$D$3:$D$20000,SMALL(IF(CTR1_Billing!$E$21='Local Data Previous Year'!$A$3:$A$20000,ROW('Local Data Previous Year'!$A$3:$A$20000)-ROW('Local Data Previous Year'!$A$3)+1),ROW(595:595))))</f>
        <v/>
      </c>
      <c r="E627" s="755" t="str" cm="1">
        <f t="array" ref="E627">IF(ISERROR(INDEX('Local Data Previous Year'!$E$3:$E$20000,SMALL(IF(CTR1_Billing!$E$21='Local Data Previous Year'!$A$3:$A$20000,ROW('Local Data Previous Year'!$A$3:$A$20000)-ROW('Local Data Previous Year'!$A$3)+1),ROW(595:595)))),"",INDEX('Local Data Previous Year'!$E$3:$E$20000,SMALL(IF(CTR1_Billing!$E$21='Local Data Previous Year'!$A$3:$A$20000,ROW('Local Data Previous Year'!$A$3:$A$20000)-ROW('Local Data Previous Year'!$A$3)+1),ROW(595:595))))</f>
        <v/>
      </c>
      <c r="F627" s="756" t="str">
        <f>IF($D627="","",IF(ISNA(MATCH($D627,'Local Data Previous Year'!$D$3:$D$20000,0)),"New",IFERROR(VLOOKUP($B627,'Local Data Previous Year'!$D$3:$I$20000,6,0),"")))</f>
        <v/>
      </c>
      <c r="G627" s="757">
        <f t="shared" si="112"/>
        <v>0</v>
      </c>
      <c r="H627" s="758" t="str">
        <f>IFERROR(INDEX('Local Data Previous Year'!$F:$F, MATCH($D627, 'Local Data Previous Year'!$D:$D, 0)), "")</f>
        <v/>
      </c>
      <c r="I627" s="759">
        <f>IF(B627=CTR1_Billing!$E$21&amp;"NEW",1,0)</f>
        <v>0</v>
      </c>
      <c r="J627" s="760" t="str">
        <f>IFERROR(INDEX('Local Data Previous Year'!$G:$G, MATCH($D627, 'Local Data Previous Year'!$D:$D, 0)), "")</f>
        <v/>
      </c>
      <c r="K627" s="762"/>
      <c r="L627" s="760" t="str">
        <f>IFERROR(INDEX('Local Data Previous Year'!$H:$H, MATCH($D627, 'Local Data Previous Year'!$D:$D, 0)), "")</f>
        <v/>
      </c>
      <c r="M627" s="762"/>
      <c r="N627" s="763"/>
      <c r="O627" s="767"/>
      <c r="P627" s="765"/>
      <c r="Q627" s="767"/>
      <c r="R627" s="766" t="str">
        <f t="shared" si="127"/>
        <v/>
      </c>
      <c r="S627" s="754"/>
      <c r="T627" s="763"/>
      <c r="U627" s="754"/>
      <c r="V627" s="763"/>
      <c r="W627" s="763"/>
      <c r="X627" s="865" t="str">
        <f>VLOOKUP(CTR1_Billing!$E$21,Data!$C$6:$D$302,1,FALSE)</f>
        <v>EZZZZ</v>
      </c>
      <c r="Y627" s="205"/>
      <c r="Z627" s="205">
        <f t="shared" si="119"/>
        <v>0</v>
      </c>
      <c r="AA627" s="206" t="str">
        <f t="shared" si="118"/>
        <v/>
      </c>
      <c r="AB627" s="205">
        <f t="shared" si="120"/>
        <v>0</v>
      </c>
      <c r="AC627" s="208"/>
      <c r="AD627" s="208"/>
      <c r="AE627" s="208"/>
      <c r="AF627" s="208"/>
      <c r="AG627" s="209" t="str">
        <f>IFERROR(INDEX('Local Data Previous Year'!$F:$F, MATCH($D627, 'Local Data Previous Year'!$D:$D, 0)), "")</f>
        <v/>
      </c>
      <c r="AH627" s="209" t="str">
        <f>IFERROR(INDEX('Local Data Previous Year'!$G:$G, MATCH($D627, 'Local Data Previous Year'!$D:$D, 0)), "")</f>
        <v/>
      </c>
      <c r="AI627" s="209" t="str">
        <f>IFERROR(INDEX('Local Data Previous Year'!$H:$H, MATCH($D627, 'Local Data Previous Year'!$D:$D, 0)), "")</f>
        <v/>
      </c>
      <c r="AJ627" s="209" t="str">
        <f t="shared" si="121"/>
        <v/>
      </c>
      <c r="AK627" s="209" t="str">
        <f t="shared" si="116"/>
        <v/>
      </c>
      <c r="AL627" s="209" t="str">
        <f t="shared" si="117"/>
        <v/>
      </c>
      <c r="AM627" s="208" t="str">
        <f>IF($AN627="","",IFERROR(VLOOKUP(CONCATENATE(CTR1_Billing!$E$20,$AN627),'Local Data Previous Year'!$C$3:$D$50000,2,0),CTR1_Billing!$E$21&amp;"NEW"))</f>
        <v/>
      </c>
      <c r="AN627" s="209" t="str" cm="1">
        <f t="array" ref="AN627">IF(ISERROR(INDEX('Local Data Previous Year'!$E$3:$E$50000, SMALL(IF(CTR1_Billing!$E$21='Local Data Previous Year'!$A$3:$A$50000, ROW('Local Data Previous Year'!$A$3:$A$50000)-ROW('Local Data Previous Year'!$A$3)+1), ROW(595:595)))), "", INDEX('Local Data Previous Year'!$E$3:$E$50000, SMALL(IF(CTR1_Billing!$E$21='Local Data Previous Year'!$A$3:$A$50000, ROW('Local Data Previous Year'!$A$3:$A$50000)-ROW('Local Data Previous Year'!$A$3)+1), ROW(595:595))))</f>
        <v/>
      </c>
      <c r="AO627" s="209" t="str">
        <f t="shared" si="122"/>
        <v/>
      </c>
      <c r="AP627" s="208"/>
      <c r="AQ627" s="209" t="str">
        <f t="shared" si="123"/>
        <v/>
      </c>
      <c r="AR627" s="209" t="str">
        <f t="shared" si="124"/>
        <v/>
      </c>
      <c r="AS627" s="202" t="str">
        <f t="shared" si="125"/>
        <v/>
      </c>
      <c r="AT627" s="202" t="str">
        <f t="shared" si="126"/>
        <v/>
      </c>
      <c r="AU627" s="208"/>
      <c r="AV627" s="208"/>
      <c r="AW627" s="208"/>
      <c r="AX627" s="208"/>
      <c r="AY627" s="208"/>
      <c r="AZ627" s="208"/>
      <c r="BA627" s="208"/>
      <c r="BB627" s="208"/>
      <c r="BC627" s="208"/>
      <c r="BD627" s="208"/>
      <c r="BE627" s="208"/>
      <c r="BF627" s="208"/>
      <c r="BG627" s="28"/>
      <c r="BH627" s="28"/>
      <c r="BI627" s="28"/>
      <c r="BJ627" s="28"/>
    </row>
    <row r="628" spans="1:62" s="23" customFormat="1" ht="21" customHeight="1" thickBot="1" x14ac:dyDescent="0.25">
      <c r="A628" s="846" t="str">
        <f>IF($AN628="","",IFERROR(VLOOKUP(CONCATENATE(CTR1_Billing!$E$20,$AN628),'Local Data Previous Year'!$C$3:$D$20000,2,0),CTR1_Billing!$E$21&amp;"NEW"))</f>
        <v/>
      </c>
      <c r="B628" s="846" t="str">
        <f>IF($E628="","",IFERROR(VLOOKUP(CONCATENATE(CTR1_Billing!$E$20,CTR1_Local!$E628),'Local Data Previous Year'!$C$3:$D$20000,2,0),CTR1_Billing!$E$21&amp;"NEW"))</f>
        <v/>
      </c>
      <c r="C628" s="846">
        <v>596</v>
      </c>
      <c r="D628" s="755" t="str" cm="1">
        <f t="array" ref="D628">IF(ISERROR(INDEX('Local Data Previous Year'!$D$3:$D$20000,SMALL(IF(CTR1_Billing!$E$21='Local Data Previous Year'!$A$3:$A$20000,ROW('Local Data Previous Year'!$A$3:$A$20000)-ROW('Local Data Previous Year'!$A$3)+1),ROW(596:596)))),"",INDEX('Local Data Previous Year'!$D$3:$D$20000,SMALL(IF(CTR1_Billing!$E$21='Local Data Previous Year'!$A$3:$A$20000,ROW('Local Data Previous Year'!$A$3:$A$20000)-ROW('Local Data Previous Year'!$A$3)+1),ROW(596:596))))</f>
        <v/>
      </c>
      <c r="E628" s="755" t="str" cm="1">
        <f t="array" ref="E628">IF(ISERROR(INDEX('Local Data Previous Year'!$E$3:$E$20000,SMALL(IF(CTR1_Billing!$E$21='Local Data Previous Year'!$A$3:$A$20000,ROW('Local Data Previous Year'!$A$3:$A$20000)-ROW('Local Data Previous Year'!$A$3)+1),ROW(596:596)))),"",INDEX('Local Data Previous Year'!$E$3:$E$20000,SMALL(IF(CTR1_Billing!$E$21='Local Data Previous Year'!$A$3:$A$20000,ROW('Local Data Previous Year'!$A$3:$A$20000)-ROW('Local Data Previous Year'!$A$3)+1),ROW(596:596))))</f>
        <v/>
      </c>
      <c r="F628" s="756" t="str">
        <f>IF($D628="","",IF(ISNA(MATCH($D628,'Local Data Previous Year'!$D$3:$D$20000,0)),"New",IFERROR(VLOOKUP($B628,'Local Data Previous Year'!$D$3:$I$20000,6,0),"")))</f>
        <v/>
      </c>
      <c r="G628" s="757">
        <f t="shared" si="112"/>
        <v>0</v>
      </c>
      <c r="H628" s="758" t="str">
        <f>IFERROR(INDEX('Local Data Previous Year'!$F:$F, MATCH($D628, 'Local Data Previous Year'!$D:$D, 0)), "")</f>
        <v/>
      </c>
      <c r="I628" s="759">
        <f>IF(B628=CTR1_Billing!$E$21&amp;"NEW",1,0)</f>
        <v>0</v>
      </c>
      <c r="J628" s="760" t="str">
        <f>IFERROR(INDEX('Local Data Previous Year'!$G:$G, MATCH($D628, 'Local Data Previous Year'!$D:$D, 0)), "")</f>
        <v/>
      </c>
      <c r="K628" s="762"/>
      <c r="L628" s="760" t="str">
        <f>IFERROR(INDEX('Local Data Previous Year'!$H:$H, MATCH($D628, 'Local Data Previous Year'!$D:$D, 0)), "")</f>
        <v/>
      </c>
      <c r="M628" s="762"/>
      <c r="N628" s="763"/>
      <c r="O628" s="767"/>
      <c r="P628" s="765"/>
      <c r="Q628" s="767"/>
      <c r="R628" s="766" t="str">
        <f t="shared" si="127"/>
        <v/>
      </c>
      <c r="S628" s="754"/>
      <c r="T628" s="763"/>
      <c r="U628" s="754"/>
      <c r="V628" s="763"/>
      <c r="W628" s="763"/>
      <c r="X628" s="865" t="str">
        <f>VLOOKUP(CTR1_Billing!$E$21,Data!$C$6:$D$302,1,FALSE)</f>
        <v>EZZZZ</v>
      </c>
      <c r="Y628" s="205"/>
      <c r="Z628" s="205">
        <f t="shared" si="119"/>
        <v>0</v>
      </c>
      <c r="AA628" s="206" t="str">
        <f t="shared" si="118"/>
        <v/>
      </c>
      <c r="AB628" s="205">
        <f t="shared" si="120"/>
        <v>0</v>
      </c>
      <c r="AC628" s="208"/>
      <c r="AD628" s="208"/>
      <c r="AE628" s="208"/>
      <c r="AF628" s="208"/>
      <c r="AG628" s="209" t="str">
        <f>IFERROR(INDEX('Local Data Previous Year'!$F:$F, MATCH($D628, 'Local Data Previous Year'!$D:$D, 0)), "")</f>
        <v/>
      </c>
      <c r="AH628" s="209" t="str">
        <f>IFERROR(INDEX('Local Data Previous Year'!$G:$G, MATCH($D628, 'Local Data Previous Year'!$D:$D, 0)), "")</f>
        <v/>
      </c>
      <c r="AI628" s="209" t="str">
        <f>IFERROR(INDEX('Local Data Previous Year'!$H:$H, MATCH($D628, 'Local Data Previous Year'!$D:$D, 0)), "")</f>
        <v/>
      </c>
      <c r="AJ628" s="209" t="str">
        <f t="shared" si="121"/>
        <v/>
      </c>
      <c r="AK628" s="209" t="str">
        <f t="shared" si="116"/>
        <v/>
      </c>
      <c r="AL628" s="209" t="str">
        <f t="shared" si="117"/>
        <v/>
      </c>
      <c r="AM628" s="208" t="str">
        <f>IF($AN628="","",IFERROR(VLOOKUP(CONCATENATE(CTR1_Billing!$E$20,$AN628),'Local Data Previous Year'!$C$3:$D$50000,2,0),CTR1_Billing!$E$21&amp;"NEW"))</f>
        <v/>
      </c>
      <c r="AN628" s="209" t="str" cm="1">
        <f t="array" ref="AN628">IF(ISERROR(INDEX('Local Data Previous Year'!$E$3:$E$50000, SMALL(IF(CTR1_Billing!$E$21='Local Data Previous Year'!$A$3:$A$50000, ROW('Local Data Previous Year'!$A$3:$A$50000)-ROW('Local Data Previous Year'!$A$3)+1), ROW(596:596)))), "", INDEX('Local Data Previous Year'!$E$3:$E$50000, SMALL(IF(CTR1_Billing!$E$21='Local Data Previous Year'!$A$3:$A$50000, ROW('Local Data Previous Year'!$A$3:$A$50000)-ROW('Local Data Previous Year'!$A$3)+1), ROW(596:596))))</f>
        <v/>
      </c>
      <c r="AO628" s="209" t="str">
        <f t="shared" si="122"/>
        <v/>
      </c>
      <c r="AP628" s="208"/>
      <c r="AQ628" s="209" t="str">
        <f t="shared" si="123"/>
        <v/>
      </c>
      <c r="AR628" s="209" t="str">
        <f t="shared" si="124"/>
        <v/>
      </c>
      <c r="AS628" s="202" t="str">
        <f t="shared" si="125"/>
        <v/>
      </c>
      <c r="AT628" s="202" t="str">
        <f t="shared" si="126"/>
        <v/>
      </c>
      <c r="AU628" s="208"/>
      <c r="AV628" s="208"/>
      <c r="AW628" s="208"/>
      <c r="AX628" s="208"/>
      <c r="AY628" s="208"/>
      <c r="AZ628" s="208"/>
      <c r="BA628" s="208"/>
      <c r="BB628" s="208"/>
      <c r="BC628" s="208"/>
      <c r="BD628" s="208"/>
      <c r="BE628" s="208"/>
      <c r="BF628" s="208"/>
      <c r="BG628" s="28"/>
      <c r="BH628" s="28"/>
      <c r="BI628" s="28"/>
      <c r="BJ628" s="28"/>
    </row>
    <row r="629" spans="1:62" s="23" customFormat="1" ht="21" customHeight="1" thickBot="1" x14ac:dyDescent="0.25">
      <c r="A629" s="846" t="str">
        <f>IF($AN629="","",IFERROR(VLOOKUP(CONCATENATE(CTR1_Billing!$E$20,$AN629),'Local Data Previous Year'!$C$3:$D$20000,2,0),CTR1_Billing!$E$21&amp;"NEW"))</f>
        <v/>
      </c>
      <c r="B629" s="846" t="str">
        <f>IF($E629="","",IFERROR(VLOOKUP(CONCATENATE(CTR1_Billing!$E$20,CTR1_Local!$E629),'Local Data Previous Year'!$C$3:$D$20000,2,0),CTR1_Billing!$E$21&amp;"NEW"))</f>
        <v/>
      </c>
      <c r="C629" s="846">
        <v>597</v>
      </c>
      <c r="D629" s="755" t="str" cm="1">
        <f t="array" ref="D629">IF(ISERROR(INDEX('Local Data Previous Year'!$D$3:$D$20000,SMALL(IF(CTR1_Billing!$E$21='Local Data Previous Year'!$A$3:$A$20000,ROW('Local Data Previous Year'!$A$3:$A$20000)-ROW('Local Data Previous Year'!$A$3)+1),ROW(597:597)))),"",INDEX('Local Data Previous Year'!$D$3:$D$20000,SMALL(IF(CTR1_Billing!$E$21='Local Data Previous Year'!$A$3:$A$20000,ROW('Local Data Previous Year'!$A$3:$A$20000)-ROW('Local Data Previous Year'!$A$3)+1),ROW(597:597))))</f>
        <v/>
      </c>
      <c r="E629" s="755" t="str" cm="1">
        <f t="array" ref="E629">IF(ISERROR(INDEX('Local Data Previous Year'!$E$3:$E$20000,SMALL(IF(CTR1_Billing!$E$21='Local Data Previous Year'!$A$3:$A$20000,ROW('Local Data Previous Year'!$A$3:$A$20000)-ROW('Local Data Previous Year'!$A$3)+1),ROW(597:597)))),"",INDEX('Local Data Previous Year'!$E$3:$E$20000,SMALL(IF(CTR1_Billing!$E$21='Local Data Previous Year'!$A$3:$A$20000,ROW('Local Data Previous Year'!$A$3:$A$20000)-ROW('Local Data Previous Year'!$A$3)+1),ROW(597:597))))</f>
        <v/>
      </c>
      <c r="F629" s="756" t="str">
        <f>IF($D629="","",IF(ISNA(MATCH($D629,'Local Data Previous Year'!$D$3:$D$20000,0)),"New",IFERROR(VLOOKUP($B629,'Local Data Previous Year'!$D$3:$I$20000,6,0),"")))</f>
        <v/>
      </c>
      <c r="G629" s="757">
        <f t="shared" si="112"/>
        <v>0</v>
      </c>
      <c r="H629" s="758" t="str">
        <f>IFERROR(INDEX('Local Data Previous Year'!$F:$F, MATCH($D629, 'Local Data Previous Year'!$D:$D, 0)), "")</f>
        <v/>
      </c>
      <c r="I629" s="759">
        <f>IF(B629=CTR1_Billing!$E$21&amp;"NEW",1,0)</f>
        <v>0</v>
      </c>
      <c r="J629" s="760" t="str">
        <f>IFERROR(INDEX('Local Data Previous Year'!$G:$G, MATCH($D629, 'Local Data Previous Year'!$D:$D, 0)), "")</f>
        <v/>
      </c>
      <c r="K629" s="762"/>
      <c r="L629" s="760" t="str">
        <f>IFERROR(INDEX('Local Data Previous Year'!$H:$H, MATCH($D629, 'Local Data Previous Year'!$D:$D, 0)), "")</f>
        <v/>
      </c>
      <c r="M629" s="762"/>
      <c r="N629" s="763"/>
      <c r="O629" s="767"/>
      <c r="P629" s="765"/>
      <c r="Q629" s="767"/>
      <c r="R629" s="766" t="str">
        <f t="shared" si="127"/>
        <v/>
      </c>
      <c r="S629" s="754"/>
      <c r="T629" s="763"/>
      <c r="U629" s="754"/>
      <c r="V629" s="763"/>
      <c r="W629" s="763"/>
      <c r="X629" s="865" t="str">
        <f>VLOOKUP(CTR1_Billing!$E$21,Data!$C$6:$D$302,1,FALSE)</f>
        <v>EZZZZ</v>
      </c>
      <c r="Y629" s="205"/>
      <c r="Z629" s="205">
        <f t="shared" si="119"/>
        <v>0</v>
      </c>
      <c r="AA629" s="206" t="str">
        <f t="shared" si="118"/>
        <v/>
      </c>
      <c r="AB629" s="205">
        <f t="shared" si="120"/>
        <v>0</v>
      </c>
      <c r="AC629" s="208"/>
      <c r="AD629" s="208"/>
      <c r="AE629" s="208"/>
      <c r="AF629" s="208"/>
      <c r="AG629" s="209" t="str">
        <f>IFERROR(INDEX('Local Data Previous Year'!$F:$F, MATCH($D629, 'Local Data Previous Year'!$D:$D, 0)), "")</f>
        <v/>
      </c>
      <c r="AH629" s="209" t="str">
        <f>IFERROR(INDEX('Local Data Previous Year'!$G:$G, MATCH($D629, 'Local Data Previous Year'!$D:$D, 0)), "")</f>
        <v/>
      </c>
      <c r="AI629" s="209" t="str">
        <f>IFERROR(INDEX('Local Data Previous Year'!$H:$H, MATCH($D629, 'Local Data Previous Year'!$D:$D, 0)), "")</f>
        <v/>
      </c>
      <c r="AJ629" s="209" t="str">
        <f t="shared" si="121"/>
        <v/>
      </c>
      <c r="AK629" s="209" t="str">
        <f t="shared" si="116"/>
        <v/>
      </c>
      <c r="AL629" s="209" t="str">
        <f t="shared" si="117"/>
        <v/>
      </c>
      <c r="AM629" s="208" t="str">
        <f>IF($AN629="","",IFERROR(VLOOKUP(CONCATENATE(CTR1_Billing!$E$20,$AN629),'Local Data Previous Year'!$C$3:$D$50000,2,0),CTR1_Billing!$E$21&amp;"NEW"))</f>
        <v/>
      </c>
      <c r="AN629" s="209" t="str" cm="1">
        <f t="array" ref="AN629">IF(ISERROR(INDEX('Local Data Previous Year'!$E$3:$E$50000, SMALL(IF(CTR1_Billing!$E$21='Local Data Previous Year'!$A$3:$A$50000, ROW('Local Data Previous Year'!$A$3:$A$50000)-ROW('Local Data Previous Year'!$A$3)+1), ROW(597:597)))), "", INDEX('Local Data Previous Year'!$E$3:$E$50000, SMALL(IF(CTR1_Billing!$E$21='Local Data Previous Year'!$A$3:$A$50000, ROW('Local Data Previous Year'!$A$3:$A$50000)-ROW('Local Data Previous Year'!$A$3)+1), ROW(597:597))))</f>
        <v/>
      </c>
      <c r="AO629" s="209" t="str">
        <f t="shared" si="122"/>
        <v/>
      </c>
      <c r="AP629" s="208"/>
      <c r="AQ629" s="209" t="str">
        <f t="shared" si="123"/>
        <v/>
      </c>
      <c r="AR629" s="209" t="str">
        <f t="shared" si="124"/>
        <v/>
      </c>
      <c r="AS629" s="202" t="str">
        <f t="shared" si="125"/>
        <v/>
      </c>
      <c r="AT629" s="202" t="str">
        <f t="shared" si="126"/>
        <v/>
      </c>
      <c r="AU629" s="208"/>
      <c r="AV629" s="208"/>
      <c r="AW629" s="208"/>
      <c r="AX629" s="208"/>
      <c r="AY629" s="208"/>
      <c r="AZ629" s="208"/>
      <c r="BA629" s="208"/>
      <c r="BB629" s="208"/>
      <c r="BC629" s="208"/>
      <c r="BD629" s="208"/>
      <c r="BE629" s="208"/>
      <c r="BF629" s="208"/>
      <c r="BG629" s="28"/>
      <c r="BH629" s="28"/>
      <c r="BI629" s="28"/>
      <c r="BJ629" s="28"/>
    </row>
    <row r="630" spans="1:62" s="23" customFormat="1" ht="21" customHeight="1" thickBot="1" x14ac:dyDescent="0.25">
      <c r="A630" s="846" t="str">
        <f>IF($AN630="","",IFERROR(VLOOKUP(CONCATENATE(CTR1_Billing!$E$20,$AN630),'Local Data Previous Year'!$C$3:$D$20000,2,0),CTR1_Billing!$E$21&amp;"NEW"))</f>
        <v/>
      </c>
      <c r="B630" s="846" t="str">
        <f>IF($E630="","",IFERROR(VLOOKUP(CONCATENATE(CTR1_Billing!$E$20,CTR1_Local!$E630),'Local Data Previous Year'!$C$3:$D$20000,2,0),CTR1_Billing!$E$21&amp;"NEW"))</f>
        <v/>
      </c>
      <c r="C630" s="846">
        <v>598</v>
      </c>
      <c r="D630" s="755" t="str" cm="1">
        <f t="array" ref="D630">IF(ISERROR(INDEX('Local Data Previous Year'!$D$3:$D$20000,SMALL(IF(CTR1_Billing!$E$21='Local Data Previous Year'!$A$3:$A$20000,ROW('Local Data Previous Year'!$A$3:$A$20000)-ROW('Local Data Previous Year'!$A$3)+1),ROW(598:598)))),"",INDEX('Local Data Previous Year'!$D$3:$D$20000,SMALL(IF(CTR1_Billing!$E$21='Local Data Previous Year'!$A$3:$A$20000,ROW('Local Data Previous Year'!$A$3:$A$20000)-ROW('Local Data Previous Year'!$A$3)+1),ROW(598:598))))</f>
        <v/>
      </c>
      <c r="E630" s="755" t="str" cm="1">
        <f t="array" ref="E630">IF(ISERROR(INDEX('Local Data Previous Year'!$E$3:$E$20000,SMALL(IF(CTR1_Billing!$E$21='Local Data Previous Year'!$A$3:$A$20000,ROW('Local Data Previous Year'!$A$3:$A$20000)-ROW('Local Data Previous Year'!$A$3)+1),ROW(598:598)))),"",INDEX('Local Data Previous Year'!$E$3:$E$20000,SMALL(IF(CTR1_Billing!$E$21='Local Data Previous Year'!$A$3:$A$20000,ROW('Local Data Previous Year'!$A$3:$A$20000)-ROW('Local Data Previous Year'!$A$3)+1),ROW(598:598))))</f>
        <v/>
      </c>
      <c r="F630" s="756" t="str">
        <f>IF($D630="","",IF(ISNA(MATCH($D630,'Local Data Previous Year'!$D$3:$D$20000,0)),"New",IFERROR(VLOOKUP($B630,'Local Data Previous Year'!$D$3:$I$20000,6,0),"")))</f>
        <v/>
      </c>
      <c r="G630" s="757">
        <f t="shared" si="112"/>
        <v>0</v>
      </c>
      <c r="H630" s="758" t="str">
        <f>IFERROR(INDEX('Local Data Previous Year'!$F:$F, MATCH($D630, 'Local Data Previous Year'!$D:$D, 0)), "")</f>
        <v/>
      </c>
      <c r="I630" s="759">
        <f>IF(B630=CTR1_Billing!$E$21&amp;"NEW",1,0)</f>
        <v>0</v>
      </c>
      <c r="J630" s="760" t="str">
        <f>IFERROR(INDEX('Local Data Previous Year'!$G:$G, MATCH($D630, 'Local Data Previous Year'!$D:$D, 0)), "")</f>
        <v/>
      </c>
      <c r="K630" s="762"/>
      <c r="L630" s="760" t="str">
        <f>IFERROR(INDEX('Local Data Previous Year'!$H:$H, MATCH($D630, 'Local Data Previous Year'!$D:$D, 0)), "")</f>
        <v/>
      </c>
      <c r="M630" s="762"/>
      <c r="N630" s="763"/>
      <c r="O630" s="767"/>
      <c r="P630" s="765"/>
      <c r="Q630" s="767"/>
      <c r="R630" s="766" t="str">
        <f t="shared" si="127"/>
        <v/>
      </c>
      <c r="S630" s="754"/>
      <c r="T630" s="763"/>
      <c r="U630" s="754"/>
      <c r="V630" s="763"/>
      <c r="W630" s="763"/>
      <c r="X630" s="865" t="str">
        <f>VLOOKUP(CTR1_Billing!$E$21,Data!$C$6:$D$302,1,FALSE)</f>
        <v>EZZZZ</v>
      </c>
      <c r="Y630" s="205"/>
      <c r="Z630" s="205">
        <f t="shared" si="119"/>
        <v>0</v>
      </c>
      <c r="AA630" s="206" t="str">
        <f t="shared" si="118"/>
        <v/>
      </c>
      <c r="AB630" s="205">
        <f t="shared" si="120"/>
        <v>0</v>
      </c>
      <c r="AC630" s="208"/>
      <c r="AD630" s="208"/>
      <c r="AE630" s="208"/>
      <c r="AF630" s="208"/>
      <c r="AG630" s="209" t="str">
        <f>IFERROR(INDEX('Local Data Previous Year'!$F:$F, MATCH($D630, 'Local Data Previous Year'!$D:$D, 0)), "")</f>
        <v/>
      </c>
      <c r="AH630" s="209" t="str">
        <f>IFERROR(INDEX('Local Data Previous Year'!$G:$G, MATCH($D630, 'Local Data Previous Year'!$D:$D, 0)), "")</f>
        <v/>
      </c>
      <c r="AI630" s="209" t="str">
        <f>IFERROR(INDEX('Local Data Previous Year'!$H:$H, MATCH($D630, 'Local Data Previous Year'!$D:$D, 0)), "")</f>
        <v/>
      </c>
      <c r="AJ630" s="209" t="str">
        <f t="shared" si="121"/>
        <v/>
      </c>
      <c r="AK630" s="209" t="str">
        <f t="shared" si="116"/>
        <v/>
      </c>
      <c r="AL630" s="209" t="str">
        <f t="shared" si="117"/>
        <v/>
      </c>
      <c r="AM630" s="208" t="str">
        <f>IF($AN630="","",IFERROR(VLOOKUP(CONCATENATE(CTR1_Billing!$E$20,$AN630),'Local Data Previous Year'!$C$3:$D$50000,2,0),CTR1_Billing!$E$21&amp;"NEW"))</f>
        <v/>
      </c>
      <c r="AN630" s="209" t="str" cm="1">
        <f t="array" ref="AN630">IF(ISERROR(INDEX('Local Data Previous Year'!$E$3:$E$50000, SMALL(IF(CTR1_Billing!$E$21='Local Data Previous Year'!$A$3:$A$50000, ROW('Local Data Previous Year'!$A$3:$A$50000)-ROW('Local Data Previous Year'!$A$3)+1), ROW(598:598)))), "", INDEX('Local Data Previous Year'!$E$3:$E$50000, SMALL(IF(CTR1_Billing!$E$21='Local Data Previous Year'!$A$3:$A$50000, ROW('Local Data Previous Year'!$A$3:$A$50000)-ROW('Local Data Previous Year'!$A$3)+1), ROW(598:598))))</f>
        <v/>
      </c>
      <c r="AO630" s="209" t="str">
        <f t="shared" si="122"/>
        <v/>
      </c>
      <c r="AP630" s="208"/>
      <c r="AQ630" s="209" t="str">
        <f t="shared" si="123"/>
        <v/>
      </c>
      <c r="AR630" s="209" t="str">
        <f t="shared" si="124"/>
        <v/>
      </c>
      <c r="AS630" s="202" t="str">
        <f t="shared" si="125"/>
        <v/>
      </c>
      <c r="AT630" s="202" t="str">
        <f t="shared" si="126"/>
        <v/>
      </c>
      <c r="AU630" s="208"/>
      <c r="AV630" s="208"/>
      <c r="AW630" s="208"/>
      <c r="AX630" s="208"/>
      <c r="AY630" s="208"/>
      <c r="AZ630" s="208"/>
      <c r="BA630" s="208"/>
      <c r="BB630" s="208"/>
      <c r="BC630" s="208"/>
      <c r="BD630" s="208"/>
      <c r="BE630" s="208"/>
      <c r="BF630" s="208"/>
      <c r="BG630" s="28"/>
      <c r="BH630" s="28"/>
      <c r="BI630" s="28"/>
      <c r="BJ630" s="28"/>
    </row>
    <row r="631" spans="1:62" s="23" customFormat="1" ht="21" customHeight="1" thickBot="1" x14ac:dyDescent="0.25">
      <c r="A631" s="846" t="str">
        <f>IF($AN631="","",IFERROR(VLOOKUP(CONCATENATE(CTR1_Billing!$E$20,$AN631),'Local Data Previous Year'!$C$3:$D$20000,2,0),CTR1_Billing!$E$21&amp;"NEW"))</f>
        <v/>
      </c>
      <c r="B631" s="846" t="str">
        <f>IF($E631="","",IFERROR(VLOOKUP(CONCATENATE(CTR1_Billing!$E$20,CTR1_Local!$E631),'Local Data Previous Year'!$C$3:$D$20000,2,0),CTR1_Billing!$E$21&amp;"NEW"))</f>
        <v/>
      </c>
      <c r="C631" s="846">
        <v>599</v>
      </c>
      <c r="D631" s="755" t="str" cm="1">
        <f t="array" ref="D631">IF(ISERROR(INDEX('Local Data Previous Year'!$D$3:$D$20000,SMALL(IF(CTR1_Billing!$E$21='Local Data Previous Year'!$A$3:$A$20000,ROW('Local Data Previous Year'!$A$3:$A$20000)-ROW('Local Data Previous Year'!$A$3)+1),ROW(599:599)))),"",INDEX('Local Data Previous Year'!$D$3:$D$20000,SMALL(IF(CTR1_Billing!$E$21='Local Data Previous Year'!$A$3:$A$20000,ROW('Local Data Previous Year'!$A$3:$A$20000)-ROW('Local Data Previous Year'!$A$3)+1),ROW(599:599))))</f>
        <v/>
      </c>
      <c r="E631" s="755" t="str" cm="1">
        <f t="array" ref="E631">IF(ISERROR(INDEX('Local Data Previous Year'!$E$3:$E$20000,SMALL(IF(CTR1_Billing!$E$21='Local Data Previous Year'!$A$3:$A$20000,ROW('Local Data Previous Year'!$A$3:$A$20000)-ROW('Local Data Previous Year'!$A$3)+1),ROW(599:599)))),"",INDEX('Local Data Previous Year'!$E$3:$E$20000,SMALL(IF(CTR1_Billing!$E$21='Local Data Previous Year'!$A$3:$A$20000,ROW('Local Data Previous Year'!$A$3:$A$20000)-ROW('Local Data Previous Year'!$A$3)+1),ROW(599:599))))</f>
        <v/>
      </c>
      <c r="F631" s="756" t="str">
        <f>IF($D631="","",IF(ISNA(MATCH($D631,'Local Data Previous Year'!$D$3:$D$20000,0)),"New",IFERROR(VLOOKUP($B631,'Local Data Previous Year'!$D$3:$I$20000,6,0),"")))</f>
        <v/>
      </c>
      <c r="G631" s="757">
        <f t="shared" si="112"/>
        <v>0</v>
      </c>
      <c r="H631" s="758" t="str">
        <f>IFERROR(INDEX('Local Data Previous Year'!$F:$F, MATCH($D631, 'Local Data Previous Year'!$D:$D, 0)), "")</f>
        <v/>
      </c>
      <c r="I631" s="759">
        <f>IF(B631=CTR1_Billing!$E$21&amp;"NEW",1,0)</f>
        <v>0</v>
      </c>
      <c r="J631" s="760" t="str">
        <f>IFERROR(INDEX('Local Data Previous Year'!$G:$G, MATCH($D631, 'Local Data Previous Year'!$D:$D, 0)), "")</f>
        <v/>
      </c>
      <c r="K631" s="762"/>
      <c r="L631" s="760" t="str">
        <f>IFERROR(INDEX('Local Data Previous Year'!$H:$H, MATCH($D631, 'Local Data Previous Year'!$D:$D, 0)), "")</f>
        <v/>
      </c>
      <c r="M631" s="762"/>
      <c r="N631" s="763"/>
      <c r="O631" s="767"/>
      <c r="P631" s="765"/>
      <c r="Q631" s="767"/>
      <c r="R631" s="766" t="str">
        <f t="shared" si="127"/>
        <v/>
      </c>
      <c r="S631" s="754"/>
      <c r="T631" s="763"/>
      <c r="U631" s="754"/>
      <c r="V631" s="763"/>
      <c r="W631" s="763"/>
      <c r="X631" s="865" t="str">
        <f>VLOOKUP(CTR1_Billing!$E$21,Data!$C$6:$D$302,1,FALSE)</f>
        <v>EZZZZ</v>
      </c>
      <c r="Y631" s="205"/>
      <c r="Z631" s="205">
        <f t="shared" si="119"/>
        <v>0</v>
      </c>
      <c r="AA631" s="206" t="str">
        <f t="shared" si="118"/>
        <v/>
      </c>
      <c r="AB631" s="205">
        <f t="shared" si="120"/>
        <v>0</v>
      </c>
      <c r="AC631" s="208"/>
      <c r="AD631" s="208"/>
      <c r="AE631" s="208"/>
      <c r="AF631" s="208"/>
      <c r="AG631" s="209" t="str">
        <f>IFERROR(INDEX('Local Data Previous Year'!$F:$F, MATCH($D631, 'Local Data Previous Year'!$D:$D, 0)), "")</f>
        <v/>
      </c>
      <c r="AH631" s="209" t="str">
        <f>IFERROR(INDEX('Local Data Previous Year'!$G:$G, MATCH($D631, 'Local Data Previous Year'!$D:$D, 0)), "")</f>
        <v/>
      </c>
      <c r="AI631" s="209" t="str">
        <f>IFERROR(INDEX('Local Data Previous Year'!$H:$H, MATCH($D631, 'Local Data Previous Year'!$D:$D, 0)), "")</f>
        <v/>
      </c>
      <c r="AJ631" s="209" t="str">
        <f t="shared" si="121"/>
        <v/>
      </c>
      <c r="AK631" s="209" t="str">
        <f t="shared" si="116"/>
        <v/>
      </c>
      <c r="AL631" s="209" t="str">
        <f t="shared" si="117"/>
        <v/>
      </c>
      <c r="AM631" s="208" t="str">
        <f>IF($AN631="","",IFERROR(VLOOKUP(CONCATENATE(CTR1_Billing!$E$20,$AN631),'Local Data Previous Year'!$C$3:$D$50000,2,0),CTR1_Billing!$E$21&amp;"NEW"))</f>
        <v/>
      </c>
      <c r="AN631" s="209" t="str" cm="1">
        <f t="array" ref="AN631">IF(ISERROR(INDEX('Local Data Previous Year'!$E$3:$E$50000, SMALL(IF(CTR1_Billing!$E$21='Local Data Previous Year'!$A$3:$A$50000, ROW('Local Data Previous Year'!$A$3:$A$50000)-ROW('Local Data Previous Year'!$A$3)+1), ROW(599:599)))), "", INDEX('Local Data Previous Year'!$E$3:$E$50000, SMALL(IF(CTR1_Billing!$E$21='Local Data Previous Year'!$A$3:$A$50000, ROW('Local Data Previous Year'!$A$3:$A$50000)-ROW('Local Data Previous Year'!$A$3)+1), ROW(599:599))))</f>
        <v/>
      </c>
      <c r="AO631" s="209" t="str">
        <f t="shared" si="122"/>
        <v/>
      </c>
      <c r="AP631" s="208"/>
      <c r="AQ631" s="209" t="str">
        <f t="shared" si="123"/>
        <v/>
      </c>
      <c r="AR631" s="209" t="str">
        <f t="shared" si="124"/>
        <v/>
      </c>
      <c r="AS631" s="202" t="str">
        <f t="shared" si="125"/>
        <v/>
      </c>
      <c r="AT631" s="202" t="str">
        <f t="shared" si="126"/>
        <v/>
      </c>
      <c r="AU631" s="208"/>
      <c r="AV631" s="208"/>
      <c r="AW631" s="208"/>
      <c r="AX631" s="208"/>
      <c r="AY631" s="208"/>
      <c r="AZ631" s="208"/>
      <c r="BA631" s="208"/>
      <c r="BB631" s="208"/>
      <c r="BC631" s="208"/>
      <c r="BD631" s="208"/>
      <c r="BE631" s="208"/>
      <c r="BF631" s="208"/>
      <c r="BG631" s="28"/>
      <c r="BH631" s="28"/>
      <c r="BI631" s="28"/>
      <c r="BJ631" s="28"/>
    </row>
    <row r="632" spans="1:62" s="23" customFormat="1" ht="21" customHeight="1" thickBot="1" x14ac:dyDescent="0.25">
      <c r="A632" s="846" t="str">
        <f>IF($AN632="","",IFERROR(VLOOKUP(CONCATENATE(CTR1_Billing!$E$20,$AN632),'Local Data Previous Year'!$C$3:$D$20000,2,0),CTR1_Billing!$E$21&amp;"NEW"))</f>
        <v/>
      </c>
      <c r="B632" s="846" t="str">
        <f>IF($E632="","",IFERROR(VLOOKUP(CONCATENATE(CTR1_Billing!$E$20,CTR1_Local!$E632),'Local Data Previous Year'!$C$3:$D$20000,2,0),CTR1_Billing!$E$21&amp;"NEW"))</f>
        <v/>
      </c>
      <c r="C632" s="846">
        <v>600</v>
      </c>
      <c r="D632" s="755" t="str" cm="1">
        <f t="array" ref="D632">IF(ISERROR(INDEX('Local Data Previous Year'!$D$3:$D$20000,SMALL(IF(CTR1_Billing!$E$21='Local Data Previous Year'!$A$3:$A$20000,ROW('Local Data Previous Year'!$A$3:$A$20000)-ROW('Local Data Previous Year'!$A$3)+1),ROW(600:600)))),"",INDEX('Local Data Previous Year'!$D$3:$D$20000,SMALL(IF(CTR1_Billing!$E$21='Local Data Previous Year'!$A$3:$A$20000,ROW('Local Data Previous Year'!$A$3:$A$20000)-ROW('Local Data Previous Year'!$A$3)+1),ROW(600:600))))</f>
        <v/>
      </c>
      <c r="E632" s="755" t="str" cm="1">
        <f t="array" ref="E632">IF(ISERROR(INDEX('Local Data Previous Year'!$E$3:$E$20000,SMALL(IF(CTR1_Billing!$E$21='Local Data Previous Year'!$A$3:$A$20000,ROW('Local Data Previous Year'!$A$3:$A$20000)-ROW('Local Data Previous Year'!$A$3)+1),ROW(600:600)))),"",INDEX('Local Data Previous Year'!$E$3:$E$20000,SMALL(IF(CTR1_Billing!$E$21='Local Data Previous Year'!$A$3:$A$20000,ROW('Local Data Previous Year'!$A$3:$A$20000)-ROW('Local Data Previous Year'!$A$3)+1),ROW(600:600))))</f>
        <v/>
      </c>
      <c r="F632" s="756" t="str">
        <f>IF($D632="","",IF(ISNA(MATCH($D632,'Local Data Previous Year'!$D$3:$D$20000,0)),"New",IFERROR(VLOOKUP($B632,'Local Data Previous Year'!$D$3:$I$20000,6,0),"")))</f>
        <v/>
      </c>
      <c r="G632" s="757">
        <f t="shared" si="112"/>
        <v>0</v>
      </c>
      <c r="H632" s="758" t="str">
        <f>IFERROR(INDEX('Local Data Previous Year'!$F:$F, MATCH($D632, 'Local Data Previous Year'!$D:$D, 0)), "")</f>
        <v/>
      </c>
      <c r="I632" s="759">
        <f>IF(B632=CTR1_Billing!$E$21&amp;"NEW",1,0)</f>
        <v>0</v>
      </c>
      <c r="J632" s="760" t="str">
        <f>IFERROR(INDEX('Local Data Previous Year'!$G:$G, MATCH($D632, 'Local Data Previous Year'!$D:$D, 0)), "")</f>
        <v/>
      </c>
      <c r="K632" s="762"/>
      <c r="L632" s="760" t="str">
        <f>IFERROR(INDEX('Local Data Previous Year'!$H:$H, MATCH($D632, 'Local Data Previous Year'!$D:$D, 0)), "")</f>
        <v/>
      </c>
      <c r="M632" s="762"/>
      <c r="N632" s="763"/>
      <c r="O632" s="767"/>
      <c r="P632" s="765"/>
      <c r="Q632" s="767"/>
      <c r="R632" s="766" t="str">
        <f t="shared" si="127"/>
        <v/>
      </c>
      <c r="S632" s="754"/>
      <c r="T632" s="763"/>
      <c r="U632" s="754"/>
      <c r="V632" s="763"/>
      <c r="W632" s="763"/>
      <c r="X632" s="865" t="str">
        <f>VLOOKUP(CTR1_Billing!$E$21,Data!$C$6:$D$302,1,FALSE)</f>
        <v>EZZZZ</v>
      </c>
      <c r="Y632" s="205"/>
      <c r="Z632" s="205">
        <f t="shared" si="119"/>
        <v>0</v>
      </c>
      <c r="AA632" s="206" t="str">
        <f t="shared" si="118"/>
        <v/>
      </c>
      <c r="AB632" s="205">
        <f t="shared" si="120"/>
        <v>0</v>
      </c>
      <c r="AC632" s="208"/>
      <c r="AD632" s="208"/>
      <c r="AE632" s="208"/>
      <c r="AF632" s="208"/>
      <c r="AG632" s="209" t="str">
        <f>IFERROR(INDEX('Local Data Previous Year'!$F:$F, MATCH($D632, 'Local Data Previous Year'!$D:$D, 0)), "")</f>
        <v/>
      </c>
      <c r="AH632" s="209" t="str">
        <f>IFERROR(INDEX('Local Data Previous Year'!$G:$G, MATCH($D632, 'Local Data Previous Year'!$D:$D, 0)), "")</f>
        <v/>
      </c>
      <c r="AI632" s="209" t="str">
        <f>IFERROR(INDEX('Local Data Previous Year'!$H:$H, MATCH($D632, 'Local Data Previous Year'!$D:$D, 0)), "")</f>
        <v/>
      </c>
      <c r="AJ632" s="209" t="str">
        <f t="shared" si="121"/>
        <v/>
      </c>
      <c r="AK632" s="209" t="str">
        <f t="shared" si="116"/>
        <v/>
      </c>
      <c r="AL632" s="209" t="str">
        <f t="shared" si="117"/>
        <v/>
      </c>
      <c r="AM632" s="208" t="str">
        <f>IF($AN632="","",IFERROR(VLOOKUP(CONCATENATE(CTR1_Billing!$E$20,$AN632),'Local Data Previous Year'!$C$3:$D$50000,2,0),CTR1_Billing!$E$21&amp;"NEW"))</f>
        <v/>
      </c>
      <c r="AN632" s="209" t="str" cm="1">
        <f t="array" ref="AN632">IF(ISERROR(INDEX('Local Data Previous Year'!$E$3:$E$50000, SMALL(IF(CTR1_Billing!$E$21='Local Data Previous Year'!$A$3:$A$50000, ROW('Local Data Previous Year'!$A$3:$A$50000)-ROW('Local Data Previous Year'!$A$3)+1), ROW(600:600)))), "", INDEX('Local Data Previous Year'!$E$3:$E$50000, SMALL(IF(CTR1_Billing!$E$21='Local Data Previous Year'!$A$3:$A$50000, ROW('Local Data Previous Year'!$A$3:$A$50000)-ROW('Local Data Previous Year'!$A$3)+1), ROW(600:600))))</f>
        <v/>
      </c>
      <c r="AO632" s="209" t="str">
        <f t="shared" si="122"/>
        <v/>
      </c>
      <c r="AP632" s="208"/>
      <c r="AQ632" s="209" t="str">
        <f t="shared" si="123"/>
        <v/>
      </c>
      <c r="AR632" s="209" t="str">
        <f t="shared" si="124"/>
        <v/>
      </c>
      <c r="AS632" s="202" t="str">
        <f t="shared" si="125"/>
        <v/>
      </c>
      <c r="AT632" s="202" t="str">
        <f t="shared" si="126"/>
        <v/>
      </c>
      <c r="AU632" s="208"/>
      <c r="AV632" s="208"/>
      <c r="AW632" s="208"/>
      <c r="AX632" s="208"/>
      <c r="AY632" s="208"/>
      <c r="AZ632" s="208"/>
      <c r="BA632" s="208"/>
      <c r="BB632" s="208"/>
      <c r="BC632" s="208"/>
      <c r="BD632" s="208"/>
      <c r="BE632" s="208"/>
      <c r="BF632" s="208"/>
      <c r="BG632" s="28"/>
      <c r="BH632" s="28"/>
      <c r="BI632" s="28"/>
      <c r="BJ632" s="28"/>
    </row>
    <row r="633" spans="1:62" s="23" customFormat="1" ht="21" customHeight="1" thickBot="1" x14ac:dyDescent="0.25">
      <c r="A633" s="846" t="str">
        <f>IF($AN633="","",IFERROR(VLOOKUP(CONCATENATE(CTR1_Billing!$E$20,$AN633),'Local Data Previous Year'!$C$3:$D$20000,2,0),CTR1_Billing!$E$21&amp;"NEW"))</f>
        <v/>
      </c>
      <c r="B633" s="846" t="str">
        <f>IF($E633="","",IFERROR(VLOOKUP(CONCATENATE(CTR1_Billing!$E$20,CTR1_Local!$E633),'Local Data Previous Year'!$C$3:$D$20000,2,0),CTR1_Billing!$E$21&amp;"NEW"))</f>
        <v/>
      </c>
      <c r="C633" s="846">
        <v>601</v>
      </c>
      <c r="D633" s="755" t="str" cm="1">
        <f t="array" ref="D633">IF(ISERROR(INDEX('Local Data Previous Year'!$D$3:$D$20000,SMALL(IF(CTR1_Billing!$E$21='Local Data Previous Year'!$A$3:$A$20000,ROW('Local Data Previous Year'!$A$3:$A$20000)-ROW('Local Data Previous Year'!$A$3)+1),ROW(601:601)))),"",INDEX('Local Data Previous Year'!$D$3:$D$20000,SMALL(IF(CTR1_Billing!$E$21='Local Data Previous Year'!$A$3:$A$20000,ROW('Local Data Previous Year'!$A$3:$A$20000)-ROW('Local Data Previous Year'!$A$3)+1),ROW(601:601))))</f>
        <v/>
      </c>
      <c r="E633" s="755" t="str" cm="1">
        <f t="array" ref="E633">IF(ISERROR(INDEX('Local Data Previous Year'!$E$3:$E$20000,SMALL(IF(CTR1_Billing!$E$21='Local Data Previous Year'!$A$3:$A$20000,ROW('Local Data Previous Year'!$A$3:$A$20000)-ROW('Local Data Previous Year'!$A$3)+1),ROW(601:601)))),"",INDEX('Local Data Previous Year'!$E$3:$E$20000,SMALL(IF(CTR1_Billing!$E$21='Local Data Previous Year'!$A$3:$A$20000,ROW('Local Data Previous Year'!$A$3:$A$20000)-ROW('Local Data Previous Year'!$A$3)+1),ROW(601:601))))</f>
        <v/>
      </c>
      <c r="F633" s="756" t="str">
        <f>IF($D633="","",IF(ISNA(MATCH($D633,'Local Data Previous Year'!$D$3:$D$20000,0)),"New",IFERROR(VLOOKUP($B633,'Local Data Previous Year'!$D$3:$I$20000,6,0),"")))</f>
        <v/>
      </c>
      <c r="G633" s="757">
        <f t="shared" si="112"/>
        <v>0</v>
      </c>
      <c r="H633" s="758" t="str">
        <f>IFERROR(INDEX('Local Data Previous Year'!$F:$F, MATCH($D633, 'Local Data Previous Year'!$D:$D, 0)), "")</f>
        <v/>
      </c>
      <c r="I633" s="759">
        <f>IF(B633=CTR1_Billing!$E$21&amp;"NEW",1,0)</f>
        <v>0</v>
      </c>
      <c r="J633" s="760" t="str">
        <f>IFERROR(INDEX('Local Data Previous Year'!$G:$G, MATCH($D633, 'Local Data Previous Year'!$D:$D, 0)), "")</f>
        <v/>
      </c>
      <c r="K633" s="762"/>
      <c r="L633" s="760" t="str">
        <f>IFERROR(INDEX('Local Data Previous Year'!$H:$H, MATCH($D633, 'Local Data Previous Year'!$D:$D, 0)), "")</f>
        <v/>
      </c>
      <c r="M633" s="762"/>
      <c r="N633" s="763"/>
      <c r="O633" s="767"/>
      <c r="P633" s="765"/>
      <c r="Q633" s="767"/>
      <c r="R633" s="766" t="str">
        <f t="shared" si="127"/>
        <v/>
      </c>
      <c r="S633" s="754"/>
      <c r="T633" s="763"/>
      <c r="U633" s="754"/>
      <c r="V633" s="763"/>
      <c r="W633" s="763"/>
      <c r="X633" s="865" t="str">
        <f>VLOOKUP(CTR1_Billing!$E$21,Data!$C$6:$D$302,1,FALSE)</f>
        <v>EZZZZ</v>
      </c>
      <c r="Y633" s="205"/>
      <c r="Z633" s="205">
        <f t="shared" si="119"/>
        <v>0</v>
      </c>
      <c r="AA633" s="206" t="str">
        <f t="shared" si="118"/>
        <v/>
      </c>
      <c r="AB633" s="205">
        <f t="shared" si="120"/>
        <v>0</v>
      </c>
      <c r="AC633" s="208"/>
      <c r="AD633" s="208"/>
      <c r="AE633" s="208"/>
      <c r="AF633" s="208"/>
      <c r="AG633" s="209" t="str">
        <f>IFERROR(INDEX('Local Data Previous Year'!$F:$F, MATCH($D633, 'Local Data Previous Year'!$D:$D, 0)), "")</f>
        <v/>
      </c>
      <c r="AH633" s="209" t="str">
        <f>IFERROR(INDEX('Local Data Previous Year'!$G:$G, MATCH($D633, 'Local Data Previous Year'!$D:$D, 0)), "")</f>
        <v/>
      </c>
      <c r="AI633" s="209" t="str">
        <f>IFERROR(INDEX('Local Data Previous Year'!$H:$H, MATCH($D633, 'Local Data Previous Year'!$D:$D, 0)), "")</f>
        <v/>
      </c>
      <c r="AJ633" s="209" t="str">
        <f t="shared" si="121"/>
        <v/>
      </c>
      <c r="AK633" s="209" t="str">
        <f t="shared" si="116"/>
        <v/>
      </c>
      <c r="AL633" s="209" t="str">
        <f t="shared" si="117"/>
        <v/>
      </c>
      <c r="AM633" s="208" t="str">
        <f>IF($AN633="","",IFERROR(VLOOKUP(CONCATENATE(CTR1_Billing!$E$20,$AN633),'Local Data Previous Year'!$C$3:$D$50000,2,0),CTR1_Billing!$E$21&amp;"NEW"))</f>
        <v/>
      </c>
      <c r="AN633" s="209" t="str" cm="1">
        <f t="array" ref="AN633">IF(ISERROR(INDEX('Local Data Previous Year'!$E$3:$E$50000, SMALL(IF(CTR1_Billing!$E$21='Local Data Previous Year'!$A$3:$A$50000, ROW('Local Data Previous Year'!$A$3:$A$50000)-ROW('Local Data Previous Year'!$A$3)+1), ROW(601:601)))), "", INDEX('Local Data Previous Year'!$E$3:$E$50000, SMALL(IF(CTR1_Billing!$E$21='Local Data Previous Year'!$A$3:$A$50000, ROW('Local Data Previous Year'!$A$3:$A$50000)-ROW('Local Data Previous Year'!$A$3)+1), ROW(601:601))))</f>
        <v/>
      </c>
      <c r="AO633" s="209" t="str">
        <f t="shared" si="122"/>
        <v/>
      </c>
      <c r="AP633" s="208"/>
      <c r="AQ633" s="209" t="str">
        <f t="shared" si="123"/>
        <v/>
      </c>
      <c r="AR633" s="209" t="str">
        <f t="shared" si="124"/>
        <v/>
      </c>
      <c r="AS633" s="202" t="str">
        <f t="shared" si="125"/>
        <v/>
      </c>
      <c r="AT633" s="202" t="str">
        <f t="shared" si="126"/>
        <v/>
      </c>
      <c r="AU633" s="208"/>
      <c r="AV633" s="208"/>
      <c r="AW633" s="208"/>
      <c r="AX633" s="208"/>
      <c r="AY633" s="208"/>
      <c r="AZ633" s="208"/>
      <c r="BA633" s="208"/>
      <c r="BB633" s="208"/>
      <c r="BC633" s="208"/>
      <c r="BD633" s="208"/>
      <c r="BE633" s="208"/>
      <c r="BF633" s="208"/>
      <c r="BG633" s="28"/>
      <c r="BH633" s="28"/>
      <c r="BI633" s="28"/>
      <c r="BJ633" s="28"/>
    </row>
    <row r="634" spans="1:62" s="23" customFormat="1" ht="21" customHeight="1" thickBot="1" x14ac:dyDescent="0.25">
      <c r="A634" s="846" t="str">
        <f>IF($AN634="","",IFERROR(VLOOKUP(CONCATENATE(CTR1_Billing!$E$20,$AN634),'Local Data Previous Year'!$C$3:$D$20000,2,0),CTR1_Billing!$E$21&amp;"NEW"))</f>
        <v/>
      </c>
      <c r="B634" s="846" t="str">
        <f>IF($E634="","",IFERROR(VLOOKUP(CONCATENATE(CTR1_Billing!$E$20,CTR1_Local!$E634),'Local Data Previous Year'!$C$3:$D$20000,2,0),CTR1_Billing!$E$21&amp;"NEW"))</f>
        <v/>
      </c>
      <c r="C634" s="846">
        <v>602</v>
      </c>
      <c r="D634" s="755" t="str" cm="1">
        <f t="array" ref="D634">IF(ISERROR(INDEX('Local Data Previous Year'!$D$3:$D$20000,SMALL(IF(CTR1_Billing!$E$21='Local Data Previous Year'!$A$3:$A$20000,ROW('Local Data Previous Year'!$A$3:$A$20000)-ROW('Local Data Previous Year'!$A$3)+1),ROW(602:602)))),"",INDEX('Local Data Previous Year'!$D$3:$D$20000,SMALL(IF(CTR1_Billing!$E$21='Local Data Previous Year'!$A$3:$A$20000,ROW('Local Data Previous Year'!$A$3:$A$20000)-ROW('Local Data Previous Year'!$A$3)+1),ROW(602:602))))</f>
        <v/>
      </c>
      <c r="E634" s="755" t="str" cm="1">
        <f t="array" ref="E634">IF(ISERROR(INDEX('Local Data Previous Year'!$E$3:$E$20000,SMALL(IF(CTR1_Billing!$E$21='Local Data Previous Year'!$A$3:$A$20000,ROW('Local Data Previous Year'!$A$3:$A$20000)-ROW('Local Data Previous Year'!$A$3)+1),ROW(602:602)))),"",INDEX('Local Data Previous Year'!$E$3:$E$20000,SMALL(IF(CTR1_Billing!$E$21='Local Data Previous Year'!$A$3:$A$20000,ROW('Local Data Previous Year'!$A$3:$A$20000)-ROW('Local Data Previous Year'!$A$3)+1),ROW(602:602))))</f>
        <v/>
      </c>
      <c r="F634" s="756" t="str">
        <f>IF($D634="","",IF(ISNA(MATCH($D634,'Local Data Previous Year'!$D$3:$D$20000,0)),"New",IFERROR(VLOOKUP($B634,'Local Data Previous Year'!$D$3:$I$20000,6,0),"")))</f>
        <v/>
      </c>
      <c r="G634" s="757">
        <f t="shared" si="112"/>
        <v>0</v>
      </c>
      <c r="H634" s="758" t="str">
        <f>IFERROR(INDEX('Local Data Previous Year'!$F:$F, MATCH($D634, 'Local Data Previous Year'!$D:$D, 0)), "")</f>
        <v/>
      </c>
      <c r="I634" s="759">
        <f>IF(B634=CTR1_Billing!$E$21&amp;"NEW",1,0)</f>
        <v>0</v>
      </c>
      <c r="J634" s="760" t="str">
        <f>IFERROR(INDEX('Local Data Previous Year'!$G:$G, MATCH($D634, 'Local Data Previous Year'!$D:$D, 0)), "")</f>
        <v/>
      </c>
      <c r="K634" s="762"/>
      <c r="L634" s="760" t="str">
        <f>IFERROR(INDEX('Local Data Previous Year'!$H:$H, MATCH($D634, 'Local Data Previous Year'!$D:$D, 0)), "")</f>
        <v/>
      </c>
      <c r="M634" s="762"/>
      <c r="N634" s="763"/>
      <c r="O634" s="767"/>
      <c r="P634" s="765"/>
      <c r="Q634" s="767"/>
      <c r="R634" s="766" t="str">
        <f t="shared" si="127"/>
        <v/>
      </c>
      <c r="S634" s="754"/>
      <c r="T634" s="763"/>
      <c r="U634" s="754"/>
      <c r="V634" s="763"/>
      <c r="W634" s="763"/>
      <c r="X634" s="865" t="str">
        <f>VLOOKUP(CTR1_Billing!$E$21,Data!$C$6:$D$302,1,FALSE)</f>
        <v>EZZZZ</v>
      </c>
      <c r="Y634" s="205"/>
      <c r="Z634" s="205">
        <f t="shared" si="119"/>
        <v>0</v>
      </c>
      <c r="AA634" s="206" t="str">
        <f t="shared" si="118"/>
        <v/>
      </c>
      <c r="AB634" s="205">
        <f t="shared" si="120"/>
        <v>0</v>
      </c>
      <c r="AC634" s="208"/>
      <c r="AD634" s="208"/>
      <c r="AE634" s="208"/>
      <c r="AF634" s="208"/>
      <c r="AG634" s="209" t="str">
        <f>IFERROR(INDEX('Local Data Previous Year'!$F:$F, MATCH($D634, 'Local Data Previous Year'!$D:$D, 0)), "")</f>
        <v/>
      </c>
      <c r="AH634" s="209" t="str">
        <f>IFERROR(INDEX('Local Data Previous Year'!$G:$G, MATCH($D634, 'Local Data Previous Year'!$D:$D, 0)), "")</f>
        <v/>
      </c>
      <c r="AI634" s="209" t="str">
        <f>IFERROR(INDEX('Local Data Previous Year'!$H:$H, MATCH($D634, 'Local Data Previous Year'!$D:$D, 0)), "")</f>
        <v/>
      </c>
      <c r="AJ634" s="209" t="str">
        <f t="shared" si="121"/>
        <v/>
      </c>
      <c r="AK634" s="209" t="str">
        <f t="shared" si="116"/>
        <v/>
      </c>
      <c r="AL634" s="209" t="str">
        <f t="shared" si="117"/>
        <v/>
      </c>
      <c r="AM634" s="208" t="str">
        <f>IF($AN634="","",IFERROR(VLOOKUP(CONCATENATE(CTR1_Billing!$E$20,$AN634),'Local Data Previous Year'!$C$3:$D$50000,2,0),CTR1_Billing!$E$21&amp;"NEW"))</f>
        <v/>
      </c>
      <c r="AN634" s="209" t="str" cm="1">
        <f t="array" ref="AN634">IF(ISERROR(INDEX('Local Data Previous Year'!$E$3:$E$50000, SMALL(IF(CTR1_Billing!$E$21='Local Data Previous Year'!$A$3:$A$50000, ROW('Local Data Previous Year'!$A$3:$A$50000)-ROW('Local Data Previous Year'!$A$3)+1), ROW(602:602)))), "", INDEX('Local Data Previous Year'!$E$3:$E$50000, SMALL(IF(CTR1_Billing!$E$21='Local Data Previous Year'!$A$3:$A$50000, ROW('Local Data Previous Year'!$A$3:$A$50000)-ROW('Local Data Previous Year'!$A$3)+1), ROW(602:602))))</f>
        <v/>
      </c>
      <c r="AO634" s="209" t="str">
        <f t="shared" si="122"/>
        <v/>
      </c>
      <c r="AP634" s="208"/>
      <c r="AQ634" s="209" t="str">
        <f t="shared" si="123"/>
        <v/>
      </c>
      <c r="AR634" s="209" t="str">
        <f t="shared" si="124"/>
        <v/>
      </c>
      <c r="AS634" s="202" t="str">
        <f t="shared" si="125"/>
        <v/>
      </c>
      <c r="AT634" s="202" t="str">
        <f t="shared" si="126"/>
        <v/>
      </c>
      <c r="AU634" s="208"/>
      <c r="AV634" s="208"/>
      <c r="AW634" s="208"/>
      <c r="AX634" s="208"/>
      <c r="AY634" s="208"/>
      <c r="AZ634" s="208"/>
      <c r="BA634" s="208"/>
      <c r="BB634" s="208"/>
      <c r="BC634" s="208"/>
      <c r="BD634" s="208"/>
      <c r="BE634" s="208"/>
      <c r="BF634" s="208"/>
      <c r="BG634" s="28"/>
      <c r="BH634" s="28"/>
      <c r="BI634" s="28"/>
      <c r="BJ634" s="28"/>
    </row>
    <row r="635" spans="1:62" s="23" customFormat="1" ht="21" customHeight="1" thickBot="1" x14ac:dyDescent="0.25">
      <c r="A635" s="846" t="str">
        <f>IF($AN635="","",IFERROR(VLOOKUP(CONCATENATE(CTR1_Billing!$E$20,$AN635),'Local Data Previous Year'!$C$3:$D$20000,2,0),CTR1_Billing!$E$21&amp;"NEW"))</f>
        <v/>
      </c>
      <c r="B635" s="846" t="str">
        <f>IF($E635="","",IFERROR(VLOOKUP(CONCATENATE(CTR1_Billing!$E$20,CTR1_Local!$E635),'Local Data Previous Year'!$C$3:$D$20000,2,0),CTR1_Billing!$E$21&amp;"NEW"))</f>
        <v/>
      </c>
      <c r="C635" s="846">
        <v>603</v>
      </c>
      <c r="D635" s="755" t="str" cm="1">
        <f t="array" ref="D635">IF(ISERROR(INDEX('Local Data Previous Year'!$D$3:$D$20000,SMALL(IF(CTR1_Billing!$E$21='Local Data Previous Year'!$A$3:$A$20000,ROW('Local Data Previous Year'!$A$3:$A$20000)-ROW('Local Data Previous Year'!$A$3)+1),ROW(603:603)))),"",INDEX('Local Data Previous Year'!$D$3:$D$20000,SMALL(IF(CTR1_Billing!$E$21='Local Data Previous Year'!$A$3:$A$20000,ROW('Local Data Previous Year'!$A$3:$A$20000)-ROW('Local Data Previous Year'!$A$3)+1),ROW(603:603))))</f>
        <v/>
      </c>
      <c r="E635" s="755" t="str" cm="1">
        <f t="array" ref="E635">IF(ISERROR(INDEX('Local Data Previous Year'!$E$3:$E$20000,SMALL(IF(CTR1_Billing!$E$21='Local Data Previous Year'!$A$3:$A$20000,ROW('Local Data Previous Year'!$A$3:$A$20000)-ROW('Local Data Previous Year'!$A$3)+1),ROW(603:603)))),"",INDEX('Local Data Previous Year'!$E$3:$E$20000,SMALL(IF(CTR1_Billing!$E$21='Local Data Previous Year'!$A$3:$A$20000,ROW('Local Data Previous Year'!$A$3:$A$20000)-ROW('Local Data Previous Year'!$A$3)+1),ROW(603:603))))</f>
        <v/>
      </c>
      <c r="F635" s="756" t="str">
        <f>IF($D635="","",IF(ISNA(MATCH($D635,'Local Data Previous Year'!$D$3:$D$20000,0)),"New",IFERROR(VLOOKUP($B635,'Local Data Previous Year'!$D$3:$I$20000,6,0),"")))</f>
        <v/>
      </c>
      <c r="G635" s="757">
        <f t="shared" si="112"/>
        <v>0</v>
      </c>
      <c r="H635" s="758" t="str">
        <f>IFERROR(INDEX('Local Data Previous Year'!$F:$F, MATCH($D635, 'Local Data Previous Year'!$D:$D, 0)), "")</f>
        <v/>
      </c>
      <c r="I635" s="759">
        <f>IF(B635=CTR1_Billing!$E$21&amp;"NEW",1,0)</f>
        <v>0</v>
      </c>
      <c r="J635" s="760" t="str">
        <f>IFERROR(INDEX('Local Data Previous Year'!$G:$G, MATCH($D635, 'Local Data Previous Year'!$D:$D, 0)), "")</f>
        <v/>
      </c>
      <c r="K635" s="762"/>
      <c r="L635" s="760" t="str">
        <f>IFERROR(INDEX('Local Data Previous Year'!$H:$H, MATCH($D635, 'Local Data Previous Year'!$D:$D, 0)), "")</f>
        <v/>
      </c>
      <c r="M635" s="762"/>
      <c r="N635" s="763"/>
      <c r="O635" s="767"/>
      <c r="P635" s="765"/>
      <c r="Q635" s="767"/>
      <c r="R635" s="766" t="str">
        <f t="shared" si="127"/>
        <v/>
      </c>
      <c r="S635" s="754"/>
      <c r="T635" s="763"/>
      <c r="U635" s="754"/>
      <c r="V635" s="763"/>
      <c r="W635" s="763"/>
      <c r="X635" s="865" t="str">
        <f>VLOOKUP(CTR1_Billing!$E$21,Data!$C$6:$D$302,1,FALSE)</f>
        <v>EZZZZ</v>
      </c>
      <c r="Y635" s="205"/>
      <c r="Z635" s="205">
        <f t="shared" si="119"/>
        <v>0</v>
      </c>
      <c r="AA635" s="206" t="str">
        <f t="shared" si="118"/>
        <v/>
      </c>
      <c r="AB635" s="205">
        <f t="shared" si="120"/>
        <v>0</v>
      </c>
      <c r="AC635" s="208"/>
      <c r="AD635" s="208"/>
      <c r="AE635" s="208"/>
      <c r="AF635" s="208"/>
      <c r="AG635" s="209" t="str">
        <f>IFERROR(INDEX('Local Data Previous Year'!$F:$F, MATCH($D635, 'Local Data Previous Year'!$D:$D, 0)), "")</f>
        <v/>
      </c>
      <c r="AH635" s="209" t="str">
        <f>IFERROR(INDEX('Local Data Previous Year'!$G:$G, MATCH($D635, 'Local Data Previous Year'!$D:$D, 0)), "")</f>
        <v/>
      </c>
      <c r="AI635" s="209" t="str">
        <f>IFERROR(INDEX('Local Data Previous Year'!$H:$H, MATCH($D635, 'Local Data Previous Year'!$D:$D, 0)), "")</f>
        <v/>
      </c>
      <c r="AJ635" s="209" t="str">
        <f t="shared" si="121"/>
        <v/>
      </c>
      <c r="AK635" s="209" t="str">
        <f t="shared" si="116"/>
        <v/>
      </c>
      <c r="AL635" s="209" t="str">
        <f t="shared" si="117"/>
        <v/>
      </c>
      <c r="AM635" s="208" t="str">
        <f>IF($AN635="","",IFERROR(VLOOKUP(CONCATENATE(CTR1_Billing!$E$20,$AN635),'Local Data Previous Year'!$C$3:$D$50000,2,0),CTR1_Billing!$E$21&amp;"NEW"))</f>
        <v/>
      </c>
      <c r="AN635" s="209" t="str" cm="1">
        <f t="array" ref="AN635">IF(ISERROR(INDEX('Local Data Previous Year'!$E$3:$E$50000, SMALL(IF(CTR1_Billing!$E$21='Local Data Previous Year'!$A$3:$A$50000, ROW('Local Data Previous Year'!$A$3:$A$50000)-ROW('Local Data Previous Year'!$A$3)+1), ROW(603:603)))), "", INDEX('Local Data Previous Year'!$E$3:$E$50000, SMALL(IF(CTR1_Billing!$E$21='Local Data Previous Year'!$A$3:$A$50000, ROW('Local Data Previous Year'!$A$3:$A$50000)-ROW('Local Data Previous Year'!$A$3)+1), ROW(603:603))))</f>
        <v/>
      </c>
      <c r="AO635" s="209" t="str">
        <f t="shared" si="122"/>
        <v/>
      </c>
      <c r="AP635" s="208"/>
      <c r="AQ635" s="209" t="str">
        <f t="shared" si="123"/>
        <v/>
      </c>
      <c r="AR635" s="209" t="str">
        <f t="shared" si="124"/>
        <v/>
      </c>
      <c r="AS635" s="202" t="str">
        <f t="shared" si="125"/>
        <v/>
      </c>
      <c r="AT635" s="202" t="str">
        <f t="shared" si="126"/>
        <v/>
      </c>
      <c r="AU635" s="208"/>
      <c r="AV635" s="208"/>
      <c r="AW635" s="208"/>
      <c r="AX635" s="208"/>
      <c r="AY635" s="208"/>
      <c r="AZ635" s="208"/>
      <c r="BA635" s="208"/>
      <c r="BB635" s="208"/>
      <c r="BC635" s="208"/>
      <c r="BD635" s="208"/>
      <c r="BE635" s="208"/>
      <c r="BF635" s="208"/>
      <c r="BG635" s="28"/>
      <c r="BH635" s="28"/>
      <c r="BI635" s="28"/>
      <c r="BJ635" s="28"/>
    </row>
    <row r="636" spans="1:62" s="23" customFormat="1" ht="21" customHeight="1" thickBot="1" x14ac:dyDescent="0.25">
      <c r="A636" s="846" t="str">
        <f>IF($AN636="","",IFERROR(VLOOKUP(CONCATENATE(CTR1_Billing!$E$20,$AN636),'Local Data Previous Year'!$C$3:$D$20000,2,0),CTR1_Billing!$E$21&amp;"NEW"))</f>
        <v/>
      </c>
      <c r="B636" s="846" t="str">
        <f>IF($E636="","",IFERROR(VLOOKUP(CONCATENATE(CTR1_Billing!$E$20,CTR1_Local!$E636),'Local Data Previous Year'!$C$3:$D$20000,2,0),CTR1_Billing!$E$21&amp;"NEW"))</f>
        <v/>
      </c>
      <c r="C636" s="846">
        <v>604</v>
      </c>
      <c r="D636" s="755" t="str" cm="1">
        <f t="array" ref="D636">IF(ISERROR(INDEX('Local Data Previous Year'!$D$3:$D$20000,SMALL(IF(CTR1_Billing!$E$21='Local Data Previous Year'!$A$3:$A$20000,ROW('Local Data Previous Year'!$A$3:$A$20000)-ROW('Local Data Previous Year'!$A$3)+1),ROW(604:604)))),"",INDEX('Local Data Previous Year'!$D$3:$D$20000,SMALL(IF(CTR1_Billing!$E$21='Local Data Previous Year'!$A$3:$A$20000,ROW('Local Data Previous Year'!$A$3:$A$20000)-ROW('Local Data Previous Year'!$A$3)+1),ROW(604:604))))</f>
        <v/>
      </c>
      <c r="E636" s="755" t="str" cm="1">
        <f t="array" ref="E636">IF(ISERROR(INDEX('Local Data Previous Year'!$E$3:$E$20000,SMALL(IF(CTR1_Billing!$E$21='Local Data Previous Year'!$A$3:$A$20000,ROW('Local Data Previous Year'!$A$3:$A$20000)-ROW('Local Data Previous Year'!$A$3)+1),ROW(604:604)))),"",INDEX('Local Data Previous Year'!$E$3:$E$20000,SMALL(IF(CTR1_Billing!$E$21='Local Data Previous Year'!$A$3:$A$20000,ROW('Local Data Previous Year'!$A$3:$A$20000)-ROW('Local Data Previous Year'!$A$3)+1),ROW(604:604))))</f>
        <v/>
      </c>
      <c r="F636" s="756" t="str">
        <f>IF($D636="","",IF(ISNA(MATCH($D636,'Local Data Previous Year'!$D$3:$D$20000,0)),"New",IFERROR(VLOOKUP($B636,'Local Data Previous Year'!$D$3:$I$20000,6,0),"")))</f>
        <v/>
      </c>
      <c r="G636" s="757">
        <f t="shared" si="112"/>
        <v>0</v>
      </c>
      <c r="H636" s="758" t="str">
        <f>IFERROR(INDEX('Local Data Previous Year'!$F:$F, MATCH($D636, 'Local Data Previous Year'!$D:$D, 0)), "")</f>
        <v/>
      </c>
      <c r="I636" s="759">
        <f>IF(B636=CTR1_Billing!$E$21&amp;"NEW",1,0)</f>
        <v>0</v>
      </c>
      <c r="J636" s="760" t="str">
        <f>IFERROR(INDEX('Local Data Previous Year'!$G:$G, MATCH($D636, 'Local Data Previous Year'!$D:$D, 0)), "")</f>
        <v/>
      </c>
      <c r="K636" s="762"/>
      <c r="L636" s="760" t="str">
        <f>IFERROR(INDEX('Local Data Previous Year'!$H:$H, MATCH($D636, 'Local Data Previous Year'!$D:$D, 0)), "")</f>
        <v/>
      </c>
      <c r="M636" s="762"/>
      <c r="N636" s="763"/>
      <c r="O636" s="767"/>
      <c r="P636" s="765"/>
      <c r="Q636" s="767"/>
      <c r="R636" s="766" t="str">
        <f t="shared" si="127"/>
        <v/>
      </c>
      <c r="S636" s="754"/>
      <c r="T636" s="763"/>
      <c r="U636" s="754"/>
      <c r="V636" s="763"/>
      <c r="W636" s="763"/>
      <c r="X636" s="865" t="str">
        <f>VLOOKUP(CTR1_Billing!$E$21,Data!$C$6:$D$302,1,FALSE)</f>
        <v>EZZZZ</v>
      </c>
      <c r="Y636" s="205"/>
      <c r="Z636" s="205">
        <f t="shared" si="119"/>
        <v>0</v>
      </c>
      <c r="AA636" s="206" t="str">
        <f t="shared" si="118"/>
        <v/>
      </c>
      <c r="AB636" s="205">
        <f t="shared" si="120"/>
        <v>0</v>
      </c>
      <c r="AC636" s="208"/>
      <c r="AD636" s="208"/>
      <c r="AE636" s="208"/>
      <c r="AF636" s="208"/>
      <c r="AG636" s="209" t="str">
        <f>IFERROR(INDEX('Local Data Previous Year'!$F:$F, MATCH($D636, 'Local Data Previous Year'!$D:$D, 0)), "")</f>
        <v/>
      </c>
      <c r="AH636" s="209" t="str">
        <f>IFERROR(INDEX('Local Data Previous Year'!$G:$G, MATCH($D636, 'Local Data Previous Year'!$D:$D, 0)), "")</f>
        <v/>
      </c>
      <c r="AI636" s="209" t="str">
        <f>IFERROR(INDEX('Local Data Previous Year'!$H:$H, MATCH($D636, 'Local Data Previous Year'!$D:$D, 0)), "")</f>
        <v/>
      </c>
      <c r="AJ636" s="209" t="str">
        <f t="shared" si="121"/>
        <v/>
      </c>
      <c r="AK636" s="209" t="str">
        <f t="shared" si="116"/>
        <v/>
      </c>
      <c r="AL636" s="209" t="str">
        <f t="shared" si="117"/>
        <v/>
      </c>
      <c r="AM636" s="208" t="str">
        <f>IF($AN636="","",IFERROR(VLOOKUP(CONCATENATE(CTR1_Billing!$E$20,$AN636),'Local Data Previous Year'!$C$3:$D$50000,2,0),CTR1_Billing!$E$21&amp;"NEW"))</f>
        <v/>
      </c>
      <c r="AN636" s="209" t="str" cm="1">
        <f t="array" ref="AN636">IF(ISERROR(INDEX('Local Data Previous Year'!$E$3:$E$50000, SMALL(IF(CTR1_Billing!$E$21='Local Data Previous Year'!$A$3:$A$50000, ROW('Local Data Previous Year'!$A$3:$A$50000)-ROW('Local Data Previous Year'!$A$3)+1), ROW(604:604)))), "", INDEX('Local Data Previous Year'!$E$3:$E$50000, SMALL(IF(CTR1_Billing!$E$21='Local Data Previous Year'!$A$3:$A$50000, ROW('Local Data Previous Year'!$A$3:$A$50000)-ROW('Local Data Previous Year'!$A$3)+1), ROW(604:604))))</f>
        <v/>
      </c>
      <c r="AO636" s="209" t="str">
        <f t="shared" si="122"/>
        <v/>
      </c>
      <c r="AP636" s="208"/>
      <c r="AQ636" s="209" t="str">
        <f t="shared" si="123"/>
        <v/>
      </c>
      <c r="AR636" s="209" t="str">
        <f t="shared" si="124"/>
        <v/>
      </c>
      <c r="AS636" s="202" t="str">
        <f t="shared" si="125"/>
        <v/>
      </c>
      <c r="AT636" s="202" t="str">
        <f t="shared" si="126"/>
        <v/>
      </c>
      <c r="AU636" s="208"/>
      <c r="AV636" s="208"/>
      <c r="AW636" s="208"/>
      <c r="AX636" s="208"/>
      <c r="AY636" s="208"/>
      <c r="AZ636" s="208"/>
      <c r="BA636" s="208"/>
      <c r="BB636" s="208"/>
      <c r="BC636" s="208"/>
      <c r="BD636" s="208"/>
      <c r="BE636" s="208"/>
      <c r="BF636" s="208"/>
      <c r="BG636" s="28"/>
      <c r="BH636" s="28"/>
      <c r="BI636" s="28"/>
      <c r="BJ636" s="28"/>
    </row>
    <row r="637" spans="1:62" s="23" customFormat="1" ht="21" customHeight="1" thickBot="1" x14ac:dyDescent="0.25">
      <c r="A637" s="846" t="str">
        <f>IF($AN637="","",IFERROR(VLOOKUP(CONCATENATE(CTR1_Billing!$E$20,$AN637),'Local Data Previous Year'!$C$3:$D$20000,2,0),CTR1_Billing!$E$21&amp;"NEW"))</f>
        <v/>
      </c>
      <c r="B637" s="846" t="str">
        <f>IF($E637="","",IFERROR(VLOOKUP(CONCATENATE(CTR1_Billing!$E$20,CTR1_Local!$E637),'Local Data Previous Year'!$C$3:$D$20000,2,0),CTR1_Billing!$E$21&amp;"NEW"))</f>
        <v/>
      </c>
      <c r="C637" s="846">
        <v>605</v>
      </c>
      <c r="D637" s="755" t="str" cm="1">
        <f t="array" ref="D637">IF(ISERROR(INDEX('Local Data Previous Year'!$D$3:$D$20000,SMALL(IF(CTR1_Billing!$E$21='Local Data Previous Year'!$A$3:$A$20000,ROW('Local Data Previous Year'!$A$3:$A$20000)-ROW('Local Data Previous Year'!$A$3)+1),ROW(605:605)))),"",INDEX('Local Data Previous Year'!$D$3:$D$20000,SMALL(IF(CTR1_Billing!$E$21='Local Data Previous Year'!$A$3:$A$20000,ROW('Local Data Previous Year'!$A$3:$A$20000)-ROW('Local Data Previous Year'!$A$3)+1),ROW(605:605))))</f>
        <v/>
      </c>
      <c r="E637" s="755" t="str" cm="1">
        <f t="array" ref="E637">IF(ISERROR(INDEX('Local Data Previous Year'!$E$3:$E$20000,SMALL(IF(CTR1_Billing!$E$21='Local Data Previous Year'!$A$3:$A$20000,ROW('Local Data Previous Year'!$A$3:$A$20000)-ROW('Local Data Previous Year'!$A$3)+1),ROW(605:605)))),"",INDEX('Local Data Previous Year'!$E$3:$E$20000,SMALL(IF(CTR1_Billing!$E$21='Local Data Previous Year'!$A$3:$A$20000,ROW('Local Data Previous Year'!$A$3:$A$20000)-ROW('Local Data Previous Year'!$A$3)+1),ROW(605:605))))</f>
        <v/>
      </c>
      <c r="F637" s="756" t="str">
        <f>IF($D637="","",IF(ISNA(MATCH($D637,'Local Data Previous Year'!$D$3:$D$20000,0)),"New",IFERROR(VLOOKUP($B637,'Local Data Previous Year'!$D$3:$I$20000,6,0),"")))</f>
        <v/>
      </c>
      <c r="G637" s="757">
        <f t="shared" si="112"/>
        <v>0</v>
      </c>
      <c r="H637" s="758" t="str">
        <f>IFERROR(INDEX('Local Data Previous Year'!$F:$F, MATCH($D637, 'Local Data Previous Year'!$D:$D, 0)), "")</f>
        <v/>
      </c>
      <c r="I637" s="759">
        <f>IF(B637=CTR1_Billing!$E$21&amp;"NEW",1,0)</f>
        <v>0</v>
      </c>
      <c r="J637" s="760" t="str">
        <f>IFERROR(INDEX('Local Data Previous Year'!$G:$G, MATCH($D637, 'Local Data Previous Year'!$D:$D, 0)), "")</f>
        <v/>
      </c>
      <c r="K637" s="762"/>
      <c r="L637" s="760" t="str">
        <f>IFERROR(INDEX('Local Data Previous Year'!$H:$H, MATCH($D637, 'Local Data Previous Year'!$D:$D, 0)), "")</f>
        <v/>
      </c>
      <c r="M637" s="762"/>
      <c r="N637" s="763"/>
      <c r="O637" s="767"/>
      <c r="P637" s="765"/>
      <c r="Q637" s="767"/>
      <c r="R637" s="766" t="str">
        <f t="shared" si="127"/>
        <v/>
      </c>
      <c r="S637" s="754"/>
      <c r="T637" s="763"/>
      <c r="U637" s="754"/>
      <c r="V637" s="763"/>
      <c r="W637" s="763"/>
      <c r="X637" s="865" t="str">
        <f>VLOOKUP(CTR1_Billing!$E$21,Data!$C$6:$D$302,1,FALSE)</f>
        <v>EZZZZ</v>
      </c>
      <c r="Y637" s="205"/>
      <c r="Z637" s="205">
        <f t="shared" si="119"/>
        <v>0</v>
      </c>
      <c r="AA637" s="206" t="str">
        <f t="shared" si="118"/>
        <v/>
      </c>
      <c r="AB637" s="205">
        <f t="shared" si="120"/>
        <v>0</v>
      </c>
      <c r="AC637" s="208"/>
      <c r="AD637" s="208"/>
      <c r="AE637" s="208"/>
      <c r="AF637" s="208"/>
      <c r="AG637" s="209" t="str">
        <f>IFERROR(INDEX('Local Data Previous Year'!$F:$F, MATCH($D637, 'Local Data Previous Year'!$D:$D, 0)), "")</f>
        <v/>
      </c>
      <c r="AH637" s="209" t="str">
        <f>IFERROR(INDEX('Local Data Previous Year'!$G:$G, MATCH($D637, 'Local Data Previous Year'!$D:$D, 0)), "")</f>
        <v/>
      </c>
      <c r="AI637" s="209" t="str">
        <f>IFERROR(INDEX('Local Data Previous Year'!$H:$H, MATCH($D637, 'Local Data Previous Year'!$D:$D, 0)), "")</f>
        <v/>
      </c>
      <c r="AJ637" s="209" t="str">
        <f t="shared" si="121"/>
        <v/>
      </c>
      <c r="AK637" s="209" t="str">
        <f t="shared" si="116"/>
        <v/>
      </c>
      <c r="AL637" s="209" t="str">
        <f t="shared" si="117"/>
        <v/>
      </c>
      <c r="AM637" s="208" t="str">
        <f>IF($AN637="","",IFERROR(VLOOKUP(CONCATENATE(CTR1_Billing!$E$20,$AN637),'Local Data Previous Year'!$C$3:$D$50000,2,0),CTR1_Billing!$E$21&amp;"NEW"))</f>
        <v/>
      </c>
      <c r="AN637" s="209" t="str" cm="1">
        <f t="array" ref="AN637">IF(ISERROR(INDEX('Local Data Previous Year'!$E$3:$E$50000, SMALL(IF(CTR1_Billing!$E$21='Local Data Previous Year'!$A$3:$A$50000, ROW('Local Data Previous Year'!$A$3:$A$50000)-ROW('Local Data Previous Year'!$A$3)+1), ROW(605:605)))), "", INDEX('Local Data Previous Year'!$E$3:$E$50000, SMALL(IF(CTR1_Billing!$E$21='Local Data Previous Year'!$A$3:$A$50000, ROW('Local Data Previous Year'!$A$3:$A$50000)-ROW('Local Data Previous Year'!$A$3)+1), ROW(605:605))))</f>
        <v/>
      </c>
      <c r="AO637" s="209" t="str">
        <f t="shared" si="122"/>
        <v/>
      </c>
      <c r="AP637" s="208"/>
      <c r="AQ637" s="209" t="str">
        <f t="shared" si="123"/>
        <v/>
      </c>
      <c r="AR637" s="209" t="str">
        <f t="shared" si="124"/>
        <v/>
      </c>
      <c r="AS637" s="202" t="str">
        <f t="shared" si="125"/>
        <v/>
      </c>
      <c r="AT637" s="202" t="str">
        <f t="shared" si="126"/>
        <v/>
      </c>
      <c r="AU637" s="208"/>
      <c r="AV637" s="208"/>
      <c r="AW637" s="208"/>
      <c r="AX637" s="208"/>
      <c r="AY637" s="208"/>
      <c r="AZ637" s="208"/>
      <c r="BA637" s="208"/>
      <c r="BB637" s="208"/>
      <c r="BC637" s="208"/>
      <c r="BD637" s="208"/>
      <c r="BE637" s="208"/>
      <c r="BF637" s="208"/>
      <c r="BG637" s="28"/>
      <c r="BH637" s="28"/>
      <c r="BI637" s="28"/>
      <c r="BJ637" s="28"/>
    </row>
    <row r="638" spans="1:62" s="23" customFormat="1" ht="21" customHeight="1" thickBot="1" x14ac:dyDescent="0.25">
      <c r="A638" s="846" t="str">
        <f>IF($AN638="","",IFERROR(VLOOKUP(CONCATENATE(CTR1_Billing!$E$20,$AN638),'Local Data Previous Year'!$C$3:$D$20000,2,0),CTR1_Billing!$E$21&amp;"NEW"))</f>
        <v/>
      </c>
      <c r="B638" s="846" t="str">
        <f>IF($E638="","",IFERROR(VLOOKUP(CONCATENATE(CTR1_Billing!$E$20,CTR1_Local!$E638),'Local Data Previous Year'!$C$3:$D$20000,2,0),CTR1_Billing!$E$21&amp;"NEW"))</f>
        <v/>
      </c>
      <c r="C638" s="846">
        <v>606</v>
      </c>
      <c r="D638" s="755" t="str" cm="1">
        <f t="array" ref="D638">IF(ISERROR(INDEX('Local Data Previous Year'!$D$3:$D$20000,SMALL(IF(CTR1_Billing!$E$21='Local Data Previous Year'!$A$3:$A$20000,ROW('Local Data Previous Year'!$A$3:$A$20000)-ROW('Local Data Previous Year'!$A$3)+1),ROW(606:606)))),"",INDEX('Local Data Previous Year'!$D$3:$D$20000,SMALL(IF(CTR1_Billing!$E$21='Local Data Previous Year'!$A$3:$A$20000,ROW('Local Data Previous Year'!$A$3:$A$20000)-ROW('Local Data Previous Year'!$A$3)+1),ROW(606:606))))</f>
        <v/>
      </c>
      <c r="E638" s="755" t="str" cm="1">
        <f t="array" ref="E638">IF(ISERROR(INDEX('Local Data Previous Year'!$E$3:$E$20000,SMALL(IF(CTR1_Billing!$E$21='Local Data Previous Year'!$A$3:$A$20000,ROW('Local Data Previous Year'!$A$3:$A$20000)-ROW('Local Data Previous Year'!$A$3)+1),ROW(606:606)))),"",INDEX('Local Data Previous Year'!$E$3:$E$20000,SMALL(IF(CTR1_Billing!$E$21='Local Data Previous Year'!$A$3:$A$20000,ROW('Local Data Previous Year'!$A$3:$A$20000)-ROW('Local Data Previous Year'!$A$3)+1),ROW(606:606))))</f>
        <v/>
      </c>
      <c r="F638" s="756" t="str">
        <f>IF($D638="","",IF(ISNA(MATCH($D638,'Local Data Previous Year'!$D$3:$D$20000,0)),"New",IFERROR(VLOOKUP($B638,'Local Data Previous Year'!$D$3:$I$20000,6,0),"")))</f>
        <v/>
      </c>
      <c r="G638" s="757">
        <f t="shared" si="112"/>
        <v>0</v>
      </c>
      <c r="H638" s="758" t="str">
        <f>IFERROR(INDEX('Local Data Previous Year'!$F:$F, MATCH($D638, 'Local Data Previous Year'!$D:$D, 0)), "")</f>
        <v/>
      </c>
      <c r="I638" s="759">
        <f>IF(B638=CTR1_Billing!$E$21&amp;"NEW",1,0)</f>
        <v>0</v>
      </c>
      <c r="J638" s="760" t="str">
        <f>IFERROR(INDEX('Local Data Previous Year'!$G:$G, MATCH($D638, 'Local Data Previous Year'!$D:$D, 0)), "")</f>
        <v/>
      </c>
      <c r="K638" s="762"/>
      <c r="L638" s="760" t="str">
        <f>IFERROR(INDEX('Local Data Previous Year'!$H:$H, MATCH($D638, 'Local Data Previous Year'!$D:$D, 0)), "")</f>
        <v/>
      </c>
      <c r="M638" s="762"/>
      <c r="N638" s="763"/>
      <c r="O638" s="767"/>
      <c r="P638" s="765"/>
      <c r="Q638" s="767"/>
      <c r="R638" s="766" t="str">
        <f t="shared" si="127"/>
        <v/>
      </c>
      <c r="S638" s="754"/>
      <c r="T638" s="763"/>
      <c r="U638" s="754"/>
      <c r="V638" s="763"/>
      <c r="W638" s="763"/>
      <c r="X638" s="865" t="str">
        <f>VLOOKUP(CTR1_Billing!$E$21,Data!$C$6:$D$302,1,FALSE)</f>
        <v>EZZZZ</v>
      </c>
      <c r="Y638" s="205"/>
      <c r="Z638" s="205">
        <f t="shared" si="119"/>
        <v>0</v>
      </c>
      <c r="AA638" s="206" t="str">
        <f t="shared" si="118"/>
        <v/>
      </c>
      <c r="AB638" s="205">
        <f t="shared" si="120"/>
        <v>0</v>
      </c>
      <c r="AC638" s="208"/>
      <c r="AD638" s="208"/>
      <c r="AE638" s="208"/>
      <c r="AF638" s="208"/>
      <c r="AG638" s="209" t="str">
        <f>IFERROR(INDEX('Local Data Previous Year'!$F:$F, MATCH($D638, 'Local Data Previous Year'!$D:$D, 0)), "")</f>
        <v/>
      </c>
      <c r="AH638" s="209" t="str">
        <f>IFERROR(INDEX('Local Data Previous Year'!$G:$G, MATCH($D638, 'Local Data Previous Year'!$D:$D, 0)), "")</f>
        <v/>
      </c>
      <c r="AI638" s="209" t="str">
        <f>IFERROR(INDEX('Local Data Previous Year'!$H:$H, MATCH($D638, 'Local Data Previous Year'!$D:$D, 0)), "")</f>
        <v/>
      </c>
      <c r="AJ638" s="209" t="str">
        <f t="shared" si="121"/>
        <v/>
      </c>
      <c r="AK638" s="209" t="str">
        <f t="shared" si="116"/>
        <v/>
      </c>
      <c r="AL638" s="209" t="str">
        <f t="shared" si="117"/>
        <v/>
      </c>
      <c r="AM638" s="208" t="str">
        <f>IF($AN638="","",IFERROR(VLOOKUP(CONCATENATE(CTR1_Billing!$E$20,$AN638),'Local Data Previous Year'!$C$3:$D$50000,2,0),CTR1_Billing!$E$21&amp;"NEW"))</f>
        <v/>
      </c>
      <c r="AN638" s="209" t="str" cm="1">
        <f t="array" ref="AN638">IF(ISERROR(INDEX('Local Data Previous Year'!$E$3:$E$50000, SMALL(IF(CTR1_Billing!$E$21='Local Data Previous Year'!$A$3:$A$50000, ROW('Local Data Previous Year'!$A$3:$A$50000)-ROW('Local Data Previous Year'!$A$3)+1), ROW(606:606)))), "", INDEX('Local Data Previous Year'!$E$3:$E$50000, SMALL(IF(CTR1_Billing!$E$21='Local Data Previous Year'!$A$3:$A$50000, ROW('Local Data Previous Year'!$A$3:$A$50000)-ROW('Local Data Previous Year'!$A$3)+1), ROW(606:606))))</f>
        <v/>
      </c>
      <c r="AO638" s="209" t="str">
        <f t="shared" si="122"/>
        <v/>
      </c>
      <c r="AP638" s="208"/>
      <c r="AQ638" s="209" t="str">
        <f t="shared" si="123"/>
        <v/>
      </c>
      <c r="AR638" s="209" t="str">
        <f t="shared" si="124"/>
        <v/>
      </c>
      <c r="AS638" s="202" t="str">
        <f t="shared" si="125"/>
        <v/>
      </c>
      <c r="AT638" s="202" t="str">
        <f t="shared" si="126"/>
        <v/>
      </c>
      <c r="AU638" s="208"/>
      <c r="AV638" s="208"/>
      <c r="AW638" s="208"/>
      <c r="AX638" s="208"/>
      <c r="AY638" s="208"/>
      <c r="AZ638" s="208"/>
      <c r="BA638" s="208"/>
      <c r="BB638" s="208"/>
      <c r="BC638" s="208"/>
      <c r="BD638" s="208"/>
      <c r="BE638" s="208"/>
      <c r="BF638" s="208"/>
      <c r="BG638" s="28"/>
      <c r="BH638" s="28"/>
      <c r="BI638" s="28"/>
      <c r="BJ638" s="28"/>
    </row>
    <row r="639" spans="1:62" s="23" customFormat="1" ht="21" customHeight="1" thickBot="1" x14ac:dyDescent="0.25">
      <c r="A639" s="846" t="str">
        <f>IF($AN639="","",IFERROR(VLOOKUP(CONCATENATE(CTR1_Billing!$E$20,$AN639),'Local Data Previous Year'!$C$3:$D$20000,2,0),CTR1_Billing!$E$21&amp;"NEW"))</f>
        <v/>
      </c>
      <c r="B639" s="846" t="str">
        <f>IF($E639="","",IFERROR(VLOOKUP(CONCATENATE(CTR1_Billing!$E$20,CTR1_Local!$E639),'Local Data Previous Year'!$C$3:$D$20000,2,0),CTR1_Billing!$E$21&amp;"NEW"))</f>
        <v/>
      </c>
      <c r="C639" s="846">
        <v>607</v>
      </c>
      <c r="D639" s="755" t="str" cm="1">
        <f t="array" ref="D639">IF(ISERROR(INDEX('Local Data Previous Year'!$D$3:$D$20000,SMALL(IF(CTR1_Billing!$E$21='Local Data Previous Year'!$A$3:$A$20000,ROW('Local Data Previous Year'!$A$3:$A$20000)-ROW('Local Data Previous Year'!$A$3)+1),ROW(607:607)))),"",INDEX('Local Data Previous Year'!$D$3:$D$20000,SMALL(IF(CTR1_Billing!$E$21='Local Data Previous Year'!$A$3:$A$20000,ROW('Local Data Previous Year'!$A$3:$A$20000)-ROW('Local Data Previous Year'!$A$3)+1),ROW(607:607))))</f>
        <v/>
      </c>
      <c r="E639" s="755" t="str" cm="1">
        <f t="array" ref="E639">IF(ISERROR(INDEX('Local Data Previous Year'!$E$3:$E$20000,SMALL(IF(CTR1_Billing!$E$21='Local Data Previous Year'!$A$3:$A$20000,ROW('Local Data Previous Year'!$A$3:$A$20000)-ROW('Local Data Previous Year'!$A$3)+1),ROW(607:607)))),"",INDEX('Local Data Previous Year'!$E$3:$E$20000,SMALL(IF(CTR1_Billing!$E$21='Local Data Previous Year'!$A$3:$A$20000,ROW('Local Data Previous Year'!$A$3:$A$20000)-ROW('Local Data Previous Year'!$A$3)+1),ROW(607:607))))</f>
        <v/>
      </c>
      <c r="F639" s="756" t="str">
        <f>IF($D639="","",IF(ISNA(MATCH($D639,'Local Data Previous Year'!$D$3:$D$20000,0)),"New",IFERROR(VLOOKUP($B639,'Local Data Previous Year'!$D$3:$I$20000,6,0),"")))</f>
        <v/>
      </c>
      <c r="G639" s="757">
        <f t="shared" si="112"/>
        <v>0</v>
      </c>
      <c r="H639" s="758" t="str">
        <f>IFERROR(INDEX('Local Data Previous Year'!$F:$F, MATCH($D639, 'Local Data Previous Year'!$D:$D, 0)), "")</f>
        <v/>
      </c>
      <c r="I639" s="759">
        <f>IF(B639=CTR1_Billing!$E$21&amp;"NEW",1,0)</f>
        <v>0</v>
      </c>
      <c r="J639" s="760" t="str">
        <f>IFERROR(INDEX('Local Data Previous Year'!$G:$G, MATCH($D639, 'Local Data Previous Year'!$D:$D, 0)), "")</f>
        <v/>
      </c>
      <c r="K639" s="762"/>
      <c r="L639" s="760" t="str">
        <f>IFERROR(INDEX('Local Data Previous Year'!$H:$H, MATCH($D639, 'Local Data Previous Year'!$D:$D, 0)), "")</f>
        <v/>
      </c>
      <c r="M639" s="762"/>
      <c r="N639" s="763"/>
      <c r="O639" s="767"/>
      <c r="P639" s="765"/>
      <c r="Q639" s="767"/>
      <c r="R639" s="766" t="str">
        <f t="shared" si="127"/>
        <v/>
      </c>
      <c r="S639" s="754"/>
      <c r="T639" s="763"/>
      <c r="U639" s="754"/>
      <c r="V639" s="763"/>
      <c r="W639" s="763"/>
      <c r="X639" s="865" t="str">
        <f>VLOOKUP(CTR1_Billing!$E$21,Data!$C$6:$D$302,1,FALSE)</f>
        <v>EZZZZ</v>
      </c>
      <c r="Y639" s="205"/>
      <c r="Z639" s="205">
        <f t="shared" si="119"/>
        <v>0</v>
      </c>
      <c r="AA639" s="206" t="str">
        <f t="shared" si="118"/>
        <v/>
      </c>
      <c r="AB639" s="205">
        <f t="shared" si="120"/>
        <v>0</v>
      </c>
      <c r="AC639" s="208"/>
      <c r="AD639" s="208"/>
      <c r="AE639" s="208"/>
      <c r="AF639" s="208"/>
      <c r="AG639" s="209" t="str">
        <f>IFERROR(INDEX('Local Data Previous Year'!$F:$F, MATCH($D639, 'Local Data Previous Year'!$D:$D, 0)), "")</f>
        <v/>
      </c>
      <c r="AH639" s="209" t="str">
        <f>IFERROR(INDEX('Local Data Previous Year'!$G:$G, MATCH($D639, 'Local Data Previous Year'!$D:$D, 0)), "")</f>
        <v/>
      </c>
      <c r="AI639" s="209" t="str">
        <f>IFERROR(INDEX('Local Data Previous Year'!$H:$H, MATCH($D639, 'Local Data Previous Year'!$D:$D, 0)), "")</f>
        <v/>
      </c>
      <c r="AJ639" s="209" t="str">
        <f t="shared" si="121"/>
        <v/>
      </c>
      <c r="AK639" s="209" t="str">
        <f t="shared" si="116"/>
        <v/>
      </c>
      <c r="AL639" s="209" t="str">
        <f t="shared" si="117"/>
        <v/>
      </c>
      <c r="AM639" s="208" t="str">
        <f>IF($AN639="","",IFERROR(VLOOKUP(CONCATENATE(CTR1_Billing!$E$20,$AN639),'Local Data Previous Year'!$C$3:$D$50000,2,0),CTR1_Billing!$E$21&amp;"NEW"))</f>
        <v/>
      </c>
      <c r="AN639" s="209" t="str" cm="1">
        <f t="array" ref="AN639">IF(ISERROR(INDEX('Local Data Previous Year'!$E$3:$E$50000, SMALL(IF(CTR1_Billing!$E$21='Local Data Previous Year'!$A$3:$A$50000, ROW('Local Data Previous Year'!$A$3:$A$50000)-ROW('Local Data Previous Year'!$A$3)+1), ROW(607:607)))), "", INDEX('Local Data Previous Year'!$E$3:$E$50000, SMALL(IF(CTR1_Billing!$E$21='Local Data Previous Year'!$A$3:$A$50000, ROW('Local Data Previous Year'!$A$3:$A$50000)-ROW('Local Data Previous Year'!$A$3)+1), ROW(607:607))))</f>
        <v/>
      </c>
      <c r="AO639" s="209" t="str">
        <f t="shared" si="122"/>
        <v/>
      </c>
      <c r="AP639" s="208"/>
      <c r="AQ639" s="209" t="str">
        <f t="shared" si="123"/>
        <v/>
      </c>
      <c r="AR639" s="209" t="str">
        <f t="shared" si="124"/>
        <v/>
      </c>
      <c r="AS639" s="202" t="str">
        <f t="shared" si="125"/>
        <v/>
      </c>
      <c r="AT639" s="202" t="str">
        <f t="shared" si="126"/>
        <v/>
      </c>
      <c r="AU639" s="208"/>
      <c r="AV639" s="208"/>
      <c r="AW639" s="208"/>
      <c r="AX639" s="208"/>
      <c r="AY639" s="208"/>
      <c r="AZ639" s="208"/>
      <c r="BA639" s="208"/>
      <c r="BB639" s="208"/>
      <c r="BC639" s="208"/>
      <c r="BD639" s="208"/>
      <c r="BE639" s="208"/>
      <c r="BF639" s="208"/>
      <c r="BG639" s="28"/>
      <c r="BH639" s="28"/>
      <c r="BI639" s="28"/>
      <c r="BJ639" s="28"/>
    </row>
    <row r="640" spans="1:62" s="23" customFormat="1" ht="21" customHeight="1" thickBot="1" x14ac:dyDescent="0.25">
      <c r="A640" s="846" t="str">
        <f>IF($AN640="","",IFERROR(VLOOKUP(CONCATENATE(CTR1_Billing!$E$20,$AN640),'Local Data Previous Year'!$C$3:$D$20000,2,0),CTR1_Billing!$E$21&amp;"NEW"))</f>
        <v/>
      </c>
      <c r="B640" s="846" t="str">
        <f>IF($E640="","",IFERROR(VLOOKUP(CONCATENATE(CTR1_Billing!$E$20,CTR1_Local!$E640),'Local Data Previous Year'!$C$3:$D$20000,2,0),CTR1_Billing!$E$21&amp;"NEW"))</f>
        <v/>
      </c>
      <c r="C640" s="846">
        <v>608</v>
      </c>
      <c r="D640" s="755" t="str" cm="1">
        <f t="array" ref="D640">IF(ISERROR(INDEX('Local Data Previous Year'!$D$3:$D$20000,SMALL(IF(CTR1_Billing!$E$21='Local Data Previous Year'!$A$3:$A$20000,ROW('Local Data Previous Year'!$A$3:$A$20000)-ROW('Local Data Previous Year'!$A$3)+1),ROW(608:608)))),"",INDEX('Local Data Previous Year'!$D$3:$D$20000,SMALL(IF(CTR1_Billing!$E$21='Local Data Previous Year'!$A$3:$A$20000,ROW('Local Data Previous Year'!$A$3:$A$20000)-ROW('Local Data Previous Year'!$A$3)+1),ROW(608:608))))</f>
        <v/>
      </c>
      <c r="E640" s="755" t="str" cm="1">
        <f t="array" ref="E640">IF(ISERROR(INDEX('Local Data Previous Year'!$E$3:$E$20000,SMALL(IF(CTR1_Billing!$E$21='Local Data Previous Year'!$A$3:$A$20000,ROW('Local Data Previous Year'!$A$3:$A$20000)-ROW('Local Data Previous Year'!$A$3)+1),ROW(608:608)))),"",INDEX('Local Data Previous Year'!$E$3:$E$20000,SMALL(IF(CTR1_Billing!$E$21='Local Data Previous Year'!$A$3:$A$20000,ROW('Local Data Previous Year'!$A$3:$A$20000)-ROW('Local Data Previous Year'!$A$3)+1),ROW(608:608))))</f>
        <v/>
      </c>
      <c r="F640" s="756" t="str">
        <f>IF($D640="","",IF(ISNA(MATCH($D640,'Local Data Previous Year'!$D$3:$D$20000,0)),"New",IFERROR(VLOOKUP($B640,'Local Data Previous Year'!$D$3:$I$20000,6,0),"")))</f>
        <v/>
      </c>
      <c r="G640" s="757">
        <f t="shared" si="112"/>
        <v>0</v>
      </c>
      <c r="H640" s="758" t="str">
        <f>IFERROR(INDEX('Local Data Previous Year'!$F:$F, MATCH($D640, 'Local Data Previous Year'!$D:$D, 0)), "")</f>
        <v/>
      </c>
      <c r="I640" s="759">
        <f>IF(B640=CTR1_Billing!$E$21&amp;"NEW",1,0)</f>
        <v>0</v>
      </c>
      <c r="J640" s="760" t="str">
        <f>IFERROR(INDEX('Local Data Previous Year'!$G:$G, MATCH($D640, 'Local Data Previous Year'!$D:$D, 0)), "")</f>
        <v/>
      </c>
      <c r="K640" s="762"/>
      <c r="L640" s="760" t="str">
        <f>IFERROR(INDEX('Local Data Previous Year'!$H:$H, MATCH($D640, 'Local Data Previous Year'!$D:$D, 0)), "")</f>
        <v/>
      </c>
      <c r="M640" s="762"/>
      <c r="N640" s="763"/>
      <c r="O640" s="767"/>
      <c r="P640" s="765"/>
      <c r="Q640" s="767"/>
      <c r="R640" s="766" t="str">
        <f t="shared" si="127"/>
        <v/>
      </c>
      <c r="S640" s="754"/>
      <c r="T640" s="763"/>
      <c r="U640" s="754"/>
      <c r="V640" s="763"/>
      <c r="W640" s="763"/>
      <c r="X640" s="865" t="str">
        <f>VLOOKUP(CTR1_Billing!$E$21,Data!$C$6:$D$302,1,FALSE)</f>
        <v>EZZZZ</v>
      </c>
      <c r="Y640" s="205"/>
      <c r="Z640" s="205">
        <f t="shared" si="119"/>
        <v>0</v>
      </c>
      <c r="AA640" s="206" t="str">
        <f t="shared" si="118"/>
        <v/>
      </c>
      <c r="AB640" s="205">
        <f t="shared" si="120"/>
        <v>0</v>
      </c>
      <c r="AC640" s="208"/>
      <c r="AD640" s="208"/>
      <c r="AE640" s="208"/>
      <c r="AF640" s="208"/>
      <c r="AG640" s="209" t="str">
        <f>IFERROR(INDEX('Local Data Previous Year'!$F:$F, MATCH($D640, 'Local Data Previous Year'!$D:$D, 0)), "")</f>
        <v/>
      </c>
      <c r="AH640" s="209" t="str">
        <f>IFERROR(INDEX('Local Data Previous Year'!$G:$G, MATCH($D640, 'Local Data Previous Year'!$D:$D, 0)), "")</f>
        <v/>
      </c>
      <c r="AI640" s="209" t="str">
        <f>IFERROR(INDEX('Local Data Previous Year'!$H:$H, MATCH($D640, 'Local Data Previous Year'!$D:$D, 0)), "")</f>
        <v/>
      </c>
      <c r="AJ640" s="209" t="str">
        <f t="shared" si="121"/>
        <v/>
      </c>
      <c r="AK640" s="209" t="str">
        <f t="shared" si="116"/>
        <v/>
      </c>
      <c r="AL640" s="209" t="str">
        <f t="shared" si="117"/>
        <v/>
      </c>
      <c r="AM640" s="208" t="str">
        <f>IF($AN640="","",IFERROR(VLOOKUP(CONCATENATE(CTR1_Billing!$E$20,$AN640),'Local Data Previous Year'!$C$3:$D$50000,2,0),CTR1_Billing!$E$21&amp;"NEW"))</f>
        <v/>
      </c>
      <c r="AN640" s="209" t="str" cm="1">
        <f t="array" ref="AN640">IF(ISERROR(INDEX('Local Data Previous Year'!$E$3:$E$50000, SMALL(IF(CTR1_Billing!$E$21='Local Data Previous Year'!$A$3:$A$50000, ROW('Local Data Previous Year'!$A$3:$A$50000)-ROW('Local Data Previous Year'!$A$3)+1), ROW(608:608)))), "", INDEX('Local Data Previous Year'!$E$3:$E$50000, SMALL(IF(CTR1_Billing!$E$21='Local Data Previous Year'!$A$3:$A$50000, ROW('Local Data Previous Year'!$A$3:$A$50000)-ROW('Local Data Previous Year'!$A$3)+1), ROW(608:608))))</f>
        <v/>
      </c>
      <c r="AO640" s="209" t="str">
        <f t="shared" si="122"/>
        <v/>
      </c>
      <c r="AP640" s="208"/>
      <c r="AQ640" s="209" t="str">
        <f t="shared" si="123"/>
        <v/>
      </c>
      <c r="AR640" s="209" t="str">
        <f t="shared" si="124"/>
        <v/>
      </c>
      <c r="AS640" s="202" t="str">
        <f t="shared" si="125"/>
        <v/>
      </c>
      <c r="AT640" s="202" t="str">
        <f t="shared" si="126"/>
        <v/>
      </c>
      <c r="AU640" s="208"/>
      <c r="AV640" s="208"/>
      <c r="AW640" s="208"/>
      <c r="AX640" s="208"/>
      <c r="AY640" s="208"/>
      <c r="AZ640" s="208"/>
      <c r="BA640" s="208"/>
      <c r="BB640" s="208"/>
      <c r="BC640" s="208"/>
      <c r="BD640" s="208"/>
      <c r="BE640" s="208"/>
      <c r="BF640" s="208"/>
      <c r="BG640" s="28"/>
      <c r="BH640" s="28"/>
      <c r="BI640" s="28"/>
      <c r="BJ640" s="28"/>
    </row>
    <row r="641" spans="1:62" s="23" customFormat="1" ht="21" customHeight="1" thickBot="1" x14ac:dyDescent="0.25">
      <c r="A641" s="846" t="str">
        <f>IF($AN641="","",IFERROR(VLOOKUP(CONCATENATE(CTR1_Billing!$E$20,$AN641),'Local Data Previous Year'!$C$3:$D$20000,2,0),CTR1_Billing!$E$21&amp;"NEW"))</f>
        <v/>
      </c>
      <c r="B641" s="846" t="str">
        <f>IF($E641="","",IFERROR(VLOOKUP(CONCATENATE(CTR1_Billing!$E$20,CTR1_Local!$E641),'Local Data Previous Year'!$C$3:$D$20000,2,0),CTR1_Billing!$E$21&amp;"NEW"))</f>
        <v/>
      </c>
      <c r="C641" s="846">
        <v>609</v>
      </c>
      <c r="D641" s="755" t="str" cm="1">
        <f t="array" ref="D641">IF(ISERROR(INDEX('Local Data Previous Year'!$D$3:$D$20000,SMALL(IF(CTR1_Billing!$E$21='Local Data Previous Year'!$A$3:$A$20000,ROW('Local Data Previous Year'!$A$3:$A$20000)-ROW('Local Data Previous Year'!$A$3)+1),ROW(609:609)))),"",INDEX('Local Data Previous Year'!$D$3:$D$20000,SMALL(IF(CTR1_Billing!$E$21='Local Data Previous Year'!$A$3:$A$20000,ROW('Local Data Previous Year'!$A$3:$A$20000)-ROW('Local Data Previous Year'!$A$3)+1),ROW(609:609))))</f>
        <v/>
      </c>
      <c r="E641" s="755" t="str" cm="1">
        <f t="array" ref="E641">IF(ISERROR(INDEX('Local Data Previous Year'!$E$3:$E$20000,SMALL(IF(CTR1_Billing!$E$21='Local Data Previous Year'!$A$3:$A$20000,ROW('Local Data Previous Year'!$A$3:$A$20000)-ROW('Local Data Previous Year'!$A$3)+1),ROW(609:609)))),"",INDEX('Local Data Previous Year'!$E$3:$E$20000,SMALL(IF(CTR1_Billing!$E$21='Local Data Previous Year'!$A$3:$A$20000,ROW('Local Data Previous Year'!$A$3:$A$20000)-ROW('Local Data Previous Year'!$A$3)+1),ROW(609:609))))</f>
        <v/>
      </c>
      <c r="F641" s="756" t="str">
        <f>IF($D641="","",IF(ISNA(MATCH($D641,'Local Data Previous Year'!$D$3:$D$20000,0)),"New",IFERROR(VLOOKUP($B641,'Local Data Previous Year'!$D$3:$I$20000,6,0),"")))</f>
        <v/>
      </c>
      <c r="G641" s="757">
        <f t="shared" si="112"/>
        <v>0</v>
      </c>
      <c r="H641" s="758" t="str">
        <f>IFERROR(INDEX('Local Data Previous Year'!$F:$F, MATCH($D641, 'Local Data Previous Year'!$D:$D, 0)), "")</f>
        <v/>
      </c>
      <c r="I641" s="759">
        <f>IF(B641=CTR1_Billing!$E$21&amp;"NEW",1,0)</f>
        <v>0</v>
      </c>
      <c r="J641" s="760" t="str">
        <f>IFERROR(INDEX('Local Data Previous Year'!$G:$G, MATCH($D641, 'Local Data Previous Year'!$D:$D, 0)), "")</f>
        <v/>
      </c>
      <c r="K641" s="762"/>
      <c r="L641" s="760" t="str">
        <f>IFERROR(INDEX('Local Data Previous Year'!$H:$H, MATCH($D641, 'Local Data Previous Year'!$D:$D, 0)), "")</f>
        <v/>
      </c>
      <c r="M641" s="762"/>
      <c r="N641" s="763"/>
      <c r="O641" s="767"/>
      <c r="P641" s="765"/>
      <c r="Q641" s="767"/>
      <c r="R641" s="766" t="str">
        <f t="shared" si="127"/>
        <v/>
      </c>
      <c r="S641" s="754"/>
      <c r="T641" s="763"/>
      <c r="U641" s="754"/>
      <c r="V641" s="763"/>
      <c r="W641" s="763"/>
      <c r="X641" s="865" t="str">
        <f>VLOOKUP(CTR1_Billing!$E$21,Data!$C$6:$D$302,1,FALSE)</f>
        <v>EZZZZ</v>
      </c>
      <c r="Y641" s="205"/>
      <c r="Z641" s="205">
        <f t="shared" si="119"/>
        <v>0</v>
      </c>
      <c r="AA641" s="206" t="str">
        <f t="shared" si="118"/>
        <v/>
      </c>
      <c r="AB641" s="205">
        <f t="shared" si="120"/>
        <v>0</v>
      </c>
      <c r="AC641" s="208"/>
      <c r="AD641" s="208"/>
      <c r="AE641" s="208"/>
      <c r="AF641" s="208"/>
      <c r="AG641" s="209" t="str">
        <f>IFERROR(INDEX('Local Data Previous Year'!$F:$F, MATCH($D641, 'Local Data Previous Year'!$D:$D, 0)), "")</f>
        <v/>
      </c>
      <c r="AH641" s="209" t="str">
        <f>IFERROR(INDEX('Local Data Previous Year'!$G:$G, MATCH($D641, 'Local Data Previous Year'!$D:$D, 0)), "")</f>
        <v/>
      </c>
      <c r="AI641" s="209" t="str">
        <f>IFERROR(INDEX('Local Data Previous Year'!$H:$H, MATCH($D641, 'Local Data Previous Year'!$D:$D, 0)), "")</f>
        <v/>
      </c>
      <c r="AJ641" s="209" t="str">
        <f t="shared" si="121"/>
        <v/>
      </c>
      <c r="AK641" s="209" t="str">
        <f t="shared" si="116"/>
        <v/>
      </c>
      <c r="AL641" s="209" t="str">
        <f t="shared" si="117"/>
        <v/>
      </c>
      <c r="AM641" s="208" t="str">
        <f>IF($AN641="","",IFERROR(VLOOKUP(CONCATENATE(CTR1_Billing!$E$20,$AN641),'Local Data Previous Year'!$C$3:$D$50000,2,0),CTR1_Billing!$E$21&amp;"NEW"))</f>
        <v/>
      </c>
      <c r="AN641" s="209" t="str" cm="1">
        <f t="array" ref="AN641">IF(ISERROR(INDEX('Local Data Previous Year'!$E$3:$E$50000, SMALL(IF(CTR1_Billing!$E$21='Local Data Previous Year'!$A$3:$A$50000, ROW('Local Data Previous Year'!$A$3:$A$50000)-ROW('Local Data Previous Year'!$A$3)+1), ROW(609:609)))), "", INDEX('Local Data Previous Year'!$E$3:$E$50000, SMALL(IF(CTR1_Billing!$E$21='Local Data Previous Year'!$A$3:$A$50000, ROW('Local Data Previous Year'!$A$3:$A$50000)-ROW('Local Data Previous Year'!$A$3)+1), ROW(609:609))))</f>
        <v/>
      </c>
      <c r="AO641" s="209" t="str">
        <f t="shared" si="122"/>
        <v/>
      </c>
      <c r="AP641" s="208"/>
      <c r="AQ641" s="209" t="str">
        <f t="shared" si="123"/>
        <v/>
      </c>
      <c r="AR641" s="209" t="str">
        <f t="shared" si="124"/>
        <v/>
      </c>
      <c r="AS641" s="202" t="str">
        <f t="shared" si="125"/>
        <v/>
      </c>
      <c r="AT641" s="202" t="str">
        <f t="shared" si="126"/>
        <v/>
      </c>
      <c r="AU641" s="208"/>
      <c r="AV641" s="208"/>
      <c r="AW641" s="208"/>
      <c r="AX641" s="208"/>
      <c r="AY641" s="208"/>
      <c r="AZ641" s="208"/>
      <c r="BA641" s="208"/>
      <c r="BB641" s="208"/>
      <c r="BC641" s="208"/>
      <c r="BD641" s="208"/>
      <c r="BE641" s="208"/>
      <c r="BF641" s="208"/>
      <c r="BG641" s="28"/>
      <c r="BH641" s="28"/>
      <c r="BI641" s="28"/>
      <c r="BJ641" s="28"/>
    </row>
    <row r="642" spans="1:62" s="23" customFormat="1" ht="21" customHeight="1" thickBot="1" x14ac:dyDescent="0.25">
      <c r="A642" s="846" t="str">
        <f>IF($AN642="","",IFERROR(VLOOKUP(CONCATENATE(CTR1_Billing!$E$20,$AN642),'Local Data Previous Year'!$C$3:$D$20000,2,0),CTR1_Billing!$E$21&amp;"NEW"))</f>
        <v/>
      </c>
      <c r="B642" s="846" t="str">
        <f>IF($E642="","",IFERROR(VLOOKUP(CONCATENATE(CTR1_Billing!$E$20,CTR1_Local!$E642),'Local Data Previous Year'!$C$3:$D$20000,2,0),CTR1_Billing!$E$21&amp;"NEW"))</f>
        <v/>
      </c>
      <c r="C642" s="846">
        <v>610</v>
      </c>
      <c r="D642" s="755" t="str" cm="1">
        <f t="array" ref="D642">IF(ISERROR(INDEX('Local Data Previous Year'!$D$3:$D$20000,SMALL(IF(CTR1_Billing!$E$21='Local Data Previous Year'!$A$3:$A$20000,ROW('Local Data Previous Year'!$A$3:$A$20000)-ROW('Local Data Previous Year'!$A$3)+1),ROW(610:610)))),"",INDEX('Local Data Previous Year'!$D$3:$D$20000,SMALL(IF(CTR1_Billing!$E$21='Local Data Previous Year'!$A$3:$A$20000,ROW('Local Data Previous Year'!$A$3:$A$20000)-ROW('Local Data Previous Year'!$A$3)+1),ROW(610:610))))</f>
        <v/>
      </c>
      <c r="E642" s="755" t="str" cm="1">
        <f t="array" ref="E642">IF(ISERROR(INDEX('Local Data Previous Year'!$E$3:$E$20000,SMALL(IF(CTR1_Billing!$E$21='Local Data Previous Year'!$A$3:$A$20000,ROW('Local Data Previous Year'!$A$3:$A$20000)-ROW('Local Data Previous Year'!$A$3)+1),ROW(610:610)))),"",INDEX('Local Data Previous Year'!$E$3:$E$20000,SMALL(IF(CTR1_Billing!$E$21='Local Data Previous Year'!$A$3:$A$20000,ROW('Local Data Previous Year'!$A$3:$A$20000)-ROW('Local Data Previous Year'!$A$3)+1),ROW(610:610))))</f>
        <v/>
      </c>
      <c r="F642" s="756" t="str">
        <f>IF($D642="","",IF(ISNA(MATCH($D642,'Local Data Previous Year'!$D$3:$D$20000,0)),"New",IFERROR(VLOOKUP($B642,'Local Data Previous Year'!$D$3:$I$20000,6,0),"")))</f>
        <v/>
      </c>
      <c r="G642" s="757">
        <f t="shared" si="112"/>
        <v>0</v>
      </c>
      <c r="H642" s="758" t="str">
        <f>IFERROR(INDEX('Local Data Previous Year'!$F:$F, MATCH($D642, 'Local Data Previous Year'!$D:$D, 0)), "")</f>
        <v/>
      </c>
      <c r="I642" s="759">
        <f>IF(B642=CTR1_Billing!$E$21&amp;"NEW",1,0)</f>
        <v>0</v>
      </c>
      <c r="J642" s="760" t="str">
        <f>IFERROR(INDEX('Local Data Previous Year'!$G:$G, MATCH($D642, 'Local Data Previous Year'!$D:$D, 0)), "")</f>
        <v/>
      </c>
      <c r="K642" s="762"/>
      <c r="L642" s="760" t="str">
        <f>IFERROR(INDEX('Local Data Previous Year'!$H:$H, MATCH($D642, 'Local Data Previous Year'!$D:$D, 0)), "")</f>
        <v/>
      </c>
      <c r="M642" s="762"/>
      <c r="N642" s="763"/>
      <c r="O642" s="767"/>
      <c r="P642" s="765"/>
      <c r="Q642" s="767"/>
      <c r="R642" s="766" t="str">
        <f t="shared" si="127"/>
        <v/>
      </c>
      <c r="S642" s="754"/>
      <c r="T642" s="763"/>
      <c r="U642" s="754"/>
      <c r="V642" s="763"/>
      <c r="W642" s="763"/>
      <c r="X642" s="865" t="str">
        <f>VLOOKUP(CTR1_Billing!$E$21,Data!$C$6:$D$302,1,FALSE)</f>
        <v>EZZZZ</v>
      </c>
      <c r="Y642" s="205"/>
      <c r="Z642" s="205">
        <f t="shared" si="119"/>
        <v>0</v>
      </c>
      <c r="AA642" s="206" t="str">
        <f t="shared" si="118"/>
        <v/>
      </c>
      <c r="AB642" s="205">
        <f t="shared" si="120"/>
        <v>0</v>
      </c>
      <c r="AC642" s="208"/>
      <c r="AD642" s="208"/>
      <c r="AE642" s="208"/>
      <c r="AF642" s="208"/>
      <c r="AG642" s="209" t="str">
        <f>IFERROR(INDEX('Local Data Previous Year'!$F:$F, MATCH($D642, 'Local Data Previous Year'!$D:$D, 0)), "")</f>
        <v/>
      </c>
      <c r="AH642" s="209" t="str">
        <f>IFERROR(INDEX('Local Data Previous Year'!$G:$G, MATCH($D642, 'Local Data Previous Year'!$D:$D, 0)), "")</f>
        <v/>
      </c>
      <c r="AI642" s="209" t="str">
        <f>IFERROR(INDEX('Local Data Previous Year'!$H:$H, MATCH($D642, 'Local Data Previous Year'!$D:$D, 0)), "")</f>
        <v/>
      </c>
      <c r="AJ642" s="209" t="str">
        <f t="shared" si="121"/>
        <v/>
      </c>
      <c r="AK642" s="209" t="str">
        <f t="shared" si="116"/>
        <v/>
      </c>
      <c r="AL642" s="209" t="str">
        <f t="shared" si="117"/>
        <v/>
      </c>
      <c r="AM642" s="208" t="str">
        <f>IF($AN642="","",IFERROR(VLOOKUP(CONCATENATE(CTR1_Billing!$E$20,$AN642),'Local Data Previous Year'!$C$3:$D$50000,2,0),CTR1_Billing!$E$21&amp;"NEW"))</f>
        <v/>
      </c>
      <c r="AN642" s="209" t="str" cm="1">
        <f t="array" ref="AN642">IF(ISERROR(INDEX('Local Data Previous Year'!$E$3:$E$50000, SMALL(IF(CTR1_Billing!$E$21='Local Data Previous Year'!$A$3:$A$50000, ROW('Local Data Previous Year'!$A$3:$A$50000)-ROW('Local Data Previous Year'!$A$3)+1), ROW(610:610)))), "", INDEX('Local Data Previous Year'!$E$3:$E$50000, SMALL(IF(CTR1_Billing!$E$21='Local Data Previous Year'!$A$3:$A$50000, ROW('Local Data Previous Year'!$A$3:$A$50000)-ROW('Local Data Previous Year'!$A$3)+1), ROW(610:610))))</f>
        <v/>
      </c>
      <c r="AO642" s="209" t="str">
        <f t="shared" si="122"/>
        <v/>
      </c>
      <c r="AP642" s="208"/>
      <c r="AQ642" s="209" t="str">
        <f t="shared" si="123"/>
        <v/>
      </c>
      <c r="AR642" s="209" t="str">
        <f t="shared" si="124"/>
        <v/>
      </c>
      <c r="AS642" s="202" t="str">
        <f t="shared" si="125"/>
        <v/>
      </c>
      <c r="AT642" s="202" t="str">
        <f t="shared" si="126"/>
        <v/>
      </c>
      <c r="AU642" s="208"/>
      <c r="AV642" s="208"/>
      <c r="AW642" s="208"/>
      <c r="AX642" s="208"/>
      <c r="AY642" s="208"/>
      <c r="AZ642" s="208"/>
      <c r="BA642" s="208"/>
      <c r="BB642" s="208"/>
      <c r="BC642" s="208"/>
      <c r="BD642" s="208"/>
      <c r="BE642" s="208"/>
      <c r="BF642" s="208"/>
      <c r="BG642" s="28"/>
      <c r="BH642" s="28"/>
      <c r="BI642" s="28"/>
      <c r="BJ642" s="28"/>
    </row>
    <row r="643" spans="1:62" s="23" customFormat="1" ht="21" customHeight="1" thickBot="1" x14ac:dyDescent="0.25">
      <c r="A643" s="846" t="str">
        <f>IF($AN643="","",IFERROR(VLOOKUP(CONCATENATE(CTR1_Billing!$E$20,$AN643),'Local Data Previous Year'!$C$3:$D$20000,2,0),CTR1_Billing!$E$21&amp;"NEW"))</f>
        <v/>
      </c>
      <c r="B643" s="846" t="str">
        <f>IF($E643="","",IFERROR(VLOOKUP(CONCATENATE(CTR1_Billing!$E$20,CTR1_Local!$E643),'Local Data Previous Year'!$C$3:$D$20000,2,0),CTR1_Billing!$E$21&amp;"NEW"))</f>
        <v/>
      </c>
      <c r="C643" s="846">
        <v>611</v>
      </c>
      <c r="D643" s="755" t="str" cm="1">
        <f t="array" ref="D643">IF(ISERROR(INDEX('Local Data Previous Year'!$D$3:$D$20000,SMALL(IF(CTR1_Billing!$E$21='Local Data Previous Year'!$A$3:$A$20000,ROW('Local Data Previous Year'!$A$3:$A$20000)-ROW('Local Data Previous Year'!$A$3)+1),ROW(611:611)))),"",INDEX('Local Data Previous Year'!$D$3:$D$20000,SMALL(IF(CTR1_Billing!$E$21='Local Data Previous Year'!$A$3:$A$20000,ROW('Local Data Previous Year'!$A$3:$A$20000)-ROW('Local Data Previous Year'!$A$3)+1),ROW(611:611))))</f>
        <v/>
      </c>
      <c r="E643" s="755" t="str" cm="1">
        <f t="array" ref="E643">IF(ISERROR(INDEX('Local Data Previous Year'!$E$3:$E$20000,SMALL(IF(CTR1_Billing!$E$21='Local Data Previous Year'!$A$3:$A$20000,ROW('Local Data Previous Year'!$A$3:$A$20000)-ROW('Local Data Previous Year'!$A$3)+1),ROW(611:611)))),"",INDEX('Local Data Previous Year'!$E$3:$E$20000,SMALL(IF(CTR1_Billing!$E$21='Local Data Previous Year'!$A$3:$A$20000,ROW('Local Data Previous Year'!$A$3:$A$20000)-ROW('Local Data Previous Year'!$A$3)+1),ROW(611:611))))</f>
        <v/>
      </c>
      <c r="F643" s="756" t="str">
        <f>IF($D643="","",IF(ISNA(MATCH($D643,'Local Data Previous Year'!$D$3:$D$20000,0)),"New",IFERROR(VLOOKUP($B643,'Local Data Previous Year'!$D$3:$I$20000,6,0),"")))</f>
        <v/>
      </c>
      <c r="G643" s="757">
        <f t="shared" si="112"/>
        <v>0</v>
      </c>
      <c r="H643" s="758" t="str">
        <f>IFERROR(INDEX('Local Data Previous Year'!$F:$F, MATCH($D643, 'Local Data Previous Year'!$D:$D, 0)), "")</f>
        <v/>
      </c>
      <c r="I643" s="759">
        <f>IF(B643=CTR1_Billing!$E$21&amp;"NEW",1,0)</f>
        <v>0</v>
      </c>
      <c r="J643" s="760" t="str">
        <f>IFERROR(INDEX('Local Data Previous Year'!$G:$G, MATCH($D643, 'Local Data Previous Year'!$D:$D, 0)), "")</f>
        <v/>
      </c>
      <c r="K643" s="762"/>
      <c r="L643" s="760" t="str">
        <f>IFERROR(INDEX('Local Data Previous Year'!$H:$H, MATCH($D643, 'Local Data Previous Year'!$D:$D, 0)), "")</f>
        <v/>
      </c>
      <c r="M643" s="762"/>
      <c r="N643" s="763"/>
      <c r="O643" s="767"/>
      <c r="P643" s="765"/>
      <c r="Q643" s="767"/>
      <c r="R643" s="766" t="str">
        <f t="shared" si="127"/>
        <v/>
      </c>
      <c r="S643" s="754"/>
      <c r="T643" s="763"/>
      <c r="U643" s="754"/>
      <c r="V643" s="763"/>
      <c r="W643" s="763"/>
      <c r="X643" s="865" t="str">
        <f>VLOOKUP(CTR1_Billing!$E$21,Data!$C$6:$D$302,1,FALSE)</f>
        <v>EZZZZ</v>
      </c>
      <c r="Y643" s="205"/>
      <c r="Z643" s="205">
        <f t="shared" si="119"/>
        <v>0</v>
      </c>
      <c r="AA643" s="206" t="str">
        <f t="shared" si="118"/>
        <v/>
      </c>
      <c r="AB643" s="205">
        <f t="shared" si="120"/>
        <v>0</v>
      </c>
      <c r="AC643" s="208"/>
      <c r="AD643" s="208"/>
      <c r="AE643" s="208"/>
      <c r="AF643" s="208"/>
      <c r="AG643" s="209" t="str">
        <f>IFERROR(INDEX('Local Data Previous Year'!$F:$F, MATCH($D643, 'Local Data Previous Year'!$D:$D, 0)), "")</f>
        <v/>
      </c>
      <c r="AH643" s="209" t="str">
        <f>IFERROR(INDEX('Local Data Previous Year'!$G:$G, MATCH($D643, 'Local Data Previous Year'!$D:$D, 0)), "")</f>
        <v/>
      </c>
      <c r="AI643" s="209" t="str">
        <f>IFERROR(INDEX('Local Data Previous Year'!$H:$H, MATCH($D643, 'Local Data Previous Year'!$D:$D, 0)), "")</f>
        <v/>
      </c>
      <c r="AJ643" s="209" t="str">
        <f t="shared" si="121"/>
        <v/>
      </c>
      <c r="AK643" s="209" t="str">
        <f t="shared" si="116"/>
        <v/>
      </c>
      <c r="AL643" s="209" t="str">
        <f t="shared" si="117"/>
        <v/>
      </c>
      <c r="AM643" s="208" t="str">
        <f>IF($AN643="","",IFERROR(VLOOKUP(CONCATENATE(CTR1_Billing!$E$20,$AN643),'Local Data Previous Year'!$C$3:$D$50000,2,0),CTR1_Billing!$E$21&amp;"NEW"))</f>
        <v/>
      </c>
      <c r="AN643" s="209" t="str" cm="1">
        <f t="array" ref="AN643">IF(ISERROR(INDEX('Local Data Previous Year'!$E$3:$E$50000, SMALL(IF(CTR1_Billing!$E$21='Local Data Previous Year'!$A$3:$A$50000, ROW('Local Data Previous Year'!$A$3:$A$50000)-ROW('Local Data Previous Year'!$A$3)+1), ROW(611:611)))), "", INDEX('Local Data Previous Year'!$E$3:$E$50000, SMALL(IF(CTR1_Billing!$E$21='Local Data Previous Year'!$A$3:$A$50000, ROW('Local Data Previous Year'!$A$3:$A$50000)-ROW('Local Data Previous Year'!$A$3)+1), ROW(611:611))))</f>
        <v/>
      </c>
      <c r="AO643" s="209" t="str">
        <f t="shared" si="122"/>
        <v/>
      </c>
      <c r="AP643" s="208"/>
      <c r="AQ643" s="209" t="str">
        <f t="shared" si="123"/>
        <v/>
      </c>
      <c r="AR643" s="209" t="str">
        <f t="shared" si="124"/>
        <v/>
      </c>
      <c r="AS643" s="202" t="str">
        <f t="shared" si="125"/>
        <v/>
      </c>
      <c r="AT643" s="202" t="str">
        <f t="shared" si="126"/>
        <v/>
      </c>
      <c r="AU643" s="208"/>
      <c r="AV643" s="208"/>
      <c r="AW643" s="208"/>
      <c r="AX643" s="208"/>
      <c r="AY643" s="208"/>
      <c r="AZ643" s="208"/>
      <c r="BA643" s="208"/>
      <c r="BB643" s="208"/>
      <c r="BC643" s="208"/>
      <c r="BD643" s="208"/>
      <c r="BE643" s="208"/>
      <c r="BF643" s="208"/>
      <c r="BG643" s="28"/>
      <c r="BH643" s="28"/>
      <c r="BI643" s="28"/>
      <c r="BJ643" s="28"/>
    </row>
    <row r="644" spans="1:62" s="23" customFormat="1" ht="21" customHeight="1" thickBot="1" x14ac:dyDescent="0.25">
      <c r="A644" s="846" t="str">
        <f>IF($AN644="","",IFERROR(VLOOKUP(CONCATENATE(CTR1_Billing!$E$20,$AN644),'Local Data Previous Year'!$C$3:$D$20000,2,0),CTR1_Billing!$E$21&amp;"NEW"))</f>
        <v/>
      </c>
      <c r="B644" s="846" t="str">
        <f>IF($E644="","",IFERROR(VLOOKUP(CONCATENATE(CTR1_Billing!$E$20,CTR1_Local!$E644),'Local Data Previous Year'!$C$3:$D$20000,2,0),CTR1_Billing!$E$21&amp;"NEW"))</f>
        <v/>
      </c>
      <c r="C644" s="846">
        <v>612</v>
      </c>
      <c r="D644" s="755" t="str" cm="1">
        <f t="array" ref="D644">IF(ISERROR(INDEX('Local Data Previous Year'!$D$3:$D$20000,SMALL(IF(CTR1_Billing!$E$21='Local Data Previous Year'!$A$3:$A$20000,ROW('Local Data Previous Year'!$A$3:$A$20000)-ROW('Local Data Previous Year'!$A$3)+1),ROW(612:612)))),"",INDEX('Local Data Previous Year'!$D$3:$D$20000,SMALL(IF(CTR1_Billing!$E$21='Local Data Previous Year'!$A$3:$A$20000,ROW('Local Data Previous Year'!$A$3:$A$20000)-ROW('Local Data Previous Year'!$A$3)+1),ROW(612:612))))</f>
        <v/>
      </c>
      <c r="E644" s="755" t="str" cm="1">
        <f t="array" ref="E644">IF(ISERROR(INDEX('Local Data Previous Year'!$E$3:$E$20000,SMALL(IF(CTR1_Billing!$E$21='Local Data Previous Year'!$A$3:$A$20000,ROW('Local Data Previous Year'!$A$3:$A$20000)-ROW('Local Data Previous Year'!$A$3)+1),ROW(612:612)))),"",INDEX('Local Data Previous Year'!$E$3:$E$20000,SMALL(IF(CTR1_Billing!$E$21='Local Data Previous Year'!$A$3:$A$20000,ROW('Local Data Previous Year'!$A$3:$A$20000)-ROW('Local Data Previous Year'!$A$3)+1),ROW(612:612))))</f>
        <v/>
      </c>
      <c r="F644" s="756" t="str">
        <f>IF($D644="","",IF(ISNA(MATCH($D644,'Local Data Previous Year'!$D$3:$D$20000,0)),"New",IFERROR(VLOOKUP($B644,'Local Data Previous Year'!$D$3:$I$20000,6,0),"")))</f>
        <v/>
      </c>
      <c r="G644" s="757">
        <f t="shared" si="112"/>
        <v>0</v>
      </c>
      <c r="H644" s="758" t="str">
        <f>IFERROR(INDEX('Local Data Previous Year'!$F:$F, MATCH($D644, 'Local Data Previous Year'!$D:$D, 0)), "")</f>
        <v/>
      </c>
      <c r="I644" s="759">
        <f>IF(B644=CTR1_Billing!$E$21&amp;"NEW",1,0)</f>
        <v>0</v>
      </c>
      <c r="J644" s="760" t="str">
        <f>IFERROR(INDEX('Local Data Previous Year'!$G:$G, MATCH($D644, 'Local Data Previous Year'!$D:$D, 0)), "")</f>
        <v/>
      </c>
      <c r="K644" s="762"/>
      <c r="L644" s="760" t="str">
        <f>IFERROR(INDEX('Local Data Previous Year'!$H:$H, MATCH($D644, 'Local Data Previous Year'!$D:$D, 0)), "")</f>
        <v/>
      </c>
      <c r="M644" s="762"/>
      <c r="N644" s="763"/>
      <c r="O644" s="767"/>
      <c r="P644" s="765"/>
      <c r="Q644" s="767"/>
      <c r="R644" s="766" t="str">
        <f t="shared" si="127"/>
        <v/>
      </c>
      <c r="S644" s="754"/>
      <c r="T644" s="763"/>
      <c r="U644" s="754"/>
      <c r="V644" s="763"/>
      <c r="W644" s="763"/>
      <c r="X644" s="865" t="str">
        <f>VLOOKUP(CTR1_Billing!$E$21,Data!$C$6:$D$302,1,FALSE)</f>
        <v>EZZZZ</v>
      </c>
      <c r="Y644" s="205"/>
      <c r="Z644" s="205">
        <f t="shared" si="119"/>
        <v>0</v>
      </c>
      <c r="AA644" s="206" t="str">
        <f t="shared" si="118"/>
        <v/>
      </c>
      <c r="AB644" s="205">
        <f t="shared" si="120"/>
        <v>0</v>
      </c>
      <c r="AC644" s="208"/>
      <c r="AD644" s="208"/>
      <c r="AE644" s="208"/>
      <c r="AF644" s="208"/>
      <c r="AG644" s="209" t="str">
        <f>IFERROR(INDEX('Local Data Previous Year'!$F:$F, MATCH($D644, 'Local Data Previous Year'!$D:$D, 0)), "")</f>
        <v/>
      </c>
      <c r="AH644" s="209" t="str">
        <f>IFERROR(INDEX('Local Data Previous Year'!$G:$G, MATCH($D644, 'Local Data Previous Year'!$D:$D, 0)), "")</f>
        <v/>
      </c>
      <c r="AI644" s="209" t="str">
        <f>IFERROR(INDEX('Local Data Previous Year'!$H:$H, MATCH($D644, 'Local Data Previous Year'!$D:$D, 0)), "")</f>
        <v/>
      </c>
      <c r="AJ644" s="209" t="str">
        <f t="shared" si="121"/>
        <v/>
      </c>
      <c r="AK644" s="209" t="str">
        <f t="shared" si="116"/>
        <v/>
      </c>
      <c r="AL644" s="209" t="str">
        <f t="shared" si="117"/>
        <v/>
      </c>
      <c r="AM644" s="208" t="str">
        <f>IF($AN644="","",IFERROR(VLOOKUP(CONCATENATE(CTR1_Billing!$E$20,$AN644),'Local Data Previous Year'!$C$3:$D$50000,2,0),CTR1_Billing!$E$21&amp;"NEW"))</f>
        <v/>
      </c>
      <c r="AN644" s="209" t="str" cm="1">
        <f t="array" ref="AN644">IF(ISERROR(INDEX('Local Data Previous Year'!$E$3:$E$50000, SMALL(IF(CTR1_Billing!$E$21='Local Data Previous Year'!$A$3:$A$50000, ROW('Local Data Previous Year'!$A$3:$A$50000)-ROW('Local Data Previous Year'!$A$3)+1), ROW(612:612)))), "", INDEX('Local Data Previous Year'!$E$3:$E$50000, SMALL(IF(CTR1_Billing!$E$21='Local Data Previous Year'!$A$3:$A$50000, ROW('Local Data Previous Year'!$A$3:$A$50000)-ROW('Local Data Previous Year'!$A$3)+1), ROW(612:612))))</f>
        <v/>
      </c>
      <c r="AO644" s="209" t="str">
        <f t="shared" si="122"/>
        <v/>
      </c>
      <c r="AP644" s="208"/>
      <c r="AQ644" s="209" t="str">
        <f t="shared" si="123"/>
        <v/>
      </c>
      <c r="AR644" s="209" t="str">
        <f t="shared" si="124"/>
        <v/>
      </c>
      <c r="AS644" s="202" t="str">
        <f t="shared" si="125"/>
        <v/>
      </c>
      <c r="AT644" s="202" t="str">
        <f t="shared" si="126"/>
        <v/>
      </c>
      <c r="AU644" s="208"/>
      <c r="AV644" s="208"/>
      <c r="AW644" s="208"/>
      <c r="AX644" s="208"/>
      <c r="AY644" s="208"/>
      <c r="AZ644" s="208"/>
      <c r="BA644" s="208"/>
      <c r="BB644" s="208"/>
      <c r="BC644" s="208"/>
      <c r="BD644" s="208"/>
      <c r="BE644" s="208"/>
      <c r="BF644" s="208"/>
      <c r="BG644" s="28"/>
      <c r="BH644" s="28"/>
      <c r="BI644" s="28"/>
      <c r="BJ644" s="28"/>
    </row>
    <row r="645" spans="1:62" s="23" customFormat="1" ht="21" customHeight="1" thickBot="1" x14ac:dyDescent="0.25">
      <c r="A645" s="846" t="str">
        <f>IF($AN645="","",IFERROR(VLOOKUP(CONCATENATE(CTR1_Billing!$E$20,$AN645),'Local Data Previous Year'!$C$3:$D$20000,2,0),CTR1_Billing!$E$21&amp;"NEW"))</f>
        <v/>
      </c>
      <c r="B645" s="846" t="str">
        <f>IF($E645="","",IFERROR(VLOOKUP(CONCATENATE(CTR1_Billing!$E$20,CTR1_Local!$E645),'Local Data Previous Year'!$C$3:$D$20000,2,0),CTR1_Billing!$E$21&amp;"NEW"))</f>
        <v/>
      </c>
      <c r="C645" s="846">
        <v>613</v>
      </c>
      <c r="D645" s="755" t="str" cm="1">
        <f t="array" ref="D645">IF(ISERROR(INDEX('Local Data Previous Year'!$D$3:$D$20000,SMALL(IF(CTR1_Billing!$E$21='Local Data Previous Year'!$A$3:$A$20000,ROW('Local Data Previous Year'!$A$3:$A$20000)-ROW('Local Data Previous Year'!$A$3)+1),ROW(613:613)))),"",INDEX('Local Data Previous Year'!$D$3:$D$20000,SMALL(IF(CTR1_Billing!$E$21='Local Data Previous Year'!$A$3:$A$20000,ROW('Local Data Previous Year'!$A$3:$A$20000)-ROW('Local Data Previous Year'!$A$3)+1),ROW(613:613))))</f>
        <v/>
      </c>
      <c r="E645" s="755" t="str" cm="1">
        <f t="array" ref="E645">IF(ISERROR(INDEX('Local Data Previous Year'!$E$3:$E$20000,SMALL(IF(CTR1_Billing!$E$21='Local Data Previous Year'!$A$3:$A$20000,ROW('Local Data Previous Year'!$A$3:$A$20000)-ROW('Local Data Previous Year'!$A$3)+1),ROW(613:613)))),"",INDEX('Local Data Previous Year'!$E$3:$E$20000,SMALL(IF(CTR1_Billing!$E$21='Local Data Previous Year'!$A$3:$A$20000,ROW('Local Data Previous Year'!$A$3:$A$20000)-ROW('Local Data Previous Year'!$A$3)+1),ROW(613:613))))</f>
        <v/>
      </c>
      <c r="F645" s="756" t="str">
        <f>IF($D645="","",IF(ISNA(MATCH($D645,'Local Data Previous Year'!$D$3:$D$20000,0)),"New",IFERROR(VLOOKUP($B645,'Local Data Previous Year'!$D$3:$I$20000,6,0),"")))</f>
        <v/>
      </c>
      <c r="G645" s="757">
        <f t="shared" si="112"/>
        <v>0</v>
      </c>
      <c r="H645" s="758" t="str">
        <f>IFERROR(INDEX('Local Data Previous Year'!$F:$F, MATCH($D645, 'Local Data Previous Year'!$D:$D, 0)), "")</f>
        <v/>
      </c>
      <c r="I645" s="759">
        <f>IF(B645=CTR1_Billing!$E$21&amp;"NEW",1,0)</f>
        <v>0</v>
      </c>
      <c r="J645" s="760" t="str">
        <f>IFERROR(INDEX('Local Data Previous Year'!$G:$G, MATCH($D645, 'Local Data Previous Year'!$D:$D, 0)), "")</f>
        <v/>
      </c>
      <c r="K645" s="762"/>
      <c r="L645" s="760" t="str">
        <f>IFERROR(INDEX('Local Data Previous Year'!$H:$H, MATCH($D645, 'Local Data Previous Year'!$D:$D, 0)), "")</f>
        <v/>
      </c>
      <c r="M645" s="762"/>
      <c r="N645" s="763"/>
      <c r="O645" s="767"/>
      <c r="P645" s="765"/>
      <c r="Q645" s="767"/>
      <c r="R645" s="766" t="str">
        <f t="shared" si="127"/>
        <v/>
      </c>
      <c r="S645" s="754"/>
      <c r="T645" s="763"/>
      <c r="U645" s="754"/>
      <c r="V645" s="763"/>
      <c r="W645" s="763"/>
      <c r="X645" s="865" t="str">
        <f>VLOOKUP(CTR1_Billing!$E$21,Data!$C$6:$D$302,1,FALSE)</f>
        <v>EZZZZ</v>
      </c>
      <c r="Y645" s="205"/>
      <c r="Z645" s="205">
        <f t="shared" si="119"/>
        <v>0</v>
      </c>
      <c r="AA645" s="206" t="str">
        <f t="shared" si="118"/>
        <v/>
      </c>
      <c r="AB645" s="205">
        <f t="shared" si="120"/>
        <v>0</v>
      </c>
      <c r="AC645" s="208"/>
      <c r="AD645" s="208"/>
      <c r="AE645" s="208"/>
      <c r="AF645" s="208"/>
      <c r="AG645" s="209" t="str">
        <f>IFERROR(INDEX('Local Data Previous Year'!$F:$F, MATCH($D645, 'Local Data Previous Year'!$D:$D, 0)), "")</f>
        <v/>
      </c>
      <c r="AH645" s="209" t="str">
        <f>IFERROR(INDEX('Local Data Previous Year'!$G:$G, MATCH($D645, 'Local Data Previous Year'!$D:$D, 0)), "")</f>
        <v/>
      </c>
      <c r="AI645" s="209" t="str">
        <f>IFERROR(INDEX('Local Data Previous Year'!$H:$H, MATCH($D645, 'Local Data Previous Year'!$D:$D, 0)), "")</f>
        <v/>
      </c>
      <c r="AJ645" s="209" t="str">
        <f t="shared" si="121"/>
        <v/>
      </c>
      <c r="AK645" s="209" t="str">
        <f t="shared" si="116"/>
        <v/>
      </c>
      <c r="AL645" s="209" t="str">
        <f t="shared" si="117"/>
        <v/>
      </c>
      <c r="AM645" s="208" t="str">
        <f>IF($AN645="","",IFERROR(VLOOKUP(CONCATENATE(CTR1_Billing!$E$20,$AN645),'Local Data Previous Year'!$C$3:$D$50000,2,0),CTR1_Billing!$E$21&amp;"NEW"))</f>
        <v/>
      </c>
      <c r="AN645" s="209" t="str" cm="1">
        <f t="array" ref="AN645">IF(ISERROR(INDEX('Local Data Previous Year'!$E$3:$E$50000, SMALL(IF(CTR1_Billing!$E$21='Local Data Previous Year'!$A$3:$A$50000, ROW('Local Data Previous Year'!$A$3:$A$50000)-ROW('Local Data Previous Year'!$A$3)+1), ROW(613:613)))), "", INDEX('Local Data Previous Year'!$E$3:$E$50000, SMALL(IF(CTR1_Billing!$E$21='Local Data Previous Year'!$A$3:$A$50000, ROW('Local Data Previous Year'!$A$3:$A$50000)-ROW('Local Data Previous Year'!$A$3)+1), ROW(613:613))))</f>
        <v/>
      </c>
      <c r="AO645" s="209" t="str">
        <f t="shared" si="122"/>
        <v/>
      </c>
      <c r="AP645" s="208"/>
      <c r="AQ645" s="209" t="str">
        <f t="shared" si="123"/>
        <v/>
      </c>
      <c r="AR645" s="209" t="str">
        <f t="shared" si="124"/>
        <v/>
      </c>
      <c r="AS645" s="202" t="str">
        <f t="shared" si="125"/>
        <v/>
      </c>
      <c r="AT645" s="202" t="str">
        <f t="shared" si="126"/>
        <v/>
      </c>
      <c r="AU645" s="208"/>
      <c r="AV645" s="208"/>
      <c r="AW645" s="208"/>
      <c r="AX645" s="208"/>
      <c r="AY645" s="208"/>
      <c r="AZ645" s="208"/>
      <c r="BA645" s="208"/>
      <c r="BB645" s="208"/>
      <c r="BC645" s="208"/>
      <c r="BD645" s="208"/>
      <c r="BE645" s="208"/>
      <c r="BF645" s="208"/>
      <c r="BG645" s="28"/>
      <c r="BH645" s="28"/>
      <c r="BI645" s="28"/>
      <c r="BJ645" s="28"/>
    </row>
    <row r="646" spans="1:62" s="23" customFormat="1" ht="21" customHeight="1" thickBot="1" x14ac:dyDescent="0.25">
      <c r="A646" s="846" t="str">
        <f>IF($AN646="","",IFERROR(VLOOKUP(CONCATENATE(CTR1_Billing!$E$20,$AN646),'Local Data Previous Year'!$C$3:$D$20000,2,0),CTR1_Billing!$E$21&amp;"NEW"))</f>
        <v/>
      </c>
      <c r="B646" s="846" t="str">
        <f>IF($E646="","",IFERROR(VLOOKUP(CONCATENATE(CTR1_Billing!$E$20,CTR1_Local!$E646),'Local Data Previous Year'!$C$3:$D$20000,2,0),CTR1_Billing!$E$21&amp;"NEW"))</f>
        <v/>
      </c>
      <c r="C646" s="846">
        <v>614</v>
      </c>
      <c r="D646" s="755" t="str" cm="1">
        <f t="array" ref="D646">IF(ISERROR(INDEX('Local Data Previous Year'!$D$3:$D$20000,SMALL(IF(CTR1_Billing!$E$21='Local Data Previous Year'!$A$3:$A$20000,ROW('Local Data Previous Year'!$A$3:$A$20000)-ROW('Local Data Previous Year'!$A$3)+1),ROW(614:614)))),"",INDEX('Local Data Previous Year'!$D$3:$D$20000,SMALL(IF(CTR1_Billing!$E$21='Local Data Previous Year'!$A$3:$A$20000,ROW('Local Data Previous Year'!$A$3:$A$20000)-ROW('Local Data Previous Year'!$A$3)+1),ROW(614:614))))</f>
        <v/>
      </c>
      <c r="E646" s="755" t="str" cm="1">
        <f t="array" ref="E646">IF(ISERROR(INDEX('Local Data Previous Year'!$E$3:$E$20000,SMALL(IF(CTR1_Billing!$E$21='Local Data Previous Year'!$A$3:$A$20000,ROW('Local Data Previous Year'!$A$3:$A$20000)-ROW('Local Data Previous Year'!$A$3)+1),ROW(614:614)))),"",INDEX('Local Data Previous Year'!$E$3:$E$20000,SMALL(IF(CTR1_Billing!$E$21='Local Data Previous Year'!$A$3:$A$20000,ROW('Local Data Previous Year'!$A$3:$A$20000)-ROW('Local Data Previous Year'!$A$3)+1),ROW(614:614))))</f>
        <v/>
      </c>
      <c r="F646" s="756" t="str">
        <f>IF($D646="","",IF(ISNA(MATCH($D646,'Local Data Previous Year'!$D$3:$D$20000,0)),"New",IFERROR(VLOOKUP($B646,'Local Data Previous Year'!$D$3:$I$20000,6,0),"")))</f>
        <v/>
      </c>
      <c r="G646" s="757">
        <f t="shared" si="112"/>
        <v>0</v>
      </c>
      <c r="H646" s="758" t="str">
        <f>IFERROR(INDEX('Local Data Previous Year'!$F:$F, MATCH($D646, 'Local Data Previous Year'!$D:$D, 0)), "")</f>
        <v/>
      </c>
      <c r="I646" s="759">
        <f>IF(B646=CTR1_Billing!$E$21&amp;"NEW",1,0)</f>
        <v>0</v>
      </c>
      <c r="J646" s="760" t="str">
        <f>IFERROR(INDEX('Local Data Previous Year'!$G:$G, MATCH($D646, 'Local Data Previous Year'!$D:$D, 0)), "")</f>
        <v/>
      </c>
      <c r="K646" s="762"/>
      <c r="L646" s="760" t="str">
        <f>IFERROR(INDEX('Local Data Previous Year'!$H:$H, MATCH($D646, 'Local Data Previous Year'!$D:$D, 0)), "")</f>
        <v/>
      </c>
      <c r="M646" s="762"/>
      <c r="N646" s="763"/>
      <c r="O646" s="767"/>
      <c r="P646" s="765"/>
      <c r="Q646" s="767"/>
      <c r="R646" s="766" t="str">
        <f t="shared" si="127"/>
        <v/>
      </c>
      <c r="S646" s="754"/>
      <c r="T646" s="763"/>
      <c r="U646" s="754"/>
      <c r="V646" s="763"/>
      <c r="W646" s="763"/>
      <c r="X646" s="865" t="str">
        <f>VLOOKUP(CTR1_Billing!$E$21,Data!$C$6:$D$302,1,FALSE)</f>
        <v>EZZZZ</v>
      </c>
      <c r="Y646" s="205"/>
      <c r="Z646" s="205">
        <f t="shared" si="119"/>
        <v>0</v>
      </c>
      <c r="AA646" s="206" t="str">
        <f t="shared" si="118"/>
        <v/>
      </c>
      <c r="AB646" s="205">
        <f t="shared" si="120"/>
        <v>0</v>
      </c>
      <c r="AC646" s="208"/>
      <c r="AD646" s="208"/>
      <c r="AE646" s="208"/>
      <c r="AF646" s="208"/>
      <c r="AG646" s="209" t="str">
        <f>IFERROR(INDEX('Local Data Previous Year'!$F:$F, MATCH($D646, 'Local Data Previous Year'!$D:$D, 0)), "")</f>
        <v/>
      </c>
      <c r="AH646" s="209" t="str">
        <f>IFERROR(INDEX('Local Data Previous Year'!$G:$G, MATCH($D646, 'Local Data Previous Year'!$D:$D, 0)), "")</f>
        <v/>
      </c>
      <c r="AI646" s="209" t="str">
        <f>IFERROR(INDEX('Local Data Previous Year'!$H:$H, MATCH($D646, 'Local Data Previous Year'!$D:$D, 0)), "")</f>
        <v/>
      </c>
      <c r="AJ646" s="209" t="str">
        <f t="shared" si="121"/>
        <v/>
      </c>
      <c r="AK646" s="209" t="str">
        <f t="shared" si="116"/>
        <v/>
      </c>
      <c r="AL646" s="209" t="str">
        <f t="shared" si="117"/>
        <v/>
      </c>
      <c r="AM646" s="208" t="str">
        <f>IF($AN646="","",IFERROR(VLOOKUP(CONCATENATE(CTR1_Billing!$E$20,$AN646),'Local Data Previous Year'!$C$3:$D$50000,2,0),CTR1_Billing!$E$21&amp;"NEW"))</f>
        <v/>
      </c>
      <c r="AN646" s="209" t="str" cm="1">
        <f t="array" ref="AN646">IF(ISERROR(INDEX('Local Data Previous Year'!$E$3:$E$50000, SMALL(IF(CTR1_Billing!$E$21='Local Data Previous Year'!$A$3:$A$50000, ROW('Local Data Previous Year'!$A$3:$A$50000)-ROW('Local Data Previous Year'!$A$3)+1), ROW(614:614)))), "", INDEX('Local Data Previous Year'!$E$3:$E$50000, SMALL(IF(CTR1_Billing!$E$21='Local Data Previous Year'!$A$3:$A$50000, ROW('Local Data Previous Year'!$A$3:$A$50000)-ROW('Local Data Previous Year'!$A$3)+1), ROW(614:614))))</f>
        <v/>
      </c>
      <c r="AO646" s="209" t="str">
        <f t="shared" si="122"/>
        <v/>
      </c>
      <c r="AP646" s="208"/>
      <c r="AQ646" s="209" t="str">
        <f t="shared" si="123"/>
        <v/>
      </c>
      <c r="AR646" s="209" t="str">
        <f t="shared" si="124"/>
        <v/>
      </c>
      <c r="AS646" s="202" t="str">
        <f t="shared" si="125"/>
        <v/>
      </c>
      <c r="AT646" s="202" t="str">
        <f t="shared" si="126"/>
        <v/>
      </c>
      <c r="AU646" s="208"/>
      <c r="AV646" s="208"/>
      <c r="AW646" s="208"/>
      <c r="AX646" s="208"/>
      <c r="AY646" s="208"/>
      <c r="AZ646" s="208"/>
      <c r="BA646" s="208"/>
      <c r="BB646" s="208"/>
      <c r="BC646" s="208"/>
      <c r="BD646" s="208"/>
      <c r="BE646" s="208"/>
      <c r="BF646" s="208"/>
      <c r="BG646" s="28"/>
      <c r="BH646" s="28"/>
      <c r="BI646" s="28"/>
      <c r="BJ646" s="28"/>
    </row>
    <row r="647" spans="1:62" s="23" customFormat="1" ht="21" customHeight="1" thickBot="1" x14ac:dyDescent="0.25">
      <c r="A647" s="846" t="str">
        <f>IF($AN647="","",IFERROR(VLOOKUP(CONCATENATE(CTR1_Billing!$E$20,$AN647),'Local Data Previous Year'!$C$3:$D$20000,2,0),CTR1_Billing!$E$21&amp;"NEW"))</f>
        <v/>
      </c>
      <c r="B647" s="846" t="str">
        <f>IF($E647="","",IFERROR(VLOOKUP(CONCATENATE(CTR1_Billing!$E$20,CTR1_Local!$E647),'Local Data Previous Year'!$C$3:$D$20000,2,0),CTR1_Billing!$E$21&amp;"NEW"))</f>
        <v/>
      </c>
      <c r="C647" s="846">
        <v>615</v>
      </c>
      <c r="D647" s="755" t="str" cm="1">
        <f t="array" ref="D647">IF(ISERROR(INDEX('Local Data Previous Year'!$D$3:$D$20000,SMALL(IF(CTR1_Billing!$E$21='Local Data Previous Year'!$A$3:$A$20000,ROW('Local Data Previous Year'!$A$3:$A$20000)-ROW('Local Data Previous Year'!$A$3)+1),ROW(615:615)))),"",INDEX('Local Data Previous Year'!$D$3:$D$20000,SMALL(IF(CTR1_Billing!$E$21='Local Data Previous Year'!$A$3:$A$20000,ROW('Local Data Previous Year'!$A$3:$A$20000)-ROW('Local Data Previous Year'!$A$3)+1),ROW(615:615))))</f>
        <v/>
      </c>
      <c r="E647" s="755" t="str" cm="1">
        <f t="array" ref="E647">IF(ISERROR(INDEX('Local Data Previous Year'!$E$3:$E$20000,SMALL(IF(CTR1_Billing!$E$21='Local Data Previous Year'!$A$3:$A$20000,ROW('Local Data Previous Year'!$A$3:$A$20000)-ROW('Local Data Previous Year'!$A$3)+1),ROW(615:615)))),"",INDEX('Local Data Previous Year'!$E$3:$E$20000,SMALL(IF(CTR1_Billing!$E$21='Local Data Previous Year'!$A$3:$A$20000,ROW('Local Data Previous Year'!$A$3:$A$20000)-ROW('Local Data Previous Year'!$A$3)+1),ROW(615:615))))</f>
        <v/>
      </c>
      <c r="F647" s="756" t="str">
        <f>IF($D647="","",IF(ISNA(MATCH($D647,'Local Data Previous Year'!$D$3:$D$20000,0)),"New",IFERROR(VLOOKUP($B647,'Local Data Previous Year'!$D$3:$I$20000,6,0),"")))</f>
        <v/>
      </c>
      <c r="G647" s="757">
        <f t="shared" si="112"/>
        <v>0</v>
      </c>
      <c r="H647" s="758" t="str">
        <f>IFERROR(INDEX('Local Data Previous Year'!$F:$F, MATCH($D647, 'Local Data Previous Year'!$D:$D, 0)), "")</f>
        <v/>
      </c>
      <c r="I647" s="759">
        <f>IF(B647=CTR1_Billing!$E$21&amp;"NEW",1,0)</f>
        <v>0</v>
      </c>
      <c r="J647" s="760" t="str">
        <f>IFERROR(INDEX('Local Data Previous Year'!$G:$G, MATCH($D647, 'Local Data Previous Year'!$D:$D, 0)), "")</f>
        <v/>
      </c>
      <c r="K647" s="762"/>
      <c r="L647" s="760" t="str">
        <f>IFERROR(INDEX('Local Data Previous Year'!$H:$H, MATCH($D647, 'Local Data Previous Year'!$D:$D, 0)), "")</f>
        <v/>
      </c>
      <c r="M647" s="762"/>
      <c r="N647" s="763"/>
      <c r="O647" s="767"/>
      <c r="P647" s="765"/>
      <c r="Q647" s="767"/>
      <c r="R647" s="766" t="str">
        <f t="shared" si="127"/>
        <v/>
      </c>
      <c r="S647" s="754"/>
      <c r="T647" s="763"/>
      <c r="U647" s="754"/>
      <c r="V647" s="763"/>
      <c r="W647" s="763"/>
      <c r="X647" s="865" t="str">
        <f>VLOOKUP(CTR1_Billing!$E$21,Data!$C$6:$D$302,1,FALSE)</f>
        <v>EZZZZ</v>
      </c>
      <c r="Y647" s="205"/>
      <c r="Z647" s="205">
        <f t="shared" si="119"/>
        <v>0</v>
      </c>
      <c r="AA647" s="206" t="str">
        <f t="shared" si="118"/>
        <v/>
      </c>
      <c r="AB647" s="205">
        <f t="shared" si="120"/>
        <v>0</v>
      </c>
      <c r="AC647" s="208"/>
      <c r="AD647" s="208"/>
      <c r="AE647" s="208"/>
      <c r="AF647" s="208"/>
      <c r="AG647" s="209" t="str">
        <f>IFERROR(INDEX('Local Data Previous Year'!$F:$F, MATCH($D647, 'Local Data Previous Year'!$D:$D, 0)), "")</f>
        <v/>
      </c>
      <c r="AH647" s="209" t="str">
        <f>IFERROR(INDEX('Local Data Previous Year'!$G:$G, MATCH($D647, 'Local Data Previous Year'!$D:$D, 0)), "")</f>
        <v/>
      </c>
      <c r="AI647" s="209" t="str">
        <f>IFERROR(INDEX('Local Data Previous Year'!$H:$H, MATCH($D647, 'Local Data Previous Year'!$D:$D, 0)), "")</f>
        <v/>
      </c>
      <c r="AJ647" s="209" t="str">
        <f t="shared" si="121"/>
        <v/>
      </c>
      <c r="AK647" s="209" t="str">
        <f t="shared" si="116"/>
        <v/>
      </c>
      <c r="AL647" s="209" t="str">
        <f t="shared" si="117"/>
        <v/>
      </c>
      <c r="AM647" s="208" t="str">
        <f>IF($AN647="","",IFERROR(VLOOKUP(CONCATENATE(CTR1_Billing!$E$20,$AN647),'Local Data Previous Year'!$C$3:$D$50000,2,0),CTR1_Billing!$E$21&amp;"NEW"))</f>
        <v/>
      </c>
      <c r="AN647" s="209" t="str" cm="1">
        <f t="array" ref="AN647">IF(ISERROR(INDEX('Local Data Previous Year'!$E$3:$E$50000, SMALL(IF(CTR1_Billing!$E$21='Local Data Previous Year'!$A$3:$A$50000, ROW('Local Data Previous Year'!$A$3:$A$50000)-ROW('Local Data Previous Year'!$A$3)+1), ROW(615:615)))), "", INDEX('Local Data Previous Year'!$E$3:$E$50000, SMALL(IF(CTR1_Billing!$E$21='Local Data Previous Year'!$A$3:$A$50000, ROW('Local Data Previous Year'!$A$3:$A$50000)-ROW('Local Data Previous Year'!$A$3)+1), ROW(615:615))))</f>
        <v/>
      </c>
      <c r="AO647" s="209" t="str">
        <f t="shared" si="122"/>
        <v/>
      </c>
      <c r="AP647" s="208"/>
      <c r="AQ647" s="209" t="str">
        <f t="shared" si="123"/>
        <v/>
      </c>
      <c r="AR647" s="209" t="str">
        <f t="shared" si="124"/>
        <v/>
      </c>
      <c r="AS647" s="202" t="str">
        <f t="shared" si="125"/>
        <v/>
      </c>
      <c r="AT647" s="202" t="str">
        <f t="shared" si="126"/>
        <v/>
      </c>
      <c r="AU647" s="208"/>
      <c r="AV647" s="208"/>
      <c r="AW647" s="208"/>
      <c r="AX647" s="208"/>
      <c r="AY647" s="208"/>
      <c r="AZ647" s="208"/>
      <c r="BA647" s="208"/>
      <c r="BB647" s="208"/>
      <c r="BC647" s="208"/>
      <c r="BD647" s="208"/>
      <c r="BE647" s="208"/>
      <c r="BF647" s="208"/>
      <c r="BG647" s="28"/>
      <c r="BH647" s="28"/>
      <c r="BI647" s="28"/>
      <c r="BJ647" s="28"/>
    </row>
    <row r="648" spans="1:62" s="23" customFormat="1" ht="21" customHeight="1" thickBot="1" x14ac:dyDescent="0.25">
      <c r="A648" s="846" t="str">
        <f>IF($AN648="","",IFERROR(VLOOKUP(CONCATENATE(CTR1_Billing!$E$20,$AN648),'Local Data Previous Year'!$C$3:$D$20000,2,0),CTR1_Billing!$E$21&amp;"NEW"))</f>
        <v/>
      </c>
      <c r="B648" s="846" t="str">
        <f>IF($E648="","",IFERROR(VLOOKUP(CONCATENATE(CTR1_Billing!$E$20,CTR1_Local!$E648),'Local Data Previous Year'!$C$3:$D$20000,2,0),CTR1_Billing!$E$21&amp;"NEW"))</f>
        <v/>
      </c>
      <c r="C648" s="846">
        <v>616</v>
      </c>
      <c r="D648" s="755" t="str" cm="1">
        <f t="array" ref="D648">IF(ISERROR(INDEX('Local Data Previous Year'!$D$3:$D$20000,SMALL(IF(CTR1_Billing!$E$21='Local Data Previous Year'!$A$3:$A$20000,ROW('Local Data Previous Year'!$A$3:$A$20000)-ROW('Local Data Previous Year'!$A$3)+1),ROW(616:616)))),"",INDEX('Local Data Previous Year'!$D$3:$D$20000,SMALL(IF(CTR1_Billing!$E$21='Local Data Previous Year'!$A$3:$A$20000,ROW('Local Data Previous Year'!$A$3:$A$20000)-ROW('Local Data Previous Year'!$A$3)+1),ROW(616:616))))</f>
        <v/>
      </c>
      <c r="E648" s="755" t="str" cm="1">
        <f t="array" ref="E648">IF(ISERROR(INDEX('Local Data Previous Year'!$E$3:$E$20000,SMALL(IF(CTR1_Billing!$E$21='Local Data Previous Year'!$A$3:$A$20000,ROW('Local Data Previous Year'!$A$3:$A$20000)-ROW('Local Data Previous Year'!$A$3)+1),ROW(616:616)))),"",INDEX('Local Data Previous Year'!$E$3:$E$20000,SMALL(IF(CTR1_Billing!$E$21='Local Data Previous Year'!$A$3:$A$20000,ROW('Local Data Previous Year'!$A$3:$A$20000)-ROW('Local Data Previous Year'!$A$3)+1),ROW(616:616))))</f>
        <v/>
      </c>
      <c r="F648" s="756" t="str">
        <f>IF($D648="","",IF(ISNA(MATCH($D648,'Local Data Previous Year'!$D$3:$D$20000,0)),"New",IFERROR(VLOOKUP($B648,'Local Data Previous Year'!$D$3:$I$20000,6,0),"")))</f>
        <v/>
      </c>
      <c r="G648" s="757">
        <f t="shared" si="112"/>
        <v>0</v>
      </c>
      <c r="H648" s="758" t="str">
        <f>IFERROR(INDEX('Local Data Previous Year'!$F:$F, MATCH($D648, 'Local Data Previous Year'!$D:$D, 0)), "")</f>
        <v/>
      </c>
      <c r="I648" s="759">
        <f>IF(B648=CTR1_Billing!$E$21&amp;"NEW",1,0)</f>
        <v>0</v>
      </c>
      <c r="J648" s="760" t="str">
        <f>IFERROR(INDEX('Local Data Previous Year'!$G:$G, MATCH($D648, 'Local Data Previous Year'!$D:$D, 0)), "")</f>
        <v/>
      </c>
      <c r="K648" s="762"/>
      <c r="L648" s="760" t="str">
        <f>IFERROR(INDEX('Local Data Previous Year'!$H:$H, MATCH($D648, 'Local Data Previous Year'!$D:$D, 0)), "")</f>
        <v/>
      </c>
      <c r="M648" s="762"/>
      <c r="N648" s="763"/>
      <c r="O648" s="767"/>
      <c r="P648" s="765"/>
      <c r="Q648" s="767"/>
      <c r="R648" s="766" t="str">
        <f t="shared" si="127"/>
        <v/>
      </c>
      <c r="S648" s="754"/>
      <c r="T648" s="763"/>
      <c r="U648" s="754"/>
      <c r="V648" s="763"/>
      <c r="W648" s="763"/>
      <c r="X648" s="865" t="str">
        <f>VLOOKUP(CTR1_Billing!$E$21,Data!$C$6:$D$302,1,FALSE)</f>
        <v>EZZZZ</v>
      </c>
      <c r="Y648" s="205"/>
      <c r="Z648" s="205">
        <f t="shared" si="119"/>
        <v>0</v>
      </c>
      <c r="AA648" s="206" t="str">
        <f t="shared" si="118"/>
        <v/>
      </c>
      <c r="AB648" s="205">
        <f t="shared" si="120"/>
        <v>0</v>
      </c>
      <c r="AC648" s="208"/>
      <c r="AD648" s="208"/>
      <c r="AE648" s="208"/>
      <c r="AF648" s="208"/>
      <c r="AG648" s="209" t="str">
        <f>IFERROR(INDEX('Local Data Previous Year'!$F:$F, MATCH($D648, 'Local Data Previous Year'!$D:$D, 0)), "")</f>
        <v/>
      </c>
      <c r="AH648" s="209" t="str">
        <f>IFERROR(INDEX('Local Data Previous Year'!$G:$G, MATCH($D648, 'Local Data Previous Year'!$D:$D, 0)), "")</f>
        <v/>
      </c>
      <c r="AI648" s="209" t="str">
        <f>IFERROR(INDEX('Local Data Previous Year'!$H:$H, MATCH($D648, 'Local Data Previous Year'!$D:$D, 0)), "")</f>
        <v/>
      </c>
      <c r="AJ648" s="209" t="str">
        <f t="shared" si="121"/>
        <v/>
      </c>
      <c r="AK648" s="209" t="str">
        <f t="shared" si="116"/>
        <v/>
      </c>
      <c r="AL648" s="209" t="str">
        <f t="shared" si="117"/>
        <v/>
      </c>
      <c r="AM648" s="208" t="str">
        <f>IF($AN648="","",IFERROR(VLOOKUP(CONCATENATE(CTR1_Billing!$E$20,$AN648),'Local Data Previous Year'!$C$3:$D$50000,2,0),CTR1_Billing!$E$21&amp;"NEW"))</f>
        <v/>
      </c>
      <c r="AN648" s="209" t="str" cm="1">
        <f t="array" ref="AN648">IF(ISERROR(INDEX('Local Data Previous Year'!$E$3:$E$50000, SMALL(IF(CTR1_Billing!$E$21='Local Data Previous Year'!$A$3:$A$50000, ROW('Local Data Previous Year'!$A$3:$A$50000)-ROW('Local Data Previous Year'!$A$3)+1), ROW(616:616)))), "", INDEX('Local Data Previous Year'!$E$3:$E$50000, SMALL(IF(CTR1_Billing!$E$21='Local Data Previous Year'!$A$3:$A$50000, ROW('Local Data Previous Year'!$A$3:$A$50000)-ROW('Local Data Previous Year'!$A$3)+1), ROW(616:616))))</f>
        <v/>
      </c>
      <c r="AO648" s="209" t="str">
        <f t="shared" si="122"/>
        <v/>
      </c>
      <c r="AP648" s="208"/>
      <c r="AQ648" s="209" t="str">
        <f t="shared" si="123"/>
        <v/>
      </c>
      <c r="AR648" s="209" t="str">
        <f t="shared" si="124"/>
        <v/>
      </c>
      <c r="AS648" s="202" t="str">
        <f t="shared" si="125"/>
        <v/>
      </c>
      <c r="AT648" s="202" t="str">
        <f t="shared" si="126"/>
        <v/>
      </c>
      <c r="AU648" s="208"/>
      <c r="AV648" s="208"/>
      <c r="AW648" s="208"/>
      <c r="AX648" s="208"/>
      <c r="AY648" s="208"/>
      <c r="AZ648" s="208"/>
      <c r="BA648" s="208"/>
      <c r="BB648" s="208"/>
      <c r="BC648" s="208"/>
      <c r="BD648" s="208"/>
      <c r="BE648" s="208"/>
      <c r="BF648" s="208"/>
      <c r="BG648" s="28"/>
      <c r="BH648" s="28"/>
      <c r="BI648" s="28"/>
      <c r="BJ648" s="28"/>
    </row>
    <row r="649" spans="1:62" s="23" customFormat="1" ht="21" customHeight="1" thickBot="1" x14ac:dyDescent="0.25">
      <c r="A649" s="846" t="str">
        <f>IF($AN649="","",IFERROR(VLOOKUP(CONCATENATE(CTR1_Billing!$E$20,$AN649),'Local Data Previous Year'!$C$3:$D$20000,2,0),CTR1_Billing!$E$21&amp;"NEW"))</f>
        <v/>
      </c>
      <c r="B649" s="846" t="str">
        <f>IF($E649="","",IFERROR(VLOOKUP(CONCATENATE(CTR1_Billing!$E$20,CTR1_Local!$E649),'Local Data Previous Year'!$C$3:$D$20000,2,0),CTR1_Billing!$E$21&amp;"NEW"))</f>
        <v/>
      </c>
      <c r="C649" s="846">
        <v>617</v>
      </c>
      <c r="D649" s="755" t="str" cm="1">
        <f t="array" ref="D649">IF(ISERROR(INDEX('Local Data Previous Year'!$D$3:$D$20000,SMALL(IF(CTR1_Billing!$E$21='Local Data Previous Year'!$A$3:$A$20000,ROW('Local Data Previous Year'!$A$3:$A$20000)-ROW('Local Data Previous Year'!$A$3)+1),ROW(617:617)))),"",INDEX('Local Data Previous Year'!$D$3:$D$20000,SMALL(IF(CTR1_Billing!$E$21='Local Data Previous Year'!$A$3:$A$20000,ROW('Local Data Previous Year'!$A$3:$A$20000)-ROW('Local Data Previous Year'!$A$3)+1),ROW(617:617))))</f>
        <v/>
      </c>
      <c r="E649" s="755" t="str" cm="1">
        <f t="array" ref="E649">IF(ISERROR(INDEX('Local Data Previous Year'!$E$3:$E$20000,SMALL(IF(CTR1_Billing!$E$21='Local Data Previous Year'!$A$3:$A$20000,ROW('Local Data Previous Year'!$A$3:$A$20000)-ROW('Local Data Previous Year'!$A$3)+1),ROW(617:617)))),"",INDEX('Local Data Previous Year'!$E$3:$E$20000,SMALL(IF(CTR1_Billing!$E$21='Local Data Previous Year'!$A$3:$A$20000,ROW('Local Data Previous Year'!$A$3:$A$20000)-ROW('Local Data Previous Year'!$A$3)+1),ROW(617:617))))</f>
        <v/>
      </c>
      <c r="F649" s="756" t="str">
        <f>IF($D649="","",IF(ISNA(MATCH($D649,'Local Data Previous Year'!$D$3:$D$20000,0)),"New",IFERROR(VLOOKUP($B649,'Local Data Previous Year'!$D$3:$I$20000,6,0),"")))</f>
        <v/>
      </c>
      <c r="G649" s="757">
        <f t="shared" si="112"/>
        <v>0</v>
      </c>
      <c r="H649" s="758" t="str">
        <f>IFERROR(INDEX('Local Data Previous Year'!$F:$F, MATCH($D649, 'Local Data Previous Year'!$D:$D, 0)), "")</f>
        <v/>
      </c>
      <c r="I649" s="759">
        <f>IF(B649=CTR1_Billing!$E$21&amp;"NEW",1,0)</f>
        <v>0</v>
      </c>
      <c r="J649" s="760" t="str">
        <f>IFERROR(INDEX('Local Data Previous Year'!$G:$G, MATCH($D649, 'Local Data Previous Year'!$D:$D, 0)), "")</f>
        <v/>
      </c>
      <c r="K649" s="762"/>
      <c r="L649" s="760" t="str">
        <f>IFERROR(INDEX('Local Data Previous Year'!$H:$H, MATCH($D649, 'Local Data Previous Year'!$D:$D, 0)), "")</f>
        <v/>
      </c>
      <c r="M649" s="762"/>
      <c r="N649" s="763"/>
      <c r="O649" s="767"/>
      <c r="P649" s="765"/>
      <c r="Q649" s="767"/>
      <c r="R649" s="766" t="str">
        <f t="shared" si="127"/>
        <v/>
      </c>
      <c r="S649" s="754"/>
      <c r="T649" s="763"/>
      <c r="U649" s="754"/>
      <c r="V649" s="763"/>
      <c r="W649" s="763"/>
      <c r="X649" s="865" t="str">
        <f>VLOOKUP(CTR1_Billing!$E$21,Data!$C$6:$D$302,1,FALSE)</f>
        <v>EZZZZ</v>
      </c>
      <c r="Y649" s="205"/>
      <c r="Z649" s="205">
        <f t="shared" si="119"/>
        <v>0</v>
      </c>
      <c r="AA649" s="206" t="str">
        <f t="shared" si="118"/>
        <v/>
      </c>
      <c r="AB649" s="205">
        <f t="shared" si="120"/>
        <v>0</v>
      </c>
      <c r="AC649" s="208"/>
      <c r="AD649" s="208"/>
      <c r="AE649" s="208"/>
      <c r="AF649" s="208"/>
      <c r="AG649" s="209" t="str">
        <f>IFERROR(INDEX('Local Data Previous Year'!$F:$F, MATCH($D649, 'Local Data Previous Year'!$D:$D, 0)), "")</f>
        <v/>
      </c>
      <c r="AH649" s="209" t="str">
        <f>IFERROR(INDEX('Local Data Previous Year'!$G:$G, MATCH($D649, 'Local Data Previous Year'!$D:$D, 0)), "")</f>
        <v/>
      </c>
      <c r="AI649" s="209" t="str">
        <f>IFERROR(INDEX('Local Data Previous Year'!$H:$H, MATCH($D649, 'Local Data Previous Year'!$D:$D, 0)), "")</f>
        <v/>
      </c>
      <c r="AJ649" s="209" t="str">
        <f t="shared" si="121"/>
        <v/>
      </c>
      <c r="AK649" s="209" t="str">
        <f t="shared" si="116"/>
        <v/>
      </c>
      <c r="AL649" s="209" t="str">
        <f t="shared" si="117"/>
        <v/>
      </c>
      <c r="AM649" s="208" t="str">
        <f>IF($AN649="","",IFERROR(VLOOKUP(CONCATENATE(CTR1_Billing!$E$20,$AN649),'Local Data Previous Year'!$C$3:$D$50000,2,0),CTR1_Billing!$E$21&amp;"NEW"))</f>
        <v/>
      </c>
      <c r="AN649" s="209" t="str" cm="1">
        <f t="array" ref="AN649">IF(ISERROR(INDEX('Local Data Previous Year'!$E$3:$E$50000, SMALL(IF(CTR1_Billing!$E$21='Local Data Previous Year'!$A$3:$A$50000, ROW('Local Data Previous Year'!$A$3:$A$50000)-ROW('Local Data Previous Year'!$A$3)+1), ROW(617:617)))), "", INDEX('Local Data Previous Year'!$E$3:$E$50000, SMALL(IF(CTR1_Billing!$E$21='Local Data Previous Year'!$A$3:$A$50000, ROW('Local Data Previous Year'!$A$3:$A$50000)-ROW('Local Data Previous Year'!$A$3)+1), ROW(617:617))))</f>
        <v/>
      </c>
      <c r="AO649" s="209" t="str">
        <f t="shared" si="122"/>
        <v/>
      </c>
      <c r="AP649" s="208"/>
      <c r="AQ649" s="209" t="str">
        <f t="shared" si="123"/>
        <v/>
      </c>
      <c r="AR649" s="209" t="str">
        <f t="shared" si="124"/>
        <v/>
      </c>
      <c r="AS649" s="202" t="str">
        <f t="shared" si="125"/>
        <v/>
      </c>
      <c r="AT649" s="202" t="str">
        <f t="shared" si="126"/>
        <v/>
      </c>
      <c r="AU649" s="208"/>
      <c r="AV649" s="208"/>
      <c r="AW649" s="208"/>
      <c r="AX649" s="208"/>
      <c r="AY649" s="208"/>
      <c r="AZ649" s="208"/>
      <c r="BA649" s="208"/>
      <c r="BB649" s="208"/>
      <c r="BC649" s="208"/>
      <c r="BD649" s="208"/>
      <c r="BE649" s="208"/>
      <c r="BF649" s="208"/>
      <c r="BG649" s="28"/>
      <c r="BH649" s="28"/>
      <c r="BI649" s="28"/>
      <c r="BJ649" s="28"/>
    </row>
    <row r="650" spans="1:62" s="23" customFormat="1" ht="21" customHeight="1" thickBot="1" x14ac:dyDescent="0.25">
      <c r="A650" s="846" t="str">
        <f>IF($AN650="","",IFERROR(VLOOKUP(CONCATENATE(CTR1_Billing!$E$20,$AN650),'Local Data Previous Year'!$C$3:$D$20000,2,0),CTR1_Billing!$E$21&amp;"NEW"))</f>
        <v/>
      </c>
      <c r="B650" s="846" t="str">
        <f>IF($E650="","",IFERROR(VLOOKUP(CONCATENATE(CTR1_Billing!$E$20,CTR1_Local!$E650),'Local Data Previous Year'!$C$3:$D$20000,2,0),CTR1_Billing!$E$21&amp;"NEW"))</f>
        <v/>
      </c>
      <c r="C650" s="846">
        <v>618</v>
      </c>
      <c r="D650" s="755" t="str" cm="1">
        <f t="array" ref="D650">IF(ISERROR(INDEX('Local Data Previous Year'!$D$3:$D$20000,SMALL(IF(CTR1_Billing!$E$21='Local Data Previous Year'!$A$3:$A$20000,ROW('Local Data Previous Year'!$A$3:$A$20000)-ROW('Local Data Previous Year'!$A$3)+1),ROW(618:618)))),"",INDEX('Local Data Previous Year'!$D$3:$D$20000,SMALL(IF(CTR1_Billing!$E$21='Local Data Previous Year'!$A$3:$A$20000,ROW('Local Data Previous Year'!$A$3:$A$20000)-ROW('Local Data Previous Year'!$A$3)+1),ROW(618:618))))</f>
        <v/>
      </c>
      <c r="E650" s="755" t="str" cm="1">
        <f t="array" ref="E650">IF(ISERROR(INDEX('Local Data Previous Year'!$E$3:$E$20000,SMALL(IF(CTR1_Billing!$E$21='Local Data Previous Year'!$A$3:$A$20000,ROW('Local Data Previous Year'!$A$3:$A$20000)-ROW('Local Data Previous Year'!$A$3)+1),ROW(618:618)))),"",INDEX('Local Data Previous Year'!$E$3:$E$20000,SMALL(IF(CTR1_Billing!$E$21='Local Data Previous Year'!$A$3:$A$20000,ROW('Local Data Previous Year'!$A$3:$A$20000)-ROW('Local Data Previous Year'!$A$3)+1),ROW(618:618))))</f>
        <v/>
      </c>
      <c r="F650" s="756" t="str">
        <f>IF($D650="","",IF(ISNA(MATCH($D650,'Local Data Previous Year'!$D$3:$D$20000,0)),"New",IFERROR(VLOOKUP($B650,'Local Data Previous Year'!$D$3:$I$20000,6,0),"")))</f>
        <v/>
      </c>
      <c r="G650" s="757">
        <f t="shared" si="112"/>
        <v>0</v>
      </c>
      <c r="H650" s="758" t="str">
        <f>IFERROR(INDEX('Local Data Previous Year'!$F:$F, MATCH($D650, 'Local Data Previous Year'!$D:$D, 0)), "")</f>
        <v/>
      </c>
      <c r="I650" s="759">
        <f>IF(B650=CTR1_Billing!$E$21&amp;"NEW",1,0)</f>
        <v>0</v>
      </c>
      <c r="J650" s="760" t="str">
        <f>IFERROR(INDEX('Local Data Previous Year'!$G:$G, MATCH($D650, 'Local Data Previous Year'!$D:$D, 0)), "")</f>
        <v/>
      </c>
      <c r="K650" s="762"/>
      <c r="L650" s="760" t="str">
        <f>IFERROR(INDEX('Local Data Previous Year'!$H:$H, MATCH($D650, 'Local Data Previous Year'!$D:$D, 0)), "")</f>
        <v/>
      </c>
      <c r="M650" s="762"/>
      <c r="N650" s="763"/>
      <c r="O650" s="767"/>
      <c r="P650" s="765"/>
      <c r="Q650" s="767"/>
      <c r="R650" s="766" t="str">
        <f t="shared" si="127"/>
        <v/>
      </c>
      <c r="S650" s="754"/>
      <c r="T650" s="763"/>
      <c r="U650" s="754"/>
      <c r="V650" s="763"/>
      <c r="W650" s="763"/>
      <c r="X650" s="865" t="str">
        <f>VLOOKUP(CTR1_Billing!$E$21,Data!$C$6:$D$302,1,FALSE)</f>
        <v>EZZZZ</v>
      </c>
      <c r="Y650" s="205"/>
      <c r="Z650" s="205">
        <f t="shared" si="119"/>
        <v>0</v>
      </c>
      <c r="AA650" s="206" t="str">
        <f t="shared" si="118"/>
        <v/>
      </c>
      <c r="AB650" s="205">
        <f t="shared" si="120"/>
        <v>0</v>
      </c>
      <c r="AC650" s="208"/>
      <c r="AD650" s="208"/>
      <c r="AE650" s="208"/>
      <c r="AF650" s="208"/>
      <c r="AG650" s="209" t="str">
        <f>IFERROR(INDEX('Local Data Previous Year'!$F:$F, MATCH($D650, 'Local Data Previous Year'!$D:$D, 0)), "")</f>
        <v/>
      </c>
      <c r="AH650" s="209" t="str">
        <f>IFERROR(INDEX('Local Data Previous Year'!$G:$G, MATCH($D650, 'Local Data Previous Year'!$D:$D, 0)), "")</f>
        <v/>
      </c>
      <c r="AI650" s="209" t="str">
        <f>IFERROR(INDEX('Local Data Previous Year'!$H:$H, MATCH($D650, 'Local Data Previous Year'!$D:$D, 0)), "")</f>
        <v/>
      </c>
      <c r="AJ650" s="209" t="str">
        <f t="shared" si="121"/>
        <v/>
      </c>
      <c r="AK650" s="209" t="str">
        <f t="shared" si="116"/>
        <v/>
      </c>
      <c r="AL650" s="209" t="str">
        <f t="shared" si="117"/>
        <v/>
      </c>
      <c r="AM650" s="208" t="str">
        <f>IF($AN650="","",IFERROR(VLOOKUP(CONCATENATE(CTR1_Billing!$E$20,$AN650),'Local Data Previous Year'!$C$3:$D$50000,2,0),CTR1_Billing!$E$21&amp;"NEW"))</f>
        <v/>
      </c>
      <c r="AN650" s="209" t="str" cm="1">
        <f t="array" ref="AN650">IF(ISERROR(INDEX('Local Data Previous Year'!$E$3:$E$50000, SMALL(IF(CTR1_Billing!$E$21='Local Data Previous Year'!$A$3:$A$50000, ROW('Local Data Previous Year'!$A$3:$A$50000)-ROW('Local Data Previous Year'!$A$3)+1), ROW(618:618)))), "", INDEX('Local Data Previous Year'!$E$3:$E$50000, SMALL(IF(CTR1_Billing!$E$21='Local Data Previous Year'!$A$3:$A$50000, ROW('Local Data Previous Year'!$A$3:$A$50000)-ROW('Local Data Previous Year'!$A$3)+1), ROW(618:618))))</f>
        <v/>
      </c>
      <c r="AO650" s="209" t="str">
        <f t="shared" si="122"/>
        <v/>
      </c>
      <c r="AP650" s="208"/>
      <c r="AQ650" s="209" t="str">
        <f t="shared" si="123"/>
        <v/>
      </c>
      <c r="AR650" s="209" t="str">
        <f t="shared" si="124"/>
        <v/>
      </c>
      <c r="AS650" s="202" t="str">
        <f t="shared" si="125"/>
        <v/>
      </c>
      <c r="AT650" s="202" t="str">
        <f t="shared" si="126"/>
        <v/>
      </c>
      <c r="AU650" s="208"/>
      <c r="AV650" s="208"/>
      <c r="AW650" s="208"/>
      <c r="AX650" s="208"/>
      <c r="AY650" s="208"/>
      <c r="AZ650" s="208"/>
      <c r="BA650" s="208"/>
      <c r="BB650" s="208"/>
      <c r="BC650" s="208"/>
      <c r="BD650" s="208"/>
      <c r="BE650" s="208"/>
      <c r="BF650" s="208"/>
      <c r="BG650" s="28"/>
      <c r="BH650" s="28"/>
      <c r="BI650" s="28"/>
      <c r="BJ650" s="28"/>
    </row>
    <row r="651" spans="1:62" s="23" customFormat="1" ht="21" customHeight="1" thickBot="1" x14ac:dyDescent="0.25">
      <c r="A651" s="846" t="str">
        <f>IF($AN651="","",IFERROR(VLOOKUP(CONCATENATE(CTR1_Billing!$E$20,$AN651),'Local Data Previous Year'!$C$3:$D$20000,2,0),CTR1_Billing!$E$21&amp;"NEW"))</f>
        <v/>
      </c>
      <c r="B651" s="846" t="str">
        <f>IF($E651="","",IFERROR(VLOOKUP(CONCATENATE(CTR1_Billing!$E$20,CTR1_Local!$E651),'Local Data Previous Year'!$C$3:$D$20000,2,0),CTR1_Billing!$E$21&amp;"NEW"))</f>
        <v/>
      </c>
      <c r="C651" s="846">
        <v>619</v>
      </c>
      <c r="D651" s="755" t="str" cm="1">
        <f t="array" ref="D651">IF(ISERROR(INDEX('Local Data Previous Year'!$D$3:$D$20000,SMALL(IF(CTR1_Billing!$E$21='Local Data Previous Year'!$A$3:$A$20000,ROW('Local Data Previous Year'!$A$3:$A$20000)-ROW('Local Data Previous Year'!$A$3)+1),ROW(619:619)))),"",INDEX('Local Data Previous Year'!$D$3:$D$20000,SMALL(IF(CTR1_Billing!$E$21='Local Data Previous Year'!$A$3:$A$20000,ROW('Local Data Previous Year'!$A$3:$A$20000)-ROW('Local Data Previous Year'!$A$3)+1),ROW(619:619))))</f>
        <v/>
      </c>
      <c r="E651" s="755" t="str" cm="1">
        <f t="array" ref="E651">IF(ISERROR(INDEX('Local Data Previous Year'!$E$3:$E$20000,SMALL(IF(CTR1_Billing!$E$21='Local Data Previous Year'!$A$3:$A$20000,ROW('Local Data Previous Year'!$A$3:$A$20000)-ROW('Local Data Previous Year'!$A$3)+1),ROW(619:619)))),"",INDEX('Local Data Previous Year'!$E$3:$E$20000,SMALL(IF(CTR1_Billing!$E$21='Local Data Previous Year'!$A$3:$A$20000,ROW('Local Data Previous Year'!$A$3:$A$20000)-ROW('Local Data Previous Year'!$A$3)+1),ROW(619:619))))</f>
        <v/>
      </c>
      <c r="F651" s="756" t="str">
        <f>IF($D651="","",IF(ISNA(MATCH($D651,'Local Data Previous Year'!$D$3:$D$20000,0)),"New",IFERROR(VLOOKUP($B651,'Local Data Previous Year'!$D$3:$I$20000,6,0),"")))</f>
        <v/>
      </c>
      <c r="G651" s="757">
        <f t="shared" si="112"/>
        <v>0</v>
      </c>
      <c r="H651" s="758" t="str">
        <f>IFERROR(INDEX('Local Data Previous Year'!$F:$F, MATCH($D651, 'Local Data Previous Year'!$D:$D, 0)), "")</f>
        <v/>
      </c>
      <c r="I651" s="759">
        <f>IF(B651=CTR1_Billing!$E$21&amp;"NEW",1,0)</f>
        <v>0</v>
      </c>
      <c r="J651" s="760" t="str">
        <f>IFERROR(INDEX('Local Data Previous Year'!$G:$G, MATCH($D651, 'Local Data Previous Year'!$D:$D, 0)), "")</f>
        <v/>
      </c>
      <c r="K651" s="762"/>
      <c r="L651" s="760" t="str">
        <f>IFERROR(INDEX('Local Data Previous Year'!$H:$H, MATCH($D651, 'Local Data Previous Year'!$D:$D, 0)), "")</f>
        <v/>
      </c>
      <c r="M651" s="762"/>
      <c r="N651" s="763"/>
      <c r="O651" s="767"/>
      <c r="P651" s="765"/>
      <c r="Q651" s="767"/>
      <c r="R651" s="766" t="str">
        <f t="shared" si="127"/>
        <v/>
      </c>
      <c r="S651" s="754"/>
      <c r="T651" s="763"/>
      <c r="U651" s="754"/>
      <c r="V651" s="763"/>
      <c r="W651" s="763"/>
      <c r="X651" s="865" t="str">
        <f>VLOOKUP(CTR1_Billing!$E$21,Data!$C$6:$D$302,1,FALSE)</f>
        <v>EZZZZ</v>
      </c>
      <c r="Y651" s="205"/>
      <c r="Z651" s="205">
        <f t="shared" si="119"/>
        <v>0</v>
      </c>
      <c r="AA651" s="206" t="str">
        <f t="shared" si="118"/>
        <v/>
      </c>
      <c r="AB651" s="205">
        <f t="shared" si="120"/>
        <v>0</v>
      </c>
      <c r="AC651" s="208"/>
      <c r="AD651" s="208"/>
      <c r="AE651" s="208"/>
      <c r="AF651" s="208"/>
      <c r="AG651" s="209" t="str">
        <f>IFERROR(INDEX('Local Data Previous Year'!$F:$F, MATCH($D651, 'Local Data Previous Year'!$D:$D, 0)), "")</f>
        <v/>
      </c>
      <c r="AH651" s="209" t="str">
        <f>IFERROR(INDEX('Local Data Previous Year'!$G:$G, MATCH($D651, 'Local Data Previous Year'!$D:$D, 0)), "")</f>
        <v/>
      </c>
      <c r="AI651" s="209" t="str">
        <f>IFERROR(INDEX('Local Data Previous Year'!$H:$H, MATCH($D651, 'Local Data Previous Year'!$D:$D, 0)), "")</f>
        <v/>
      </c>
      <c r="AJ651" s="209" t="str">
        <f t="shared" si="121"/>
        <v/>
      </c>
      <c r="AK651" s="209" t="str">
        <f t="shared" si="116"/>
        <v/>
      </c>
      <c r="AL651" s="209" t="str">
        <f t="shared" si="117"/>
        <v/>
      </c>
      <c r="AM651" s="208" t="str">
        <f>IF($AN651="","",IFERROR(VLOOKUP(CONCATENATE(CTR1_Billing!$E$20,$AN651),'Local Data Previous Year'!$C$3:$D$50000,2,0),CTR1_Billing!$E$21&amp;"NEW"))</f>
        <v/>
      </c>
      <c r="AN651" s="209" t="str" cm="1">
        <f t="array" ref="AN651">IF(ISERROR(INDEX('Local Data Previous Year'!$E$3:$E$50000, SMALL(IF(CTR1_Billing!$E$21='Local Data Previous Year'!$A$3:$A$50000, ROW('Local Data Previous Year'!$A$3:$A$50000)-ROW('Local Data Previous Year'!$A$3)+1), ROW(619:619)))), "", INDEX('Local Data Previous Year'!$E$3:$E$50000, SMALL(IF(CTR1_Billing!$E$21='Local Data Previous Year'!$A$3:$A$50000, ROW('Local Data Previous Year'!$A$3:$A$50000)-ROW('Local Data Previous Year'!$A$3)+1), ROW(619:619))))</f>
        <v/>
      </c>
      <c r="AO651" s="209" t="str">
        <f t="shared" si="122"/>
        <v/>
      </c>
      <c r="AP651" s="208"/>
      <c r="AQ651" s="209" t="str">
        <f t="shared" si="123"/>
        <v/>
      </c>
      <c r="AR651" s="209" t="str">
        <f t="shared" si="124"/>
        <v/>
      </c>
      <c r="AS651" s="202" t="str">
        <f t="shared" si="125"/>
        <v/>
      </c>
      <c r="AT651" s="202" t="str">
        <f t="shared" si="126"/>
        <v/>
      </c>
      <c r="AU651" s="208"/>
      <c r="AV651" s="208"/>
      <c r="AW651" s="208"/>
      <c r="AX651" s="208"/>
      <c r="AY651" s="208"/>
      <c r="AZ651" s="208"/>
      <c r="BA651" s="208"/>
      <c r="BB651" s="208"/>
      <c r="BC651" s="208"/>
      <c r="BD651" s="208"/>
      <c r="BE651" s="208"/>
      <c r="BF651" s="208"/>
      <c r="BG651" s="28"/>
      <c r="BH651" s="28"/>
      <c r="BI651" s="28"/>
      <c r="BJ651" s="28"/>
    </row>
    <row r="652" spans="1:62" s="23" customFormat="1" ht="21" customHeight="1" thickBot="1" x14ac:dyDescent="0.25">
      <c r="A652" s="846" t="str">
        <f>IF($AN652="","",IFERROR(VLOOKUP(CONCATENATE(CTR1_Billing!$E$20,$AN652),'Local Data Previous Year'!$C$3:$D$20000,2,0),CTR1_Billing!$E$21&amp;"NEW"))</f>
        <v/>
      </c>
      <c r="B652" s="846" t="str">
        <f>IF($E652="","",IFERROR(VLOOKUP(CONCATENATE(CTR1_Billing!$E$20,CTR1_Local!$E652),'Local Data Previous Year'!$C$3:$D$20000,2,0),CTR1_Billing!$E$21&amp;"NEW"))</f>
        <v/>
      </c>
      <c r="C652" s="846">
        <v>620</v>
      </c>
      <c r="D652" s="755" t="str" cm="1">
        <f t="array" ref="D652">IF(ISERROR(INDEX('Local Data Previous Year'!$D$3:$D$20000,SMALL(IF(CTR1_Billing!$E$21='Local Data Previous Year'!$A$3:$A$20000,ROW('Local Data Previous Year'!$A$3:$A$20000)-ROW('Local Data Previous Year'!$A$3)+1),ROW(620:620)))),"",INDEX('Local Data Previous Year'!$D$3:$D$20000,SMALL(IF(CTR1_Billing!$E$21='Local Data Previous Year'!$A$3:$A$20000,ROW('Local Data Previous Year'!$A$3:$A$20000)-ROW('Local Data Previous Year'!$A$3)+1),ROW(620:620))))</f>
        <v/>
      </c>
      <c r="E652" s="755" t="str" cm="1">
        <f t="array" ref="E652">IF(ISERROR(INDEX('Local Data Previous Year'!$E$3:$E$20000,SMALL(IF(CTR1_Billing!$E$21='Local Data Previous Year'!$A$3:$A$20000,ROW('Local Data Previous Year'!$A$3:$A$20000)-ROW('Local Data Previous Year'!$A$3)+1),ROW(620:620)))),"",INDEX('Local Data Previous Year'!$E$3:$E$20000,SMALL(IF(CTR1_Billing!$E$21='Local Data Previous Year'!$A$3:$A$20000,ROW('Local Data Previous Year'!$A$3:$A$20000)-ROW('Local Data Previous Year'!$A$3)+1),ROW(620:620))))</f>
        <v/>
      </c>
      <c r="F652" s="756" t="str">
        <f>IF($D652="","",IF(ISNA(MATCH($D652,'Local Data Previous Year'!$D$3:$D$20000,0)),"New",IFERROR(VLOOKUP($B652,'Local Data Previous Year'!$D$3:$I$20000,6,0),"")))</f>
        <v/>
      </c>
      <c r="G652" s="757">
        <f t="shared" si="112"/>
        <v>0</v>
      </c>
      <c r="H652" s="758" t="str">
        <f>IFERROR(INDEX('Local Data Previous Year'!$F:$F, MATCH($D652, 'Local Data Previous Year'!$D:$D, 0)), "")</f>
        <v/>
      </c>
      <c r="I652" s="759">
        <f>IF(B652=CTR1_Billing!$E$21&amp;"NEW",1,0)</f>
        <v>0</v>
      </c>
      <c r="J652" s="760" t="str">
        <f>IFERROR(INDEX('Local Data Previous Year'!$G:$G, MATCH($D652, 'Local Data Previous Year'!$D:$D, 0)), "")</f>
        <v/>
      </c>
      <c r="K652" s="762"/>
      <c r="L652" s="760" t="str">
        <f>IFERROR(INDEX('Local Data Previous Year'!$H:$H, MATCH($D652, 'Local Data Previous Year'!$D:$D, 0)), "")</f>
        <v/>
      </c>
      <c r="M652" s="762"/>
      <c r="N652" s="763"/>
      <c r="O652" s="767"/>
      <c r="P652" s="765"/>
      <c r="Q652" s="767"/>
      <c r="R652" s="766" t="str">
        <f t="shared" si="127"/>
        <v/>
      </c>
      <c r="S652" s="754"/>
      <c r="T652" s="763"/>
      <c r="U652" s="754"/>
      <c r="V652" s="763"/>
      <c r="W652" s="763"/>
      <c r="X652" s="865" t="str">
        <f>VLOOKUP(CTR1_Billing!$E$21,Data!$C$6:$D$302,1,FALSE)</f>
        <v>EZZZZ</v>
      </c>
      <c r="Y652" s="205"/>
      <c r="Z652" s="205">
        <f t="shared" si="119"/>
        <v>0</v>
      </c>
      <c r="AA652" s="206" t="str">
        <f t="shared" si="118"/>
        <v/>
      </c>
      <c r="AB652" s="205">
        <f t="shared" si="120"/>
        <v>0</v>
      </c>
      <c r="AC652" s="208"/>
      <c r="AD652" s="208"/>
      <c r="AE652" s="208"/>
      <c r="AF652" s="208"/>
      <c r="AG652" s="209" t="str">
        <f>IFERROR(INDEX('Local Data Previous Year'!$F:$F, MATCH($D652, 'Local Data Previous Year'!$D:$D, 0)), "")</f>
        <v/>
      </c>
      <c r="AH652" s="209" t="str">
        <f>IFERROR(INDEX('Local Data Previous Year'!$G:$G, MATCH($D652, 'Local Data Previous Year'!$D:$D, 0)), "")</f>
        <v/>
      </c>
      <c r="AI652" s="209" t="str">
        <f>IFERROR(INDEX('Local Data Previous Year'!$H:$H, MATCH($D652, 'Local Data Previous Year'!$D:$D, 0)), "")</f>
        <v/>
      </c>
      <c r="AJ652" s="209" t="str">
        <f t="shared" si="121"/>
        <v/>
      </c>
      <c r="AK652" s="209" t="str">
        <f t="shared" si="116"/>
        <v/>
      </c>
      <c r="AL652" s="209" t="str">
        <f t="shared" si="117"/>
        <v/>
      </c>
      <c r="AM652" s="208" t="str">
        <f>IF($AN652="","",IFERROR(VLOOKUP(CONCATENATE(CTR1_Billing!$E$20,$AN652),'Local Data Previous Year'!$C$3:$D$50000,2,0),CTR1_Billing!$E$21&amp;"NEW"))</f>
        <v/>
      </c>
      <c r="AN652" s="209" t="str" cm="1">
        <f t="array" ref="AN652">IF(ISERROR(INDEX('Local Data Previous Year'!$E$3:$E$50000, SMALL(IF(CTR1_Billing!$E$21='Local Data Previous Year'!$A$3:$A$50000, ROW('Local Data Previous Year'!$A$3:$A$50000)-ROW('Local Data Previous Year'!$A$3)+1), ROW(620:620)))), "", INDEX('Local Data Previous Year'!$E$3:$E$50000, SMALL(IF(CTR1_Billing!$E$21='Local Data Previous Year'!$A$3:$A$50000, ROW('Local Data Previous Year'!$A$3:$A$50000)-ROW('Local Data Previous Year'!$A$3)+1), ROW(620:620))))</f>
        <v/>
      </c>
      <c r="AO652" s="209" t="str">
        <f t="shared" si="122"/>
        <v/>
      </c>
      <c r="AP652" s="208"/>
      <c r="AQ652" s="209" t="str">
        <f t="shared" si="123"/>
        <v/>
      </c>
      <c r="AR652" s="209" t="str">
        <f t="shared" si="124"/>
        <v/>
      </c>
      <c r="AS652" s="202" t="str">
        <f t="shared" si="125"/>
        <v/>
      </c>
      <c r="AT652" s="202" t="str">
        <f t="shared" si="126"/>
        <v/>
      </c>
      <c r="AU652" s="208"/>
      <c r="AV652" s="208"/>
      <c r="AW652" s="208"/>
      <c r="AX652" s="208"/>
      <c r="AY652" s="208"/>
      <c r="AZ652" s="208"/>
      <c r="BA652" s="208"/>
      <c r="BB652" s="208"/>
      <c r="BC652" s="208"/>
      <c r="BD652" s="208"/>
      <c r="BE652" s="208"/>
      <c r="BF652" s="208"/>
      <c r="BG652" s="28"/>
      <c r="BH652" s="28"/>
      <c r="BI652" s="28"/>
      <c r="BJ652" s="28"/>
    </row>
    <row r="653" spans="1:62" s="23" customFormat="1" ht="21" customHeight="1" thickBot="1" x14ac:dyDescent="0.25">
      <c r="A653" s="846" t="str">
        <f>IF($AN653="","",IFERROR(VLOOKUP(CONCATENATE(CTR1_Billing!$E$20,$AN653),'Local Data Previous Year'!$C$3:$D$20000,2,0),CTR1_Billing!$E$21&amp;"NEW"))</f>
        <v/>
      </c>
      <c r="B653" s="846" t="str">
        <f>IF($E653="","",IFERROR(VLOOKUP(CONCATENATE(CTR1_Billing!$E$20,CTR1_Local!$E653),'Local Data Previous Year'!$C$3:$D$20000,2,0),CTR1_Billing!$E$21&amp;"NEW"))</f>
        <v/>
      </c>
      <c r="C653" s="846">
        <v>621</v>
      </c>
      <c r="D653" s="755" t="str" cm="1">
        <f t="array" ref="D653">IF(ISERROR(INDEX('Local Data Previous Year'!$D$3:$D$20000,SMALL(IF(CTR1_Billing!$E$21='Local Data Previous Year'!$A$3:$A$20000,ROW('Local Data Previous Year'!$A$3:$A$20000)-ROW('Local Data Previous Year'!$A$3)+1),ROW(621:621)))),"",INDEX('Local Data Previous Year'!$D$3:$D$20000,SMALL(IF(CTR1_Billing!$E$21='Local Data Previous Year'!$A$3:$A$20000,ROW('Local Data Previous Year'!$A$3:$A$20000)-ROW('Local Data Previous Year'!$A$3)+1),ROW(621:621))))</f>
        <v/>
      </c>
      <c r="E653" s="755" t="str" cm="1">
        <f t="array" ref="E653">IF(ISERROR(INDEX('Local Data Previous Year'!$E$3:$E$20000,SMALL(IF(CTR1_Billing!$E$21='Local Data Previous Year'!$A$3:$A$20000,ROW('Local Data Previous Year'!$A$3:$A$20000)-ROW('Local Data Previous Year'!$A$3)+1),ROW(621:621)))),"",INDEX('Local Data Previous Year'!$E$3:$E$20000,SMALL(IF(CTR1_Billing!$E$21='Local Data Previous Year'!$A$3:$A$20000,ROW('Local Data Previous Year'!$A$3:$A$20000)-ROW('Local Data Previous Year'!$A$3)+1),ROW(621:621))))</f>
        <v/>
      </c>
      <c r="F653" s="756" t="str">
        <f>IF($D653="","",IF(ISNA(MATCH($D653,'Local Data Previous Year'!$D$3:$D$20000,0)),"New",IFERROR(VLOOKUP($B653,'Local Data Previous Year'!$D$3:$I$20000,6,0),"")))</f>
        <v/>
      </c>
      <c r="G653" s="757">
        <f t="shared" si="112"/>
        <v>0</v>
      </c>
      <c r="H653" s="758" t="str">
        <f>IFERROR(INDEX('Local Data Previous Year'!$F:$F, MATCH($D653, 'Local Data Previous Year'!$D:$D, 0)), "")</f>
        <v/>
      </c>
      <c r="I653" s="759">
        <f>IF(B653=CTR1_Billing!$E$21&amp;"NEW",1,0)</f>
        <v>0</v>
      </c>
      <c r="J653" s="760" t="str">
        <f>IFERROR(INDEX('Local Data Previous Year'!$G:$G, MATCH($D653, 'Local Data Previous Year'!$D:$D, 0)), "")</f>
        <v/>
      </c>
      <c r="K653" s="762"/>
      <c r="L653" s="760" t="str">
        <f>IFERROR(INDEX('Local Data Previous Year'!$H:$H, MATCH($D653, 'Local Data Previous Year'!$D:$D, 0)), "")</f>
        <v/>
      </c>
      <c r="M653" s="762"/>
      <c r="N653" s="763"/>
      <c r="O653" s="767"/>
      <c r="P653" s="765"/>
      <c r="Q653" s="767"/>
      <c r="R653" s="766" t="str">
        <f t="shared" si="127"/>
        <v/>
      </c>
      <c r="S653" s="754"/>
      <c r="T653" s="763"/>
      <c r="U653" s="754"/>
      <c r="V653" s="763"/>
      <c r="W653" s="763"/>
      <c r="X653" s="865" t="str">
        <f>VLOOKUP(CTR1_Billing!$E$21,Data!$C$6:$D$302,1,FALSE)</f>
        <v>EZZZZ</v>
      </c>
      <c r="Y653" s="205"/>
      <c r="Z653" s="205">
        <f t="shared" si="119"/>
        <v>0</v>
      </c>
      <c r="AA653" s="206" t="str">
        <f t="shared" si="118"/>
        <v/>
      </c>
      <c r="AB653" s="205">
        <f t="shared" si="120"/>
        <v>0</v>
      </c>
      <c r="AC653" s="208"/>
      <c r="AD653" s="208"/>
      <c r="AE653" s="208"/>
      <c r="AF653" s="208"/>
      <c r="AG653" s="209" t="str">
        <f>IFERROR(INDEX('Local Data Previous Year'!$F:$F, MATCH($D653, 'Local Data Previous Year'!$D:$D, 0)), "")</f>
        <v/>
      </c>
      <c r="AH653" s="209" t="str">
        <f>IFERROR(INDEX('Local Data Previous Year'!$G:$G, MATCH($D653, 'Local Data Previous Year'!$D:$D, 0)), "")</f>
        <v/>
      </c>
      <c r="AI653" s="209" t="str">
        <f>IFERROR(INDEX('Local Data Previous Year'!$H:$H, MATCH($D653, 'Local Data Previous Year'!$D:$D, 0)), "")</f>
        <v/>
      </c>
      <c r="AJ653" s="209" t="str">
        <f t="shared" si="121"/>
        <v/>
      </c>
      <c r="AK653" s="209" t="str">
        <f t="shared" si="116"/>
        <v/>
      </c>
      <c r="AL653" s="209" t="str">
        <f t="shared" si="117"/>
        <v/>
      </c>
      <c r="AM653" s="208" t="str">
        <f>IF($AN653="","",IFERROR(VLOOKUP(CONCATENATE(CTR1_Billing!$E$20,$AN653),'Local Data Previous Year'!$C$3:$D$50000,2,0),CTR1_Billing!$E$21&amp;"NEW"))</f>
        <v/>
      </c>
      <c r="AN653" s="209" t="str" cm="1">
        <f t="array" ref="AN653">IF(ISERROR(INDEX('Local Data Previous Year'!$E$3:$E$50000, SMALL(IF(CTR1_Billing!$E$21='Local Data Previous Year'!$A$3:$A$50000, ROW('Local Data Previous Year'!$A$3:$A$50000)-ROW('Local Data Previous Year'!$A$3)+1), ROW(621:621)))), "", INDEX('Local Data Previous Year'!$E$3:$E$50000, SMALL(IF(CTR1_Billing!$E$21='Local Data Previous Year'!$A$3:$A$50000, ROW('Local Data Previous Year'!$A$3:$A$50000)-ROW('Local Data Previous Year'!$A$3)+1), ROW(621:621))))</f>
        <v/>
      </c>
      <c r="AO653" s="209" t="str">
        <f t="shared" si="122"/>
        <v/>
      </c>
      <c r="AP653" s="208"/>
      <c r="AQ653" s="209" t="str">
        <f t="shared" si="123"/>
        <v/>
      </c>
      <c r="AR653" s="209" t="str">
        <f t="shared" si="124"/>
        <v/>
      </c>
      <c r="AS653" s="202" t="str">
        <f t="shared" si="125"/>
        <v/>
      </c>
      <c r="AT653" s="202" t="str">
        <f t="shared" si="126"/>
        <v/>
      </c>
      <c r="AU653" s="208"/>
      <c r="AV653" s="208"/>
      <c r="AW653" s="208"/>
      <c r="AX653" s="208"/>
      <c r="AY653" s="208"/>
      <c r="AZ653" s="208"/>
      <c r="BA653" s="208"/>
      <c r="BB653" s="208"/>
      <c r="BC653" s="208"/>
      <c r="BD653" s="208"/>
      <c r="BE653" s="208"/>
      <c r="BF653" s="208"/>
      <c r="BG653" s="28"/>
      <c r="BH653" s="28"/>
      <c r="BI653" s="28"/>
      <c r="BJ653" s="28"/>
    </row>
    <row r="654" spans="1:62" s="23" customFormat="1" ht="21" customHeight="1" thickBot="1" x14ac:dyDescent="0.25">
      <c r="A654" s="846" t="str">
        <f>IF($AN654="","",IFERROR(VLOOKUP(CONCATENATE(CTR1_Billing!$E$20,$AN654),'Local Data Previous Year'!$C$3:$D$20000,2,0),CTR1_Billing!$E$21&amp;"NEW"))</f>
        <v/>
      </c>
      <c r="B654" s="846" t="str">
        <f>IF($E654="","",IFERROR(VLOOKUP(CONCATENATE(CTR1_Billing!$E$20,CTR1_Local!$E654),'Local Data Previous Year'!$C$3:$D$20000,2,0),CTR1_Billing!$E$21&amp;"NEW"))</f>
        <v/>
      </c>
      <c r="C654" s="846">
        <v>622</v>
      </c>
      <c r="D654" s="755" t="str" cm="1">
        <f t="array" ref="D654">IF(ISERROR(INDEX('Local Data Previous Year'!$D$3:$D$20000,SMALL(IF(CTR1_Billing!$E$21='Local Data Previous Year'!$A$3:$A$20000,ROW('Local Data Previous Year'!$A$3:$A$20000)-ROW('Local Data Previous Year'!$A$3)+1),ROW(622:622)))),"",INDEX('Local Data Previous Year'!$D$3:$D$20000,SMALL(IF(CTR1_Billing!$E$21='Local Data Previous Year'!$A$3:$A$20000,ROW('Local Data Previous Year'!$A$3:$A$20000)-ROW('Local Data Previous Year'!$A$3)+1),ROW(622:622))))</f>
        <v/>
      </c>
      <c r="E654" s="755" t="str" cm="1">
        <f t="array" ref="E654">IF(ISERROR(INDEX('Local Data Previous Year'!$E$3:$E$20000,SMALL(IF(CTR1_Billing!$E$21='Local Data Previous Year'!$A$3:$A$20000,ROW('Local Data Previous Year'!$A$3:$A$20000)-ROW('Local Data Previous Year'!$A$3)+1),ROW(622:622)))),"",INDEX('Local Data Previous Year'!$E$3:$E$20000,SMALL(IF(CTR1_Billing!$E$21='Local Data Previous Year'!$A$3:$A$20000,ROW('Local Data Previous Year'!$A$3:$A$20000)-ROW('Local Data Previous Year'!$A$3)+1),ROW(622:622))))</f>
        <v/>
      </c>
      <c r="F654" s="756" t="str">
        <f>IF($D654="","",IF(ISNA(MATCH($D654,'Local Data Previous Year'!$D$3:$D$20000,0)),"New",IFERROR(VLOOKUP($B654,'Local Data Previous Year'!$D$3:$I$20000,6,0),"")))</f>
        <v/>
      </c>
      <c r="G654" s="757">
        <f t="shared" si="112"/>
        <v>0</v>
      </c>
      <c r="H654" s="758" t="str">
        <f>IFERROR(INDEX('Local Data Previous Year'!$F:$F, MATCH($D654, 'Local Data Previous Year'!$D:$D, 0)), "")</f>
        <v/>
      </c>
      <c r="I654" s="759">
        <f>IF(B654=CTR1_Billing!$E$21&amp;"NEW",1,0)</f>
        <v>0</v>
      </c>
      <c r="J654" s="760" t="str">
        <f>IFERROR(INDEX('Local Data Previous Year'!$G:$G, MATCH($D654, 'Local Data Previous Year'!$D:$D, 0)), "")</f>
        <v/>
      </c>
      <c r="K654" s="762"/>
      <c r="L654" s="760" t="str">
        <f>IFERROR(INDEX('Local Data Previous Year'!$H:$H, MATCH($D654, 'Local Data Previous Year'!$D:$D, 0)), "")</f>
        <v/>
      </c>
      <c r="M654" s="762"/>
      <c r="N654" s="763"/>
      <c r="O654" s="767"/>
      <c r="P654" s="765"/>
      <c r="Q654" s="767"/>
      <c r="R654" s="766" t="str">
        <f t="shared" si="127"/>
        <v/>
      </c>
      <c r="S654" s="754"/>
      <c r="T654" s="763"/>
      <c r="U654" s="754"/>
      <c r="V654" s="763"/>
      <c r="W654" s="763"/>
      <c r="X654" s="865" t="str">
        <f>VLOOKUP(CTR1_Billing!$E$21,Data!$C$6:$D$302,1,FALSE)</f>
        <v>EZZZZ</v>
      </c>
      <c r="Y654" s="205"/>
      <c r="Z654" s="205">
        <f t="shared" si="119"/>
        <v>0</v>
      </c>
      <c r="AA654" s="206" t="str">
        <f t="shared" si="118"/>
        <v/>
      </c>
      <c r="AB654" s="205">
        <f t="shared" si="120"/>
        <v>0</v>
      </c>
      <c r="AC654" s="208"/>
      <c r="AD654" s="208"/>
      <c r="AE654" s="208"/>
      <c r="AF654" s="208"/>
      <c r="AG654" s="209" t="str">
        <f>IFERROR(INDEX('Local Data Previous Year'!$F:$F, MATCH($D654, 'Local Data Previous Year'!$D:$D, 0)), "")</f>
        <v/>
      </c>
      <c r="AH654" s="209" t="str">
        <f>IFERROR(INDEX('Local Data Previous Year'!$G:$G, MATCH($D654, 'Local Data Previous Year'!$D:$D, 0)), "")</f>
        <v/>
      </c>
      <c r="AI654" s="209" t="str">
        <f>IFERROR(INDEX('Local Data Previous Year'!$H:$H, MATCH($D654, 'Local Data Previous Year'!$D:$D, 0)), "")</f>
        <v/>
      </c>
      <c r="AJ654" s="209" t="str">
        <f t="shared" si="121"/>
        <v/>
      </c>
      <c r="AK654" s="209" t="str">
        <f t="shared" si="116"/>
        <v/>
      </c>
      <c r="AL654" s="209" t="str">
        <f t="shared" si="117"/>
        <v/>
      </c>
      <c r="AM654" s="208" t="str">
        <f>IF($AN654="","",IFERROR(VLOOKUP(CONCATENATE(CTR1_Billing!$E$20,$AN654),'Local Data Previous Year'!$C$3:$D$50000,2,0),CTR1_Billing!$E$21&amp;"NEW"))</f>
        <v/>
      </c>
      <c r="AN654" s="209" t="str" cm="1">
        <f t="array" ref="AN654">IF(ISERROR(INDEX('Local Data Previous Year'!$E$3:$E$50000, SMALL(IF(CTR1_Billing!$E$21='Local Data Previous Year'!$A$3:$A$50000, ROW('Local Data Previous Year'!$A$3:$A$50000)-ROW('Local Data Previous Year'!$A$3)+1), ROW(622:622)))), "", INDEX('Local Data Previous Year'!$E$3:$E$50000, SMALL(IF(CTR1_Billing!$E$21='Local Data Previous Year'!$A$3:$A$50000, ROW('Local Data Previous Year'!$A$3:$A$50000)-ROW('Local Data Previous Year'!$A$3)+1), ROW(622:622))))</f>
        <v/>
      </c>
      <c r="AO654" s="209" t="str">
        <f t="shared" si="122"/>
        <v/>
      </c>
      <c r="AP654" s="208"/>
      <c r="AQ654" s="209" t="str">
        <f t="shared" si="123"/>
        <v/>
      </c>
      <c r="AR654" s="209" t="str">
        <f t="shared" si="124"/>
        <v/>
      </c>
      <c r="AS654" s="202" t="str">
        <f t="shared" si="125"/>
        <v/>
      </c>
      <c r="AT654" s="202" t="str">
        <f t="shared" si="126"/>
        <v/>
      </c>
      <c r="AU654" s="208"/>
      <c r="AV654" s="208"/>
      <c r="AW654" s="208"/>
      <c r="AX654" s="208"/>
      <c r="AY654" s="208"/>
      <c r="AZ654" s="208"/>
      <c r="BA654" s="208"/>
      <c r="BB654" s="208"/>
      <c r="BC654" s="208"/>
      <c r="BD654" s="208"/>
      <c r="BE654" s="208"/>
      <c r="BF654" s="208"/>
      <c r="BG654" s="28"/>
      <c r="BH654" s="28"/>
      <c r="BI654" s="28"/>
      <c r="BJ654" s="28"/>
    </row>
    <row r="655" spans="1:62" s="23" customFormat="1" ht="21" customHeight="1" thickBot="1" x14ac:dyDescent="0.25">
      <c r="A655" s="846" t="str">
        <f>IF($AN655="","",IFERROR(VLOOKUP(CONCATENATE(CTR1_Billing!$E$20,$AN655),'Local Data Previous Year'!$C$3:$D$20000,2,0),CTR1_Billing!$E$21&amp;"NEW"))</f>
        <v/>
      </c>
      <c r="B655" s="846" t="str">
        <f>IF($E655="","",IFERROR(VLOOKUP(CONCATENATE(CTR1_Billing!$E$20,CTR1_Local!$E655),'Local Data Previous Year'!$C$3:$D$20000,2,0),CTR1_Billing!$E$21&amp;"NEW"))</f>
        <v/>
      </c>
      <c r="C655" s="846">
        <v>623</v>
      </c>
      <c r="D655" s="755" t="str" cm="1">
        <f t="array" ref="D655">IF(ISERROR(INDEX('Local Data Previous Year'!$D$3:$D$20000,SMALL(IF(CTR1_Billing!$E$21='Local Data Previous Year'!$A$3:$A$20000,ROW('Local Data Previous Year'!$A$3:$A$20000)-ROW('Local Data Previous Year'!$A$3)+1),ROW(623:623)))),"",INDEX('Local Data Previous Year'!$D$3:$D$20000,SMALL(IF(CTR1_Billing!$E$21='Local Data Previous Year'!$A$3:$A$20000,ROW('Local Data Previous Year'!$A$3:$A$20000)-ROW('Local Data Previous Year'!$A$3)+1),ROW(623:623))))</f>
        <v/>
      </c>
      <c r="E655" s="755" t="str" cm="1">
        <f t="array" ref="E655">IF(ISERROR(INDEX('Local Data Previous Year'!$E$3:$E$20000,SMALL(IF(CTR1_Billing!$E$21='Local Data Previous Year'!$A$3:$A$20000,ROW('Local Data Previous Year'!$A$3:$A$20000)-ROW('Local Data Previous Year'!$A$3)+1),ROW(623:623)))),"",INDEX('Local Data Previous Year'!$E$3:$E$20000,SMALL(IF(CTR1_Billing!$E$21='Local Data Previous Year'!$A$3:$A$20000,ROW('Local Data Previous Year'!$A$3:$A$20000)-ROW('Local Data Previous Year'!$A$3)+1),ROW(623:623))))</f>
        <v/>
      </c>
      <c r="F655" s="756" t="str">
        <f>IF($D655="","",IF(ISNA(MATCH($D655,'Local Data Previous Year'!$D$3:$D$20000,0)),"New",IFERROR(VLOOKUP($B655,'Local Data Previous Year'!$D$3:$I$20000,6,0),"")))</f>
        <v/>
      </c>
      <c r="G655" s="757">
        <f t="shared" si="112"/>
        <v>0</v>
      </c>
      <c r="H655" s="758" t="str">
        <f>IFERROR(INDEX('Local Data Previous Year'!$F:$F, MATCH($D655, 'Local Data Previous Year'!$D:$D, 0)), "")</f>
        <v/>
      </c>
      <c r="I655" s="759">
        <f>IF(B655=CTR1_Billing!$E$21&amp;"NEW",1,0)</f>
        <v>0</v>
      </c>
      <c r="J655" s="760" t="str">
        <f>IFERROR(INDEX('Local Data Previous Year'!$G:$G, MATCH($D655, 'Local Data Previous Year'!$D:$D, 0)), "")</f>
        <v/>
      </c>
      <c r="K655" s="762"/>
      <c r="L655" s="760" t="str">
        <f>IFERROR(INDEX('Local Data Previous Year'!$H:$H, MATCH($D655, 'Local Data Previous Year'!$D:$D, 0)), "")</f>
        <v/>
      </c>
      <c r="M655" s="762"/>
      <c r="N655" s="763"/>
      <c r="O655" s="767"/>
      <c r="P655" s="765"/>
      <c r="Q655" s="767"/>
      <c r="R655" s="766" t="str">
        <f t="shared" si="127"/>
        <v/>
      </c>
      <c r="S655" s="754"/>
      <c r="T655" s="763"/>
      <c r="U655" s="754"/>
      <c r="V655" s="763"/>
      <c r="W655" s="763"/>
      <c r="X655" s="865" t="str">
        <f>VLOOKUP(CTR1_Billing!$E$21,Data!$C$6:$D$302,1,FALSE)</f>
        <v>EZZZZ</v>
      </c>
      <c r="Y655" s="205"/>
      <c r="Z655" s="205">
        <f t="shared" si="119"/>
        <v>0</v>
      </c>
      <c r="AA655" s="206" t="str">
        <f t="shared" si="118"/>
        <v/>
      </c>
      <c r="AB655" s="205">
        <f t="shared" si="120"/>
        <v>0</v>
      </c>
      <c r="AC655" s="208"/>
      <c r="AD655" s="208"/>
      <c r="AE655" s="208"/>
      <c r="AF655" s="208"/>
      <c r="AG655" s="209" t="str">
        <f>IFERROR(INDEX('Local Data Previous Year'!$F:$F, MATCH($D655, 'Local Data Previous Year'!$D:$D, 0)), "")</f>
        <v/>
      </c>
      <c r="AH655" s="209" t="str">
        <f>IFERROR(INDEX('Local Data Previous Year'!$G:$G, MATCH($D655, 'Local Data Previous Year'!$D:$D, 0)), "")</f>
        <v/>
      </c>
      <c r="AI655" s="209" t="str">
        <f>IFERROR(INDEX('Local Data Previous Year'!$H:$H, MATCH($D655, 'Local Data Previous Year'!$D:$D, 0)), "")</f>
        <v/>
      </c>
      <c r="AJ655" s="209" t="str">
        <f t="shared" si="121"/>
        <v/>
      </c>
      <c r="AK655" s="209" t="str">
        <f t="shared" si="116"/>
        <v/>
      </c>
      <c r="AL655" s="209" t="str">
        <f t="shared" si="117"/>
        <v/>
      </c>
      <c r="AM655" s="208" t="str">
        <f>IF($AN655="","",IFERROR(VLOOKUP(CONCATENATE(CTR1_Billing!$E$20,$AN655),'Local Data Previous Year'!$C$3:$D$50000,2,0),CTR1_Billing!$E$21&amp;"NEW"))</f>
        <v/>
      </c>
      <c r="AN655" s="209" t="str" cm="1">
        <f t="array" ref="AN655">IF(ISERROR(INDEX('Local Data Previous Year'!$E$3:$E$50000, SMALL(IF(CTR1_Billing!$E$21='Local Data Previous Year'!$A$3:$A$50000, ROW('Local Data Previous Year'!$A$3:$A$50000)-ROW('Local Data Previous Year'!$A$3)+1), ROW(623:623)))), "", INDEX('Local Data Previous Year'!$E$3:$E$50000, SMALL(IF(CTR1_Billing!$E$21='Local Data Previous Year'!$A$3:$A$50000, ROW('Local Data Previous Year'!$A$3:$A$50000)-ROW('Local Data Previous Year'!$A$3)+1), ROW(623:623))))</f>
        <v/>
      </c>
      <c r="AO655" s="209" t="str">
        <f t="shared" si="122"/>
        <v/>
      </c>
      <c r="AP655" s="208"/>
      <c r="AQ655" s="209" t="str">
        <f t="shared" si="123"/>
        <v/>
      </c>
      <c r="AR655" s="209" t="str">
        <f t="shared" si="124"/>
        <v/>
      </c>
      <c r="AS655" s="202" t="str">
        <f t="shared" si="125"/>
        <v/>
      </c>
      <c r="AT655" s="202" t="str">
        <f t="shared" si="126"/>
        <v/>
      </c>
      <c r="AU655" s="208"/>
      <c r="AV655" s="208"/>
      <c r="AW655" s="208"/>
      <c r="AX655" s="208"/>
      <c r="AY655" s="208"/>
      <c r="AZ655" s="208"/>
      <c r="BA655" s="208"/>
      <c r="BB655" s="208"/>
      <c r="BC655" s="208"/>
      <c r="BD655" s="208"/>
      <c r="BE655" s="208"/>
      <c r="BF655" s="208"/>
      <c r="BG655" s="28"/>
      <c r="BH655" s="28"/>
      <c r="BI655" s="28"/>
      <c r="BJ655" s="28"/>
    </row>
    <row r="656" spans="1:62" s="23" customFormat="1" ht="21" customHeight="1" thickBot="1" x14ac:dyDescent="0.25">
      <c r="A656" s="846" t="str">
        <f>IF($AN656="","",IFERROR(VLOOKUP(CONCATENATE(CTR1_Billing!$E$20,$AN656),'Local Data Previous Year'!$C$3:$D$20000,2,0),CTR1_Billing!$E$21&amp;"NEW"))</f>
        <v/>
      </c>
      <c r="B656" s="846" t="str">
        <f>IF($E656="","",IFERROR(VLOOKUP(CONCATENATE(CTR1_Billing!$E$20,CTR1_Local!$E656),'Local Data Previous Year'!$C$3:$D$20000,2,0),CTR1_Billing!$E$21&amp;"NEW"))</f>
        <v/>
      </c>
      <c r="C656" s="846">
        <v>624</v>
      </c>
      <c r="D656" s="755" t="str" cm="1">
        <f t="array" ref="D656">IF(ISERROR(INDEX('Local Data Previous Year'!$D$3:$D$20000,SMALL(IF(CTR1_Billing!$E$21='Local Data Previous Year'!$A$3:$A$20000,ROW('Local Data Previous Year'!$A$3:$A$20000)-ROW('Local Data Previous Year'!$A$3)+1),ROW(624:624)))),"",INDEX('Local Data Previous Year'!$D$3:$D$20000,SMALL(IF(CTR1_Billing!$E$21='Local Data Previous Year'!$A$3:$A$20000,ROW('Local Data Previous Year'!$A$3:$A$20000)-ROW('Local Data Previous Year'!$A$3)+1),ROW(624:624))))</f>
        <v/>
      </c>
      <c r="E656" s="755" t="str" cm="1">
        <f t="array" ref="E656">IF(ISERROR(INDEX('Local Data Previous Year'!$E$3:$E$20000,SMALL(IF(CTR1_Billing!$E$21='Local Data Previous Year'!$A$3:$A$20000,ROW('Local Data Previous Year'!$A$3:$A$20000)-ROW('Local Data Previous Year'!$A$3)+1),ROW(624:624)))),"",INDEX('Local Data Previous Year'!$E$3:$E$20000,SMALL(IF(CTR1_Billing!$E$21='Local Data Previous Year'!$A$3:$A$20000,ROW('Local Data Previous Year'!$A$3:$A$20000)-ROW('Local Data Previous Year'!$A$3)+1),ROW(624:624))))</f>
        <v/>
      </c>
      <c r="F656" s="756" t="str">
        <f>IF($D656="","",IF(ISNA(MATCH($D656,'Local Data Previous Year'!$D$3:$D$20000,0)),"New",IFERROR(VLOOKUP($B656,'Local Data Previous Year'!$D$3:$I$20000,6,0),"")))</f>
        <v/>
      </c>
      <c r="G656" s="757">
        <f t="shared" si="112"/>
        <v>0</v>
      </c>
      <c r="H656" s="758" t="str">
        <f>IFERROR(INDEX('Local Data Previous Year'!$F:$F, MATCH($D656, 'Local Data Previous Year'!$D:$D, 0)), "")</f>
        <v/>
      </c>
      <c r="I656" s="759">
        <f>IF(B656=CTR1_Billing!$E$21&amp;"NEW",1,0)</f>
        <v>0</v>
      </c>
      <c r="J656" s="760" t="str">
        <f>IFERROR(INDEX('Local Data Previous Year'!$G:$G, MATCH($D656, 'Local Data Previous Year'!$D:$D, 0)), "")</f>
        <v/>
      </c>
      <c r="K656" s="762"/>
      <c r="L656" s="760" t="str">
        <f>IFERROR(INDEX('Local Data Previous Year'!$H:$H, MATCH($D656, 'Local Data Previous Year'!$D:$D, 0)), "")</f>
        <v/>
      </c>
      <c r="M656" s="762"/>
      <c r="N656" s="763"/>
      <c r="O656" s="767"/>
      <c r="P656" s="765"/>
      <c r="Q656" s="767"/>
      <c r="R656" s="766" t="str">
        <f t="shared" si="127"/>
        <v/>
      </c>
      <c r="S656" s="754"/>
      <c r="T656" s="763"/>
      <c r="U656" s="754"/>
      <c r="V656" s="763"/>
      <c r="W656" s="763"/>
      <c r="X656" s="865" t="str">
        <f>VLOOKUP(CTR1_Billing!$E$21,Data!$C$6:$D$302,1,FALSE)</f>
        <v>EZZZZ</v>
      </c>
      <c r="Y656" s="205"/>
      <c r="Z656" s="205">
        <f t="shared" si="119"/>
        <v>0</v>
      </c>
      <c r="AA656" s="206" t="str">
        <f t="shared" si="118"/>
        <v/>
      </c>
      <c r="AB656" s="205">
        <f t="shared" si="120"/>
        <v>0</v>
      </c>
      <c r="AC656" s="208"/>
      <c r="AD656" s="208"/>
      <c r="AE656" s="208"/>
      <c r="AF656" s="208"/>
      <c r="AG656" s="209" t="str">
        <f>IFERROR(INDEX('Local Data Previous Year'!$F:$F, MATCH($D656, 'Local Data Previous Year'!$D:$D, 0)), "")</f>
        <v/>
      </c>
      <c r="AH656" s="209" t="str">
        <f>IFERROR(INDEX('Local Data Previous Year'!$G:$G, MATCH($D656, 'Local Data Previous Year'!$D:$D, 0)), "")</f>
        <v/>
      </c>
      <c r="AI656" s="209" t="str">
        <f>IFERROR(INDEX('Local Data Previous Year'!$H:$H, MATCH($D656, 'Local Data Previous Year'!$D:$D, 0)), "")</f>
        <v/>
      </c>
      <c r="AJ656" s="209" t="str">
        <f t="shared" si="121"/>
        <v/>
      </c>
      <c r="AK656" s="209" t="str">
        <f t="shared" si="116"/>
        <v/>
      </c>
      <c r="AL656" s="209" t="str">
        <f t="shared" si="117"/>
        <v/>
      </c>
      <c r="AM656" s="208" t="str">
        <f>IF($AN656="","",IFERROR(VLOOKUP(CONCATENATE(CTR1_Billing!$E$20,$AN656),'Local Data Previous Year'!$C$3:$D$50000,2,0),CTR1_Billing!$E$21&amp;"NEW"))</f>
        <v/>
      </c>
      <c r="AN656" s="209" t="str" cm="1">
        <f t="array" ref="AN656">IF(ISERROR(INDEX('Local Data Previous Year'!$E$3:$E$50000, SMALL(IF(CTR1_Billing!$E$21='Local Data Previous Year'!$A$3:$A$50000, ROW('Local Data Previous Year'!$A$3:$A$50000)-ROW('Local Data Previous Year'!$A$3)+1), ROW(624:624)))), "", INDEX('Local Data Previous Year'!$E$3:$E$50000, SMALL(IF(CTR1_Billing!$E$21='Local Data Previous Year'!$A$3:$A$50000, ROW('Local Data Previous Year'!$A$3:$A$50000)-ROW('Local Data Previous Year'!$A$3)+1), ROW(624:624))))</f>
        <v/>
      </c>
      <c r="AO656" s="209" t="str">
        <f t="shared" si="122"/>
        <v/>
      </c>
      <c r="AP656" s="208"/>
      <c r="AQ656" s="209" t="str">
        <f t="shared" si="123"/>
        <v/>
      </c>
      <c r="AR656" s="209" t="str">
        <f t="shared" si="124"/>
        <v/>
      </c>
      <c r="AS656" s="202" t="str">
        <f t="shared" si="125"/>
        <v/>
      </c>
      <c r="AT656" s="202" t="str">
        <f t="shared" si="126"/>
        <v/>
      </c>
      <c r="AU656" s="208"/>
      <c r="AV656" s="208"/>
      <c r="AW656" s="208"/>
      <c r="AX656" s="208"/>
      <c r="AY656" s="208"/>
      <c r="AZ656" s="208"/>
      <c r="BA656" s="208"/>
      <c r="BB656" s="208"/>
      <c r="BC656" s="208"/>
      <c r="BD656" s="208"/>
      <c r="BE656" s="208"/>
      <c r="BF656" s="208"/>
      <c r="BG656" s="28"/>
      <c r="BH656" s="28"/>
      <c r="BI656" s="28"/>
      <c r="BJ656" s="28"/>
    </row>
    <row r="657" spans="1:62" s="23" customFormat="1" ht="21" customHeight="1" thickBot="1" x14ac:dyDescent="0.25">
      <c r="A657" s="846" t="str">
        <f>IF($AN657="","",IFERROR(VLOOKUP(CONCATENATE(CTR1_Billing!$E$20,$AN657),'Local Data Previous Year'!$C$3:$D$20000,2,0),CTR1_Billing!$E$21&amp;"NEW"))</f>
        <v/>
      </c>
      <c r="B657" s="846" t="str">
        <f>IF($E657="","",IFERROR(VLOOKUP(CONCATENATE(CTR1_Billing!$E$20,CTR1_Local!$E657),'Local Data Previous Year'!$C$3:$D$20000,2,0),CTR1_Billing!$E$21&amp;"NEW"))</f>
        <v/>
      </c>
      <c r="C657" s="846">
        <v>625</v>
      </c>
      <c r="D657" s="755" t="str" cm="1">
        <f t="array" ref="D657">IF(ISERROR(INDEX('Local Data Previous Year'!$D$3:$D$20000,SMALL(IF(CTR1_Billing!$E$21='Local Data Previous Year'!$A$3:$A$20000,ROW('Local Data Previous Year'!$A$3:$A$20000)-ROW('Local Data Previous Year'!$A$3)+1),ROW(625:625)))),"",INDEX('Local Data Previous Year'!$D$3:$D$20000,SMALL(IF(CTR1_Billing!$E$21='Local Data Previous Year'!$A$3:$A$20000,ROW('Local Data Previous Year'!$A$3:$A$20000)-ROW('Local Data Previous Year'!$A$3)+1),ROW(625:625))))</f>
        <v/>
      </c>
      <c r="E657" s="755" t="str" cm="1">
        <f t="array" ref="E657">IF(ISERROR(INDEX('Local Data Previous Year'!$E$3:$E$20000,SMALL(IF(CTR1_Billing!$E$21='Local Data Previous Year'!$A$3:$A$20000,ROW('Local Data Previous Year'!$A$3:$A$20000)-ROW('Local Data Previous Year'!$A$3)+1),ROW(625:625)))),"",INDEX('Local Data Previous Year'!$E$3:$E$20000,SMALL(IF(CTR1_Billing!$E$21='Local Data Previous Year'!$A$3:$A$20000,ROW('Local Data Previous Year'!$A$3:$A$20000)-ROW('Local Data Previous Year'!$A$3)+1),ROW(625:625))))</f>
        <v/>
      </c>
      <c r="F657" s="756" t="str">
        <f>IF($D657="","",IF(ISNA(MATCH($D657,'Local Data Previous Year'!$D$3:$D$20000,0)),"New",IFERROR(VLOOKUP($B657,'Local Data Previous Year'!$D$3:$I$20000,6,0),"")))</f>
        <v/>
      </c>
      <c r="G657" s="757">
        <f t="shared" si="112"/>
        <v>0</v>
      </c>
      <c r="H657" s="758" t="str">
        <f>IFERROR(INDEX('Local Data Previous Year'!$F:$F, MATCH($D657, 'Local Data Previous Year'!$D:$D, 0)), "")</f>
        <v/>
      </c>
      <c r="I657" s="759">
        <f>IF(B657=CTR1_Billing!$E$21&amp;"NEW",1,0)</f>
        <v>0</v>
      </c>
      <c r="J657" s="760" t="str">
        <f>IFERROR(INDEX('Local Data Previous Year'!$G:$G, MATCH($D657, 'Local Data Previous Year'!$D:$D, 0)), "")</f>
        <v/>
      </c>
      <c r="K657" s="762"/>
      <c r="L657" s="760" t="str">
        <f>IFERROR(INDEX('Local Data Previous Year'!$H:$H, MATCH($D657, 'Local Data Previous Year'!$D:$D, 0)), "")</f>
        <v/>
      </c>
      <c r="M657" s="762"/>
      <c r="N657" s="763"/>
      <c r="O657" s="767"/>
      <c r="P657" s="765"/>
      <c r="Q657" s="767"/>
      <c r="R657" s="766" t="str">
        <f t="shared" si="127"/>
        <v/>
      </c>
      <c r="S657" s="754"/>
      <c r="T657" s="763"/>
      <c r="U657" s="754"/>
      <c r="V657" s="763"/>
      <c r="W657" s="763"/>
      <c r="X657" s="865" t="str">
        <f>VLOOKUP(CTR1_Billing!$E$21,Data!$C$6:$D$302,1,FALSE)</f>
        <v>EZZZZ</v>
      </c>
      <c r="Y657" s="205"/>
      <c r="Z657" s="205">
        <f t="shared" si="119"/>
        <v>0</v>
      </c>
      <c r="AA657" s="206" t="str">
        <f t="shared" si="118"/>
        <v/>
      </c>
      <c r="AB657" s="205">
        <f t="shared" si="120"/>
        <v>0</v>
      </c>
      <c r="AC657" s="208"/>
      <c r="AD657" s="208"/>
      <c r="AE657" s="208"/>
      <c r="AF657" s="208"/>
      <c r="AG657" s="209" t="str">
        <f>IFERROR(INDEX('Local Data Previous Year'!$F:$F, MATCH($D657, 'Local Data Previous Year'!$D:$D, 0)), "")</f>
        <v/>
      </c>
      <c r="AH657" s="209" t="str">
        <f>IFERROR(INDEX('Local Data Previous Year'!$G:$G, MATCH($D657, 'Local Data Previous Year'!$D:$D, 0)), "")</f>
        <v/>
      </c>
      <c r="AI657" s="209" t="str">
        <f>IFERROR(INDEX('Local Data Previous Year'!$H:$H, MATCH($D657, 'Local Data Previous Year'!$D:$D, 0)), "")</f>
        <v/>
      </c>
      <c r="AJ657" s="209" t="str">
        <f t="shared" si="121"/>
        <v/>
      </c>
      <c r="AK657" s="209" t="str">
        <f t="shared" si="116"/>
        <v/>
      </c>
      <c r="AL657" s="209" t="str">
        <f t="shared" si="117"/>
        <v/>
      </c>
      <c r="AM657" s="208" t="str">
        <f>IF($AN657="","",IFERROR(VLOOKUP(CONCATENATE(CTR1_Billing!$E$20,$AN657),'Local Data Previous Year'!$C$3:$D$50000,2,0),CTR1_Billing!$E$21&amp;"NEW"))</f>
        <v/>
      </c>
      <c r="AN657" s="209" t="str" cm="1">
        <f t="array" ref="AN657">IF(ISERROR(INDEX('Local Data Previous Year'!$E$3:$E$50000, SMALL(IF(CTR1_Billing!$E$21='Local Data Previous Year'!$A$3:$A$50000, ROW('Local Data Previous Year'!$A$3:$A$50000)-ROW('Local Data Previous Year'!$A$3)+1), ROW(625:625)))), "", INDEX('Local Data Previous Year'!$E$3:$E$50000, SMALL(IF(CTR1_Billing!$E$21='Local Data Previous Year'!$A$3:$A$50000, ROW('Local Data Previous Year'!$A$3:$A$50000)-ROW('Local Data Previous Year'!$A$3)+1), ROW(625:625))))</f>
        <v/>
      </c>
      <c r="AO657" s="209" t="str">
        <f t="shared" si="122"/>
        <v/>
      </c>
      <c r="AP657" s="208"/>
      <c r="AQ657" s="209" t="str">
        <f t="shared" si="123"/>
        <v/>
      </c>
      <c r="AR657" s="209" t="str">
        <f t="shared" si="124"/>
        <v/>
      </c>
      <c r="AS657" s="202" t="str">
        <f t="shared" si="125"/>
        <v/>
      </c>
      <c r="AT657" s="202" t="str">
        <f t="shared" si="126"/>
        <v/>
      </c>
      <c r="AU657" s="208"/>
      <c r="AV657" s="208"/>
      <c r="AW657" s="208"/>
      <c r="AX657" s="208"/>
      <c r="AY657" s="208"/>
      <c r="AZ657" s="208"/>
      <c r="BA657" s="208"/>
      <c r="BB657" s="208"/>
      <c r="BC657" s="208"/>
      <c r="BD657" s="208"/>
      <c r="BE657" s="208"/>
      <c r="BF657" s="208"/>
      <c r="BG657" s="28"/>
      <c r="BH657" s="28"/>
      <c r="BI657" s="28"/>
      <c r="BJ657" s="28"/>
    </row>
    <row r="658" spans="1:62" s="23" customFormat="1" ht="21" customHeight="1" thickBot="1" x14ac:dyDescent="0.25">
      <c r="A658" s="846" t="str">
        <f>IF($AN658="","",IFERROR(VLOOKUP(CONCATENATE(CTR1_Billing!$E$20,$AN658),'Local Data Previous Year'!$C$3:$D$20000,2,0),CTR1_Billing!$E$21&amp;"NEW"))</f>
        <v/>
      </c>
      <c r="B658" s="846" t="str">
        <f>IF($E658="","",IFERROR(VLOOKUP(CONCATENATE(CTR1_Billing!$E$20,CTR1_Local!$E658),'Local Data Previous Year'!$C$3:$D$20000,2,0),CTR1_Billing!$E$21&amp;"NEW"))</f>
        <v/>
      </c>
      <c r="C658" s="846">
        <v>626</v>
      </c>
      <c r="D658" s="755" t="str" cm="1">
        <f t="array" ref="D658">IF(ISERROR(INDEX('Local Data Previous Year'!$D$3:$D$20000,SMALL(IF(CTR1_Billing!$E$21='Local Data Previous Year'!$A$3:$A$20000,ROW('Local Data Previous Year'!$A$3:$A$20000)-ROW('Local Data Previous Year'!$A$3)+1),ROW(626:626)))),"",INDEX('Local Data Previous Year'!$D$3:$D$20000,SMALL(IF(CTR1_Billing!$E$21='Local Data Previous Year'!$A$3:$A$20000,ROW('Local Data Previous Year'!$A$3:$A$20000)-ROW('Local Data Previous Year'!$A$3)+1),ROW(626:626))))</f>
        <v/>
      </c>
      <c r="E658" s="755" t="str" cm="1">
        <f t="array" ref="E658">IF(ISERROR(INDEX('Local Data Previous Year'!$E$3:$E$20000,SMALL(IF(CTR1_Billing!$E$21='Local Data Previous Year'!$A$3:$A$20000,ROW('Local Data Previous Year'!$A$3:$A$20000)-ROW('Local Data Previous Year'!$A$3)+1),ROW(626:626)))),"",INDEX('Local Data Previous Year'!$E$3:$E$20000,SMALL(IF(CTR1_Billing!$E$21='Local Data Previous Year'!$A$3:$A$20000,ROW('Local Data Previous Year'!$A$3:$A$20000)-ROW('Local Data Previous Year'!$A$3)+1),ROW(626:626))))</f>
        <v/>
      </c>
      <c r="F658" s="756" t="str">
        <f>IF($D658="","",IF(ISNA(MATCH($D658,'Local Data Previous Year'!$D$3:$D$20000,0)),"New",IFERROR(VLOOKUP($B658,'Local Data Previous Year'!$D$3:$I$20000,6,0),"")))</f>
        <v/>
      </c>
      <c r="G658" s="757">
        <f t="shared" si="112"/>
        <v>0</v>
      </c>
      <c r="H658" s="758" t="str">
        <f>IFERROR(INDEX('Local Data Previous Year'!$F:$F, MATCH($D658, 'Local Data Previous Year'!$D:$D, 0)), "")</f>
        <v/>
      </c>
      <c r="I658" s="759">
        <f>IF(B658=CTR1_Billing!$E$21&amp;"NEW",1,0)</f>
        <v>0</v>
      </c>
      <c r="J658" s="760" t="str">
        <f>IFERROR(INDEX('Local Data Previous Year'!$G:$G, MATCH($D658, 'Local Data Previous Year'!$D:$D, 0)), "")</f>
        <v/>
      </c>
      <c r="K658" s="762"/>
      <c r="L658" s="760" t="str">
        <f>IFERROR(INDEX('Local Data Previous Year'!$H:$H, MATCH($D658, 'Local Data Previous Year'!$D:$D, 0)), "")</f>
        <v/>
      </c>
      <c r="M658" s="762"/>
      <c r="N658" s="763"/>
      <c r="O658" s="767"/>
      <c r="P658" s="765"/>
      <c r="Q658" s="767"/>
      <c r="R658" s="766" t="str">
        <f t="shared" si="127"/>
        <v/>
      </c>
      <c r="S658" s="754"/>
      <c r="T658" s="763"/>
      <c r="U658" s="754"/>
      <c r="V658" s="763"/>
      <c r="W658" s="763"/>
      <c r="X658" s="865" t="str">
        <f>VLOOKUP(CTR1_Billing!$E$21,Data!$C$6:$D$302,1,FALSE)</f>
        <v>EZZZZ</v>
      </c>
      <c r="Y658" s="205"/>
      <c r="Z658" s="205">
        <f t="shared" si="119"/>
        <v>0</v>
      </c>
      <c r="AA658" s="206" t="str">
        <f t="shared" si="118"/>
        <v/>
      </c>
      <c r="AB658" s="205">
        <f t="shared" si="120"/>
        <v>0</v>
      </c>
      <c r="AC658" s="208"/>
      <c r="AD658" s="208"/>
      <c r="AE658" s="208"/>
      <c r="AF658" s="208"/>
      <c r="AG658" s="209" t="str">
        <f>IFERROR(INDEX('Local Data Previous Year'!$F:$F, MATCH($D658, 'Local Data Previous Year'!$D:$D, 0)), "")</f>
        <v/>
      </c>
      <c r="AH658" s="209" t="str">
        <f>IFERROR(INDEX('Local Data Previous Year'!$G:$G, MATCH($D658, 'Local Data Previous Year'!$D:$D, 0)), "")</f>
        <v/>
      </c>
      <c r="AI658" s="209" t="str">
        <f>IFERROR(INDEX('Local Data Previous Year'!$H:$H, MATCH($D658, 'Local Data Previous Year'!$D:$D, 0)), "")</f>
        <v/>
      </c>
      <c r="AJ658" s="209" t="str">
        <f t="shared" si="121"/>
        <v/>
      </c>
      <c r="AK658" s="209" t="str">
        <f t="shared" si="116"/>
        <v/>
      </c>
      <c r="AL658" s="209" t="str">
        <f t="shared" si="117"/>
        <v/>
      </c>
      <c r="AM658" s="208" t="str">
        <f>IF($AN658="","",IFERROR(VLOOKUP(CONCATENATE(CTR1_Billing!$E$20,$AN658),'Local Data Previous Year'!$C$3:$D$50000,2,0),CTR1_Billing!$E$21&amp;"NEW"))</f>
        <v/>
      </c>
      <c r="AN658" s="209" t="str" cm="1">
        <f t="array" ref="AN658">IF(ISERROR(INDEX('Local Data Previous Year'!$E$3:$E$50000, SMALL(IF(CTR1_Billing!$E$21='Local Data Previous Year'!$A$3:$A$50000, ROW('Local Data Previous Year'!$A$3:$A$50000)-ROW('Local Data Previous Year'!$A$3)+1), ROW(626:626)))), "", INDEX('Local Data Previous Year'!$E$3:$E$50000, SMALL(IF(CTR1_Billing!$E$21='Local Data Previous Year'!$A$3:$A$50000, ROW('Local Data Previous Year'!$A$3:$A$50000)-ROW('Local Data Previous Year'!$A$3)+1), ROW(626:626))))</f>
        <v/>
      </c>
      <c r="AO658" s="209" t="str">
        <f t="shared" si="122"/>
        <v/>
      </c>
      <c r="AP658" s="208"/>
      <c r="AQ658" s="209" t="str">
        <f t="shared" si="123"/>
        <v/>
      </c>
      <c r="AR658" s="209" t="str">
        <f t="shared" si="124"/>
        <v/>
      </c>
      <c r="AS658" s="202" t="str">
        <f t="shared" si="125"/>
        <v/>
      </c>
      <c r="AT658" s="202" t="str">
        <f t="shared" si="126"/>
        <v/>
      </c>
      <c r="AU658" s="208"/>
      <c r="AV658" s="208"/>
      <c r="AW658" s="208"/>
      <c r="AX658" s="208"/>
      <c r="AY658" s="208"/>
      <c r="AZ658" s="208"/>
      <c r="BA658" s="208"/>
      <c r="BB658" s="208"/>
      <c r="BC658" s="208"/>
      <c r="BD658" s="208"/>
      <c r="BE658" s="208"/>
      <c r="BF658" s="208"/>
      <c r="BG658" s="28"/>
      <c r="BH658" s="28"/>
      <c r="BI658" s="28"/>
      <c r="BJ658" s="28"/>
    </row>
    <row r="659" spans="1:62" s="23" customFormat="1" ht="21" customHeight="1" thickBot="1" x14ac:dyDescent="0.25">
      <c r="A659" s="846" t="str">
        <f>IF($AN659="","",IFERROR(VLOOKUP(CONCATENATE(CTR1_Billing!$E$20,$AN659),'Local Data Previous Year'!$C$3:$D$20000,2,0),CTR1_Billing!$E$21&amp;"NEW"))</f>
        <v/>
      </c>
      <c r="B659" s="846" t="str">
        <f>IF($E659="","",IFERROR(VLOOKUP(CONCATENATE(CTR1_Billing!$E$20,CTR1_Local!$E659),'Local Data Previous Year'!$C$3:$D$20000,2,0),CTR1_Billing!$E$21&amp;"NEW"))</f>
        <v/>
      </c>
      <c r="C659" s="846">
        <v>627</v>
      </c>
      <c r="D659" s="755" t="str" cm="1">
        <f t="array" ref="D659">IF(ISERROR(INDEX('Local Data Previous Year'!$D$3:$D$20000,SMALL(IF(CTR1_Billing!$E$21='Local Data Previous Year'!$A$3:$A$20000,ROW('Local Data Previous Year'!$A$3:$A$20000)-ROW('Local Data Previous Year'!$A$3)+1),ROW(627:627)))),"",INDEX('Local Data Previous Year'!$D$3:$D$20000,SMALL(IF(CTR1_Billing!$E$21='Local Data Previous Year'!$A$3:$A$20000,ROW('Local Data Previous Year'!$A$3:$A$20000)-ROW('Local Data Previous Year'!$A$3)+1),ROW(627:627))))</f>
        <v/>
      </c>
      <c r="E659" s="755" t="str" cm="1">
        <f t="array" ref="E659">IF(ISERROR(INDEX('Local Data Previous Year'!$E$3:$E$20000,SMALL(IF(CTR1_Billing!$E$21='Local Data Previous Year'!$A$3:$A$20000,ROW('Local Data Previous Year'!$A$3:$A$20000)-ROW('Local Data Previous Year'!$A$3)+1),ROW(627:627)))),"",INDEX('Local Data Previous Year'!$E$3:$E$20000,SMALL(IF(CTR1_Billing!$E$21='Local Data Previous Year'!$A$3:$A$20000,ROW('Local Data Previous Year'!$A$3:$A$20000)-ROW('Local Data Previous Year'!$A$3)+1),ROW(627:627))))</f>
        <v/>
      </c>
      <c r="F659" s="756" t="str">
        <f>IF($D659="","",IF(ISNA(MATCH($D659,'Local Data Previous Year'!$D$3:$D$20000,0)),"New",IFERROR(VLOOKUP($B659,'Local Data Previous Year'!$D$3:$I$20000,6,0),"")))</f>
        <v/>
      </c>
      <c r="G659" s="757">
        <f t="shared" si="112"/>
        <v>0</v>
      </c>
      <c r="H659" s="758" t="str">
        <f>IFERROR(INDEX('Local Data Previous Year'!$F:$F, MATCH($D659, 'Local Data Previous Year'!$D:$D, 0)), "")</f>
        <v/>
      </c>
      <c r="I659" s="759">
        <f>IF(B659=CTR1_Billing!$E$21&amp;"NEW",1,0)</f>
        <v>0</v>
      </c>
      <c r="J659" s="760" t="str">
        <f>IFERROR(INDEX('Local Data Previous Year'!$G:$G, MATCH($D659, 'Local Data Previous Year'!$D:$D, 0)), "")</f>
        <v/>
      </c>
      <c r="K659" s="762"/>
      <c r="L659" s="760" t="str">
        <f>IFERROR(INDEX('Local Data Previous Year'!$H:$H, MATCH($D659, 'Local Data Previous Year'!$D:$D, 0)), "")</f>
        <v/>
      </c>
      <c r="M659" s="762"/>
      <c r="N659" s="763"/>
      <c r="O659" s="767"/>
      <c r="P659" s="765"/>
      <c r="Q659" s="767"/>
      <c r="R659" s="766" t="str">
        <f t="shared" si="127"/>
        <v/>
      </c>
      <c r="S659" s="754"/>
      <c r="T659" s="763"/>
      <c r="U659" s="754"/>
      <c r="V659" s="763"/>
      <c r="W659" s="763"/>
      <c r="X659" s="865" t="str">
        <f>VLOOKUP(CTR1_Billing!$E$21,Data!$C$6:$D$302,1,FALSE)</f>
        <v>EZZZZ</v>
      </c>
      <c r="Y659" s="205"/>
      <c r="Z659" s="205">
        <f t="shared" si="119"/>
        <v>0</v>
      </c>
      <c r="AA659" s="206" t="str">
        <f t="shared" si="118"/>
        <v/>
      </c>
      <c r="AB659" s="205">
        <f t="shared" si="120"/>
        <v>0</v>
      </c>
      <c r="AC659" s="208"/>
      <c r="AD659" s="208"/>
      <c r="AE659" s="208"/>
      <c r="AF659" s="208"/>
      <c r="AG659" s="209" t="str">
        <f>IFERROR(INDEX('Local Data Previous Year'!$F:$F, MATCH($D659, 'Local Data Previous Year'!$D:$D, 0)), "")</f>
        <v/>
      </c>
      <c r="AH659" s="209" t="str">
        <f>IFERROR(INDEX('Local Data Previous Year'!$G:$G, MATCH($D659, 'Local Data Previous Year'!$D:$D, 0)), "")</f>
        <v/>
      </c>
      <c r="AI659" s="209" t="str">
        <f>IFERROR(INDEX('Local Data Previous Year'!$H:$H, MATCH($D659, 'Local Data Previous Year'!$D:$D, 0)), "")</f>
        <v/>
      </c>
      <c r="AJ659" s="209" t="str">
        <f t="shared" si="121"/>
        <v/>
      </c>
      <c r="AK659" s="209" t="str">
        <f t="shared" si="116"/>
        <v/>
      </c>
      <c r="AL659" s="209" t="str">
        <f t="shared" si="117"/>
        <v/>
      </c>
      <c r="AM659" s="208" t="str">
        <f>IF($AN659="","",IFERROR(VLOOKUP(CONCATENATE(CTR1_Billing!$E$20,$AN659),'Local Data Previous Year'!$C$3:$D$50000,2,0),CTR1_Billing!$E$21&amp;"NEW"))</f>
        <v/>
      </c>
      <c r="AN659" s="209" t="str" cm="1">
        <f t="array" ref="AN659">IF(ISERROR(INDEX('Local Data Previous Year'!$E$3:$E$50000, SMALL(IF(CTR1_Billing!$E$21='Local Data Previous Year'!$A$3:$A$50000, ROW('Local Data Previous Year'!$A$3:$A$50000)-ROW('Local Data Previous Year'!$A$3)+1), ROW(627:627)))), "", INDEX('Local Data Previous Year'!$E$3:$E$50000, SMALL(IF(CTR1_Billing!$E$21='Local Data Previous Year'!$A$3:$A$50000, ROW('Local Data Previous Year'!$A$3:$A$50000)-ROW('Local Data Previous Year'!$A$3)+1), ROW(627:627))))</f>
        <v/>
      </c>
      <c r="AO659" s="209" t="str">
        <f t="shared" si="122"/>
        <v/>
      </c>
      <c r="AP659" s="208"/>
      <c r="AQ659" s="209" t="str">
        <f t="shared" si="123"/>
        <v/>
      </c>
      <c r="AR659" s="209" t="str">
        <f t="shared" si="124"/>
        <v/>
      </c>
      <c r="AS659" s="202" t="str">
        <f t="shared" si="125"/>
        <v/>
      </c>
      <c r="AT659" s="202" t="str">
        <f t="shared" si="126"/>
        <v/>
      </c>
      <c r="AU659" s="208"/>
      <c r="AV659" s="208"/>
      <c r="AW659" s="208"/>
      <c r="AX659" s="208"/>
      <c r="AY659" s="208"/>
      <c r="AZ659" s="208"/>
      <c r="BA659" s="208"/>
      <c r="BB659" s="208"/>
      <c r="BC659" s="208"/>
      <c r="BD659" s="208"/>
      <c r="BE659" s="208"/>
      <c r="BF659" s="208"/>
      <c r="BG659" s="28"/>
      <c r="BH659" s="28"/>
      <c r="BI659" s="28"/>
      <c r="BJ659" s="28"/>
    </row>
    <row r="660" spans="1:62" s="23" customFormat="1" ht="21" customHeight="1" thickBot="1" x14ac:dyDescent="0.25">
      <c r="A660" s="846" t="str">
        <f>IF($AN660="","",IFERROR(VLOOKUP(CONCATENATE(CTR1_Billing!$E$20,$AN660),'Local Data Previous Year'!$C$3:$D$20000,2,0),CTR1_Billing!$E$21&amp;"NEW"))</f>
        <v/>
      </c>
      <c r="B660" s="846" t="str">
        <f>IF($E660="","",IFERROR(VLOOKUP(CONCATENATE(CTR1_Billing!$E$20,CTR1_Local!$E660),'Local Data Previous Year'!$C$3:$D$20000,2,0),CTR1_Billing!$E$21&amp;"NEW"))</f>
        <v/>
      </c>
      <c r="C660" s="846">
        <v>628</v>
      </c>
      <c r="D660" s="755" t="str" cm="1">
        <f t="array" ref="D660">IF(ISERROR(INDEX('Local Data Previous Year'!$D$3:$D$20000,SMALL(IF(CTR1_Billing!$E$21='Local Data Previous Year'!$A$3:$A$20000,ROW('Local Data Previous Year'!$A$3:$A$20000)-ROW('Local Data Previous Year'!$A$3)+1),ROW(628:628)))),"",INDEX('Local Data Previous Year'!$D$3:$D$20000,SMALL(IF(CTR1_Billing!$E$21='Local Data Previous Year'!$A$3:$A$20000,ROW('Local Data Previous Year'!$A$3:$A$20000)-ROW('Local Data Previous Year'!$A$3)+1),ROW(628:628))))</f>
        <v/>
      </c>
      <c r="E660" s="755" t="str" cm="1">
        <f t="array" ref="E660">IF(ISERROR(INDEX('Local Data Previous Year'!$E$3:$E$20000,SMALL(IF(CTR1_Billing!$E$21='Local Data Previous Year'!$A$3:$A$20000,ROW('Local Data Previous Year'!$A$3:$A$20000)-ROW('Local Data Previous Year'!$A$3)+1),ROW(628:628)))),"",INDEX('Local Data Previous Year'!$E$3:$E$20000,SMALL(IF(CTR1_Billing!$E$21='Local Data Previous Year'!$A$3:$A$20000,ROW('Local Data Previous Year'!$A$3:$A$20000)-ROW('Local Data Previous Year'!$A$3)+1),ROW(628:628))))</f>
        <v/>
      </c>
      <c r="F660" s="756" t="str">
        <f>IF($D660="","",IF(ISNA(MATCH($D660,'Local Data Previous Year'!$D$3:$D$20000,0)),"New",IFERROR(VLOOKUP($B660,'Local Data Previous Year'!$D$3:$I$20000,6,0),"")))</f>
        <v/>
      </c>
      <c r="G660" s="757">
        <f t="shared" si="112"/>
        <v>0</v>
      </c>
      <c r="H660" s="758" t="str">
        <f>IFERROR(INDEX('Local Data Previous Year'!$F:$F, MATCH($D660, 'Local Data Previous Year'!$D:$D, 0)), "")</f>
        <v/>
      </c>
      <c r="I660" s="759">
        <f>IF(B660=CTR1_Billing!$E$21&amp;"NEW",1,0)</f>
        <v>0</v>
      </c>
      <c r="J660" s="760" t="str">
        <f>IFERROR(INDEX('Local Data Previous Year'!$G:$G, MATCH($D660, 'Local Data Previous Year'!$D:$D, 0)), "")</f>
        <v/>
      </c>
      <c r="K660" s="762"/>
      <c r="L660" s="760" t="str">
        <f>IFERROR(INDEX('Local Data Previous Year'!$H:$H, MATCH($D660, 'Local Data Previous Year'!$D:$D, 0)), "")</f>
        <v/>
      </c>
      <c r="M660" s="762"/>
      <c r="N660" s="763"/>
      <c r="O660" s="767"/>
      <c r="P660" s="765"/>
      <c r="Q660" s="767"/>
      <c r="R660" s="766" t="str">
        <f t="shared" si="127"/>
        <v/>
      </c>
      <c r="S660" s="754"/>
      <c r="T660" s="763"/>
      <c r="U660" s="754"/>
      <c r="V660" s="763"/>
      <c r="W660" s="763"/>
      <c r="X660" s="865" t="str">
        <f>VLOOKUP(CTR1_Billing!$E$21,Data!$C$6:$D$302,1,FALSE)</f>
        <v>EZZZZ</v>
      </c>
      <c r="Y660" s="205"/>
      <c r="Z660" s="205">
        <f t="shared" si="119"/>
        <v>0</v>
      </c>
      <c r="AA660" s="206" t="str">
        <f t="shared" si="118"/>
        <v/>
      </c>
      <c r="AB660" s="205">
        <f t="shared" si="120"/>
        <v>0</v>
      </c>
      <c r="AC660" s="208"/>
      <c r="AD660" s="208"/>
      <c r="AE660" s="208"/>
      <c r="AF660" s="208"/>
      <c r="AG660" s="209" t="str">
        <f>IFERROR(INDEX('Local Data Previous Year'!$F:$F, MATCH($D660, 'Local Data Previous Year'!$D:$D, 0)), "")</f>
        <v/>
      </c>
      <c r="AH660" s="209" t="str">
        <f>IFERROR(INDEX('Local Data Previous Year'!$G:$G, MATCH($D660, 'Local Data Previous Year'!$D:$D, 0)), "")</f>
        <v/>
      </c>
      <c r="AI660" s="209" t="str">
        <f>IFERROR(INDEX('Local Data Previous Year'!$H:$H, MATCH($D660, 'Local Data Previous Year'!$D:$D, 0)), "")</f>
        <v/>
      </c>
      <c r="AJ660" s="209" t="str">
        <f t="shared" si="121"/>
        <v/>
      </c>
      <c r="AK660" s="209" t="str">
        <f t="shared" si="116"/>
        <v/>
      </c>
      <c r="AL660" s="209" t="str">
        <f t="shared" si="117"/>
        <v/>
      </c>
      <c r="AM660" s="208" t="str">
        <f>IF($AN660="","",IFERROR(VLOOKUP(CONCATENATE(CTR1_Billing!$E$20,$AN660),'Local Data Previous Year'!$C$3:$D$50000,2,0),CTR1_Billing!$E$21&amp;"NEW"))</f>
        <v/>
      </c>
      <c r="AN660" s="209" t="str" cm="1">
        <f t="array" ref="AN660">IF(ISERROR(INDEX('Local Data Previous Year'!$E$3:$E$50000, SMALL(IF(CTR1_Billing!$E$21='Local Data Previous Year'!$A$3:$A$50000, ROW('Local Data Previous Year'!$A$3:$A$50000)-ROW('Local Data Previous Year'!$A$3)+1), ROW(628:628)))), "", INDEX('Local Data Previous Year'!$E$3:$E$50000, SMALL(IF(CTR1_Billing!$E$21='Local Data Previous Year'!$A$3:$A$50000, ROW('Local Data Previous Year'!$A$3:$A$50000)-ROW('Local Data Previous Year'!$A$3)+1), ROW(628:628))))</f>
        <v/>
      </c>
      <c r="AO660" s="209" t="str">
        <f t="shared" si="122"/>
        <v/>
      </c>
      <c r="AP660" s="208"/>
      <c r="AQ660" s="209" t="str">
        <f t="shared" si="123"/>
        <v/>
      </c>
      <c r="AR660" s="209" t="str">
        <f t="shared" si="124"/>
        <v/>
      </c>
      <c r="AS660" s="202" t="str">
        <f t="shared" si="125"/>
        <v/>
      </c>
      <c r="AT660" s="202" t="str">
        <f t="shared" si="126"/>
        <v/>
      </c>
      <c r="AU660" s="208"/>
      <c r="AV660" s="208"/>
      <c r="AW660" s="208"/>
      <c r="AX660" s="208"/>
      <c r="AY660" s="208"/>
      <c r="AZ660" s="208"/>
      <c r="BA660" s="208"/>
      <c r="BB660" s="208"/>
      <c r="BC660" s="208"/>
      <c r="BD660" s="208"/>
      <c r="BE660" s="208"/>
      <c r="BF660" s="208"/>
      <c r="BG660" s="28"/>
      <c r="BH660" s="28"/>
      <c r="BI660" s="28"/>
      <c r="BJ660" s="28"/>
    </row>
    <row r="661" spans="1:62" s="23" customFormat="1" ht="21" customHeight="1" thickBot="1" x14ac:dyDescent="0.25">
      <c r="A661" s="846" t="str">
        <f>IF($AN661="","",IFERROR(VLOOKUP(CONCATENATE(CTR1_Billing!$E$20,$AN661),'Local Data Previous Year'!$C$3:$D$20000,2,0),CTR1_Billing!$E$21&amp;"NEW"))</f>
        <v/>
      </c>
      <c r="B661" s="846" t="str">
        <f>IF($E661="","",IFERROR(VLOOKUP(CONCATENATE(CTR1_Billing!$E$20,CTR1_Local!$E661),'Local Data Previous Year'!$C$3:$D$20000,2,0),CTR1_Billing!$E$21&amp;"NEW"))</f>
        <v/>
      </c>
      <c r="C661" s="846">
        <v>629</v>
      </c>
      <c r="D661" s="755" t="str" cm="1">
        <f t="array" ref="D661">IF(ISERROR(INDEX('Local Data Previous Year'!$D$3:$D$20000,SMALL(IF(CTR1_Billing!$E$21='Local Data Previous Year'!$A$3:$A$20000,ROW('Local Data Previous Year'!$A$3:$A$20000)-ROW('Local Data Previous Year'!$A$3)+1),ROW(629:629)))),"",INDEX('Local Data Previous Year'!$D$3:$D$20000,SMALL(IF(CTR1_Billing!$E$21='Local Data Previous Year'!$A$3:$A$20000,ROW('Local Data Previous Year'!$A$3:$A$20000)-ROW('Local Data Previous Year'!$A$3)+1),ROW(629:629))))</f>
        <v/>
      </c>
      <c r="E661" s="755" t="str" cm="1">
        <f t="array" ref="E661">IF(ISERROR(INDEX('Local Data Previous Year'!$E$3:$E$20000,SMALL(IF(CTR1_Billing!$E$21='Local Data Previous Year'!$A$3:$A$20000,ROW('Local Data Previous Year'!$A$3:$A$20000)-ROW('Local Data Previous Year'!$A$3)+1),ROW(629:629)))),"",INDEX('Local Data Previous Year'!$E$3:$E$20000,SMALL(IF(CTR1_Billing!$E$21='Local Data Previous Year'!$A$3:$A$20000,ROW('Local Data Previous Year'!$A$3:$A$20000)-ROW('Local Data Previous Year'!$A$3)+1),ROW(629:629))))</f>
        <v/>
      </c>
      <c r="F661" s="756" t="str">
        <f>IF($D661="","",IF(ISNA(MATCH($D661,'Local Data Previous Year'!$D$3:$D$20000,0)),"New",IFERROR(VLOOKUP($B661,'Local Data Previous Year'!$D$3:$I$20000,6,0),"")))</f>
        <v/>
      </c>
      <c r="G661" s="757">
        <f t="shared" si="112"/>
        <v>0</v>
      </c>
      <c r="H661" s="758" t="str">
        <f>IFERROR(INDEX('Local Data Previous Year'!$F:$F, MATCH($D661, 'Local Data Previous Year'!$D:$D, 0)), "")</f>
        <v/>
      </c>
      <c r="I661" s="759">
        <f>IF(B661=CTR1_Billing!$E$21&amp;"NEW",1,0)</f>
        <v>0</v>
      </c>
      <c r="J661" s="760" t="str">
        <f>IFERROR(INDEX('Local Data Previous Year'!$G:$G, MATCH($D661, 'Local Data Previous Year'!$D:$D, 0)), "")</f>
        <v/>
      </c>
      <c r="K661" s="762"/>
      <c r="L661" s="760" t="str">
        <f>IFERROR(INDEX('Local Data Previous Year'!$H:$H, MATCH($D661, 'Local Data Previous Year'!$D:$D, 0)), "")</f>
        <v/>
      </c>
      <c r="M661" s="762"/>
      <c r="N661" s="763"/>
      <c r="O661" s="767"/>
      <c r="P661" s="765"/>
      <c r="Q661" s="767"/>
      <c r="R661" s="766" t="str">
        <f t="shared" si="127"/>
        <v/>
      </c>
      <c r="S661" s="754"/>
      <c r="T661" s="763"/>
      <c r="U661" s="754"/>
      <c r="V661" s="763"/>
      <c r="W661" s="763"/>
      <c r="X661" s="865" t="str">
        <f>VLOOKUP(CTR1_Billing!$E$21,Data!$C$6:$D$302,1,FALSE)</f>
        <v>EZZZZ</v>
      </c>
      <c r="Y661" s="205"/>
      <c r="Z661" s="205">
        <f t="shared" si="119"/>
        <v>0</v>
      </c>
      <c r="AA661" s="206" t="str">
        <f t="shared" si="118"/>
        <v/>
      </c>
      <c r="AB661" s="205">
        <f t="shared" si="120"/>
        <v>0</v>
      </c>
      <c r="AC661" s="208"/>
      <c r="AD661" s="208"/>
      <c r="AE661" s="208"/>
      <c r="AF661" s="208"/>
      <c r="AG661" s="209" t="str">
        <f>IFERROR(INDEX('Local Data Previous Year'!$F:$F, MATCH($D661, 'Local Data Previous Year'!$D:$D, 0)), "")</f>
        <v/>
      </c>
      <c r="AH661" s="209" t="str">
        <f>IFERROR(INDEX('Local Data Previous Year'!$G:$G, MATCH($D661, 'Local Data Previous Year'!$D:$D, 0)), "")</f>
        <v/>
      </c>
      <c r="AI661" s="209" t="str">
        <f>IFERROR(INDEX('Local Data Previous Year'!$H:$H, MATCH($D661, 'Local Data Previous Year'!$D:$D, 0)), "")</f>
        <v/>
      </c>
      <c r="AJ661" s="209" t="str">
        <f t="shared" si="121"/>
        <v/>
      </c>
      <c r="AK661" s="209" t="str">
        <f t="shared" si="116"/>
        <v/>
      </c>
      <c r="AL661" s="209" t="str">
        <f t="shared" si="117"/>
        <v/>
      </c>
      <c r="AM661" s="208" t="str">
        <f>IF($AN661="","",IFERROR(VLOOKUP(CONCATENATE(CTR1_Billing!$E$20,$AN661),'Local Data Previous Year'!$C$3:$D$50000,2,0),CTR1_Billing!$E$21&amp;"NEW"))</f>
        <v/>
      </c>
      <c r="AN661" s="209" t="str" cm="1">
        <f t="array" ref="AN661">IF(ISERROR(INDEX('Local Data Previous Year'!$E$3:$E$50000, SMALL(IF(CTR1_Billing!$E$21='Local Data Previous Year'!$A$3:$A$50000, ROW('Local Data Previous Year'!$A$3:$A$50000)-ROW('Local Data Previous Year'!$A$3)+1), ROW(629:629)))), "", INDEX('Local Data Previous Year'!$E$3:$E$50000, SMALL(IF(CTR1_Billing!$E$21='Local Data Previous Year'!$A$3:$A$50000, ROW('Local Data Previous Year'!$A$3:$A$50000)-ROW('Local Data Previous Year'!$A$3)+1), ROW(629:629))))</f>
        <v/>
      </c>
      <c r="AO661" s="209" t="str">
        <f t="shared" si="122"/>
        <v/>
      </c>
      <c r="AP661" s="208"/>
      <c r="AQ661" s="209" t="str">
        <f t="shared" si="123"/>
        <v/>
      </c>
      <c r="AR661" s="209" t="str">
        <f t="shared" si="124"/>
        <v/>
      </c>
      <c r="AS661" s="202" t="str">
        <f t="shared" si="125"/>
        <v/>
      </c>
      <c r="AT661" s="202" t="str">
        <f t="shared" si="126"/>
        <v/>
      </c>
      <c r="AU661" s="208"/>
      <c r="AV661" s="208"/>
      <c r="AW661" s="208"/>
      <c r="AX661" s="208"/>
      <c r="AY661" s="208"/>
      <c r="AZ661" s="208"/>
      <c r="BA661" s="208"/>
      <c r="BB661" s="208"/>
      <c r="BC661" s="208"/>
      <c r="BD661" s="208"/>
      <c r="BE661" s="208"/>
      <c r="BF661" s="208"/>
      <c r="BG661" s="28"/>
      <c r="BH661" s="28"/>
      <c r="BI661" s="28"/>
      <c r="BJ661" s="28"/>
    </row>
    <row r="662" spans="1:62" s="23" customFormat="1" ht="21" customHeight="1" thickBot="1" x14ac:dyDescent="0.25">
      <c r="A662" s="846" t="str">
        <f>IF($AN662="","",IFERROR(VLOOKUP(CONCATENATE(CTR1_Billing!$E$20,$AN662),'Local Data Previous Year'!$C$3:$D$20000,2,0),CTR1_Billing!$E$21&amp;"NEW"))</f>
        <v/>
      </c>
      <c r="B662" s="846" t="str">
        <f>IF($E662="","",IFERROR(VLOOKUP(CONCATENATE(CTR1_Billing!$E$20,CTR1_Local!$E662),'Local Data Previous Year'!$C$3:$D$20000,2,0),CTR1_Billing!$E$21&amp;"NEW"))</f>
        <v/>
      </c>
      <c r="C662" s="846">
        <v>630</v>
      </c>
      <c r="D662" s="755" t="str" cm="1">
        <f t="array" ref="D662">IF(ISERROR(INDEX('Local Data Previous Year'!$D$3:$D$20000,SMALL(IF(CTR1_Billing!$E$21='Local Data Previous Year'!$A$3:$A$20000,ROW('Local Data Previous Year'!$A$3:$A$20000)-ROW('Local Data Previous Year'!$A$3)+1),ROW(630:630)))),"",INDEX('Local Data Previous Year'!$D$3:$D$20000,SMALL(IF(CTR1_Billing!$E$21='Local Data Previous Year'!$A$3:$A$20000,ROW('Local Data Previous Year'!$A$3:$A$20000)-ROW('Local Data Previous Year'!$A$3)+1),ROW(630:630))))</f>
        <v/>
      </c>
      <c r="E662" s="755" t="str" cm="1">
        <f t="array" ref="E662">IF(ISERROR(INDEX('Local Data Previous Year'!$E$3:$E$20000,SMALL(IF(CTR1_Billing!$E$21='Local Data Previous Year'!$A$3:$A$20000,ROW('Local Data Previous Year'!$A$3:$A$20000)-ROW('Local Data Previous Year'!$A$3)+1),ROW(630:630)))),"",INDEX('Local Data Previous Year'!$E$3:$E$20000,SMALL(IF(CTR1_Billing!$E$21='Local Data Previous Year'!$A$3:$A$20000,ROW('Local Data Previous Year'!$A$3:$A$20000)-ROW('Local Data Previous Year'!$A$3)+1),ROW(630:630))))</f>
        <v/>
      </c>
      <c r="F662" s="756" t="str">
        <f>IF($D662="","",IF(ISNA(MATCH($D662,'Local Data Previous Year'!$D$3:$D$20000,0)),"New",IFERROR(VLOOKUP($B662,'Local Data Previous Year'!$D$3:$I$20000,6,0),"")))</f>
        <v/>
      </c>
      <c r="G662" s="757">
        <f t="shared" si="112"/>
        <v>0</v>
      </c>
      <c r="H662" s="758" t="str">
        <f>IFERROR(INDEX('Local Data Previous Year'!$F:$F, MATCH($D662, 'Local Data Previous Year'!$D:$D, 0)), "")</f>
        <v/>
      </c>
      <c r="I662" s="759">
        <f>IF(B662=CTR1_Billing!$E$21&amp;"NEW",1,0)</f>
        <v>0</v>
      </c>
      <c r="J662" s="760" t="str">
        <f>IFERROR(INDEX('Local Data Previous Year'!$G:$G, MATCH($D662, 'Local Data Previous Year'!$D:$D, 0)), "")</f>
        <v/>
      </c>
      <c r="K662" s="762"/>
      <c r="L662" s="760" t="str">
        <f>IFERROR(INDEX('Local Data Previous Year'!$H:$H, MATCH($D662, 'Local Data Previous Year'!$D:$D, 0)), "")</f>
        <v/>
      </c>
      <c r="M662" s="762"/>
      <c r="N662" s="763"/>
      <c r="O662" s="767"/>
      <c r="P662" s="765"/>
      <c r="Q662" s="767"/>
      <c r="R662" s="766" t="str">
        <f t="shared" si="127"/>
        <v/>
      </c>
      <c r="S662" s="754"/>
      <c r="T662" s="763"/>
      <c r="U662" s="754"/>
      <c r="V662" s="763"/>
      <c r="W662" s="763"/>
      <c r="X662" s="865" t="str">
        <f>VLOOKUP(CTR1_Billing!$E$21,Data!$C$6:$D$302,1,FALSE)</f>
        <v>EZZZZ</v>
      </c>
      <c r="Y662" s="205"/>
      <c r="Z662" s="205">
        <f t="shared" si="119"/>
        <v>0</v>
      </c>
      <c r="AA662" s="206" t="str">
        <f t="shared" si="118"/>
        <v/>
      </c>
      <c r="AB662" s="205">
        <f t="shared" si="120"/>
        <v>0</v>
      </c>
      <c r="AC662" s="208"/>
      <c r="AD662" s="208"/>
      <c r="AE662" s="208"/>
      <c r="AF662" s="208"/>
      <c r="AG662" s="209" t="str">
        <f>IFERROR(INDEX('Local Data Previous Year'!$F:$F, MATCH($D662, 'Local Data Previous Year'!$D:$D, 0)), "")</f>
        <v/>
      </c>
      <c r="AH662" s="209" t="str">
        <f>IFERROR(INDEX('Local Data Previous Year'!$G:$G, MATCH($D662, 'Local Data Previous Year'!$D:$D, 0)), "")</f>
        <v/>
      </c>
      <c r="AI662" s="209" t="str">
        <f>IFERROR(INDEX('Local Data Previous Year'!$H:$H, MATCH($D662, 'Local Data Previous Year'!$D:$D, 0)), "")</f>
        <v/>
      </c>
      <c r="AJ662" s="209" t="str">
        <f t="shared" si="121"/>
        <v/>
      </c>
      <c r="AK662" s="209" t="str">
        <f t="shared" si="116"/>
        <v/>
      </c>
      <c r="AL662" s="209" t="str">
        <f t="shared" si="117"/>
        <v/>
      </c>
      <c r="AM662" s="208" t="str">
        <f>IF($AN662="","",IFERROR(VLOOKUP(CONCATENATE(CTR1_Billing!$E$20,$AN662),'Local Data Previous Year'!$C$3:$D$50000,2,0),CTR1_Billing!$E$21&amp;"NEW"))</f>
        <v/>
      </c>
      <c r="AN662" s="209" t="str" cm="1">
        <f t="array" ref="AN662">IF(ISERROR(INDEX('Local Data Previous Year'!$E$3:$E$50000, SMALL(IF(CTR1_Billing!$E$21='Local Data Previous Year'!$A$3:$A$50000, ROW('Local Data Previous Year'!$A$3:$A$50000)-ROW('Local Data Previous Year'!$A$3)+1), ROW(630:630)))), "", INDEX('Local Data Previous Year'!$E$3:$E$50000, SMALL(IF(CTR1_Billing!$E$21='Local Data Previous Year'!$A$3:$A$50000, ROW('Local Data Previous Year'!$A$3:$A$50000)-ROW('Local Data Previous Year'!$A$3)+1), ROW(630:630))))</f>
        <v/>
      </c>
      <c r="AO662" s="209" t="str">
        <f t="shared" si="122"/>
        <v/>
      </c>
      <c r="AP662" s="208"/>
      <c r="AQ662" s="209" t="str">
        <f t="shared" si="123"/>
        <v/>
      </c>
      <c r="AR662" s="209" t="str">
        <f t="shared" si="124"/>
        <v/>
      </c>
      <c r="AS662" s="202" t="str">
        <f t="shared" si="125"/>
        <v/>
      </c>
      <c r="AT662" s="202" t="str">
        <f t="shared" si="126"/>
        <v/>
      </c>
      <c r="AU662" s="208"/>
      <c r="AV662" s="208"/>
      <c r="AW662" s="208"/>
      <c r="AX662" s="208"/>
      <c r="AY662" s="208"/>
      <c r="AZ662" s="208"/>
      <c r="BA662" s="208"/>
      <c r="BB662" s="208"/>
      <c r="BC662" s="208"/>
      <c r="BD662" s="208"/>
      <c r="BE662" s="208"/>
      <c r="BF662" s="208"/>
      <c r="BG662" s="28"/>
      <c r="BH662" s="28"/>
      <c r="BI662" s="28"/>
      <c r="BJ662" s="28"/>
    </row>
    <row r="663" spans="1:62" s="23" customFormat="1" ht="21" customHeight="1" thickBot="1" x14ac:dyDescent="0.25">
      <c r="A663" s="846" t="str">
        <f>IF($AN663="","",IFERROR(VLOOKUP(CONCATENATE(CTR1_Billing!$E$20,$AN663),'Local Data Previous Year'!$C$3:$D$20000,2,0),CTR1_Billing!$E$21&amp;"NEW"))</f>
        <v/>
      </c>
      <c r="B663" s="846" t="str">
        <f>IF($E663="","",IFERROR(VLOOKUP(CONCATENATE(CTR1_Billing!$E$20,CTR1_Local!$E663),'Local Data Previous Year'!$C$3:$D$20000,2,0),CTR1_Billing!$E$21&amp;"NEW"))</f>
        <v/>
      </c>
      <c r="C663" s="846">
        <v>631</v>
      </c>
      <c r="D663" s="755" t="str" cm="1">
        <f t="array" ref="D663">IF(ISERROR(INDEX('Local Data Previous Year'!$D$3:$D$20000,SMALL(IF(CTR1_Billing!$E$21='Local Data Previous Year'!$A$3:$A$20000,ROW('Local Data Previous Year'!$A$3:$A$20000)-ROW('Local Data Previous Year'!$A$3)+1),ROW(631:631)))),"",INDEX('Local Data Previous Year'!$D$3:$D$20000,SMALL(IF(CTR1_Billing!$E$21='Local Data Previous Year'!$A$3:$A$20000,ROW('Local Data Previous Year'!$A$3:$A$20000)-ROW('Local Data Previous Year'!$A$3)+1),ROW(631:631))))</f>
        <v/>
      </c>
      <c r="E663" s="755" t="str" cm="1">
        <f t="array" ref="E663">IF(ISERROR(INDEX('Local Data Previous Year'!$E$3:$E$20000,SMALL(IF(CTR1_Billing!$E$21='Local Data Previous Year'!$A$3:$A$20000,ROW('Local Data Previous Year'!$A$3:$A$20000)-ROW('Local Data Previous Year'!$A$3)+1),ROW(631:631)))),"",INDEX('Local Data Previous Year'!$E$3:$E$20000,SMALL(IF(CTR1_Billing!$E$21='Local Data Previous Year'!$A$3:$A$20000,ROW('Local Data Previous Year'!$A$3:$A$20000)-ROW('Local Data Previous Year'!$A$3)+1),ROW(631:631))))</f>
        <v/>
      </c>
      <c r="F663" s="756" t="str">
        <f>IF($D663="","",IF(ISNA(MATCH($D663,'Local Data Previous Year'!$D$3:$D$20000,0)),"New",IFERROR(VLOOKUP($B663,'Local Data Previous Year'!$D$3:$I$20000,6,0),"")))</f>
        <v/>
      </c>
      <c r="G663" s="757">
        <f t="shared" si="112"/>
        <v>0</v>
      </c>
      <c r="H663" s="758" t="str">
        <f>IFERROR(INDEX('Local Data Previous Year'!$F:$F, MATCH($D663, 'Local Data Previous Year'!$D:$D, 0)), "")</f>
        <v/>
      </c>
      <c r="I663" s="759">
        <f>IF(B663=CTR1_Billing!$E$21&amp;"NEW",1,0)</f>
        <v>0</v>
      </c>
      <c r="J663" s="760" t="str">
        <f>IFERROR(INDEX('Local Data Previous Year'!$G:$G, MATCH($D663, 'Local Data Previous Year'!$D:$D, 0)), "")</f>
        <v/>
      </c>
      <c r="K663" s="762"/>
      <c r="L663" s="760" t="str">
        <f>IFERROR(INDEX('Local Data Previous Year'!$H:$H, MATCH($D663, 'Local Data Previous Year'!$D:$D, 0)), "")</f>
        <v/>
      </c>
      <c r="M663" s="762"/>
      <c r="N663" s="763"/>
      <c r="O663" s="767"/>
      <c r="P663" s="765"/>
      <c r="Q663" s="767"/>
      <c r="R663" s="766" t="str">
        <f t="shared" si="127"/>
        <v/>
      </c>
      <c r="S663" s="754"/>
      <c r="T663" s="763"/>
      <c r="U663" s="754"/>
      <c r="V663" s="763"/>
      <c r="W663" s="763"/>
      <c r="X663" s="865" t="str">
        <f>VLOOKUP(CTR1_Billing!$E$21,Data!$C$6:$D$302,1,FALSE)</f>
        <v>EZZZZ</v>
      </c>
      <c r="Y663" s="205"/>
      <c r="Z663" s="205">
        <f t="shared" si="119"/>
        <v>0</v>
      </c>
      <c r="AA663" s="206" t="str">
        <f t="shared" si="118"/>
        <v/>
      </c>
      <c r="AB663" s="205">
        <f t="shared" si="120"/>
        <v>0</v>
      </c>
      <c r="AC663" s="208"/>
      <c r="AD663" s="208"/>
      <c r="AE663" s="208"/>
      <c r="AF663" s="208"/>
      <c r="AG663" s="209" t="str">
        <f>IFERROR(INDEX('Local Data Previous Year'!$F:$F, MATCH($D663, 'Local Data Previous Year'!$D:$D, 0)), "")</f>
        <v/>
      </c>
      <c r="AH663" s="209" t="str">
        <f>IFERROR(INDEX('Local Data Previous Year'!$G:$G, MATCH($D663, 'Local Data Previous Year'!$D:$D, 0)), "")</f>
        <v/>
      </c>
      <c r="AI663" s="209" t="str">
        <f>IFERROR(INDEX('Local Data Previous Year'!$H:$H, MATCH($D663, 'Local Data Previous Year'!$D:$D, 0)), "")</f>
        <v/>
      </c>
      <c r="AJ663" s="209" t="str">
        <f t="shared" si="121"/>
        <v/>
      </c>
      <c r="AK663" s="209" t="str">
        <f t="shared" si="116"/>
        <v/>
      </c>
      <c r="AL663" s="209" t="str">
        <f t="shared" si="117"/>
        <v/>
      </c>
      <c r="AM663" s="208" t="str">
        <f>IF($AN663="","",IFERROR(VLOOKUP(CONCATENATE(CTR1_Billing!$E$20,$AN663),'Local Data Previous Year'!$C$3:$D$50000,2,0),CTR1_Billing!$E$21&amp;"NEW"))</f>
        <v/>
      </c>
      <c r="AN663" s="209" t="str" cm="1">
        <f t="array" ref="AN663">IF(ISERROR(INDEX('Local Data Previous Year'!$E$3:$E$50000, SMALL(IF(CTR1_Billing!$E$21='Local Data Previous Year'!$A$3:$A$50000, ROW('Local Data Previous Year'!$A$3:$A$50000)-ROW('Local Data Previous Year'!$A$3)+1), ROW(631:631)))), "", INDEX('Local Data Previous Year'!$E$3:$E$50000, SMALL(IF(CTR1_Billing!$E$21='Local Data Previous Year'!$A$3:$A$50000, ROW('Local Data Previous Year'!$A$3:$A$50000)-ROW('Local Data Previous Year'!$A$3)+1), ROW(631:631))))</f>
        <v/>
      </c>
      <c r="AO663" s="209" t="str">
        <f t="shared" si="122"/>
        <v/>
      </c>
      <c r="AP663" s="208"/>
      <c r="AQ663" s="209" t="str">
        <f t="shared" si="123"/>
        <v/>
      </c>
      <c r="AR663" s="209" t="str">
        <f t="shared" si="124"/>
        <v/>
      </c>
      <c r="AS663" s="202" t="str">
        <f t="shared" si="125"/>
        <v/>
      </c>
      <c r="AT663" s="202" t="str">
        <f t="shared" si="126"/>
        <v/>
      </c>
      <c r="AU663" s="208"/>
      <c r="AV663" s="208"/>
      <c r="AW663" s="208"/>
      <c r="AX663" s="208"/>
      <c r="AY663" s="208"/>
      <c r="AZ663" s="208"/>
      <c r="BA663" s="208"/>
      <c r="BB663" s="208"/>
      <c r="BC663" s="208"/>
      <c r="BD663" s="208"/>
      <c r="BE663" s="208"/>
      <c r="BF663" s="208"/>
      <c r="BG663" s="28"/>
      <c r="BH663" s="28"/>
      <c r="BI663" s="28"/>
      <c r="BJ663" s="28"/>
    </row>
    <row r="664" spans="1:62" s="23" customFormat="1" ht="21" customHeight="1" thickBot="1" x14ac:dyDescent="0.25">
      <c r="A664" s="846" t="str">
        <f>IF($AN664="","",IFERROR(VLOOKUP(CONCATENATE(CTR1_Billing!$E$20,$AN664),'Local Data Previous Year'!$C$3:$D$20000,2,0),CTR1_Billing!$E$21&amp;"NEW"))</f>
        <v/>
      </c>
      <c r="B664" s="846" t="str">
        <f>IF($E664="","",IFERROR(VLOOKUP(CONCATENATE(CTR1_Billing!$E$20,CTR1_Local!$E664),'Local Data Previous Year'!$C$3:$D$20000,2,0),CTR1_Billing!$E$21&amp;"NEW"))</f>
        <v/>
      </c>
      <c r="C664" s="846">
        <v>632</v>
      </c>
      <c r="D664" s="755" t="str" cm="1">
        <f t="array" ref="D664">IF(ISERROR(INDEX('Local Data Previous Year'!$D$3:$D$20000,SMALL(IF(CTR1_Billing!$E$21='Local Data Previous Year'!$A$3:$A$20000,ROW('Local Data Previous Year'!$A$3:$A$20000)-ROW('Local Data Previous Year'!$A$3)+1),ROW(632:632)))),"",INDEX('Local Data Previous Year'!$D$3:$D$20000,SMALL(IF(CTR1_Billing!$E$21='Local Data Previous Year'!$A$3:$A$20000,ROW('Local Data Previous Year'!$A$3:$A$20000)-ROW('Local Data Previous Year'!$A$3)+1),ROW(632:632))))</f>
        <v/>
      </c>
      <c r="E664" s="755" t="str" cm="1">
        <f t="array" ref="E664">IF(ISERROR(INDEX('Local Data Previous Year'!$E$3:$E$20000,SMALL(IF(CTR1_Billing!$E$21='Local Data Previous Year'!$A$3:$A$20000,ROW('Local Data Previous Year'!$A$3:$A$20000)-ROW('Local Data Previous Year'!$A$3)+1),ROW(632:632)))),"",INDEX('Local Data Previous Year'!$E$3:$E$20000,SMALL(IF(CTR1_Billing!$E$21='Local Data Previous Year'!$A$3:$A$20000,ROW('Local Data Previous Year'!$A$3:$A$20000)-ROW('Local Data Previous Year'!$A$3)+1),ROW(632:632))))</f>
        <v/>
      </c>
      <c r="F664" s="756" t="str">
        <f>IF($D664="","",IF(ISNA(MATCH($D664,'Local Data Previous Year'!$D$3:$D$20000,0)),"New",IFERROR(VLOOKUP($B664,'Local Data Previous Year'!$D$3:$I$20000,6,0),"")))</f>
        <v/>
      </c>
      <c r="G664" s="757">
        <f t="shared" si="112"/>
        <v>0</v>
      </c>
      <c r="H664" s="758" t="str">
        <f>IFERROR(INDEX('Local Data Previous Year'!$F:$F, MATCH($D664, 'Local Data Previous Year'!$D:$D, 0)), "")</f>
        <v/>
      </c>
      <c r="I664" s="759">
        <f>IF(B664=CTR1_Billing!$E$21&amp;"NEW",1,0)</f>
        <v>0</v>
      </c>
      <c r="J664" s="760" t="str">
        <f>IFERROR(INDEX('Local Data Previous Year'!$G:$G, MATCH($D664, 'Local Data Previous Year'!$D:$D, 0)), "")</f>
        <v/>
      </c>
      <c r="K664" s="762"/>
      <c r="L664" s="760" t="str">
        <f>IFERROR(INDEX('Local Data Previous Year'!$H:$H, MATCH($D664, 'Local Data Previous Year'!$D:$D, 0)), "")</f>
        <v/>
      </c>
      <c r="M664" s="762"/>
      <c r="N664" s="763"/>
      <c r="O664" s="767"/>
      <c r="P664" s="765"/>
      <c r="Q664" s="767"/>
      <c r="R664" s="766" t="str">
        <f t="shared" si="127"/>
        <v/>
      </c>
      <c r="S664" s="754"/>
      <c r="T664" s="763"/>
      <c r="U664" s="754"/>
      <c r="V664" s="763"/>
      <c r="W664" s="763"/>
      <c r="X664" s="865" t="str">
        <f>VLOOKUP(CTR1_Billing!$E$21,Data!$C$6:$D$302,1,FALSE)</f>
        <v>EZZZZ</v>
      </c>
      <c r="Y664" s="205"/>
      <c r="Z664" s="205">
        <f t="shared" si="119"/>
        <v>0</v>
      </c>
      <c r="AA664" s="206" t="str">
        <f t="shared" si="118"/>
        <v/>
      </c>
      <c r="AB664" s="205">
        <f t="shared" si="120"/>
        <v>0</v>
      </c>
      <c r="AC664" s="208"/>
      <c r="AD664" s="208"/>
      <c r="AE664" s="208"/>
      <c r="AF664" s="208"/>
      <c r="AG664" s="209" t="str">
        <f>IFERROR(INDEX('Local Data Previous Year'!$F:$F, MATCH($D664, 'Local Data Previous Year'!$D:$D, 0)), "")</f>
        <v/>
      </c>
      <c r="AH664" s="209" t="str">
        <f>IFERROR(INDEX('Local Data Previous Year'!$G:$G, MATCH($D664, 'Local Data Previous Year'!$D:$D, 0)), "")</f>
        <v/>
      </c>
      <c r="AI664" s="209" t="str">
        <f>IFERROR(INDEX('Local Data Previous Year'!$H:$H, MATCH($D664, 'Local Data Previous Year'!$D:$D, 0)), "")</f>
        <v/>
      </c>
      <c r="AJ664" s="209" t="str">
        <f t="shared" si="121"/>
        <v/>
      </c>
      <c r="AK664" s="209" t="str">
        <f t="shared" si="116"/>
        <v/>
      </c>
      <c r="AL664" s="209" t="str">
        <f t="shared" si="117"/>
        <v/>
      </c>
      <c r="AM664" s="208" t="str">
        <f>IF($AN664="","",IFERROR(VLOOKUP(CONCATENATE(CTR1_Billing!$E$20,$AN664),'Local Data Previous Year'!$C$3:$D$50000,2,0),CTR1_Billing!$E$21&amp;"NEW"))</f>
        <v/>
      </c>
      <c r="AN664" s="209" t="str" cm="1">
        <f t="array" ref="AN664">IF(ISERROR(INDEX('Local Data Previous Year'!$E$3:$E$50000, SMALL(IF(CTR1_Billing!$E$21='Local Data Previous Year'!$A$3:$A$50000, ROW('Local Data Previous Year'!$A$3:$A$50000)-ROW('Local Data Previous Year'!$A$3)+1), ROW(632:632)))), "", INDEX('Local Data Previous Year'!$E$3:$E$50000, SMALL(IF(CTR1_Billing!$E$21='Local Data Previous Year'!$A$3:$A$50000, ROW('Local Data Previous Year'!$A$3:$A$50000)-ROW('Local Data Previous Year'!$A$3)+1), ROW(632:632))))</f>
        <v/>
      </c>
      <c r="AO664" s="209" t="str">
        <f t="shared" si="122"/>
        <v/>
      </c>
      <c r="AP664" s="208"/>
      <c r="AQ664" s="209" t="str">
        <f t="shared" si="123"/>
        <v/>
      </c>
      <c r="AR664" s="209" t="str">
        <f t="shared" si="124"/>
        <v/>
      </c>
      <c r="AS664" s="202" t="str">
        <f t="shared" si="125"/>
        <v/>
      </c>
      <c r="AT664" s="202" t="str">
        <f t="shared" si="126"/>
        <v/>
      </c>
      <c r="AU664" s="208"/>
      <c r="AV664" s="208"/>
      <c r="AW664" s="208"/>
      <c r="AX664" s="208"/>
      <c r="AY664" s="208"/>
      <c r="AZ664" s="208"/>
      <c r="BA664" s="208"/>
      <c r="BB664" s="208"/>
      <c r="BC664" s="208"/>
      <c r="BD664" s="208"/>
      <c r="BE664" s="208"/>
      <c r="BF664" s="208"/>
      <c r="BG664" s="28"/>
      <c r="BH664" s="28"/>
      <c r="BI664" s="28"/>
      <c r="BJ664" s="28"/>
    </row>
    <row r="665" spans="1:62" s="23" customFormat="1" ht="21" customHeight="1" thickBot="1" x14ac:dyDescent="0.25">
      <c r="A665" s="846" t="str">
        <f>IF($AN665="","",IFERROR(VLOOKUP(CONCATENATE(CTR1_Billing!$E$20,$AN665),'Local Data Previous Year'!$C$3:$D$20000,2,0),CTR1_Billing!$E$21&amp;"NEW"))</f>
        <v/>
      </c>
      <c r="B665" s="846" t="str">
        <f>IF($E665="","",IFERROR(VLOOKUP(CONCATENATE(CTR1_Billing!$E$20,CTR1_Local!$E665),'Local Data Previous Year'!$C$3:$D$20000,2,0),CTR1_Billing!$E$21&amp;"NEW"))</f>
        <v/>
      </c>
      <c r="C665" s="846">
        <v>633</v>
      </c>
      <c r="D665" s="755" t="str" cm="1">
        <f t="array" ref="D665">IF(ISERROR(INDEX('Local Data Previous Year'!$D$3:$D$20000,SMALL(IF(CTR1_Billing!$E$21='Local Data Previous Year'!$A$3:$A$20000,ROW('Local Data Previous Year'!$A$3:$A$20000)-ROW('Local Data Previous Year'!$A$3)+1),ROW(633:633)))),"",INDEX('Local Data Previous Year'!$D$3:$D$20000,SMALL(IF(CTR1_Billing!$E$21='Local Data Previous Year'!$A$3:$A$20000,ROW('Local Data Previous Year'!$A$3:$A$20000)-ROW('Local Data Previous Year'!$A$3)+1),ROW(633:633))))</f>
        <v/>
      </c>
      <c r="E665" s="755" t="str" cm="1">
        <f t="array" ref="E665">IF(ISERROR(INDEX('Local Data Previous Year'!$E$3:$E$20000,SMALL(IF(CTR1_Billing!$E$21='Local Data Previous Year'!$A$3:$A$20000,ROW('Local Data Previous Year'!$A$3:$A$20000)-ROW('Local Data Previous Year'!$A$3)+1),ROW(633:633)))),"",INDEX('Local Data Previous Year'!$E$3:$E$20000,SMALL(IF(CTR1_Billing!$E$21='Local Data Previous Year'!$A$3:$A$20000,ROW('Local Data Previous Year'!$A$3:$A$20000)-ROW('Local Data Previous Year'!$A$3)+1),ROW(633:633))))</f>
        <v/>
      </c>
      <c r="F665" s="756" t="str">
        <f>IF($D665="","",IF(ISNA(MATCH($D665,'Local Data Previous Year'!$D$3:$D$20000,0)),"New",IFERROR(VLOOKUP($B665,'Local Data Previous Year'!$D$3:$I$20000,6,0),"")))</f>
        <v/>
      </c>
      <c r="G665" s="757">
        <f t="shared" si="112"/>
        <v>0</v>
      </c>
      <c r="H665" s="758" t="str">
        <f>IFERROR(INDEX('Local Data Previous Year'!$F:$F, MATCH($D665, 'Local Data Previous Year'!$D:$D, 0)), "")</f>
        <v/>
      </c>
      <c r="I665" s="759">
        <f>IF(B665=CTR1_Billing!$E$21&amp;"NEW",1,0)</f>
        <v>0</v>
      </c>
      <c r="J665" s="760" t="str">
        <f>IFERROR(INDEX('Local Data Previous Year'!$G:$G, MATCH($D665, 'Local Data Previous Year'!$D:$D, 0)), "")</f>
        <v/>
      </c>
      <c r="K665" s="762"/>
      <c r="L665" s="760" t="str">
        <f>IFERROR(INDEX('Local Data Previous Year'!$H:$H, MATCH($D665, 'Local Data Previous Year'!$D:$D, 0)), "")</f>
        <v/>
      </c>
      <c r="M665" s="762"/>
      <c r="N665" s="763"/>
      <c r="O665" s="767"/>
      <c r="P665" s="765"/>
      <c r="Q665" s="767"/>
      <c r="R665" s="766" t="str">
        <f t="shared" si="127"/>
        <v/>
      </c>
      <c r="S665" s="754"/>
      <c r="T665" s="763"/>
      <c r="U665" s="754"/>
      <c r="V665" s="763"/>
      <c r="W665" s="763"/>
      <c r="X665" s="865" t="str">
        <f>VLOOKUP(CTR1_Billing!$E$21,Data!$C$6:$D$302,1,FALSE)</f>
        <v>EZZZZ</v>
      </c>
      <c r="Y665" s="205"/>
      <c r="Z665" s="205">
        <f t="shared" si="119"/>
        <v>0</v>
      </c>
      <c r="AA665" s="206" t="str">
        <f t="shared" si="118"/>
        <v/>
      </c>
      <c r="AB665" s="205">
        <f t="shared" si="120"/>
        <v>0</v>
      </c>
      <c r="AC665" s="208"/>
      <c r="AD665" s="208"/>
      <c r="AE665" s="208"/>
      <c r="AF665" s="208"/>
      <c r="AG665" s="209" t="str">
        <f>IFERROR(INDEX('Local Data Previous Year'!$F:$F, MATCH($D665, 'Local Data Previous Year'!$D:$D, 0)), "")</f>
        <v/>
      </c>
      <c r="AH665" s="209" t="str">
        <f>IFERROR(INDEX('Local Data Previous Year'!$G:$G, MATCH($D665, 'Local Data Previous Year'!$D:$D, 0)), "")</f>
        <v/>
      </c>
      <c r="AI665" s="209" t="str">
        <f>IFERROR(INDEX('Local Data Previous Year'!$H:$H, MATCH($D665, 'Local Data Previous Year'!$D:$D, 0)), "")</f>
        <v/>
      </c>
      <c r="AJ665" s="209" t="str">
        <f t="shared" si="121"/>
        <v/>
      </c>
      <c r="AK665" s="209" t="str">
        <f t="shared" si="116"/>
        <v/>
      </c>
      <c r="AL665" s="209" t="str">
        <f t="shared" si="117"/>
        <v/>
      </c>
      <c r="AM665" s="208" t="str">
        <f>IF($AN665="","",IFERROR(VLOOKUP(CONCATENATE(CTR1_Billing!$E$20,$AN665),'Local Data Previous Year'!$C$3:$D$50000,2,0),CTR1_Billing!$E$21&amp;"NEW"))</f>
        <v/>
      </c>
      <c r="AN665" s="209" t="str" cm="1">
        <f t="array" ref="AN665">IF(ISERROR(INDEX('Local Data Previous Year'!$E$3:$E$50000, SMALL(IF(CTR1_Billing!$E$21='Local Data Previous Year'!$A$3:$A$50000, ROW('Local Data Previous Year'!$A$3:$A$50000)-ROW('Local Data Previous Year'!$A$3)+1), ROW(633:633)))), "", INDEX('Local Data Previous Year'!$E$3:$E$50000, SMALL(IF(CTR1_Billing!$E$21='Local Data Previous Year'!$A$3:$A$50000, ROW('Local Data Previous Year'!$A$3:$A$50000)-ROW('Local Data Previous Year'!$A$3)+1), ROW(633:633))))</f>
        <v/>
      </c>
      <c r="AO665" s="209" t="str">
        <f t="shared" si="122"/>
        <v/>
      </c>
      <c r="AP665" s="208"/>
      <c r="AQ665" s="209" t="str">
        <f t="shared" si="123"/>
        <v/>
      </c>
      <c r="AR665" s="209" t="str">
        <f t="shared" si="124"/>
        <v/>
      </c>
      <c r="AS665" s="202" t="str">
        <f t="shared" si="125"/>
        <v/>
      </c>
      <c r="AT665" s="202" t="str">
        <f t="shared" si="126"/>
        <v/>
      </c>
      <c r="AU665" s="208"/>
      <c r="AV665" s="208"/>
      <c r="AW665" s="208"/>
      <c r="AX665" s="208"/>
      <c r="AY665" s="208"/>
      <c r="AZ665" s="208"/>
      <c r="BA665" s="208"/>
      <c r="BB665" s="208"/>
      <c r="BC665" s="208"/>
      <c r="BD665" s="208"/>
      <c r="BE665" s="208"/>
      <c r="BF665" s="208"/>
      <c r="BG665" s="28"/>
      <c r="BH665" s="28"/>
      <c r="BI665" s="28"/>
      <c r="BJ665" s="28"/>
    </row>
    <row r="666" spans="1:62" s="23" customFormat="1" ht="21" customHeight="1" thickBot="1" x14ac:dyDescent="0.25">
      <c r="A666" s="846" t="str">
        <f>IF($AN666="","",IFERROR(VLOOKUP(CONCATENATE(CTR1_Billing!$E$20,$AN666),'Local Data Previous Year'!$C$3:$D$20000,2,0),CTR1_Billing!$E$21&amp;"NEW"))</f>
        <v/>
      </c>
      <c r="B666" s="846" t="str">
        <f>IF($E666="","",IFERROR(VLOOKUP(CONCATENATE(CTR1_Billing!$E$20,CTR1_Local!$E666),'Local Data Previous Year'!$C$3:$D$20000,2,0),CTR1_Billing!$E$21&amp;"NEW"))</f>
        <v/>
      </c>
      <c r="C666" s="846">
        <v>634</v>
      </c>
      <c r="D666" s="755" t="str" cm="1">
        <f t="array" ref="D666">IF(ISERROR(INDEX('Local Data Previous Year'!$D$3:$D$20000,SMALL(IF(CTR1_Billing!$E$21='Local Data Previous Year'!$A$3:$A$20000,ROW('Local Data Previous Year'!$A$3:$A$20000)-ROW('Local Data Previous Year'!$A$3)+1),ROW(634:634)))),"",INDEX('Local Data Previous Year'!$D$3:$D$20000,SMALL(IF(CTR1_Billing!$E$21='Local Data Previous Year'!$A$3:$A$20000,ROW('Local Data Previous Year'!$A$3:$A$20000)-ROW('Local Data Previous Year'!$A$3)+1),ROW(634:634))))</f>
        <v/>
      </c>
      <c r="E666" s="755" t="str" cm="1">
        <f t="array" ref="E666">IF(ISERROR(INDEX('Local Data Previous Year'!$E$3:$E$20000,SMALL(IF(CTR1_Billing!$E$21='Local Data Previous Year'!$A$3:$A$20000,ROW('Local Data Previous Year'!$A$3:$A$20000)-ROW('Local Data Previous Year'!$A$3)+1),ROW(634:634)))),"",INDEX('Local Data Previous Year'!$E$3:$E$20000,SMALL(IF(CTR1_Billing!$E$21='Local Data Previous Year'!$A$3:$A$20000,ROW('Local Data Previous Year'!$A$3:$A$20000)-ROW('Local Data Previous Year'!$A$3)+1),ROW(634:634))))</f>
        <v/>
      </c>
      <c r="F666" s="756" t="str">
        <f>IF($D666="","",IF(ISNA(MATCH($D666,'Local Data Previous Year'!$D$3:$D$20000,0)),"New",IFERROR(VLOOKUP($B666,'Local Data Previous Year'!$D$3:$I$20000,6,0),"")))</f>
        <v/>
      </c>
      <c r="G666" s="757">
        <f t="shared" si="112"/>
        <v>0</v>
      </c>
      <c r="H666" s="758" t="str">
        <f>IFERROR(INDEX('Local Data Previous Year'!$F:$F, MATCH($D666, 'Local Data Previous Year'!$D:$D, 0)), "")</f>
        <v/>
      </c>
      <c r="I666" s="759">
        <f>IF(B666=CTR1_Billing!$E$21&amp;"NEW",1,0)</f>
        <v>0</v>
      </c>
      <c r="J666" s="760" t="str">
        <f>IFERROR(INDEX('Local Data Previous Year'!$G:$G, MATCH($D666, 'Local Data Previous Year'!$D:$D, 0)), "")</f>
        <v/>
      </c>
      <c r="K666" s="762"/>
      <c r="L666" s="760" t="str">
        <f>IFERROR(INDEX('Local Data Previous Year'!$H:$H, MATCH($D666, 'Local Data Previous Year'!$D:$D, 0)), "")</f>
        <v/>
      </c>
      <c r="M666" s="762"/>
      <c r="N666" s="763"/>
      <c r="O666" s="767"/>
      <c r="P666" s="765"/>
      <c r="Q666" s="767"/>
      <c r="R666" s="766" t="str">
        <f t="shared" si="127"/>
        <v/>
      </c>
      <c r="S666" s="754"/>
      <c r="T666" s="763"/>
      <c r="U666" s="754"/>
      <c r="V666" s="763"/>
      <c r="W666" s="763"/>
      <c r="X666" s="865" t="str">
        <f>VLOOKUP(CTR1_Billing!$E$21,Data!$C$6:$D$302,1,FALSE)</f>
        <v>EZZZZ</v>
      </c>
      <c r="Y666" s="205"/>
      <c r="Z666" s="205">
        <f t="shared" si="119"/>
        <v>0</v>
      </c>
      <c r="AA666" s="206" t="str">
        <f t="shared" si="118"/>
        <v/>
      </c>
      <c r="AB666" s="205">
        <f t="shared" si="120"/>
        <v>0</v>
      </c>
      <c r="AC666" s="208"/>
      <c r="AD666" s="208"/>
      <c r="AE666" s="208"/>
      <c r="AF666" s="208"/>
      <c r="AG666" s="209" t="str">
        <f>IFERROR(INDEX('Local Data Previous Year'!$F:$F, MATCH($D666, 'Local Data Previous Year'!$D:$D, 0)), "")</f>
        <v/>
      </c>
      <c r="AH666" s="209" t="str">
        <f>IFERROR(INDEX('Local Data Previous Year'!$G:$G, MATCH($D666, 'Local Data Previous Year'!$D:$D, 0)), "")</f>
        <v/>
      </c>
      <c r="AI666" s="209" t="str">
        <f>IFERROR(INDEX('Local Data Previous Year'!$H:$H, MATCH($D666, 'Local Data Previous Year'!$D:$D, 0)), "")</f>
        <v/>
      </c>
      <c r="AJ666" s="209" t="str">
        <f t="shared" si="121"/>
        <v/>
      </c>
      <c r="AK666" s="209" t="str">
        <f t="shared" si="116"/>
        <v/>
      </c>
      <c r="AL666" s="209" t="str">
        <f t="shared" si="117"/>
        <v/>
      </c>
      <c r="AM666" s="208" t="str">
        <f>IF($AN666="","",IFERROR(VLOOKUP(CONCATENATE(CTR1_Billing!$E$20,$AN666),'Local Data Previous Year'!$C$3:$D$50000,2,0),CTR1_Billing!$E$21&amp;"NEW"))</f>
        <v/>
      </c>
      <c r="AN666" s="209" t="str" cm="1">
        <f t="array" ref="AN666">IF(ISERROR(INDEX('Local Data Previous Year'!$E$3:$E$50000, SMALL(IF(CTR1_Billing!$E$21='Local Data Previous Year'!$A$3:$A$50000, ROW('Local Data Previous Year'!$A$3:$A$50000)-ROW('Local Data Previous Year'!$A$3)+1), ROW(634:634)))), "", INDEX('Local Data Previous Year'!$E$3:$E$50000, SMALL(IF(CTR1_Billing!$E$21='Local Data Previous Year'!$A$3:$A$50000, ROW('Local Data Previous Year'!$A$3:$A$50000)-ROW('Local Data Previous Year'!$A$3)+1), ROW(634:634))))</f>
        <v/>
      </c>
      <c r="AO666" s="209" t="str">
        <f t="shared" si="122"/>
        <v/>
      </c>
      <c r="AP666" s="208"/>
      <c r="AQ666" s="209" t="str">
        <f t="shared" si="123"/>
        <v/>
      </c>
      <c r="AR666" s="209" t="str">
        <f t="shared" si="124"/>
        <v/>
      </c>
      <c r="AS666" s="202" t="str">
        <f t="shared" si="125"/>
        <v/>
      </c>
      <c r="AT666" s="202" t="str">
        <f t="shared" si="126"/>
        <v/>
      </c>
      <c r="AU666" s="208"/>
      <c r="AV666" s="208"/>
      <c r="AW666" s="208"/>
      <c r="AX666" s="208"/>
      <c r="AY666" s="208"/>
      <c r="AZ666" s="208"/>
      <c r="BA666" s="208"/>
      <c r="BB666" s="208"/>
      <c r="BC666" s="208"/>
      <c r="BD666" s="208"/>
      <c r="BE666" s="208"/>
      <c r="BF666" s="208"/>
      <c r="BG666" s="28"/>
      <c r="BH666" s="28"/>
      <c r="BI666" s="28"/>
      <c r="BJ666" s="28"/>
    </row>
    <row r="667" spans="1:62" s="23" customFormat="1" ht="21" customHeight="1" thickBot="1" x14ac:dyDescent="0.25">
      <c r="A667" s="846" t="str">
        <f>IF($AN667="","",IFERROR(VLOOKUP(CONCATENATE(CTR1_Billing!$E$20,$AN667),'Local Data Previous Year'!$C$3:$D$20000,2,0),CTR1_Billing!$E$21&amp;"NEW"))</f>
        <v/>
      </c>
      <c r="B667" s="846" t="str">
        <f>IF($E667="","",IFERROR(VLOOKUP(CONCATENATE(CTR1_Billing!$E$20,CTR1_Local!$E667),'Local Data Previous Year'!$C$3:$D$20000,2,0),CTR1_Billing!$E$21&amp;"NEW"))</f>
        <v/>
      </c>
      <c r="C667" s="846">
        <v>635</v>
      </c>
      <c r="D667" s="755" t="str" cm="1">
        <f t="array" ref="D667">IF(ISERROR(INDEX('Local Data Previous Year'!$D$3:$D$20000,SMALL(IF(CTR1_Billing!$E$21='Local Data Previous Year'!$A$3:$A$20000,ROW('Local Data Previous Year'!$A$3:$A$20000)-ROW('Local Data Previous Year'!$A$3)+1),ROW(635:635)))),"",INDEX('Local Data Previous Year'!$D$3:$D$20000,SMALL(IF(CTR1_Billing!$E$21='Local Data Previous Year'!$A$3:$A$20000,ROW('Local Data Previous Year'!$A$3:$A$20000)-ROW('Local Data Previous Year'!$A$3)+1),ROW(635:635))))</f>
        <v/>
      </c>
      <c r="E667" s="755" t="str" cm="1">
        <f t="array" ref="E667">IF(ISERROR(INDEX('Local Data Previous Year'!$E$3:$E$20000,SMALL(IF(CTR1_Billing!$E$21='Local Data Previous Year'!$A$3:$A$20000,ROW('Local Data Previous Year'!$A$3:$A$20000)-ROW('Local Data Previous Year'!$A$3)+1),ROW(635:635)))),"",INDEX('Local Data Previous Year'!$E$3:$E$20000,SMALL(IF(CTR1_Billing!$E$21='Local Data Previous Year'!$A$3:$A$20000,ROW('Local Data Previous Year'!$A$3:$A$20000)-ROW('Local Data Previous Year'!$A$3)+1),ROW(635:635))))</f>
        <v/>
      </c>
      <c r="F667" s="756" t="str">
        <f>IF($D667="","",IF(ISNA(MATCH($D667,'Local Data Previous Year'!$D$3:$D$20000,0)),"New",IFERROR(VLOOKUP($B667,'Local Data Previous Year'!$D$3:$I$20000,6,0),"")))</f>
        <v/>
      </c>
      <c r="G667" s="757">
        <f t="shared" si="112"/>
        <v>0</v>
      </c>
      <c r="H667" s="758" t="str">
        <f>IFERROR(INDEX('Local Data Previous Year'!$F:$F, MATCH($D667, 'Local Data Previous Year'!$D:$D, 0)), "")</f>
        <v/>
      </c>
      <c r="I667" s="759">
        <f>IF(B667=CTR1_Billing!$E$21&amp;"NEW",1,0)</f>
        <v>0</v>
      </c>
      <c r="J667" s="760" t="str">
        <f>IFERROR(INDEX('Local Data Previous Year'!$G:$G, MATCH($D667, 'Local Data Previous Year'!$D:$D, 0)), "")</f>
        <v/>
      </c>
      <c r="K667" s="762"/>
      <c r="L667" s="760" t="str">
        <f>IFERROR(INDEX('Local Data Previous Year'!$H:$H, MATCH($D667, 'Local Data Previous Year'!$D:$D, 0)), "")</f>
        <v/>
      </c>
      <c r="M667" s="762"/>
      <c r="N667" s="763"/>
      <c r="O667" s="767"/>
      <c r="P667" s="765"/>
      <c r="Q667" s="767"/>
      <c r="R667" s="766" t="str">
        <f t="shared" si="127"/>
        <v/>
      </c>
      <c r="S667" s="754"/>
      <c r="T667" s="763"/>
      <c r="U667" s="754"/>
      <c r="V667" s="763"/>
      <c r="W667" s="763"/>
      <c r="X667" s="865" t="str">
        <f>VLOOKUP(CTR1_Billing!$E$21,Data!$C$6:$D$302,1,FALSE)</f>
        <v>EZZZZ</v>
      </c>
      <c r="Y667" s="205"/>
      <c r="Z667" s="205">
        <f t="shared" si="119"/>
        <v>0</v>
      </c>
      <c r="AA667" s="206" t="str">
        <f t="shared" si="118"/>
        <v/>
      </c>
      <c r="AB667" s="205">
        <f t="shared" si="120"/>
        <v>0</v>
      </c>
      <c r="AC667" s="208"/>
      <c r="AD667" s="208"/>
      <c r="AE667" s="208"/>
      <c r="AF667" s="208"/>
      <c r="AG667" s="209" t="str">
        <f>IFERROR(INDEX('Local Data Previous Year'!$F:$F, MATCH($D667, 'Local Data Previous Year'!$D:$D, 0)), "")</f>
        <v/>
      </c>
      <c r="AH667" s="209" t="str">
        <f>IFERROR(INDEX('Local Data Previous Year'!$G:$G, MATCH($D667, 'Local Data Previous Year'!$D:$D, 0)), "")</f>
        <v/>
      </c>
      <c r="AI667" s="209" t="str">
        <f>IFERROR(INDEX('Local Data Previous Year'!$H:$H, MATCH($D667, 'Local Data Previous Year'!$D:$D, 0)), "")</f>
        <v/>
      </c>
      <c r="AJ667" s="209" t="str">
        <f t="shared" si="121"/>
        <v/>
      </c>
      <c r="AK667" s="209" t="str">
        <f t="shared" si="116"/>
        <v/>
      </c>
      <c r="AL667" s="209" t="str">
        <f t="shared" si="117"/>
        <v/>
      </c>
      <c r="AM667" s="208" t="str">
        <f>IF($AN667="","",IFERROR(VLOOKUP(CONCATENATE(CTR1_Billing!$E$20,$AN667),'Local Data Previous Year'!$C$3:$D$50000,2,0),CTR1_Billing!$E$21&amp;"NEW"))</f>
        <v/>
      </c>
      <c r="AN667" s="209" t="str" cm="1">
        <f t="array" ref="AN667">IF(ISERROR(INDEX('Local Data Previous Year'!$E$3:$E$50000, SMALL(IF(CTR1_Billing!$E$21='Local Data Previous Year'!$A$3:$A$50000, ROW('Local Data Previous Year'!$A$3:$A$50000)-ROW('Local Data Previous Year'!$A$3)+1), ROW(635:635)))), "", INDEX('Local Data Previous Year'!$E$3:$E$50000, SMALL(IF(CTR1_Billing!$E$21='Local Data Previous Year'!$A$3:$A$50000, ROW('Local Data Previous Year'!$A$3:$A$50000)-ROW('Local Data Previous Year'!$A$3)+1), ROW(635:635))))</f>
        <v/>
      </c>
      <c r="AO667" s="209" t="str">
        <f t="shared" si="122"/>
        <v/>
      </c>
      <c r="AP667" s="208"/>
      <c r="AQ667" s="209" t="str">
        <f t="shared" si="123"/>
        <v/>
      </c>
      <c r="AR667" s="209" t="str">
        <f t="shared" si="124"/>
        <v/>
      </c>
      <c r="AS667" s="202" t="str">
        <f t="shared" si="125"/>
        <v/>
      </c>
      <c r="AT667" s="202" t="str">
        <f t="shared" si="126"/>
        <v/>
      </c>
      <c r="AU667" s="208"/>
      <c r="AV667" s="208"/>
      <c r="AW667" s="208"/>
      <c r="AX667" s="208"/>
      <c r="AY667" s="208"/>
      <c r="AZ667" s="208"/>
      <c r="BA667" s="208"/>
      <c r="BB667" s="208"/>
      <c r="BC667" s="208"/>
      <c r="BD667" s="208"/>
      <c r="BE667" s="208"/>
      <c r="BF667" s="208"/>
      <c r="BG667" s="28"/>
      <c r="BH667" s="28"/>
      <c r="BI667" s="28"/>
      <c r="BJ667" s="28"/>
    </row>
    <row r="668" spans="1:62" s="23" customFormat="1" ht="21" customHeight="1" thickBot="1" x14ac:dyDescent="0.25">
      <c r="A668" s="846" t="str">
        <f>IF($AN668="","",IFERROR(VLOOKUP(CONCATENATE(CTR1_Billing!$E$20,$AN668),'Local Data Previous Year'!$C$3:$D$20000,2,0),CTR1_Billing!$E$21&amp;"NEW"))</f>
        <v/>
      </c>
      <c r="B668" s="846" t="str">
        <f>IF($E668="","",IFERROR(VLOOKUP(CONCATENATE(CTR1_Billing!$E$20,CTR1_Local!$E668),'Local Data Previous Year'!$C$3:$D$20000,2,0),CTR1_Billing!$E$21&amp;"NEW"))</f>
        <v/>
      </c>
      <c r="C668" s="846">
        <v>636</v>
      </c>
      <c r="D668" s="755" t="str" cm="1">
        <f t="array" ref="D668">IF(ISERROR(INDEX('Local Data Previous Year'!$D$3:$D$20000,SMALL(IF(CTR1_Billing!$E$21='Local Data Previous Year'!$A$3:$A$20000,ROW('Local Data Previous Year'!$A$3:$A$20000)-ROW('Local Data Previous Year'!$A$3)+1),ROW(636:636)))),"",INDEX('Local Data Previous Year'!$D$3:$D$20000,SMALL(IF(CTR1_Billing!$E$21='Local Data Previous Year'!$A$3:$A$20000,ROW('Local Data Previous Year'!$A$3:$A$20000)-ROW('Local Data Previous Year'!$A$3)+1),ROW(636:636))))</f>
        <v/>
      </c>
      <c r="E668" s="755" t="str" cm="1">
        <f t="array" ref="E668">IF(ISERROR(INDEX('Local Data Previous Year'!$E$3:$E$20000,SMALL(IF(CTR1_Billing!$E$21='Local Data Previous Year'!$A$3:$A$20000,ROW('Local Data Previous Year'!$A$3:$A$20000)-ROW('Local Data Previous Year'!$A$3)+1),ROW(636:636)))),"",INDEX('Local Data Previous Year'!$E$3:$E$20000,SMALL(IF(CTR1_Billing!$E$21='Local Data Previous Year'!$A$3:$A$20000,ROW('Local Data Previous Year'!$A$3:$A$20000)-ROW('Local Data Previous Year'!$A$3)+1),ROW(636:636))))</f>
        <v/>
      </c>
      <c r="F668" s="756" t="str">
        <f>IF($D668="","",IF(ISNA(MATCH($D668,'Local Data Previous Year'!$D$3:$D$20000,0)),"New",IFERROR(VLOOKUP($B668,'Local Data Previous Year'!$D$3:$I$20000,6,0),"")))</f>
        <v/>
      </c>
      <c r="G668" s="757">
        <f t="shared" si="112"/>
        <v>0</v>
      </c>
      <c r="H668" s="758" t="str">
        <f>IFERROR(INDEX('Local Data Previous Year'!$F:$F, MATCH($D668, 'Local Data Previous Year'!$D:$D, 0)), "")</f>
        <v/>
      </c>
      <c r="I668" s="759">
        <f>IF(B668=CTR1_Billing!$E$21&amp;"NEW",1,0)</f>
        <v>0</v>
      </c>
      <c r="J668" s="760" t="str">
        <f>IFERROR(INDEX('Local Data Previous Year'!$G:$G, MATCH($D668, 'Local Data Previous Year'!$D:$D, 0)), "")</f>
        <v/>
      </c>
      <c r="K668" s="762"/>
      <c r="L668" s="760" t="str">
        <f>IFERROR(INDEX('Local Data Previous Year'!$H:$H, MATCH($D668, 'Local Data Previous Year'!$D:$D, 0)), "")</f>
        <v/>
      </c>
      <c r="M668" s="762"/>
      <c r="N668" s="763"/>
      <c r="O668" s="767"/>
      <c r="P668" s="765"/>
      <c r="Q668" s="767"/>
      <c r="R668" s="766" t="str">
        <f t="shared" si="127"/>
        <v/>
      </c>
      <c r="S668" s="754"/>
      <c r="T668" s="763"/>
      <c r="U668" s="754"/>
      <c r="V668" s="763"/>
      <c r="W668" s="763"/>
      <c r="X668" s="865" t="str">
        <f>VLOOKUP(CTR1_Billing!$E$21,Data!$C$6:$D$302,1,FALSE)</f>
        <v>EZZZZ</v>
      </c>
      <c r="Y668" s="205"/>
      <c r="Z668" s="205">
        <f t="shared" si="119"/>
        <v>0</v>
      </c>
      <c r="AA668" s="206" t="str">
        <f t="shared" si="118"/>
        <v/>
      </c>
      <c r="AB668" s="205">
        <f t="shared" si="120"/>
        <v>0</v>
      </c>
      <c r="AC668" s="208"/>
      <c r="AD668" s="208"/>
      <c r="AE668" s="208"/>
      <c r="AF668" s="208"/>
      <c r="AG668" s="209" t="str">
        <f>IFERROR(INDEX('Local Data Previous Year'!$F:$F, MATCH($D668, 'Local Data Previous Year'!$D:$D, 0)), "")</f>
        <v/>
      </c>
      <c r="AH668" s="209" t="str">
        <f>IFERROR(INDEX('Local Data Previous Year'!$G:$G, MATCH($D668, 'Local Data Previous Year'!$D:$D, 0)), "")</f>
        <v/>
      </c>
      <c r="AI668" s="209" t="str">
        <f>IFERROR(INDEX('Local Data Previous Year'!$H:$H, MATCH($D668, 'Local Data Previous Year'!$D:$D, 0)), "")</f>
        <v/>
      </c>
      <c r="AJ668" s="209" t="str">
        <f t="shared" si="121"/>
        <v/>
      </c>
      <c r="AK668" s="209" t="str">
        <f t="shared" si="116"/>
        <v/>
      </c>
      <c r="AL668" s="209" t="str">
        <f t="shared" si="117"/>
        <v/>
      </c>
      <c r="AM668" s="208" t="str">
        <f>IF($AN668="","",IFERROR(VLOOKUP(CONCATENATE(CTR1_Billing!$E$20,$AN668),'Local Data Previous Year'!$C$3:$D$50000,2,0),CTR1_Billing!$E$21&amp;"NEW"))</f>
        <v/>
      </c>
      <c r="AN668" s="209" t="str" cm="1">
        <f t="array" ref="AN668">IF(ISERROR(INDEX('Local Data Previous Year'!$E$3:$E$50000, SMALL(IF(CTR1_Billing!$E$21='Local Data Previous Year'!$A$3:$A$50000, ROW('Local Data Previous Year'!$A$3:$A$50000)-ROW('Local Data Previous Year'!$A$3)+1), ROW(636:636)))), "", INDEX('Local Data Previous Year'!$E$3:$E$50000, SMALL(IF(CTR1_Billing!$E$21='Local Data Previous Year'!$A$3:$A$50000, ROW('Local Data Previous Year'!$A$3:$A$50000)-ROW('Local Data Previous Year'!$A$3)+1), ROW(636:636))))</f>
        <v/>
      </c>
      <c r="AO668" s="209" t="str">
        <f t="shared" si="122"/>
        <v/>
      </c>
      <c r="AP668" s="208"/>
      <c r="AQ668" s="209" t="str">
        <f t="shared" si="123"/>
        <v/>
      </c>
      <c r="AR668" s="209" t="str">
        <f t="shared" si="124"/>
        <v/>
      </c>
      <c r="AS668" s="202" t="str">
        <f t="shared" si="125"/>
        <v/>
      </c>
      <c r="AT668" s="202" t="str">
        <f t="shared" si="126"/>
        <v/>
      </c>
      <c r="AU668" s="208"/>
      <c r="AV668" s="208"/>
      <c r="AW668" s="208"/>
      <c r="AX668" s="208"/>
      <c r="AY668" s="208"/>
      <c r="AZ668" s="208"/>
      <c r="BA668" s="208"/>
      <c r="BB668" s="208"/>
      <c r="BC668" s="208"/>
      <c r="BD668" s="208"/>
      <c r="BE668" s="208"/>
      <c r="BF668" s="208"/>
      <c r="BG668" s="28"/>
      <c r="BH668" s="28"/>
      <c r="BI668" s="28"/>
      <c r="BJ668" s="28"/>
    </row>
    <row r="669" spans="1:62" s="23" customFormat="1" ht="21" customHeight="1" thickBot="1" x14ac:dyDescent="0.25">
      <c r="A669" s="846" t="str">
        <f>IF($AN669="","",IFERROR(VLOOKUP(CONCATENATE(CTR1_Billing!$E$20,$AN669),'Local Data Previous Year'!$C$3:$D$20000,2,0),CTR1_Billing!$E$21&amp;"NEW"))</f>
        <v/>
      </c>
      <c r="B669" s="846" t="str">
        <f>IF($E669="","",IFERROR(VLOOKUP(CONCATENATE(CTR1_Billing!$E$20,CTR1_Local!$E669),'Local Data Previous Year'!$C$3:$D$20000,2,0),CTR1_Billing!$E$21&amp;"NEW"))</f>
        <v/>
      </c>
      <c r="C669" s="846">
        <v>637</v>
      </c>
      <c r="D669" s="755" t="str" cm="1">
        <f t="array" ref="D669">IF(ISERROR(INDEX('Local Data Previous Year'!$D$3:$D$20000,SMALL(IF(CTR1_Billing!$E$21='Local Data Previous Year'!$A$3:$A$20000,ROW('Local Data Previous Year'!$A$3:$A$20000)-ROW('Local Data Previous Year'!$A$3)+1),ROW(637:637)))),"",INDEX('Local Data Previous Year'!$D$3:$D$20000,SMALL(IF(CTR1_Billing!$E$21='Local Data Previous Year'!$A$3:$A$20000,ROW('Local Data Previous Year'!$A$3:$A$20000)-ROW('Local Data Previous Year'!$A$3)+1),ROW(637:637))))</f>
        <v/>
      </c>
      <c r="E669" s="755" t="str" cm="1">
        <f t="array" ref="E669">IF(ISERROR(INDEX('Local Data Previous Year'!$E$3:$E$20000,SMALL(IF(CTR1_Billing!$E$21='Local Data Previous Year'!$A$3:$A$20000,ROW('Local Data Previous Year'!$A$3:$A$20000)-ROW('Local Data Previous Year'!$A$3)+1),ROW(637:637)))),"",INDEX('Local Data Previous Year'!$E$3:$E$20000,SMALL(IF(CTR1_Billing!$E$21='Local Data Previous Year'!$A$3:$A$20000,ROW('Local Data Previous Year'!$A$3:$A$20000)-ROW('Local Data Previous Year'!$A$3)+1),ROW(637:637))))</f>
        <v/>
      </c>
      <c r="F669" s="756" t="str">
        <f>IF($D669="","",IF(ISNA(MATCH($D669,'Local Data Previous Year'!$D$3:$D$20000,0)),"New",IFERROR(VLOOKUP($B669,'Local Data Previous Year'!$D$3:$I$20000,6,0),"")))</f>
        <v/>
      </c>
      <c r="G669" s="757">
        <f t="shared" si="112"/>
        <v>0</v>
      </c>
      <c r="H669" s="758" t="str">
        <f>IFERROR(INDEX('Local Data Previous Year'!$F:$F, MATCH($D669, 'Local Data Previous Year'!$D:$D, 0)), "")</f>
        <v/>
      </c>
      <c r="I669" s="759">
        <f>IF(B669=CTR1_Billing!$E$21&amp;"NEW",1,0)</f>
        <v>0</v>
      </c>
      <c r="J669" s="760" t="str">
        <f>IFERROR(INDEX('Local Data Previous Year'!$G:$G, MATCH($D669, 'Local Data Previous Year'!$D:$D, 0)), "")</f>
        <v/>
      </c>
      <c r="K669" s="762"/>
      <c r="L669" s="760" t="str">
        <f>IFERROR(INDEX('Local Data Previous Year'!$H:$H, MATCH($D669, 'Local Data Previous Year'!$D:$D, 0)), "")</f>
        <v/>
      </c>
      <c r="M669" s="762"/>
      <c r="N669" s="763"/>
      <c r="O669" s="767"/>
      <c r="P669" s="765"/>
      <c r="Q669" s="767"/>
      <c r="R669" s="766" t="str">
        <f t="shared" si="127"/>
        <v/>
      </c>
      <c r="S669" s="754"/>
      <c r="T669" s="763"/>
      <c r="U669" s="754"/>
      <c r="V669" s="763"/>
      <c r="W669" s="763"/>
      <c r="X669" s="865" t="str">
        <f>VLOOKUP(CTR1_Billing!$E$21,Data!$C$6:$D$302,1,FALSE)</f>
        <v>EZZZZ</v>
      </c>
      <c r="Y669" s="205"/>
      <c r="Z669" s="205">
        <f t="shared" si="119"/>
        <v>0</v>
      </c>
      <c r="AA669" s="206" t="str">
        <f t="shared" si="118"/>
        <v/>
      </c>
      <c r="AB669" s="205">
        <f t="shared" si="120"/>
        <v>0</v>
      </c>
      <c r="AC669" s="208"/>
      <c r="AD669" s="208"/>
      <c r="AE669" s="208"/>
      <c r="AF669" s="208"/>
      <c r="AG669" s="209" t="str">
        <f>IFERROR(INDEX('Local Data Previous Year'!$F:$F, MATCH($D669, 'Local Data Previous Year'!$D:$D, 0)), "")</f>
        <v/>
      </c>
      <c r="AH669" s="209" t="str">
        <f>IFERROR(INDEX('Local Data Previous Year'!$G:$G, MATCH($D669, 'Local Data Previous Year'!$D:$D, 0)), "")</f>
        <v/>
      </c>
      <c r="AI669" s="209" t="str">
        <f>IFERROR(INDEX('Local Data Previous Year'!$H:$H, MATCH($D669, 'Local Data Previous Year'!$D:$D, 0)), "")</f>
        <v/>
      </c>
      <c r="AJ669" s="209" t="str">
        <f t="shared" si="121"/>
        <v/>
      </c>
      <c r="AK669" s="209" t="str">
        <f t="shared" si="116"/>
        <v/>
      </c>
      <c r="AL669" s="209" t="str">
        <f t="shared" si="117"/>
        <v/>
      </c>
      <c r="AM669" s="208" t="str">
        <f>IF($AN669="","",IFERROR(VLOOKUP(CONCATENATE(CTR1_Billing!$E$20,$AN669),'Local Data Previous Year'!$C$3:$D$50000,2,0),CTR1_Billing!$E$21&amp;"NEW"))</f>
        <v/>
      </c>
      <c r="AN669" s="209" t="str" cm="1">
        <f t="array" ref="AN669">IF(ISERROR(INDEX('Local Data Previous Year'!$E$3:$E$50000, SMALL(IF(CTR1_Billing!$E$21='Local Data Previous Year'!$A$3:$A$50000, ROW('Local Data Previous Year'!$A$3:$A$50000)-ROW('Local Data Previous Year'!$A$3)+1), ROW(637:637)))), "", INDEX('Local Data Previous Year'!$E$3:$E$50000, SMALL(IF(CTR1_Billing!$E$21='Local Data Previous Year'!$A$3:$A$50000, ROW('Local Data Previous Year'!$A$3:$A$50000)-ROW('Local Data Previous Year'!$A$3)+1), ROW(637:637))))</f>
        <v/>
      </c>
      <c r="AO669" s="209" t="str">
        <f t="shared" si="122"/>
        <v/>
      </c>
      <c r="AP669" s="208"/>
      <c r="AQ669" s="209" t="str">
        <f t="shared" si="123"/>
        <v/>
      </c>
      <c r="AR669" s="209" t="str">
        <f t="shared" si="124"/>
        <v/>
      </c>
      <c r="AS669" s="202" t="str">
        <f t="shared" si="125"/>
        <v/>
      </c>
      <c r="AT669" s="202" t="str">
        <f t="shared" si="126"/>
        <v/>
      </c>
      <c r="AU669" s="208"/>
      <c r="AV669" s="208"/>
      <c r="AW669" s="208"/>
      <c r="AX669" s="208"/>
      <c r="AY669" s="208"/>
      <c r="AZ669" s="208"/>
      <c r="BA669" s="208"/>
      <c r="BB669" s="208"/>
      <c r="BC669" s="208"/>
      <c r="BD669" s="208"/>
      <c r="BE669" s="208"/>
      <c r="BF669" s="208"/>
      <c r="BG669" s="28"/>
      <c r="BH669" s="28"/>
      <c r="BI669" s="28"/>
      <c r="BJ669" s="28"/>
    </row>
    <row r="670" spans="1:62" s="23" customFormat="1" ht="21" customHeight="1" thickBot="1" x14ac:dyDescent="0.25">
      <c r="A670" s="846" t="str">
        <f>IF($AN670="","",IFERROR(VLOOKUP(CONCATENATE(CTR1_Billing!$E$20,$AN670),'Local Data Previous Year'!$C$3:$D$20000,2,0),CTR1_Billing!$E$21&amp;"NEW"))</f>
        <v/>
      </c>
      <c r="B670" s="846" t="str">
        <f>IF($E670="","",IFERROR(VLOOKUP(CONCATENATE(CTR1_Billing!$E$20,CTR1_Local!$E670),'Local Data Previous Year'!$C$3:$D$20000,2,0),CTR1_Billing!$E$21&amp;"NEW"))</f>
        <v/>
      </c>
      <c r="C670" s="846">
        <v>638</v>
      </c>
      <c r="D670" s="755" t="str" cm="1">
        <f t="array" ref="D670">IF(ISERROR(INDEX('Local Data Previous Year'!$D$3:$D$20000,SMALL(IF(CTR1_Billing!$E$21='Local Data Previous Year'!$A$3:$A$20000,ROW('Local Data Previous Year'!$A$3:$A$20000)-ROW('Local Data Previous Year'!$A$3)+1),ROW(638:638)))),"",INDEX('Local Data Previous Year'!$D$3:$D$20000,SMALL(IF(CTR1_Billing!$E$21='Local Data Previous Year'!$A$3:$A$20000,ROW('Local Data Previous Year'!$A$3:$A$20000)-ROW('Local Data Previous Year'!$A$3)+1),ROW(638:638))))</f>
        <v/>
      </c>
      <c r="E670" s="755" t="str" cm="1">
        <f t="array" ref="E670">IF(ISERROR(INDEX('Local Data Previous Year'!$E$3:$E$20000,SMALL(IF(CTR1_Billing!$E$21='Local Data Previous Year'!$A$3:$A$20000,ROW('Local Data Previous Year'!$A$3:$A$20000)-ROW('Local Data Previous Year'!$A$3)+1),ROW(638:638)))),"",INDEX('Local Data Previous Year'!$E$3:$E$20000,SMALL(IF(CTR1_Billing!$E$21='Local Data Previous Year'!$A$3:$A$20000,ROW('Local Data Previous Year'!$A$3:$A$20000)-ROW('Local Data Previous Year'!$A$3)+1),ROW(638:638))))</f>
        <v/>
      </c>
      <c r="F670" s="756" t="str">
        <f>IF($D670="","",IF(ISNA(MATCH($D670,'Local Data Previous Year'!$D$3:$D$20000,0)),"New",IFERROR(VLOOKUP($B670,'Local Data Previous Year'!$D$3:$I$20000,6,0),"")))</f>
        <v/>
      </c>
      <c r="G670" s="757">
        <f t="shared" si="112"/>
        <v>0</v>
      </c>
      <c r="H670" s="758" t="str">
        <f>IFERROR(INDEX('Local Data Previous Year'!$F:$F, MATCH($D670, 'Local Data Previous Year'!$D:$D, 0)), "")</f>
        <v/>
      </c>
      <c r="I670" s="759">
        <f>IF(B670=CTR1_Billing!$E$21&amp;"NEW",1,0)</f>
        <v>0</v>
      </c>
      <c r="J670" s="760" t="str">
        <f>IFERROR(INDEX('Local Data Previous Year'!$G:$G, MATCH($D670, 'Local Data Previous Year'!$D:$D, 0)), "")</f>
        <v/>
      </c>
      <c r="K670" s="762"/>
      <c r="L670" s="760" t="str">
        <f>IFERROR(INDEX('Local Data Previous Year'!$H:$H, MATCH($D670, 'Local Data Previous Year'!$D:$D, 0)), "")</f>
        <v/>
      </c>
      <c r="M670" s="762"/>
      <c r="N670" s="763"/>
      <c r="O670" s="767"/>
      <c r="P670" s="765"/>
      <c r="Q670" s="767"/>
      <c r="R670" s="766" t="str">
        <f t="shared" si="127"/>
        <v/>
      </c>
      <c r="S670" s="754"/>
      <c r="T670" s="763"/>
      <c r="U670" s="754"/>
      <c r="V670" s="763"/>
      <c r="W670" s="763"/>
      <c r="X670" s="865" t="str">
        <f>VLOOKUP(CTR1_Billing!$E$21,Data!$C$6:$D$302,1,FALSE)</f>
        <v>EZZZZ</v>
      </c>
      <c r="Y670" s="205"/>
      <c r="Z670" s="205">
        <f t="shared" si="119"/>
        <v>0</v>
      </c>
      <c r="AA670" s="206" t="str">
        <f t="shared" ref="AA670:AA707" si="128">IF(R670="","",IF(R670=0,"ok",IF(R670&lt;&gt;(N670/P670),"error","ok")))</f>
        <v/>
      </c>
      <c r="AB670" s="205">
        <f t="shared" si="120"/>
        <v>0</v>
      </c>
      <c r="AC670" s="208"/>
      <c r="AD670" s="208"/>
      <c r="AE670" s="208"/>
      <c r="AF670" s="208"/>
      <c r="AG670" s="209" t="str">
        <f>IFERROR(INDEX('Local Data Previous Year'!$F:$F, MATCH($D670, 'Local Data Previous Year'!$D:$D, 0)), "")</f>
        <v/>
      </c>
      <c r="AH670" s="209" t="str">
        <f>IFERROR(INDEX('Local Data Previous Year'!$G:$G, MATCH($D670, 'Local Data Previous Year'!$D:$D, 0)), "")</f>
        <v/>
      </c>
      <c r="AI670" s="209" t="str">
        <f>IFERROR(INDEX('Local Data Previous Year'!$H:$H, MATCH($D670, 'Local Data Previous Year'!$D:$D, 0)), "")</f>
        <v/>
      </c>
      <c r="AJ670" s="209" t="str">
        <f t="shared" si="121"/>
        <v/>
      </c>
      <c r="AK670" s="209" t="str">
        <f t="shared" si="116"/>
        <v/>
      </c>
      <c r="AL670" s="209" t="str">
        <f t="shared" si="117"/>
        <v/>
      </c>
      <c r="AM670" s="208" t="str">
        <f>IF($AN670="","",IFERROR(VLOOKUP(CONCATENATE(CTR1_Billing!$E$20,$AN670),'Local Data Previous Year'!$C$3:$D$50000,2,0),CTR1_Billing!$E$21&amp;"NEW"))</f>
        <v/>
      </c>
      <c r="AN670" s="209" t="str" cm="1">
        <f t="array" ref="AN670">IF(ISERROR(INDEX('Local Data Previous Year'!$E$3:$E$50000, SMALL(IF(CTR1_Billing!$E$21='Local Data Previous Year'!$A$3:$A$50000, ROW('Local Data Previous Year'!$A$3:$A$50000)-ROW('Local Data Previous Year'!$A$3)+1), ROW(638:638)))), "", INDEX('Local Data Previous Year'!$E$3:$E$50000, SMALL(IF(CTR1_Billing!$E$21='Local Data Previous Year'!$A$3:$A$50000, ROW('Local Data Previous Year'!$A$3:$A$50000)-ROW('Local Data Previous Year'!$A$3)+1), ROW(638:638))))</f>
        <v/>
      </c>
      <c r="AO670" s="209" t="str">
        <f t="shared" si="122"/>
        <v/>
      </c>
      <c r="AP670" s="208"/>
      <c r="AQ670" s="209" t="str">
        <f t="shared" si="123"/>
        <v/>
      </c>
      <c r="AR670" s="209" t="str">
        <f t="shared" si="124"/>
        <v/>
      </c>
      <c r="AS670" s="202" t="str">
        <f t="shared" si="125"/>
        <v/>
      </c>
      <c r="AT670" s="202" t="str">
        <f t="shared" si="126"/>
        <v/>
      </c>
      <c r="AU670" s="208"/>
      <c r="AV670" s="208"/>
      <c r="AW670" s="208"/>
      <c r="AX670" s="208"/>
      <c r="AY670" s="208"/>
      <c r="AZ670" s="208"/>
      <c r="BA670" s="208"/>
      <c r="BB670" s="208"/>
      <c r="BC670" s="208"/>
      <c r="BD670" s="208"/>
      <c r="BE670" s="208"/>
      <c r="BF670" s="208"/>
      <c r="BG670" s="28"/>
      <c r="BH670" s="28"/>
      <c r="BI670" s="28"/>
      <c r="BJ670" s="28"/>
    </row>
    <row r="671" spans="1:62" s="23" customFormat="1" ht="21" customHeight="1" thickBot="1" x14ac:dyDescent="0.25">
      <c r="A671" s="846" t="str">
        <f>IF($AN671="","",IFERROR(VLOOKUP(CONCATENATE(CTR1_Billing!$E$20,$AN671),'Local Data Previous Year'!$C$3:$D$20000,2,0),CTR1_Billing!$E$21&amp;"NEW"))</f>
        <v/>
      </c>
      <c r="B671" s="846" t="str">
        <f>IF($E671="","",IFERROR(VLOOKUP(CONCATENATE(CTR1_Billing!$E$20,CTR1_Local!$E671),'Local Data Previous Year'!$C$3:$D$20000,2,0),CTR1_Billing!$E$21&amp;"NEW"))</f>
        <v/>
      </c>
      <c r="C671" s="846">
        <v>639</v>
      </c>
      <c r="D671" s="755" t="str" cm="1">
        <f t="array" ref="D671">IF(ISERROR(INDEX('Local Data Previous Year'!$D$3:$D$20000,SMALL(IF(CTR1_Billing!$E$21='Local Data Previous Year'!$A$3:$A$20000,ROW('Local Data Previous Year'!$A$3:$A$20000)-ROW('Local Data Previous Year'!$A$3)+1),ROW(639:639)))),"",INDEX('Local Data Previous Year'!$D$3:$D$20000,SMALL(IF(CTR1_Billing!$E$21='Local Data Previous Year'!$A$3:$A$20000,ROW('Local Data Previous Year'!$A$3:$A$20000)-ROW('Local Data Previous Year'!$A$3)+1),ROW(639:639))))</f>
        <v/>
      </c>
      <c r="E671" s="755" t="str" cm="1">
        <f t="array" ref="E671">IF(ISERROR(INDEX('Local Data Previous Year'!$E$3:$E$20000,SMALL(IF(CTR1_Billing!$E$21='Local Data Previous Year'!$A$3:$A$20000,ROW('Local Data Previous Year'!$A$3:$A$20000)-ROW('Local Data Previous Year'!$A$3)+1),ROW(639:639)))),"",INDEX('Local Data Previous Year'!$E$3:$E$20000,SMALL(IF(CTR1_Billing!$E$21='Local Data Previous Year'!$A$3:$A$20000,ROW('Local Data Previous Year'!$A$3:$A$20000)-ROW('Local Data Previous Year'!$A$3)+1),ROW(639:639))))</f>
        <v/>
      </c>
      <c r="F671" s="756" t="str">
        <f>IF($D671="","",IF(ISNA(MATCH($D671,'Local Data Previous Year'!$D$3:$D$20000,0)),"New",IFERROR(VLOOKUP($B671,'Local Data Previous Year'!$D$3:$I$20000,6,0),"")))</f>
        <v/>
      </c>
      <c r="G671" s="757">
        <f t="shared" si="112"/>
        <v>0</v>
      </c>
      <c r="H671" s="758" t="str">
        <f>IFERROR(INDEX('Local Data Previous Year'!$F:$F, MATCH($D671, 'Local Data Previous Year'!$D:$D, 0)), "")</f>
        <v/>
      </c>
      <c r="I671" s="759">
        <f>IF(B671=CTR1_Billing!$E$21&amp;"NEW",1,0)</f>
        <v>0</v>
      </c>
      <c r="J671" s="760" t="str">
        <f>IFERROR(INDEX('Local Data Previous Year'!$G:$G, MATCH($D671, 'Local Data Previous Year'!$D:$D, 0)), "")</f>
        <v/>
      </c>
      <c r="K671" s="762"/>
      <c r="L671" s="760" t="str">
        <f>IFERROR(INDEX('Local Data Previous Year'!$H:$H, MATCH($D671, 'Local Data Previous Year'!$D:$D, 0)), "")</f>
        <v/>
      </c>
      <c r="M671" s="762"/>
      <c r="N671" s="763"/>
      <c r="O671" s="767"/>
      <c r="P671" s="765"/>
      <c r="Q671" s="767"/>
      <c r="R671" s="766" t="str">
        <f t="shared" si="127"/>
        <v/>
      </c>
      <c r="S671" s="754"/>
      <c r="T671" s="763"/>
      <c r="U671" s="754"/>
      <c r="V671" s="763"/>
      <c r="W671" s="763"/>
      <c r="X671" s="865" t="str">
        <f>VLOOKUP(CTR1_Billing!$E$21,Data!$C$6:$D$302,1,FALSE)</f>
        <v>EZZZZ</v>
      </c>
      <c r="Y671" s="205"/>
      <c r="Z671" s="205">
        <f t="shared" si="119"/>
        <v>0</v>
      </c>
      <c r="AA671" s="206" t="str">
        <f t="shared" si="128"/>
        <v/>
      </c>
      <c r="AB671" s="205">
        <f t="shared" si="120"/>
        <v>0</v>
      </c>
      <c r="AC671" s="208"/>
      <c r="AD671" s="208"/>
      <c r="AE671" s="208"/>
      <c r="AF671" s="208"/>
      <c r="AG671" s="209" t="str">
        <f>IFERROR(INDEX('Local Data Previous Year'!$F:$F, MATCH($D671, 'Local Data Previous Year'!$D:$D, 0)), "")</f>
        <v/>
      </c>
      <c r="AH671" s="209" t="str">
        <f>IFERROR(INDEX('Local Data Previous Year'!$G:$G, MATCH($D671, 'Local Data Previous Year'!$D:$D, 0)), "")</f>
        <v/>
      </c>
      <c r="AI671" s="209" t="str">
        <f>IFERROR(INDEX('Local Data Previous Year'!$H:$H, MATCH($D671, 'Local Data Previous Year'!$D:$D, 0)), "")</f>
        <v/>
      </c>
      <c r="AJ671" s="209" t="str">
        <f t="shared" si="121"/>
        <v/>
      </c>
      <c r="AK671" s="209" t="str">
        <f t="shared" si="116"/>
        <v/>
      </c>
      <c r="AL671" s="209" t="str">
        <f t="shared" si="117"/>
        <v/>
      </c>
      <c r="AM671" s="208" t="str">
        <f>IF($AN671="","",IFERROR(VLOOKUP(CONCATENATE(CTR1_Billing!$E$20,$AN671),'Local Data Previous Year'!$C$3:$D$50000,2,0),CTR1_Billing!$E$21&amp;"NEW"))</f>
        <v/>
      </c>
      <c r="AN671" s="209" t="str" cm="1">
        <f t="array" ref="AN671">IF(ISERROR(INDEX('Local Data Previous Year'!$E$3:$E$50000, SMALL(IF(CTR1_Billing!$E$21='Local Data Previous Year'!$A$3:$A$50000, ROW('Local Data Previous Year'!$A$3:$A$50000)-ROW('Local Data Previous Year'!$A$3)+1), ROW(639:639)))), "", INDEX('Local Data Previous Year'!$E$3:$E$50000, SMALL(IF(CTR1_Billing!$E$21='Local Data Previous Year'!$A$3:$A$50000, ROW('Local Data Previous Year'!$A$3:$A$50000)-ROW('Local Data Previous Year'!$A$3)+1), ROW(639:639))))</f>
        <v/>
      </c>
      <c r="AO671" s="209" t="str">
        <f t="shared" si="122"/>
        <v/>
      </c>
      <c r="AP671" s="208"/>
      <c r="AQ671" s="209" t="str">
        <f t="shared" si="123"/>
        <v/>
      </c>
      <c r="AR671" s="209" t="str">
        <f t="shared" si="124"/>
        <v/>
      </c>
      <c r="AS671" s="202" t="str">
        <f t="shared" si="125"/>
        <v/>
      </c>
      <c r="AT671" s="202" t="str">
        <f t="shared" si="126"/>
        <v/>
      </c>
      <c r="AU671" s="208"/>
      <c r="AV671" s="208"/>
      <c r="AW671" s="208"/>
      <c r="AX671" s="208"/>
      <c r="AY671" s="208"/>
      <c r="AZ671" s="208"/>
      <c r="BA671" s="208"/>
      <c r="BB671" s="208"/>
      <c r="BC671" s="208"/>
      <c r="BD671" s="208"/>
      <c r="BE671" s="208"/>
      <c r="BF671" s="208"/>
      <c r="BG671" s="28"/>
      <c r="BH671" s="28"/>
      <c r="BI671" s="28"/>
      <c r="BJ671" s="28"/>
    </row>
    <row r="672" spans="1:62" s="23" customFormat="1" ht="21" customHeight="1" thickBot="1" x14ac:dyDescent="0.25">
      <c r="A672" s="846" t="str">
        <f>IF($AN672="","",IFERROR(VLOOKUP(CONCATENATE(CTR1_Billing!$E$20,$AN672),'Local Data Previous Year'!$C$3:$D$20000,2,0),CTR1_Billing!$E$21&amp;"NEW"))</f>
        <v/>
      </c>
      <c r="B672" s="846" t="str">
        <f>IF($E672="","",IFERROR(VLOOKUP(CONCATENATE(CTR1_Billing!$E$20,CTR1_Local!$E672),'Local Data Previous Year'!$C$3:$D$20000,2,0),CTR1_Billing!$E$21&amp;"NEW"))</f>
        <v/>
      </c>
      <c r="C672" s="846">
        <v>640</v>
      </c>
      <c r="D672" s="755" t="str" cm="1">
        <f t="array" ref="D672">IF(ISERROR(INDEX('Local Data Previous Year'!$D$3:$D$20000,SMALL(IF(CTR1_Billing!$E$21='Local Data Previous Year'!$A$3:$A$20000,ROW('Local Data Previous Year'!$A$3:$A$20000)-ROW('Local Data Previous Year'!$A$3)+1),ROW(640:640)))),"",INDEX('Local Data Previous Year'!$D$3:$D$20000,SMALL(IF(CTR1_Billing!$E$21='Local Data Previous Year'!$A$3:$A$20000,ROW('Local Data Previous Year'!$A$3:$A$20000)-ROW('Local Data Previous Year'!$A$3)+1),ROW(640:640))))</f>
        <v/>
      </c>
      <c r="E672" s="755" t="str" cm="1">
        <f t="array" ref="E672">IF(ISERROR(INDEX('Local Data Previous Year'!$E$3:$E$20000,SMALL(IF(CTR1_Billing!$E$21='Local Data Previous Year'!$A$3:$A$20000,ROW('Local Data Previous Year'!$A$3:$A$20000)-ROW('Local Data Previous Year'!$A$3)+1),ROW(640:640)))),"",INDEX('Local Data Previous Year'!$E$3:$E$20000,SMALL(IF(CTR1_Billing!$E$21='Local Data Previous Year'!$A$3:$A$20000,ROW('Local Data Previous Year'!$A$3:$A$20000)-ROW('Local Data Previous Year'!$A$3)+1),ROW(640:640))))</f>
        <v/>
      </c>
      <c r="F672" s="756" t="str">
        <f>IF($D672="","",IF(ISNA(MATCH($D672,'Local Data Previous Year'!$D$3:$D$20000,0)),"New",IFERROR(VLOOKUP($B672,'Local Data Previous Year'!$D$3:$I$20000,6,0),"")))</f>
        <v/>
      </c>
      <c r="G672" s="757">
        <f t="shared" si="112"/>
        <v>0</v>
      </c>
      <c r="H672" s="758" t="str">
        <f>IFERROR(INDEX('Local Data Previous Year'!$F:$F, MATCH($D672, 'Local Data Previous Year'!$D:$D, 0)), "")</f>
        <v/>
      </c>
      <c r="I672" s="759">
        <f>IF(B672=CTR1_Billing!$E$21&amp;"NEW",1,0)</f>
        <v>0</v>
      </c>
      <c r="J672" s="760" t="str">
        <f>IFERROR(INDEX('Local Data Previous Year'!$G:$G, MATCH($D672, 'Local Data Previous Year'!$D:$D, 0)), "")</f>
        <v/>
      </c>
      <c r="K672" s="762"/>
      <c r="L672" s="760" t="str">
        <f>IFERROR(INDEX('Local Data Previous Year'!$H:$H, MATCH($D672, 'Local Data Previous Year'!$D:$D, 0)), "")</f>
        <v/>
      </c>
      <c r="M672" s="762"/>
      <c r="N672" s="763"/>
      <c r="O672" s="767"/>
      <c r="P672" s="765"/>
      <c r="Q672" s="767"/>
      <c r="R672" s="766" t="str">
        <f t="shared" si="127"/>
        <v/>
      </c>
      <c r="S672" s="754"/>
      <c r="T672" s="763"/>
      <c r="U672" s="754"/>
      <c r="V672" s="763"/>
      <c r="W672" s="763"/>
      <c r="X672" s="865" t="str">
        <f>VLOOKUP(CTR1_Billing!$E$21,Data!$C$6:$D$302,1,FALSE)</f>
        <v>EZZZZ</v>
      </c>
      <c r="Y672" s="205"/>
      <c r="Z672" s="205">
        <f t="shared" si="119"/>
        <v>0</v>
      </c>
      <c r="AA672" s="206" t="str">
        <f t="shared" si="128"/>
        <v/>
      </c>
      <c r="AB672" s="205">
        <f t="shared" si="120"/>
        <v>0</v>
      </c>
      <c r="AC672" s="208"/>
      <c r="AD672" s="208"/>
      <c r="AE672" s="208"/>
      <c r="AF672" s="208"/>
      <c r="AG672" s="209" t="str">
        <f>IFERROR(INDEX('Local Data Previous Year'!$F:$F, MATCH($D672, 'Local Data Previous Year'!$D:$D, 0)), "")</f>
        <v/>
      </c>
      <c r="AH672" s="209" t="str">
        <f>IFERROR(INDEX('Local Data Previous Year'!$G:$G, MATCH($D672, 'Local Data Previous Year'!$D:$D, 0)), "")</f>
        <v/>
      </c>
      <c r="AI672" s="209" t="str">
        <f>IFERROR(INDEX('Local Data Previous Year'!$H:$H, MATCH($D672, 'Local Data Previous Year'!$D:$D, 0)), "")</f>
        <v/>
      </c>
      <c r="AJ672" s="209" t="str">
        <f t="shared" si="121"/>
        <v/>
      </c>
      <c r="AK672" s="209" t="str">
        <f t="shared" si="116"/>
        <v/>
      </c>
      <c r="AL672" s="209" t="str">
        <f t="shared" si="117"/>
        <v/>
      </c>
      <c r="AM672" s="208" t="str">
        <f>IF($AN672="","",IFERROR(VLOOKUP(CONCATENATE(CTR1_Billing!$E$20,$AN672),'Local Data Previous Year'!$C$3:$D$50000,2,0),CTR1_Billing!$E$21&amp;"NEW"))</f>
        <v/>
      </c>
      <c r="AN672" s="209" t="str" cm="1">
        <f t="array" ref="AN672">IF(ISERROR(INDEX('Local Data Previous Year'!$E$3:$E$50000, SMALL(IF(CTR1_Billing!$E$21='Local Data Previous Year'!$A$3:$A$50000, ROW('Local Data Previous Year'!$A$3:$A$50000)-ROW('Local Data Previous Year'!$A$3)+1), ROW(640:640)))), "", INDEX('Local Data Previous Year'!$E$3:$E$50000, SMALL(IF(CTR1_Billing!$E$21='Local Data Previous Year'!$A$3:$A$50000, ROW('Local Data Previous Year'!$A$3:$A$50000)-ROW('Local Data Previous Year'!$A$3)+1), ROW(640:640))))</f>
        <v/>
      </c>
      <c r="AO672" s="209" t="str">
        <f t="shared" si="122"/>
        <v/>
      </c>
      <c r="AP672" s="208"/>
      <c r="AQ672" s="209" t="str">
        <f t="shared" si="123"/>
        <v/>
      </c>
      <c r="AR672" s="209" t="str">
        <f t="shared" si="124"/>
        <v/>
      </c>
      <c r="AS672" s="202" t="str">
        <f t="shared" si="125"/>
        <v/>
      </c>
      <c r="AT672" s="202" t="str">
        <f t="shared" si="126"/>
        <v/>
      </c>
      <c r="AU672" s="208"/>
      <c r="AV672" s="208"/>
      <c r="AW672" s="208"/>
      <c r="AX672" s="208"/>
      <c r="AY672" s="208"/>
      <c r="AZ672" s="208"/>
      <c r="BA672" s="208"/>
      <c r="BB672" s="208"/>
      <c r="BC672" s="208"/>
      <c r="BD672" s="208"/>
      <c r="BE672" s="208"/>
      <c r="BF672" s="208"/>
      <c r="BG672" s="28"/>
      <c r="BH672" s="28"/>
      <c r="BI672" s="28"/>
      <c r="BJ672" s="28"/>
    </row>
    <row r="673" spans="1:62" s="23" customFormat="1" ht="21" customHeight="1" thickBot="1" x14ac:dyDescent="0.25">
      <c r="A673" s="846" t="str">
        <f>IF($AN673="","",IFERROR(VLOOKUP(CONCATENATE(CTR1_Billing!$E$20,$AN673),'Local Data Previous Year'!$C$3:$D$20000,2,0),CTR1_Billing!$E$21&amp;"NEW"))</f>
        <v/>
      </c>
      <c r="B673" s="846" t="str">
        <f>IF($E673="","",IFERROR(VLOOKUP(CONCATENATE(CTR1_Billing!$E$20,CTR1_Local!$E673),'Local Data Previous Year'!$C$3:$D$20000,2,0),CTR1_Billing!$E$21&amp;"NEW"))</f>
        <v/>
      </c>
      <c r="C673" s="846">
        <v>641</v>
      </c>
      <c r="D673" s="755" t="str" cm="1">
        <f t="array" ref="D673">IF(ISERROR(INDEX('Local Data Previous Year'!$D$3:$D$20000,SMALL(IF(CTR1_Billing!$E$21='Local Data Previous Year'!$A$3:$A$20000,ROW('Local Data Previous Year'!$A$3:$A$20000)-ROW('Local Data Previous Year'!$A$3)+1),ROW(641:641)))),"",INDEX('Local Data Previous Year'!$D$3:$D$20000,SMALL(IF(CTR1_Billing!$E$21='Local Data Previous Year'!$A$3:$A$20000,ROW('Local Data Previous Year'!$A$3:$A$20000)-ROW('Local Data Previous Year'!$A$3)+1),ROW(641:641))))</f>
        <v/>
      </c>
      <c r="E673" s="755" t="str" cm="1">
        <f t="array" ref="E673">IF(ISERROR(INDEX('Local Data Previous Year'!$E$3:$E$20000,SMALL(IF(CTR1_Billing!$E$21='Local Data Previous Year'!$A$3:$A$20000,ROW('Local Data Previous Year'!$A$3:$A$20000)-ROW('Local Data Previous Year'!$A$3)+1),ROW(641:641)))),"",INDEX('Local Data Previous Year'!$E$3:$E$20000,SMALL(IF(CTR1_Billing!$E$21='Local Data Previous Year'!$A$3:$A$20000,ROW('Local Data Previous Year'!$A$3:$A$20000)-ROW('Local Data Previous Year'!$A$3)+1),ROW(641:641))))</f>
        <v/>
      </c>
      <c r="F673" s="756" t="str">
        <f>IF($D673="","",IF(ISNA(MATCH($D673,'Local Data Previous Year'!$D$3:$D$20000,0)),"New",IFERROR(VLOOKUP($B673,'Local Data Previous Year'!$D$3:$I$20000,6,0),"")))</f>
        <v/>
      </c>
      <c r="G673" s="757">
        <f t="shared" si="112"/>
        <v>0</v>
      </c>
      <c r="H673" s="758" t="str">
        <f>IFERROR(INDEX('Local Data Previous Year'!$F:$F, MATCH($D673, 'Local Data Previous Year'!$D:$D, 0)), "")</f>
        <v/>
      </c>
      <c r="I673" s="759">
        <f>IF(B673=CTR1_Billing!$E$21&amp;"NEW",1,0)</f>
        <v>0</v>
      </c>
      <c r="J673" s="760" t="str">
        <f>IFERROR(INDEX('Local Data Previous Year'!$G:$G, MATCH($D673, 'Local Data Previous Year'!$D:$D, 0)), "")</f>
        <v/>
      </c>
      <c r="K673" s="762"/>
      <c r="L673" s="760" t="str">
        <f>IFERROR(INDEX('Local Data Previous Year'!$H:$H, MATCH($D673, 'Local Data Previous Year'!$D:$D, 0)), "")</f>
        <v/>
      </c>
      <c r="M673" s="762"/>
      <c r="N673" s="763"/>
      <c r="O673" s="767"/>
      <c r="P673" s="765"/>
      <c r="Q673" s="767"/>
      <c r="R673" s="766" t="str">
        <f t="shared" si="127"/>
        <v/>
      </c>
      <c r="S673" s="754"/>
      <c r="T673" s="763"/>
      <c r="U673" s="754"/>
      <c r="V673" s="763"/>
      <c r="W673" s="763"/>
      <c r="X673" s="865" t="str">
        <f>VLOOKUP(CTR1_Billing!$E$21,Data!$C$6:$D$302,1,FALSE)</f>
        <v>EZZZZ</v>
      </c>
      <c r="Y673" s="205"/>
      <c r="Z673" s="205">
        <f t="shared" ref="Z673:Z707" si="129">IF(OR(P673&gt;AQ673,P673&lt;AR673),1,0)</f>
        <v>0</v>
      </c>
      <c r="AA673" s="206" t="str">
        <f t="shared" si="128"/>
        <v/>
      </c>
      <c r="AB673" s="205">
        <f t="shared" ref="AB673:AB707" si="130">IF(OR(R673&gt;AS673,R673&lt;AT673),1,0)</f>
        <v>0</v>
      </c>
      <c r="AC673" s="208"/>
      <c r="AD673" s="208"/>
      <c r="AE673" s="208"/>
      <c r="AF673" s="208"/>
      <c r="AG673" s="209" t="str">
        <f>IFERROR(INDEX('Local Data Previous Year'!$F:$F, MATCH($D673, 'Local Data Previous Year'!$D:$D, 0)), "")</f>
        <v/>
      </c>
      <c r="AH673" s="209" t="str">
        <f>IFERROR(INDEX('Local Data Previous Year'!$G:$G, MATCH($D673, 'Local Data Previous Year'!$D:$D, 0)), "")</f>
        <v/>
      </c>
      <c r="AI673" s="209" t="str">
        <f>IFERROR(INDEX('Local Data Previous Year'!$H:$H, MATCH($D673, 'Local Data Previous Year'!$D:$D, 0)), "")</f>
        <v/>
      </c>
      <c r="AJ673" s="209" t="str">
        <f t="shared" ref="AJ673:AJ707" si="131">IF(AG673=H673,"","change")</f>
        <v/>
      </c>
      <c r="AK673" s="209" t="str">
        <f t="shared" si="116"/>
        <v/>
      </c>
      <c r="AL673" s="209" t="str">
        <f t="shared" si="117"/>
        <v/>
      </c>
      <c r="AM673" s="208" t="str">
        <f>IF($AN673="","",IFERROR(VLOOKUP(CONCATENATE(CTR1_Billing!$E$20,$AN673),'Local Data Previous Year'!$C$3:$D$50000,2,0),CTR1_Billing!$E$21&amp;"NEW"))</f>
        <v/>
      </c>
      <c r="AN673" s="209" t="str" cm="1">
        <f t="array" ref="AN673">IF(ISERROR(INDEX('Local Data Previous Year'!$E$3:$E$50000, SMALL(IF(CTR1_Billing!$E$21='Local Data Previous Year'!$A$3:$A$50000, ROW('Local Data Previous Year'!$A$3:$A$50000)-ROW('Local Data Previous Year'!$A$3)+1), ROW(641:641)))), "", INDEX('Local Data Previous Year'!$E$3:$E$50000, SMALL(IF(CTR1_Billing!$E$21='Local Data Previous Year'!$A$3:$A$50000, ROW('Local Data Previous Year'!$A$3:$A$50000)-ROW('Local Data Previous Year'!$A$3)+1), ROW(641:641))))</f>
        <v/>
      </c>
      <c r="AO673" s="209" t="str">
        <f t="shared" ref="AO673:AO707" si="132">IF(AN673=E673,"","change")</f>
        <v/>
      </c>
      <c r="AP673" s="208"/>
      <c r="AQ673" s="209" t="str">
        <f t="shared" ref="AQ673:AQ708" si="133">IFERROR(J673*1.1,"")</f>
        <v/>
      </c>
      <c r="AR673" s="209" t="str">
        <f t="shared" ref="AR673:AR708" si="134">IFERROR(J673*0.9,"")</f>
        <v/>
      </c>
      <c r="AS673" s="202" t="str">
        <f t="shared" ref="AS673:AS708" si="135">IFERROR(L673+20,"")</f>
        <v/>
      </c>
      <c r="AT673" s="202" t="str">
        <f t="shared" ref="AT673:AT708" si="136">IFERROR(L673-20,"")</f>
        <v/>
      </c>
      <c r="AU673" s="208"/>
      <c r="AV673" s="208"/>
      <c r="AW673" s="208"/>
      <c r="AX673" s="208"/>
      <c r="AY673" s="208"/>
      <c r="AZ673" s="208"/>
      <c r="BA673" s="208"/>
      <c r="BB673" s="208"/>
      <c r="BC673" s="208"/>
      <c r="BD673" s="208"/>
      <c r="BE673" s="208"/>
      <c r="BF673" s="208"/>
      <c r="BG673" s="28"/>
      <c r="BH673" s="28"/>
      <c r="BI673" s="28"/>
      <c r="BJ673" s="28"/>
    </row>
    <row r="674" spans="1:62" s="23" customFormat="1" ht="21" customHeight="1" thickBot="1" x14ac:dyDescent="0.25">
      <c r="A674" s="846" t="str">
        <f>IF($AN674="","",IFERROR(VLOOKUP(CONCATENATE(CTR1_Billing!$E$20,$AN674),'Local Data Previous Year'!$C$3:$D$20000,2,0),CTR1_Billing!$E$21&amp;"NEW"))</f>
        <v/>
      </c>
      <c r="B674" s="846" t="str">
        <f>IF($E674="","",IFERROR(VLOOKUP(CONCATENATE(CTR1_Billing!$E$20,CTR1_Local!$E674),'Local Data Previous Year'!$C$3:$D$20000,2,0),CTR1_Billing!$E$21&amp;"NEW"))</f>
        <v/>
      </c>
      <c r="C674" s="846">
        <v>642</v>
      </c>
      <c r="D674" s="755" t="str" cm="1">
        <f t="array" ref="D674">IF(ISERROR(INDEX('Local Data Previous Year'!$D$3:$D$20000,SMALL(IF(CTR1_Billing!$E$21='Local Data Previous Year'!$A$3:$A$20000,ROW('Local Data Previous Year'!$A$3:$A$20000)-ROW('Local Data Previous Year'!$A$3)+1),ROW(642:642)))),"",INDEX('Local Data Previous Year'!$D$3:$D$20000,SMALL(IF(CTR1_Billing!$E$21='Local Data Previous Year'!$A$3:$A$20000,ROW('Local Data Previous Year'!$A$3:$A$20000)-ROW('Local Data Previous Year'!$A$3)+1),ROW(642:642))))</f>
        <v/>
      </c>
      <c r="E674" s="755" t="str" cm="1">
        <f t="array" ref="E674">IF(ISERROR(INDEX('Local Data Previous Year'!$E$3:$E$20000,SMALL(IF(CTR1_Billing!$E$21='Local Data Previous Year'!$A$3:$A$20000,ROW('Local Data Previous Year'!$A$3:$A$20000)-ROW('Local Data Previous Year'!$A$3)+1),ROW(642:642)))),"",INDEX('Local Data Previous Year'!$E$3:$E$20000,SMALL(IF(CTR1_Billing!$E$21='Local Data Previous Year'!$A$3:$A$20000,ROW('Local Data Previous Year'!$A$3:$A$20000)-ROW('Local Data Previous Year'!$A$3)+1),ROW(642:642))))</f>
        <v/>
      </c>
      <c r="F674" s="756" t="str">
        <f>IF($D674="","",IF(ISNA(MATCH($D674,'Local Data Previous Year'!$D$3:$D$20000,0)),"New",IFERROR(VLOOKUP($B674,'Local Data Previous Year'!$D$3:$I$20000,6,0),"")))</f>
        <v/>
      </c>
      <c r="G674" s="757">
        <f t="shared" si="112"/>
        <v>0</v>
      </c>
      <c r="H674" s="758" t="str">
        <f>IFERROR(INDEX('Local Data Previous Year'!$F:$F, MATCH($D674, 'Local Data Previous Year'!$D:$D, 0)), "")</f>
        <v/>
      </c>
      <c r="I674" s="759">
        <f>IF(B674=CTR1_Billing!$E$21&amp;"NEW",1,0)</f>
        <v>0</v>
      </c>
      <c r="J674" s="760" t="str">
        <f>IFERROR(INDEX('Local Data Previous Year'!$G:$G, MATCH($D674, 'Local Data Previous Year'!$D:$D, 0)), "")</f>
        <v/>
      </c>
      <c r="K674" s="762"/>
      <c r="L674" s="760" t="str">
        <f>IFERROR(INDEX('Local Data Previous Year'!$H:$H, MATCH($D674, 'Local Data Previous Year'!$D:$D, 0)), "")</f>
        <v/>
      </c>
      <c r="M674" s="762"/>
      <c r="N674" s="763"/>
      <c r="O674" s="767"/>
      <c r="P674" s="765"/>
      <c r="Q674" s="767"/>
      <c r="R674" s="766" t="str">
        <f t="shared" si="127"/>
        <v/>
      </c>
      <c r="S674" s="754"/>
      <c r="T674" s="763"/>
      <c r="U674" s="754"/>
      <c r="V674" s="763"/>
      <c r="W674" s="763"/>
      <c r="X674" s="865" t="str">
        <f>VLOOKUP(CTR1_Billing!$E$21,Data!$C$6:$D$302,1,FALSE)</f>
        <v>EZZZZ</v>
      </c>
      <c r="Y674" s="205"/>
      <c r="Z674" s="205">
        <f t="shared" si="129"/>
        <v>0</v>
      </c>
      <c r="AA674" s="206" t="str">
        <f t="shared" si="128"/>
        <v/>
      </c>
      <c r="AB674" s="205">
        <f t="shared" si="130"/>
        <v>0</v>
      </c>
      <c r="AC674" s="208"/>
      <c r="AD674" s="208"/>
      <c r="AE674" s="208"/>
      <c r="AF674" s="208"/>
      <c r="AG674" s="209" t="str">
        <f>IFERROR(INDEX('Local Data Previous Year'!$F:$F, MATCH($D674, 'Local Data Previous Year'!$D:$D, 0)), "")</f>
        <v/>
      </c>
      <c r="AH674" s="209" t="str">
        <f>IFERROR(INDEX('Local Data Previous Year'!$G:$G, MATCH($D674, 'Local Data Previous Year'!$D:$D, 0)), "")</f>
        <v/>
      </c>
      <c r="AI674" s="209" t="str">
        <f>IFERROR(INDEX('Local Data Previous Year'!$H:$H, MATCH($D674, 'Local Data Previous Year'!$D:$D, 0)), "")</f>
        <v/>
      </c>
      <c r="AJ674" s="209" t="str">
        <f t="shared" si="131"/>
        <v/>
      </c>
      <c r="AK674" s="209" t="str">
        <f t="shared" si="116"/>
        <v/>
      </c>
      <c r="AL674" s="209" t="str">
        <f t="shared" si="117"/>
        <v/>
      </c>
      <c r="AM674" s="208" t="str">
        <f>IF($AN674="","",IFERROR(VLOOKUP(CONCATENATE(CTR1_Billing!$E$20,$AN674),'Local Data Previous Year'!$C$3:$D$50000,2,0),CTR1_Billing!$E$21&amp;"NEW"))</f>
        <v/>
      </c>
      <c r="AN674" s="209" t="str" cm="1">
        <f t="array" ref="AN674">IF(ISERROR(INDEX('Local Data Previous Year'!$E$3:$E$50000, SMALL(IF(CTR1_Billing!$E$21='Local Data Previous Year'!$A$3:$A$50000, ROW('Local Data Previous Year'!$A$3:$A$50000)-ROW('Local Data Previous Year'!$A$3)+1), ROW(642:642)))), "", INDEX('Local Data Previous Year'!$E$3:$E$50000, SMALL(IF(CTR1_Billing!$E$21='Local Data Previous Year'!$A$3:$A$50000, ROW('Local Data Previous Year'!$A$3:$A$50000)-ROW('Local Data Previous Year'!$A$3)+1), ROW(642:642))))</f>
        <v/>
      </c>
      <c r="AO674" s="209" t="str">
        <f t="shared" si="132"/>
        <v/>
      </c>
      <c r="AP674" s="208"/>
      <c r="AQ674" s="209" t="str">
        <f t="shared" si="133"/>
        <v/>
      </c>
      <c r="AR674" s="209" t="str">
        <f t="shared" si="134"/>
        <v/>
      </c>
      <c r="AS674" s="202" t="str">
        <f t="shared" si="135"/>
        <v/>
      </c>
      <c r="AT674" s="202" t="str">
        <f t="shared" si="136"/>
        <v/>
      </c>
      <c r="AU674" s="208"/>
      <c r="AV674" s="208"/>
      <c r="AW674" s="208"/>
      <c r="AX674" s="208"/>
      <c r="AY674" s="208"/>
      <c r="AZ674" s="208"/>
      <c r="BA674" s="208"/>
      <c r="BB674" s="208"/>
      <c r="BC674" s="208"/>
      <c r="BD674" s="208"/>
      <c r="BE674" s="208"/>
      <c r="BF674" s="208"/>
      <c r="BG674" s="28"/>
      <c r="BH674" s="28"/>
      <c r="BI674" s="28"/>
      <c r="BJ674" s="28"/>
    </row>
    <row r="675" spans="1:62" s="23" customFormat="1" ht="21" customHeight="1" thickBot="1" x14ac:dyDescent="0.25">
      <c r="A675" s="846" t="str">
        <f>IF($AN675="","",IFERROR(VLOOKUP(CONCATENATE(CTR1_Billing!$E$20,$AN675),'Local Data Previous Year'!$C$3:$D$20000,2,0),CTR1_Billing!$E$21&amp;"NEW"))</f>
        <v/>
      </c>
      <c r="B675" s="846" t="str">
        <f>IF($E675="","",IFERROR(VLOOKUP(CONCATENATE(CTR1_Billing!$E$20,CTR1_Local!$E675),'Local Data Previous Year'!$C$3:$D$20000,2,0),CTR1_Billing!$E$21&amp;"NEW"))</f>
        <v/>
      </c>
      <c r="C675" s="846">
        <v>643</v>
      </c>
      <c r="D675" s="755" t="str" cm="1">
        <f t="array" ref="D675">IF(ISERROR(INDEX('Local Data Previous Year'!$D$3:$D$20000,SMALL(IF(CTR1_Billing!$E$21='Local Data Previous Year'!$A$3:$A$20000,ROW('Local Data Previous Year'!$A$3:$A$20000)-ROW('Local Data Previous Year'!$A$3)+1),ROW(643:643)))),"",INDEX('Local Data Previous Year'!$D$3:$D$20000,SMALL(IF(CTR1_Billing!$E$21='Local Data Previous Year'!$A$3:$A$20000,ROW('Local Data Previous Year'!$A$3:$A$20000)-ROW('Local Data Previous Year'!$A$3)+1),ROW(643:643))))</f>
        <v/>
      </c>
      <c r="E675" s="755" t="str" cm="1">
        <f t="array" ref="E675">IF(ISERROR(INDEX('Local Data Previous Year'!$E$3:$E$20000,SMALL(IF(CTR1_Billing!$E$21='Local Data Previous Year'!$A$3:$A$20000,ROW('Local Data Previous Year'!$A$3:$A$20000)-ROW('Local Data Previous Year'!$A$3)+1),ROW(643:643)))),"",INDEX('Local Data Previous Year'!$E$3:$E$20000,SMALL(IF(CTR1_Billing!$E$21='Local Data Previous Year'!$A$3:$A$20000,ROW('Local Data Previous Year'!$A$3:$A$20000)-ROW('Local Data Previous Year'!$A$3)+1),ROW(643:643))))</f>
        <v/>
      </c>
      <c r="F675" s="756" t="str">
        <f>IF($D675="","",IF(ISNA(MATCH($D675,'Local Data Previous Year'!$D$3:$D$20000,0)),"New",IFERROR(VLOOKUP($B675,'Local Data Previous Year'!$D$3:$I$20000,6,0),"")))</f>
        <v/>
      </c>
      <c r="G675" s="757">
        <f t="shared" si="112"/>
        <v>0</v>
      </c>
      <c r="H675" s="758" t="str">
        <f>IFERROR(INDEX('Local Data Previous Year'!$F:$F, MATCH($D675, 'Local Data Previous Year'!$D:$D, 0)), "")</f>
        <v/>
      </c>
      <c r="I675" s="759">
        <f>IF(B675=CTR1_Billing!$E$21&amp;"NEW",1,0)</f>
        <v>0</v>
      </c>
      <c r="J675" s="760" t="str">
        <f>IFERROR(INDEX('Local Data Previous Year'!$G:$G, MATCH($D675, 'Local Data Previous Year'!$D:$D, 0)), "")</f>
        <v/>
      </c>
      <c r="K675" s="762"/>
      <c r="L675" s="760" t="str">
        <f>IFERROR(INDEX('Local Data Previous Year'!$H:$H, MATCH($D675, 'Local Data Previous Year'!$D:$D, 0)), "")</f>
        <v/>
      </c>
      <c r="M675" s="762"/>
      <c r="N675" s="763"/>
      <c r="O675" s="767"/>
      <c r="P675" s="765"/>
      <c r="Q675" s="767"/>
      <c r="R675" s="766" t="str">
        <f t="shared" ref="R675:R707" si="137">+IF(N675="","",IF(N675+P675=0,0,+N675/P675))</f>
        <v/>
      </c>
      <c r="S675" s="754"/>
      <c r="T675" s="763"/>
      <c r="U675" s="754"/>
      <c r="V675" s="763"/>
      <c r="W675" s="763"/>
      <c r="X675" s="865" t="str">
        <f>VLOOKUP(CTR1_Billing!$E$21,Data!$C$6:$D$302,1,FALSE)</f>
        <v>EZZZZ</v>
      </c>
      <c r="Y675" s="205"/>
      <c r="Z675" s="205">
        <f t="shared" si="129"/>
        <v>0</v>
      </c>
      <c r="AA675" s="206" t="str">
        <f t="shared" si="128"/>
        <v/>
      </c>
      <c r="AB675" s="205">
        <f t="shared" si="130"/>
        <v>0</v>
      </c>
      <c r="AC675" s="208"/>
      <c r="AD675" s="208"/>
      <c r="AE675" s="208"/>
      <c r="AF675" s="208"/>
      <c r="AG675" s="209" t="str">
        <f>IFERROR(INDEX('Local Data Previous Year'!$F:$F, MATCH($D675, 'Local Data Previous Year'!$D:$D, 0)), "")</f>
        <v/>
      </c>
      <c r="AH675" s="209" t="str">
        <f>IFERROR(INDEX('Local Data Previous Year'!$G:$G, MATCH($D675, 'Local Data Previous Year'!$D:$D, 0)), "")</f>
        <v/>
      </c>
      <c r="AI675" s="209" t="str">
        <f>IFERROR(INDEX('Local Data Previous Year'!$H:$H, MATCH($D675, 'Local Data Previous Year'!$D:$D, 0)), "")</f>
        <v/>
      </c>
      <c r="AJ675" s="209" t="str">
        <f t="shared" si="131"/>
        <v/>
      </c>
      <c r="AK675" s="209" t="str">
        <f t="shared" si="116"/>
        <v/>
      </c>
      <c r="AL675" s="209" t="str">
        <f t="shared" si="117"/>
        <v/>
      </c>
      <c r="AM675" s="208" t="str">
        <f>IF($AN675="","",IFERROR(VLOOKUP(CONCATENATE(CTR1_Billing!$E$20,$AN675),'Local Data Previous Year'!$C$3:$D$50000,2,0),CTR1_Billing!$E$21&amp;"NEW"))</f>
        <v/>
      </c>
      <c r="AN675" s="209" t="str" cm="1">
        <f t="array" ref="AN675">IF(ISERROR(INDEX('Local Data Previous Year'!$E$3:$E$50000, SMALL(IF(CTR1_Billing!$E$21='Local Data Previous Year'!$A$3:$A$50000, ROW('Local Data Previous Year'!$A$3:$A$50000)-ROW('Local Data Previous Year'!$A$3)+1), ROW(643:643)))), "", INDEX('Local Data Previous Year'!$E$3:$E$50000, SMALL(IF(CTR1_Billing!$E$21='Local Data Previous Year'!$A$3:$A$50000, ROW('Local Data Previous Year'!$A$3:$A$50000)-ROW('Local Data Previous Year'!$A$3)+1), ROW(643:643))))</f>
        <v/>
      </c>
      <c r="AO675" s="209" t="str">
        <f t="shared" si="132"/>
        <v/>
      </c>
      <c r="AP675" s="208"/>
      <c r="AQ675" s="209" t="str">
        <f t="shared" si="133"/>
        <v/>
      </c>
      <c r="AR675" s="209" t="str">
        <f t="shared" si="134"/>
        <v/>
      </c>
      <c r="AS675" s="202" t="str">
        <f t="shared" si="135"/>
        <v/>
      </c>
      <c r="AT675" s="202" t="str">
        <f t="shared" si="136"/>
        <v/>
      </c>
      <c r="AU675" s="208"/>
      <c r="AV675" s="208"/>
      <c r="AW675" s="208"/>
      <c r="AX675" s="208"/>
      <c r="AY675" s="208"/>
      <c r="AZ675" s="208"/>
      <c r="BA675" s="208"/>
      <c r="BB675" s="208"/>
      <c r="BC675" s="208"/>
      <c r="BD675" s="208"/>
      <c r="BE675" s="208"/>
      <c r="BF675" s="208"/>
      <c r="BG675" s="28"/>
      <c r="BH675" s="28"/>
      <c r="BI675" s="28"/>
      <c r="BJ675" s="28"/>
    </row>
    <row r="676" spans="1:62" s="23" customFormat="1" ht="21" customHeight="1" thickBot="1" x14ac:dyDescent="0.25">
      <c r="A676" s="846" t="str">
        <f>IF($AN676="","",IFERROR(VLOOKUP(CONCATENATE(CTR1_Billing!$E$20,$AN676),'Local Data Previous Year'!$C$3:$D$20000,2,0),CTR1_Billing!$E$21&amp;"NEW"))</f>
        <v/>
      </c>
      <c r="B676" s="846" t="str">
        <f>IF($E676="","",IFERROR(VLOOKUP(CONCATENATE(CTR1_Billing!$E$20,CTR1_Local!$E676),'Local Data Previous Year'!$C$3:$D$20000,2,0),CTR1_Billing!$E$21&amp;"NEW"))</f>
        <v/>
      </c>
      <c r="C676" s="846">
        <v>644</v>
      </c>
      <c r="D676" s="755" t="str" cm="1">
        <f t="array" ref="D676">IF(ISERROR(INDEX('Local Data Previous Year'!$D$3:$D$20000,SMALL(IF(CTR1_Billing!$E$21='Local Data Previous Year'!$A$3:$A$20000,ROW('Local Data Previous Year'!$A$3:$A$20000)-ROW('Local Data Previous Year'!$A$3)+1),ROW(644:644)))),"",INDEX('Local Data Previous Year'!$D$3:$D$20000,SMALL(IF(CTR1_Billing!$E$21='Local Data Previous Year'!$A$3:$A$20000,ROW('Local Data Previous Year'!$A$3:$A$20000)-ROW('Local Data Previous Year'!$A$3)+1),ROW(644:644))))</f>
        <v/>
      </c>
      <c r="E676" s="755" t="str" cm="1">
        <f t="array" ref="E676">IF(ISERROR(INDEX('Local Data Previous Year'!$E$3:$E$20000,SMALL(IF(CTR1_Billing!$E$21='Local Data Previous Year'!$A$3:$A$20000,ROW('Local Data Previous Year'!$A$3:$A$20000)-ROW('Local Data Previous Year'!$A$3)+1),ROW(644:644)))),"",INDEX('Local Data Previous Year'!$E$3:$E$20000,SMALL(IF(CTR1_Billing!$E$21='Local Data Previous Year'!$A$3:$A$20000,ROW('Local Data Previous Year'!$A$3:$A$20000)-ROW('Local Data Previous Year'!$A$3)+1),ROW(644:644))))</f>
        <v/>
      </c>
      <c r="F676" s="756" t="str">
        <f>IF($D676="","",IF(ISNA(MATCH($D676,'Local Data Previous Year'!$D$3:$D$20000,0)),"New",IFERROR(VLOOKUP($B676,'Local Data Previous Year'!$D$3:$I$20000,6,0),"")))</f>
        <v/>
      </c>
      <c r="G676" s="757">
        <f t="shared" si="112"/>
        <v>0</v>
      </c>
      <c r="H676" s="758" t="str">
        <f>IFERROR(INDEX('Local Data Previous Year'!$F:$F, MATCH($D676, 'Local Data Previous Year'!$D:$D, 0)), "")</f>
        <v/>
      </c>
      <c r="I676" s="759">
        <f>IF(B676=CTR1_Billing!$E$21&amp;"NEW",1,0)</f>
        <v>0</v>
      </c>
      <c r="J676" s="760" t="str">
        <f>IFERROR(INDEX('Local Data Previous Year'!$G:$G, MATCH($D676, 'Local Data Previous Year'!$D:$D, 0)), "")</f>
        <v/>
      </c>
      <c r="K676" s="762"/>
      <c r="L676" s="760" t="str">
        <f>IFERROR(INDEX('Local Data Previous Year'!$H:$H, MATCH($D676, 'Local Data Previous Year'!$D:$D, 0)), "")</f>
        <v/>
      </c>
      <c r="M676" s="762"/>
      <c r="N676" s="763"/>
      <c r="O676" s="767"/>
      <c r="P676" s="765"/>
      <c r="Q676" s="767"/>
      <c r="R676" s="766" t="str">
        <f t="shared" si="137"/>
        <v/>
      </c>
      <c r="S676" s="754"/>
      <c r="T676" s="763"/>
      <c r="U676" s="754"/>
      <c r="V676" s="763"/>
      <c r="W676" s="763"/>
      <c r="X676" s="865" t="str">
        <f>VLOOKUP(CTR1_Billing!$E$21,Data!$C$6:$D$302,1,FALSE)</f>
        <v>EZZZZ</v>
      </c>
      <c r="Y676" s="205"/>
      <c r="Z676" s="205">
        <f t="shared" si="129"/>
        <v>0</v>
      </c>
      <c r="AA676" s="206" t="str">
        <f t="shared" si="128"/>
        <v/>
      </c>
      <c r="AB676" s="205">
        <f t="shared" si="130"/>
        <v>0</v>
      </c>
      <c r="AC676" s="208"/>
      <c r="AD676" s="208"/>
      <c r="AE676" s="208"/>
      <c r="AF676" s="208"/>
      <c r="AG676" s="209" t="str">
        <f>IFERROR(INDEX('Local Data Previous Year'!$F:$F, MATCH($D676, 'Local Data Previous Year'!$D:$D, 0)), "")</f>
        <v/>
      </c>
      <c r="AH676" s="209" t="str">
        <f>IFERROR(INDEX('Local Data Previous Year'!$G:$G, MATCH($D676, 'Local Data Previous Year'!$D:$D, 0)), "")</f>
        <v/>
      </c>
      <c r="AI676" s="209" t="str">
        <f>IFERROR(INDEX('Local Data Previous Year'!$H:$H, MATCH($D676, 'Local Data Previous Year'!$D:$D, 0)), "")</f>
        <v/>
      </c>
      <c r="AJ676" s="209" t="str">
        <f t="shared" si="131"/>
        <v/>
      </c>
      <c r="AK676" s="209" t="str">
        <f t="shared" si="116"/>
        <v/>
      </c>
      <c r="AL676" s="209" t="str">
        <f t="shared" si="117"/>
        <v/>
      </c>
      <c r="AM676" s="208" t="str">
        <f>IF($AN676="","",IFERROR(VLOOKUP(CONCATENATE(CTR1_Billing!$E$20,$AN676),'Local Data Previous Year'!$C$3:$D$50000,2,0),CTR1_Billing!$E$21&amp;"NEW"))</f>
        <v/>
      </c>
      <c r="AN676" s="209" t="str" cm="1">
        <f t="array" ref="AN676">IF(ISERROR(INDEX('Local Data Previous Year'!$E$3:$E$50000, SMALL(IF(CTR1_Billing!$E$21='Local Data Previous Year'!$A$3:$A$50000, ROW('Local Data Previous Year'!$A$3:$A$50000)-ROW('Local Data Previous Year'!$A$3)+1), ROW(644:644)))), "", INDEX('Local Data Previous Year'!$E$3:$E$50000, SMALL(IF(CTR1_Billing!$E$21='Local Data Previous Year'!$A$3:$A$50000, ROW('Local Data Previous Year'!$A$3:$A$50000)-ROW('Local Data Previous Year'!$A$3)+1), ROW(644:644))))</f>
        <v/>
      </c>
      <c r="AO676" s="209" t="str">
        <f t="shared" si="132"/>
        <v/>
      </c>
      <c r="AP676" s="208"/>
      <c r="AQ676" s="209" t="str">
        <f t="shared" si="133"/>
        <v/>
      </c>
      <c r="AR676" s="209" t="str">
        <f t="shared" si="134"/>
        <v/>
      </c>
      <c r="AS676" s="202" t="str">
        <f t="shared" si="135"/>
        <v/>
      </c>
      <c r="AT676" s="202" t="str">
        <f t="shared" si="136"/>
        <v/>
      </c>
      <c r="AU676" s="208"/>
      <c r="AV676" s="208"/>
      <c r="AW676" s="208"/>
      <c r="AX676" s="208"/>
      <c r="AY676" s="208"/>
      <c r="AZ676" s="208"/>
      <c r="BA676" s="208"/>
      <c r="BB676" s="208"/>
      <c r="BC676" s="208"/>
      <c r="BD676" s="208"/>
      <c r="BE676" s="208"/>
      <c r="BF676" s="208"/>
      <c r="BG676" s="28"/>
      <c r="BH676" s="28"/>
      <c r="BI676" s="28"/>
      <c r="BJ676" s="28"/>
    </row>
    <row r="677" spans="1:62" s="23" customFormat="1" ht="21" customHeight="1" thickBot="1" x14ac:dyDescent="0.25">
      <c r="A677" s="846" t="str">
        <f>IF($AN677="","",IFERROR(VLOOKUP(CONCATENATE(CTR1_Billing!$E$20,$AN677),'Local Data Previous Year'!$C$3:$D$20000,2,0),CTR1_Billing!$E$21&amp;"NEW"))</f>
        <v/>
      </c>
      <c r="B677" s="846" t="str">
        <f>IF($E677="","",IFERROR(VLOOKUP(CONCATENATE(CTR1_Billing!$E$20,CTR1_Local!$E677),'Local Data Previous Year'!$C$3:$D$20000,2,0),CTR1_Billing!$E$21&amp;"NEW"))</f>
        <v/>
      </c>
      <c r="C677" s="846">
        <v>645</v>
      </c>
      <c r="D677" s="755" t="str" cm="1">
        <f t="array" ref="D677">IF(ISERROR(INDEX('Local Data Previous Year'!$D$3:$D$20000,SMALL(IF(CTR1_Billing!$E$21='Local Data Previous Year'!$A$3:$A$20000,ROW('Local Data Previous Year'!$A$3:$A$20000)-ROW('Local Data Previous Year'!$A$3)+1),ROW(645:645)))),"",INDEX('Local Data Previous Year'!$D$3:$D$20000,SMALL(IF(CTR1_Billing!$E$21='Local Data Previous Year'!$A$3:$A$20000,ROW('Local Data Previous Year'!$A$3:$A$20000)-ROW('Local Data Previous Year'!$A$3)+1),ROW(645:645))))</f>
        <v/>
      </c>
      <c r="E677" s="755" t="str" cm="1">
        <f t="array" ref="E677">IF(ISERROR(INDEX('Local Data Previous Year'!$E$3:$E$20000,SMALL(IF(CTR1_Billing!$E$21='Local Data Previous Year'!$A$3:$A$20000,ROW('Local Data Previous Year'!$A$3:$A$20000)-ROW('Local Data Previous Year'!$A$3)+1),ROW(645:645)))),"",INDEX('Local Data Previous Year'!$E$3:$E$20000,SMALL(IF(CTR1_Billing!$E$21='Local Data Previous Year'!$A$3:$A$20000,ROW('Local Data Previous Year'!$A$3:$A$20000)-ROW('Local Data Previous Year'!$A$3)+1),ROW(645:645))))</f>
        <v/>
      </c>
      <c r="F677" s="756" t="str">
        <f>IF($D677="","",IF(ISNA(MATCH($D677,'Local Data Previous Year'!$D$3:$D$20000,0)),"New",IFERROR(VLOOKUP($B677,'Local Data Previous Year'!$D$3:$I$20000,6,0),"")))</f>
        <v/>
      </c>
      <c r="G677" s="757">
        <f t="shared" si="112"/>
        <v>0</v>
      </c>
      <c r="H677" s="758" t="str">
        <f>IFERROR(INDEX('Local Data Previous Year'!$F:$F, MATCH($D677, 'Local Data Previous Year'!$D:$D, 0)), "")</f>
        <v/>
      </c>
      <c r="I677" s="759">
        <f>IF(B677=CTR1_Billing!$E$21&amp;"NEW",1,0)</f>
        <v>0</v>
      </c>
      <c r="J677" s="760" t="str">
        <f>IFERROR(INDEX('Local Data Previous Year'!$G:$G, MATCH($D677, 'Local Data Previous Year'!$D:$D, 0)), "")</f>
        <v/>
      </c>
      <c r="K677" s="762"/>
      <c r="L677" s="760" t="str">
        <f>IFERROR(INDEX('Local Data Previous Year'!$H:$H, MATCH($D677, 'Local Data Previous Year'!$D:$D, 0)), "")</f>
        <v/>
      </c>
      <c r="M677" s="762"/>
      <c r="N677" s="763"/>
      <c r="O677" s="767"/>
      <c r="P677" s="765"/>
      <c r="Q677" s="767"/>
      <c r="R677" s="766" t="str">
        <f t="shared" si="137"/>
        <v/>
      </c>
      <c r="S677" s="754"/>
      <c r="T677" s="763"/>
      <c r="U677" s="754"/>
      <c r="V677" s="763"/>
      <c r="W677" s="763"/>
      <c r="X677" s="865" t="str">
        <f>VLOOKUP(CTR1_Billing!$E$21,Data!$C$6:$D$302,1,FALSE)</f>
        <v>EZZZZ</v>
      </c>
      <c r="Y677" s="205"/>
      <c r="Z677" s="205">
        <f t="shared" si="129"/>
        <v>0</v>
      </c>
      <c r="AA677" s="206" t="str">
        <f t="shared" si="128"/>
        <v/>
      </c>
      <c r="AB677" s="205">
        <f t="shared" si="130"/>
        <v>0</v>
      </c>
      <c r="AC677" s="208"/>
      <c r="AD677" s="208"/>
      <c r="AE677" s="208"/>
      <c r="AF677" s="208"/>
      <c r="AG677" s="209" t="str">
        <f>IFERROR(INDEX('Local Data Previous Year'!$F:$F, MATCH($D677, 'Local Data Previous Year'!$D:$D, 0)), "")</f>
        <v/>
      </c>
      <c r="AH677" s="209" t="str">
        <f>IFERROR(INDEX('Local Data Previous Year'!$G:$G, MATCH($D677, 'Local Data Previous Year'!$D:$D, 0)), "")</f>
        <v/>
      </c>
      <c r="AI677" s="209" t="str">
        <f>IFERROR(INDEX('Local Data Previous Year'!$H:$H, MATCH($D677, 'Local Data Previous Year'!$D:$D, 0)), "")</f>
        <v/>
      </c>
      <c r="AJ677" s="209" t="str">
        <f t="shared" si="131"/>
        <v/>
      </c>
      <c r="AK677" s="209" t="str">
        <f t="shared" si="116"/>
        <v/>
      </c>
      <c r="AL677" s="209" t="str">
        <f t="shared" si="117"/>
        <v/>
      </c>
      <c r="AM677" s="208" t="str">
        <f>IF($AN677="","",IFERROR(VLOOKUP(CONCATENATE(CTR1_Billing!$E$20,$AN677),'Local Data Previous Year'!$C$3:$D$50000,2,0),CTR1_Billing!$E$21&amp;"NEW"))</f>
        <v/>
      </c>
      <c r="AN677" s="209" t="str" cm="1">
        <f t="array" ref="AN677">IF(ISERROR(INDEX('Local Data Previous Year'!$E$3:$E$50000, SMALL(IF(CTR1_Billing!$E$21='Local Data Previous Year'!$A$3:$A$50000, ROW('Local Data Previous Year'!$A$3:$A$50000)-ROW('Local Data Previous Year'!$A$3)+1), ROW(645:645)))), "", INDEX('Local Data Previous Year'!$E$3:$E$50000, SMALL(IF(CTR1_Billing!$E$21='Local Data Previous Year'!$A$3:$A$50000, ROW('Local Data Previous Year'!$A$3:$A$50000)-ROW('Local Data Previous Year'!$A$3)+1), ROW(645:645))))</f>
        <v/>
      </c>
      <c r="AO677" s="209" t="str">
        <f t="shared" si="132"/>
        <v/>
      </c>
      <c r="AP677" s="208"/>
      <c r="AQ677" s="209" t="str">
        <f t="shared" si="133"/>
        <v/>
      </c>
      <c r="AR677" s="209" t="str">
        <f t="shared" si="134"/>
        <v/>
      </c>
      <c r="AS677" s="202" t="str">
        <f t="shared" si="135"/>
        <v/>
      </c>
      <c r="AT677" s="202" t="str">
        <f t="shared" si="136"/>
        <v/>
      </c>
      <c r="AU677" s="208"/>
      <c r="AV677" s="208"/>
      <c r="AW677" s="208"/>
      <c r="AX677" s="208"/>
      <c r="AY677" s="208"/>
      <c r="AZ677" s="208"/>
      <c r="BA677" s="208"/>
      <c r="BB677" s="208"/>
      <c r="BC677" s="208"/>
      <c r="BD677" s="208"/>
      <c r="BE677" s="208"/>
      <c r="BF677" s="208"/>
      <c r="BG677" s="28"/>
      <c r="BH677" s="28"/>
      <c r="BI677" s="28"/>
      <c r="BJ677" s="28"/>
    </row>
    <row r="678" spans="1:62" s="23" customFormat="1" ht="21" customHeight="1" thickBot="1" x14ac:dyDescent="0.25">
      <c r="A678" s="846" t="str">
        <f>IF($AN678="","",IFERROR(VLOOKUP(CONCATENATE(CTR1_Billing!$E$20,$AN678),'Local Data Previous Year'!$C$3:$D$20000,2,0),CTR1_Billing!$E$21&amp;"NEW"))</f>
        <v/>
      </c>
      <c r="B678" s="846" t="str">
        <f>IF($E678="","",IFERROR(VLOOKUP(CONCATENATE(CTR1_Billing!$E$20,CTR1_Local!$E678),'Local Data Previous Year'!$C$3:$D$20000,2,0),CTR1_Billing!$E$21&amp;"NEW"))</f>
        <v/>
      </c>
      <c r="C678" s="846">
        <v>646</v>
      </c>
      <c r="D678" s="755" t="str" cm="1">
        <f t="array" ref="D678">IF(ISERROR(INDEX('Local Data Previous Year'!$D$3:$D$20000,SMALL(IF(CTR1_Billing!$E$21='Local Data Previous Year'!$A$3:$A$20000,ROW('Local Data Previous Year'!$A$3:$A$20000)-ROW('Local Data Previous Year'!$A$3)+1),ROW(646:646)))),"",INDEX('Local Data Previous Year'!$D$3:$D$20000,SMALL(IF(CTR1_Billing!$E$21='Local Data Previous Year'!$A$3:$A$20000,ROW('Local Data Previous Year'!$A$3:$A$20000)-ROW('Local Data Previous Year'!$A$3)+1),ROW(646:646))))</f>
        <v/>
      </c>
      <c r="E678" s="755" t="str" cm="1">
        <f t="array" ref="E678">IF(ISERROR(INDEX('Local Data Previous Year'!$E$3:$E$20000,SMALL(IF(CTR1_Billing!$E$21='Local Data Previous Year'!$A$3:$A$20000,ROW('Local Data Previous Year'!$A$3:$A$20000)-ROW('Local Data Previous Year'!$A$3)+1),ROW(646:646)))),"",INDEX('Local Data Previous Year'!$E$3:$E$20000,SMALL(IF(CTR1_Billing!$E$21='Local Data Previous Year'!$A$3:$A$20000,ROW('Local Data Previous Year'!$A$3:$A$20000)-ROW('Local Data Previous Year'!$A$3)+1),ROW(646:646))))</f>
        <v/>
      </c>
      <c r="F678" s="756" t="str">
        <f>IF($D678="","",IF(ISNA(MATCH($D678,'Local Data Previous Year'!$D$3:$D$20000,0)),"New",IFERROR(VLOOKUP($B678,'Local Data Previous Year'!$D$3:$I$20000,6,0),"")))</f>
        <v/>
      </c>
      <c r="G678" s="757">
        <f t="shared" si="112"/>
        <v>0</v>
      </c>
      <c r="H678" s="758" t="str">
        <f>IFERROR(INDEX('Local Data Previous Year'!$F:$F, MATCH($D678, 'Local Data Previous Year'!$D:$D, 0)), "")</f>
        <v/>
      </c>
      <c r="I678" s="759">
        <f>IF(B678=CTR1_Billing!$E$21&amp;"NEW",1,0)</f>
        <v>0</v>
      </c>
      <c r="J678" s="760" t="str">
        <f>IFERROR(INDEX('Local Data Previous Year'!$G:$G, MATCH($D678, 'Local Data Previous Year'!$D:$D, 0)), "")</f>
        <v/>
      </c>
      <c r="K678" s="762"/>
      <c r="L678" s="760" t="str">
        <f>IFERROR(INDEX('Local Data Previous Year'!$H:$H, MATCH($D678, 'Local Data Previous Year'!$D:$D, 0)), "")</f>
        <v/>
      </c>
      <c r="M678" s="762"/>
      <c r="N678" s="763"/>
      <c r="O678" s="767"/>
      <c r="P678" s="765"/>
      <c r="Q678" s="767"/>
      <c r="R678" s="766" t="str">
        <f t="shared" si="137"/>
        <v/>
      </c>
      <c r="S678" s="754"/>
      <c r="T678" s="763"/>
      <c r="U678" s="754"/>
      <c r="V678" s="763"/>
      <c r="W678" s="763"/>
      <c r="X678" s="865" t="str">
        <f>VLOOKUP(CTR1_Billing!$E$21,Data!$C$6:$D$302,1,FALSE)</f>
        <v>EZZZZ</v>
      </c>
      <c r="Y678" s="205"/>
      <c r="Z678" s="205">
        <f t="shared" si="129"/>
        <v>0</v>
      </c>
      <c r="AA678" s="206" t="str">
        <f t="shared" si="128"/>
        <v/>
      </c>
      <c r="AB678" s="205">
        <f t="shared" si="130"/>
        <v>0</v>
      </c>
      <c r="AC678" s="208"/>
      <c r="AD678" s="208"/>
      <c r="AE678" s="208"/>
      <c r="AF678" s="208"/>
      <c r="AG678" s="209" t="str">
        <f>IFERROR(INDEX('Local Data Previous Year'!$F:$F, MATCH($D678, 'Local Data Previous Year'!$D:$D, 0)), "")</f>
        <v/>
      </c>
      <c r="AH678" s="209" t="str">
        <f>IFERROR(INDEX('Local Data Previous Year'!$G:$G, MATCH($D678, 'Local Data Previous Year'!$D:$D, 0)), "")</f>
        <v/>
      </c>
      <c r="AI678" s="209" t="str">
        <f>IFERROR(INDEX('Local Data Previous Year'!$H:$H, MATCH($D678, 'Local Data Previous Year'!$D:$D, 0)), "")</f>
        <v/>
      </c>
      <c r="AJ678" s="209" t="str">
        <f t="shared" si="131"/>
        <v/>
      </c>
      <c r="AK678" s="209" t="str">
        <f t="shared" si="116"/>
        <v/>
      </c>
      <c r="AL678" s="209" t="str">
        <f t="shared" si="117"/>
        <v/>
      </c>
      <c r="AM678" s="208" t="str">
        <f>IF($AN678="","",IFERROR(VLOOKUP(CONCATENATE(CTR1_Billing!$E$20,$AN678),'Local Data Previous Year'!$C$3:$D$50000,2,0),CTR1_Billing!$E$21&amp;"NEW"))</f>
        <v/>
      </c>
      <c r="AN678" s="209" t="str" cm="1">
        <f t="array" ref="AN678">IF(ISERROR(INDEX('Local Data Previous Year'!$E$3:$E$50000, SMALL(IF(CTR1_Billing!$E$21='Local Data Previous Year'!$A$3:$A$50000, ROW('Local Data Previous Year'!$A$3:$A$50000)-ROW('Local Data Previous Year'!$A$3)+1), ROW(646:646)))), "", INDEX('Local Data Previous Year'!$E$3:$E$50000, SMALL(IF(CTR1_Billing!$E$21='Local Data Previous Year'!$A$3:$A$50000, ROW('Local Data Previous Year'!$A$3:$A$50000)-ROW('Local Data Previous Year'!$A$3)+1), ROW(646:646))))</f>
        <v/>
      </c>
      <c r="AO678" s="209" t="str">
        <f t="shared" si="132"/>
        <v/>
      </c>
      <c r="AP678" s="208"/>
      <c r="AQ678" s="209" t="str">
        <f t="shared" si="133"/>
        <v/>
      </c>
      <c r="AR678" s="209" t="str">
        <f t="shared" si="134"/>
        <v/>
      </c>
      <c r="AS678" s="202" t="str">
        <f t="shared" si="135"/>
        <v/>
      </c>
      <c r="AT678" s="202" t="str">
        <f t="shared" si="136"/>
        <v/>
      </c>
      <c r="AU678" s="208"/>
      <c r="AV678" s="208"/>
      <c r="AW678" s="208"/>
      <c r="AX678" s="208"/>
      <c r="AY678" s="208"/>
      <c r="AZ678" s="208"/>
      <c r="BA678" s="208"/>
      <c r="BB678" s="208"/>
      <c r="BC678" s="208"/>
      <c r="BD678" s="208"/>
      <c r="BE678" s="208"/>
      <c r="BF678" s="208"/>
      <c r="BG678" s="28"/>
      <c r="BH678" s="28"/>
      <c r="BI678" s="28"/>
      <c r="BJ678" s="28"/>
    </row>
    <row r="679" spans="1:62" s="23" customFormat="1" ht="21" customHeight="1" thickBot="1" x14ac:dyDescent="0.25">
      <c r="A679" s="846" t="str">
        <f>IF($AN679="","",IFERROR(VLOOKUP(CONCATENATE(CTR1_Billing!$E$20,$AN679),'Local Data Previous Year'!$C$3:$D$20000,2,0),CTR1_Billing!$E$21&amp;"NEW"))</f>
        <v/>
      </c>
      <c r="B679" s="846" t="str">
        <f>IF($E679="","",IFERROR(VLOOKUP(CONCATENATE(CTR1_Billing!$E$20,CTR1_Local!$E679),'Local Data Previous Year'!$C$3:$D$20000,2,0),CTR1_Billing!$E$21&amp;"NEW"))</f>
        <v/>
      </c>
      <c r="C679" s="846">
        <v>647</v>
      </c>
      <c r="D679" s="755" t="str" cm="1">
        <f t="array" ref="D679">IF(ISERROR(INDEX('Local Data Previous Year'!$D$3:$D$20000,SMALL(IF(CTR1_Billing!$E$21='Local Data Previous Year'!$A$3:$A$20000,ROW('Local Data Previous Year'!$A$3:$A$20000)-ROW('Local Data Previous Year'!$A$3)+1),ROW(647:647)))),"",INDEX('Local Data Previous Year'!$D$3:$D$20000,SMALL(IF(CTR1_Billing!$E$21='Local Data Previous Year'!$A$3:$A$20000,ROW('Local Data Previous Year'!$A$3:$A$20000)-ROW('Local Data Previous Year'!$A$3)+1),ROW(647:647))))</f>
        <v/>
      </c>
      <c r="E679" s="755" t="str" cm="1">
        <f t="array" ref="E679">IF(ISERROR(INDEX('Local Data Previous Year'!$E$3:$E$20000,SMALL(IF(CTR1_Billing!$E$21='Local Data Previous Year'!$A$3:$A$20000,ROW('Local Data Previous Year'!$A$3:$A$20000)-ROW('Local Data Previous Year'!$A$3)+1),ROW(647:647)))),"",INDEX('Local Data Previous Year'!$E$3:$E$20000,SMALL(IF(CTR1_Billing!$E$21='Local Data Previous Year'!$A$3:$A$20000,ROW('Local Data Previous Year'!$A$3:$A$20000)-ROW('Local Data Previous Year'!$A$3)+1),ROW(647:647))))</f>
        <v/>
      </c>
      <c r="F679" s="756" t="str">
        <f>IF($D679="","",IF(ISNA(MATCH($D679,'Local Data Previous Year'!$D$3:$D$20000,0)),"New",IFERROR(VLOOKUP($B679,'Local Data Previous Year'!$D$3:$I$20000,6,0),"")))</f>
        <v/>
      </c>
      <c r="G679" s="757">
        <f t="shared" si="112"/>
        <v>0</v>
      </c>
      <c r="H679" s="758" t="str">
        <f>IFERROR(INDEX('Local Data Previous Year'!$F:$F, MATCH($D679, 'Local Data Previous Year'!$D:$D, 0)), "")</f>
        <v/>
      </c>
      <c r="I679" s="759">
        <f>IF(B679=CTR1_Billing!$E$21&amp;"NEW",1,0)</f>
        <v>0</v>
      </c>
      <c r="J679" s="760" t="str">
        <f>IFERROR(INDEX('Local Data Previous Year'!$G:$G, MATCH($D679, 'Local Data Previous Year'!$D:$D, 0)), "")</f>
        <v/>
      </c>
      <c r="K679" s="762"/>
      <c r="L679" s="760" t="str">
        <f>IFERROR(INDEX('Local Data Previous Year'!$H:$H, MATCH($D679, 'Local Data Previous Year'!$D:$D, 0)), "")</f>
        <v/>
      </c>
      <c r="M679" s="762"/>
      <c r="N679" s="763"/>
      <c r="O679" s="767"/>
      <c r="P679" s="765"/>
      <c r="Q679" s="767"/>
      <c r="R679" s="766" t="str">
        <f t="shared" si="137"/>
        <v/>
      </c>
      <c r="S679" s="754"/>
      <c r="T679" s="763"/>
      <c r="U679" s="754"/>
      <c r="V679" s="763"/>
      <c r="W679" s="763"/>
      <c r="X679" s="865" t="str">
        <f>VLOOKUP(CTR1_Billing!$E$21,Data!$C$6:$D$302,1,FALSE)</f>
        <v>EZZZZ</v>
      </c>
      <c r="Y679" s="205"/>
      <c r="Z679" s="205">
        <f t="shared" si="129"/>
        <v>0</v>
      </c>
      <c r="AA679" s="206" t="str">
        <f t="shared" si="128"/>
        <v/>
      </c>
      <c r="AB679" s="205">
        <f t="shared" si="130"/>
        <v>0</v>
      </c>
      <c r="AC679" s="208"/>
      <c r="AD679" s="208"/>
      <c r="AE679" s="208"/>
      <c r="AF679" s="208"/>
      <c r="AG679" s="209" t="str">
        <f>IFERROR(INDEX('Local Data Previous Year'!$F:$F, MATCH($D679, 'Local Data Previous Year'!$D:$D, 0)), "")</f>
        <v/>
      </c>
      <c r="AH679" s="209" t="str">
        <f>IFERROR(INDEX('Local Data Previous Year'!$G:$G, MATCH($D679, 'Local Data Previous Year'!$D:$D, 0)), "")</f>
        <v/>
      </c>
      <c r="AI679" s="209" t="str">
        <f>IFERROR(INDEX('Local Data Previous Year'!$H:$H, MATCH($D679, 'Local Data Previous Year'!$D:$D, 0)), "")</f>
        <v/>
      </c>
      <c r="AJ679" s="209" t="str">
        <f t="shared" si="131"/>
        <v/>
      </c>
      <c r="AK679" s="209" t="str">
        <f t="shared" si="116"/>
        <v/>
      </c>
      <c r="AL679" s="209" t="str">
        <f t="shared" si="117"/>
        <v/>
      </c>
      <c r="AM679" s="208" t="str">
        <f>IF($AN679="","",IFERROR(VLOOKUP(CONCATENATE(CTR1_Billing!$E$20,$AN679),'Local Data Previous Year'!$C$3:$D$50000,2,0),CTR1_Billing!$E$21&amp;"NEW"))</f>
        <v/>
      </c>
      <c r="AN679" s="209" t="str" cm="1">
        <f t="array" ref="AN679">IF(ISERROR(INDEX('Local Data Previous Year'!$E$3:$E$50000, SMALL(IF(CTR1_Billing!$E$21='Local Data Previous Year'!$A$3:$A$50000, ROW('Local Data Previous Year'!$A$3:$A$50000)-ROW('Local Data Previous Year'!$A$3)+1), ROW(647:647)))), "", INDEX('Local Data Previous Year'!$E$3:$E$50000, SMALL(IF(CTR1_Billing!$E$21='Local Data Previous Year'!$A$3:$A$50000, ROW('Local Data Previous Year'!$A$3:$A$50000)-ROW('Local Data Previous Year'!$A$3)+1), ROW(647:647))))</f>
        <v/>
      </c>
      <c r="AO679" s="209" t="str">
        <f t="shared" si="132"/>
        <v/>
      </c>
      <c r="AP679" s="208"/>
      <c r="AQ679" s="209" t="str">
        <f t="shared" si="133"/>
        <v/>
      </c>
      <c r="AR679" s="209" t="str">
        <f t="shared" si="134"/>
        <v/>
      </c>
      <c r="AS679" s="202" t="str">
        <f t="shared" si="135"/>
        <v/>
      </c>
      <c r="AT679" s="202" t="str">
        <f t="shared" si="136"/>
        <v/>
      </c>
      <c r="AU679" s="208"/>
      <c r="AV679" s="208"/>
      <c r="AW679" s="208"/>
      <c r="AX679" s="208"/>
      <c r="AY679" s="208"/>
      <c r="AZ679" s="208"/>
      <c r="BA679" s="208"/>
      <c r="BB679" s="208"/>
      <c r="BC679" s="208"/>
      <c r="BD679" s="208"/>
      <c r="BE679" s="208"/>
      <c r="BF679" s="208"/>
      <c r="BG679" s="28"/>
      <c r="BH679" s="28"/>
      <c r="BI679" s="28"/>
      <c r="BJ679" s="28"/>
    </row>
    <row r="680" spans="1:62" s="23" customFormat="1" ht="21" customHeight="1" thickBot="1" x14ac:dyDescent="0.25">
      <c r="A680" s="846" t="str">
        <f>IF($AN680="","",IFERROR(VLOOKUP(CONCATENATE(CTR1_Billing!$E$20,$AN680),'Local Data Previous Year'!$C$3:$D$20000,2,0),CTR1_Billing!$E$21&amp;"NEW"))</f>
        <v/>
      </c>
      <c r="B680" s="846" t="str">
        <f>IF($E680="","",IFERROR(VLOOKUP(CONCATENATE(CTR1_Billing!$E$20,CTR1_Local!$E680),'Local Data Previous Year'!$C$3:$D$20000,2,0),CTR1_Billing!$E$21&amp;"NEW"))</f>
        <v/>
      </c>
      <c r="C680" s="846">
        <v>648</v>
      </c>
      <c r="D680" s="755" t="str" cm="1">
        <f t="array" ref="D680">IF(ISERROR(INDEX('Local Data Previous Year'!$D$3:$D$20000,SMALL(IF(CTR1_Billing!$E$21='Local Data Previous Year'!$A$3:$A$20000,ROW('Local Data Previous Year'!$A$3:$A$20000)-ROW('Local Data Previous Year'!$A$3)+1),ROW(648:648)))),"",INDEX('Local Data Previous Year'!$D$3:$D$20000,SMALL(IF(CTR1_Billing!$E$21='Local Data Previous Year'!$A$3:$A$20000,ROW('Local Data Previous Year'!$A$3:$A$20000)-ROW('Local Data Previous Year'!$A$3)+1),ROW(648:648))))</f>
        <v/>
      </c>
      <c r="E680" s="755" t="str" cm="1">
        <f t="array" ref="E680">IF(ISERROR(INDEX('Local Data Previous Year'!$E$3:$E$20000,SMALL(IF(CTR1_Billing!$E$21='Local Data Previous Year'!$A$3:$A$20000,ROW('Local Data Previous Year'!$A$3:$A$20000)-ROW('Local Data Previous Year'!$A$3)+1),ROW(648:648)))),"",INDEX('Local Data Previous Year'!$E$3:$E$20000,SMALL(IF(CTR1_Billing!$E$21='Local Data Previous Year'!$A$3:$A$20000,ROW('Local Data Previous Year'!$A$3:$A$20000)-ROW('Local Data Previous Year'!$A$3)+1),ROW(648:648))))</f>
        <v/>
      </c>
      <c r="F680" s="756" t="str">
        <f>IF($D680="","",IF(ISNA(MATCH($D680,'Local Data Previous Year'!$D$3:$D$20000,0)),"New",IFERROR(VLOOKUP($B680,'Local Data Previous Year'!$D$3:$I$20000,6,0),"")))</f>
        <v/>
      </c>
      <c r="G680" s="757">
        <f t="shared" si="112"/>
        <v>0</v>
      </c>
      <c r="H680" s="758" t="str">
        <f>IFERROR(INDEX('Local Data Previous Year'!$F:$F, MATCH($D680, 'Local Data Previous Year'!$D:$D, 0)), "")</f>
        <v/>
      </c>
      <c r="I680" s="759">
        <f>IF(B680=CTR1_Billing!$E$21&amp;"NEW",1,0)</f>
        <v>0</v>
      </c>
      <c r="J680" s="760" t="str">
        <f>IFERROR(INDEX('Local Data Previous Year'!$G:$G, MATCH($D680, 'Local Data Previous Year'!$D:$D, 0)), "")</f>
        <v/>
      </c>
      <c r="K680" s="762"/>
      <c r="L680" s="760" t="str">
        <f>IFERROR(INDEX('Local Data Previous Year'!$H:$H, MATCH($D680, 'Local Data Previous Year'!$D:$D, 0)), "")</f>
        <v/>
      </c>
      <c r="M680" s="762"/>
      <c r="N680" s="763"/>
      <c r="O680" s="767"/>
      <c r="P680" s="765"/>
      <c r="Q680" s="767"/>
      <c r="R680" s="766" t="str">
        <f t="shared" si="137"/>
        <v/>
      </c>
      <c r="S680" s="754"/>
      <c r="T680" s="763"/>
      <c r="U680" s="754"/>
      <c r="V680" s="763"/>
      <c r="W680" s="763"/>
      <c r="X680" s="865" t="str">
        <f>VLOOKUP(CTR1_Billing!$E$21,Data!$C$6:$D$302,1,FALSE)</f>
        <v>EZZZZ</v>
      </c>
      <c r="Y680" s="205"/>
      <c r="Z680" s="205">
        <f t="shared" si="129"/>
        <v>0</v>
      </c>
      <c r="AA680" s="206" t="str">
        <f t="shared" si="128"/>
        <v/>
      </c>
      <c r="AB680" s="205">
        <f t="shared" si="130"/>
        <v>0</v>
      </c>
      <c r="AC680" s="208"/>
      <c r="AD680" s="208"/>
      <c r="AE680" s="208"/>
      <c r="AF680" s="208"/>
      <c r="AG680" s="209" t="str">
        <f>IFERROR(INDEX('Local Data Previous Year'!$F:$F, MATCH($D680, 'Local Data Previous Year'!$D:$D, 0)), "")</f>
        <v/>
      </c>
      <c r="AH680" s="209" t="str">
        <f>IFERROR(INDEX('Local Data Previous Year'!$G:$G, MATCH($D680, 'Local Data Previous Year'!$D:$D, 0)), "")</f>
        <v/>
      </c>
      <c r="AI680" s="209" t="str">
        <f>IFERROR(INDEX('Local Data Previous Year'!$H:$H, MATCH($D680, 'Local Data Previous Year'!$D:$D, 0)), "")</f>
        <v/>
      </c>
      <c r="AJ680" s="209" t="str">
        <f t="shared" si="131"/>
        <v/>
      </c>
      <c r="AK680" s="209" t="str">
        <f t="shared" si="116"/>
        <v/>
      </c>
      <c r="AL680" s="209" t="str">
        <f t="shared" si="117"/>
        <v/>
      </c>
      <c r="AM680" s="208" t="str">
        <f>IF($AN680="","",IFERROR(VLOOKUP(CONCATENATE(CTR1_Billing!$E$20,$AN680),'Local Data Previous Year'!$C$3:$D$50000,2,0),CTR1_Billing!$E$21&amp;"NEW"))</f>
        <v/>
      </c>
      <c r="AN680" s="209" t="str" cm="1">
        <f t="array" ref="AN680">IF(ISERROR(INDEX('Local Data Previous Year'!$E$3:$E$50000, SMALL(IF(CTR1_Billing!$E$21='Local Data Previous Year'!$A$3:$A$50000, ROW('Local Data Previous Year'!$A$3:$A$50000)-ROW('Local Data Previous Year'!$A$3)+1), ROW(648:648)))), "", INDEX('Local Data Previous Year'!$E$3:$E$50000, SMALL(IF(CTR1_Billing!$E$21='Local Data Previous Year'!$A$3:$A$50000, ROW('Local Data Previous Year'!$A$3:$A$50000)-ROW('Local Data Previous Year'!$A$3)+1), ROW(648:648))))</f>
        <v/>
      </c>
      <c r="AO680" s="209" t="str">
        <f t="shared" si="132"/>
        <v/>
      </c>
      <c r="AP680" s="208"/>
      <c r="AQ680" s="209" t="str">
        <f t="shared" si="133"/>
        <v/>
      </c>
      <c r="AR680" s="209" t="str">
        <f t="shared" si="134"/>
        <v/>
      </c>
      <c r="AS680" s="202" t="str">
        <f t="shared" si="135"/>
        <v/>
      </c>
      <c r="AT680" s="202" t="str">
        <f t="shared" si="136"/>
        <v/>
      </c>
      <c r="AU680" s="208"/>
      <c r="AV680" s="208"/>
      <c r="AW680" s="208"/>
      <c r="AX680" s="208"/>
      <c r="AY680" s="208"/>
      <c r="AZ680" s="208"/>
      <c r="BA680" s="208"/>
      <c r="BB680" s="208"/>
      <c r="BC680" s="208"/>
      <c r="BD680" s="208"/>
      <c r="BE680" s="208"/>
      <c r="BF680" s="208"/>
      <c r="BG680" s="28"/>
      <c r="BH680" s="28"/>
      <c r="BI680" s="28"/>
      <c r="BJ680" s="28"/>
    </row>
    <row r="681" spans="1:62" s="23" customFormat="1" ht="21" customHeight="1" thickBot="1" x14ac:dyDescent="0.25">
      <c r="A681" s="846" t="str">
        <f>IF($AN681="","",IFERROR(VLOOKUP(CONCATENATE(CTR1_Billing!$E$20,$AN681),'Local Data Previous Year'!$C$3:$D$20000,2,0),CTR1_Billing!$E$21&amp;"NEW"))</f>
        <v/>
      </c>
      <c r="B681" s="846" t="str">
        <f>IF($E681="","",IFERROR(VLOOKUP(CONCATENATE(CTR1_Billing!$E$20,CTR1_Local!$E681),'Local Data Previous Year'!$C$3:$D$20000,2,0),CTR1_Billing!$E$21&amp;"NEW"))</f>
        <v/>
      </c>
      <c r="C681" s="846">
        <v>649</v>
      </c>
      <c r="D681" s="755" t="str" cm="1">
        <f t="array" ref="D681">IF(ISERROR(INDEX('Local Data Previous Year'!$D$3:$D$20000,SMALL(IF(CTR1_Billing!$E$21='Local Data Previous Year'!$A$3:$A$20000,ROW('Local Data Previous Year'!$A$3:$A$20000)-ROW('Local Data Previous Year'!$A$3)+1),ROW(649:649)))),"",INDEX('Local Data Previous Year'!$D$3:$D$20000,SMALL(IF(CTR1_Billing!$E$21='Local Data Previous Year'!$A$3:$A$20000,ROW('Local Data Previous Year'!$A$3:$A$20000)-ROW('Local Data Previous Year'!$A$3)+1),ROW(649:649))))</f>
        <v/>
      </c>
      <c r="E681" s="755" t="str" cm="1">
        <f t="array" ref="E681">IF(ISERROR(INDEX('Local Data Previous Year'!$E$3:$E$20000,SMALL(IF(CTR1_Billing!$E$21='Local Data Previous Year'!$A$3:$A$20000,ROW('Local Data Previous Year'!$A$3:$A$20000)-ROW('Local Data Previous Year'!$A$3)+1),ROW(649:649)))),"",INDEX('Local Data Previous Year'!$E$3:$E$20000,SMALL(IF(CTR1_Billing!$E$21='Local Data Previous Year'!$A$3:$A$20000,ROW('Local Data Previous Year'!$A$3:$A$20000)-ROW('Local Data Previous Year'!$A$3)+1),ROW(649:649))))</f>
        <v/>
      </c>
      <c r="F681" s="756" t="str">
        <f>IF($D681="","",IF(ISNA(MATCH($D681,'Local Data Previous Year'!$D$3:$D$20000,0)),"New",IFERROR(VLOOKUP($B681,'Local Data Previous Year'!$D$3:$I$20000,6,0),"")))</f>
        <v/>
      </c>
      <c r="G681" s="757">
        <f t="shared" si="112"/>
        <v>0</v>
      </c>
      <c r="H681" s="758" t="str">
        <f>IFERROR(INDEX('Local Data Previous Year'!$F:$F, MATCH($D681, 'Local Data Previous Year'!$D:$D, 0)), "")</f>
        <v/>
      </c>
      <c r="I681" s="759">
        <f>IF(B681=CTR1_Billing!$E$21&amp;"NEW",1,0)</f>
        <v>0</v>
      </c>
      <c r="J681" s="760" t="str">
        <f>IFERROR(INDEX('Local Data Previous Year'!$G:$G, MATCH($D681, 'Local Data Previous Year'!$D:$D, 0)), "")</f>
        <v/>
      </c>
      <c r="K681" s="762"/>
      <c r="L681" s="760" t="str">
        <f>IFERROR(INDEX('Local Data Previous Year'!$H:$H, MATCH($D681, 'Local Data Previous Year'!$D:$D, 0)), "")</f>
        <v/>
      </c>
      <c r="M681" s="762"/>
      <c r="N681" s="763"/>
      <c r="O681" s="767"/>
      <c r="P681" s="765"/>
      <c r="Q681" s="767"/>
      <c r="R681" s="766" t="str">
        <f t="shared" si="137"/>
        <v/>
      </c>
      <c r="S681" s="754"/>
      <c r="T681" s="763"/>
      <c r="U681" s="754"/>
      <c r="V681" s="763"/>
      <c r="W681" s="763"/>
      <c r="X681" s="865" t="str">
        <f>VLOOKUP(CTR1_Billing!$E$21,Data!$C$6:$D$302,1,FALSE)</f>
        <v>EZZZZ</v>
      </c>
      <c r="Y681" s="205"/>
      <c r="Z681" s="205">
        <f t="shared" si="129"/>
        <v>0</v>
      </c>
      <c r="AA681" s="206" t="str">
        <f t="shared" si="128"/>
        <v/>
      </c>
      <c r="AB681" s="205">
        <f t="shared" si="130"/>
        <v>0</v>
      </c>
      <c r="AC681" s="208"/>
      <c r="AD681" s="208"/>
      <c r="AE681" s="208"/>
      <c r="AF681" s="208"/>
      <c r="AG681" s="209" t="str">
        <f>IFERROR(INDEX('Local Data Previous Year'!$F:$F, MATCH($D681, 'Local Data Previous Year'!$D:$D, 0)), "")</f>
        <v/>
      </c>
      <c r="AH681" s="209" t="str">
        <f>IFERROR(INDEX('Local Data Previous Year'!$G:$G, MATCH($D681, 'Local Data Previous Year'!$D:$D, 0)), "")</f>
        <v/>
      </c>
      <c r="AI681" s="209" t="str">
        <f>IFERROR(INDEX('Local Data Previous Year'!$H:$H, MATCH($D681, 'Local Data Previous Year'!$D:$D, 0)), "")</f>
        <v/>
      </c>
      <c r="AJ681" s="209" t="str">
        <f t="shared" si="131"/>
        <v/>
      </c>
      <c r="AK681" s="209" t="str">
        <f t="shared" si="116"/>
        <v/>
      </c>
      <c r="AL681" s="209" t="str">
        <f t="shared" si="117"/>
        <v/>
      </c>
      <c r="AM681" s="208" t="str">
        <f>IF($AN681="","",IFERROR(VLOOKUP(CONCATENATE(CTR1_Billing!$E$20,$AN681),'Local Data Previous Year'!$C$3:$D$50000,2,0),CTR1_Billing!$E$21&amp;"NEW"))</f>
        <v/>
      </c>
      <c r="AN681" s="209" t="str" cm="1">
        <f t="array" ref="AN681">IF(ISERROR(INDEX('Local Data Previous Year'!$E$3:$E$50000, SMALL(IF(CTR1_Billing!$E$21='Local Data Previous Year'!$A$3:$A$50000, ROW('Local Data Previous Year'!$A$3:$A$50000)-ROW('Local Data Previous Year'!$A$3)+1), ROW(649:649)))), "", INDEX('Local Data Previous Year'!$E$3:$E$50000, SMALL(IF(CTR1_Billing!$E$21='Local Data Previous Year'!$A$3:$A$50000, ROW('Local Data Previous Year'!$A$3:$A$50000)-ROW('Local Data Previous Year'!$A$3)+1), ROW(649:649))))</f>
        <v/>
      </c>
      <c r="AO681" s="209" t="str">
        <f t="shared" si="132"/>
        <v/>
      </c>
      <c r="AP681" s="208"/>
      <c r="AQ681" s="209" t="str">
        <f t="shared" si="133"/>
        <v/>
      </c>
      <c r="AR681" s="209" t="str">
        <f t="shared" si="134"/>
        <v/>
      </c>
      <c r="AS681" s="202" t="str">
        <f t="shared" si="135"/>
        <v/>
      </c>
      <c r="AT681" s="202" t="str">
        <f t="shared" si="136"/>
        <v/>
      </c>
      <c r="AU681" s="208"/>
      <c r="AV681" s="208"/>
      <c r="AW681" s="208"/>
      <c r="AX681" s="208"/>
      <c r="AY681" s="208"/>
      <c r="AZ681" s="208"/>
      <c r="BA681" s="208"/>
      <c r="BB681" s="208"/>
      <c r="BC681" s="208"/>
      <c r="BD681" s="208"/>
      <c r="BE681" s="208"/>
      <c r="BF681" s="208"/>
      <c r="BG681" s="28"/>
      <c r="BH681" s="28"/>
      <c r="BI681" s="28"/>
      <c r="BJ681" s="28"/>
    </row>
    <row r="682" spans="1:62" s="23" customFormat="1" ht="21" customHeight="1" thickBot="1" x14ac:dyDescent="0.25">
      <c r="A682" s="846" t="str">
        <f>IF($AN682="","",IFERROR(VLOOKUP(CONCATENATE(CTR1_Billing!$E$20,$AN682),'Local Data Previous Year'!$C$3:$D$20000,2,0),CTR1_Billing!$E$21&amp;"NEW"))</f>
        <v/>
      </c>
      <c r="B682" s="846" t="str">
        <f>IF($E682="","",IFERROR(VLOOKUP(CONCATENATE(CTR1_Billing!$E$20,CTR1_Local!$E682),'Local Data Previous Year'!$C$3:$D$20000,2,0),CTR1_Billing!$E$21&amp;"NEW"))</f>
        <v/>
      </c>
      <c r="C682" s="846">
        <v>650</v>
      </c>
      <c r="D682" s="755" t="str" cm="1">
        <f t="array" ref="D682">IF(ISERROR(INDEX('Local Data Previous Year'!$D$3:$D$20000,SMALL(IF(CTR1_Billing!$E$21='Local Data Previous Year'!$A$3:$A$20000,ROW('Local Data Previous Year'!$A$3:$A$20000)-ROW('Local Data Previous Year'!$A$3)+1),ROW(650:650)))),"",INDEX('Local Data Previous Year'!$D$3:$D$20000,SMALL(IF(CTR1_Billing!$E$21='Local Data Previous Year'!$A$3:$A$20000,ROW('Local Data Previous Year'!$A$3:$A$20000)-ROW('Local Data Previous Year'!$A$3)+1),ROW(650:650))))</f>
        <v/>
      </c>
      <c r="E682" s="755" t="str" cm="1">
        <f t="array" ref="E682">IF(ISERROR(INDEX('Local Data Previous Year'!$E$3:$E$20000,SMALL(IF(CTR1_Billing!$E$21='Local Data Previous Year'!$A$3:$A$20000,ROW('Local Data Previous Year'!$A$3:$A$20000)-ROW('Local Data Previous Year'!$A$3)+1),ROW(650:650)))),"",INDEX('Local Data Previous Year'!$E$3:$E$20000,SMALL(IF(CTR1_Billing!$E$21='Local Data Previous Year'!$A$3:$A$20000,ROW('Local Data Previous Year'!$A$3:$A$20000)-ROW('Local Data Previous Year'!$A$3)+1),ROW(650:650))))</f>
        <v/>
      </c>
      <c r="F682" s="756" t="str">
        <f>IF($D682="","",IF(ISNA(MATCH($D682,'Local Data Previous Year'!$D$3:$D$20000,0)),"New",IFERROR(VLOOKUP($B682,'Local Data Previous Year'!$D$3:$I$20000,6,0),"")))</f>
        <v/>
      </c>
      <c r="G682" s="757">
        <f t="shared" si="112"/>
        <v>0</v>
      </c>
      <c r="H682" s="758" t="str">
        <f>IFERROR(INDEX('Local Data Previous Year'!$F:$F, MATCH($D682, 'Local Data Previous Year'!$D:$D, 0)), "")</f>
        <v/>
      </c>
      <c r="I682" s="759">
        <f>IF(B682=CTR1_Billing!$E$21&amp;"NEW",1,0)</f>
        <v>0</v>
      </c>
      <c r="J682" s="760" t="str">
        <f>IFERROR(INDEX('Local Data Previous Year'!$G:$G, MATCH($D682, 'Local Data Previous Year'!$D:$D, 0)), "")</f>
        <v/>
      </c>
      <c r="K682" s="762"/>
      <c r="L682" s="760" t="str">
        <f>IFERROR(INDEX('Local Data Previous Year'!$H:$H, MATCH($D682, 'Local Data Previous Year'!$D:$D, 0)), "")</f>
        <v/>
      </c>
      <c r="M682" s="762"/>
      <c r="N682" s="763"/>
      <c r="O682" s="767"/>
      <c r="P682" s="765"/>
      <c r="Q682" s="767"/>
      <c r="R682" s="766" t="str">
        <f t="shared" si="137"/>
        <v/>
      </c>
      <c r="S682" s="754"/>
      <c r="T682" s="763"/>
      <c r="U682" s="754"/>
      <c r="V682" s="763"/>
      <c r="W682" s="763"/>
      <c r="X682" s="865" t="str">
        <f>VLOOKUP(CTR1_Billing!$E$21,Data!$C$6:$D$302,1,FALSE)</f>
        <v>EZZZZ</v>
      </c>
      <c r="Y682" s="205"/>
      <c r="Z682" s="205">
        <f t="shared" si="129"/>
        <v>0</v>
      </c>
      <c r="AA682" s="206" t="str">
        <f t="shared" si="128"/>
        <v/>
      </c>
      <c r="AB682" s="205">
        <f t="shared" si="130"/>
        <v>0</v>
      </c>
      <c r="AC682" s="208"/>
      <c r="AD682" s="208"/>
      <c r="AE682" s="208"/>
      <c r="AF682" s="208"/>
      <c r="AG682" s="209" t="str">
        <f>IFERROR(INDEX('Local Data Previous Year'!$F:$F, MATCH($D682, 'Local Data Previous Year'!$D:$D, 0)), "")</f>
        <v/>
      </c>
      <c r="AH682" s="209" t="str">
        <f>IFERROR(INDEX('Local Data Previous Year'!$G:$G, MATCH($D682, 'Local Data Previous Year'!$D:$D, 0)), "")</f>
        <v/>
      </c>
      <c r="AI682" s="209" t="str">
        <f>IFERROR(INDEX('Local Data Previous Year'!$H:$H, MATCH($D682, 'Local Data Previous Year'!$D:$D, 0)), "")</f>
        <v/>
      </c>
      <c r="AJ682" s="209" t="str">
        <f t="shared" si="131"/>
        <v/>
      </c>
      <c r="AK682" s="209" t="str">
        <f t="shared" si="116"/>
        <v/>
      </c>
      <c r="AL682" s="209" t="str">
        <f t="shared" si="117"/>
        <v/>
      </c>
      <c r="AM682" s="208" t="str">
        <f>IF($AN682="","",IFERROR(VLOOKUP(CONCATENATE(CTR1_Billing!$E$20,$AN682),'Local Data Previous Year'!$C$3:$D$50000,2,0),CTR1_Billing!$E$21&amp;"NEW"))</f>
        <v/>
      </c>
      <c r="AN682" s="209" t="str" cm="1">
        <f t="array" ref="AN682">IF(ISERROR(INDEX('Local Data Previous Year'!$E$3:$E$50000, SMALL(IF(CTR1_Billing!$E$21='Local Data Previous Year'!$A$3:$A$50000, ROW('Local Data Previous Year'!$A$3:$A$50000)-ROW('Local Data Previous Year'!$A$3)+1), ROW(650:650)))), "", INDEX('Local Data Previous Year'!$E$3:$E$50000, SMALL(IF(CTR1_Billing!$E$21='Local Data Previous Year'!$A$3:$A$50000, ROW('Local Data Previous Year'!$A$3:$A$50000)-ROW('Local Data Previous Year'!$A$3)+1), ROW(650:650))))</f>
        <v/>
      </c>
      <c r="AO682" s="209" t="str">
        <f t="shared" si="132"/>
        <v/>
      </c>
      <c r="AP682" s="208"/>
      <c r="AQ682" s="209" t="str">
        <f t="shared" si="133"/>
        <v/>
      </c>
      <c r="AR682" s="209" t="str">
        <f t="shared" si="134"/>
        <v/>
      </c>
      <c r="AS682" s="202" t="str">
        <f t="shared" si="135"/>
        <v/>
      </c>
      <c r="AT682" s="202" t="str">
        <f t="shared" si="136"/>
        <v/>
      </c>
      <c r="AU682" s="208"/>
      <c r="AV682" s="208"/>
      <c r="AW682" s="208"/>
      <c r="AX682" s="208"/>
      <c r="AY682" s="208"/>
      <c r="AZ682" s="208"/>
      <c r="BA682" s="208"/>
      <c r="BB682" s="208"/>
      <c r="BC682" s="208"/>
      <c r="BD682" s="208"/>
      <c r="BE682" s="208"/>
      <c r="BF682" s="208"/>
      <c r="BG682" s="28"/>
      <c r="BH682" s="28"/>
      <c r="BI682" s="28"/>
      <c r="BJ682" s="28"/>
    </row>
    <row r="683" spans="1:62" s="23" customFormat="1" ht="21" customHeight="1" thickBot="1" x14ac:dyDescent="0.25">
      <c r="A683" s="846" t="str">
        <f>IF($AN683="","",IFERROR(VLOOKUP(CONCATENATE(CTR1_Billing!$E$20,$AN683),'Local Data Previous Year'!$C$3:$D$20000,2,0),CTR1_Billing!$E$21&amp;"NEW"))</f>
        <v/>
      </c>
      <c r="B683" s="846" t="str">
        <f>IF($E683="","",IFERROR(VLOOKUP(CONCATENATE(CTR1_Billing!$E$20,CTR1_Local!$E683),'Local Data Previous Year'!$C$3:$D$20000,2,0),CTR1_Billing!$E$21&amp;"NEW"))</f>
        <v/>
      </c>
      <c r="C683" s="846">
        <v>651</v>
      </c>
      <c r="D683" s="755" t="str" cm="1">
        <f t="array" ref="D683">IF(ISERROR(INDEX('Local Data Previous Year'!$D$3:$D$20000,SMALL(IF(CTR1_Billing!$E$21='Local Data Previous Year'!$A$3:$A$20000,ROW('Local Data Previous Year'!$A$3:$A$20000)-ROW('Local Data Previous Year'!$A$3)+1),ROW(651:651)))),"",INDEX('Local Data Previous Year'!$D$3:$D$20000,SMALL(IF(CTR1_Billing!$E$21='Local Data Previous Year'!$A$3:$A$20000,ROW('Local Data Previous Year'!$A$3:$A$20000)-ROW('Local Data Previous Year'!$A$3)+1),ROW(651:651))))</f>
        <v/>
      </c>
      <c r="E683" s="755" t="str" cm="1">
        <f t="array" ref="E683">IF(ISERROR(INDEX('Local Data Previous Year'!$E$3:$E$20000,SMALL(IF(CTR1_Billing!$E$21='Local Data Previous Year'!$A$3:$A$20000,ROW('Local Data Previous Year'!$A$3:$A$20000)-ROW('Local Data Previous Year'!$A$3)+1),ROW(651:651)))),"",INDEX('Local Data Previous Year'!$E$3:$E$20000,SMALL(IF(CTR1_Billing!$E$21='Local Data Previous Year'!$A$3:$A$20000,ROW('Local Data Previous Year'!$A$3:$A$20000)-ROW('Local Data Previous Year'!$A$3)+1),ROW(651:651))))</f>
        <v/>
      </c>
      <c r="F683" s="756" t="str">
        <f>IF($D683="","",IF(ISNA(MATCH($D683,'Local Data Previous Year'!$D$3:$D$20000,0)),"New",IFERROR(VLOOKUP($B683,'Local Data Previous Year'!$D$3:$I$20000,6,0),"")))</f>
        <v/>
      </c>
      <c r="G683" s="757">
        <f t="shared" si="112"/>
        <v>0</v>
      </c>
      <c r="H683" s="758" t="str">
        <f>IFERROR(INDEX('Local Data Previous Year'!$F:$F, MATCH($D683, 'Local Data Previous Year'!$D:$D, 0)), "")</f>
        <v/>
      </c>
      <c r="I683" s="759">
        <f>IF(B683=CTR1_Billing!$E$21&amp;"NEW",1,0)</f>
        <v>0</v>
      </c>
      <c r="J683" s="760" t="str">
        <f>IFERROR(INDEX('Local Data Previous Year'!$G:$G, MATCH($D683, 'Local Data Previous Year'!$D:$D, 0)), "")</f>
        <v/>
      </c>
      <c r="K683" s="762"/>
      <c r="L683" s="760" t="str">
        <f>IFERROR(INDEX('Local Data Previous Year'!$H:$H, MATCH($D683, 'Local Data Previous Year'!$D:$D, 0)), "")</f>
        <v/>
      </c>
      <c r="M683" s="762"/>
      <c r="N683" s="763"/>
      <c r="O683" s="767"/>
      <c r="P683" s="765"/>
      <c r="Q683" s="767"/>
      <c r="R683" s="766" t="str">
        <f t="shared" si="137"/>
        <v/>
      </c>
      <c r="S683" s="754"/>
      <c r="T683" s="763"/>
      <c r="U683" s="754"/>
      <c r="V683" s="763"/>
      <c r="W683" s="763"/>
      <c r="X683" s="865" t="str">
        <f>VLOOKUP(CTR1_Billing!$E$21,Data!$C$6:$D$302,1,FALSE)</f>
        <v>EZZZZ</v>
      </c>
      <c r="Y683" s="205"/>
      <c r="Z683" s="205">
        <f t="shared" si="129"/>
        <v>0</v>
      </c>
      <c r="AA683" s="206" t="str">
        <f t="shared" si="128"/>
        <v/>
      </c>
      <c r="AB683" s="205">
        <f t="shared" si="130"/>
        <v>0</v>
      </c>
      <c r="AC683" s="208"/>
      <c r="AD683" s="208"/>
      <c r="AE683" s="208"/>
      <c r="AF683" s="208"/>
      <c r="AG683" s="209" t="str">
        <f>IFERROR(INDEX('Local Data Previous Year'!$F:$F, MATCH($D683, 'Local Data Previous Year'!$D:$D, 0)), "")</f>
        <v/>
      </c>
      <c r="AH683" s="209" t="str">
        <f>IFERROR(INDEX('Local Data Previous Year'!$G:$G, MATCH($D683, 'Local Data Previous Year'!$D:$D, 0)), "")</f>
        <v/>
      </c>
      <c r="AI683" s="209" t="str">
        <f>IFERROR(INDEX('Local Data Previous Year'!$H:$H, MATCH($D683, 'Local Data Previous Year'!$D:$D, 0)), "")</f>
        <v/>
      </c>
      <c r="AJ683" s="209" t="str">
        <f t="shared" si="131"/>
        <v/>
      </c>
      <c r="AK683" s="209" t="str">
        <f t="shared" si="116"/>
        <v/>
      </c>
      <c r="AL683" s="209" t="str">
        <f t="shared" si="117"/>
        <v/>
      </c>
      <c r="AM683" s="208" t="str">
        <f>IF($AN683="","",IFERROR(VLOOKUP(CONCATENATE(CTR1_Billing!$E$20,$AN683),'Local Data Previous Year'!$C$3:$D$50000,2,0),CTR1_Billing!$E$21&amp;"NEW"))</f>
        <v/>
      </c>
      <c r="AN683" s="209" t="str" cm="1">
        <f t="array" ref="AN683">IF(ISERROR(INDEX('Local Data Previous Year'!$E$3:$E$50000, SMALL(IF(CTR1_Billing!$E$21='Local Data Previous Year'!$A$3:$A$50000, ROW('Local Data Previous Year'!$A$3:$A$50000)-ROW('Local Data Previous Year'!$A$3)+1), ROW(651:651)))), "", INDEX('Local Data Previous Year'!$E$3:$E$50000, SMALL(IF(CTR1_Billing!$E$21='Local Data Previous Year'!$A$3:$A$50000, ROW('Local Data Previous Year'!$A$3:$A$50000)-ROW('Local Data Previous Year'!$A$3)+1), ROW(651:651))))</f>
        <v/>
      </c>
      <c r="AO683" s="209" t="str">
        <f t="shared" si="132"/>
        <v/>
      </c>
      <c r="AP683" s="208"/>
      <c r="AQ683" s="209" t="str">
        <f t="shared" si="133"/>
        <v/>
      </c>
      <c r="AR683" s="209" t="str">
        <f t="shared" si="134"/>
        <v/>
      </c>
      <c r="AS683" s="202" t="str">
        <f t="shared" si="135"/>
        <v/>
      </c>
      <c r="AT683" s="202" t="str">
        <f t="shared" si="136"/>
        <v/>
      </c>
      <c r="AU683" s="208"/>
      <c r="AV683" s="208"/>
      <c r="AW683" s="208"/>
      <c r="AX683" s="208"/>
      <c r="AY683" s="208"/>
      <c r="AZ683" s="208"/>
      <c r="BA683" s="208"/>
      <c r="BB683" s="208"/>
      <c r="BC683" s="208"/>
      <c r="BD683" s="208"/>
      <c r="BE683" s="208"/>
      <c r="BF683" s="208"/>
      <c r="BG683" s="28"/>
      <c r="BH683" s="28"/>
      <c r="BI683" s="28"/>
      <c r="BJ683" s="28"/>
    </row>
    <row r="684" spans="1:62" s="23" customFormat="1" ht="21" customHeight="1" thickBot="1" x14ac:dyDescent="0.25">
      <c r="A684" s="846" t="str">
        <f>IF($AN684="","",IFERROR(VLOOKUP(CONCATENATE(CTR1_Billing!$E$20,$AN684),'Local Data Previous Year'!$C$3:$D$20000,2,0),CTR1_Billing!$E$21&amp;"NEW"))</f>
        <v/>
      </c>
      <c r="B684" s="846" t="str">
        <f>IF($E684="","",IFERROR(VLOOKUP(CONCATENATE(CTR1_Billing!$E$20,CTR1_Local!$E684),'Local Data Previous Year'!$C$3:$D$20000,2,0),CTR1_Billing!$E$21&amp;"NEW"))</f>
        <v/>
      </c>
      <c r="C684" s="846">
        <v>652</v>
      </c>
      <c r="D684" s="755" t="str" cm="1">
        <f t="array" ref="D684">IF(ISERROR(INDEX('Local Data Previous Year'!$D$3:$D$20000,SMALL(IF(CTR1_Billing!$E$21='Local Data Previous Year'!$A$3:$A$20000,ROW('Local Data Previous Year'!$A$3:$A$20000)-ROW('Local Data Previous Year'!$A$3)+1),ROW(652:652)))),"",INDEX('Local Data Previous Year'!$D$3:$D$20000,SMALL(IF(CTR1_Billing!$E$21='Local Data Previous Year'!$A$3:$A$20000,ROW('Local Data Previous Year'!$A$3:$A$20000)-ROW('Local Data Previous Year'!$A$3)+1),ROW(652:652))))</f>
        <v/>
      </c>
      <c r="E684" s="755" t="str" cm="1">
        <f t="array" ref="E684">IF(ISERROR(INDEX('Local Data Previous Year'!$E$3:$E$20000,SMALL(IF(CTR1_Billing!$E$21='Local Data Previous Year'!$A$3:$A$20000,ROW('Local Data Previous Year'!$A$3:$A$20000)-ROW('Local Data Previous Year'!$A$3)+1),ROW(652:652)))),"",INDEX('Local Data Previous Year'!$E$3:$E$20000,SMALL(IF(CTR1_Billing!$E$21='Local Data Previous Year'!$A$3:$A$20000,ROW('Local Data Previous Year'!$A$3:$A$20000)-ROW('Local Data Previous Year'!$A$3)+1),ROW(652:652))))</f>
        <v/>
      </c>
      <c r="F684" s="756" t="str">
        <f>IF($D684="","",IF(ISNA(MATCH($D684,'Local Data Previous Year'!$D$3:$D$20000,0)),"New",IFERROR(VLOOKUP($B684,'Local Data Previous Year'!$D$3:$I$20000,6,0),"")))</f>
        <v/>
      </c>
      <c r="G684" s="757">
        <f t="shared" si="112"/>
        <v>0</v>
      </c>
      <c r="H684" s="758" t="str">
        <f>IFERROR(INDEX('Local Data Previous Year'!$F:$F, MATCH($D684, 'Local Data Previous Year'!$D:$D, 0)), "")</f>
        <v/>
      </c>
      <c r="I684" s="759">
        <f>IF(B684=CTR1_Billing!$E$21&amp;"NEW",1,0)</f>
        <v>0</v>
      </c>
      <c r="J684" s="760" t="str">
        <f>IFERROR(INDEX('Local Data Previous Year'!$G:$G, MATCH($D684, 'Local Data Previous Year'!$D:$D, 0)), "")</f>
        <v/>
      </c>
      <c r="K684" s="762"/>
      <c r="L684" s="760" t="str">
        <f>IFERROR(INDEX('Local Data Previous Year'!$H:$H, MATCH($D684, 'Local Data Previous Year'!$D:$D, 0)), "")</f>
        <v/>
      </c>
      <c r="M684" s="762"/>
      <c r="N684" s="763"/>
      <c r="O684" s="767"/>
      <c r="P684" s="765"/>
      <c r="Q684" s="767"/>
      <c r="R684" s="766" t="str">
        <f t="shared" si="137"/>
        <v/>
      </c>
      <c r="S684" s="754"/>
      <c r="T684" s="763"/>
      <c r="U684" s="754"/>
      <c r="V684" s="763"/>
      <c r="W684" s="763"/>
      <c r="X684" s="865" t="str">
        <f>VLOOKUP(CTR1_Billing!$E$21,Data!$C$6:$D$302,1,FALSE)</f>
        <v>EZZZZ</v>
      </c>
      <c r="Y684" s="205"/>
      <c r="Z684" s="205">
        <f t="shared" si="129"/>
        <v>0</v>
      </c>
      <c r="AA684" s="206" t="str">
        <f t="shared" si="128"/>
        <v/>
      </c>
      <c r="AB684" s="205">
        <f t="shared" si="130"/>
        <v>0</v>
      </c>
      <c r="AC684" s="208"/>
      <c r="AD684" s="208"/>
      <c r="AE684" s="208"/>
      <c r="AF684" s="208"/>
      <c r="AG684" s="209" t="str">
        <f>IFERROR(INDEX('Local Data Previous Year'!$F:$F, MATCH($D684, 'Local Data Previous Year'!$D:$D, 0)), "")</f>
        <v/>
      </c>
      <c r="AH684" s="209" t="str">
        <f>IFERROR(INDEX('Local Data Previous Year'!$G:$G, MATCH($D684, 'Local Data Previous Year'!$D:$D, 0)), "")</f>
        <v/>
      </c>
      <c r="AI684" s="209" t="str">
        <f>IFERROR(INDEX('Local Data Previous Year'!$H:$H, MATCH($D684, 'Local Data Previous Year'!$D:$D, 0)), "")</f>
        <v/>
      </c>
      <c r="AJ684" s="209" t="str">
        <f t="shared" si="131"/>
        <v/>
      </c>
      <c r="AK684" s="209" t="str">
        <f t="shared" si="116"/>
        <v/>
      </c>
      <c r="AL684" s="209" t="str">
        <f t="shared" si="117"/>
        <v/>
      </c>
      <c r="AM684" s="208" t="str">
        <f>IF($AN684="","",IFERROR(VLOOKUP(CONCATENATE(CTR1_Billing!$E$20,$AN684),'Local Data Previous Year'!$C$3:$D$50000,2,0),CTR1_Billing!$E$21&amp;"NEW"))</f>
        <v/>
      </c>
      <c r="AN684" s="209" t="str" cm="1">
        <f t="array" ref="AN684">IF(ISERROR(INDEX('Local Data Previous Year'!$E$3:$E$50000, SMALL(IF(CTR1_Billing!$E$21='Local Data Previous Year'!$A$3:$A$50000, ROW('Local Data Previous Year'!$A$3:$A$50000)-ROW('Local Data Previous Year'!$A$3)+1), ROW(652:652)))), "", INDEX('Local Data Previous Year'!$E$3:$E$50000, SMALL(IF(CTR1_Billing!$E$21='Local Data Previous Year'!$A$3:$A$50000, ROW('Local Data Previous Year'!$A$3:$A$50000)-ROW('Local Data Previous Year'!$A$3)+1), ROW(652:652))))</f>
        <v/>
      </c>
      <c r="AO684" s="209" t="str">
        <f t="shared" si="132"/>
        <v/>
      </c>
      <c r="AP684" s="208"/>
      <c r="AQ684" s="209" t="str">
        <f t="shared" si="133"/>
        <v/>
      </c>
      <c r="AR684" s="209" t="str">
        <f t="shared" si="134"/>
        <v/>
      </c>
      <c r="AS684" s="202" t="str">
        <f t="shared" si="135"/>
        <v/>
      </c>
      <c r="AT684" s="202" t="str">
        <f t="shared" si="136"/>
        <v/>
      </c>
      <c r="AU684" s="208"/>
      <c r="AV684" s="208"/>
      <c r="AW684" s="208"/>
      <c r="AX684" s="208"/>
      <c r="AY684" s="208"/>
      <c r="AZ684" s="208"/>
      <c r="BA684" s="208"/>
      <c r="BB684" s="208"/>
      <c r="BC684" s="208"/>
      <c r="BD684" s="208"/>
      <c r="BE684" s="208"/>
      <c r="BF684" s="208"/>
      <c r="BG684" s="28"/>
      <c r="BH684" s="28"/>
      <c r="BI684" s="28"/>
      <c r="BJ684" s="28"/>
    </row>
    <row r="685" spans="1:62" s="23" customFormat="1" ht="21" customHeight="1" thickBot="1" x14ac:dyDescent="0.25">
      <c r="A685" s="846" t="str">
        <f>IF($AN685="","",IFERROR(VLOOKUP(CONCATENATE(CTR1_Billing!$E$20,$AN685),'Local Data Previous Year'!$C$3:$D$20000,2,0),CTR1_Billing!$E$21&amp;"NEW"))</f>
        <v/>
      </c>
      <c r="B685" s="846" t="str">
        <f>IF($E685="","",IFERROR(VLOOKUP(CONCATENATE(CTR1_Billing!$E$20,CTR1_Local!$E685),'Local Data Previous Year'!$C$3:$D$20000,2,0),CTR1_Billing!$E$21&amp;"NEW"))</f>
        <v/>
      </c>
      <c r="C685" s="846">
        <v>653</v>
      </c>
      <c r="D685" s="755" t="str" cm="1">
        <f t="array" ref="D685">IF(ISERROR(INDEX('Local Data Previous Year'!$D$3:$D$20000,SMALL(IF(CTR1_Billing!$E$21='Local Data Previous Year'!$A$3:$A$20000,ROW('Local Data Previous Year'!$A$3:$A$20000)-ROW('Local Data Previous Year'!$A$3)+1),ROW(653:653)))),"",INDEX('Local Data Previous Year'!$D$3:$D$20000,SMALL(IF(CTR1_Billing!$E$21='Local Data Previous Year'!$A$3:$A$20000,ROW('Local Data Previous Year'!$A$3:$A$20000)-ROW('Local Data Previous Year'!$A$3)+1),ROW(653:653))))</f>
        <v/>
      </c>
      <c r="E685" s="755" t="str" cm="1">
        <f t="array" ref="E685">IF(ISERROR(INDEX('Local Data Previous Year'!$E$3:$E$20000,SMALL(IF(CTR1_Billing!$E$21='Local Data Previous Year'!$A$3:$A$20000,ROW('Local Data Previous Year'!$A$3:$A$20000)-ROW('Local Data Previous Year'!$A$3)+1),ROW(653:653)))),"",INDEX('Local Data Previous Year'!$E$3:$E$20000,SMALL(IF(CTR1_Billing!$E$21='Local Data Previous Year'!$A$3:$A$20000,ROW('Local Data Previous Year'!$A$3:$A$20000)-ROW('Local Data Previous Year'!$A$3)+1),ROW(653:653))))</f>
        <v/>
      </c>
      <c r="F685" s="756" t="str">
        <f>IF($D685="","",IF(ISNA(MATCH($D685,'Local Data Previous Year'!$D$3:$D$20000,0)),"New",IFERROR(VLOOKUP($B685,'Local Data Previous Year'!$D$3:$I$20000,6,0),"")))</f>
        <v/>
      </c>
      <c r="G685" s="757">
        <f t="shared" si="112"/>
        <v>0</v>
      </c>
      <c r="H685" s="758" t="str">
        <f>IFERROR(INDEX('Local Data Previous Year'!$F:$F, MATCH($D685, 'Local Data Previous Year'!$D:$D, 0)), "")</f>
        <v/>
      </c>
      <c r="I685" s="759">
        <f>IF(B685=CTR1_Billing!$E$21&amp;"NEW",1,0)</f>
        <v>0</v>
      </c>
      <c r="J685" s="760" t="str">
        <f>IFERROR(INDEX('Local Data Previous Year'!$G:$G, MATCH($D685, 'Local Data Previous Year'!$D:$D, 0)), "")</f>
        <v/>
      </c>
      <c r="K685" s="762"/>
      <c r="L685" s="760" t="str">
        <f>IFERROR(INDEX('Local Data Previous Year'!$H:$H, MATCH($D685, 'Local Data Previous Year'!$D:$D, 0)), "")</f>
        <v/>
      </c>
      <c r="M685" s="762"/>
      <c r="N685" s="763"/>
      <c r="O685" s="767"/>
      <c r="P685" s="765"/>
      <c r="Q685" s="767"/>
      <c r="R685" s="766" t="str">
        <f t="shared" si="137"/>
        <v/>
      </c>
      <c r="S685" s="754"/>
      <c r="T685" s="763"/>
      <c r="U685" s="754"/>
      <c r="V685" s="763"/>
      <c r="W685" s="763"/>
      <c r="X685" s="865" t="str">
        <f>VLOOKUP(CTR1_Billing!$E$21,Data!$C$6:$D$302,1,FALSE)</f>
        <v>EZZZZ</v>
      </c>
      <c r="Y685" s="205"/>
      <c r="Z685" s="205">
        <f t="shared" si="129"/>
        <v>0</v>
      </c>
      <c r="AA685" s="206" t="str">
        <f t="shared" si="128"/>
        <v/>
      </c>
      <c r="AB685" s="205">
        <f t="shared" si="130"/>
        <v>0</v>
      </c>
      <c r="AC685" s="208"/>
      <c r="AD685" s="208"/>
      <c r="AE685" s="208"/>
      <c r="AF685" s="208"/>
      <c r="AG685" s="209" t="str">
        <f>IFERROR(INDEX('Local Data Previous Year'!$F:$F, MATCH($D685, 'Local Data Previous Year'!$D:$D, 0)), "")</f>
        <v/>
      </c>
      <c r="AH685" s="209" t="str">
        <f>IFERROR(INDEX('Local Data Previous Year'!$G:$G, MATCH($D685, 'Local Data Previous Year'!$D:$D, 0)), "")</f>
        <v/>
      </c>
      <c r="AI685" s="209" t="str">
        <f>IFERROR(INDEX('Local Data Previous Year'!$H:$H, MATCH($D685, 'Local Data Previous Year'!$D:$D, 0)), "")</f>
        <v/>
      </c>
      <c r="AJ685" s="209" t="str">
        <f t="shared" si="131"/>
        <v/>
      </c>
      <c r="AK685" s="209" t="str">
        <f t="shared" si="116"/>
        <v/>
      </c>
      <c r="AL685" s="209" t="str">
        <f t="shared" si="117"/>
        <v/>
      </c>
      <c r="AM685" s="208" t="str">
        <f>IF($AN685="","",IFERROR(VLOOKUP(CONCATENATE(CTR1_Billing!$E$20,$AN685),'Local Data Previous Year'!$C$3:$D$50000,2,0),CTR1_Billing!$E$21&amp;"NEW"))</f>
        <v/>
      </c>
      <c r="AN685" s="209" t="str" cm="1">
        <f t="array" ref="AN685">IF(ISERROR(INDEX('Local Data Previous Year'!$E$3:$E$50000, SMALL(IF(CTR1_Billing!$E$21='Local Data Previous Year'!$A$3:$A$50000, ROW('Local Data Previous Year'!$A$3:$A$50000)-ROW('Local Data Previous Year'!$A$3)+1), ROW(653:653)))), "", INDEX('Local Data Previous Year'!$E$3:$E$50000, SMALL(IF(CTR1_Billing!$E$21='Local Data Previous Year'!$A$3:$A$50000, ROW('Local Data Previous Year'!$A$3:$A$50000)-ROW('Local Data Previous Year'!$A$3)+1), ROW(653:653))))</f>
        <v/>
      </c>
      <c r="AO685" s="209" t="str">
        <f t="shared" si="132"/>
        <v/>
      </c>
      <c r="AP685" s="208"/>
      <c r="AQ685" s="209" t="str">
        <f t="shared" si="133"/>
        <v/>
      </c>
      <c r="AR685" s="209" t="str">
        <f t="shared" si="134"/>
        <v/>
      </c>
      <c r="AS685" s="202" t="str">
        <f t="shared" si="135"/>
        <v/>
      </c>
      <c r="AT685" s="202" t="str">
        <f t="shared" si="136"/>
        <v/>
      </c>
      <c r="AU685" s="208"/>
      <c r="AV685" s="208"/>
      <c r="AW685" s="208"/>
      <c r="AX685" s="208"/>
      <c r="AY685" s="208"/>
      <c r="AZ685" s="208"/>
      <c r="BA685" s="208"/>
      <c r="BB685" s="208"/>
      <c r="BC685" s="208"/>
      <c r="BD685" s="208"/>
      <c r="BE685" s="208"/>
      <c r="BF685" s="208"/>
      <c r="BG685" s="28"/>
      <c r="BH685" s="28"/>
      <c r="BI685" s="28"/>
      <c r="BJ685" s="28"/>
    </row>
    <row r="686" spans="1:62" s="23" customFormat="1" ht="21" customHeight="1" thickBot="1" x14ac:dyDescent="0.25">
      <c r="A686" s="846" t="str">
        <f>IF($AN686="","",IFERROR(VLOOKUP(CONCATENATE(CTR1_Billing!$E$20,$AN686),'Local Data Previous Year'!$C$3:$D$20000,2,0),CTR1_Billing!$E$21&amp;"NEW"))</f>
        <v/>
      </c>
      <c r="B686" s="846" t="str">
        <f>IF($E686="","",IFERROR(VLOOKUP(CONCATENATE(CTR1_Billing!$E$20,CTR1_Local!$E686),'Local Data Previous Year'!$C$3:$D$20000,2,0),CTR1_Billing!$E$21&amp;"NEW"))</f>
        <v/>
      </c>
      <c r="C686" s="846">
        <v>654</v>
      </c>
      <c r="D686" s="755" t="str" cm="1">
        <f t="array" ref="D686">IF(ISERROR(INDEX('Local Data Previous Year'!$D$3:$D$20000,SMALL(IF(CTR1_Billing!$E$21='Local Data Previous Year'!$A$3:$A$20000,ROW('Local Data Previous Year'!$A$3:$A$20000)-ROW('Local Data Previous Year'!$A$3)+1),ROW(654:654)))),"",INDEX('Local Data Previous Year'!$D$3:$D$20000,SMALL(IF(CTR1_Billing!$E$21='Local Data Previous Year'!$A$3:$A$20000,ROW('Local Data Previous Year'!$A$3:$A$20000)-ROW('Local Data Previous Year'!$A$3)+1),ROW(654:654))))</f>
        <v/>
      </c>
      <c r="E686" s="755" t="str" cm="1">
        <f t="array" ref="E686">IF(ISERROR(INDEX('Local Data Previous Year'!$E$3:$E$20000,SMALL(IF(CTR1_Billing!$E$21='Local Data Previous Year'!$A$3:$A$20000,ROW('Local Data Previous Year'!$A$3:$A$20000)-ROW('Local Data Previous Year'!$A$3)+1),ROW(654:654)))),"",INDEX('Local Data Previous Year'!$E$3:$E$20000,SMALL(IF(CTR1_Billing!$E$21='Local Data Previous Year'!$A$3:$A$20000,ROW('Local Data Previous Year'!$A$3:$A$20000)-ROW('Local Data Previous Year'!$A$3)+1),ROW(654:654))))</f>
        <v/>
      </c>
      <c r="F686" s="756" t="str">
        <f>IF($D686="","",IF(ISNA(MATCH($D686,'Local Data Previous Year'!$D$3:$D$20000,0)),"New",IFERROR(VLOOKUP($B686,'Local Data Previous Year'!$D$3:$I$20000,6,0),"")))</f>
        <v/>
      </c>
      <c r="G686" s="757">
        <f t="shared" si="112"/>
        <v>0</v>
      </c>
      <c r="H686" s="758" t="str">
        <f>IFERROR(INDEX('Local Data Previous Year'!$F:$F, MATCH($D686, 'Local Data Previous Year'!$D:$D, 0)), "")</f>
        <v/>
      </c>
      <c r="I686" s="759">
        <f>IF(B686=CTR1_Billing!$E$21&amp;"NEW",1,0)</f>
        <v>0</v>
      </c>
      <c r="J686" s="760" t="str">
        <f>IFERROR(INDEX('Local Data Previous Year'!$G:$G, MATCH($D686, 'Local Data Previous Year'!$D:$D, 0)), "")</f>
        <v/>
      </c>
      <c r="K686" s="762"/>
      <c r="L686" s="760" t="str">
        <f>IFERROR(INDEX('Local Data Previous Year'!$H:$H, MATCH($D686, 'Local Data Previous Year'!$D:$D, 0)), "")</f>
        <v/>
      </c>
      <c r="M686" s="762"/>
      <c r="N686" s="763"/>
      <c r="O686" s="767"/>
      <c r="P686" s="765"/>
      <c r="Q686" s="767"/>
      <c r="R686" s="766" t="str">
        <f t="shared" si="137"/>
        <v/>
      </c>
      <c r="S686" s="754"/>
      <c r="T686" s="763"/>
      <c r="U686" s="754"/>
      <c r="V686" s="763"/>
      <c r="W686" s="763"/>
      <c r="X686" s="865" t="str">
        <f>VLOOKUP(CTR1_Billing!$E$21,Data!$C$6:$D$302,1,FALSE)</f>
        <v>EZZZZ</v>
      </c>
      <c r="Y686" s="205"/>
      <c r="Z686" s="205">
        <f t="shared" si="129"/>
        <v>0</v>
      </c>
      <c r="AA686" s="206" t="str">
        <f t="shared" si="128"/>
        <v/>
      </c>
      <c r="AB686" s="205">
        <f t="shared" si="130"/>
        <v>0</v>
      </c>
      <c r="AC686" s="208"/>
      <c r="AD686" s="208"/>
      <c r="AE686" s="208"/>
      <c r="AF686" s="208"/>
      <c r="AG686" s="209" t="str">
        <f>IFERROR(INDEX('Local Data Previous Year'!$F:$F, MATCH($D686, 'Local Data Previous Year'!$D:$D, 0)), "")</f>
        <v/>
      </c>
      <c r="AH686" s="209" t="str">
        <f>IFERROR(INDEX('Local Data Previous Year'!$G:$G, MATCH($D686, 'Local Data Previous Year'!$D:$D, 0)), "")</f>
        <v/>
      </c>
      <c r="AI686" s="209" t="str">
        <f>IFERROR(INDEX('Local Data Previous Year'!$H:$H, MATCH($D686, 'Local Data Previous Year'!$D:$D, 0)), "")</f>
        <v/>
      </c>
      <c r="AJ686" s="209" t="str">
        <f t="shared" si="131"/>
        <v/>
      </c>
      <c r="AK686" s="209" t="str">
        <f t="shared" si="116"/>
        <v/>
      </c>
      <c r="AL686" s="209" t="str">
        <f t="shared" si="117"/>
        <v/>
      </c>
      <c r="AM686" s="208" t="str">
        <f>IF($AN686="","",IFERROR(VLOOKUP(CONCATENATE(CTR1_Billing!$E$20,$AN686),'Local Data Previous Year'!$C$3:$D$50000,2,0),CTR1_Billing!$E$21&amp;"NEW"))</f>
        <v/>
      </c>
      <c r="AN686" s="209" t="str" cm="1">
        <f t="array" ref="AN686">IF(ISERROR(INDEX('Local Data Previous Year'!$E$3:$E$50000, SMALL(IF(CTR1_Billing!$E$21='Local Data Previous Year'!$A$3:$A$50000, ROW('Local Data Previous Year'!$A$3:$A$50000)-ROW('Local Data Previous Year'!$A$3)+1), ROW(654:654)))), "", INDEX('Local Data Previous Year'!$E$3:$E$50000, SMALL(IF(CTR1_Billing!$E$21='Local Data Previous Year'!$A$3:$A$50000, ROW('Local Data Previous Year'!$A$3:$A$50000)-ROW('Local Data Previous Year'!$A$3)+1), ROW(654:654))))</f>
        <v/>
      </c>
      <c r="AO686" s="209" t="str">
        <f t="shared" si="132"/>
        <v/>
      </c>
      <c r="AP686" s="208"/>
      <c r="AQ686" s="209" t="str">
        <f t="shared" si="133"/>
        <v/>
      </c>
      <c r="AR686" s="209" t="str">
        <f t="shared" si="134"/>
        <v/>
      </c>
      <c r="AS686" s="202" t="str">
        <f t="shared" si="135"/>
        <v/>
      </c>
      <c r="AT686" s="202" t="str">
        <f t="shared" si="136"/>
        <v/>
      </c>
      <c r="AU686" s="208"/>
      <c r="AV686" s="208"/>
      <c r="AW686" s="208"/>
      <c r="AX686" s="208"/>
      <c r="AY686" s="208"/>
      <c r="AZ686" s="208"/>
      <c r="BA686" s="208"/>
      <c r="BB686" s="208"/>
      <c r="BC686" s="208"/>
      <c r="BD686" s="208"/>
      <c r="BE686" s="208"/>
      <c r="BF686" s="208"/>
      <c r="BG686" s="28"/>
      <c r="BH686" s="28"/>
      <c r="BI686" s="28"/>
      <c r="BJ686" s="28"/>
    </row>
    <row r="687" spans="1:62" s="23" customFormat="1" ht="21" customHeight="1" thickBot="1" x14ac:dyDescent="0.25">
      <c r="A687" s="846" t="str">
        <f>IF($AN687="","",IFERROR(VLOOKUP(CONCATENATE(CTR1_Billing!$E$20,$AN687),'Local Data Previous Year'!$C$3:$D$20000,2,0),CTR1_Billing!$E$21&amp;"NEW"))</f>
        <v/>
      </c>
      <c r="B687" s="846" t="str">
        <f>IF($E687="","",IFERROR(VLOOKUP(CONCATENATE(CTR1_Billing!$E$20,CTR1_Local!$E687),'Local Data Previous Year'!$C$3:$D$20000,2,0),CTR1_Billing!$E$21&amp;"NEW"))</f>
        <v/>
      </c>
      <c r="C687" s="846">
        <v>655</v>
      </c>
      <c r="D687" s="755" t="str" cm="1">
        <f t="array" ref="D687">IF(ISERROR(INDEX('Local Data Previous Year'!$D$3:$D$20000,SMALL(IF(CTR1_Billing!$E$21='Local Data Previous Year'!$A$3:$A$20000,ROW('Local Data Previous Year'!$A$3:$A$20000)-ROW('Local Data Previous Year'!$A$3)+1),ROW(655:655)))),"",INDEX('Local Data Previous Year'!$D$3:$D$20000,SMALL(IF(CTR1_Billing!$E$21='Local Data Previous Year'!$A$3:$A$20000,ROW('Local Data Previous Year'!$A$3:$A$20000)-ROW('Local Data Previous Year'!$A$3)+1),ROW(655:655))))</f>
        <v/>
      </c>
      <c r="E687" s="755" t="str" cm="1">
        <f t="array" ref="E687">IF(ISERROR(INDEX('Local Data Previous Year'!$E$3:$E$20000,SMALL(IF(CTR1_Billing!$E$21='Local Data Previous Year'!$A$3:$A$20000,ROW('Local Data Previous Year'!$A$3:$A$20000)-ROW('Local Data Previous Year'!$A$3)+1),ROW(655:655)))),"",INDEX('Local Data Previous Year'!$E$3:$E$20000,SMALL(IF(CTR1_Billing!$E$21='Local Data Previous Year'!$A$3:$A$20000,ROW('Local Data Previous Year'!$A$3:$A$20000)-ROW('Local Data Previous Year'!$A$3)+1),ROW(655:655))))</f>
        <v/>
      </c>
      <c r="F687" s="756" t="str">
        <f>IF($D687="","",IF(ISNA(MATCH($D687,'Local Data Previous Year'!$D$3:$D$20000,0)),"New",IFERROR(VLOOKUP($B687,'Local Data Previous Year'!$D$3:$I$20000,6,0),"")))</f>
        <v/>
      </c>
      <c r="G687" s="757">
        <f t="shared" si="112"/>
        <v>0</v>
      </c>
      <c r="H687" s="758" t="str">
        <f>IFERROR(INDEX('Local Data Previous Year'!$F:$F, MATCH($D687, 'Local Data Previous Year'!$D:$D, 0)), "")</f>
        <v/>
      </c>
      <c r="I687" s="759">
        <f>IF(B687=CTR1_Billing!$E$21&amp;"NEW",1,0)</f>
        <v>0</v>
      </c>
      <c r="J687" s="760" t="str">
        <f>IFERROR(INDEX('Local Data Previous Year'!$G:$G, MATCH($D687, 'Local Data Previous Year'!$D:$D, 0)), "")</f>
        <v/>
      </c>
      <c r="K687" s="762"/>
      <c r="L687" s="760" t="str">
        <f>IFERROR(INDEX('Local Data Previous Year'!$H:$H, MATCH($D687, 'Local Data Previous Year'!$D:$D, 0)), "")</f>
        <v/>
      </c>
      <c r="M687" s="762"/>
      <c r="N687" s="763"/>
      <c r="O687" s="767"/>
      <c r="P687" s="765"/>
      <c r="Q687" s="767"/>
      <c r="R687" s="766" t="str">
        <f t="shared" si="137"/>
        <v/>
      </c>
      <c r="S687" s="754"/>
      <c r="T687" s="763"/>
      <c r="U687" s="754"/>
      <c r="V687" s="763"/>
      <c r="W687" s="763"/>
      <c r="X687" s="865" t="str">
        <f>VLOOKUP(CTR1_Billing!$E$21,Data!$C$6:$D$302,1,FALSE)</f>
        <v>EZZZZ</v>
      </c>
      <c r="Y687" s="205"/>
      <c r="Z687" s="205">
        <f t="shared" si="129"/>
        <v>0</v>
      </c>
      <c r="AA687" s="206" t="str">
        <f t="shared" si="128"/>
        <v/>
      </c>
      <c r="AB687" s="205">
        <f t="shared" si="130"/>
        <v>0</v>
      </c>
      <c r="AC687" s="208"/>
      <c r="AD687" s="208"/>
      <c r="AE687" s="208"/>
      <c r="AF687" s="208"/>
      <c r="AG687" s="209" t="str">
        <f>IFERROR(INDEX('Local Data Previous Year'!$F:$F, MATCH($D687, 'Local Data Previous Year'!$D:$D, 0)), "")</f>
        <v/>
      </c>
      <c r="AH687" s="209" t="str">
        <f>IFERROR(INDEX('Local Data Previous Year'!$G:$G, MATCH($D687, 'Local Data Previous Year'!$D:$D, 0)), "")</f>
        <v/>
      </c>
      <c r="AI687" s="209" t="str">
        <f>IFERROR(INDEX('Local Data Previous Year'!$H:$H, MATCH($D687, 'Local Data Previous Year'!$D:$D, 0)), "")</f>
        <v/>
      </c>
      <c r="AJ687" s="209" t="str">
        <f t="shared" si="131"/>
        <v/>
      </c>
      <c r="AK687" s="209" t="str">
        <f t="shared" si="116"/>
        <v/>
      </c>
      <c r="AL687" s="209" t="str">
        <f t="shared" si="117"/>
        <v/>
      </c>
      <c r="AM687" s="208" t="str">
        <f>IF($AN687="","",IFERROR(VLOOKUP(CONCATENATE(CTR1_Billing!$E$20,$AN687),'Local Data Previous Year'!$C$3:$D$50000,2,0),CTR1_Billing!$E$21&amp;"NEW"))</f>
        <v/>
      </c>
      <c r="AN687" s="209" t="str" cm="1">
        <f t="array" ref="AN687">IF(ISERROR(INDEX('Local Data Previous Year'!$E$3:$E$50000, SMALL(IF(CTR1_Billing!$E$21='Local Data Previous Year'!$A$3:$A$50000, ROW('Local Data Previous Year'!$A$3:$A$50000)-ROW('Local Data Previous Year'!$A$3)+1), ROW(655:655)))), "", INDEX('Local Data Previous Year'!$E$3:$E$50000, SMALL(IF(CTR1_Billing!$E$21='Local Data Previous Year'!$A$3:$A$50000, ROW('Local Data Previous Year'!$A$3:$A$50000)-ROW('Local Data Previous Year'!$A$3)+1), ROW(655:655))))</f>
        <v/>
      </c>
      <c r="AO687" s="209" t="str">
        <f t="shared" si="132"/>
        <v/>
      </c>
      <c r="AP687" s="208"/>
      <c r="AQ687" s="209" t="str">
        <f t="shared" si="133"/>
        <v/>
      </c>
      <c r="AR687" s="209" t="str">
        <f t="shared" si="134"/>
        <v/>
      </c>
      <c r="AS687" s="202" t="str">
        <f t="shared" si="135"/>
        <v/>
      </c>
      <c r="AT687" s="202" t="str">
        <f t="shared" si="136"/>
        <v/>
      </c>
      <c r="AU687" s="208"/>
      <c r="AV687" s="208"/>
      <c r="AW687" s="208"/>
      <c r="AX687" s="208"/>
      <c r="AY687" s="208"/>
      <c r="AZ687" s="208"/>
      <c r="BA687" s="208"/>
      <c r="BB687" s="208"/>
      <c r="BC687" s="208"/>
      <c r="BD687" s="208"/>
      <c r="BE687" s="208"/>
      <c r="BF687" s="208"/>
      <c r="BG687" s="28"/>
      <c r="BH687" s="28"/>
      <c r="BI687" s="28"/>
      <c r="BJ687" s="28"/>
    </row>
    <row r="688" spans="1:62" s="23" customFormat="1" ht="21" customHeight="1" thickBot="1" x14ac:dyDescent="0.25">
      <c r="A688" s="846" t="str">
        <f>IF($AN688="","",IFERROR(VLOOKUP(CONCATENATE(CTR1_Billing!$E$20,$AN688),'Local Data Previous Year'!$C$3:$D$20000,2,0),CTR1_Billing!$E$21&amp;"NEW"))</f>
        <v/>
      </c>
      <c r="B688" s="846" t="str">
        <f>IF($E688="","",IFERROR(VLOOKUP(CONCATENATE(CTR1_Billing!$E$20,CTR1_Local!$E688),'Local Data Previous Year'!$C$3:$D$20000,2,0),CTR1_Billing!$E$21&amp;"NEW"))</f>
        <v/>
      </c>
      <c r="C688" s="846">
        <v>656</v>
      </c>
      <c r="D688" s="755" t="str" cm="1">
        <f t="array" ref="D688">IF(ISERROR(INDEX('Local Data Previous Year'!$D$3:$D$20000,SMALL(IF(CTR1_Billing!$E$21='Local Data Previous Year'!$A$3:$A$20000,ROW('Local Data Previous Year'!$A$3:$A$20000)-ROW('Local Data Previous Year'!$A$3)+1),ROW(656:656)))),"",INDEX('Local Data Previous Year'!$D$3:$D$20000,SMALL(IF(CTR1_Billing!$E$21='Local Data Previous Year'!$A$3:$A$20000,ROW('Local Data Previous Year'!$A$3:$A$20000)-ROW('Local Data Previous Year'!$A$3)+1),ROW(656:656))))</f>
        <v/>
      </c>
      <c r="E688" s="755" t="str" cm="1">
        <f t="array" ref="E688">IF(ISERROR(INDEX('Local Data Previous Year'!$E$3:$E$20000,SMALL(IF(CTR1_Billing!$E$21='Local Data Previous Year'!$A$3:$A$20000,ROW('Local Data Previous Year'!$A$3:$A$20000)-ROW('Local Data Previous Year'!$A$3)+1),ROW(656:656)))),"",INDEX('Local Data Previous Year'!$E$3:$E$20000,SMALL(IF(CTR1_Billing!$E$21='Local Data Previous Year'!$A$3:$A$20000,ROW('Local Data Previous Year'!$A$3:$A$20000)-ROW('Local Data Previous Year'!$A$3)+1),ROW(656:656))))</f>
        <v/>
      </c>
      <c r="F688" s="756" t="str">
        <f>IF($D688="","",IF(ISNA(MATCH($D688,'Local Data Previous Year'!$D$3:$D$20000,0)),"New",IFERROR(VLOOKUP($B688,'Local Data Previous Year'!$D$3:$I$20000,6,0),"")))</f>
        <v/>
      </c>
      <c r="G688" s="757">
        <f t="shared" si="112"/>
        <v>0</v>
      </c>
      <c r="H688" s="758" t="str">
        <f>IFERROR(INDEX('Local Data Previous Year'!$F:$F, MATCH($D688, 'Local Data Previous Year'!$D:$D, 0)), "")</f>
        <v/>
      </c>
      <c r="I688" s="759">
        <f>IF(B688=CTR1_Billing!$E$21&amp;"NEW",1,0)</f>
        <v>0</v>
      </c>
      <c r="J688" s="760" t="str">
        <f>IFERROR(INDEX('Local Data Previous Year'!$G:$G, MATCH($D688, 'Local Data Previous Year'!$D:$D, 0)), "")</f>
        <v/>
      </c>
      <c r="K688" s="762"/>
      <c r="L688" s="760" t="str">
        <f>IFERROR(INDEX('Local Data Previous Year'!$H:$H, MATCH($D688, 'Local Data Previous Year'!$D:$D, 0)), "")</f>
        <v/>
      </c>
      <c r="M688" s="762"/>
      <c r="N688" s="763"/>
      <c r="O688" s="767"/>
      <c r="P688" s="765"/>
      <c r="Q688" s="767"/>
      <c r="R688" s="766" t="str">
        <f t="shared" si="137"/>
        <v/>
      </c>
      <c r="S688" s="754"/>
      <c r="T688" s="763"/>
      <c r="U688" s="754"/>
      <c r="V688" s="763"/>
      <c r="W688" s="763"/>
      <c r="X688" s="865" t="str">
        <f>VLOOKUP(CTR1_Billing!$E$21,Data!$C$6:$D$302,1,FALSE)</f>
        <v>EZZZZ</v>
      </c>
      <c r="Y688" s="205"/>
      <c r="Z688" s="205">
        <f t="shared" si="129"/>
        <v>0</v>
      </c>
      <c r="AA688" s="206" t="str">
        <f t="shared" si="128"/>
        <v/>
      </c>
      <c r="AB688" s="205">
        <f t="shared" si="130"/>
        <v>0</v>
      </c>
      <c r="AC688" s="208"/>
      <c r="AD688" s="208"/>
      <c r="AE688" s="208"/>
      <c r="AF688" s="208"/>
      <c r="AG688" s="209" t="str">
        <f>IFERROR(INDEX('Local Data Previous Year'!$F:$F, MATCH($D688, 'Local Data Previous Year'!$D:$D, 0)), "")</f>
        <v/>
      </c>
      <c r="AH688" s="209" t="str">
        <f>IFERROR(INDEX('Local Data Previous Year'!$G:$G, MATCH($D688, 'Local Data Previous Year'!$D:$D, 0)), "")</f>
        <v/>
      </c>
      <c r="AI688" s="209" t="str">
        <f>IFERROR(INDEX('Local Data Previous Year'!$H:$H, MATCH($D688, 'Local Data Previous Year'!$D:$D, 0)), "")</f>
        <v/>
      </c>
      <c r="AJ688" s="209" t="str">
        <f t="shared" si="131"/>
        <v/>
      </c>
      <c r="AK688" s="209" t="str">
        <f t="shared" si="116"/>
        <v/>
      </c>
      <c r="AL688" s="209" t="str">
        <f t="shared" si="117"/>
        <v/>
      </c>
      <c r="AM688" s="208" t="str">
        <f>IF($AN688="","",IFERROR(VLOOKUP(CONCATENATE(CTR1_Billing!$E$20,$AN688),'Local Data Previous Year'!$C$3:$D$50000,2,0),CTR1_Billing!$E$21&amp;"NEW"))</f>
        <v/>
      </c>
      <c r="AN688" s="209" t="str" cm="1">
        <f t="array" ref="AN688">IF(ISERROR(INDEX('Local Data Previous Year'!$E$3:$E$50000, SMALL(IF(CTR1_Billing!$E$21='Local Data Previous Year'!$A$3:$A$50000, ROW('Local Data Previous Year'!$A$3:$A$50000)-ROW('Local Data Previous Year'!$A$3)+1), ROW(656:656)))), "", INDEX('Local Data Previous Year'!$E$3:$E$50000, SMALL(IF(CTR1_Billing!$E$21='Local Data Previous Year'!$A$3:$A$50000, ROW('Local Data Previous Year'!$A$3:$A$50000)-ROW('Local Data Previous Year'!$A$3)+1), ROW(656:656))))</f>
        <v/>
      </c>
      <c r="AO688" s="209" t="str">
        <f t="shared" si="132"/>
        <v/>
      </c>
      <c r="AP688" s="208"/>
      <c r="AQ688" s="209" t="str">
        <f t="shared" si="133"/>
        <v/>
      </c>
      <c r="AR688" s="209" t="str">
        <f t="shared" si="134"/>
        <v/>
      </c>
      <c r="AS688" s="202" t="str">
        <f t="shared" si="135"/>
        <v/>
      </c>
      <c r="AT688" s="202" t="str">
        <f t="shared" si="136"/>
        <v/>
      </c>
      <c r="AU688" s="208"/>
      <c r="AV688" s="208"/>
      <c r="AW688" s="208"/>
      <c r="AX688" s="208"/>
      <c r="AY688" s="208"/>
      <c r="AZ688" s="208"/>
      <c r="BA688" s="208"/>
      <c r="BB688" s="208"/>
      <c r="BC688" s="208"/>
      <c r="BD688" s="208"/>
      <c r="BE688" s="208"/>
      <c r="BF688" s="208"/>
      <c r="BG688" s="28"/>
      <c r="BH688" s="28"/>
      <c r="BI688" s="28"/>
      <c r="BJ688" s="28"/>
    </row>
    <row r="689" spans="1:62" s="23" customFormat="1" ht="21" customHeight="1" thickBot="1" x14ac:dyDescent="0.25">
      <c r="A689" s="846" t="str">
        <f>IF($AN689="","",IFERROR(VLOOKUP(CONCATENATE(CTR1_Billing!$E$20,$AN689),'Local Data Previous Year'!$C$3:$D$20000,2,0),CTR1_Billing!$E$21&amp;"NEW"))</f>
        <v/>
      </c>
      <c r="B689" s="846" t="str">
        <f>IF($E689="","",IFERROR(VLOOKUP(CONCATENATE(CTR1_Billing!$E$20,CTR1_Local!$E689),'Local Data Previous Year'!$C$3:$D$20000,2,0),CTR1_Billing!$E$21&amp;"NEW"))</f>
        <v/>
      </c>
      <c r="C689" s="846">
        <v>657</v>
      </c>
      <c r="D689" s="755" t="str" cm="1">
        <f t="array" ref="D689">IF(ISERROR(INDEX('Local Data Previous Year'!$D$3:$D$20000,SMALL(IF(CTR1_Billing!$E$21='Local Data Previous Year'!$A$3:$A$20000,ROW('Local Data Previous Year'!$A$3:$A$20000)-ROW('Local Data Previous Year'!$A$3)+1),ROW(657:657)))),"",INDEX('Local Data Previous Year'!$D$3:$D$20000,SMALL(IF(CTR1_Billing!$E$21='Local Data Previous Year'!$A$3:$A$20000,ROW('Local Data Previous Year'!$A$3:$A$20000)-ROW('Local Data Previous Year'!$A$3)+1),ROW(657:657))))</f>
        <v/>
      </c>
      <c r="E689" s="755" t="str" cm="1">
        <f t="array" ref="E689">IF(ISERROR(INDEX('Local Data Previous Year'!$E$3:$E$20000,SMALL(IF(CTR1_Billing!$E$21='Local Data Previous Year'!$A$3:$A$20000,ROW('Local Data Previous Year'!$A$3:$A$20000)-ROW('Local Data Previous Year'!$A$3)+1),ROW(657:657)))),"",INDEX('Local Data Previous Year'!$E$3:$E$20000,SMALL(IF(CTR1_Billing!$E$21='Local Data Previous Year'!$A$3:$A$20000,ROW('Local Data Previous Year'!$A$3:$A$20000)-ROW('Local Data Previous Year'!$A$3)+1),ROW(657:657))))</f>
        <v/>
      </c>
      <c r="F689" s="756" t="str">
        <f>IF($D689="","",IF(ISNA(MATCH($D689,'Local Data Previous Year'!$D$3:$D$20000,0)),"New",IFERROR(VLOOKUP($B689,'Local Data Previous Year'!$D$3:$I$20000,6,0),"")))</f>
        <v/>
      </c>
      <c r="G689" s="757">
        <f t="shared" si="112"/>
        <v>0</v>
      </c>
      <c r="H689" s="758" t="str">
        <f>IFERROR(INDEX('Local Data Previous Year'!$F:$F, MATCH($D689, 'Local Data Previous Year'!$D:$D, 0)), "")</f>
        <v/>
      </c>
      <c r="I689" s="759">
        <f>IF(B689=CTR1_Billing!$E$21&amp;"NEW",1,0)</f>
        <v>0</v>
      </c>
      <c r="J689" s="760" t="str">
        <f>IFERROR(INDEX('Local Data Previous Year'!$G:$G, MATCH($D689, 'Local Data Previous Year'!$D:$D, 0)), "")</f>
        <v/>
      </c>
      <c r="K689" s="762"/>
      <c r="L689" s="760" t="str">
        <f>IFERROR(INDEX('Local Data Previous Year'!$H:$H, MATCH($D689, 'Local Data Previous Year'!$D:$D, 0)), "")</f>
        <v/>
      </c>
      <c r="M689" s="762"/>
      <c r="N689" s="763"/>
      <c r="O689" s="767"/>
      <c r="P689" s="765"/>
      <c r="Q689" s="767"/>
      <c r="R689" s="766" t="str">
        <f t="shared" si="137"/>
        <v/>
      </c>
      <c r="S689" s="754"/>
      <c r="T689" s="763"/>
      <c r="U689" s="754"/>
      <c r="V689" s="763"/>
      <c r="W689" s="763"/>
      <c r="X689" s="865" t="str">
        <f>VLOOKUP(CTR1_Billing!$E$21,Data!$C$6:$D$302,1,FALSE)</f>
        <v>EZZZZ</v>
      </c>
      <c r="Y689" s="205"/>
      <c r="Z689" s="205">
        <f t="shared" si="129"/>
        <v>0</v>
      </c>
      <c r="AA689" s="206" t="str">
        <f t="shared" si="128"/>
        <v/>
      </c>
      <c r="AB689" s="205">
        <f t="shared" si="130"/>
        <v>0</v>
      </c>
      <c r="AC689" s="208"/>
      <c r="AD689" s="208"/>
      <c r="AE689" s="208"/>
      <c r="AF689" s="208"/>
      <c r="AG689" s="209" t="str">
        <f>IFERROR(INDEX('Local Data Previous Year'!$F:$F, MATCH($D689, 'Local Data Previous Year'!$D:$D, 0)), "")</f>
        <v/>
      </c>
      <c r="AH689" s="209" t="str">
        <f>IFERROR(INDEX('Local Data Previous Year'!$G:$G, MATCH($D689, 'Local Data Previous Year'!$D:$D, 0)), "")</f>
        <v/>
      </c>
      <c r="AI689" s="209" t="str">
        <f>IFERROR(INDEX('Local Data Previous Year'!$H:$H, MATCH($D689, 'Local Data Previous Year'!$D:$D, 0)), "")</f>
        <v/>
      </c>
      <c r="AJ689" s="209" t="str">
        <f t="shared" si="131"/>
        <v/>
      </c>
      <c r="AK689" s="209" t="str">
        <f t="shared" si="116"/>
        <v/>
      </c>
      <c r="AL689" s="209" t="str">
        <f t="shared" si="117"/>
        <v/>
      </c>
      <c r="AM689" s="208" t="str">
        <f>IF($AN689="","",IFERROR(VLOOKUP(CONCATENATE(CTR1_Billing!$E$20,$AN689),'Local Data Previous Year'!$C$3:$D$50000,2,0),CTR1_Billing!$E$21&amp;"NEW"))</f>
        <v/>
      </c>
      <c r="AN689" s="209" t="str" cm="1">
        <f t="array" ref="AN689">IF(ISERROR(INDEX('Local Data Previous Year'!$E$3:$E$50000, SMALL(IF(CTR1_Billing!$E$21='Local Data Previous Year'!$A$3:$A$50000, ROW('Local Data Previous Year'!$A$3:$A$50000)-ROW('Local Data Previous Year'!$A$3)+1), ROW(657:657)))), "", INDEX('Local Data Previous Year'!$E$3:$E$50000, SMALL(IF(CTR1_Billing!$E$21='Local Data Previous Year'!$A$3:$A$50000, ROW('Local Data Previous Year'!$A$3:$A$50000)-ROW('Local Data Previous Year'!$A$3)+1), ROW(657:657))))</f>
        <v/>
      </c>
      <c r="AO689" s="209" t="str">
        <f t="shared" si="132"/>
        <v/>
      </c>
      <c r="AP689" s="208"/>
      <c r="AQ689" s="209" t="str">
        <f t="shared" si="133"/>
        <v/>
      </c>
      <c r="AR689" s="209" t="str">
        <f t="shared" si="134"/>
        <v/>
      </c>
      <c r="AS689" s="202" t="str">
        <f t="shared" si="135"/>
        <v/>
      </c>
      <c r="AT689" s="202" t="str">
        <f t="shared" si="136"/>
        <v/>
      </c>
      <c r="AU689" s="208"/>
      <c r="AV689" s="208"/>
      <c r="AW689" s="208"/>
      <c r="AX689" s="208"/>
      <c r="AY689" s="208"/>
      <c r="AZ689" s="208"/>
      <c r="BA689" s="208"/>
      <c r="BB689" s="208"/>
      <c r="BC689" s="208"/>
      <c r="BD689" s="208"/>
      <c r="BE689" s="208"/>
      <c r="BF689" s="208"/>
      <c r="BG689" s="28"/>
      <c r="BH689" s="28"/>
      <c r="BI689" s="28"/>
      <c r="BJ689" s="28"/>
    </row>
    <row r="690" spans="1:62" s="23" customFormat="1" ht="21" customHeight="1" thickBot="1" x14ac:dyDescent="0.25">
      <c r="A690" s="846" t="str">
        <f>IF($AN690="","",IFERROR(VLOOKUP(CONCATENATE(CTR1_Billing!$E$20,$AN690),'Local Data Previous Year'!$C$3:$D$20000,2,0),CTR1_Billing!$E$21&amp;"NEW"))</f>
        <v/>
      </c>
      <c r="B690" s="846" t="str">
        <f>IF($E690="","",IFERROR(VLOOKUP(CONCATENATE(CTR1_Billing!$E$20,CTR1_Local!$E690),'Local Data Previous Year'!$C$3:$D$20000,2,0),CTR1_Billing!$E$21&amp;"NEW"))</f>
        <v/>
      </c>
      <c r="C690" s="846">
        <v>658</v>
      </c>
      <c r="D690" s="755" t="str" cm="1">
        <f t="array" ref="D690">IF(ISERROR(INDEX('Local Data Previous Year'!$D$3:$D$20000,SMALL(IF(CTR1_Billing!$E$21='Local Data Previous Year'!$A$3:$A$20000,ROW('Local Data Previous Year'!$A$3:$A$20000)-ROW('Local Data Previous Year'!$A$3)+1),ROW(658:658)))),"",INDEX('Local Data Previous Year'!$D$3:$D$20000,SMALL(IF(CTR1_Billing!$E$21='Local Data Previous Year'!$A$3:$A$20000,ROW('Local Data Previous Year'!$A$3:$A$20000)-ROW('Local Data Previous Year'!$A$3)+1),ROW(658:658))))</f>
        <v/>
      </c>
      <c r="E690" s="755" t="str" cm="1">
        <f t="array" ref="E690">IF(ISERROR(INDEX('Local Data Previous Year'!$E$3:$E$20000,SMALL(IF(CTR1_Billing!$E$21='Local Data Previous Year'!$A$3:$A$20000,ROW('Local Data Previous Year'!$A$3:$A$20000)-ROW('Local Data Previous Year'!$A$3)+1),ROW(658:658)))),"",INDEX('Local Data Previous Year'!$E$3:$E$20000,SMALL(IF(CTR1_Billing!$E$21='Local Data Previous Year'!$A$3:$A$20000,ROW('Local Data Previous Year'!$A$3:$A$20000)-ROW('Local Data Previous Year'!$A$3)+1),ROW(658:658))))</f>
        <v/>
      </c>
      <c r="F690" s="756" t="str">
        <f>IF($D690="","",IF(ISNA(MATCH($D690,'Local Data Previous Year'!$D$3:$D$20000,0)),"New",IFERROR(VLOOKUP($B690,'Local Data Previous Year'!$D$3:$I$20000,6,0),"")))</f>
        <v/>
      </c>
      <c r="G690" s="757">
        <f t="shared" si="112"/>
        <v>0</v>
      </c>
      <c r="H690" s="758" t="str">
        <f>IFERROR(INDEX('Local Data Previous Year'!$F:$F, MATCH($D690, 'Local Data Previous Year'!$D:$D, 0)), "")</f>
        <v/>
      </c>
      <c r="I690" s="759">
        <f>IF(B690=CTR1_Billing!$E$21&amp;"NEW",1,0)</f>
        <v>0</v>
      </c>
      <c r="J690" s="760" t="str">
        <f>IFERROR(INDEX('Local Data Previous Year'!$G:$G, MATCH($D690, 'Local Data Previous Year'!$D:$D, 0)), "")</f>
        <v/>
      </c>
      <c r="K690" s="762"/>
      <c r="L690" s="760" t="str">
        <f>IFERROR(INDEX('Local Data Previous Year'!$H:$H, MATCH($D690, 'Local Data Previous Year'!$D:$D, 0)), "")</f>
        <v/>
      </c>
      <c r="M690" s="762"/>
      <c r="N690" s="763"/>
      <c r="O690" s="767"/>
      <c r="P690" s="765"/>
      <c r="Q690" s="767"/>
      <c r="R690" s="766" t="str">
        <f t="shared" si="137"/>
        <v/>
      </c>
      <c r="S690" s="754"/>
      <c r="T690" s="763"/>
      <c r="U690" s="754"/>
      <c r="V690" s="763"/>
      <c r="W690" s="763"/>
      <c r="X690" s="865" t="str">
        <f>VLOOKUP(CTR1_Billing!$E$21,Data!$C$6:$D$302,1,FALSE)</f>
        <v>EZZZZ</v>
      </c>
      <c r="Y690" s="205"/>
      <c r="Z690" s="205">
        <f t="shared" si="129"/>
        <v>0</v>
      </c>
      <c r="AA690" s="206" t="str">
        <f t="shared" si="128"/>
        <v/>
      </c>
      <c r="AB690" s="205">
        <f t="shared" si="130"/>
        <v>0</v>
      </c>
      <c r="AC690" s="208"/>
      <c r="AD690" s="208"/>
      <c r="AE690" s="208"/>
      <c r="AF690" s="208"/>
      <c r="AG690" s="209" t="str">
        <f>IFERROR(INDEX('Local Data Previous Year'!$F:$F, MATCH($D690, 'Local Data Previous Year'!$D:$D, 0)), "")</f>
        <v/>
      </c>
      <c r="AH690" s="209" t="str">
        <f>IFERROR(INDEX('Local Data Previous Year'!$G:$G, MATCH($D690, 'Local Data Previous Year'!$D:$D, 0)), "")</f>
        <v/>
      </c>
      <c r="AI690" s="209" t="str">
        <f>IFERROR(INDEX('Local Data Previous Year'!$H:$H, MATCH($D690, 'Local Data Previous Year'!$D:$D, 0)), "")</f>
        <v/>
      </c>
      <c r="AJ690" s="209" t="str">
        <f t="shared" si="131"/>
        <v/>
      </c>
      <c r="AK690" s="209" t="str">
        <f t="shared" si="116"/>
        <v/>
      </c>
      <c r="AL690" s="209" t="str">
        <f t="shared" si="117"/>
        <v/>
      </c>
      <c r="AM690" s="208" t="str">
        <f>IF($AN690="","",IFERROR(VLOOKUP(CONCATENATE(CTR1_Billing!$E$20,$AN690),'Local Data Previous Year'!$C$3:$D$50000,2,0),CTR1_Billing!$E$21&amp;"NEW"))</f>
        <v/>
      </c>
      <c r="AN690" s="209" t="str" cm="1">
        <f t="array" ref="AN690">IF(ISERROR(INDEX('Local Data Previous Year'!$E$3:$E$50000, SMALL(IF(CTR1_Billing!$E$21='Local Data Previous Year'!$A$3:$A$50000, ROW('Local Data Previous Year'!$A$3:$A$50000)-ROW('Local Data Previous Year'!$A$3)+1), ROW(658:658)))), "", INDEX('Local Data Previous Year'!$E$3:$E$50000, SMALL(IF(CTR1_Billing!$E$21='Local Data Previous Year'!$A$3:$A$50000, ROW('Local Data Previous Year'!$A$3:$A$50000)-ROW('Local Data Previous Year'!$A$3)+1), ROW(658:658))))</f>
        <v/>
      </c>
      <c r="AO690" s="209" t="str">
        <f t="shared" si="132"/>
        <v/>
      </c>
      <c r="AP690" s="208"/>
      <c r="AQ690" s="209" t="str">
        <f t="shared" si="133"/>
        <v/>
      </c>
      <c r="AR690" s="209" t="str">
        <f t="shared" si="134"/>
        <v/>
      </c>
      <c r="AS690" s="202" t="str">
        <f t="shared" si="135"/>
        <v/>
      </c>
      <c r="AT690" s="202" t="str">
        <f t="shared" si="136"/>
        <v/>
      </c>
      <c r="AU690" s="208"/>
      <c r="AV690" s="208"/>
      <c r="AW690" s="208"/>
      <c r="AX690" s="208"/>
      <c r="AY690" s="208"/>
      <c r="AZ690" s="208"/>
      <c r="BA690" s="208"/>
      <c r="BB690" s="208"/>
      <c r="BC690" s="208"/>
      <c r="BD690" s="208"/>
      <c r="BE690" s="208"/>
      <c r="BF690" s="208"/>
      <c r="BG690" s="28"/>
      <c r="BH690" s="28"/>
      <c r="BI690" s="28"/>
      <c r="BJ690" s="28"/>
    </row>
    <row r="691" spans="1:62" s="23" customFormat="1" ht="21" customHeight="1" thickBot="1" x14ac:dyDescent="0.25">
      <c r="A691" s="846" t="str">
        <f>IF($AN691="","",IFERROR(VLOOKUP(CONCATENATE(CTR1_Billing!$E$20,$AN691),'Local Data Previous Year'!$C$3:$D$20000,2,0),CTR1_Billing!$E$21&amp;"NEW"))</f>
        <v/>
      </c>
      <c r="B691" s="846" t="str">
        <f>IF($E691="","",IFERROR(VLOOKUP(CONCATENATE(CTR1_Billing!$E$20,CTR1_Local!$E691),'Local Data Previous Year'!$C$3:$D$20000,2,0),CTR1_Billing!$E$21&amp;"NEW"))</f>
        <v/>
      </c>
      <c r="C691" s="846">
        <v>659</v>
      </c>
      <c r="D691" s="755" t="str" cm="1">
        <f t="array" ref="D691">IF(ISERROR(INDEX('Local Data Previous Year'!$D$3:$D$20000,SMALL(IF(CTR1_Billing!$E$21='Local Data Previous Year'!$A$3:$A$20000,ROW('Local Data Previous Year'!$A$3:$A$20000)-ROW('Local Data Previous Year'!$A$3)+1),ROW(659:659)))),"",INDEX('Local Data Previous Year'!$D$3:$D$20000,SMALL(IF(CTR1_Billing!$E$21='Local Data Previous Year'!$A$3:$A$20000,ROW('Local Data Previous Year'!$A$3:$A$20000)-ROW('Local Data Previous Year'!$A$3)+1),ROW(659:659))))</f>
        <v/>
      </c>
      <c r="E691" s="755" t="str" cm="1">
        <f t="array" ref="E691">IF(ISERROR(INDEX('Local Data Previous Year'!$E$3:$E$20000,SMALL(IF(CTR1_Billing!$E$21='Local Data Previous Year'!$A$3:$A$20000,ROW('Local Data Previous Year'!$A$3:$A$20000)-ROW('Local Data Previous Year'!$A$3)+1),ROW(659:659)))),"",INDEX('Local Data Previous Year'!$E$3:$E$20000,SMALL(IF(CTR1_Billing!$E$21='Local Data Previous Year'!$A$3:$A$20000,ROW('Local Data Previous Year'!$A$3:$A$20000)-ROW('Local Data Previous Year'!$A$3)+1),ROW(659:659))))</f>
        <v/>
      </c>
      <c r="F691" s="756" t="str">
        <f>IF($D691="","",IF(ISNA(MATCH($D691,'Local Data Previous Year'!$D$3:$D$20000,0)),"New",IFERROR(VLOOKUP($B691,'Local Data Previous Year'!$D$3:$I$20000,6,0),"")))</f>
        <v/>
      </c>
      <c r="G691" s="757">
        <f t="shared" si="112"/>
        <v>0</v>
      </c>
      <c r="H691" s="758" t="str">
        <f>IFERROR(INDEX('Local Data Previous Year'!$F:$F, MATCH($D691, 'Local Data Previous Year'!$D:$D, 0)), "")</f>
        <v/>
      </c>
      <c r="I691" s="759">
        <f>IF(B691=CTR1_Billing!$E$21&amp;"NEW",1,0)</f>
        <v>0</v>
      </c>
      <c r="J691" s="760" t="str">
        <f>IFERROR(INDEX('Local Data Previous Year'!$G:$G, MATCH($D691, 'Local Data Previous Year'!$D:$D, 0)), "")</f>
        <v/>
      </c>
      <c r="K691" s="762"/>
      <c r="L691" s="760" t="str">
        <f>IFERROR(INDEX('Local Data Previous Year'!$H:$H, MATCH($D691, 'Local Data Previous Year'!$D:$D, 0)), "")</f>
        <v/>
      </c>
      <c r="M691" s="762"/>
      <c r="N691" s="763"/>
      <c r="O691" s="767"/>
      <c r="P691" s="765"/>
      <c r="Q691" s="767"/>
      <c r="R691" s="766" t="str">
        <f t="shared" si="137"/>
        <v/>
      </c>
      <c r="S691" s="754"/>
      <c r="T691" s="763"/>
      <c r="U691" s="754"/>
      <c r="V691" s="763"/>
      <c r="W691" s="763"/>
      <c r="X691" s="865" t="str">
        <f>VLOOKUP(CTR1_Billing!$E$21,Data!$C$6:$D$302,1,FALSE)</f>
        <v>EZZZZ</v>
      </c>
      <c r="Y691" s="205"/>
      <c r="Z691" s="205">
        <f t="shared" si="129"/>
        <v>0</v>
      </c>
      <c r="AA691" s="206" t="str">
        <f t="shared" si="128"/>
        <v/>
      </c>
      <c r="AB691" s="205">
        <f t="shared" si="130"/>
        <v>0</v>
      </c>
      <c r="AC691" s="208"/>
      <c r="AD691" s="208"/>
      <c r="AE691" s="208"/>
      <c r="AF691" s="208"/>
      <c r="AG691" s="209" t="str">
        <f>IFERROR(INDEX('Local Data Previous Year'!$F:$F, MATCH($D691, 'Local Data Previous Year'!$D:$D, 0)), "")</f>
        <v/>
      </c>
      <c r="AH691" s="209" t="str">
        <f>IFERROR(INDEX('Local Data Previous Year'!$G:$G, MATCH($D691, 'Local Data Previous Year'!$D:$D, 0)), "")</f>
        <v/>
      </c>
      <c r="AI691" s="209" t="str">
        <f>IFERROR(INDEX('Local Data Previous Year'!$H:$H, MATCH($D691, 'Local Data Previous Year'!$D:$D, 0)), "")</f>
        <v/>
      </c>
      <c r="AJ691" s="209" t="str">
        <f t="shared" si="131"/>
        <v/>
      </c>
      <c r="AK691" s="209" t="str">
        <f t="shared" si="116"/>
        <v/>
      </c>
      <c r="AL691" s="209" t="str">
        <f t="shared" si="117"/>
        <v/>
      </c>
      <c r="AM691" s="208" t="str">
        <f>IF($AN691="","",IFERROR(VLOOKUP(CONCATENATE(CTR1_Billing!$E$20,$AN691),'Local Data Previous Year'!$C$3:$D$50000,2,0),CTR1_Billing!$E$21&amp;"NEW"))</f>
        <v/>
      </c>
      <c r="AN691" s="209" t="str" cm="1">
        <f t="array" ref="AN691">IF(ISERROR(INDEX('Local Data Previous Year'!$E$3:$E$50000, SMALL(IF(CTR1_Billing!$E$21='Local Data Previous Year'!$A$3:$A$50000, ROW('Local Data Previous Year'!$A$3:$A$50000)-ROW('Local Data Previous Year'!$A$3)+1), ROW(659:659)))), "", INDEX('Local Data Previous Year'!$E$3:$E$50000, SMALL(IF(CTR1_Billing!$E$21='Local Data Previous Year'!$A$3:$A$50000, ROW('Local Data Previous Year'!$A$3:$A$50000)-ROW('Local Data Previous Year'!$A$3)+1), ROW(659:659))))</f>
        <v/>
      </c>
      <c r="AO691" s="209" t="str">
        <f t="shared" si="132"/>
        <v/>
      </c>
      <c r="AP691" s="208"/>
      <c r="AQ691" s="209" t="str">
        <f t="shared" si="133"/>
        <v/>
      </c>
      <c r="AR691" s="209" t="str">
        <f t="shared" si="134"/>
        <v/>
      </c>
      <c r="AS691" s="202" t="str">
        <f t="shared" si="135"/>
        <v/>
      </c>
      <c r="AT691" s="202" t="str">
        <f t="shared" si="136"/>
        <v/>
      </c>
      <c r="AU691" s="208"/>
      <c r="AV691" s="208"/>
      <c r="AW691" s="208"/>
      <c r="AX691" s="208"/>
      <c r="AY691" s="208"/>
      <c r="AZ691" s="208"/>
      <c r="BA691" s="208"/>
      <c r="BB691" s="208"/>
      <c r="BC691" s="208"/>
      <c r="BD691" s="208"/>
      <c r="BE691" s="208"/>
      <c r="BF691" s="208"/>
      <c r="BG691" s="28"/>
      <c r="BH691" s="28"/>
      <c r="BI691" s="28"/>
      <c r="BJ691" s="28"/>
    </row>
    <row r="692" spans="1:62" s="23" customFormat="1" ht="21" customHeight="1" thickBot="1" x14ac:dyDescent="0.25">
      <c r="A692" s="846" t="str">
        <f>IF($AN692="","",IFERROR(VLOOKUP(CONCATENATE(CTR1_Billing!$E$20,$AN692),'Local Data Previous Year'!$C$3:$D$20000,2,0),CTR1_Billing!$E$21&amp;"NEW"))</f>
        <v/>
      </c>
      <c r="B692" s="846" t="str">
        <f>IF($E692="","",IFERROR(VLOOKUP(CONCATENATE(CTR1_Billing!$E$20,CTR1_Local!$E692),'Local Data Previous Year'!$C$3:$D$20000,2,0),CTR1_Billing!$E$21&amp;"NEW"))</f>
        <v/>
      </c>
      <c r="C692" s="846">
        <v>660</v>
      </c>
      <c r="D692" s="755" t="str" cm="1">
        <f t="array" ref="D692">IF(ISERROR(INDEX('Local Data Previous Year'!$D$3:$D$20000,SMALL(IF(CTR1_Billing!$E$21='Local Data Previous Year'!$A$3:$A$20000,ROW('Local Data Previous Year'!$A$3:$A$20000)-ROW('Local Data Previous Year'!$A$3)+1),ROW(660:660)))),"",INDEX('Local Data Previous Year'!$D$3:$D$20000,SMALL(IF(CTR1_Billing!$E$21='Local Data Previous Year'!$A$3:$A$20000,ROW('Local Data Previous Year'!$A$3:$A$20000)-ROW('Local Data Previous Year'!$A$3)+1),ROW(660:660))))</f>
        <v/>
      </c>
      <c r="E692" s="755" t="str" cm="1">
        <f t="array" ref="E692">IF(ISERROR(INDEX('Local Data Previous Year'!$E$3:$E$20000,SMALL(IF(CTR1_Billing!$E$21='Local Data Previous Year'!$A$3:$A$20000,ROW('Local Data Previous Year'!$A$3:$A$20000)-ROW('Local Data Previous Year'!$A$3)+1),ROW(660:660)))),"",INDEX('Local Data Previous Year'!$E$3:$E$20000,SMALL(IF(CTR1_Billing!$E$21='Local Data Previous Year'!$A$3:$A$20000,ROW('Local Data Previous Year'!$A$3:$A$20000)-ROW('Local Data Previous Year'!$A$3)+1),ROW(660:660))))</f>
        <v/>
      </c>
      <c r="F692" s="756" t="str">
        <f>IF($D692="","",IF(ISNA(MATCH($D692,'Local Data Previous Year'!$D$3:$D$20000,0)),"New",IFERROR(VLOOKUP($B692,'Local Data Previous Year'!$D$3:$I$20000,6,0),"")))</f>
        <v/>
      </c>
      <c r="G692" s="757">
        <f t="shared" si="112"/>
        <v>0</v>
      </c>
      <c r="H692" s="758" t="str">
        <f>IFERROR(INDEX('Local Data Previous Year'!$F:$F, MATCH($D692, 'Local Data Previous Year'!$D:$D, 0)), "")</f>
        <v/>
      </c>
      <c r="I692" s="759">
        <f>IF(B692=CTR1_Billing!$E$21&amp;"NEW",1,0)</f>
        <v>0</v>
      </c>
      <c r="J692" s="760" t="str">
        <f>IFERROR(INDEX('Local Data Previous Year'!$G:$G, MATCH($D692, 'Local Data Previous Year'!$D:$D, 0)), "")</f>
        <v/>
      </c>
      <c r="K692" s="762"/>
      <c r="L692" s="760" t="str">
        <f>IFERROR(INDEX('Local Data Previous Year'!$H:$H, MATCH($D692, 'Local Data Previous Year'!$D:$D, 0)), "")</f>
        <v/>
      </c>
      <c r="M692" s="762"/>
      <c r="N692" s="763"/>
      <c r="O692" s="767"/>
      <c r="P692" s="765"/>
      <c r="Q692" s="767"/>
      <c r="R692" s="766" t="str">
        <f t="shared" si="137"/>
        <v/>
      </c>
      <c r="S692" s="754"/>
      <c r="T692" s="763"/>
      <c r="U692" s="754"/>
      <c r="V692" s="763"/>
      <c r="W692" s="763"/>
      <c r="X692" s="865" t="str">
        <f>VLOOKUP(CTR1_Billing!$E$21,Data!$C$6:$D$302,1,FALSE)</f>
        <v>EZZZZ</v>
      </c>
      <c r="Y692" s="205"/>
      <c r="Z692" s="205">
        <f t="shared" si="129"/>
        <v>0</v>
      </c>
      <c r="AA692" s="206" t="str">
        <f t="shared" si="128"/>
        <v/>
      </c>
      <c r="AB692" s="205">
        <f t="shared" si="130"/>
        <v>0</v>
      </c>
      <c r="AC692" s="208"/>
      <c r="AD692" s="208"/>
      <c r="AE692" s="208"/>
      <c r="AF692" s="208"/>
      <c r="AG692" s="209" t="str">
        <f>IFERROR(INDEX('Local Data Previous Year'!$F:$F, MATCH($D692, 'Local Data Previous Year'!$D:$D, 0)), "")</f>
        <v/>
      </c>
      <c r="AH692" s="209" t="str">
        <f>IFERROR(INDEX('Local Data Previous Year'!$G:$G, MATCH($D692, 'Local Data Previous Year'!$D:$D, 0)), "")</f>
        <v/>
      </c>
      <c r="AI692" s="209" t="str">
        <f>IFERROR(INDEX('Local Data Previous Year'!$H:$H, MATCH($D692, 'Local Data Previous Year'!$D:$D, 0)), "")</f>
        <v/>
      </c>
      <c r="AJ692" s="209" t="str">
        <f t="shared" si="131"/>
        <v/>
      </c>
      <c r="AK692" s="209" t="str">
        <f t="shared" si="116"/>
        <v/>
      </c>
      <c r="AL692" s="209" t="str">
        <f t="shared" si="117"/>
        <v/>
      </c>
      <c r="AM692" s="208" t="str">
        <f>IF($AN692="","",IFERROR(VLOOKUP(CONCATENATE(CTR1_Billing!$E$20,$AN692),'Local Data Previous Year'!$C$3:$D$50000,2,0),CTR1_Billing!$E$21&amp;"NEW"))</f>
        <v/>
      </c>
      <c r="AN692" s="209" t="str" cm="1">
        <f t="array" ref="AN692">IF(ISERROR(INDEX('Local Data Previous Year'!$E$3:$E$50000, SMALL(IF(CTR1_Billing!$E$21='Local Data Previous Year'!$A$3:$A$50000, ROW('Local Data Previous Year'!$A$3:$A$50000)-ROW('Local Data Previous Year'!$A$3)+1), ROW(660:660)))), "", INDEX('Local Data Previous Year'!$E$3:$E$50000, SMALL(IF(CTR1_Billing!$E$21='Local Data Previous Year'!$A$3:$A$50000, ROW('Local Data Previous Year'!$A$3:$A$50000)-ROW('Local Data Previous Year'!$A$3)+1), ROW(660:660))))</f>
        <v/>
      </c>
      <c r="AO692" s="209" t="str">
        <f t="shared" si="132"/>
        <v/>
      </c>
      <c r="AP692" s="208"/>
      <c r="AQ692" s="209" t="str">
        <f t="shared" si="133"/>
        <v/>
      </c>
      <c r="AR692" s="209" t="str">
        <f t="shared" si="134"/>
        <v/>
      </c>
      <c r="AS692" s="202" t="str">
        <f t="shared" si="135"/>
        <v/>
      </c>
      <c r="AT692" s="202" t="str">
        <f t="shared" si="136"/>
        <v/>
      </c>
      <c r="AU692" s="208"/>
      <c r="AV692" s="208"/>
      <c r="AW692" s="208"/>
      <c r="AX692" s="208"/>
      <c r="AY692" s="208"/>
      <c r="AZ692" s="208"/>
      <c r="BA692" s="208"/>
      <c r="BB692" s="208"/>
      <c r="BC692" s="208"/>
      <c r="BD692" s="208"/>
      <c r="BE692" s="208"/>
      <c r="BF692" s="208"/>
      <c r="BG692" s="28"/>
      <c r="BH692" s="28"/>
      <c r="BI692" s="28"/>
      <c r="BJ692" s="28"/>
    </row>
    <row r="693" spans="1:62" s="23" customFormat="1" ht="21" customHeight="1" thickBot="1" x14ac:dyDescent="0.25">
      <c r="A693" s="846" t="str">
        <f>IF($AN693="","",IFERROR(VLOOKUP(CONCATENATE(CTR1_Billing!$E$20,$AN693),'Local Data Previous Year'!$C$3:$D$20000,2,0),CTR1_Billing!$E$21&amp;"NEW"))</f>
        <v/>
      </c>
      <c r="B693" s="846" t="str">
        <f>IF($E693="","",IFERROR(VLOOKUP(CONCATENATE(CTR1_Billing!$E$20,CTR1_Local!$E693),'Local Data Previous Year'!$C$3:$D$20000,2,0),CTR1_Billing!$E$21&amp;"NEW"))</f>
        <v/>
      </c>
      <c r="C693" s="846">
        <v>661</v>
      </c>
      <c r="D693" s="755" t="str" cm="1">
        <f t="array" ref="D693">IF(ISERROR(INDEX('Local Data Previous Year'!$D$3:$D$20000,SMALL(IF(CTR1_Billing!$E$21='Local Data Previous Year'!$A$3:$A$20000,ROW('Local Data Previous Year'!$A$3:$A$20000)-ROW('Local Data Previous Year'!$A$3)+1),ROW(661:661)))),"",INDEX('Local Data Previous Year'!$D$3:$D$20000,SMALL(IF(CTR1_Billing!$E$21='Local Data Previous Year'!$A$3:$A$20000,ROW('Local Data Previous Year'!$A$3:$A$20000)-ROW('Local Data Previous Year'!$A$3)+1),ROW(661:661))))</f>
        <v/>
      </c>
      <c r="E693" s="755" t="str" cm="1">
        <f t="array" ref="E693">IF(ISERROR(INDEX('Local Data Previous Year'!$E$3:$E$20000,SMALL(IF(CTR1_Billing!$E$21='Local Data Previous Year'!$A$3:$A$20000,ROW('Local Data Previous Year'!$A$3:$A$20000)-ROW('Local Data Previous Year'!$A$3)+1),ROW(661:661)))),"",INDEX('Local Data Previous Year'!$E$3:$E$20000,SMALL(IF(CTR1_Billing!$E$21='Local Data Previous Year'!$A$3:$A$20000,ROW('Local Data Previous Year'!$A$3:$A$20000)-ROW('Local Data Previous Year'!$A$3)+1),ROW(661:661))))</f>
        <v/>
      </c>
      <c r="F693" s="756" t="str">
        <f>IF($D693="","",IF(ISNA(MATCH($D693,'Local Data Previous Year'!$D$3:$D$20000,0)),"New",IFERROR(VLOOKUP($B693,'Local Data Previous Year'!$D$3:$I$20000,6,0),"")))</f>
        <v/>
      </c>
      <c r="G693" s="757">
        <f t="shared" si="112"/>
        <v>0</v>
      </c>
      <c r="H693" s="758" t="str">
        <f>IFERROR(INDEX('Local Data Previous Year'!$F:$F, MATCH($D693, 'Local Data Previous Year'!$D:$D, 0)), "")</f>
        <v/>
      </c>
      <c r="I693" s="759">
        <f>IF(B693=CTR1_Billing!$E$21&amp;"NEW",1,0)</f>
        <v>0</v>
      </c>
      <c r="J693" s="760" t="str">
        <f>IFERROR(INDEX('Local Data Previous Year'!$G:$G, MATCH($D693, 'Local Data Previous Year'!$D:$D, 0)), "")</f>
        <v/>
      </c>
      <c r="K693" s="762"/>
      <c r="L693" s="760" t="str">
        <f>IFERROR(INDEX('Local Data Previous Year'!$H:$H, MATCH($D693, 'Local Data Previous Year'!$D:$D, 0)), "")</f>
        <v/>
      </c>
      <c r="M693" s="762"/>
      <c r="N693" s="763"/>
      <c r="O693" s="767"/>
      <c r="P693" s="765"/>
      <c r="Q693" s="767"/>
      <c r="R693" s="766" t="str">
        <f t="shared" si="137"/>
        <v/>
      </c>
      <c r="S693" s="754"/>
      <c r="T693" s="763"/>
      <c r="U693" s="754"/>
      <c r="V693" s="763"/>
      <c r="W693" s="763"/>
      <c r="X693" s="865" t="str">
        <f>VLOOKUP(CTR1_Billing!$E$21,Data!$C$6:$D$302,1,FALSE)</f>
        <v>EZZZZ</v>
      </c>
      <c r="Y693" s="205"/>
      <c r="Z693" s="205">
        <f t="shared" si="129"/>
        <v>0</v>
      </c>
      <c r="AA693" s="206" t="str">
        <f t="shared" si="128"/>
        <v/>
      </c>
      <c r="AB693" s="205">
        <f t="shared" si="130"/>
        <v>0</v>
      </c>
      <c r="AC693" s="208"/>
      <c r="AD693" s="208"/>
      <c r="AE693" s="208"/>
      <c r="AF693" s="208"/>
      <c r="AG693" s="209" t="str">
        <f>IFERROR(INDEX('Local Data Previous Year'!$F:$F, MATCH($D693, 'Local Data Previous Year'!$D:$D, 0)), "")</f>
        <v/>
      </c>
      <c r="AH693" s="209" t="str">
        <f>IFERROR(INDEX('Local Data Previous Year'!$G:$G, MATCH($D693, 'Local Data Previous Year'!$D:$D, 0)), "")</f>
        <v/>
      </c>
      <c r="AI693" s="209" t="str">
        <f>IFERROR(INDEX('Local Data Previous Year'!$H:$H, MATCH($D693, 'Local Data Previous Year'!$D:$D, 0)), "")</f>
        <v/>
      </c>
      <c r="AJ693" s="209" t="str">
        <f t="shared" si="131"/>
        <v/>
      </c>
      <c r="AK693" s="209" t="str">
        <f t="shared" si="116"/>
        <v/>
      </c>
      <c r="AL693" s="209" t="str">
        <f t="shared" si="117"/>
        <v/>
      </c>
      <c r="AM693" s="208" t="str">
        <f>IF($AN693="","",IFERROR(VLOOKUP(CONCATENATE(CTR1_Billing!$E$20,$AN693),'Local Data Previous Year'!$C$3:$D$50000,2,0),CTR1_Billing!$E$21&amp;"NEW"))</f>
        <v/>
      </c>
      <c r="AN693" s="209" t="str" cm="1">
        <f t="array" ref="AN693">IF(ISERROR(INDEX('Local Data Previous Year'!$E$3:$E$50000, SMALL(IF(CTR1_Billing!$E$21='Local Data Previous Year'!$A$3:$A$50000, ROW('Local Data Previous Year'!$A$3:$A$50000)-ROW('Local Data Previous Year'!$A$3)+1), ROW(661:661)))), "", INDEX('Local Data Previous Year'!$E$3:$E$50000, SMALL(IF(CTR1_Billing!$E$21='Local Data Previous Year'!$A$3:$A$50000, ROW('Local Data Previous Year'!$A$3:$A$50000)-ROW('Local Data Previous Year'!$A$3)+1), ROW(661:661))))</f>
        <v/>
      </c>
      <c r="AO693" s="209" t="str">
        <f t="shared" si="132"/>
        <v/>
      </c>
      <c r="AP693" s="208"/>
      <c r="AQ693" s="209" t="str">
        <f t="shared" si="133"/>
        <v/>
      </c>
      <c r="AR693" s="209" t="str">
        <f t="shared" si="134"/>
        <v/>
      </c>
      <c r="AS693" s="202" t="str">
        <f t="shared" si="135"/>
        <v/>
      </c>
      <c r="AT693" s="202" t="str">
        <f t="shared" si="136"/>
        <v/>
      </c>
      <c r="AU693" s="208"/>
      <c r="AV693" s="208"/>
      <c r="AW693" s="208"/>
      <c r="AX693" s="208"/>
      <c r="AY693" s="208"/>
      <c r="AZ693" s="208"/>
      <c r="BA693" s="208"/>
      <c r="BB693" s="208"/>
      <c r="BC693" s="208"/>
      <c r="BD693" s="208"/>
      <c r="BE693" s="208"/>
      <c r="BF693" s="208"/>
      <c r="BG693" s="28"/>
      <c r="BH693" s="28"/>
      <c r="BI693" s="28"/>
      <c r="BJ693" s="28"/>
    </row>
    <row r="694" spans="1:62" s="23" customFormat="1" ht="21" customHeight="1" thickBot="1" x14ac:dyDescent="0.25">
      <c r="A694" s="846" t="str">
        <f>IF($AN694="","",IFERROR(VLOOKUP(CONCATENATE(CTR1_Billing!$E$20,$AN694),'Local Data Previous Year'!$C$3:$D$20000,2,0),CTR1_Billing!$E$21&amp;"NEW"))</f>
        <v/>
      </c>
      <c r="B694" s="846" t="str">
        <f>IF($E694="","",IFERROR(VLOOKUP(CONCATENATE(CTR1_Billing!$E$20,CTR1_Local!$E694),'Local Data Previous Year'!$C$3:$D$20000,2,0),CTR1_Billing!$E$21&amp;"NEW"))</f>
        <v/>
      </c>
      <c r="C694" s="846">
        <v>662</v>
      </c>
      <c r="D694" s="755" t="str" cm="1">
        <f t="array" ref="D694">IF(ISERROR(INDEX('Local Data Previous Year'!$D$3:$D$20000,SMALL(IF(CTR1_Billing!$E$21='Local Data Previous Year'!$A$3:$A$20000,ROW('Local Data Previous Year'!$A$3:$A$20000)-ROW('Local Data Previous Year'!$A$3)+1),ROW(662:662)))),"",INDEX('Local Data Previous Year'!$D$3:$D$20000,SMALL(IF(CTR1_Billing!$E$21='Local Data Previous Year'!$A$3:$A$20000,ROW('Local Data Previous Year'!$A$3:$A$20000)-ROW('Local Data Previous Year'!$A$3)+1),ROW(662:662))))</f>
        <v/>
      </c>
      <c r="E694" s="755" t="str" cm="1">
        <f t="array" ref="E694">IF(ISERROR(INDEX('Local Data Previous Year'!$E$3:$E$20000,SMALL(IF(CTR1_Billing!$E$21='Local Data Previous Year'!$A$3:$A$20000,ROW('Local Data Previous Year'!$A$3:$A$20000)-ROW('Local Data Previous Year'!$A$3)+1),ROW(662:662)))),"",INDEX('Local Data Previous Year'!$E$3:$E$20000,SMALL(IF(CTR1_Billing!$E$21='Local Data Previous Year'!$A$3:$A$20000,ROW('Local Data Previous Year'!$A$3:$A$20000)-ROW('Local Data Previous Year'!$A$3)+1),ROW(662:662))))</f>
        <v/>
      </c>
      <c r="F694" s="756" t="str">
        <f>IF($D694="","",IF(ISNA(MATCH($D694,'Local Data Previous Year'!$D$3:$D$20000,0)),"New",IFERROR(VLOOKUP($B694,'Local Data Previous Year'!$D$3:$I$20000,6,0),"")))</f>
        <v/>
      </c>
      <c r="G694" s="757">
        <f t="shared" si="112"/>
        <v>0</v>
      </c>
      <c r="H694" s="758" t="str">
        <f>IFERROR(INDEX('Local Data Previous Year'!$F:$F, MATCH($D694, 'Local Data Previous Year'!$D:$D, 0)), "")</f>
        <v/>
      </c>
      <c r="I694" s="759">
        <f>IF(B694=CTR1_Billing!$E$21&amp;"NEW",1,0)</f>
        <v>0</v>
      </c>
      <c r="J694" s="760" t="str">
        <f>IFERROR(INDEX('Local Data Previous Year'!$G:$G, MATCH($D694, 'Local Data Previous Year'!$D:$D, 0)), "")</f>
        <v/>
      </c>
      <c r="K694" s="762"/>
      <c r="L694" s="760" t="str">
        <f>IFERROR(INDEX('Local Data Previous Year'!$H:$H, MATCH($D694, 'Local Data Previous Year'!$D:$D, 0)), "")</f>
        <v/>
      </c>
      <c r="M694" s="762"/>
      <c r="N694" s="763"/>
      <c r="O694" s="767"/>
      <c r="P694" s="765"/>
      <c r="Q694" s="767"/>
      <c r="R694" s="766" t="str">
        <f t="shared" si="137"/>
        <v/>
      </c>
      <c r="S694" s="754"/>
      <c r="T694" s="763"/>
      <c r="U694" s="754"/>
      <c r="V694" s="763"/>
      <c r="W694" s="763"/>
      <c r="X694" s="865" t="str">
        <f>VLOOKUP(CTR1_Billing!$E$21,Data!$C$6:$D$302,1,FALSE)</f>
        <v>EZZZZ</v>
      </c>
      <c r="Y694" s="205"/>
      <c r="Z694" s="205">
        <f t="shared" si="129"/>
        <v>0</v>
      </c>
      <c r="AA694" s="206" t="str">
        <f t="shared" si="128"/>
        <v/>
      </c>
      <c r="AB694" s="205">
        <f t="shared" si="130"/>
        <v>0</v>
      </c>
      <c r="AC694" s="208"/>
      <c r="AD694" s="208"/>
      <c r="AE694" s="208"/>
      <c r="AF694" s="208"/>
      <c r="AG694" s="209" t="str">
        <f>IFERROR(INDEX('Local Data Previous Year'!$F:$F, MATCH($D694, 'Local Data Previous Year'!$D:$D, 0)), "")</f>
        <v/>
      </c>
      <c r="AH694" s="209" t="str">
        <f>IFERROR(INDEX('Local Data Previous Year'!$G:$G, MATCH($D694, 'Local Data Previous Year'!$D:$D, 0)), "")</f>
        <v/>
      </c>
      <c r="AI694" s="209" t="str">
        <f>IFERROR(INDEX('Local Data Previous Year'!$H:$H, MATCH($D694, 'Local Data Previous Year'!$D:$D, 0)), "")</f>
        <v/>
      </c>
      <c r="AJ694" s="209" t="str">
        <f t="shared" si="131"/>
        <v/>
      </c>
      <c r="AK694" s="209" t="str">
        <f t="shared" si="116"/>
        <v/>
      </c>
      <c r="AL694" s="209" t="str">
        <f t="shared" si="117"/>
        <v/>
      </c>
      <c r="AM694" s="208" t="str">
        <f>IF($AN694="","",IFERROR(VLOOKUP(CONCATENATE(CTR1_Billing!$E$20,$AN694),'Local Data Previous Year'!$C$3:$D$50000,2,0),CTR1_Billing!$E$21&amp;"NEW"))</f>
        <v/>
      </c>
      <c r="AN694" s="209" t="str" cm="1">
        <f t="array" ref="AN694">IF(ISERROR(INDEX('Local Data Previous Year'!$E$3:$E$50000, SMALL(IF(CTR1_Billing!$E$21='Local Data Previous Year'!$A$3:$A$50000, ROW('Local Data Previous Year'!$A$3:$A$50000)-ROW('Local Data Previous Year'!$A$3)+1), ROW(662:662)))), "", INDEX('Local Data Previous Year'!$E$3:$E$50000, SMALL(IF(CTR1_Billing!$E$21='Local Data Previous Year'!$A$3:$A$50000, ROW('Local Data Previous Year'!$A$3:$A$50000)-ROW('Local Data Previous Year'!$A$3)+1), ROW(662:662))))</f>
        <v/>
      </c>
      <c r="AO694" s="209" t="str">
        <f t="shared" si="132"/>
        <v/>
      </c>
      <c r="AP694" s="208"/>
      <c r="AQ694" s="209" t="str">
        <f t="shared" si="133"/>
        <v/>
      </c>
      <c r="AR694" s="209" t="str">
        <f t="shared" si="134"/>
        <v/>
      </c>
      <c r="AS694" s="202" t="str">
        <f t="shared" si="135"/>
        <v/>
      </c>
      <c r="AT694" s="202" t="str">
        <f t="shared" si="136"/>
        <v/>
      </c>
      <c r="AU694" s="208"/>
      <c r="AV694" s="208"/>
      <c r="AW694" s="208"/>
      <c r="AX694" s="208"/>
      <c r="AY694" s="208"/>
      <c r="AZ694" s="208"/>
      <c r="BA694" s="208"/>
      <c r="BB694" s="208"/>
      <c r="BC694" s="208"/>
      <c r="BD694" s="208"/>
      <c r="BE694" s="208"/>
      <c r="BF694" s="208"/>
      <c r="BG694" s="28"/>
      <c r="BH694" s="28"/>
      <c r="BI694" s="28"/>
      <c r="BJ694" s="28"/>
    </row>
    <row r="695" spans="1:62" s="23" customFormat="1" ht="21" customHeight="1" thickBot="1" x14ac:dyDescent="0.25">
      <c r="A695" s="846" t="str">
        <f>IF($AN695="","",IFERROR(VLOOKUP(CONCATENATE(CTR1_Billing!$E$20,$AN695),'Local Data Previous Year'!$C$3:$D$20000,2,0),CTR1_Billing!$E$21&amp;"NEW"))</f>
        <v/>
      </c>
      <c r="B695" s="846" t="str">
        <f>IF($E695="","",IFERROR(VLOOKUP(CONCATENATE(CTR1_Billing!$E$20,CTR1_Local!$E695),'Local Data Previous Year'!$C$3:$D$20000,2,0),CTR1_Billing!$E$21&amp;"NEW"))</f>
        <v/>
      </c>
      <c r="C695" s="846">
        <v>663</v>
      </c>
      <c r="D695" s="755" t="str" cm="1">
        <f t="array" ref="D695">IF(ISERROR(INDEX('Local Data Previous Year'!$D$3:$D$20000,SMALL(IF(CTR1_Billing!$E$21='Local Data Previous Year'!$A$3:$A$20000,ROW('Local Data Previous Year'!$A$3:$A$20000)-ROW('Local Data Previous Year'!$A$3)+1),ROW(663:663)))),"",INDEX('Local Data Previous Year'!$D$3:$D$20000,SMALL(IF(CTR1_Billing!$E$21='Local Data Previous Year'!$A$3:$A$20000,ROW('Local Data Previous Year'!$A$3:$A$20000)-ROW('Local Data Previous Year'!$A$3)+1),ROW(663:663))))</f>
        <v/>
      </c>
      <c r="E695" s="755" t="str" cm="1">
        <f t="array" ref="E695">IF(ISERROR(INDEX('Local Data Previous Year'!$E$3:$E$20000,SMALL(IF(CTR1_Billing!$E$21='Local Data Previous Year'!$A$3:$A$20000,ROW('Local Data Previous Year'!$A$3:$A$20000)-ROW('Local Data Previous Year'!$A$3)+1),ROW(663:663)))),"",INDEX('Local Data Previous Year'!$E$3:$E$20000,SMALL(IF(CTR1_Billing!$E$21='Local Data Previous Year'!$A$3:$A$20000,ROW('Local Data Previous Year'!$A$3:$A$20000)-ROW('Local Data Previous Year'!$A$3)+1),ROW(663:663))))</f>
        <v/>
      </c>
      <c r="F695" s="756" t="str">
        <f>IF($D695="","",IF(ISNA(MATCH($D695,'Local Data Previous Year'!$D$3:$D$20000,0)),"New",IFERROR(VLOOKUP($B695,'Local Data Previous Year'!$D$3:$I$20000,6,0),"")))</f>
        <v/>
      </c>
      <c r="G695" s="757">
        <f t="shared" si="112"/>
        <v>0</v>
      </c>
      <c r="H695" s="758" t="str">
        <f>IFERROR(INDEX('Local Data Previous Year'!$F:$F, MATCH($D695, 'Local Data Previous Year'!$D:$D, 0)), "")</f>
        <v/>
      </c>
      <c r="I695" s="759">
        <f>IF(B695=CTR1_Billing!$E$21&amp;"NEW",1,0)</f>
        <v>0</v>
      </c>
      <c r="J695" s="760" t="str">
        <f>IFERROR(INDEX('Local Data Previous Year'!$G:$G, MATCH($D695, 'Local Data Previous Year'!$D:$D, 0)), "")</f>
        <v/>
      </c>
      <c r="K695" s="762"/>
      <c r="L695" s="760" t="str">
        <f>IFERROR(INDEX('Local Data Previous Year'!$H:$H, MATCH($D695, 'Local Data Previous Year'!$D:$D, 0)), "")</f>
        <v/>
      </c>
      <c r="M695" s="762"/>
      <c r="N695" s="763"/>
      <c r="O695" s="767"/>
      <c r="P695" s="765"/>
      <c r="Q695" s="767"/>
      <c r="R695" s="766" t="str">
        <f t="shared" si="137"/>
        <v/>
      </c>
      <c r="S695" s="754"/>
      <c r="T695" s="763"/>
      <c r="U695" s="754"/>
      <c r="V695" s="763"/>
      <c r="W695" s="763"/>
      <c r="X695" s="865" t="str">
        <f>VLOOKUP(CTR1_Billing!$E$21,Data!$C$6:$D$302,1,FALSE)</f>
        <v>EZZZZ</v>
      </c>
      <c r="Y695" s="205"/>
      <c r="Z695" s="205">
        <f t="shared" si="129"/>
        <v>0</v>
      </c>
      <c r="AA695" s="206" t="str">
        <f t="shared" si="128"/>
        <v/>
      </c>
      <c r="AB695" s="205">
        <f t="shared" si="130"/>
        <v>0</v>
      </c>
      <c r="AC695" s="208"/>
      <c r="AD695" s="208"/>
      <c r="AE695" s="208"/>
      <c r="AF695" s="208"/>
      <c r="AG695" s="209" t="str">
        <f>IFERROR(INDEX('Local Data Previous Year'!$F:$F, MATCH($D695, 'Local Data Previous Year'!$D:$D, 0)), "")</f>
        <v/>
      </c>
      <c r="AH695" s="209" t="str">
        <f>IFERROR(INDEX('Local Data Previous Year'!$G:$G, MATCH($D695, 'Local Data Previous Year'!$D:$D, 0)), "")</f>
        <v/>
      </c>
      <c r="AI695" s="209" t="str">
        <f>IFERROR(INDEX('Local Data Previous Year'!$H:$H, MATCH($D695, 'Local Data Previous Year'!$D:$D, 0)), "")</f>
        <v/>
      </c>
      <c r="AJ695" s="209" t="str">
        <f t="shared" si="131"/>
        <v/>
      </c>
      <c r="AK695" s="209" t="str">
        <f t="shared" si="116"/>
        <v/>
      </c>
      <c r="AL695" s="209" t="str">
        <f t="shared" si="117"/>
        <v/>
      </c>
      <c r="AM695" s="208" t="str">
        <f>IF($AN695="","",IFERROR(VLOOKUP(CONCATENATE(CTR1_Billing!$E$20,$AN695),'Local Data Previous Year'!$C$3:$D$50000,2,0),CTR1_Billing!$E$21&amp;"NEW"))</f>
        <v/>
      </c>
      <c r="AN695" s="209" t="str" cm="1">
        <f t="array" ref="AN695">IF(ISERROR(INDEX('Local Data Previous Year'!$E$3:$E$50000, SMALL(IF(CTR1_Billing!$E$21='Local Data Previous Year'!$A$3:$A$50000, ROW('Local Data Previous Year'!$A$3:$A$50000)-ROW('Local Data Previous Year'!$A$3)+1), ROW(663:663)))), "", INDEX('Local Data Previous Year'!$E$3:$E$50000, SMALL(IF(CTR1_Billing!$E$21='Local Data Previous Year'!$A$3:$A$50000, ROW('Local Data Previous Year'!$A$3:$A$50000)-ROW('Local Data Previous Year'!$A$3)+1), ROW(663:663))))</f>
        <v/>
      </c>
      <c r="AO695" s="209" t="str">
        <f t="shared" si="132"/>
        <v/>
      </c>
      <c r="AP695" s="208"/>
      <c r="AQ695" s="209" t="str">
        <f t="shared" si="133"/>
        <v/>
      </c>
      <c r="AR695" s="209" t="str">
        <f t="shared" si="134"/>
        <v/>
      </c>
      <c r="AS695" s="202" t="str">
        <f t="shared" si="135"/>
        <v/>
      </c>
      <c r="AT695" s="202" t="str">
        <f t="shared" si="136"/>
        <v/>
      </c>
      <c r="AU695" s="208"/>
      <c r="AV695" s="208"/>
      <c r="AW695" s="208"/>
      <c r="AX695" s="208"/>
      <c r="AY695" s="208"/>
      <c r="AZ695" s="208"/>
      <c r="BA695" s="208"/>
      <c r="BB695" s="208"/>
      <c r="BC695" s="208"/>
      <c r="BD695" s="208"/>
      <c r="BE695" s="208"/>
      <c r="BF695" s="208"/>
      <c r="BG695" s="28"/>
      <c r="BH695" s="28"/>
      <c r="BI695" s="28"/>
      <c r="BJ695" s="28"/>
    </row>
    <row r="696" spans="1:62" s="23" customFormat="1" ht="21" customHeight="1" thickBot="1" x14ac:dyDescent="0.25">
      <c r="A696" s="846" t="str">
        <f>IF($AN696="","",IFERROR(VLOOKUP(CONCATENATE(CTR1_Billing!$E$20,$AN696),'Local Data Previous Year'!$C$3:$D$20000,2,0),CTR1_Billing!$E$21&amp;"NEW"))</f>
        <v/>
      </c>
      <c r="B696" s="846" t="str">
        <f>IF($E696="","",IFERROR(VLOOKUP(CONCATENATE(CTR1_Billing!$E$20,CTR1_Local!$E696),'Local Data Previous Year'!$C$3:$D$20000,2,0),CTR1_Billing!$E$21&amp;"NEW"))</f>
        <v/>
      </c>
      <c r="C696" s="846">
        <v>664</v>
      </c>
      <c r="D696" s="755" t="str" cm="1">
        <f t="array" ref="D696">IF(ISERROR(INDEX('Local Data Previous Year'!$D$3:$D$20000,SMALL(IF(CTR1_Billing!$E$21='Local Data Previous Year'!$A$3:$A$20000,ROW('Local Data Previous Year'!$A$3:$A$20000)-ROW('Local Data Previous Year'!$A$3)+1),ROW(664:664)))),"",INDEX('Local Data Previous Year'!$D$3:$D$20000,SMALL(IF(CTR1_Billing!$E$21='Local Data Previous Year'!$A$3:$A$20000,ROW('Local Data Previous Year'!$A$3:$A$20000)-ROW('Local Data Previous Year'!$A$3)+1),ROW(664:664))))</f>
        <v/>
      </c>
      <c r="E696" s="755" t="str" cm="1">
        <f t="array" ref="E696">IF(ISERROR(INDEX('Local Data Previous Year'!$E$3:$E$20000,SMALL(IF(CTR1_Billing!$E$21='Local Data Previous Year'!$A$3:$A$20000,ROW('Local Data Previous Year'!$A$3:$A$20000)-ROW('Local Data Previous Year'!$A$3)+1),ROW(664:664)))),"",INDEX('Local Data Previous Year'!$E$3:$E$20000,SMALL(IF(CTR1_Billing!$E$21='Local Data Previous Year'!$A$3:$A$20000,ROW('Local Data Previous Year'!$A$3:$A$20000)-ROW('Local Data Previous Year'!$A$3)+1),ROW(664:664))))</f>
        <v/>
      </c>
      <c r="F696" s="756" t="str">
        <f>IF($D696="","",IF(ISNA(MATCH($D696,'Local Data Previous Year'!$D$3:$D$20000,0)),"New",IFERROR(VLOOKUP($B696,'Local Data Previous Year'!$D$3:$I$20000,6,0),"")))</f>
        <v/>
      </c>
      <c r="G696" s="757">
        <f t="shared" si="112"/>
        <v>0</v>
      </c>
      <c r="H696" s="758" t="str">
        <f>IFERROR(INDEX('Local Data Previous Year'!$F:$F, MATCH($D696, 'Local Data Previous Year'!$D:$D, 0)), "")</f>
        <v/>
      </c>
      <c r="I696" s="759">
        <f>IF(B696=CTR1_Billing!$E$21&amp;"NEW",1,0)</f>
        <v>0</v>
      </c>
      <c r="J696" s="760" t="str">
        <f>IFERROR(INDEX('Local Data Previous Year'!$G:$G, MATCH($D696, 'Local Data Previous Year'!$D:$D, 0)), "")</f>
        <v/>
      </c>
      <c r="K696" s="762"/>
      <c r="L696" s="760" t="str">
        <f>IFERROR(INDEX('Local Data Previous Year'!$H:$H, MATCH($D696, 'Local Data Previous Year'!$D:$D, 0)), "")</f>
        <v/>
      </c>
      <c r="M696" s="762"/>
      <c r="N696" s="763"/>
      <c r="O696" s="767"/>
      <c r="P696" s="765"/>
      <c r="Q696" s="767"/>
      <c r="R696" s="766" t="str">
        <f t="shared" si="137"/>
        <v/>
      </c>
      <c r="S696" s="754"/>
      <c r="T696" s="763"/>
      <c r="U696" s="754"/>
      <c r="V696" s="763"/>
      <c r="W696" s="763"/>
      <c r="X696" s="865" t="str">
        <f>VLOOKUP(CTR1_Billing!$E$21,Data!$C$6:$D$302,1,FALSE)</f>
        <v>EZZZZ</v>
      </c>
      <c r="Y696" s="205"/>
      <c r="Z696" s="205">
        <f t="shared" si="129"/>
        <v>0</v>
      </c>
      <c r="AA696" s="206" t="str">
        <f t="shared" si="128"/>
        <v/>
      </c>
      <c r="AB696" s="205">
        <f t="shared" si="130"/>
        <v>0</v>
      </c>
      <c r="AC696" s="208"/>
      <c r="AD696" s="208"/>
      <c r="AE696" s="208"/>
      <c r="AF696" s="208"/>
      <c r="AG696" s="209" t="str">
        <f>IFERROR(INDEX('Local Data Previous Year'!$F:$F, MATCH($D696, 'Local Data Previous Year'!$D:$D, 0)), "")</f>
        <v/>
      </c>
      <c r="AH696" s="209" t="str">
        <f>IFERROR(INDEX('Local Data Previous Year'!$G:$G, MATCH($D696, 'Local Data Previous Year'!$D:$D, 0)), "")</f>
        <v/>
      </c>
      <c r="AI696" s="209" t="str">
        <f>IFERROR(INDEX('Local Data Previous Year'!$H:$H, MATCH($D696, 'Local Data Previous Year'!$D:$D, 0)), "")</f>
        <v/>
      </c>
      <c r="AJ696" s="209" t="str">
        <f t="shared" si="131"/>
        <v/>
      </c>
      <c r="AK696" s="209" t="str">
        <f t="shared" si="116"/>
        <v/>
      </c>
      <c r="AL696" s="209" t="str">
        <f t="shared" si="117"/>
        <v/>
      </c>
      <c r="AM696" s="208" t="str">
        <f>IF($AN696="","",IFERROR(VLOOKUP(CONCATENATE(CTR1_Billing!$E$20,$AN696),'Local Data Previous Year'!$C$3:$D$50000,2,0),CTR1_Billing!$E$21&amp;"NEW"))</f>
        <v/>
      </c>
      <c r="AN696" s="209" t="str" cm="1">
        <f t="array" ref="AN696">IF(ISERROR(INDEX('Local Data Previous Year'!$E$3:$E$50000, SMALL(IF(CTR1_Billing!$E$21='Local Data Previous Year'!$A$3:$A$50000, ROW('Local Data Previous Year'!$A$3:$A$50000)-ROW('Local Data Previous Year'!$A$3)+1), ROW(664:664)))), "", INDEX('Local Data Previous Year'!$E$3:$E$50000, SMALL(IF(CTR1_Billing!$E$21='Local Data Previous Year'!$A$3:$A$50000, ROW('Local Data Previous Year'!$A$3:$A$50000)-ROW('Local Data Previous Year'!$A$3)+1), ROW(664:664))))</f>
        <v/>
      </c>
      <c r="AO696" s="209" t="str">
        <f t="shared" si="132"/>
        <v/>
      </c>
      <c r="AP696" s="208"/>
      <c r="AQ696" s="209" t="str">
        <f t="shared" si="133"/>
        <v/>
      </c>
      <c r="AR696" s="209" t="str">
        <f t="shared" si="134"/>
        <v/>
      </c>
      <c r="AS696" s="202" t="str">
        <f t="shared" si="135"/>
        <v/>
      </c>
      <c r="AT696" s="202" t="str">
        <f t="shared" si="136"/>
        <v/>
      </c>
      <c r="AU696" s="208"/>
      <c r="AV696" s="208"/>
      <c r="AW696" s="208"/>
      <c r="AX696" s="208"/>
      <c r="AY696" s="208"/>
      <c r="AZ696" s="208"/>
      <c r="BA696" s="208"/>
      <c r="BB696" s="208"/>
      <c r="BC696" s="208"/>
      <c r="BD696" s="208"/>
      <c r="BE696" s="208"/>
      <c r="BF696" s="208"/>
      <c r="BG696" s="28"/>
      <c r="BH696" s="28"/>
      <c r="BI696" s="28"/>
      <c r="BJ696" s="28"/>
    </row>
    <row r="697" spans="1:62" s="23" customFormat="1" ht="21" customHeight="1" thickBot="1" x14ac:dyDescent="0.25">
      <c r="A697" s="846" t="str">
        <f>IF($AN697="","",IFERROR(VLOOKUP(CONCATENATE(CTR1_Billing!$E$20,$AN697),'Local Data Previous Year'!$C$3:$D$20000,2,0),CTR1_Billing!$E$21&amp;"NEW"))</f>
        <v/>
      </c>
      <c r="B697" s="846" t="str">
        <f>IF($E697="","",IFERROR(VLOOKUP(CONCATENATE(CTR1_Billing!$E$20,CTR1_Local!$E697),'Local Data Previous Year'!$C$3:$D$20000,2,0),CTR1_Billing!$E$21&amp;"NEW"))</f>
        <v/>
      </c>
      <c r="C697" s="846">
        <v>665</v>
      </c>
      <c r="D697" s="755" t="str" cm="1">
        <f t="array" ref="D697">IF(ISERROR(INDEX('Local Data Previous Year'!$D$3:$D$20000,SMALL(IF(CTR1_Billing!$E$21='Local Data Previous Year'!$A$3:$A$20000,ROW('Local Data Previous Year'!$A$3:$A$20000)-ROW('Local Data Previous Year'!$A$3)+1),ROW(665:665)))),"",INDEX('Local Data Previous Year'!$D$3:$D$20000,SMALL(IF(CTR1_Billing!$E$21='Local Data Previous Year'!$A$3:$A$20000,ROW('Local Data Previous Year'!$A$3:$A$20000)-ROW('Local Data Previous Year'!$A$3)+1),ROW(665:665))))</f>
        <v/>
      </c>
      <c r="E697" s="755" t="str" cm="1">
        <f t="array" ref="E697">IF(ISERROR(INDEX('Local Data Previous Year'!$E$3:$E$20000,SMALL(IF(CTR1_Billing!$E$21='Local Data Previous Year'!$A$3:$A$20000,ROW('Local Data Previous Year'!$A$3:$A$20000)-ROW('Local Data Previous Year'!$A$3)+1),ROW(665:665)))),"",INDEX('Local Data Previous Year'!$E$3:$E$20000,SMALL(IF(CTR1_Billing!$E$21='Local Data Previous Year'!$A$3:$A$20000,ROW('Local Data Previous Year'!$A$3:$A$20000)-ROW('Local Data Previous Year'!$A$3)+1),ROW(665:665))))</f>
        <v/>
      </c>
      <c r="F697" s="756" t="str">
        <f>IF($D697="","",IF(ISNA(MATCH($D697,'Local Data Previous Year'!$D$3:$D$20000,0)),"New",IFERROR(VLOOKUP($B697,'Local Data Previous Year'!$D$3:$I$20000,6,0),"")))</f>
        <v/>
      </c>
      <c r="G697" s="757">
        <f t="shared" si="112"/>
        <v>0</v>
      </c>
      <c r="H697" s="758" t="str">
        <f>IFERROR(INDEX('Local Data Previous Year'!$F:$F, MATCH($D697, 'Local Data Previous Year'!$D:$D, 0)), "")</f>
        <v/>
      </c>
      <c r="I697" s="759">
        <f>IF(B697=CTR1_Billing!$E$21&amp;"NEW",1,0)</f>
        <v>0</v>
      </c>
      <c r="J697" s="760" t="str">
        <f>IFERROR(INDEX('Local Data Previous Year'!$G:$G, MATCH($D697, 'Local Data Previous Year'!$D:$D, 0)), "")</f>
        <v/>
      </c>
      <c r="K697" s="762"/>
      <c r="L697" s="760" t="str">
        <f>IFERROR(INDEX('Local Data Previous Year'!$H:$H, MATCH($D697, 'Local Data Previous Year'!$D:$D, 0)), "")</f>
        <v/>
      </c>
      <c r="M697" s="762"/>
      <c r="N697" s="763"/>
      <c r="O697" s="767"/>
      <c r="P697" s="765"/>
      <c r="Q697" s="767"/>
      <c r="R697" s="766" t="str">
        <f t="shared" si="137"/>
        <v/>
      </c>
      <c r="S697" s="754"/>
      <c r="T697" s="763"/>
      <c r="U697" s="754"/>
      <c r="V697" s="763"/>
      <c r="W697" s="763"/>
      <c r="X697" s="865" t="str">
        <f>VLOOKUP(CTR1_Billing!$E$21,Data!$C$6:$D$302,1,FALSE)</f>
        <v>EZZZZ</v>
      </c>
      <c r="Y697" s="205"/>
      <c r="Z697" s="205">
        <f t="shared" si="129"/>
        <v>0</v>
      </c>
      <c r="AA697" s="206" t="str">
        <f t="shared" si="128"/>
        <v/>
      </c>
      <c r="AB697" s="205">
        <f t="shared" si="130"/>
        <v>0</v>
      </c>
      <c r="AC697" s="208"/>
      <c r="AD697" s="208"/>
      <c r="AE697" s="208"/>
      <c r="AF697" s="208"/>
      <c r="AG697" s="209" t="str">
        <f>IFERROR(INDEX('Local Data Previous Year'!$F:$F, MATCH($D697, 'Local Data Previous Year'!$D:$D, 0)), "")</f>
        <v/>
      </c>
      <c r="AH697" s="209" t="str">
        <f>IFERROR(INDEX('Local Data Previous Year'!$G:$G, MATCH($D697, 'Local Data Previous Year'!$D:$D, 0)), "")</f>
        <v/>
      </c>
      <c r="AI697" s="209" t="str">
        <f>IFERROR(INDEX('Local Data Previous Year'!$H:$H, MATCH($D697, 'Local Data Previous Year'!$D:$D, 0)), "")</f>
        <v/>
      </c>
      <c r="AJ697" s="209" t="str">
        <f t="shared" si="131"/>
        <v/>
      </c>
      <c r="AK697" s="209" t="str">
        <f t="shared" si="116"/>
        <v/>
      </c>
      <c r="AL697" s="209" t="str">
        <f t="shared" si="117"/>
        <v/>
      </c>
      <c r="AM697" s="208" t="str">
        <f>IF($AN697="","",IFERROR(VLOOKUP(CONCATENATE(CTR1_Billing!$E$20,$AN697),'Local Data Previous Year'!$C$3:$D$50000,2,0),CTR1_Billing!$E$21&amp;"NEW"))</f>
        <v/>
      </c>
      <c r="AN697" s="209" t="str" cm="1">
        <f t="array" ref="AN697">IF(ISERROR(INDEX('Local Data Previous Year'!$E$3:$E$50000, SMALL(IF(CTR1_Billing!$E$21='Local Data Previous Year'!$A$3:$A$50000, ROW('Local Data Previous Year'!$A$3:$A$50000)-ROW('Local Data Previous Year'!$A$3)+1), ROW(665:665)))), "", INDEX('Local Data Previous Year'!$E$3:$E$50000, SMALL(IF(CTR1_Billing!$E$21='Local Data Previous Year'!$A$3:$A$50000, ROW('Local Data Previous Year'!$A$3:$A$50000)-ROW('Local Data Previous Year'!$A$3)+1), ROW(665:665))))</f>
        <v/>
      </c>
      <c r="AO697" s="209" t="str">
        <f t="shared" si="132"/>
        <v/>
      </c>
      <c r="AP697" s="208"/>
      <c r="AQ697" s="209" t="str">
        <f t="shared" si="133"/>
        <v/>
      </c>
      <c r="AR697" s="209" t="str">
        <f t="shared" si="134"/>
        <v/>
      </c>
      <c r="AS697" s="202" t="str">
        <f t="shared" si="135"/>
        <v/>
      </c>
      <c r="AT697" s="202" t="str">
        <f t="shared" si="136"/>
        <v/>
      </c>
      <c r="AU697" s="208"/>
      <c r="AV697" s="208"/>
      <c r="AW697" s="208"/>
      <c r="AX697" s="208"/>
      <c r="AY697" s="208"/>
      <c r="AZ697" s="208"/>
      <c r="BA697" s="208"/>
      <c r="BB697" s="208"/>
      <c r="BC697" s="208"/>
      <c r="BD697" s="208"/>
      <c r="BE697" s="208"/>
      <c r="BF697" s="208"/>
      <c r="BG697" s="28"/>
      <c r="BH697" s="28"/>
      <c r="BI697" s="28"/>
      <c r="BJ697" s="28"/>
    </row>
    <row r="698" spans="1:62" s="23" customFormat="1" ht="21" customHeight="1" thickBot="1" x14ac:dyDescent="0.25">
      <c r="A698" s="846" t="str">
        <f>IF($AN698="","",IFERROR(VLOOKUP(CONCATENATE(CTR1_Billing!$E$20,$AN698),'Local Data Previous Year'!$C$3:$D$20000,2,0),CTR1_Billing!$E$21&amp;"NEW"))</f>
        <v/>
      </c>
      <c r="B698" s="846" t="str">
        <f>IF($E698="","",IFERROR(VLOOKUP(CONCATENATE(CTR1_Billing!$E$20,CTR1_Local!$E698),'Local Data Previous Year'!$C$3:$D$20000,2,0),CTR1_Billing!$E$21&amp;"NEW"))</f>
        <v/>
      </c>
      <c r="C698" s="846">
        <v>666</v>
      </c>
      <c r="D698" s="755" t="str" cm="1">
        <f t="array" ref="D698">IF(ISERROR(INDEX('Local Data Previous Year'!$D$3:$D$20000,SMALL(IF(CTR1_Billing!$E$21='Local Data Previous Year'!$A$3:$A$20000,ROW('Local Data Previous Year'!$A$3:$A$20000)-ROW('Local Data Previous Year'!$A$3)+1),ROW(666:666)))),"",INDEX('Local Data Previous Year'!$D$3:$D$20000,SMALL(IF(CTR1_Billing!$E$21='Local Data Previous Year'!$A$3:$A$20000,ROW('Local Data Previous Year'!$A$3:$A$20000)-ROW('Local Data Previous Year'!$A$3)+1),ROW(666:666))))</f>
        <v/>
      </c>
      <c r="E698" s="755" t="str" cm="1">
        <f t="array" ref="E698">IF(ISERROR(INDEX('Local Data Previous Year'!$E$3:$E$20000,SMALL(IF(CTR1_Billing!$E$21='Local Data Previous Year'!$A$3:$A$20000,ROW('Local Data Previous Year'!$A$3:$A$20000)-ROW('Local Data Previous Year'!$A$3)+1),ROW(666:666)))),"",INDEX('Local Data Previous Year'!$E$3:$E$20000,SMALL(IF(CTR1_Billing!$E$21='Local Data Previous Year'!$A$3:$A$20000,ROW('Local Data Previous Year'!$A$3:$A$20000)-ROW('Local Data Previous Year'!$A$3)+1),ROW(666:666))))</f>
        <v/>
      </c>
      <c r="F698" s="756" t="str">
        <f>IF($D698="","",IF(ISNA(MATCH($D698,'Local Data Previous Year'!$D$3:$D$20000,0)),"New",IFERROR(VLOOKUP($B698,'Local Data Previous Year'!$D$3:$I$20000,6,0),"")))</f>
        <v/>
      </c>
      <c r="G698" s="757">
        <f t="shared" si="112"/>
        <v>0</v>
      </c>
      <c r="H698" s="758" t="str">
        <f>IFERROR(INDEX('Local Data Previous Year'!$F:$F, MATCH($D698, 'Local Data Previous Year'!$D:$D, 0)), "")</f>
        <v/>
      </c>
      <c r="I698" s="759">
        <f>IF(B698=CTR1_Billing!$E$21&amp;"NEW",1,0)</f>
        <v>0</v>
      </c>
      <c r="J698" s="760" t="str">
        <f>IFERROR(INDEX('Local Data Previous Year'!$G:$G, MATCH($D698, 'Local Data Previous Year'!$D:$D, 0)), "")</f>
        <v/>
      </c>
      <c r="K698" s="762"/>
      <c r="L698" s="760" t="str">
        <f>IFERROR(INDEX('Local Data Previous Year'!$H:$H, MATCH($D698, 'Local Data Previous Year'!$D:$D, 0)), "")</f>
        <v/>
      </c>
      <c r="M698" s="762"/>
      <c r="N698" s="763"/>
      <c r="O698" s="767"/>
      <c r="P698" s="765"/>
      <c r="Q698" s="767"/>
      <c r="R698" s="766" t="str">
        <f t="shared" si="137"/>
        <v/>
      </c>
      <c r="S698" s="754"/>
      <c r="T698" s="763"/>
      <c r="U698" s="754"/>
      <c r="V698" s="763"/>
      <c r="W698" s="763"/>
      <c r="X698" s="865" t="str">
        <f>VLOOKUP(CTR1_Billing!$E$21,Data!$C$6:$D$302,1,FALSE)</f>
        <v>EZZZZ</v>
      </c>
      <c r="Y698" s="205"/>
      <c r="Z698" s="205">
        <f t="shared" si="129"/>
        <v>0</v>
      </c>
      <c r="AA698" s="206" t="str">
        <f t="shared" si="128"/>
        <v/>
      </c>
      <c r="AB698" s="205">
        <f t="shared" si="130"/>
        <v>0</v>
      </c>
      <c r="AC698" s="208"/>
      <c r="AD698" s="208"/>
      <c r="AE698" s="208"/>
      <c r="AF698" s="208"/>
      <c r="AG698" s="209" t="str">
        <f>IFERROR(INDEX('Local Data Previous Year'!$F:$F, MATCH($D698, 'Local Data Previous Year'!$D:$D, 0)), "")</f>
        <v/>
      </c>
      <c r="AH698" s="209" t="str">
        <f>IFERROR(INDEX('Local Data Previous Year'!$G:$G, MATCH($D698, 'Local Data Previous Year'!$D:$D, 0)), "")</f>
        <v/>
      </c>
      <c r="AI698" s="209" t="str">
        <f>IFERROR(INDEX('Local Data Previous Year'!$H:$H, MATCH($D698, 'Local Data Previous Year'!$D:$D, 0)), "")</f>
        <v/>
      </c>
      <c r="AJ698" s="209" t="str">
        <f t="shared" si="131"/>
        <v/>
      </c>
      <c r="AK698" s="209" t="str">
        <f t="shared" si="116"/>
        <v/>
      </c>
      <c r="AL698" s="209" t="str">
        <f t="shared" si="117"/>
        <v/>
      </c>
      <c r="AM698" s="208" t="str">
        <f>IF($AN698="","",IFERROR(VLOOKUP(CONCATENATE(CTR1_Billing!$E$20,$AN698),'Local Data Previous Year'!$C$3:$D$50000,2,0),CTR1_Billing!$E$21&amp;"NEW"))</f>
        <v/>
      </c>
      <c r="AN698" s="209" t="str" cm="1">
        <f t="array" ref="AN698">IF(ISERROR(INDEX('Local Data Previous Year'!$E$3:$E$50000, SMALL(IF(CTR1_Billing!$E$21='Local Data Previous Year'!$A$3:$A$50000, ROW('Local Data Previous Year'!$A$3:$A$50000)-ROW('Local Data Previous Year'!$A$3)+1), ROW(666:666)))), "", INDEX('Local Data Previous Year'!$E$3:$E$50000, SMALL(IF(CTR1_Billing!$E$21='Local Data Previous Year'!$A$3:$A$50000, ROW('Local Data Previous Year'!$A$3:$A$50000)-ROW('Local Data Previous Year'!$A$3)+1), ROW(666:666))))</f>
        <v/>
      </c>
      <c r="AO698" s="209" t="str">
        <f t="shared" si="132"/>
        <v/>
      </c>
      <c r="AP698" s="208"/>
      <c r="AQ698" s="209" t="str">
        <f t="shared" si="133"/>
        <v/>
      </c>
      <c r="AR698" s="209" t="str">
        <f t="shared" si="134"/>
        <v/>
      </c>
      <c r="AS698" s="202" t="str">
        <f t="shared" si="135"/>
        <v/>
      </c>
      <c r="AT698" s="202" t="str">
        <f t="shared" si="136"/>
        <v/>
      </c>
      <c r="AU698" s="208"/>
      <c r="AV698" s="208"/>
      <c r="AW698" s="208"/>
      <c r="AX698" s="208"/>
      <c r="AY698" s="208"/>
      <c r="AZ698" s="208"/>
      <c r="BA698" s="208"/>
      <c r="BB698" s="208"/>
      <c r="BC698" s="208"/>
      <c r="BD698" s="208"/>
      <c r="BE698" s="208"/>
      <c r="BF698" s="208"/>
      <c r="BG698" s="28"/>
      <c r="BH698" s="28"/>
      <c r="BI698" s="28"/>
      <c r="BJ698" s="28"/>
    </row>
    <row r="699" spans="1:62" s="23" customFormat="1" ht="21" customHeight="1" thickBot="1" x14ac:dyDescent="0.25">
      <c r="A699" s="846" t="str">
        <f>IF($AN699="","",IFERROR(VLOOKUP(CONCATENATE(CTR1_Billing!$E$20,$AN699),'Local Data Previous Year'!$C$3:$D$20000,2,0),CTR1_Billing!$E$21&amp;"NEW"))</f>
        <v/>
      </c>
      <c r="B699" s="846" t="str">
        <f>IF($E699="","",IFERROR(VLOOKUP(CONCATENATE(CTR1_Billing!$E$20,CTR1_Local!$E699),'Local Data Previous Year'!$C$3:$D$20000,2,0),CTR1_Billing!$E$21&amp;"NEW"))</f>
        <v/>
      </c>
      <c r="C699" s="846">
        <v>667</v>
      </c>
      <c r="D699" s="755" t="str" cm="1">
        <f t="array" ref="D699">IF(ISERROR(INDEX('Local Data Previous Year'!$D$3:$D$20000,SMALL(IF(CTR1_Billing!$E$21='Local Data Previous Year'!$A$3:$A$20000,ROW('Local Data Previous Year'!$A$3:$A$20000)-ROW('Local Data Previous Year'!$A$3)+1),ROW(667:667)))),"",INDEX('Local Data Previous Year'!$D$3:$D$20000,SMALL(IF(CTR1_Billing!$E$21='Local Data Previous Year'!$A$3:$A$20000,ROW('Local Data Previous Year'!$A$3:$A$20000)-ROW('Local Data Previous Year'!$A$3)+1),ROW(667:667))))</f>
        <v/>
      </c>
      <c r="E699" s="755" t="str" cm="1">
        <f t="array" ref="E699">IF(ISERROR(INDEX('Local Data Previous Year'!$E$3:$E$20000,SMALL(IF(CTR1_Billing!$E$21='Local Data Previous Year'!$A$3:$A$20000,ROW('Local Data Previous Year'!$A$3:$A$20000)-ROW('Local Data Previous Year'!$A$3)+1),ROW(667:667)))),"",INDEX('Local Data Previous Year'!$E$3:$E$20000,SMALL(IF(CTR1_Billing!$E$21='Local Data Previous Year'!$A$3:$A$20000,ROW('Local Data Previous Year'!$A$3:$A$20000)-ROW('Local Data Previous Year'!$A$3)+1),ROW(667:667))))</f>
        <v/>
      </c>
      <c r="F699" s="756" t="str">
        <f>IF($D699="","",IF(ISNA(MATCH($D699,'Local Data Previous Year'!$D$3:$D$20000,0)),"New",IFERROR(VLOOKUP($B699,'Local Data Previous Year'!$D$3:$I$20000,6,0),"")))</f>
        <v/>
      </c>
      <c r="G699" s="757">
        <f t="shared" si="112"/>
        <v>0</v>
      </c>
      <c r="H699" s="758" t="str">
        <f>IFERROR(INDEX('Local Data Previous Year'!$F:$F, MATCH($D699, 'Local Data Previous Year'!$D:$D, 0)), "")</f>
        <v/>
      </c>
      <c r="I699" s="759">
        <f>IF(B699=CTR1_Billing!$E$21&amp;"NEW",1,0)</f>
        <v>0</v>
      </c>
      <c r="J699" s="760" t="str">
        <f>IFERROR(INDEX('Local Data Previous Year'!$G:$G, MATCH($D699, 'Local Data Previous Year'!$D:$D, 0)), "")</f>
        <v/>
      </c>
      <c r="K699" s="762"/>
      <c r="L699" s="760" t="str">
        <f>IFERROR(INDEX('Local Data Previous Year'!$H:$H, MATCH($D699, 'Local Data Previous Year'!$D:$D, 0)), "")</f>
        <v/>
      </c>
      <c r="M699" s="762"/>
      <c r="N699" s="763"/>
      <c r="O699" s="767"/>
      <c r="P699" s="765"/>
      <c r="Q699" s="767"/>
      <c r="R699" s="766" t="str">
        <f t="shared" si="137"/>
        <v/>
      </c>
      <c r="S699" s="754"/>
      <c r="T699" s="763"/>
      <c r="U699" s="754"/>
      <c r="V699" s="763"/>
      <c r="W699" s="763"/>
      <c r="X699" s="865" t="str">
        <f>VLOOKUP(CTR1_Billing!$E$21,Data!$C$6:$D$302,1,FALSE)</f>
        <v>EZZZZ</v>
      </c>
      <c r="Y699" s="205"/>
      <c r="Z699" s="205">
        <f t="shared" si="129"/>
        <v>0</v>
      </c>
      <c r="AA699" s="206" t="str">
        <f t="shared" si="128"/>
        <v/>
      </c>
      <c r="AB699" s="205">
        <f t="shared" si="130"/>
        <v>0</v>
      </c>
      <c r="AC699" s="208"/>
      <c r="AD699" s="208"/>
      <c r="AE699" s="208"/>
      <c r="AF699" s="208"/>
      <c r="AG699" s="209" t="str">
        <f>IFERROR(INDEX('Local Data Previous Year'!$F:$F, MATCH($D699, 'Local Data Previous Year'!$D:$D, 0)), "")</f>
        <v/>
      </c>
      <c r="AH699" s="209" t="str">
        <f>IFERROR(INDEX('Local Data Previous Year'!$G:$G, MATCH($D699, 'Local Data Previous Year'!$D:$D, 0)), "")</f>
        <v/>
      </c>
      <c r="AI699" s="209" t="str">
        <f>IFERROR(INDEX('Local Data Previous Year'!$H:$H, MATCH($D699, 'Local Data Previous Year'!$D:$D, 0)), "")</f>
        <v/>
      </c>
      <c r="AJ699" s="209" t="str">
        <f t="shared" si="131"/>
        <v/>
      </c>
      <c r="AK699" s="209" t="str">
        <f t="shared" si="116"/>
        <v/>
      </c>
      <c r="AL699" s="209" t="str">
        <f t="shared" si="117"/>
        <v/>
      </c>
      <c r="AM699" s="208" t="str">
        <f>IF($AN699="","",IFERROR(VLOOKUP(CONCATENATE(CTR1_Billing!$E$20,$AN699),'Local Data Previous Year'!$C$3:$D$50000,2,0),CTR1_Billing!$E$21&amp;"NEW"))</f>
        <v/>
      </c>
      <c r="AN699" s="209" t="str" cm="1">
        <f t="array" ref="AN699">IF(ISERROR(INDEX('Local Data Previous Year'!$E$3:$E$50000, SMALL(IF(CTR1_Billing!$E$21='Local Data Previous Year'!$A$3:$A$50000, ROW('Local Data Previous Year'!$A$3:$A$50000)-ROW('Local Data Previous Year'!$A$3)+1), ROW(667:667)))), "", INDEX('Local Data Previous Year'!$E$3:$E$50000, SMALL(IF(CTR1_Billing!$E$21='Local Data Previous Year'!$A$3:$A$50000, ROW('Local Data Previous Year'!$A$3:$A$50000)-ROW('Local Data Previous Year'!$A$3)+1), ROW(667:667))))</f>
        <v/>
      </c>
      <c r="AO699" s="209" t="str">
        <f t="shared" si="132"/>
        <v/>
      </c>
      <c r="AP699" s="208"/>
      <c r="AQ699" s="209" t="str">
        <f t="shared" si="133"/>
        <v/>
      </c>
      <c r="AR699" s="209" t="str">
        <f t="shared" si="134"/>
        <v/>
      </c>
      <c r="AS699" s="202" t="str">
        <f t="shared" si="135"/>
        <v/>
      </c>
      <c r="AT699" s="202" t="str">
        <f t="shared" si="136"/>
        <v/>
      </c>
      <c r="AU699" s="208"/>
      <c r="AV699" s="208"/>
      <c r="AW699" s="208"/>
      <c r="AX699" s="208"/>
      <c r="AY699" s="208"/>
      <c r="AZ699" s="208"/>
      <c r="BA699" s="208"/>
      <c r="BB699" s="208"/>
      <c r="BC699" s="208"/>
      <c r="BD699" s="208"/>
      <c r="BE699" s="208"/>
      <c r="BF699" s="208"/>
      <c r="BG699" s="28"/>
      <c r="BH699" s="28"/>
      <c r="BI699" s="28"/>
      <c r="BJ699" s="28"/>
    </row>
    <row r="700" spans="1:62" s="23" customFormat="1" ht="21" customHeight="1" thickBot="1" x14ac:dyDescent="0.25">
      <c r="A700" s="846" t="str">
        <f>IF($AN700="","",IFERROR(VLOOKUP(CONCATENATE(CTR1_Billing!$E$20,$AN700),'Local Data Previous Year'!$C$3:$D$20000,2,0),CTR1_Billing!$E$21&amp;"NEW"))</f>
        <v/>
      </c>
      <c r="B700" s="846" t="str">
        <f>IF($E700="","",IFERROR(VLOOKUP(CONCATENATE(CTR1_Billing!$E$20,CTR1_Local!$E700),'Local Data Previous Year'!$C$3:$D$20000,2,0),CTR1_Billing!$E$21&amp;"NEW"))</f>
        <v/>
      </c>
      <c r="C700" s="846">
        <v>668</v>
      </c>
      <c r="D700" s="755" t="str" cm="1">
        <f t="array" ref="D700">IF(ISERROR(INDEX('Local Data Previous Year'!$D$3:$D$20000,SMALL(IF(CTR1_Billing!$E$21='Local Data Previous Year'!$A$3:$A$20000,ROW('Local Data Previous Year'!$A$3:$A$20000)-ROW('Local Data Previous Year'!$A$3)+1),ROW(668:668)))),"",INDEX('Local Data Previous Year'!$D$3:$D$20000,SMALL(IF(CTR1_Billing!$E$21='Local Data Previous Year'!$A$3:$A$20000,ROW('Local Data Previous Year'!$A$3:$A$20000)-ROW('Local Data Previous Year'!$A$3)+1),ROW(668:668))))</f>
        <v/>
      </c>
      <c r="E700" s="755" t="str" cm="1">
        <f t="array" ref="E700">IF(ISERROR(INDEX('Local Data Previous Year'!$E$3:$E$20000,SMALL(IF(CTR1_Billing!$E$21='Local Data Previous Year'!$A$3:$A$20000,ROW('Local Data Previous Year'!$A$3:$A$20000)-ROW('Local Data Previous Year'!$A$3)+1),ROW(668:668)))),"",INDEX('Local Data Previous Year'!$E$3:$E$20000,SMALL(IF(CTR1_Billing!$E$21='Local Data Previous Year'!$A$3:$A$20000,ROW('Local Data Previous Year'!$A$3:$A$20000)-ROW('Local Data Previous Year'!$A$3)+1),ROW(668:668))))</f>
        <v/>
      </c>
      <c r="F700" s="756" t="str">
        <f>IF($D700="","",IF(ISNA(MATCH($D700,'Local Data Previous Year'!$D$3:$D$20000,0)),"New",IFERROR(VLOOKUP($B700,'Local Data Previous Year'!$D$3:$I$20000,6,0),"")))</f>
        <v/>
      </c>
      <c r="G700" s="757">
        <f t="shared" si="112"/>
        <v>0</v>
      </c>
      <c r="H700" s="758" t="str">
        <f>IFERROR(INDEX('Local Data Previous Year'!$F:$F, MATCH($D700, 'Local Data Previous Year'!$D:$D, 0)), "")</f>
        <v/>
      </c>
      <c r="I700" s="759">
        <f>IF(B700=CTR1_Billing!$E$21&amp;"NEW",1,0)</f>
        <v>0</v>
      </c>
      <c r="J700" s="760" t="str">
        <f>IFERROR(INDEX('Local Data Previous Year'!$G:$G, MATCH($D700, 'Local Data Previous Year'!$D:$D, 0)), "")</f>
        <v/>
      </c>
      <c r="K700" s="762"/>
      <c r="L700" s="760" t="str">
        <f>IFERROR(INDEX('Local Data Previous Year'!$H:$H, MATCH($D700, 'Local Data Previous Year'!$D:$D, 0)), "")</f>
        <v/>
      </c>
      <c r="M700" s="762"/>
      <c r="N700" s="763"/>
      <c r="O700" s="767"/>
      <c r="P700" s="765"/>
      <c r="Q700" s="767"/>
      <c r="R700" s="766" t="str">
        <f t="shared" si="137"/>
        <v/>
      </c>
      <c r="S700" s="754"/>
      <c r="T700" s="763"/>
      <c r="U700" s="754"/>
      <c r="V700" s="763"/>
      <c r="W700" s="763"/>
      <c r="X700" s="865" t="str">
        <f>VLOOKUP(CTR1_Billing!$E$21,Data!$C$6:$D$302,1,FALSE)</f>
        <v>EZZZZ</v>
      </c>
      <c r="Y700" s="205"/>
      <c r="Z700" s="205">
        <f t="shared" si="129"/>
        <v>0</v>
      </c>
      <c r="AA700" s="206" t="str">
        <f t="shared" si="128"/>
        <v/>
      </c>
      <c r="AB700" s="205">
        <f t="shared" si="130"/>
        <v>0</v>
      </c>
      <c r="AC700" s="208"/>
      <c r="AD700" s="208"/>
      <c r="AE700" s="208"/>
      <c r="AF700" s="208"/>
      <c r="AG700" s="209" t="str">
        <f>IFERROR(INDEX('Local Data Previous Year'!$F:$F, MATCH($D700, 'Local Data Previous Year'!$D:$D, 0)), "")</f>
        <v/>
      </c>
      <c r="AH700" s="209" t="str">
        <f>IFERROR(INDEX('Local Data Previous Year'!$G:$G, MATCH($D700, 'Local Data Previous Year'!$D:$D, 0)), "")</f>
        <v/>
      </c>
      <c r="AI700" s="209" t="str">
        <f>IFERROR(INDEX('Local Data Previous Year'!$H:$H, MATCH($D700, 'Local Data Previous Year'!$D:$D, 0)), "")</f>
        <v/>
      </c>
      <c r="AJ700" s="209" t="str">
        <f t="shared" si="131"/>
        <v/>
      </c>
      <c r="AK700" s="209" t="str">
        <f t="shared" si="116"/>
        <v/>
      </c>
      <c r="AL700" s="209" t="str">
        <f t="shared" si="117"/>
        <v/>
      </c>
      <c r="AM700" s="208" t="str">
        <f>IF($AN700="","",IFERROR(VLOOKUP(CONCATENATE(CTR1_Billing!$E$20,$AN700),'Local Data Previous Year'!$C$3:$D$50000,2,0),CTR1_Billing!$E$21&amp;"NEW"))</f>
        <v/>
      </c>
      <c r="AN700" s="209" t="str" cm="1">
        <f t="array" ref="AN700">IF(ISERROR(INDEX('Local Data Previous Year'!$E$3:$E$50000, SMALL(IF(CTR1_Billing!$E$21='Local Data Previous Year'!$A$3:$A$50000, ROW('Local Data Previous Year'!$A$3:$A$50000)-ROW('Local Data Previous Year'!$A$3)+1), ROW(668:668)))), "", INDEX('Local Data Previous Year'!$E$3:$E$50000, SMALL(IF(CTR1_Billing!$E$21='Local Data Previous Year'!$A$3:$A$50000, ROW('Local Data Previous Year'!$A$3:$A$50000)-ROW('Local Data Previous Year'!$A$3)+1), ROW(668:668))))</f>
        <v/>
      </c>
      <c r="AO700" s="209" t="str">
        <f t="shared" si="132"/>
        <v/>
      </c>
      <c r="AP700" s="208"/>
      <c r="AQ700" s="209" t="str">
        <f t="shared" si="133"/>
        <v/>
      </c>
      <c r="AR700" s="209" t="str">
        <f t="shared" si="134"/>
        <v/>
      </c>
      <c r="AS700" s="202" t="str">
        <f t="shared" si="135"/>
        <v/>
      </c>
      <c r="AT700" s="202" t="str">
        <f t="shared" si="136"/>
        <v/>
      </c>
      <c r="AU700" s="208"/>
      <c r="AV700" s="208"/>
      <c r="AW700" s="208"/>
      <c r="AX700" s="208"/>
      <c r="AY700" s="208"/>
      <c r="AZ700" s="208"/>
      <c r="BA700" s="208"/>
      <c r="BB700" s="208"/>
      <c r="BC700" s="208"/>
      <c r="BD700" s="208"/>
      <c r="BE700" s="208"/>
      <c r="BF700" s="208"/>
      <c r="BG700" s="28"/>
      <c r="BH700" s="28"/>
      <c r="BI700" s="28"/>
      <c r="BJ700" s="28"/>
    </row>
    <row r="701" spans="1:62" s="23" customFormat="1" ht="21" customHeight="1" thickBot="1" x14ac:dyDescent="0.25">
      <c r="A701" s="846" t="str">
        <f>IF($AN701="","",IFERROR(VLOOKUP(CONCATENATE(CTR1_Billing!$E$20,$AN701),'Local Data Previous Year'!$C$3:$D$20000,2,0),CTR1_Billing!$E$21&amp;"NEW"))</f>
        <v/>
      </c>
      <c r="B701" s="846" t="str">
        <f>IF($E701="","",IFERROR(VLOOKUP(CONCATENATE(CTR1_Billing!$E$20,CTR1_Local!$E701),'Local Data Previous Year'!$C$3:$D$20000,2,0),CTR1_Billing!$E$21&amp;"NEW"))</f>
        <v/>
      </c>
      <c r="C701" s="846">
        <v>669</v>
      </c>
      <c r="D701" s="755" t="str" cm="1">
        <f t="array" ref="D701">IF(ISERROR(INDEX('Local Data Previous Year'!$D$3:$D$20000,SMALL(IF(CTR1_Billing!$E$21='Local Data Previous Year'!$A$3:$A$20000,ROW('Local Data Previous Year'!$A$3:$A$20000)-ROW('Local Data Previous Year'!$A$3)+1),ROW(669:669)))),"",INDEX('Local Data Previous Year'!$D$3:$D$20000,SMALL(IF(CTR1_Billing!$E$21='Local Data Previous Year'!$A$3:$A$20000,ROW('Local Data Previous Year'!$A$3:$A$20000)-ROW('Local Data Previous Year'!$A$3)+1),ROW(669:669))))</f>
        <v/>
      </c>
      <c r="E701" s="755" t="str" cm="1">
        <f t="array" ref="E701">IF(ISERROR(INDEX('Local Data Previous Year'!$E$3:$E$20000,SMALL(IF(CTR1_Billing!$E$21='Local Data Previous Year'!$A$3:$A$20000,ROW('Local Data Previous Year'!$A$3:$A$20000)-ROW('Local Data Previous Year'!$A$3)+1),ROW(669:669)))),"",INDEX('Local Data Previous Year'!$E$3:$E$20000,SMALL(IF(CTR1_Billing!$E$21='Local Data Previous Year'!$A$3:$A$20000,ROW('Local Data Previous Year'!$A$3:$A$20000)-ROW('Local Data Previous Year'!$A$3)+1),ROW(669:669))))</f>
        <v/>
      </c>
      <c r="F701" s="756" t="str">
        <f>IF($D701="","",IF(ISNA(MATCH($D701,'Local Data Previous Year'!$D$3:$D$20000,0)),"New",IFERROR(VLOOKUP($B701,'Local Data Previous Year'!$D$3:$I$20000,6,0),"")))</f>
        <v/>
      </c>
      <c r="G701" s="757">
        <f t="shared" si="112"/>
        <v>0</v>
      </c>
      <c r="H701" s="758" t="str">
        <f>IFERROR(INDEX('Local Data Previous Year'!$F:$F, MATCH($D701, 'Local Data Previous Year'!$D:$D, 0)), "")</f>
        <v/>
      </c>
      <c r="I701" s="759">
        <f>IF(B701=CTR1_Billing!$E$21&amp;"NEW",1,0)</f>
        <v>0</v>
      </c>
      <c r="J701" s="760" t="str">
        <f>IFERROR(INDEX('Local Data Previous Year'!$G:$G, MATCH($D701, 'Local Data Previous Year'!$D:$D, 0)), "")</f>
        <v/>
      </c>
      <c r="K701" s="762"/>
      <c r="L701" s="760" t="str">
        <f>IFERROR(INDEX('Local Data Previous Year'!$H:$H, MATCH($D701, 'Local Data Previous Year'!$D:$D, 0)), "")</f>
        <v/>
      </c>
      <c r="M701" s="762"/>
      <c r="N701" s="763"/>
      <c r="O701" s="767"/>
      <c r="P701" s="765"/>
      <c r="Q701" s="767"/>
      <c r="R701" s="766" t="str">
        <f t="shared" si="137"/>
        <v/>
      </c>
      <c r="S701" s="754"/>
      <c r="T701" s="763"/>
      <c r="U701" s="754"/>
      <c r="V701" s="763"/>
      <c r="W701" s="763"/>
      <c r="X701" s="865" t="str">
        <f>VLOOKUP(CTR1_Billing!$E$21,Data!$C$6:$D$302,1,FALSE)</f>
        <v>EZZZZ</v>
      </c>
      <c r="Y701" s="205"/>
      <c r="Z701" s="205">
        <f t="shared" si="129"/>
        <v>0</v>
      </c>
      <c r="AA701" s="206" t="str">
        <f t="shared" si="128"/>
        <v/>
      </c>
      <c r="AB701" s="205">
        <f t="shared" si="130"/>
        <v>0</v>
      </c>
      <c r="AC701" s="208"/>
      <c r="AD701" s="208"/>
      <c r="AE701" s="208"/>
      <c r="AF701" s="208"/>
      <c r="AG701" s="209" t="str">
        <f>IFERROR(INDEX('Local Data Previous Year'!$F:$F, MATCH($D701, 'Local Data Previous Year'!$D:$D, 0)), "")</f>
        <v/>
      </c>
      <c r="AH701" s="209" t="str">
        <f>IFERROR(INDEX('Local Data Previous Year'!$G:$G, MATCH($D701, 'Local Data Previous Year'!$D:$D, 0)), "")</f>
        <v/>
      </c>
      <c r="AI701" s="209" t="str">
        <f>IFERROR(INDEX('Local Data Previous Year'!$H:$H, MATCH($D701, 'Local Data Previous Year'!$D:$D, 0)), "")</f>
        <v/>
      </c>
      <c r="AJ701" s="209" t="str">
        <f t="shared" si="131"/>
        <v/>
      </c>
      <c r="AK701" s="209" t="str">
        <f t="shared" si="116"/>
        <v/>
      </c>
      <c r="AL701" s="209" t="str">
        <f t="shared" si="117"/>
        <v/>
      </c>
      <c r="AM701" s="208" t="str">
        <f>IF($AN701="","",IFERROR(VLOOKUP(CONCATENATE(CTR1_Billing!$E$20,$AN701),'Local Data Previous Year'!$C$3:$D$50000,2,0),CTR1_Billing!$E$21&amp;"NEW"))</f>
        <v/>
      </c>
      <c r="AN701" s="209" t="str" cm="1">
        <f t="array" ref="AN701">IF(ISERROR(INDEX('Local Data Previous Year'!$E$3:$E$50000, SMALL(IF(CTR1_Billing!$E$21='Local Data Previous Year'!$A$3:$A$50000, ROW('Local Data Previous Year'!$A$3:$A$50000)-ROW('Local Data Previous Year'!$A$3)+1), ROW(669:669)))), "", INDEX('Local Data Previous Year'!$E$3:$E$50000, SMALL(IF(CTR1_Billing!$E$21='Local Data Previous Year'!$A$3:$A$50000, ROW('Local Data Previous Year'!$A$3:$A$50000)-ROW('Local Data Previous Year'!$A$3)+1), ROW(669:669))))</f>
        <v/>
      </c>
      <c r="AO701" s="209" t="str">
        <f t="shared" si="132"/>
        <v/>
      </c>
      <c r="AP701" s="208"/>
      <c r="AQ701" s="209" t="str">
        <f t="shared" si="133"/>
        <v/>
      </c>
      <c r="AR701" s="209" t="str">
        <f t="shared" si="134"/>
        <v/>
      </c>
      <c r="AS701" s="202" t="str">
        <f t="shared" si="135"/>
        <v/>
      </c>
      <c r="AT701" s="202" t="str">
        <f t="shared" si="136"/>
        <v/>
      </c>
      <c r="AU701" s="208"/>
      <c r="AV701" s="208"/>
      <c r="AW701" s="208"/>
      <c r="AX701" s="208"/>
      <c r="AY701" s="208"/>
      <c r="AZ701" s="208"/>
      <c r="BA701" s="208"/>
      <c r="BB701" s="208"/>
      <c r="BC701" s="208"/>
      <c r="BD701" s="208"/>
      <c r="BE701" s="208"/>
      <c r="BF701" s="208"/>
      <c r="BG701" s="28"/>
      <c r="BH701" s="28"/>
      <c r="BI701" s="28"/>
      <c r="BJ701" s="28"/>
    </row>
    <row r="702" spans="1:62" s="23" customFormat="1" ht="21" customHeight="1" thickBot="1" x14ac:dyDescent="0.25">
      <c r="A702" s="846" t="str">
        <f>IF($AN702="","",IFERROR(VLOOKUP(CONCATENATE(CTR1_Billing!$E$20,$AN702),'Local Data Previous Year'!$C$3:$D$20000,2,0),CTR1_Billing!$E$21&amp;"NEW"))</f>
        <v/>
      </c>
      <c r="B702" s="846" t="str">
        <f>IF($E702="","",IFERROR(VLOOKUP(CONCATENATE(CTR1_Billing!$E$20,CTR1_Local!$E702),'Local Data Previous Year'!$C$3:$D$20000,2,0),CTR1_Billing!$E$21&amp;"NEW"))</f>
        <v/>
      </c>
      <c r="C702" s="846">
        <v>670</v>
      </c>
      <c r="D702" s="755" t="str" cm="1">
        <f t="array" ref="D702">IF(ISERROR(INDEX('Local Data Previous Year'!$D$3:$D$20000,SMALL(IF(CTR1_Billing!$E$21='Local Data Previous Year'!$A$3:$A$20000,ROW('Local Data Previous Year'!$A$3:$A$20000)-ROW('Local Data Previous Year'!$A$3)+1),ROW(670:670)))),"",INDEX('Local Data Previous Year'!$D$3:$D$20000,SMALL(IF(CTR1_Billing!$E$21='Local Data Previous Year'!$A$3:$A$20000,ROW('Local Data Previous Year'!$A$3:$A$20000)-ROW('Local Data Previous Year'!$A$3)+1),ROW(670:670))))</f>
        <v/>
      </c>
      <c r="E702" s="755" t="str" cm="1">
        <f t="array" ref="E702">IF(ISERROR(INDEX('Local Data Previous Year'!$E$3:$E$20000,SMALL(IF(CTR1_Billing!$E$21='Local Data Previous Year'!$A$3:$A$20000,ROW('Local Data Previous Year'!$A$3:$A$20000)-ROW('Local Data Previous Year'!$A$3)+1),ROW(670:670)))),"",INDEX('Local Data Previous Year'!$E$3:$E$20000,SMALL(IF(CTR1_Billing!$E$21='Local Data Previous Year'!$A$3:$A$20000,ROW('Local Data Previous Year'!$A$3:$A$20000)-ROW('Local Data Previous Year'!$A$3)+1),ROW(670:670))))</f>
        <v/>
      </c>
      <c r="F702" s="756" t="str">
        <f>IF($D702="","",IF(ISNA(MATCH($D702,'Local Data Previous Year'!$D$3:$D$20000,0)),"New",IFERROR(VLOOKUP($B702,'Local Data Previous Year'!$D$3:$I$20000,6,0),"")))</f>
        <v/>
      </c>
      <c r="G702" s="757">
        <f t="shared" si="112"/>
        <v>0</v>
      </c>
      <c r="H702" s="758" t="str">
        <f>IFERROR(INDEX('Local Data Previous Year'!$F:$F, MATCH($D702, 'Local Data Previous Year'!$D:$D, 0)), "")</f>
        <v/>
      </c>
      <c r="I702" s="759">
        <f>IF(B702=CTR1_Billing!$E$21&amp;"NEW",1,0)</f>
        <v>0</v>
      </c>
      <c r="J702" s="760" t="str">
        <f>IFERROR(INDEX('Local Data Previous Year'!$G:$G, MATCH($D702, 'Local Data Previous Year'!$D:$D, 0)), "")</f>
        <v/>
      </c>
      <c r="K702" s="762"/>
      <c r="L702" s="760" t="str">
        <f>IFERROR(INDEX('Local Data Previous Year'!$H:$H, MATCH($D702, 'Local Data Previous Year'!$D:$D, 0)), "")</f>
        <v/>
      </c>
      <c r="M702" s="762"/>
      <c r="N702" s="763"/>
      <c r="O702" s="767"/>
      <c r="P702" s="765"/>
      <c r="Q702" s="767"/>
      <c r="R702" s="766" t="str">
        <f t="shared" si="137"/>
        <v/>
      </c>
      <c r="S702" s="754"/>
      <c r="T702" s="763"/>
      <c r="U702" s="754"/>
      <c r="V702" s="763"/>
      <c r="W702" s="763"/>
      <c r="X702" s="865" t="str">
        <f>VLOOKUP(CTR1_Billing!$E$21,Data!$C$6:$D$302,1,FALSE)</f>
        <v>EZZZZ</v>
      </c>
      <c r="Y702" s="205"/>
      <c r="Z702" s="205">
        <f t="shared" si="129"/>
        <v>0</v>
      </c>
      <c r="AA702" s="206" t="str">
        <f t="shared" si="128"/>
        <v/>
      </c>
      <c r="AB702" s="205">
        <f t="shared" si="130"/>
        <v>0</v>
      </c>
      <c r="AC702" s="208"/>
      <c r="AD702" s="208"/>
      <c r="AE702" s="208"/>
      <c r="AF702" s="208"/>
      <c r="AG702" s="209" t="str">
        <f>IFERROR(INDEX('Local Data Previous Year'!$F:$F, MATCH($D702, 'Local Data Previous Year'!$D:$D, 0)), "")</f>
        <v/>
      </c>
      <c r="AH702" s="209" t="str">
        <f>IFERROR(INDEX('Local Data Previous Year'!$G:$G, MATCH($D702, 'Local Data Previous Year'!$D:$D, 0)), "")</f>
        <v/>
      </c>
      <c r="AI702" s="209" t="str">
        <f>IFERROR(INDEX('Local Data Previous Year'!$H:$H, MATCH($D702, 'Local Data Previous Year'!$D:$D, 0)), "")</f>
        <v/>
      </c>
      <c r="AJ702" s="209" t="str">
        <f t="shared" si="131"/>
        <v/>
      </c>
      <c r="AK702" s="209" t="str">
        <f t="shared" si="116"/>
        <v/>
      </c>
      <c r="AL702" s="209" t="str">
        <f t="shared" si="117"/>
        <v/>
      </c>
      <c r="AM702" s="208" t="str">
        <f>IF($AN702="","",IFERROR(VLOOKUP(CONCATENATE(CTR1_Billing!$E$20,$AN702),'Local Data Previous Year'!$C$3:$D$50000,2,0),CTR1_Billing!$E$21&amp;"NEW"))</f>
        <v/>
      </c>
      <c r="AN702" s="209" t="str" cm="1">
        <f t="array" ref="AN702">IF(ISERROR(INDEX('Local Data Previous Year'!$E$3:$E$50000, SMALL(IF(CTR1_Billing!$E$21='Local Data Previous Year'!$A$3:$A$50000, ROW('Local Data Previous Year'!$A$3:$A$50000)-ROW('Local Data Previous Year'!$A$3)+1), ROW(670:670)))), "", INDEX('Local Data Previous Year'!$E$3:$E$50000, SMALL(IF(CTR1_Billing!$E$21='Local Data Previous Year'!$A$3:$A$50000, ROW('Local Data Previous Year'!$A$3:$A$50000)-ROW('Local Data Previous Year'!$A$3)+1), ROW(670:670))))</f>
        <v/>
      </c>
      <c r="AO702" s="209" t="str">
        <f t="shared" si="132"/>
        <v/>
      </c>
      <c r="AP702" s="208"/>
      <c r="AQ702" s="209" t="str">
        <f t="shared" si="133"/>
        <v/>
      </c>
      <c r="AR702" s="209" t="str">
        <f t="shared" si="134"/>
        <v/>
      </c>
      <c r="AS702" s="202" t="str">
        <f t="shared" si="135"/>
        <v/>
      </c>
      <c r="AT702" s="202" t="str">
        <f t="shared" si="136"/>
        <v/>
      </c>
      <c r="AU702" s="208"/>
      <c r="AV702" s="208"/>
      <c r="AW702" s="208"/>
      <c r="AX702" s="208"/>
      <c r="AY702" s="208"/>
      <c r="AZ702" s="208"/>
      <c r="BA702" s="208"/>
      <c r="BB702" s="208"/>
      <c r="BC702" s="208"/>
      <c r="BD702" s="208"/>
      <c r="BE702" s="208"/>
      <c r="BF702" s="208"/>
      <c r="BG702" s="28"/>
      <c r="BH702" s="28"/>
      <c r="BI702" s="28"/>
      <c r="BJ702" s="28"/>
    </row>
    <row r="703" spans="1:62" s="23" customFormat="1" ht="21" customHeight="1" thickBot="1" x14ac:dyDescent="0.25">
      <c r="A703" s="846" t="str">
        <f>IF($AN703="","",IFERROR(VLOOKUP(CONCATENATE(CTR1_Billing!$E$20,$AN703),'Local Data Previous Year'!$C$3:$D$20000,2,0),CTR1_Billing!$E$21&amp;"NEW"))</f>
        <v/>
      </c>
      <c r="B703" s="846" t="str">
        <f>IF($E703="","",IFERROR(VLOOKUP(CONCATENATE(CTR1_Billing!$E$20,CTR1_Local!$E703),'Local Data Previous Year'!$C$3:$D$20000,2,0),CTR1_Billing!$E$21&amp;"NEW"))</f>
        <v/>
      </c>
      <c r="C703" s="846">
        <v>671</v>
      </c>
      <c r="D703" s="755" t="str" cm="1">
        <f t="array" ref="D703">IF(ISERROR(INDEX('Local Data Previous Year'!$D$3:$D$20000,SMALL(IF(CTR1_Billing!$E$21='Local Data Previous Year'!$A$3:$A$20000,ROW('Local Data Previous Year'!$A$3:$A$20000)-ROW('Local Data Previous Year'!$A$3)+1),ROW(671:671)))),"",INDEX('Local Data Previous Year'!$D$3:$D$20000,SMALL(IF(CTR1_Billing!$E$21='Local Data Previous Year'!$A$3:$A$20000,ROW('Local Data Previous Year'!$A$3:$A$20000)-ROW('Local Data Previous Year'!$A$3)+1),ROW(671:671))))</f>
        <v/>
      </c>
      <c r="E703" s="755" t="str" cm="1">
        <f t="array" ref="E703">IF(ISERROR(INDEX('Local Data Previous Year'!$E$3:$E$20000,SMALL(IF(CTR1_Billing!$E$21='Local Data Previous Year'!$A$3:$A$20000,ROW('Local Data Previous Year'!$A$3:$A$20000)-ROW('Local Data Previous Year'!$A$3)+1),ROW(671:671)))),"",INDEX('Local Data Previous Year'!$E$3:$E$20000,SMALL(IF(CTR1_Billing!$E$21='Local Data Previous Year'!$A$3:$A$20000,ROW('Local Data Previous Year'!$A$3:$A$20000)-ROW('Local Data Previous Year'!$A$3)+1),ROW(671:671))))</f>
        <v/>
      </c>
      <c r="F703" s="756" t="str">
        <f>IF($D703="","",IF(ISNA(MATCH($D703,'Local Data Previous Year'!$D$3:$D$20000,0)),"New",IFERROR(VLOOKUP($B703,'Local Data Previous Year'!$D$3:$I$20000,6,0),"")))</f>
        <v/>
      </c>
      <c r="G703" s="757">
        <f t="shared" si="112"/>
        <v>0</v>
      </c>
      <c r="H703" s="758" t="str">
        <f>IFERROR(INDEX('Local Data Previous Year'!$F:$F, MATCH($D703, 'Local Data Previous Year'!$D:$D, 0)), "")</f>
        <v/>
      </c>
      <c r="I703" s="759">
        <f>IF(B703=CTR1_Billing!$E$21&amp;"NEW",1,0)</f>
        <v>0</v>
      </c>
      <c r="J703" s="760" t="str">
        <f>IFERROR(INDEX('Local Data Previous Year'!$G:$G, MATCH($D703, 'Local Data Previous Year'!$D:$D, 0)), "")</f>
        <v/>
      </c>
      <c r="K703" s="762"/>
      <c r="L703" s="760" t="str">
        <f>IFERROR(INDEX('Local Data Previous Year'!$H:$H, MATCH($D703, 'Local Data Previous Year'!$D:$D, 0)), "")</f>
        <v/>
      </c>
      <c r="M703" s="762"/>
      <c r="N703" s="763"/>
      <c r="O703" s="767"/>
      <c r="P703" s="765"/>
      <c r="Q703" s="767"/>
      <c r="R703" s="766" t="str">
        <f t="shared" si="137"/>
        <v/>
      </c>
      <c r="S703" s="754"/>
      <c r="T703" s="763"/>
      <c r="U703" s="754"/>
      <c r="V703" s="763"/>
      <c r="W703" s="763"/>
      <c r="X703" s="865" t="str">
        <f>VLOOKUP(CTR1_Billing!$E$21,Data!$C$6:$D$302,1,FALSE)</f>
        <v>EZZZZ</v>
      </c>
      <c r="Y703" s="205"/>
      <c r="Z703" s="205">
        <f t="shared" si="129"/>
        <v>0</v>
      </c>
      <c r="AA703" s="206" t="str">
        <f t="shared" si="128"/>
        <v/>
      </c>
      <c r="AB703" s="205">
        <f t="shared" si="130"/>
        <v>0</v>
      </c>
      <c r="AC703" s="208"/>
      <c r="AD703" s="208"/>
      <c r="AE703" s="208"/>
      <c r="AF703" s="208"/>
      <c r="AG703" s="209" t="str">
        <f>IFERROR(INDEX('Local Data Previous Year'!$F:$F, MATCH($D703, 'Local Data Previous Year'!$D:$D, 0)), "")</f>
        <v/>
      </c>
      <c r="AH703" s="209" t="str">
        <f>IFERROR(INDEX('Local Data Previous Year'!$G:$G, MATCH($D703, 'Local Data Previous Year'!$D:$D, 0)), "")</f>
        <v/>
      </c>
      <c r="AI703" s="209" t="str">
        <f>IFERROR(INDEX('Local Data Previous Year'!$H:$H, MATCH($D703, 'Local Data Previous Year'!$D:$D, 0)), "")</f>
        <v/>
      </c>
      <c r="AJ703" s="209" t="str">
        <f t="shared" si="131"/>
        <v/>
      </c>
      <c r="AK703" s="209" t="str">
        <f t="shared" si="116"/>
        <v/>
      </c>
      <c r="AL703" s="209" t="str">
        <f t="shared" si="117"/>
        <v/>
      </c>
      <c r="AM703" s="208" t="str">
        <f>IF($AN703="","",IFERROR(VLOOKUP(CONCATENATE(CTR1_Billing!$E$20,$AN703),'Local Data Previous Year'!$C$3:$D$50000,2,0),CTR1_Billing!$E$21&amp;"NEW"))</f>
        <v/>
      </c>
      <c r="AN703" s="209" t="str" cm="1">
        <f t="array" ref="AN703">IF(ISERROR(INDEX('Local Data Previous Year'!$E$3:$E$50000, SMALL(IF(CTR1_Billing!$E$21='Local Data Previous Year'!$A$3:$A$50000, ROW('Local Data Previous Year'!$A$3:$A$50000)-ROW('Local Data Previous Year'!$A$3)+1), ROW(671:671)))), "", INDEX('Local Data Previous Year'!$E$3:$E$50000, SMALL(IF(CTR1_Billing!$E$21='Local Data Previous Year'!$A$3:$A$50000, ROW('Local Data Previous Year'!$A$3:$A$50000)-ROW('Local Data Previous Year'!$A$3)+1), ROW(671:671))))</f>
        <v/>
      </c>
      <c r="AO703" s="209" t="str">
        <f t="shared" si="132"/>
        <v/>
      </c>
      <c r="AP703" s="208"/>
      <c r="AQ703" s="209" t="str">
        <f t="shared" si="133"/>
        <v/>
      </c>
      <c r="AR703" s="209" t="str">
        <f t="shared" si="134"/>
        <v/>
      </c>
      <c r="AS703" s="202" t="str">
        <f t="shared" si="135"/>
        <v/>
      </c>
      <c r="AT703" s="202" t="str">
        <f t="shared" si="136"/>
        <v/>
      </c>
      <c r="AU703" s="208"/>
      <c r="AV703" s="208"/>
      <c r="AW703" s="208"/>
      <c r="AX703" s="208"/>
      <c r="AY703" s="208"/>
      <c r="AZ703" s="208"/>
      <c r="BA703" s="208"/>
      <c r="BB703" s="208"/>
      <c r="BC703" s="208"/>
      <c r="BD703" s="208"/>
      <c r="BE703" s="208"/>
      <c r="BF703" s="208"/>
      <c r="BG703" s="28"/>
      <c r="BH703" s="28"/>
      <c r="BI703" s="28"/>
      <c r="BJ703" s="28"/>
    </row>
    <row r="704" spans="1:62" s="23" customFormat="1" ht="21" customHeight="1" thickBot="1" x14ac:dyDescent="0.25">
      <c r="A704" s="846" t="str">
        <f>IF($AN704="","",IFERROR(VLOOKUP(CONCATENATE(CTR1_Billing!$E$20,$AN704),'Local Data Previous Year'!$C$3:$D$20000,2,0),CTR1_Billing!$E$21&amp;"NEW"))</f>
        <v/>
      </c>
      <c r="B704" s="846" t="str">
        <f>IF($E704="","",IFERROR(VLOOKUP(CONCATENATE(CTR1_Billing!$E$20,CTR1_Local!$E704),'Local Data Previous Year'!$C$3:$D$20000,2,0),CTR1_Billing!$E$21&amp;"NEW"))</f>
        <v/>
      </c>
      <c r="C704" s="846">
        <v>672</v>
      </c>
      <c r="D704" s="755" t="str" cm="1">
        <f t="array" ref="D704">IF(ISERROR(INDEX('Local Data Previous Year'!$D$3:$D$20000,SMALL(IF(CTR1_Billing!$E$21='Local Data Previous Year'!$A$3:$A$20000,ROW('Local Data Previous Year'!$A$3:$A$20000)-ROW('Local Data Previous Year'!$A$3)+1),ROW(672:672)))),"",INDEX('Local Data Previous Year'!$D$3:$D$20000,SMALL(IF(CTR1_Billing!$E$21='Local Data Previous Year'!$A$3:$A$20000,ROW('Local Data Previous Year'!$A$3:$A$20000)-ROW('Local Data Previous Year'!$A$3)+1),ROW(672:672))))</f>
        <v/>
      </c>
      <c r="E704" s="755" t="str" cm="1">
        <f t="array" ref="E704">IF(ISERROR(INDEX('Local Data Previous Year'!$E$3:$E$20000,SMALL(IF(CTR1_Billing!$E$21='Local Data Previous Year'!$A$3:$A$20000,ROW('Local Data Previous Year'!$A$3:$A$20000)-ROW('Local Data Previous Year'!$A$3)+1),ROW(672:672)))),"",INDEX('Local Data Previous Year'!$E$3:$E$20000,SMALL(IF(CTR1_Billing!$E$21='Local Data Previous Year'!$A$3:$A$20000,ROW('Local Data Previous Year'!$A$3:$A$20000)-ROW('Local Data Previous Year'!$A$3)+1),ROW(672:672))))</f>
        <v/>
      </c>
      <c r="F704" s="756" t="str">
        <f>IF($D704="","",IF(ISNA(MATCH($D704,'Local Data Previous Year'!$D$3:$D$20000,0)),"New",IFERROR(VLOOKUP($B704,'Local Data Previous Year'!$D$3:$I$20000,6,0),"")))</f>
        <v/>
      </c>
      <c r="G704" s="757">
        <f t="shared" si="112"/>
        <v>0</v>
      </c>
      <c r="H704" s="758" t="str">
        <f>IFERROR(INDEX('Local Data Previous Year'!$F:$F, MATCH($D704, 'Local Data Previous Year'!$D:$D, 0)), "")</f>
        <v/>
      </c>
      <c r="I704" s="759">
        <f>IF(B704=CTR1_Billing!$E$21&amp;"NEW",1,0)</f>
        <v>0</v>
      </c>
      <c r="J704" s="760" t="str">
        <f>IFERROR(INDEX('Local Data Previous Year'!$G:$G, MATCH($D704, 'Local Data Previous Year'!$D:$D, 0)), "")</f>
        <v/>
      </c>
      <c r="K704" s="762"/>
      <c r="L704" s="760" t="str">
        <f>IFERROR(INDEX('Local Data Previous Year'!$H:$H, MATCH($D704, 'Local Data Previous Year'!$D:$D, 0)), "")</f>
        <v/>
      </c>
      <c r="M704" s="762"/>
      <c r="N704" s="763"/>
      <c r="O704" s="767"/>
      <c r="P704" s="765"/>
      <c r="Q704" s="767"/>
      <c r="R704" s="766" t="str">
        <f t="shared" si="137"/>
        <v/>
      </c>
      <c r="S704" s="754"/>
      <c r="T704" s="763"/>
      <c r="U704" s="754"/>
      <c r="V704" s="763"/>
      <c r="W704" s="763"/>
      <c r="X704" s="865" t="str">
        <f>VLOOKUP(CTR1_Billing!$E$21,Data!$C$6:$D$302,1,FALSE)</f>
        <v>EZZZZ</v>
      </c>
      <c r="Y704" s="205"/>
      <c r="Z704" s="205">
        <f t="shared" si="129"/>
        <v>0</v>
      </c>
      <c r="AA704" s="206" t="str">
        <f t="shared" si="128"/>
        <v/>
      </c>
      <c r="AB704" s="205">
        <f t="shared" si="130"/>
        <v>0</v>
      </c>
      <c r="AC704" s="208"/>
      <c r="AD704" s="208"/>
      <c r="AE704" s="208"/>
      <c r="AF704" s="208"/>
      <c r="AG704" s="209" t="str">
        <f>IFERROR(INDEX('Local Data Previous Year'!$F:$F, MATCH($D704, 'Local Data Previous Year'!$D:$D, 0)), "")</f>
        <v/>
      </c>
      <c r="AH704" s="209" t="str">
        <f>IFERROR(INDEX('Local Data Previous Year'!$G:$G, MATCH($D704, 'Local Data Previous Year'!$D:$D, 0)), "")</f>
        <v/>
      </c>
      <c r="AI704" s="209" t="str">
        <f>IFERROR(INDEX('Local Data Previous Year'!$H:$H, MATCH($D704, 'Local Data Previous Year'!$D:$D, 0)), "")</f>
        <v/>
      </c>
      <c r="AJ704" s="209" t="str">
        <f t="shared" si="131"/>
        <v/>
      </c>
      <c r="AK704" s="209" t="str">
        <f t="shared" si="116"/>
        <v/>
      </c>
      <c r="AL704" s="209" t="str">
        <f t="shared" si="117"/>
        <v/>
      </c>
      <c r="AM704" s="208" t="str">
        <f>IF($AN704="","",IFERROR(VLOOKUP(CONCATENATE(CTR1_Billing!$E$20,$AN704),'Local Data Previous Year'!$C$3:$D$50000,2,0),CTR1_Billing!$E$21&amp;"NEW"))</f>
        <v/>
      </c>
      <c r="AN704" s="209" t="str" cm="1">
        <f t="array" ref="AN704">IF(ISERROR(INDEX('Local Data Previous Year'!$E$3:$E$50000, SMALL(IF(CTR1_Billing!$E$21='Local Data Previous Year'!$A$3:$A$50000, ROW('Local Data Previous Year'!$A$3:$A$50000)-ROW('Local Data Previous Year'!$A$3)+1), ROW(672:672)))), "", INDEX('Local Data Previous Year'!$E$3:$E$50000, SMALL(IF(CTR1_Billing!$E$21='Local Data Previous Year'!$A$3:$A$50000, ROW('Local Data Previous Year'!$A$3:$A$50000)-ROW('Local Data Previous Year'!$A$3)+1), ROW(672:672))))</f>
        <v/>
      </c>
      <c r="AO704" s="209" t="str">
        <f t="shared" si="132"/>
        <v/>
      </c>
      <c r="AP704" s="208"/>
      <c r="AQ704" s="209" t="str">
        <f t="shared" si="133"/>
        <v/>
      </c>
      <c r="AR704" s="209" t="str">
        <f t="shared" si="134"/>
        <v/>
      </c>
      <c r="AS704" s="202" t="str">
        <f t="shared" si="135"/>
        <v/>
      </c>
      <c r="AT704" s="202" t="str">
        <f t="shared" si="136"/>
        <v/>
      </c>
      <c r="AU704" s="208"/>
      <c r="AV704" s="208"/>
      <c r="AW704" s="208"/>
      <c r="AX704" s="208"/>
      <c r="AY704" s="208"/>
      <c r="AZ704" s="208"/>
      <c r="BA704" s="208"/>
      <c r="BB704" s="208"/>
      <c r="BC704" s="208"/>
      <c r="BD704" s="208"/>
      <c r="BE704" s="208"/>
      <c r="BF704" s="208"/>
      <c r="BG704" s="28"/>
      <c r="BH704" s="28"/>
      <c r="BI704" s="28"/>
      <c r="BJ704" s="28"/>
    </row>
    <row r="705" spans="1:62" s="23" customFormat="1" ht="21" customHeight="1" thickBot="1" x14ac:dyDescent="0.25">
      <c r="A705" s="846" t="str">
        <f>IF($AN705="","",IFERROR(VLOOKUP(CONCATENATE(CTR1_Billing!$E$20,$AN705),'Local Data Previous Year'!$C$3:$D$20000,2,0),CTR1_Billing!$E$21&amp;"NEW"))</f>
        <v/>
      </c>
      <c r="B705" s="846" t="str">
        <f>IF($E705="","",IFERROR(VLOOKUP(CONCATENATE(CTR1_Billing!$E$20,CTR1_Local!$E705),'Local Data Previous Year'!$C$3:$D$20000,2,0),CTR1_Billing!$E$21&amp;"NEW"))</f>
        <v/>
      </c>
      <c r="C705" s="846">
        <v>673</v>
      </c>
      <c r="D705" s="755" t="str" cm="1">
        <f t="array" ref="D705">IF(ISERROR(INDEX('Local Data Previous Year'!$D$3:$D$20000,SMALL(IF(CTR1_Billing!$E$21='Local Data Previous Year'!$A$3:$A$20000,ROW('Local Data Previous Year'!$A$3:$A$20000)-ROW('Local Data Previous Year'!$A$3)+1),ROW(673:673)))),"",INDEX('Local Data Previous Year'!$D$3:$D$20000,SMALL(IF(CTR1_Billing!$E$21='Local Data Previous Year'!$A$3:$A$20000,ROW('Local Data Previous Year'!$A$3:$A$20000)-ROW('Local Data Previous Year'!$A$3)+1),ROW(673:673))))</f>
        <v/>
      </c>
      <c r="E705" s="755" t="str" cm="1">
        <f t="array" ref="E705">IF(ISERROR(INDEX('Local Data Previous Year'!$E$3:$E$20000,SMALL(IF(CTR1_Billing!$E$21='Local Data Previous Year'!$A$3:$A$20000,ROW('Local Data Previous Year'!$A$3:$A$20000)-ROW('Local Data Previous Year'!$A$3)+1),ROW(673:673)))),"",INDEX('Local Data Previous Year'!$E$3:$E$20000,SMALL(IF(CTR1_Billing!$E$21='Local Data Previous Year'!$A$3:$A$20000,ROW('Local Data Previous Year'!$A$3:$A$20000)-ROW('Local Data Previous Year'!$A$3)+1),ROW(673:673))))</f>
        <v/>
      </c>
      <c r="F705" s="756" t="str">
        <f>IF($D705="","",IF(ISNA(MATCH($D705,'Local Data Previous Year'!$D$3:$D$20000,0)),"New",IFERROR(VLOOKUP($B705,'Local Data Previous Year'!$D$3:$I$20000,6,0),"")))</f>
        <v/>
      </c>
      <c r="G705" s="757">
        <f t="shared" si="112"/>
        <v>0</v>
      </c>
      <c r="H705" s="758" t="str">
        <f>IFERROR(INDEX('Local Data Previous Year'!$F:$F, MATCH($D705, 'Local Data Previous Year'!$D:$D, 0)), "")</f>
        <v/>
      </c>
      <c r="I705" s="759">
        <f>IF(B705=CTR1_Billing!$E$21&amp;"NEW",1,0)</f>
        <v>0</v>
      </c>
      <c r="J705" s="760" t="str">
        <f>IFERROR(INDEX('Local Data Previous Year'!$G:$G, MATCH($D705, 'Local Data Previous Year'!$D:$D, 0)), "")</f>
        <v/>
      </c>
      <c r="K705" s="762"/>
      <c r="L705" s="760" t="str">
        <f>IFERROR(INDEX('Local Data Previous Year'!$H:$H, MATCH($D705, 'Local Data Previous Year'!$D:$D, 0)), "")</f>
        <v/>
      </c>
      <c r="M705" s="762"/>
      <c r="N705" s="763"/>
      <c r="O705" s="767"/>
      <c r="P705" s="765"/>
      <c r="Q705" s="767"/>
      <c r="R705" s="766" t="str">
        <f t="shared" si="137"/>
        <v/>
      </c>
      <c r="S705" s="754"/>
      <c r="T705" s="763"/>
      <c r="U705" s="754"/>
      <c r="V705" s="763"/>
      <c r="W705" s="763"/>
      <c r="X705" s="865" t="str">
        <f>VLOOKUP(CTR1_Billing!$E$21,Data!$C$6:$D$302,1,FALSE)</f>
        <v>EZZZZ</v>
      </c>
      <c r="Y705" s="205"/>
      <c r="Z705" s="205">
        <f t="shared" si="129"/>
        <v>0</v>
      </c>
      <c r="AA705" s="206" t="str">
        <f t="shared" si="128"/>
        <v/>
      </c>
      <c r="AB705" s="205">
        <f t="shared" si="130"/>
        <v>0</v>
      </c>
      <c r="AC705" s="208"/>
      <c r="AD705" s="208"/>
      <c r="AE705" s="208"/>
      <c r="AF705" s="208"/>
      <c r="AG705" s="209" t="str">
        <f>IFERROR(INDEX('Local Data Previous Year'!$F:$F, MATCH($D705, 'Local Data Previous Year'!$D:$D, 0)), "")</f>
        <v/>
      </c>
      <c r="AH705" s="209" t="str">
        <f>IFERROR(INDEX('Local Data Previous Year'!$G:$G, MATCH($D705, 'Local Data Previous Year'!$D:$D, 0)), "")</f>
        <v/>
      </c>
      <c r="AI705" s="209" t="str">
        <f>IFERROR(INDEX('Local Data Previous Year'!$H:$H, MATCH($D705, 'Local Data Previous Year'!$D:$D, 0)), "")</f>
        <v/>
      </c>
      <c r="AJ705" s="209" t="str">
        <f t="shared" si="131"/>
        <v/>
      </c>
      <c r="AK705" s="209" t="str">
        <f t="shared" ref="AK705:AK707" si="138">IF(AH705=J705,"","change")</f>
        <v/>
      </c>
      <c r="AL705" s="209" t="str">
        <f t="shared" ref="AL705:AL708" si="139">IF(AI705=L705,"","change")</f>
        <v/>
      </c>
      <c r="AM705" s="208" t="str">
        <f>IF($AN705="","",IFERROR(VLOOKUP(CONCATENATE(CTR1_Billing!$E$20,$AN705),'Local Data Previous Year'!$C$3:$D$50000,2,0),CTR1_Billing!$E$21&amp;"NEW"))</f>
        <v/>
      </c>
      <c r="AN705" s="209" t="str" cm="1">
        <f t="array" ref="AN705">IF(ISERROR(INDEX('Local Data Previous Year'!$E$3:$E$50000, SMALL(IF(CTR1_Billing!$E$21='Local Data Previous Year'!$A$3:$A$50000, ROW('Local Data Previous Year'!$A$3:$A$50000)-ROW('Local Data Previous Year'!$A$3)+1), ROW(673:673)))), "", INDEX('Local Data Previous Year'!$E$3:$E$50000, SMALL(IF(CTR1_Billing!$E$21='Local Data Previous Year'!$A$3:$A$50000, ROW('Local Data Previous Year'!$A$3:$A$50000)-ROW('Local Data Previous Year'!$A$3)+1), ROW(673:673))))</f>
        <v/>
      </c>
      <c r="AO705" s="209" t="str">
        <f t="shared" si="132"/>
        <v/>
      </c>
      <c r="AP705" s="208"/>
      <c r="AQ705" s="209" t="str">
        <f t="shared" si="133"/>
        <v/>
      </c>
      <c r="AR705" s="209" t="str">
        <f t="shared" si="134"/>
        <v/>
      </c>
      <c r="AS705" s="202" t="str">
        <f t="shared" si="135"/>
        <v/>
      </c>
      <c r="AT705" s="202" t="str">
        <f t="shared" si="136"/>
        <v/>
      </c>
      <c r="AU705" s="208"/>
      <c r="AV705" s="208"/>
      <c r="AW705" s="208"/>
      <c r="AX705" s="208"/>
      <c r="AY705" s="208"/>
      <c r="AZ705" s="208"/>
      <c r="BA705" s="208"/>
      <c r="BB705" s="208"/>
      <c r="BC705" s="208"/>
      <c r="BD705" s="208"/>
      <c r="BE705" s="208"/>
      <c r="BF705" s="208"/>
      <c r="BG705" s="28"/>
      <c r="BH705" s="28"/>
      <c r="BI705" s="28"/>
      <c r="BJ705" s="28"/>
    </row>
    <row r="706" spans="1:62" s="23" customFormat="1" ht="21" customHeight="1" thickBot="1" x14ac:dyDescent="0.25">
      <c r="A706" s="846" t="str">
        <f>IF($AN706="","",IFERROR(VLOOKUP(CONCATENATE(CTR1_Billing!$E$20,$AN706),'Local Data Previous Year'!$C$3:$D$20000,2,0),CTR1_Billing!$E$21&amp;"NEW"))</f>
        <v/>
      </c>
      <c r="B706" s="846" t="str">
        <f>IF($E706="","",IFERROR(VLOOKUP(CONCATENATE(CTR1_Billing!$E$20,CTR1_Local!$E706),'Local Data Previous Year'!$C$3:$D$20000,2,0),CTR1_Billing!$E$21&amp;"NEW"))</f>
        <v/>
      </c>
      <c r="C706" s="846">
        <v>674</v>
      </c>
      <c r="D706" s="755" t="str" cm="1">
        <f t="array" ref="D706">IF(ISERROR(INDEX('Local Data Previous Year'!$D$3:$D$20000,SMALL(IF(CTR1_Billing!$E$21='Local Data Previous Year'!$A$3:$A$20000,ROW('Local Data Previous Year'!$A$3:$A$20000)-ROW('Local Data Previous Year'!$A$3)+1),ROW(674:674)))),"",INDEX('Local Data Previous Year'!$D$3:$D$20000,SMALL(IF(CTR1_Billing!$E$21='Local Data Previous Year'!$A$3:$A$20000,ROW('Local Data Previous Year'!$A$3:$A$20000)-ROW('Local Data Previous Year'!$A$3)+1),ROW(674:674))))</f>
        <v/>
      </c>
      <c r="E706" s="755" t="str" cm="1">
        <f t="array" ref="E706">IF(ISERROR(INDEX('Local Data Previous Year'!$E$3:$E$20000,SMALL(IF(CTR1_Billing!$E$21='Local Data Previous Year'!$A$3:$A$20000,ROW('Local Data Previous Year'!$A$3:$A$20000)-ROW('Local Data Previous Year'!$A$3)+1),ROW(674:674)))),"",INDEX('Local Data Previous Year'!$E$3:$E$20000,SMALL(IF(CTR1_Billing!$E$21='Local Data Previous Year'!$A$3:$A$20000,ROW('Local Data Previous Year'!$A$3:$A$20000)-ROW('Local Data Previous Year'!$A$3)+1),ROW(674:674))))</f>
        <v/>
      </c>
      <c r="F706" s="756" t="str">
        <f>IF($D706="","",IF(ISNA(MATCH($D706,'Local Data Previous Year'!$D$3:$D$20000,0)),"New",IFERROR(VLOOKUP($B706,'Local Data Previous Year'!$D$3:$I$20000,6,0),"")))</f>
        <v/>
      </c>
      <c r="G706" s="757">
        <f t="shared" si="112"/>
        <v>0</v>
      </c>
      <c r="H706" s="758" t="str">
        <f>IFERROR(INDEX('Local Data Previous Year'!$F:$F, MATCH($D706, 'Local Data Previous Year'!$D:$D, 0)), "")</f>
        <v/>
      </c>
      <c r="I706" s="759">
        <f>IF(B706=CTR1_Billing!$E$21&amp;"NEW",1,0)</f>
        <v>0</v>
      </c>
      <c r="J706" s="760" t="str">
        <f>IFERROR(INDEX('Local Data Previous Year'!$G:$G, MATCH($D706, 'Local Data Previous Year'!$D:$D, 0)), "")</f>
        <v/>
      </c>
      <c r="K706" s="762"/>
      <c r="L706" s="760" t="str">
        <f>IFERROR(INDEX('Local Data Previous Year'!$H:$H, MATCH($D706, 'Local Data Previous Year'!$D:$D, 0)), "")</f>
        <v/>
      </c>
      <c r="M706" s="762"/>
      <c r="N706" s="763"/>
      <c r="O706" s="767"/>
      <c r="P706" s="765"/>
      <c r="Q706" s="767"/>
      <c r="R706" s="766" t="str">
        <f t="shared" si="137"/>
        <v/>
      </c>
      <c r="S706" s="754"/>
      <c r="T706" s="763"/>
      <c r="U706" s="754"/>
      <c r="V706" s="763"/>
      <c r="W706" s="763"/>
      <c r="X706" s="865" t="str">
        <f>VLOOKUP(CTR1_Billing!$E$21,Data!$C$6:$D$302,1,FALSE)</f>
        <v>EZZZZ</v>
      </c>
      <c r="Y706" s="205"/>
      <c r="Z706" s="205">
        <f t="shared" si="129"/>
        <v>0</v>
      </c>
      <c r="AA706" s="206" t="str">
        <f t="shared" si="128"/>
        <v/>
      </c>
      <c r="AB706" s="205">
        <f t="shared" si="130"/>
        <v>0</v>
      </c>
      <c r="AC706" s="208"/>
      <c r="AD706" s="208"/>
      <c r="AE706" s="208"/>
      <c r="AF706" s="208"/>
      <c r="AG706" s="209" t="str">
        <f>IFERROR(INDEX('Local Data Previous Year'!$F:$F, MATCH($D706, 'Local Data Previous Year'!$D:$D, 0)), "")</f>
        <v/>
      </c>
      <c r="AH706" s="209" t="str">
        <f>IFERROR(INDEX('Local Data Previous Year'!$G:$G, MATCH($D706, 'Local Data Previous Year'!$D:$D, 0)), "")</f>
        <v/>
      </c>
      <c r="AI706" s="209" t="str">
        <f>IFERROR(INDEX('Local Data Previous Year'!$H:$H, MATCH($D706, 'Local Data Previous Year'!$D:$D, 0)), "")</f>
        <v/>
      </c>
      <c r="AJ706" s="209" t="str">
        <f t="shared" si="131"/>
        <v/>
      </c>
      <c r="AK706" s="209" t="str">
        <f t="shared" si="138"/>
        <v/>
      </c>
      <c r="AL706" s="209" t="str">
        <f t="shared" si="139"/>
        <v/>
      </c>
      <c r="AM706" s="208" t="str">
        <f>IF($AN706="","",IFERROR(VLOOKUP(CONCATENATE(CTR1_Billing!$E$20,$AN706),'Local Data Previous Year'!$C$3:$D$50000,2,0),CTR1_Billing!$E$21&amp;"NEW"))</f>
        <v/>
      </c>
      <c r="AN706" s="209" t="str" cm="1">
        <f t="array" ref="AN706">IF(ISERROR(INDEX('Local Data Previous Year'!$E$3:$E$50000, SMALL(IF(CTR1_Billing!$E$21='Local Data Previous Year'!$A$3:$A$50000, ROW('Local Data Previous Year'!$A$3:$A$50000)-ROW('Local Data Previous Year'!$A$3)+1), ROW(674:674)))), "", INDEX('Local Data Previous Year'!$E$3:$E$50000, SMALL(IF(CTR1_Billing!$E$21='Local Data Previous Year'!$A$3:$A$50000, ROW('Local Data Previous Year'!$A$3:$A$50000)-ROW('Local Data Previous Year'!$A$3)+1), ROW(674:674))))</f>
        <v/>
      </c>
      <c r="AO706" s="209" t="str">
        <f t="shared" si="132"/>
        <v/>
      </c>
      <c r="AP706" s="208"/>
      <c r="AQ706" s="209" t="str">
        <f t="shared" si="133"/>
        <v/>
      </c>
      <c r="AR706" s="209" t="str">
        <f t="shared" si="134"/>
        <v/>
      </c>
      <c r="AS706" s="202" t="str">
        <f t="shared" si="135"/>
        <v/>
      </c>
      <c r="AT706" s="202" t="str">
        <f t="shared" si="136"/>
        <v/>
      </c>
      <c r="AU706" s="208"/>
      <c r="AV706" s="208"/>
      <c r="AW706" s="208"/>
      <c r="AX706" s="208"/>
      <c r="AY706" s="208"/>
      <c r="AZ706" s="208"/>
      <c r="BA706" s="208"/>
      <c r="BB706" s="208"/>
      <c r="BC706" s="208"/>
      <c r="BD706" s="208"/>
      <c r="BE706" s="208"/>
      <c r="BF706" s="208"/>
      <c r="BG706" s="28"/>
      <c r="BH706" s="28"/>
      <c r="BI706" s="28"/>
      <c r="BJ706" s="28"/>
    </row>
    <row r="707" spans="1:62" s="23" customFormat="1" ht="21" customHeight="1" thickBot="1" x14ac:dyDescent="0.25">
      <c r="A707" s="846" t="str">
        <f>IF($AN707="","",IFERROR(VLOOKUP(CONCATENATE(CTR1_Billing!$E$20,$AN707),'Local Data Previous Year'!$C$3:$D$20000,2,0),CTR1_Billing!$E$21&amp;"NEW"))</f>
        <v/>
      </c>
      <c r="B707" s="846" t="str">
        <f>IF($E707="","",IFERROR(VLOOKUP(CONCATENATE(CTR1_Billing!$E$20,CTR1_Local!$E707),'Local Data Previous Year'!$C$3:$D$20000,2,0),CTR1_Billing!$E$21&amp;"NEW"))</f>
        <v/>
      </c>
      <c r="C707" s="846">
        <v>675</v>
      </c>
      <c r="D707" s="755" t="str" cm="1">
        <f t="array" ref="D707">IF(ISERROR(INDEX('Local Data Previous Year'!$D$3:$D$20000,SMALL(IF(CTR1_Billing!$E$21='Local Data Previous Year'!$A$3:$A$20000,ROW('Local Data Previous Year'!$A$3:$A$20000)-ROW('Local Data Previous Year'!$A$3)+1),ROW(675:675)))),"",INDEX('Local Data Previous Year'!$D$3:$D$20000,SMALL(IF(CTR1_Billing!$E$21='Local Data Previous Year'!$A$3:$A$20000,ROW('Local Data Previous Year'!$A$3:$A$20000)-ROW('Local Data Previous Year'!$A$3)+1),ROW(675:675))))</f>
        <v/>
      </c>
      <c r="E707" s="755" t="str" cm="1">
        <f t="array" ref="E707">IF(ISERROR(INDEX('Local Data Previous Year'!$E$3:$E$20000,SMALL(IF(CTR1_Billing!$E$21='Local Data Previous Year'!$A$3:$A$20000,ROW('Local Data Previous Year'!$A$3:$A$20000)-ROW('Local Data Previous Year'!$A$3)+1),ROW(675:675)))),"",INDEX('Local Data Previous Year'!$E$3:$E$20000,SMALL(IF(CTR1_Billing!$E$21='Local Data Previous Year'!$A$3:$A$20000,ROW('Local Data Previous Year'!$A$3:$A$20000)-ROW('Local Data Previous Year'!$A$3)+1),ROW(675:675))))</f>
        <v/>
      </c>
      <c r="F707" s="756" t="str">
        <f>IF($D707="","",IF(ISNA(MATCH($D707,'Local Data Previous Year'!$D$3:$D$20000,0)),"New",IFERROR(VLOOKUP($B707,'Local Data Previous Year'!$D$3:$I$20000,6,0),"")))</f>
        <v/>
      </c>
      <c r="G707" s="757">
        <f t="shared" si="112"/>
        <v>0</v>
      </c>
      <c r="H707" s="758" t="str">
        <f>IFERROR(INDEX('Local Data Previous Year'!$F:$F, MATCH($D707, 'Local Data Previous Year'!$D:$D, 0)), "")</f>
        <v/>
      </c>
      <c r="I707" s="759">
        <f>IF(B707=CTR1_Billing!$E$21&amp;"NEW",1,0)</f>
        <v>0</v>
      </c>
      <c r="J707" s="760" t="str">
        <f>IFERROR(INDEX('Local Data Previous Year'!$G:$G, MATCH($D707, 'Local Data Previous Year'!$D:$D, 0)), "")</f>
        <v/>
      </c>
      <c r="K707" s="762"/>
      <c r="L707" s="760" t="str">
        <f>IFERROR(INDEX('Local Data Previous Year'!$H:$H, MATCH($D707, 'Local Data Previous Year'!$D:$D, 0)), "")</f>
        <v/>
      </c>
      <c r="M707" s="762"/>
      <c r="N707" s="763"/>
      <c r="O707" s="767"/>
      <c r="P707" s="765"/>
      <c r="Q707" s="767"/>
      <c r="R707" s="766" t="str">
        <f t="shared" si="137"/>
        <v/>
      </c>
      <c r="S707" s="754"/>
      <c r="T707" s="763"/>
      <c r="U707" s="754"/>
      <c r="V707" s="763"/>
      <c r="W707" s="763"/>
      <c r="X707" s="865" t="str">
        <f>VLOOKUP(CTR1_Billing!$E$21,Data!$C$6:$D$302,1,FALSE)</f>
        <v>EZZZZ</v>
      </c>
      <c r="Y707" s="205"/>
      <c r="Z707" s="205">
        <f t="shared" si="129"/>
        <v>0</v>
      </c>
      <c r="AA707" s="206" t="str">
        <f t="shared" si="128"/>
        <v/>
      </c>
      <c r="AB707" s="205">
        <f t="shared" si="130"/>
        <v>0</v>
      </c>
      <c r="AC707" s="208"/>
      <c r="AD707" s="208"/>
      <c r="AE707" s="208"/>
      <c r="AF707" s="208"/>
      <c r="AG707" s="209" t="str">
        <f>IFERROR(INDEX('Local Data Previous Year'!$F:$F, MATCH($D707, 'Local Data Previous Year'!$D:$D, 0)), "")</f>
        <v/>
      </c>
      <c r="AH707" s="209" t="str">
        <f>IFERROR(INDEX('Local Data Previous Year'!$G:$G, MATCH($D707, 'Local Data Previous Year'!$D:$D, 0)), "")</f>
        <v/>
      </c>
      <c r="AI707" s="209" t="str">
        <f>IFERROR(INDEX('Local Data Previous Year'!$H:$H, MATCH($D707, 'Local Data Previous Year'!$D:$D, 0)), "")</f>
        <v/>
      </c>
      <c r="AJ707" s="209" t="str">
        <f t="shared" si="131"/>
        <v/>
      </c>
      <c r="AK707" s="209" t="str">
        <f t="shared" si="138"/>
        <v/>
      </c>
      <c r="AL707" s="209" t="str">
        <f t="shared" si="139"/>
        <v/>
      </c>
      <c r="AM707" s="208" t="str">
        <f>IF($AN707="","",IFERROR(VLOOKUP(CONCATENATE(CTR1_Billing!$E$20,$AN707),'Local Data Previous Year'!$C$3:$D$50000,2,0),CTR1_Billing!$E$21&amp;"NEW"))</f>
        <v/>
      </c>
      <c r="AN707" s="209" t="str" cm="1">
        <f t="array" ref="AN707">IF(ISERROR(INDEX('Local Data Previous Year'!$E$3:$E$50000, SMALL(IF(CTR1_Billing!$E$21='Local Data Previous Year'!$A$3:$A$50000, ROW('Local Data Previous Year'!$A$3:$A$50000)-ROW('Local Data Previous Year'!$A$3)+1), ROW(675:675)))), "", INDEX('Local Data Previous Year'!$E$3:$E$50000, SMALL(IF(CTR1_Billing!$E$21='Local Data Previous Year'!$A$3:$A$50000, ROW('Local Data Previous Year'!$A$3:$A$50000)-ROW('Local Data Previous Year'!$A$3)+1), ROW(675:675))))</f>
        <v/>
      </c>
      <c r="AO707" s="209" t="str">
        <f t="shared" si="132"/>
        <v/>
      </c>
      <c r="AP707" s="208"/>
      <c r="AQ707" s="209" t="str">
        <f t="shared" si="133"/>
        <v/>
      </c>
      <c r="AR707" s="209" t="str">
        <f t="shared" si="134"/>
        <v/>
      </c>
      <c r="AS707" s="202" t="str">
        <f t="shared" si="135"/>
        <v/>
      </c>
      <c r="AT707" s="202" t="str">
        <f t="shared" si="136"/>
        <v/>
      </c>
      <c r="AU707" s="208"/>
      <c r="AV707" s="208"/>
      <c r="AW707" s="208"/>
      <c r="AX707" s="208"/>
      <c r="AY707" s="208"/>
      <c r="AZ707" s="208"/>
      <c r="BA707" s="208"/>
      <c r="BB707" s="208"/>
      <c r="BC707" s="208"/>
      <c r="BD707" s="208"/>
      <c r="BE707" s="208"/>
      <c r="BF707" s="208"/>
      <c r="BG707" s="28"/>
      <c r="BH707" s="28"/>
      <c r="BI707" s="28"/>
      <c r="BJ707" s="28"/>
    </row>
    <row r="708" spans="1:62" ht="21" customHeight="1" thickBot="1" x14ac:dyDescent="0.25">
      <c r="A708" s="768"/>
      <c r="B708" s="768"/>
      <c r="C708" s="769"/>
      <c r="D708" s="769"/>
      <c r="E708" s="770">
        <f>COUNTIF(E33:E707,"")</f>
        <v>675</v>
      </c>
      <c r="F708" s="771"/>
      <c r="G708" s="769"/>
      <c r="H708" s="771"/>
      <c r="I708" s="771"/>
      <c r="J708" s="772">
        <f>SUM(J33:J707)</f>
        <v>0</v>
      </c>
      <c r="K708" s="773"/>
      <c r="L708" s="774"/>
      <c r="M708" s="774"/>
      <c r="N708" s="775"/>
      <c r="O708" s="775"/>
      <c r="P708" s="775"/>
      <c r="Q708" s="771"/>
      <c r="R708" s="776"/>
      <c r="S708" s="776"/>
      <c r="T708" s="776"/>
      <c r="U708" s="776"/>
      <c r="V708" s="776"/>
      <c r="W708" s="776"/>
      <c r="X708" s="777"/>
      <c r="Y708" s="210"/>
      <c r="Z708" s="197">
        <f>SUM(Z33:Z707)</f>
        <v>0</v>
      </c>
      <c r="AA708" s="197"/>
      <c r="AB708" s="197">
        <f>SUM(AB33:AB707)</f>
        <v>0</v>
      </c>
      <c r="AJ708" s="209"/>
      <c r="AK708" s="209"/>
      <c r="AL708" s="209" t="str">
        <f t="shared" si="139"/>
        <v/>
      </c>
      <c r="AM708" s="208"/>
      <c r="AN708" s="209" t="str" cm="1">
        <f t="array" ref="AN708">IF(ISERROR(INDEX('Local Data Previous Year'!$E$3:$E$50000, SMALL(IF(CTR1_Billing!$E$21='Local Data Previous Year'!$A$3:$A$50000, ROW('Local Data Previous Year'!$A$3:$A$50000)-ROW('Local Data Previous Year'!$A$3)+1), ROW(676:676)))), "", INDEX('Local Data Previous Year'!$E$3:$E$50000, SMALL(IF(CTR1_Billing!$E$21='Local Data Previous Year'!$A$3:$A$50000, ROW('Local Data Previous Year'!$A$3:$A$50000)-ROW('Local Data Previous Year'!$A$3)+1), ROW(676:676))))</f>
        <v/>
      </c>
      <c r="AO708" s="209"/>
      <c r="AQ708" s="209">
        <f t="shared" si="133"/>
        <v>0</v>
      </c>
      <c r="AR708" s="209">
        <f t="shared" si="134"/>
        <v>0</v>
      </c>
      <c r="AS708" s="202">
        <f t="shared" si="135"/>
        <v>20</v>
      </c>
      <c r="AT708" s="202">
        <f t="shared" si="136"/>
        <v>-20</v>
      </c>
      <c r="BG708" s="27"/>
      <c r="BH708" s="27"/>
      <c r="BI708" s="27"/>
      <c r="BJ708" s="27"/>
    </row>
    <row r="709" spans="1:62" x14ac:dyDescent="0.2">
      <c r="B709" s="25"/>
      <c r="C709" s="25"/>
      <c r="D709" s="25"/>
      <c r="E709" s="1"/>
      <c r="F709" s="1"/>
      <c r="G709" s="25"/>
      <c r="H709" s="1"/>
      <c r="I709" s="1"/>
      <c r="J709" s="1"/>
      <c r="K709" s="1"/>
      <c r="L709" s="1"/>
      <c r="M709" s="1"/>
      <c r="N709" s="1"/>
      <c r="O709" s="1"/>
      <c r="P709" s="1"/>
      <c r="Q709" s="25"/>
      <c r="R709" s="1"/>
      <c r="S709" s="1"/>
      <c r="T709" s="1"/>
      <c r="U709" s="1"/>
      <c r="V709" s="1"/>
      <c r="W709" s="1"/>
      <c r="X709" s="1"/>
      <c r="Z709" s="34"/>
      <c r="BG709" s="27"/>
      <c r="BH709" s="27"/>
      <c r="BI709" s="27"/>
      <c r="BJ709" s="27"/>
    </row>
    <row r="710" spans="1:62" x14ac:dyDescent="0.2">
      <c r="B710" s="25"/>
      <c r="C710" s="25"/>
      <c r="D710" s="25"/>
      <c r="E710" s="1"/>
      <c r="F710" s="1"/>
      <c r="G710" s="25"/>
      <c r="H710" s="1"/>
      <c r="I710" s="1"/>
      <c r="J710" s="1"/>
      <c r="K710" s="1"/>
      <c r="L710" s="1"/>
      <c r="M710" s="1"/>
      <c r="N710" s="1"/>
      <c r="O710" s="1"/>
      <c r="P710" s="1"/>
      <c r="Q710" s="25"/>
      <c r="R710" s="1"/>
      <c r="S710" s="1"/>
      <c r="T710" s="1"/>
      <c r="U710" s="1"/>
      <c r="V710" s="1"/>
      <c r="W710" s="1"/>
      <c r="X710" s="1"/>
      <c r="BG710" s="27"/>
      <c r="BH710" s="27"/>
      <c r="BI710" s="27"/>
      <c r="BJ710" s="27"/>
    </row>
    <row r="711" spans="1:62" x14ac:dyDescent="0.2">
      <c r="BG711" s="27"/>
      <c r="BH711" s="27"/>
      <c r="BI711" s="27"/>
      <c r="BJ711" s="27"/>
    </row>
    <row r="712" spans="1:62" x14ac:dyDescent="0.2">
      <c r="BG712" s="27"/>
      <c r="BH712" s="27"/>
      <c r="BI712" s="27"/>
      <c r="BJ712" s="27"/>
    </row>
    <row r="713" spans="1:62" x14ac:dyDescent="0.2">
      <c r="BG713" s="27"/>
      <c r="BH713" s="27"/>
      <c r="BI713" s="27"/>
      <c r="BJ713" s="27"/>
    </row>
    <row r="714" spans="1:62" x14ac:dyDescent="0.2">
      <c r="BG714" s="27"/>
      <c r="BH714" s="27"/>
      <c r="BI714" s="27"/>
      <c r="BJ714" s="27"/>
    </row>
    <row r="715" spans="1:62" x14ac:dyDescent="0.2">
      <c r="BG715" s="27"/>
      <c r="BH715" s="27"/>
      <c r="BI715" s="27"/>
      <c r="BJ715" s="27"/>
    </row>
    <row r="717" spans="1:62" x14ac:dyDescent="0.2">
      <c r="B717" s="27"/>
      <c r="C717" s="27"/>
      <c r="D717" s="27"/>
      <c r="E717" s="27"/>
      <c r="F717" s="27"/>
      <c r="G717" s="27"/>
      <c r="H717" s="27"/>
      <c r="I717" s="27"/>
      <c r="J717" s="27"/>
      <c r="K717" s="27"/>
      <c r="L717" s="27"/>
      <c r="M717" s="27"/>
      <c r="N717" s="27"/>
      <c r="O717" s="27"/>
      <c r="P717" s="27"/>
      <c r="Q717" s="27"/>
      <c r="R717" s="27"/>
      <c r="S717" s="27"/>
      <c r="T717" s="27"/>
      <c r="U717" s="27"/>
      <c r="V717" s="27"/>
      <c r="W717" s="27"/>
      <c r="X717" s="27"/>
    </row>
    <row r="718" spans="1:62" x14ac:dyDescent="0.2">
      <c r="B718" s="27"/>
      <c r="C718" s="27"/>
      <c r="D718" s="27"/>
      <c r="E718" s="27"/>
      <c r="F718" s="27"/>
      <c r="G718" s="27"/>
      <c r="H718" s="27"/>
      <c r="I718" s="27"/>
      <c r="J718" s="27"/>
      <c r="K718" s="27"/>
      <c r="L718" s="27"/>
      <c r="M718" s="27"/>
      <c r="N718" s="27"/>
      <c r="O718" s="27"/>
      <c r="P718" s="27"/>
      <c r="Q718" s="27"/>
      <c r="R718" s="27"/>
      <c r="S718" s="27"/>
      <c r="T718" s="27"/>
      <c r="U718" s="27"/>
      <c r="V718" s="27"/>
      <c r="W718" s="27"/>
      <c r="X718" s="27"/>
    </row>
    <row r="719" spans="1:62" x14ac:dyDescent="0.2">
      <c r="B719" s="27"/>
      <c r="C719" s="27"/>
      <c r="D719" s="27"/>
      <c r="E719" s="27"/>
      <c r="F719" s="27"/>
      <c r="G719" s="27"/>
      <c r="H719" s="27"/>
      <c r="I719" s="27"/>
      <c r="J719" s="27"/>
      <c r="K719" s="27"/>
      <c r="L719" s="27"/>
      <c r="M719" s="27"/>
      <c r="N719" s="27"/>
      <c r="O719" s="27"/>
      <c r="P719" s="27"/>
      <c r="Q719" s="27"/>
      <c r="R719" s="27"/>
      <c r="S719" s="27"/>
      <c r="T719" s="27"/>
      <c r="U719" s="27"/>
      <c r="V719" s="27"/>
      <c r="W719" s="27"/>
      <c r="X719" s="27"/>
    </row>
    <row r="720" spans="1:62" x14ac:dyDescent="0.2">
      <c r="B720" s="27"/>
      <c r="C720" s="27"/>
      <c r="D720" s="27"/>
      <c r="E720" s="27"/>
      <c r="F720" s="27"/>
      <c r="G720" s="27"/>
      <c r="H720" s="27"/>
      <c r="I720" s="27"/>
      <c r="J720" s="27"/>
      <c r="K720" s="27"/>
      <c r="L720" s="27"/>
      <c r="M720" s="27"/>
      <c r="N720" s="27"/>
      <c r="O720" s="27"/>
      <c r="P720" s="27"/>
      <c r="Q720" s="27"/>
      <c r="R720" s="27"/>
      <c r="S720" s="27"/>
      <c r="T720" s="27"/>
      <c r="U720" s="27"/>
      <c r="V720" s="27"/>
      <c r="W720" s="27"/>
      <c r="X720" s="27"/>
    </row>
    <row r="721" spans="2:24" x14ac:dyDescent="0.2">
      <c r="B721" s="27"/>
      <c r="C721" s="27"/>
      <c r="D721" s="27"/>
      <c r="E721" s="27"/>
      <c r="F721" s="27"/>
      <c r="G721" s="27"/>
      <c r="H721" s="27"/>
      <c r="I721" s="27"/>
      <c r="J721" s="27"/>
      <c r="K721" s="27"/>
      <c r="L721" s="27"/>
      <c r="M721" s="27"/>
      <c r="N721" s="27"/>
      <c r="O721" s="27"/>
      <c r="P721" s="27"/>
      <c r="Q721" s="27"/>
      <c r="R721" s="27"/>
      <c r="S721" s="27"/>
      <c r="T721" s="27"/>
      <c r="U721" s="27"/>
      <c r="V721" s="27"/>
      <c r="W721" s="27"/>
      <c r="X721" s="27"/>
    </row>
    <row r="722" spans="2:24" x14ac:dyDescent="0.2">
      <c r="B722" s="27"/>
      <c r="C722" s="27"/>
      <c r="D722" s="27"/>
      <c r="E722" s="27"/>
      <c r="F722" s="27"/>
      <c r="G722" s="27"/>
      <c r="H722" s="27"/>
      <c r="I722" s="27"/>
      <c r="J722" s="27"/>
      <c r="K722" s="27"/>
      <c r="L722" s="27"/>
      <c r="M722" s="27"/>
      <c r="N722" s="27"/>
      <c r="O722" s="27"/>
      <c r="P722" s="27"/>
      <c r="Q722" s="27"/>
      <c r="R722" s="27"/>
      <c r="S722" s="27"/>
      <c r="T722" s="27"/>
      <c r="U722" s="27"/>
      <c r="V722" s="27"/>
      <c r="W722" s="27"/>
      <c r="X722" s="27"/>
    </row>
    <row r="723" spans="2:24" x14ac:dyDescent="0.2">
      <c r="B723" s="27"/>
      <c r="C723" s="27"/>
      <c r="D723" s="27"/>
      <c r="E723" s="27"/>
      <c r="F723" s="27"/>
      <c r="G723" s="27"/>
      <c r="H723" s="27"/>
      <c r="I723" s="27"/>
      <c r="J723" s="27"/>
      <c r="K723" s="27"/>
      <c r="L723" s="27"/>
      <c r="M723" s="27"/>
      <c r="N723" s="27"/>
      <c r="O723" s="27"/>
      <c r="P723" s="27"/>
      <c r="Q723" s="27"/>
      <c r="R723" s="27"/>
      <c r="S723" s="27"/>
      <c r="T723" s="27"/>
      <c r="U723" s="27"/>
      <c r="V723" s="27"/>
      <c r="W723" s="27"/>
      <c r="X723" s="27"/>
    </row>
    <row r="724" spans="2:24" x14ac:dyDescent="0.2">
      <c r="B724" s="27"/>
      <c r="C724" s="27"/>
      <c r="D724" s="27"/>
      <c r="E724" s="27"/>
      <c r="F724" s="27"/>
      <c r="G724" s="27"/>
      <c r="H724" s="27"/>
      <c r="I724" s="27"/>
      <c r="J724" s="27"/>
      <c r="K724" s="27"/>
      <c r="L724" s="27"/>
      <c r="M724" s="27"/>
      <c r="N724" s="27"/>
      <c r="O724" s="27"/>
      <c r="P724" s="27"/>
      <c r="Q724" s="27"/>
      <c r="R724" s="27"/>
      <c r="S724" s="27"/>
      <c r="T724" s="27"/>
      <c r="U724" s="27"/>
      <c r="V724" s="27"/>
      <c r="W724" s="27"/>
      <c r="X724" s="27"/>
    </row>
    <row r="725" spans="2:24" x14ac:dyDescent="0.2">
      <c r="B725" s="27"/>
      <c r="C725" s="27"/>
      <c r="D725" s="27"/>
      <c r="E725" s="27"/>
      <c r="F725" s="27"/>
      <c r="G725" s="27"/>
      <c r="H725" s="27"/>
      <c r="I725" s="27"/>
      <c r="J725" s="27"/>
      <c r="K725" s="27"/>
      <c r="L725" s="27"/>
      <c r="M725" s="27"/>
      <c r="N725" s="27"/>
      <c r="O725" s="27"/>
      <c r="P725" s="27"/>
      <c r="Q725" s="27"/>
      <c r="R725" s="27"/>
      <c r="S725" s="27"/>
      <c r="T725" s="27"/>
      <c r="U725" s="27"/>
      <c r="V725" s="27"/>
      <c r="W725" s="27"/>
      <c r="X725" s="27"/>
    </row>
    <row r="726" spans="2:24" x14ac:dyDescent="0.2">
      <c r="B726" s="27"/>
      <c r="C726" s="27"/>
      <c r="D726" s="27"/>
      <c r="E726" s="27"/>
      <c r="F726" s="27"/>
      <c r="G726" s="27"/>
      <c r="H726" s="27"/>
      <c r="I726" s="27"/>
      <c r="J726" s="27"/>
      <c r="K726" s="27"/>
      <c r="L726" s="27"/>
      <c r="M726" s="27"/>
      <c r="N726" s="27"/>
      <c r="O726" s="27"/>
      <c r="P726" s="27"/>
      <c r="Q726" s="27"/>
      <c r="R726" s="27"/>
      <c r="S726" s="27"/>
      <c r="T726" s="27"/>
      <c r="U726" s="27"/>
      <c r="V726" s="27"/>
      <c r="W726" s="27"/>
      <c r="X726" s="27"/>
    </row>
    <row r="727" spans="2:24" x14ac:dyDescent="0.2">
      <c r="B727" s="27"/>
      <c r="C727" s="27"/>
      <c r="D727" s="27"/>
      <c r="E727" s="27"/>
      <c r="F727" s="27"/>
      <c r="G727" s="27"/>
      <c r="H727" s="27"/>
      <c r="I727" s="27"/>
      <c r="J727" s="27"/>
      <c r="K727" s="27"/>
      <c r="L727" s="27"/>
      <c r="M727" s="27"/>
      <c r="N727" s="27"/>
      <c r="O727" s="27"/>
      <c r="P727" s="27"/>
      <c r="Q727" s="27"/>
      <c r="R727" s="27"/>
      <c r="S727" s="27"/>
      <c r="T727" s="27"/>
      <c r="U727" s="27"/>
      <c r="V727" s="27"/>
      <c r="W727" s="27"/>
      <c r="X727" s="27"/>
    </row>
    <row r="728" spans="2:24" x14ac:dyDescent="0.2">
      <c r="B728" s="27"/>
      <c r="C728" s="27"/>
      <c r="D728" s="27"/>
      <c r="E728" s="27"/>
      <c r="F728" s="27"/>
      <c r="G728" s="27"/>
      <c r="H728" s="27"/>
      <c r="I728" s="27"/>
      <c r="J728" s="27"/>
      <c r="K728" s="27"/>
      <c r="L728" s="27"/>
      <c r="M728" s="27"/>
      <c r="N728" s="27"/>
      <c r="O728" s="27"/>
      <c r="P728" s="27"/>
      <c r="Q728" s="27"/>
      <c r="R728" s="27"/>
      <c r="S728" s="27"/>
      <c r="T728" s="27"/>
      <c r="U728" s="27"/>
      <c r="V728" s="27"/>
      <c r="W728" s="27"/>
      <c r="X728" s="27"/>
    </row>
  </sheetData>
  <sheetProtection sheet="1" objects="1" scenarios="1"/>
  <mergeCells count="31">
    <mergeCell ref="Z15:AA15"/>
    <mergeCell ref="V29:W29"/>
    <mergeCell ref="V28:W28"/>
    <mergeCell ref="AC16:AE16"/>
    <mergeCell ref="AG16:AI16"/>
    <mergeCell ref="AQ30:AR30"/>
    <mergeCell ref="O32:Q32"/>
    <mergeCell ref="B31:E31"/>
    <mergeCell ref="H29:L29"/>
    <mergeCell ref="N29:R29"/>
    <mergeCell ref="B27:R27"/>
    <mergeCell ref="N30:R30"/>
    <mergeCell ref="B26:R26"/>
    <mergeCell ref="B24:E24"/>
    <mergeCell ref="B18:E18"/>
    <mergeCell ref="P20:Q20"/>
    <mergeCell ref="P22:Q22"/>
    <mergeCell ref="L23:N24"/>
    <mergeCell ref="N14:P14"/>
    <mergeCell ref="B17:F17"/>
    <mergeCell ref="H14:J14"/>
    <mergeCell ref="B19:F19"/>
    <mergeCell ref="P18:Q18"/>
    <mergeCell ref="B10:L10"/>
    <mergeCell ref="E12:R12"/>
    <mergeCell ref="A5:X5"/>
    <mergeCell ref="A6:X6"/>
    <mergeCell ref="A7:X7"/>
    <mergeCell ref="A8:X8"/>
    <mergeCell ref="A9:X9"/>
    <mergeCell ref="A11:X11"/>
  </mergeCells>
  <phoneticPr fontId="0" type="noConversion"/>
  <conditionalFormatting sqref="N17">
    <cfRule type="cellIs" dxfId="59" priority="47" stopIfTrue="1" operator="notEqual">
      <formula>$Z$17</formula>
    </cfRule>
  </conditionalFormatting>
  <conditionalFormatting sqref="N19">
    <cfRule type="cellIs" dxfId="58" priority="49" stopIfTrue="1" operator="notEqual">
      <formula>$Z$19</formula>
    </cfRule>
  </conditionalFormatting>
  <conditionalFormatting sqref="N21">
    <cfRule type="cellIs" dxfId="57" priority="51" stopIfTrue="1" operator="notEqual">
      <formula>$Z$21</formula>
    </cfRule>
  </conditionalFormatting>
  <conditionalFormatting sqref="P17">
    <cfRule type="cellIs" dxfId="56" priority="48" stopIfTrue="1" operator="notEqual">
      <formula>$AA$17</formula>
    </cfRule>
  </conditionalFormatting>
  <conditionalFormatting sqref="P18">
    <cfRule type="expression" dxfId="55" priority="30" stopIfTrue="1">
      <formula>$Q$17=1</formula>
    </cfRule>
  </conditionalFormatting>
  <conditionalFormatting sqref="P19">
    <cfRule type="cellIs" dxfId="54" priority="50" stopIfTrue="1" operator="notEqual">
      <formula>$AA$19</formula>
    </cfRule>
  </conditionalFormatting>
  <conditionalFormatting sqref="P20">
    <cfRule type="expression" dxfId="53" priority="29" stopIfTrue="1">
      <formula>$Q$19=1</formula>
    </cfRule>
  </conditionalFormatting>
  <conditionalFormatting sqref="P21">
    <cfRule type="cellIs" dxfId="52" priority="52" stopIfTrue="1" operator="notEqual">
      <formula>$AA$21</formula>
    </cfRule>
  </conditionalFormatting>
  <conditionalFormatting sqref="P22">
    <cfRule type="expression" dxfId="51" priority="27" stopIfTrue="1">
      <formula>$Q$21=1</formula>
    </cfRule>
  </conditionalFormatting>
  <conditionalFormatting sqref="P24">
    <cfRule type="cellIs" dxfId="50" priority="46" stopIfTrue="1" operator="notEqual">
      <formula>$Z$24</formula>
    </cfRule>
  </conditionalFormatting>
  <conditionalFormatting sqref="P33:P707">
    <cfRule type="expression" dxfId="49" priority="9">
      <formula>$Z33=1</formula>
    </cfRule>
  </conditionalFormatting>
  <conditionalFormatting sqref="R17">
    <cfRule type="expression" dxfId="48" priority="4" stopIfTrue="1">
      <formula>$M$17=0</formula>
    </cfRule>
    <cfRule type="expression" dxfId="47" priority="26" stopIfTrue="1">
      <formula>$M$17=1</formula>
    </cfRule>
  </conditionalFormatting>
  <conditionalFormatting sqref="R19">
    <cfRule type="expression" dxfId="46" priority="3" stopIfTrue="1">
      <formula>$M$19=0</formula>
    </cfRule>
    <cfRule type="expression" dxfId="45" priority="25" stopIfTrue="1">
      <formula>$M$19=1</formula>
    </cfRule>
  </conditionalFormatting>
  <conditionalFormatting sqref="R21">
    <cfRule type="expression" dxfId="44" priority="2">
      <formula>$M$21=0</formula>
    </cfRule>
    <cfRule type="expression" dxfId="43" priority="24">
      <formula>$M$21=1</formula>
    </cfRule>
  </conditionalFormatting>
  <conditionalFormatting sqref="R24">
    <cfRule type="expression" dxfId="42" priority="1">
      <formula>$P$24=$Z$24</formula>
    </cfRule>
    <cfRule type="expression" dxfId="41" priority="20">
      <formula>$P$24&lt;&gt;$Z$24</formula>
    </cfRule>
  </conditionalFormatting>
  <conditionalFormatting sqref="R33:R707">
    <cfRule type="expression" dxfId="40" priority="15">
      <formula>$AB33=1</formula>
    </cfRule>
  </conditionalFormatting>
  <conditionalFormatting sqref="R22:W22">
    <cfRule type="expression" dxfId="39" priority="28" stopIfTrue="1">
      <formula>$Q$21=1</formula>
    </cfRule>
  </conditionalFormatting>
  <conditionalFormatting sqref="R32:W32 U33:U707">
    <cfRule type="expression" dxfId="38" priority="14">
      <formula>$AB$708&gt;0</formula>
    </cfRule>
  </conditionalFormatting>
  <conditionalFormatting sqref="S33:S707">
    <cfRule type="expression" dxfId="37" priority="6">
      <formula>$AB$708&gt;0</formula>
    </cfRule>
  </conditionalFormatting>
  <conditionalFormatting sqref="AJ33:AL708">
    <cfRule type="cellIs" dxfId="36" priority="12" stopIfTrue="1" operator="equal">
      <formula>"""change"""</formula>
    </cfRule>
  </conditionalFormatting>
  <dataValidations count="8">
    <dataValidation type="decimal" allowBlank="1" showInputMessage="1" showErrorMessage="1" error="Please enter a numerical value (or this exceeds the maximum permitted)." sqref="P21 N21 P19" xr:uid="{00000000-0002-0000-0200-000000000000}">
      <formula1>0</formula1>
      <formula2>99999</formula2>
    </dataValidation>
    <dataValidation type="custom" operator="equal" allowBlank="1" showInputMessage="1" showErrorMessage="1" error="The number setting their own council tax precept exceeds the sum of parishes and Charter Trustees" sqref="X708" xr:uid="{00000000-0002-0000-0200-000001000000}">
      <formula1>#REF!=0</formula1>
    </dataValidation>
    <dataValidation type="decimal" errorStyle="warning" operator="lessThanOrEqual" allowBlank="1" showInputMessage="1" showErrorMessage="1" error="The tax base for Charter Trustees exceeds the tax base for parishes - is this correct?" sqref="J19" xr:uid="{00000000-0002-0000-0200-000002000000}">
      <formula1>J17</formula1>
    </dataValidation>
    <dataValidation type="decimal" operator="lessThanOrEqual" allowBlank="1" showInputMessage="1" showErrorMessage="1" error="The tax base setting their own council tax precept exceeds the sum of those for parishes and Charter Trustees" sqref="J21" xr:uid="{00000000-0002-0000-0200-000003000000}">
      <formula1>J17+J19</formula1>
    </dataValidation>
    <dataValidation type="whole" allowBlank="1" showInputMessage="1" showErrorMessage="1" error="Please enter a positive numerical value (or this exceeds the maximum permitted)." sqref="H17" xr:uid="{00000000-0002-0000-0200-000004000000}">
      <formula1>0</formula1>
      <formula2>99999</formula2>
    </dataValidation>
    <dataValidation type="whole" errorStyle="warning" allowBlank="1" showInputMessage="1" showErrorMessage="1" error="The number of Charter Trustees exceeds the number of parishes - is this correct?" sqref="H19" xr:uid="{00000000-0002-0000-0200-000005000000}">
      <formula1>0</formula1>
      <formula2>H17</formula2>
    </dataValidation>
    <dataValidation type="whole" allowBlank="1" showInputMessage="1" showErrorMessage="1" error="The number setting their own council tax precept exceeds the sum of parishes and Charter Trustees" sqref="H21" xr:uid="{00000000-0002-0000-0200-000006000000}">
      <formula1>0</formula1>
      <formula2>H17+H19</formula2>
    </dataValidation>
    <dataValidation type="list" allowBlank="1" showInputMessage="1" showErrorMessage="1" sqref="T33:T707 V33:V707" xr:uid="{443F8851-C514-4859-823B-4C6B49720AA0}">
      <formula1>$X$1:$X$2</formula1>
    </dataValidation>
  </dataValidations>
  <printOptions horizontalCentered="1"/>
  <pageMargins left="0.39370078740157483" right="0.39370078740157483" top="0.59055118110236227" bottom="0.59055118110236227" header="0.31496062992125984" footer="0.31496062992125984"/>
  <pageSetup paperSize="9" scale="35" fitToHeight="5" orientation="portrait" r:id="rId1"/>
  <headerFooter alignWithMargins="0">
    <oddHeader>&amp;A</oddHeader>
    <oddFooter>Page &amp;P of &amp;N</oddFooter>
  </headerFooter>
  <colBreaks count="1" manualBreakCount="1">
    <brk id="1" max="30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T87"/>
  <sheetViews>
    <sheetView showGridLines="0" zoomScale="68" zoomScaleNormal="80" zoomScaleSheetLayoutView="40" workbookViewId="0"/>
  </sheetViews>
  <sheetFormatPr defaultRowHeight="15" x14ac:dyDescent="0.2"/>
  <cols>
    <col min="1" max="1" width="3.5703125" style="64" customWidth="1"/>
    <col min="2" max="2" width="8.140625" style="64" customWidth="1"/>
    <col min="3" max="3" width="113" style="86" customWidth="1"/>
    <col min="4" max="4" width="19.42578125" style="64" bestFit="1" customWidth="1"/>
    <col min="5" max="5" width="4.42578125" style="64" customWidth="1"/>
    <col min="6" max="6" width="22.5703125" style="64" bestFit="1" customWidth="1"/>
    <col min="7" max="7" width="4.42578125" style="64" customWidth="1"/>
    <col min="8" max="8" width="15.140625" style="64" customWidth="1"/>
    <col min="9" max="9" width="15.5703125" style="64" customWidth="1"/>
    <col min="10" max="10" width="4.42578125" style="64" customWidth="1"/>
    <col min="11" max="11" width="15.5703125" style="64" customWidth="1"/>
    <col min="12" max="12" width="8.140625" style="64" customWidth="1"/>
    <col min="13" max="13" width="49" style="82" customWidth="1"/>
    <col min="14" max="14" width="3.5703125" style="59" customWidth="1"/>
    <col min="15" max="16" width="9.140625" style="59"/>
    <col min="17" max="17" width="3.5703125" style="59" customWidth="1"/>
    <col min="18" max="53" width="9.140625" style="59"/>
    <col min="54" max="254" width="9.140625" style="64"/>
    <col min="255" max="255" width="3.5703125" style="64" customWidth="1"/>
    <col min="256" max="256" width="9.140625" style="64"/>
    <col min="257" max="257" width="38.42578125" style="64" bestFit="1" customWidth="1"/>
    <col min="258" max="259" width="15.5703125" style="64" customWidth="1"/>
    <col min="260" max="260" width="3.5703125" style="64" customWidth="1"/>
    <col min="261" max="261" width="16.5703125" style="64" bestFit="1" customWidth="1"/>
    <col min="262" max="262" width="9.42578125" style="64" bestFit="1" customWidth="1"/>
    <col min="263" max="263" width="3.5703125" style="64" customWidth="1"/>
    <col min="264" max="264" width="12.5703125" style="64" bestFit="1" customWidth="1"/>
    <col min="265" max="265" width="9.42578125" style="64" bestFit="1" customWidth="1"/>
    <col min="266" max="266" width="3.5703125" style="64" customWidth="1"/>
    <col min="267" max="267" width="22.42578125" style="64" customWidth="1"/>
    <col min="268" max="268" width="3.5703125" style="64" customWidth="1"/>
    <col min="269" max="269" width="50.5703125" style="64" customWidth="1"/>
    <col min="270" max="270" width="3.5703125" style="64" customWidth="1"/>
    <col min="271" max="272" width="9.140625" style="64"/>
    <col min="273" max="273" width="3.5703125" style="64" customWidth="1"/>
    <col min="274" max="510" width="9.140625" style="64"/>
    <col min="511" max="511" width="3.5703125" style="64" customWidth="1"/>
    <col min="512" max="512" width="9.140625" style="64"/>
    <col min="513" max="513" width="38.42578125" style="64" bestFit="1" customWidth="1"/>
    <col min="514" max="515" width="15.5703125" style="64" customWidth="1"/>
    <col min="516" max="516" width="3.5703125" style="64" customWidth="1"/>
    <col min="517" max="517" width="16.5703125" style="64" bestFit="1" customWidth="1"/>
    <col min="518" max="518" width="9.42578125" style="64" bestFit="1" customWidth="1"/>
    <col min="519" max="519" width="3.5703125" style="64" customWidth="1"/>
    <col min="520" max="520" width="12.5703125" style="64" bestFit="1" customWidth="1"/>
    <col min="521" max="521" width="9.42578125" style="64" bestFit="1" customWidth="1"/>
    <col min="522" max="522" width="3.5703125" style="64" customWidth="1"/>
    <col min="523" max="523" width="22.42578125" style="64" customWidth="1"/>
    <col min="524" max="524" width="3.5703125" style="64" customWidth="1"/>
    <col min="525" max="525" width="50.5703125" style="64" customWidth="1"/>
    <col min="526" max="526" width="3.5703125" style="64" customWidth="1"/>
    <col min="527" max="528" width="9.140625" style="64"/>
    <col min="529" max="529" width="3.5703125" style="64" customWidth="1"/>
    <col min="530" max="766" width="9.140625" style="64"/>
    <col min="767" max="767" width="3.5703125" style="64" customWidth="1"/>
    <col min="768" max="768" width="9.140625" style="64"/>
    <col min="769" max="769" width="38.42578125" style="64" bestFit="1" customWidth="1"/>
    <col min="770" max="771" width="15.5703125" style="64" customWidth="1"/>
    <col min="772" max="772" width="3.5703125" style="64" customWidth="1"/>
    <col min="773" max="773" width="16.5703125" style="64" bestFit="1" customWidth="1"/>
    <col min="774" max="774" width="9.42578125" style="64" bestFit="1" customWidth="1"/>
    <col min="775" max="775" width="3.5703125" style="64" customWidth="1"/>
    <col min="776" max="776" width="12.5703125" style="64" bestFit="1" customWidth="1"/>
    <col min="777" max="777" width="9.42578125" style="64" bestFit="1" customWidth="1"/>
    <col min="778" max="778" width="3.5703125" style="64" customWidth="1"/>
    <col min="779" max="779" width="22.42578125" style="64" customWidth="1"/>
    <col min="780" max="780" width="3.5703125" style="64" customWidth="1"/>
    <col min="781" max="781" width="50.5703125" style="64" customWidth="1"/>
    <col min="782" max="782" width="3.5703125" style="64" customWidth="1"/>
    <col min="783" max="784" width="9.140625" style="64"/>
    <col min="785" max="785" width="3.5703125" style="64" customWidth="1"/>
    <col min="786" max="1022" width="9.140625" style="64"/>
    <col min="1023" max="1023" width="3.5703125" style="64" customWidth="1"/>
    <col min="1024" max="1024" width="9.140625" style="64"/>
    <col min="1025" max="1025" width="38.42578125" style="64" bestFit="1" customWidth="1"/>
    <col min="1026" max="1027" width="15.5703125" style="64" customWidth="1"/>
    <col min="1028" max="1028" width="3.5703125" style="64" customWidth="1"/>
    <col min="1029" max="1029" width="16.5703125" style="64" bestFit="1" customWidth="1"/>
    <col min="1030" max="1030" width="9.42578125" style="64" bestFit="1" customWidth="1"/>
    <col min="1031" max="1031" width="3.5703125" style="64" customWidth="1"/>
    <col min="1032" max="1032" width="12.5703125" style="64" bestFit="1" customWidth="1"/>
    <col min="1033" max="1033" width="9.42578125" style="64" bestFit="1" customWidth="1"/>
    <col min="1034" max="1034" width="3.5703125" style="64" customWidth="1"/>
    <col min="1035" max="1035" width="22.42578125" style="64" customWidth="1"/>
    <col min="1036" max="1036" width="3.5703125" style="64" customWidth="1"/>
    <col min="1037" max="1037" width="50.5703125" style="64" customWidth="1"/>
    <col min="1038" max="1038" width="3.5703125" style="64" customWidth="1"/>
    <col min="1039" max="1040" width="9.140625" style="64"/>
    <col min="1041" max="1041" width="3.5703125" style="64" customWidth="1"/>
    <col min="1042" max="1278" width="9.140625" style="64"/>
    <col min="1279" max="1279" width="3.5703125" style="64" customWidth="1"/>
    <col min="1280" max="1280" width="9.140625" style="64"/>
    <col min="1281" max="1281" width="38.42578125" style="64" bestFit="1" customWidth="1"/>
    <col min="1282" max="1283" width="15.5703125" style="64" customWidth="1"/>
    <col min="1284" max="1284" width="3.5703125" style="64" customWidth="1"/>
    <col min="1285" max="1285" width="16.5703125" style="64" bestFit="1" customWidth="1"/>
    <col min="1286" max="1286" width="9.42578125" style="64" bestFit="1" customWidth="1"/>
    <col min="1287" max="1287" width="3.5703125" style="64" customWidth="1"/>
    <col min="1288" max="1288" width="12.5703125" style="64" bestFit="1" customWidth="1"/>
    <col min="1289" max="1289" width="9.42578125" style="64" bestFit="1" customWidth="1"/>
    <col min="1290" max="1290" width="3.5703125" style="64" customWidth="1"/>
    <col min="1291" max="1291" width="22.42578125" style="64" customWidth="1"/>
    <col min="1292" max="1292" width="3.5703125" style="64" customWidth="1"/>
    <col min="1293" max="1293" width="50.5703125" style="64" customWidth="1"/>
    <col min="1294" max="1294" width="3.5703125" style="64" customWidth="1"/>
    <col min="1295" max="1296" width="9.140625" style="64"/>
    <col min="1297" max="1297" width="3.5703125" style="64" customWidth="1"/>
    <col min="1298" max="1534" width="9.140625" style="64"/>
    <col min="1535" max="1535" width="3.5703125" style="64" customWidth="1"/>
    <col min="1536" max="1536" width="9.140625" style="64"/>
    <col min="1537" max="1537" width="38.42578125" style="64" bestFit="1" customWidth="1"/>
    <col min="1538" max="1539" width="15.5703125" style="64" customWidth="1"/>
    <col min="1540" max="1540" width="3.5703125" style="64" customWidth="1"/>
    <col min="1541" max="1541" width="16.5703125" style="64" bestFit="1" customWidth="1"/>
    <col min="1542" max="1542" width="9.42578125" style="64" bestFit="1" customWidth="1"/>
    <col min="1543" max="1543" width="3.5703125" style="64" customWidth="1"/>
    <col min="1544" max="1544" width="12.5703125" style="64" bestFit="1" customWidth="1"/>
    <col min="1545" max="1545" width="9.42578125" style="64" bestFit="1" customWidth="1"/>
    <col min="1546" max="1546" width="3.5703125" style="64" customWidth="1"/>
    <col min="1547" max="1547" width="22.42578125" style="64" customWidth="1"/>
    <col min="1548" max="1548" width="3.5703125" style="64" customWidth="1"/>
    <col min="1549" max="1549" width="50.5703125" style="64" customWidth="1"/>
    <col min="1550" max="1550" width="3.5703125" style="64" customWidth="1"/>
    <col min="1551" max="1552" width="9.140625" style="64"/>
    <col min="1553" max="1553" width="3.5703125" style="64" customWidth="1"/>
    <col min="1554" max="1790" width="9.140625" style="64"/>
    <col min="1791" max="1791" width="3.5703125" style="64" customWidth="1"/>
    <col min="1792" max="1792" width="9.140625" style="64"/>
    <col min="1793" max="1793" width="38.42578125" style="64" bestFit="1" customWidth="1"/>
    <col min="1794" max="1795" width="15.5703125" style="64" customWidth="1"/>
    <col min="1796" max="1796" width="3.5703125" style="64" customWidth="1"/>
    <col min="1797" max="1797" width="16.5703125" style="64" bestFit="1" customWidth="1"/>
    <col min="1798" max="1798" width="9.42578125" style="64" bestFit="1" customWidth="1"/>
    <col min="1799" max="1799" width="3.5703125" style="64" customWidth="1"/>
    <col min="1800" max="1800" width="12.5703125" style="64" bestFit="1" customWidth="1"/>
    <col min="1801" max="1801" width="9.42578125" style="64" bestFit="1" customWidth="1"/>
    <col min="1802" max="1802" width="3.5703125" style="64" customWidth="1"/>
    <col min="1803" max="1803" width="22.42578125" style="64" customWidth="1"/>
    <col min="1804" max="1804" width="3.5703125" style="64" customWidth="1"/>
    <col min="1805" max="1805" width="50.5703125" style="64" customWidth="1"/>
    <col min="1806" max="1806" width="3.5703125" style="64" customWidth="1"/>
    <col min="1807" max="1808" width="9.140625" style="64"/>
    <col min="1809" max="1809" width="3.5703125" style="64" customWidth="1"/>
    <col min="1810" max="2046" width="9.140625" style="64"/>
    <col min="2047" max="2047" width="3.5703125" style="64" customWidth="1"/>
    <col min="2048" max="2048" width="9.140625" style="64"/>
    <col min="2049" max="2049" width="38.42578125" style="64" bestFit="1" customWidth="1"/>
    <col min="2050" max="2051" width="15.5703125" style="64" customWidth="1"/>
    <col min="2052" max="2052" width="3.5703125" style="64" customWidth="1"/>
    <col min="2053" max="2053" width="16.5703125" style="64" bestFit="1" customWidth="1"/>
    <col min="2054" max="2054" width="9.42578125" style="64" bestFit="1" customWidth="1"/>
    <col min="2055" max="2055" width="3.5703125" style="64" customWidth="1"/>
    <col min="2056" max="2056" width="12.5703125" style="64" bestFit="1" customWidth="1"/>
    <col min="2057" max="2057" width="9.42578125" style="64" bestFit="1" customWidth="1"/>
    <col min="2058" max="2058" width="3.5703125" style="64" customWidth="1"/>
    <col min="2059" max="2059" width="22.42578125" style="64" customWidth="1"/>
    <col min="2060" max="2060" width="3.5703125" style="64" customWidth="1"/>
    <col min="2061" max="2061" width="50.5703125" style="64" customWidth="1"/>
    <col min="2062" max="2062" width="3.5703125" style="64" customWidth="1"/>
    <col min="2063" max="2064" width="9.140625" style="64"/>
    <col min="2065" max="2065" width="3.5703125" style="64" customWidth="1"/>
    <col min="2066" max="2302" width="9.140625" style="64"/>
    <col min="2303" max="2303" width="3.5703125" style="64" customWidth="1"/>
    <col min="2304" max="2304" width="9.140625" style="64"/>
    <col min="2305" max="2305" width="38.42578125" style="64" bestFit="1" customWidth="1"/>
    <col min="2306" max="2307" width="15.5703125" style="64" customWidth="1"/>
    <col min="2308" max="2308" width="3.5703125" style="64" customWidth="1"/>
    <col min="2309" max="2309" width="16.5703125" style="64" bestFit="1" customWidth="1"/>
    <col min="2310" max="2310" width="9.42578125" style="64" bestFit="1" customWidth="1"/>
    <col min="2311" max="2311" width="3.5703125" style="64" customWidth="1"/>
    <col min="2312" max="2312" width="12.5703125" style="64" bestFit="1" customWidth="1"/>
    <col min="2313" max="2313" width="9.42578125" style="64" bestFit="1" customWidth="1"/>
    <col min="2314" max="2314" width="3.5703125" style="64" customWidth="1"/>
    <col min="2315" max="2315" width="22.42578125" style="64" customWidth="1"/>
    <col min="2316" max="2316" width="3.5703125" style="64" customWidth="1"/>
    <col min="2317" max="2317" width="50.5703125" style="64" customWidth="1"/>
    <col min="2318" max="2318" width="3.5703125" style="64" customWidth="1"/>
    <col min="2319" max="2320" width="9.140625" style="64"/>
    <col min="2321" max="2321" width="3.5703125" style="64" customWidth="1"/>
    <col min="2322" max="2558" width="9.140625" style="64"/>
    <col min="2559" max="2559" width="3.5703125" style="64" customWidth="1"/>
    <col min="2560" max="2560" width="9.140625" style="64"/>
    <col min="2561" max="2561" width="38.42578125" style="64" bestFit="1" customWidth="1"/>
    <col min="2562" max="2563" width="15.5703125" style="64" customWidth="1"/>
    <col min="2564" max="2564" width="3.5703125" style="64" customWidth="1"/>
    <col min="2565" max="2565" width="16.5703125" style="64" bestFit="1" customWidth="1"/>
    <col min="2566" max="2566" width="9.42578125" style="64" bestFit="1" customWidth="1"/>
    <col min="2567" max="2567" width="3.5703125" style="64" customWidth="1"/>
    <col min="2568" max="2568" width="12.5703125" style="64" bestFit="1" customWidth="1"/>
    <col min="2569" max="2569" width="9.42578125" style="64" bestFit="1" customWidth="1"/>
    <col min="2570" max="2570" width="3.5703125" style="64" customWidth="1"/>
    <col min="2571" max="2571" width="22.42578125" style="64" customWidth="1"/>
    <col min="2572" max="2572" width="3.5703125" style="64" customWidth="1"/>
    <col min="2573" max="2573" width="50.5703125" style="64" customWidth="1"/>
    <col min="2574" max="2574" width="3.5703125" style="64" customWidth="1"/>
    <col min="2575" max="2576" width="9.140625" style="64"/>
    <col min="2577" max="2577" width="3.5703125" style="64" customWidth="1"/>
    <col min="2578" max="2814" width="9.140625" style="64"/>
    <col min="2815" max="2815" width="3.5703125" style="64" customWidth="1"/>
    <col min="2816" max="2816" width="9.140625" style="64"/>
    <col min="2817" max="2817" width="38.42578125" style="64" bestFit="1" customWidth="1"/>
    <col min="2818" max="2819" width="15.5703125" style="64" customWidth="1"/>
    <col min="2820" max="2820" width="3.5703125" style="64" customWidth="1"/>
    <col min="2821" max="2821" width="16.5703125" style="64" bestFit="1" customWidth="1"/>
    <col min="2822" max="2822" width="9.42578125" style="64" bestFit="1" customWidth="1"/>
    <col min="2823" max="2823" width="3.5703125" style="64" customWidth="1"/>
    <col min="2824" max="2824" width="12.5703125" style="64" bestFit="1" customWidth="1"/>
    <col min="2825" max="2825" width="9.42578125" style="64" bestFit="1" customWidth="1"/>
    <col min="2826" max="2826" width="3.5703125" style="64" customWidth="1"/>
    <col min="2827" max="2827" width="22.42578125" style="64" customWidth="1"/>
    <col min="2828" max="2828" width="3.5703125" style="64" customWidth="1"/>
    <col min="2829" max="2829" width="50.5703125" style="64" customWidth="1"/>
    <col min="2830" max="2830" width="3.5703125" style="64" customWidth="1"/>
    <col min="2831" max="2832" width="9.140625" style="64"/>
    <col min="2833" max="2833" width="3.5703125" style="64" customWidth="1"/>
    <col min="2834" max="3070" width="9.140625" style="64"/>
    <col min="3071" max="3071" width="3.5703125" style="64" customWidth="1"/>
    <col min="3072" max="3072" width="9.140625" style="64"/>
    <col min="3073" max="3073" width="38.42578125" style="64" bestFit="1" customWidth="1"/>
    <col min="3074" max="3075" width="15.5703125" style="64" customWidth="1"/>
    <col min="3076" max="3076" width="3.5703125" style="64" customWidth="1"/>
    <col min="3077" max="3077" width="16.5703125" style="64" bestFit="1" customWidth="1"/>
    <col min="3078" max="3078" width="9.42578125" style="64" bestFit="1" customWidth="1"/>
    <col min="3079" max="3079" width="3.5703125" style="64" customWidth="1"/>
    <col min="3080" max="3080" width="12.5703125" style="64" bestFit="1" customWidth="1"/>
    <col min="3081" max="3081" width="9.42578125" style="64" bestFit="1" customWidth="1"/>
    <col min="3082" max="3082" width="3.5703125" style="64" customWidth="1"/>
    <col min="3083" max="3083" width="22.42578125" style="64" customWidth="1"/>
    <col min="3084" max="3084" width="3.5703125" style="64" customWidth="1"/>
    <col min="3085" max="3085" width="50.5703125" style="64" customWidth="1"/>
    <col min="3086" max="3086" width="3.5703125" style="64" customWidth="1"/>
    <col min="3087" max="3088" width="9.140625" style="64"/>
    <col min="3089" max="3089" width="3.5703125" style="64" customWidth="1"/>
    <col min="3090" max="3326" width="9.140625" style="64"/>
    <col min="3327" max="3327" width="3.5703125" style="64" customWidth="1"/>
    <col min="3328" max="3328" width="9.140625" style="64"/>
    <col min="3329" max="3329" width="38.42578125" style="64" bestFit="1" customWidth="1"/>
    <col min="3330" max="3331" width="15.5703125" style="64" customWidth="1"/>
    <col min="3332" max="3332" width="3.5703125" style="64" customWidth="1"/>
    <col min="3333" max="3333" width="16.5703125" style="64" bestFit="1" customWidth="1"/>
    <col min="3334" max="3334" width="9.42578125" style="64" bestFit="1" customWidth="1"/>
    <col min="3335" max="3335" width="3.5703125" style="64" customWidth="1"/>
    <col min="3336" max="3336" width="12.5703125" style="64" bestFit="1" customWidth="1"/>
    <col min="3337" max="3337" width="9.42578125" style="64" bestFit="1" customWidth="1"/>
    <col min="3338" max="3338" width="3.5703125" style="64" customWidth="1"/>
    <col min="3339" max="3339" width="22.42578125" style="64" customWidth="1"/>
    <col min="3340" max="3340" width="3.5703125" style="64" customWidth="1"/>
    <col min="3341" max="3341" width="50.5703125" style="64" customWidth="1"/>
    <col min="3342" max="3342" width="3.5703125" style="64" customWidth="1"/>
    <col min="3343" max="3344" width="9.140625" style="64"/>
    <col min="3345" max="3345" width="3.5703125" style="64" customWidth="1"/>
    <col min="3346" max="3582" width="9.140625" style="64"/>
    <col min="3583" max="3583" width="3.5703125" style="64" customWidth="1"/>
    <col min="3584" max="3584" width="9.140625" style="64"/>
    <col min="3585" max="3585" width="38.42578125" style="64" bestFit="1" customWidth="1"/>
    <col min="3586" max="3587" width="15.5703125" style="64" customWidth="1"/>
    <col min="3588" max="3588" width="3.5703125" style="64" customWidth="1"/>
    <col min="3589" max="3589" width="16.5703125" style="64" bestFit="1" customWidth="1"/>
    <col min="3590" max="3590" width="9.42578125" style="64" bestFit="1" customWidth="1"/>
    <col min="3591" max="3591" width="3.5703125" style="64" customWidth="1"/>
    <col min="3592" max="3592" width="12.5703125" style="64" bestFit="1" customWidth="1"/>
    <col min="3593" max="3593" width="9.42578125" style="64" bestFit="1" customWidth="1"/>
    <col min="3594" max="3594" width="3.5703125" style="64" customWidth="1"/>
    <col min="3595" max="3595" width="22.42578125" style="64" customWidth="1"/>
    <col min="3596" max="3596" width="3.5703125" style="64" customWidth="1"/>
    <col min="3597" max="3597" width="50.5703125" style="64" customWidth="1"/>
    <col min="3598" max="3598" width="3.5703125" style="64" customWidth="1"/>
    <col min="3599" max="3600" width="9.140625" style="64"/>
    <col min="3601" max="3601" width="3.5703125" style="64" customWidth="1"/>
    <col min="3602" max="3838" width="9.140625" style="64"/>
    <col min="3839" max="3839" width="3.5703125" style="64" customWidth="1"/>
    <col min="3840" max="3840" width="9.140625" style="64"/>
    <col min="3841" max="3841" width="38.42578125" style="64" bestFit="1" customWidth="1"/>
    <col min="3842" max="3843" width="15.5703125" style="64" customWidth="1"/>
    <col min="3844" max="3844" width="3.5703125" style="64" customWidth="1"/>
    <col min="3845" max="3845" width="16.5703125" style="64" bestFit="1" customWidth="1"/>
    <col min="3846" max="3846" width="9.42578125" style="64" bestFit="1" customWidth="1"/>
    <col min="3847" max="3847" width="3.5703125" style="64" customWidth="1"/>
    <col min="3848" max="3848" width="12.5703125" style="64" bestFit="1" customWidth="1"/>
    <col min="3849" max="3849" width="9.42578125" style="64" bestFit="1" customWidth="1"/>
    <col min="3850" max="3850" width="3.5703125" style="64" customWidth="1"/>
    <col min="3851" max="3851" width="22.42578125" style="64" customWidth="1"/>
    <col min="3852" max="3852" width="3.5703125" style="64" customWidth="1"/>
    <col min="3853" max="3853" width="50.5703125" style="64" customWidth="1"/>
    <col min="3854" max="3854" width="3.5703125" style="64" customWidth="1"/>
    <col min="3855" max="3856" width="9.140625" style="64"/>
    <col min="3857" max="3857" width="3.5703125" style="64" customWidth="1"/>
    <col min="3858" max="4094" width="9.140625" style="64"/>
    <col min="4095" max="4095" width="3.5703125" style="64" customWidth="1"/>
    <col min="4096" max="4096" width="9.140625" style="64"/>
    <col min="4097" max="4097" width="38.42578125" style="64" bestFit="1" customWidth="1"/>
    <col min="4098" max="4099" width="15.5703125" style="64" customWidth="1"/>
    <col min="4100" max="4100" width="3.5703125" style="64" customWidth="1"/>
    <col min="4101" max="4101" width="16.5703125" style="64" bestFit="1" customWidth="1"/>
    <col min="4102" max="4102" width="9.42578125" style="64" bestFit="1" customWidth="1"/>
    <col min="4103" max="4103" width="3.5703125" style="64" customWidth="1"/>
    <col min="4104" max="4104" width="12.5703125" style="64" bestFit="1" customWidth="1"/>
    <col min="4105" max="4105" width="9.42578125" style="64" bestFit="1" customWidth="1"/>
    <col min="4106" max="4106" width="3.5703125" style="64" customWidth="1"/>
    <col min="4107" max="4107" width="22.42578125" style="64" customWidth="1"/>
    <col min="4108" max="4108" width="3.5703125" style="64" customWidth="1"/>
    <col min="4109" max="4109" width="50.5703125" style="64" customWidth="1"/>
    <col min="4110" max="4110" width="3.5703125" style="64" customWidth="1"/>
    <col min="4111" max="4112" width="9.140625" style="64"/>
    <col min="4113" max="4113" width="3.5703125" style="64" customWidth="1"/>
    <col min="4114" max="4350" width="9.140625" style="64"/>
    <col min="4351" max="4351" width="3.5703125" style="64" customWidth="1"/>
    <col min="4352" max="4352" width="9.140625" style="64"/>
    <col min="4353" max="4353" width="38.42578125" style="64" bestFit="1" customWidth="1"/>
    <col min="4354" max="4355" width="15.5703125" style="64" customWidth="1"/>
    <col min="4356" max="4356" width="3.5703125" style="64" customWidth="1"/>
    <col min="4357" max="4357" width="16.5703125" style="64" bestFit="1" customWidth="1"/>
    <col min="4358" max="4358" width="9.42578125" style="64" bestFit="1" customWidth="1"/>
    <col min="4359" max="4359" width="3.5703125" style="64" customWidth="1"/>
    <col min="4360" max="4360" width="12.5703125" style="64" bestFit="1" customWidth="1"/>
    <col min="4361" max="4361" width="9.42578125" style="64" bestFit="1" customWidth="1"/>
    <col min="4362" max="4362" width="3.5703125" style="64" customWidth="1"/>
    <col min="4363" max="4363" width="22.42578125" style="64" customWidth="1"/>
    <col min="4364" max="4364" width="3.5703125" style="64" customWidth="1"/>
    <col min="4365" max="4365" width="50.5703125" style="64" customWidth="1"/>
    <col min="4366" max="4366" width="3.5703125" style="64" customWidth="1"/>
    <col min="4367" max="4368" width="9.140625" style="64"/>
    <col min="4369" max="4369" width="3.5703125" style="64" customWidth="1"/>
    <col min="4370" max="4606" width="9.140625" style="64"/>
    <col min="4607" max="4607" width="3.5703125" style="64" customWidth="1"/>
    <col min="4608" max="4608" width="9.140625" style="64"/>
    <col min="4609" max="4609" width="38.42578125" style="64" bestFit="1" customWidth="1"/>
    <col min="4610" max="4611" width="15.5703125" style="64" customWidth="1"/>
    <col min="4612" max="4612" width="3.5703125" style="64" customWidth="1"/>
    <col min="4613" max="4613" width="16.5703125" style="64" bestFit="1" customWidth="1"/>
    <col min="4614" max="4614" width="9.42578125" style="64" bestFit="1" customWidth="1"/>
    <col min="4615" max="4615" width="3.5703125" style="64" customWidth="1"/>
    <col min="4616" max="4616" width="12.5703125" style="64" bestFit="1" customWidth="1"/>
    <col min="4617" max="4617" width="9.42578125" style="64" bestFit="1" customWidth="1"/>
    <col min="4618" max="4618" width="3.5703125" style="64" customWidth="1"/>
    <col min="4619" max="4619" width="22.42578125" style="64" customWidth="1"/>
    <col min="4620" max="4620" width="3.5703125" style="64" customWidth="1"/>
    <col min="4621" max="4621" width="50.5703125" style="64" customWidth="1"/>
    <col min="4622" max="4622" width="3.5703125" style="64" customWidth="1"/>
    <col min="4623" max="4624" width="9.140625" style="64"/>
    <col min="4625" max="4625" width="3.5703125" style="64" customWidth="1"/>
    <col min="4626" max="4862" width="9.140625" style="64"/>
    <col min="4863" max="4863" width="3.5703125" style="64" customWidth="1"/>
    <col min="4864" max="4864" width="9.140625" style="64"/>
    <col min="4865" max="4865" width="38.42578125" style="64" bestFit="1" customWidth="1"/>
    <col min="4866" max="4867" width="15.5703125" style="64" customWidth="1"/>
    <col min="4868" max="4868" width="3.5703125" style="64" customWidth="1"/>
    <col min="4869" max="4869" width="16.5703125" style="64" bestFit="1" customWidth="1"/>
    <col min="4870" max="4870" width="9.42578125" style="64" bestFit="1" customWidth="1"/>
    <col min="4871" max="4871" width="3.5703125" style="64" customWidth="1"/>
    <col min="4872" max="4872" width="12.5703125" style="64" bestFit="1" customWidth="1"/>
    <col min="4873" max="4873" width="9.42578125" style="64" bestFit="1" customWidth="1"/>
    <col min="4874" max="4874" width="3.5703125" style="64" customWidth="1"/>
    <col min="4875" max="4875" width="22.42578125" style="64" customWidth="1"/>
    <col min="4876" max="4876" width="3.5703125" style="64" customWidth="1"/>
    <col min="4877" max="4877" width="50.5703125" style="64" customWidth="1"/>
    <col min="4878" max="4878" width="3.5703125" style="64" customWidth="1"/>
    <col min="4879" max="4880" width="9.140625" style="64"/>
    <col min="4881" max="4881" width="3.5703125" style="64" customWidth="1"/>
    <col min="4882" max="5118" width="9.140625" style="64"/>
    <col min="5119" max="5119" width="3.5703125" style="64" customWidth="1"/>
    <col min="5120" max="5120" width="9.140625" style="64"/>
    <col min="5121" max="5121" width="38.42578125" style="64" bestFit="1" customWidth="1"/>
    <col min="5122" max="5123" width="15.5703125" style="64" customWidth="1"/>
    <col min="5124" max="5124" width="3.5703125" style="64" customWidth="1"/>
    <col min="5125" max="5125" width="16.5703125" style="64" bestFit="1" customWidth="1"/>
    <col min="5126" max="5126" width="9.42578125" style="64" bestFit="1" customWidth="1"/>
    <col min="5127" max="5127" width="3.5703125" style="64" customWidth="1"/>
    <col min="5128" max="5128" width="12.5703125" style="64" bestFit="1" customWidth="1"/>
    <col min="5129" max="5129" width="9.42578125" style="64" bestFit="1" customWidth="1"/>
    <col min="5130" max="5130" width="3.5703125" style="64" customWidth="1"/>
    <col min="5131" max="5131" width="22.42578125" style="64" customWidth="1"/>
    <col min="5132" max="5132" width="3.5703125" style="64" customWidth="1"/>
    <col min="5133" max="5133" width="50.5703125" style="64" customWidth="1"/>
    <col min="5134" max="5134" width="3.5703125" style="64" customWidth="1"/>
    <col min="5135" max="5136" width="9.140625" style="64"/>
    <col min="5137" max="5137" width="3.5703125" style="64" customWidth="1"/>
    <col min="5138" max="5374" width="9.140625" style="64"/>
    <col min="5375" max="5375" width="3.5703125" style="64" customWidth="1"/>
    <col min="5376" max="5376" width="9.140625" style="64"/>
    <col min="5377" max="5377" width="38.42578125" style="64" bestFit="1" customWidth="1"/>
    <col min="5378" max="5379" width="15.5703125" style="64" customWidth="1"/>
    <col min="5380" max="5380" width="3.5703125" style="64" customWidth="1"/>
    <col min="5381" max="5381" width="16.5703125" style="64" bestFit="1" customWidth="1"/>
    <col min="5382" max="5382" width="9.42578125" style="64" bestFit="1" customWidth="1"/>
    <col min="5383" max="5383" width="3.5703125" style="64" customWidth="1"/>
    <col min="5384" max="5384" width="12.5703125" style="64" bestFit="1" customWidth="1"/>
    <col min="5385" max="5385" width="9.42578125" style="64" bestFit="1" customWidth="1"/>
    <col min="5386" max="5386" width="3.5703125" style="64" customWidth="1"/>
    <col min="5387" max="5387" width="22.42578125" style="64" customWidth="1"/>
    <col min="5388" max="5388" width="3.5703125" style="64" customWidth="1"/>
    <col min="5389" max="5389" width="50.5703125" style="64" customWidth="1"/>
    <col min="5390" max="5390" width="3.5703125" style="64" customWidth="1"/>
    <col min="5391" max="5392" width="9.140625" style="64"/>
    <col min="5393" max="5393" width="3.5703125" style="64" customWidth="1"/>
    <col min="5394" max="5630" width="9.140625" style="64"/>
    <col min="5631" max="5631" width="3.5703125" style="64" customWidth="1"/>
    <col min="5632" max="5632" width="9.140625" style="64"/>
    <col min="5633" max="5633" width="38.42578125" style="64" bestFit="1" customWidth="1"/>
    <col min="5634" max="5635" width="15.5703125" style="64" customWidth="1"/>
    <col min="5636" max="5636" width="3.5703125" style="64" customWidth="1"/>
    <col min="5637" max="5637" width="16.5703125" style="64" bestFit="1" customWidth="1"/>
    <col min="5638" max="5638" width="9.42578125" style="64" bestFit="1" customWidth="1"/>
    <col min="5639" max="5639" width="3.5703125" style="64" customWidth="1"/>
    <col min="5640" max="5640" width="12.5703125" style="64" bestFit="1" customWidth="1"/>
    <col min="5641" max="5641" width="9.42578125" style="64" bestFit="1" customWidth="1"/>
    <col min="5642" max="5642" width="3.5703125" style="64" customWidth="1"/>
    <col min="5643" max="5643" width="22.42578125" style="64" customWidth="1"/>
    <col min="5644" max="5644" width="3.5703125" style="64" customWidth="1"/>
    <col min="5645" max="5645" width="50.5703125" style="64" customWidth="1"/>
    <col min="5646" max="5646" width="3.5703125" style="64" customWidth="1"/>
    <col min="5647" max="5648" width="9.140625" style="64"/>
    <col min="5649" max="5649" width="3.5703125" style="64" customWidth="1"/>
    <col min="5650" max="5886" width="9.140625" style="64"/>
    <col min="5887" max="5887" width="3.5703125" style="64" customWidth="1"/>
    <col min="5888" max="5888" width="9.140625" style="64"/>
    <col min="5889" max="5889" width="38.42578125" style="64" bestFit="1" customWidth="1"/>
    <col min="5890" max="5891" width="15.5703125" style="64" customWidth="1"/>
    <col min="5892" max="5892" width="3.5703125" style="64" customWidth="1"/>
    <col min="5893" max="5893" width="16.5703125" style="64" bestFit="1" customWidth="1"/>
    <col min="5894" max="5894" width="9.42578125" style="64" bestFit="1" customWidth="1"/>
    <col min="5895" max="5895" width="3.5703125" style="64" customWidth="1"/>
    <col min="5896" max="5896" width="12.5703125" style="64" bestFit="1" customWidth="1"/>
    <col min="5897" max="5897" width="9.42578125" style="64" bestFit="1" customWidth="1"/>
    <col min="5898" max="5898" width="3.5703125" style="64" customWidth="1"/>
    <col min="5899" max="5899" width="22.42578125" style="64" customWidth="1"/>
    <col min="5900" max="5900" width="3.5703125" style="64" customWidth="1"/>
    <col min="5901" max="5901" width="50.5703125" style="64" customWidth="1"/>
    <col min="5902" max="5902" width="3.5703125" style="64" customWidth="1"/>
    <col min="5903" max="5904" width="9.140625" style="64"/>
    <col min="5905" max="5905" width="3.5703125" style="64" customWidth="1"/>
    <col min="5906" max="6142" width="9.140625" style="64"/>
    <col min="6143" max="6143" width="3.5703125" style="64" customWidth="1"/>
    <col min="6144" max="6144" width="9.140625" style="64"/>
    <col min="6145" max="6145" width="38.42578125" style="64" bestFit="1" customWidth="1"/>
    <col min="6146" max="6147" width="15.5703125" style="64" customWidth="1"/>
    <col min="6148" max="6148" width="3.5703125" style="64" customWidth="1"/>
    <col min="6149" max="6149" width="16.5703125" style="64" bestFit="1" customWidth="1"/>
    <col min="6150" max="6150" width="9.42578125" style="64" bestFit="1" customWidth="1"/>
    <col min="6151" max="6151" width="3.5703125" style="64" customWidth="1"/>
    <col min="6152" max="6152" width="12.5703125" style="64" bestFit="1" customWidth="1"/>
    <col min="6153" max="6153" width="9.42578125" style="64" bestFit="1" customWidth="1"/>
    <col min="6154" max="6154" width="3.5703125" style="64" customWidth="1"/>
    <col min="6155" max="6155" width="22.42578125" style="64" customWidth="1"/>
    <col min="6156" max="6156" width="3.5703125" style="64" customWidth="1"/>
    <col min="6157" max="6157" width="50.5703125" style="64" customWidth="1"/>
    <col min="6158" max="6158" width="3.5703125" style="64" customWidth="1"/>
    <col min="6159" max="6160" width="9.140625" style="64"/>
    <col min="6161" max="6161" width="3.5703125" style="64" customWidth="1"/>
    <col min="6162" max="6398" width="9.140625" style="64"/>
    <col min="6399" max="6399" width="3.5703125" style="64" customWidth="1"/>
    <col min="6400" max="6400" width="9.140625" style="64"/>
    <col min="6401" max="6401" width="38.42578125" style="64" bestFit="1" customWidth="1"/>
    <col min="6402" max="6403" width="15.5703125" style="64" customWidth="1"/>
    <col min="6404" max="6404" width="3.5703125" style="64" customWidth="1"/>
    <col min="6405" max="6405" width="16.5703125" style="64" bestFit="1" customWidth="1"/>
    <col min="6406" max="6406" width="9.42578125" style="64" bestFit="1" customWidth="1"/>
    <col min="6407" max="6407" width="3.5703125" style="64" customWidth="1"/>
    <col min="6408" max="6408" width="12.5703125" style="64" bestFit="1" customWidth="1"/>
    <col min="6409" max="6409" width="9.42578125" style="64" bestFit="1" customWidth="1"/>
    <col min="6410" max="6410" width="3.5703125" style="64" customWidth="1"/>
    <col min="6411" max="6411" width="22.42578125" style="64" customWidth="1"/>
    <col min="6412" max="6412" width="3.5703125" style="64" customWidth="1"/>
    <col min="6413" max="6413" width="50.5703125" style="64" customWidth="1"/>
    <col min="6414" max="6414" width="3.5703125" style="64" customWidth="1"/>
    <col min="6415" max="6416" width="9.140625" style="64"/>
    <col min="6417" max="6417" width="3.5703125" style="64" customWidth="1"/>
    <col min="6418" max="6654" width="9.140625" style="64"/>
    <col min="6655" max="6655" width="3.5703125" style="64" customWidth="1"/>
    <col min="6656" max="6656" width="9.140625" style="64"/>
    <col min="6657" max="6657" width="38.42578125" style="64" bestFit="1" customWidth="1"/>
    <col min="6658" max="6659" width="15.5703125" style="64" customWidth="1"/>
    <col min="6660" max="6660" width="3.5703125" style="64" customWidth="1"/>
    <col min="6661" max="6661" width="16.5703125" style="64" bestFit="1" customWidth="1"/>
    <col min="6662" max="6662" width="9.42578125" style="64" bestFit="1" customWidth="1"/>
    <col min="6663" max="6663" width="3.5703125" style="64" customWidth="1"/>
    <col min="6664" max="6664" width="12.5703125" style="64" bestFit="1" customWidth="1"/>
    <col min="6665" max="6665" width="9.42578125" style="64" bestFit="1" customWidth="1"/>
    <col min="6666" max="6666" width="3.5703125" style="64" customWidth="1"/>
    <col min="6667" max="6667" width="22.42578125" style="64" customWidth="1"/>
    <col min="6668" max="6668" width="3.5703125" style="64" customWidth="1"/>
    <col min="6669" max="6669" width="50.5703125" style="64" customWidth="1"/>
    <col min="6670" max="6670" width="3.5703125" style="64" customWidth="1"/>
    <col min="6671" max="6672" width="9.140625" style="64"/>
    <col min="6673" max="6673" width="3.5703125" style="64" customWidth="1"/>
    <col min="6674" max="6910" width="9.140625" style="64"/>
    <col min="6911" max="6911" width="3.5703125" style="64" customWidth="1"/>
    <col min="6912" max="6912" width="9.140625" style="64"/>
    <col min="6913" max="6913" width="38.42578125" style="64" bestFit="1" customWidth="1"/>
    <col min="6914" max="6915" width="15.5703125" style="64" customWidth="1"/>
    <col min="6916" max="6916" width="3.5703125" style="64" customWidth="1"/>
    <col min="6917" max="6917" width="16.5703125" style="64" bestFit="1" customWidth="1"/>
    <col min="6918" max="6918" width="9.42578125" style="64" bestFit="1" customWidth="1"/>
    <col min="6919" max="6919" width="3.5703125" style="64" customWidth="1"/>
    <col min="6920" max="6920" width="12.5703125" style="64" bestFit="1" customWidth="1"/>
    <col min="6921" max="6921" width="9.42578125" style="64" bestFit="1" customWidth="1"/>
    <col min="6922" max="6922" width="3.5703125" style="64" customWidth="1"/>
    <col min="6923" max="6923" width="22.42578125" style="64" customWidth="1"/>
    <col min="6924" max="6924" width="3.5703125" style="64" customWidth="1"/>
    <col min="6925" max="6925" width="50.5703125" style="64" customWidth="1"/>
    <col min="6926" max="6926" width="3.5703125" style="64" customWidth="1"/>
    <col min="6927" max="6928" width="9.140625" style="64"/>
    <col min="6929" max="6929" width="3.5703125" style="64" customWidth="1"/>
    <col min="6930" max="7166" width="9.140625" style="64"/>
    <col min="7167" max="7167" width="3.5703125" style="64" customWidth="1"/>
    <col min="7168" max="7168" width="9.140625" style="64"/>
    <col min="7169" max="7169" width="38.42578125" style="64" bestFit="1" customWidth="1"/>
    <col min="7170" max="7171" width="15.5703125" style="64" customWidth="1"/>
    <col min="7172" max="7172" width="3.5703125" style="64" customWidth="1"/>
    <col min="7173" max="7173" width="16.5703125" style="64" bestFit="1" customWidth="1"/>
    <col min="7174" max="7174" width="9.42578125" style="64" bestFit="1" customWidth="1"/>
    <col min="7175" max="7175" width="3.5703125" style="64" customWidth="1"/>
    <col min="7176" max="7176" width="12.5703125" style="64" bestFit="1" customWidth="1"/>
    <col min="7177" max="7177" width="9.42578125" style="64" bestFit="1" customWidth="1"/>
    <col min="7178" max="7178" width="3.5703125" style="64" customWidth="1"/>
    <col min="7179" max="7179" width="22.42578125" style="64" customWidth="1"/>
    <col min="7180" max="7180" width="3.5703125" style="64" customWidth="1"/>
    <col min="7181" max="7181" width="50.5703125" style="64" customWidth="1"/>
    <col min="7182" max="7182" width="3.5703125" style="64" customWidth="1"/>
    <col min="7183" max="7184" width="9.140625" style="64"/>
    <col min="7185" max="7185" width="3.5703125" style="64" customWidth="1"/>
    <col min="7186" max="7422" width="9.140625" style="64"/>
    <col min="7423" max="7423" width="3.5703125" style="64" customWidth="1"/>
    <col min="7424" max="7424" width="9.140625" style="64"/>
    <col min="7425" max="7425" width="38.42578125" style="64" bestFit="1" customWidth="1"/>
    <col min="7426" max="7427" width="15.5703125" style="64" customWidth="1"/>
    <col min="7428" max="7428" width="3.5703125" style="64" customWidth="1"/>
    <col min="7429" max="7429" width="16.5703125" style="64" bestFit="1" customWidth="1"/>
    <col min="7430" max="7430" width="9.42578125" style="64" bestFit="1" customWidth="1"/>
    <col min="7431" max="7431" width="3.5703125" style="64" customWidth="1"/>
    <col min="7432" max="7432" width="12.5703125" style="64" bestFit="1" customWidth="1"/>
    <col min="7433" max="7433" width="9.42578125" style="64" bestFit="1" customWidth="1"/>
    <col min="7434" max="7434" width="3.5703125" style="64" customWidth="1"/>
    <col min="7435" max="7435" width="22.42578125" style="64" customWidth="1"/>
    <col min="7436" max="7436" width="3.5703125" style="64" customWidth="1"/>
    <col min="7437" max="7437" width="50.5703125" style="64" customWidth="1"/>
    <col min="7438" max="7438" width="3.5703125" style="64" customWidth="1"/>
    <col min="7439" max="7440" width="9.140625" style="64"/>
    <col min="7441" max="7441" width="3.5703125" style="64" customWidth="1"/>
    <col min="7442" max="7678" width="9.140625" style="64"/>
    <col min="7679" max="7679" width="3.5703125" style="64" customWidth="1"/>
    <col min="7680" max="7680" width="9.140625" style="64"/>
    <col min="7681" max="7681" width="38.42578125" style="64" bestFit="1" customWidth="1"/>
    <col min="7682" max="7683" width="15.5703125" style="64" customWidth="1"/>
    <col min="7684" max="7684" width="3.5703125" style="64" customWidth="1"/>
    <col min="7685" max="7685" width="16.5703125" style="64" bestFit="1" customWidth="1"/>
    <col min="7686" max="7686" width="9.42578125" style="64" bestFit="1" customWidth="1"/>
    <col min="7687" max="7687" width="3.5703125" style="64" customWidth="1"/>
    <col min="7688" max="7688" width="12.5703125" style="64" bestFit="1" customWidth="1"/>
    <col min="7689" max="7689" width="9.42578125" style="64" bestFit="1" customWidth="1"/>
    <col min="7690" max="7690" width="3.5703125" style="64" customWidth="1"/>
    <col min="7691" max="7691" width="22.42578125" style="64" customWidth="1"/>
    <col min="7692" max="7692" width="3.5703125" style="64" customWidth="1"/>
    <col min="7693" max="7693" width="50.5703125" style="64" customWidth="1"/>
    <col min="7694" max="7694" width="3.5703125" style="64" customWidth="1"/>
    <col min="7695" max="7696" width="9.140625" style="64"/>
    <col min="7697" max="7697" width="3.5703125" style="64" customWidth="1"/>
    <col min="7698" max="7934" width="9.140625" style="64"/>
    <col min="7935" max="7935" width="3.5703125" style="64" customWidth="1"/>
    <col min="7936" max="7936" width="9.140625" style="64"/>
    <col min="7937" max="7937" width="38.42578125" style="64" bestFit="1" customWidth="1"/>
    <col min="7938" max="7939" width="15.5703125" style="64" customWidth="1"/>
    <col min="7940" max="7940" width="3.5703125" style="64" customWidth="1"/>
    <col min="7941" max="7941" width="16.5703125" style="64" bestFit="1" customWidth="1"/>
    <col min="7942" max="7942" width="9.42578125" style="64" bestFit="1" customWidth="1"/>
    <col min="7943" max="7943" width="3.5703125" style="64" customWidth="1"/>
    <col min="7944" max="7944" width="12.5703125" style="64" bestFit="1" customWidth="1"/>
    <col min="7945" max="7945" width="9.42578125" style="64" bestFit="1" customWidth="1"/>
    <col min="7946" max="7946" width="3.5703125" style="64" customWidth="1"/>
    <col min="7947" max="7947" width="22.42578125" style="64" customWidth="1"/>
    <col min="7948" max="7948" width="3.5703125" style="64" customWidth="1"/>
    <col min="7949" max="7949" width="50.5703125" style="64" customWidth="1"/>
    <col min="7950" max="7950" width="3.5703125" style="64" customWidth="1"/>
    <col min="7951" max="7952" width="9.140625" style="64"/>
    <col min="7953" max="7953" width="3.5703125" style="64" customWidth="1"/>
    <col min="7954" max="8190" width="9.140625" style="64"/>
    <col min="8191" max="8191" width="3.5703125" style="64" customWidth="1"/>
    <col min="8192" max="8192" width="9.140625" style="64"/>
    <col min="8193" max="8193" width="38.42578125" style="64" bestFit="1" customWidth="1"/>
    <col min="8194" max="8195" width="15.5703125" style="64" customWidth="1"/>
    <col min="8196" max="8196" width="3.5703125" style="64" customWidth="1"/>
    <col min="8197" max="8197" width="16.5703125" style="64" bestFit="1" customWidth="1"/>
    <col min="8198" max="8198" width="9.42578125" style="64" bestFit="1" customWidth="1"/>
    <col min="8199" max="8199" width="3.5703125" style="64" customWidth="1"/>
    <col min="8200" max="8200" width="12.5703125" style="64" bestFit="1" customWidth="1"/>
    <col min="8201" max="8201" width="9.42578125" style="64" bestFit="1" customWidth="1"/>
    <col min="8202" max="8202" width="3.5703125" style="64" customWidth="1"/>
    <col min="8203" max="8203" width="22.42578125" style="64" customWidth="1"/>
    <col min="8204" max="8204" width="3.5703125" style="64" customWidth="1"/>
    <col min="8205" max="8205" width="50.5703125" style="64" customWidth="1"/>
    <col min="8206" max="8206" width="3.5703125" style="64" customWidth="1"/>
    <col min="8207" max="8208" width="9.140625" style="64"/>
    <col min="8209" max="8209" width="3.5703125" style="64" customWidth="1"/>
    <col min="8210" max="8446" width="9.140625" style="64"/>
    <col min="8447" max="8447" width="3.5703125" style="64" customWidth="1"/>
    <col min="8448" max="8448" width="9.140625" style="64"/>
    <col min="8449" max="8449" width="38.42578125" style="64" bestFit="1" customWidth="1"/>
    <col min="8450" max="8451" width="15.5703125" style="64" customWidth="1"/>
    <col min="8452" max="8452" width="3.5703125" style="64" customWidth="1"/>
    <col min="8453" max="8453" width="16.5703125" style="64" bestFit="1" customWidth="1"/>
    <col min="8454" max="8454" width="9.42578125" style="64" bestFit="1" customWidth="1"/>
    <col min="8455" max="8455" width="3.5703125" style="64" customWidth="1"/>
    <col min="8456" max="8456" width="12.5703125" style="64" bestFit="1" customWidth="1"/>
    <col min="8457" max="8457" width="9.42578125" style="64" bestFit="1" customWidth="1"/>
    <col min="8458" max="8458" width="3.5703125" style="64" customWidth="1"/>
    <col min="8459" max="8459" width="22.42578125" style="64" customWidth="1"/>
    <col min="8460" max="8460" width="3.5703125" style="64" customWidth="1"/>
    <col min="8461" max="8461" width="50.5703125" style="64" customWidth="1"/>
    <col min="8462" max="8462" width="3.5703125" style="64" customWidth="1"/>
    <col min="8463" max="8464" width="9.140625" style="64"/>
    <col min="8465" max="8465" width="3.5703125" style="64" customWidth="1"/>
    <col min="8466" max="8702" width="9.140625" style="64"/>
    <col min="8703" max="8703" width="3.5703125" style="64" customWidth="1"/>
    <col min="8704" max="8704" width="9.140625" style="64"/>
    <col min="8705" max="8705" width="38.42578125" style="64" bestFit="1" customWidth="1"/>
    <col min="8706" max="8707" width="15.5703125" style="64" customWidth="1"/>
    <col min="8708" max="8708" width="3.5703125" style="64" customWidth="1"/>
    <col min="8709" max="8709" width="16.5703125" style="64" bestFit="1" customWidth="1"/>
    <col min="8710" max="8710" width="9.42578125" style="64" bestFit="1" customWidth="1"/>
    <col min="8711" max="8711" width="3.5703125" style="64" customWidth="1"/>
    <col min="8712" max="8712" width="12.5703125" style="64" bestFit="1" customWidth="1"/>
    <col min="8713" max="8713" width="9.42578125" style="64" bestFit="1" customWidth="1"/>
    <col min="8714" max="8714" width="3.5703125" style="64" customWidth="1"/>
    <col min="8715" max="8715" width="22.42578125" style="64" customWidth="1"/>
    <col min="8716" max="8716" width="3.5703125" style="64" customWidth="1"/>
    <col min="8717" max="8717" width="50.5703125" style="64" customWidth="1"/>
    <col min="8718" max="8718" width="3.5703125" style="64" customWidth="1"/>
    <col min="8719" max="8720" width="9.140625" style="64"/>
    <col min="8721" max="8721" width="3.5703125" style="64" customWidth="1"/>
    <col min="8722" max="8958" width="9.140625" style="64"/>
    <col min="8959" max="8959" width="3.5703125" style="64" customWidth="1"/>
    <col min="8960" max="8960" width="9.140625" style="64"/>
    <col min="8961" max="8961" width="38.42578125" style="64" bestFit="1" customWidth="1"/>
    <col min="8962" max="8963" width="15.5703125" style="64" customWidth="1"/>
    <col min="8964" max="8964" width="3.5703125" style="64" customWidth="1"/>
    <col min="8965" max="8965" width="16.5703125" style="64" bestFit="1" customWidth="1"/>
    <col min="8966" max="8966" width="9.42578125" style="64" bestFit="1" customWidth="1"/>
    <col min="8967" max="8967" width="3.5703125" style="64" customWidth="1"/>
    <col min="8968" max="8968" width="12.5703125" style="64" bestFit="1" customWidth="1"/>
    <col min="8969" max="8969" width="9.42578125" style="64" bestFit="1" customWidth="1"/>
    <col min="8970" max="8970" width="3.5703125" style="64" customWidth="1"/>
    <col min="8971" max="8971" width="22.42578125" style="64" customWidth="1"/>
    <col min="8972" max="8972" width="3.5703125" style="64" customWidth="1"/>
    <col min="8973" max="8973" width="50.5703125" style="64" customWidth="1"/>
    <col min="8974" max="8974" width="3.5703125" style="64" customWidth="1"/>
    <col min="8975" max="8976" width="9.140625" style="64"/>
    <col min="8977" max="8977" width="3.5703125" style="64" customWidth="1"/>
    <col min="8978" max="9214" width="9.140625" style="64"/>
    <col min="9215" max="9215" width="3.5703125" style="64" customWidth="1"/>
    <col min="9216" max="9216" width="9.140625" style="64"/>
    <col min="9217" max="9217" width="38.42578125" style="64" bestFit="1" customWidth="1"/>
    <col min="9218" max="9219" width="15.5703125" style="64" customWidth="1"/>
    <col min="9220" max="9220" width="3.5703125" style="64" customWidth="1"/>
    <col min="9221" max="9221" width="16.5703125" style="64" bestFit="1" customWidth="1"/>
    <col min="9222" max="9222" width="9.42578125" style="64" bestFit="1" customWidth="1"/>
    <col min="9223" max="9223" width="3.5703125" style="64" customWidth="1"/>
    <col min="9224" max="9224" width="12.5703125" style="64" bestFit="1" customWidth="1"/>
    <col min="9225" max="9225" width="9.42578125" style="64" bestFit="1" customWidth="1"/>
    <col min="9226" max="9226" width="3.5703125" style="64" customWidth="1"/>
    <col min="9227" max="9227" width="22.42578125" style="64" customWidth="1"/>
    <col min="9228" max="9228" width="3.5703125" style="64" customWidth="1"/>
    <col min="9229" max="9229" width="50.5703125" style="64" customWidth="1"/>
    <col min="9230" max="9230" width="3.5703125" style="64" customWidth="1"/>
    <col min="9231" max="9232" width="9.140625" style="64"/>
    <col min="9233" max="9233" width="3.5703125" style="64" customWidth="1"/>
    <col min="9234" max="9470" width="9.140625" style="64"/>
    <col min="9471" max="9471" width="3.5703125" style="64" customWidth="1"/>
    <col min="9472" max="9472" width="9.140625" style="64"/>
    <col min="9473" max="9473" width="38.42578125" style="64" bestFit="1" customWidth="1"/>
    <col min="9474" max="9475" width="15.5703125" style="64" customWidth="1"/>
    <col min="9476" max="9476" width="3.5703125" style="64" customWidth="1"/>
    <col min="9477" max="9477" width="16.5703125" style="64" bestFit="1" customWidth="1"/>
    <col min="9478" max="9478" width="9.42578125" style="64" bestFit="1" customWidth="1"/>
    <col min="9479" max="9479" width="3.5703125" style="64" customWidth="1"/>
    <col min="9480" max="9480" width="12.5703125" style="64" bestFit="1" customWidth="1"/>
    <col min="9481" max="9481" width="9.42578125" style="64" bestFit="1" customWidth="1"/>
    <col min="9482" max="9482" width="3.5703125" style="64" customWidth="1"/>
    <col min="9483" max="9483" width="22.42578125" style="64" customWidth="1"/>
    <col min="9484" max="9484" width="3.5703125" style="64" customWidth="1"/>
    <col min="9485" max="9485" width="50.5703125" style="64" customWidth="1"/>
    <col min="9486" max="9486" width="3.5703125" style="64" customWidth="1"/>
    <col min="9487" max="9488" width="9.140625" style="64"/>
    <col min="9489" max="9489" width="3.5703125" style="64" customWidth="1"/>
    <col min="9490" max="9726" width="9.140625" style="64"/>
    <col min="9727" max="9727" width="3.5703125" style="64" customWidth="1"/>
    <col min="9728" max="9728" width="9.140625" style="64"/>
    <col min="9729" max="9729" width="38.42578125" style="64" bestFit="1" customWidth="1"/>
    <col min="9730" max="9731" width="15.5703125" style="64" customWidth="1"/>
    <col min="9732" max="9732" width="3.5703125" style="64" customWidth="1"/>
    <col min="9733" max="9733" width="16.5703125" style="64" bestFit="1" customWidth="1"/>
    <col min="9734" max="9734" width="9.42578125" style="64" bestFit="1" customWidth="1"/>
    <col min="9735" max="9735" width="3.5703125" style="64" customWidth="1"/>
    <col min="9736" max="9736" width="12.5703125" style="64" bestFit="1" customWidth="1"/>
    <col min="9737" max="9737" width="9.42578125" style="64" bestFit="1" customWidth="1"/>
    <col min="9738" max="9738" width="3.5703125" style="64" customWidth="1"/>
    <col min="9739" max="9739" width="22.42578125" style="64" customWidth="1"/>
    <col min="9740" max="9740" width="3.5703125" style="64" customWidth="1"/>
    <col min="9741" max="9741" width="50.5703125" style="64" customWidth="1"/>
    <col min="9742" max="9742" width="3.5703125" style="64" customWidth="1"/>
    <col min="9743" max="9744" width="9.140625" style="64"/>
    <col min="9745" max="9745" width="3.5703125" style="64" customWidth="1"/>
    <col min="9746" max="9982" width="9.140625" style="64"/>
    <col min="9983" max="9983" width="3.5703125" style="64" customWidth="1"/>
    <col min="9984" max="9984" width="9.140625" style="64"/>
    <col min="9985" max="9985" width="38.42578125" style="64" bestFit="1" customWidth="1"/>
    <col min="9986" max="9987" width="15.5703125" style="64" customWidth="1"/>
    <col min="9988" max="9988" width="3.5703125" style="64" customWidth="1"/>
    <col min="9989" max="9989" width="16.5703125" style="64" bestFit="1" customWidth="1"/>
    <col min="9990" max="9990" width="9.42578125" style="64" bestFit="1" customWidth="1"/>
    <col min="9991" max="9991" width="3.5703125" style="64" customWidth="1"/>
    <col min="9992" max="9992" width="12.5703125" style="64" bestFit="1" customWidth="1"/>
    <col min="9993" max="9993" width="9.42578125" style="64" bestFit="1" customWidth="1"/>
    <col min="9994" max="9994" width="3.5703125" style="64" customWidth="1"/>
    <col min="9995" max="9995" width="22.42578125" style="64" customWidth="1"/>
    <col min="9996" max="9996" width="3.5703125" style="64" customWidth="1"/>
    <col min="9997" max="9997" width="50.5703125" style="64" customWidth="1"/>
    <col min="9998" max="9998" width="3.5703125" style="64" customWidth="1"/>
    <col min="9999" max="10000" width="9.140625" style="64"/>
    <col min="10001" max="10001" width="3.5703125" style="64" customWidth="1"/>
    <col min="10002" max="10238" width="9.140625" style="64"/>
    <col min="10239" max="10239" width="3.5703125" style="64" customWidth="1"/>
    <col min="10240" max="10240" width="9.140625" style="64"/>
    <col min="10241" max="10241" width="38.42578125" style="64" bestFit="1" customWidth="1"/>
    <col min="10242" max="10243" width="15.5703125" style="64" customWidth="1"/>
    <col min="10244" max="10244" width="3.5703125" style="64" customWidth="1"/>
    <col min="10245" max="10245" width="16.5703125" style="64" bestFit="1" customWidth="1"/>
    <col min="10246" max="10246" width="9.42578125" style="64" bestFit="1" customWidth="1"/>
    <col min="10247" max="10247" width="3.5703125" style="64" customWidth="1"/>
    <col min="10248" max="10248" width="12.5703125" style="64" bestFit="1" customWidth="1"/>
    <col min="10249" max="10249" width="9.42578125" style="64" bestFit="1" customWidth="1"/>
    <col min="10250" max="10250" width="3.5703125" style="64" customWidth="1"/>
    <col min="10251" max="10251" width="22.42578125" style="64" customWidth="1"/>
    <col min="10252" max="10252" width="3.5703125" style="64" customWidth="1"/>
    <col min="10253" max="10253" width="50.5703125" style="64" customWidth="1"/>
    <col min="10254" max="10254" width="3.5703125" style="64" customWidth="1"/>
    <col min="10255" max="10256" width="9.140625" style="64"/>
    <col min="10257" max="10257" width="3.5703125" style="64" customWidth="1"/>
    <col min="10258" max="10494" width="9.140625" style="64"/>
    <col min="10495" max="10495" width="3.5703125" style="64" customWidth="1"/>
    <col min="10496" max="10496" width="9.140625" style="64"/>
    <col min="10497" max="10497" width="38.42578125" style="64" bestFit="1" customWidth="1"/>
    <col min="10498" max="10499" width="15.5703125" style="64" customWidth="1"/>
    <col min="10500" max="10500" width="3.5703125" style="64" customWidth="1"/>
    <col min="10501" max="10501" width="16.5703125" style="64" bestFit="1" customWidth="1"/>
    <col min="10502" max="10502" width="9.42578125" style="64" bestFit="1" customWidth="1"/>
    <col min="10503" max="10503" width="3.5703125" style="64" customWidth="1"/>
    <col min="10504" max="10504" width="12.5703125" style="64" bestFit="1" customWidth="1"/>
    <col min="10505" max="10505" width="9.42578125" style="64" bestFit="1" customWidth="1"/>
    <col min="10506" max="10506" width="3.5703125" style="64" customWidth="1"/>
    <col min="10507" max="10507" width="22.42578125" style="64" customWidth="1"/>
    <col min="10508" max="10508" width="3.5703125" style="64" customWidth="1"/>
    <col min="10509" max="10509" width="50.5703125" style="64" customWidth="1"/>
    <col min="10510" max="10510" width="3.5703125" style="64" customWidth="1"/>
    <col min="10511" max="10512" width="9.140625" style="64"/>
    <col min="10513" max="10513" width="3.5703125" style="64" customWidth="1"/>
    <col min="10514" max="10750" width="9.140625" style="64"/>
    <col min="10751" max="10751" width="3.5703125" style="64" customWidth="1"/>
    <col min="10752" max="10752" width="9.140625" style="64"/>
    <col min="10753" max="10753" width="38.42578125" style="64" bestFit="1" customWidth="1"/>
    <col min="10754" max="10755" width="15.5703125" style="64" customWidth="1"/>
    <col min="10756" max="10756" width="3.5703125" style="64" customWidth="1"/>
    <col min="10757" max="10757" width="16.5703125" style="64" bestFit="1" customWidth="1"/>
    <col min="10758" max="10758" width="9.42578125" style="64" bestFit="1" customWidth="1"/>
    <col min="10759" max="10759" width="3.5703125" style="64" customWidth="1"/>
    <col min="10760" max="10760" width="12.5703125" style="64" bestFit="1" customWidth="1"/>
    <col min="10761" max="10761" width="9.42578125" style="64" bestFit="1" customWidth="1"/>
    <col min="10762" max="10762" width="3.5703125" style="64" customWidth="1"/>
    <col min="10763" max="10763" width="22.42578125" style="64" customWidth="1"/>
    <col min="10764" max="10764" width="3.5703125" style="64" customWidth="1"/>
    <col min="10765" max="10765" width="50.5703125" style="64" customWidth="1"/>
    <col min="10766" max="10766" width="3.5703125" style="64" customWidth="1"/>
    <col min="10767" max="10768" width="9.140625" style="64"/>
    <col min="10769" max="10769" width="3.5703125" style="64" customWidth="1"/>
    <col min="10770" max="11006" width="9.140625" style="64"/>
    <col min="11007" max="11007" width="3.5703125" style="64" customWidth="1"/>
    <col min="11008" max="11008" width="9.140625" style="64"/>
    <col min="11009" max="11009" width="38.42578125" style="64" bestFit="1" customWidth="1"/>
    <col min="11010" max="11011" width="15.5703125" style="64" customWidth="1"/>
    <col min="11012" max="11012" width="3.5703125" style="64" customWidth="1"/>
    <col min="11013" max="11013" width="16.5703125" style="64" bestFit="1" customWidth="1"/>
    <col min="11014" max="11014" width="9.42578125" style="64" bestFit="1" customWidth="1"/>
    <col min="11015" max="11015" width="3.5703125" style="64" customWidth="1"/>
    <col min="11016" max="11016" width="12.5703125" style="64" bestFit="1" customWidth="1"/>
    <col min="11017" max="11017" width="9.42578125" style="64" bestFit="1" customWidth="1"/>
    <col min="11018" max="11018" width="3.5703125" style="64" customWidth="1"/>
    <col min="11019" max="11019" width="22.42578125" style="64" customWidth="1"/>
    <col min="11020" max="11020" width="3.5703125" style="64" customWidth="1"/>
    <col min="11021" max="11021" width="50.5703125" style="64" customWidth="1"/>
    <col min="11022" max="11022" width="3.5703125" style="64" customWidth="1"/>
    <col min="11023" max="11024" width="9.140625" style="64"/>
    <col min="11025" max="11025" width="3.5703125" style="64" customWidth="1"/>
    <col min="11026" max="11262" width="9.140625" style="64"/>
    <col min="11263" max="11263" width="3.5703125" style="64" customWidth="1"/>
    <col min="11264" max="11264" width="9.140625" style="64"/>
    <col min="11265" max="11265" width="38.42578125" style="64" bestFit="1" customWidth="1"/>
    <col min="11266" max="11267" width="15.5703125" style="64" customWidth="1"/>
    <col min="11268" max="11268" width="3.5703125" style="64" customWidth="1"/>
    <col min="11269" max="11269" width="16.5703125" style="64" bestFit="1" customWidth="1"/>
    <col min="11270" max="11270" width="9.42578125" style="64" bestFit="1" customWidth="1"/>
    <col min="11271" max="11271" width="3.5703125" style="64" customWidth="1"/>
    <col min="11272" max="11272" width="12.5703125" style="64" bestFit="1" customWidth="1"/>
    <col min="11273" max="11273" width="9.42578125" style="64" bestFit="1" customWidth="1"/>
    <col min="11274" max="11274" width="3.5703125" style="64" customWidth="1"/>
    <col min="11275" max="11275" width="22.42578125" style="64" customWidth="1"/>
    <col min="11276" max="11276" width="3.5703125" style="64" customWidth="1"/>
    <col min="11277" max="11277" width="50.5703125" style="64" customWidth="1"/>
    <col min="11278" max="11278" width="3.5703125" style="64" customWidth="1"/>
    <col min="11279" max="11280" width="9.140625" style="64"/>
    <col min="11281" max="11281" width="3.5703125" style="64" customWidth="1"/>
    <col min="11282" max="11518" width="9.140625" style="64"/>
    <col min="11519" max="11519" width="3.5703125" style="64" customWidth="1"/>
    <col min="11520" max="11520" width="9.140625" style="64"/>
    <col min="11521" max="11521" width="38.42578125" style="64" bestFit="1" customWidth="1"/>
    <col min="11522" max="11523" width="15.5703125" style="64" customWidth="1"/>
    <col min="11524" max="11524" width="3.5703125" style="64" customWidth="1"/>
    <col min="11525" max="11525" width="16.5703125" style="64" bestFit="1" customWidth="1"/>
    <col min="11526" max="11526" width="9.42578125" style="64" bestFit="1" customWidth="1"/>
    <col min="11527" max="11527" width="3.5703125" style="64" customWidth="1"/>
    <col min="11528" max="11528" width="12.5703125" style="64" bestFit="1" customWidth="1"/>
    <col min="11529" max="11529" width="9.42578125" style="64" bestFit="1" customWidth="1"/>
    <col min="11530" max="11530" width="3.5703125" style="64" customWidth="1"/>
    <col min="11531" max="11531" width="22.42578125" style="64" customWidth="1"/>
    <col min="11532" max="11532" width="3.5703125" style="64" customWidth="1"/>
    <col min="11533" max="11533" width="50.5703125" style="64" customWidth="1"/>
    <col min="11534" max="11534" width="3.5703125" style="64" customWidth="1"/>
    <col min="11535" max="11536" width="9.140625" style="64"/>
    <col min="11537" max="11537" width="3.5703125" style="64" customWidth="1"/>
    <col min="11538" max="11774" width="9.140625" style="64"/>
    <col min="11775" max="11775" width="3.5703125" style="64" customWidth="1"/>
    <col min="11776" max="11776" width="9.140625" style="64"/>
    <col min="11777" max="11777" width="38.42578125" style="64" bestFit="1" customWidth="1"/>
    <col min="11778" max="11779" width="15.5703125" style="64" customWidth="1"/>
    <col min="11780" max="11780" width="3.5703125" style="64" customWidth="1"/>
    <col min="11781" max="11781" width="16.5703125" style="64" bestFit="1" customWidth="1"/>
    <col min="11782" max="11782" width="9.42578125" style="64" bestFit="1" customWidth="1"/>
    <col min="11783" max="11783" width="3.5703125" style="64" customWidth="1"/>
    <col min="11784" max="11784" width="12.5703125" style="64" bestFit="1" customWidth="1"/>
    <col min="11785" max="11785" width="9.42578125" style="64" bestFit="1" customWidth="1"/>
    <col min="11786" max="11786" width="3.5703125" style="64" customWidth="1"/>
    <col min="11787" max="11787" width="22.42578125" style="64" customWidth="1"/>
    <col min="11788" max="11788" width="3.5703125" style="64" customWidth="1"/>
    <col min="11789" max="11789" width="50.5703125" style="64" customWidth="1"/>
    <col min="11790" max="11790" width="3.5703125" style="64" customWidth="1"/>
    <col min="11791" max="11792" width="9.140625" style="64"/>
    <col min="11793" max="11793" width="3.5703125" style="64" customWidth="1"/>
    <col min="11794" max="12030" width="9.140625" style="64"/>
    <col min="12031" max="12031" width="3.5703125" style="64" customWidth="1"/>
    <col min="12032" max="12032" width="9.140625" style="64"/>
    <col min="12033" max="12033" width="38.42578125" style="64" bestFit="1" customWidth="1"/>
    <col min="12034" max="12035" width="15.5703125" style="64" customWidth="1"/>
    <col min="12036" max="12036" width="3.5703125" style="64" customWidth="1"/>
    <col min="12037" max="12037" width="16.5703125" style="64" bestFit="1" customWidth="1"/>
    <col min="12038" max="12038" width="9.42578125" style="64" bestFit="1" customWidth="1"/>
    <col min="12039" max="12039" width="3.5703125" style="64" customWidth="1"/>
    <col min="12040" max="12040" width="12.5703125" style="64" bestFit="1" customWidth="1"/>
    <col min="12041" max="12041" width="9.42578125" style="64" bestFit="1" customWidth="1"/>
    <col min="12042" max="12042" width="3.5703125" style="64" customWidth="1"/>
    <col min="12043" max="12043" width="22.42578125" style="64" customWidth="1"/>
    <col min="12044" max="12044" width="3.5703125" style="64" customWidth="1"/>
    <col min="12045" max="12045" width="50.5703125" style="64" customWidth="1"/>
    <col min="12046" max="12046" width="3.5703125" style="64" customWidth="1"/>
    <col min="12047" max="12048" width="9.140625" style="64"/>
    <col min="12049" max="12049" width="3.5703125" style="64" customWidth="1"/>
    <col min="12050" max="12286" width="9.140625" style="64"/>
    <col min="12287" max="12287" width="3.5703125" style="64" customWidth="1"/>
    <col min="12288" max="12288" width="9.140625" style="64"/>
    <col min="12289" max="12289" width="38.42578125" style="64" bestFit="1" customWidth="1"/>
    <col min="12290" max="12291" width="15.5703125" style="64" customWidth="1"/>
    <col min="12292" max="12292" width="3.5703125" style="64" customWidth="1"/>
    <col min="12293" max="12293" width="16.5703125" style="64" bestFit="1" customWidth="1"/>
    <col min="12294" max="12294" width="9.42578125" style="64" bestFit="1" customWidth="1"/>
    <col min="12295" max="12295" width="3.5703125" style="64" customWidth="1"/>
    <col min="12296" max="12296" width="12.5703125" style="64" bestFit="1" customWidth="1"/>
    <col min="12297" max="12297" width="9.42578125" style="64" bestFit="1" customWidth="1"/>
    <col min="12298" max="12298" width="3.5703125" style="64" customWidth="1"/>
    <col min="12299" max="12299" width="22.42578125" style="64" customWidth="1"/>
    <col min="12300" max="12300" width="3.5703125" style="64" customWidth="1"/>
    <col min="12301" max="12301" width="50.5703125" style="64" customWidth="1"/>
    <col min="12302" max="12302" width="3.5703125" style="64" customWidth="1"/>
    <col min="12303" max="12304" width="9.140625" style="64"/>
    <col min="12305" max="12305" width="3.5703125" style="64" customWidth="1"/>
    <col min="12306" max="12542" width="9.140625" style="64"/>
    <col min="12543" max="12543" width="3.5703125" style="64" customWidth="1"/>
    <col min="12544" max="12544" width="9.140625" style="64"/>
    <col min="12545" max="12545" width="38.42578125" style="64" bestFit="1" customWidth="1"/>
    <col min="12546" max="12547" width="15.5703125" style="64" customWidth="1"/>
    <col min="12548" max="12548" width="3.5703125" style="64" customWidth="1"/>
    <col min="12549" max="12549" width="16.5703125" style="64" bestFit="1" customWidth="1"/>
    <col min="12550" max="12550" width="9.42578125" style="64" bestFit="1" customWidth="1"/>
    <col min="12551" max="12551" width="3.5703125" style="64" customWidth="1"/>
    <col min="12552" max="12552" width="12.5703125" style="64" bestFit="1" customWidth="1"/>
    <col min="12553" max="12553" width="9.42578125" style="64" bestFit="1" customWidth="1"/>
    <col min="12554" max="12554" width="3.5703125" style="64" customWidth="1"/>
    <col min="12555" max="12555" width="22.42578125" style="64" customWidth="1"/>
    <col min="12556" max="12556" width="3.5703125" style="64" customWidth="1"/>
    <col min="12557" max="12557" width="50.5703125" style="64" customWidth="1"/>
    <col min="12558" max="12558" width="3.5703125" style="64" customWidth="1"/>
    <col min="12559" max="12560" width="9.140625" style="64"/>
    <col min="12561" max="12561" width="3.5703125" style="64" customWidth="1"/>
    <col min="12562" max="12798" width="9.140625" style="64"/>
    <col min="12799" max="12799" width="3.5703125" style="64" customWidth="1"/>
    <col min="12800" max="12800" width="9.140625" style="64"/>
    <col min="12801" max="12801" width="38.42578125" style="64" bestFit="1" customWidth="1"/>
    <col min="12802" max="12803" width="15.5703125" style="64" customWidth="1"/>
    <col min="12804" max="12804" width="3.5703125" style="64" customWidth="1"/>
    <col min="12805" max="12805" width="16.5703125" style="64" bestFit="1" customWidth="1"/>
    <col min="12806" max="12806" width="9.42578125" style="64" bestFit="1" customWidth="1"/>
    <col min="12807" max="12807" width="3.5703125" style="64" customWidth="1"/>
    <col min="12808" max="12808" width="12.5703125" style="64" bestFit="1" customWidth="1"/>
    <col min="12809" max="12809" width="9.42578125" style="64" bestFit="1" customWidth="1"/>
    <col min="12810" max="12810" width="3.5703125" style="64" customWidth="1"/>
    <col min="12811" max="12811" width="22.42578125" style="64" customWidth="1"/>
    <col min="12812" max="12812" width="3.5703125" style="64" customWidth="1"/>
    <col min="12813" max="12813" width="50.5703125" style="64" customWidth="1"/>
    <col min="12814" max="12814" width="3.5703125" style="64" customWidth="1"/>
    <col min="12815" max="12816" width="9.140625" style="64"/>
    <col min="12817" max="12817" width="3.5703125" style="64" customWidth="1"/>
    <col min="12818" max="13054" width="9.140625" style="64"/>
    <col min="13055" max="13055" width="3.5703125" style="64" customWidth="1"/>
    <col min="13056" max="13056" width="9.140625" style="64"/>
    <col min="13057" max="13057" width="38.42578125" style="64" bestFit="1" customWidth="1"/>
    <col min="13058" max="13059" width="15.5703125" style="64" customWidth="1"/>
    <col min="13060" max="13060" width="3.5703125" style="64" customWidth="1"/>
    <col min="13061" max="13061" width="16.5703125" style="64" bestFit="1" customWidth="1"/>
    <col min="13062" max="13062" width="9.42578125" style="64" bestFit="1" customWidth="1"/>
    <col min="13063" max="13063" width="3.5703125" style="64" customWidth="1"/>
    <col min="13064" max="13064" width="12.5703125" style="64" bestFit="1" customWidth="1"/>
    <col min="13065" max="13065" width="9.42578125" style="64" bestFit="1" customWidth="1"/>
    <col min="13066" max="13066" width="3.5703125" style="64" customWidth="1"/>
    <col min="13067" max="13067" width="22.42578125" style="64" customWidth="1"/>
    <col min="13068" max="13068" width="3.5703125" style="64" customWidth="1"/>
    <col min="13069" max="13069" width="50.5703125" style="64" customWidth="1"/>
    <col min="13070" max="13070" width="3.5703125" style="64" customWidth="1"/>
    <col min="13071" max="13072" width="9.140625" style="64"/>
    <col min="13073" max="13073" width="3.5703125" style="64" customWidth="1"/>
    <col min="13074" max="13310" width="9.140625" style="64"/>
    <col min="13311" max="13311" width="3.5703125" style="64" customWidth="1"/>
    <col min="13312" max="13312" width="9.140625" style="64"/>
    <col min="13313" max="13313" width="38.42578125" style="64" bestFit="1" customWidth="1"/>
    <col min="13314" max="13315" width="15.5703125" style="64" customWidth="1"/>
    <col min="13316" max="13316" width="3.5703125" style="64" customWidth="1"/>
    <col min="13317" max="13317" width="16.5703125" style="64" bestFit="1" customWidth="1"/>
    <col min="13318" max="13318" width="9.42578125" style="64" bestFit="1" customWidth="1"/>
    <col min="13319" max="13319" width="3.5703125" style="64" customWidth="1"/>
    <col min="13320" max="13320" width="12.5703125" style="64" bestFit="1" customWidth="1"/>
    <col min="13321" max="13321" width="9.42578125" style="64" bestFit="1" customWidth="1"/>
    <col min="13322" max="13322" width="3.5703125" style="64" customWidth="1"/>
    <col min="13323" max="13323" width="22.42578125" style="64" customWidth="1"/>
    <col min="13324" max="13324" width="3.5703125" style="64" customWidth="1"/>
    <col min="13325" max="13325" width="50.5703125" style="64" customWidth="1"/>
    <col min="13326" max="13326" width="3.5703125" style="64" customWidth="1"/>
    <col min="13327" max="13328" width="9.140625" style="64"/>
    <col min="13329" max="13329" width="3.5703125" style="64" customWidth="1"/>
    <col min="13330" max="13566" width="9.140625" style="64"/>
    <col min="13567" max="13567" width="3.5703125" style="64" customWidth="1"/>
    <col min="13568" max="13568" width="9.140625" style="64"/>
    <col min="13569" max="13569" width="38.42578125" style="64" bestFit="1" customWidth="1"/>
    <col min="13570" max="13571" width="15.5703125" style="64" customWidth="1"/>
    <col min="13572" max="13572" width="3.5703125" style="64" customWidth="1"/>
    <col min="13573" max="13573" width="16.5703125" style="64" bestFit="1" customWidth="1"/>
    <col min="13574" max="13574" width="9.42578125" style="64" bestFit="1" customWidth="1"/>
    <col min="13575" max="13575" width="3.5703125" style="64" customWidth="1"/>
    <col min="13576" max="13576" width="12.5703125" style="64" bestFit="1" customWidth="1"/>
    <col min="13577" max="13577" width="9.42578125" style="64" bestFit="1" customWidth="1"/>
    <col min="13578" max="13578" width="3.5703125" style="64" customWidth="1"/>
    <col min="13579" max="13579" width="22.42578125" style="64" customWidth="1"/>
    <col min="13580" max="13580" width="3.5703125" style="64" customWidth="1"/>
    <col min="13581" max="13581" width="50.5703125" style="64" customWidth="1"/>
    <col min="13582" max="13582" width="3.5703125" style="64" customWidth="1"/>
    <col min="13583" max="13584" width="9.140625" style="64"/>
    <col min="13585" max="13585" width="3.5703125" style="64" customWidth="1"/>
    <col min="13586" max="13822" width="9.140625" style="64"/>
    <col min="13823" max="13823" width="3.5703125" style="64" customWidth="1"/>
    <col min="13824" max="13824" width="9.140625" style="64"/>
    <col min="13825" max="13825" width="38.42578125" style="64" bestFit="1" customWidth="1"/>
    <col min="13826" max="13827" width="15.5703125" style="64" customWidth="1"/>
    <col min="13828" max="13828" width="3.5703125" style="64" customWidth="1"/>
    <col min="13829" max="13829" width="16.5703125" style="64" bestFit="1" customWidth="1"/>
    <col min="13830" max="13830" width="9.42578125" style="64" bestFit="1" customWidth="1"/>
    <col min="13831" max="13831" width="3.5703125" style="64" customWidth="1"/>
    <col min="13832" max="13832" width="12.5703125" style="64" bestFit="1" customWidth="1"/>
    <col min="13833" max="13833" width="9.42578125" style="64" bestFit="1" customWidth="1"/>
    <col min="13834" max="13834" width="3.5703125" style="64" customWidth="1"/>
    <col min="13835" max="13835" width="22.42578125" style="64" customWidth="1"/>
    <col min="13836" max="13836" width="3.5703125" style="64" customWidth="1"/>
    <col min="13837" max="13837" width="50.5703125" style="64" customWidth="1"/>
    <col min="13838" max="13838" width="3.5703125" style="64" customWidth="1"/>
    <col min="13839" max="13840" width="9.140625" style="64"/>
    <col min="13841" max="13841" width="3.5703125" style="64" customWidth="1"/>
    <col min="13842" max="14078" width="9.140625" style="64"/>
    <col min="14079" max="14079" width="3.5703125" style="64" customWidth="1"/>
    <col min="14080" max="14080" width="9.140625" style="64"/>
    <col min="14081" max="14081" width="38.42578125" style="64" bestFit="1" customWidth="1"/>
    <col min="14082" max="14083" width="15.5703125" style="64" customWidth="1"/>
    <col min="14084" max="14084" width="3.5703125" style="64" customWidth="1"/>
    <col min="14085" max="14085" width="16.5703125" style="64" bestFit="1" customWidth="1"/>
    <col min="14086" max="14086" width="9.42578125" style="64" bestFit="1" customWidth="1"/>
    <col min="14087" max="14087" width="3.5703125" style="64" customWidth="1"/>
    <col min="14088" max="14088" width="12.5703125" style="64" bestFit="1" customWidth="1"/>
    <col min="14089" max="14089" width="9.42578125" style="64" bestFit="1" customWidth="1"/>
    <col min="14090" max="14090" width="3.5703125" style="64" customWidth="1"/>
    <col min="14091" max="14091" width="22.42578125" style="64" customWidth="1"/>
    <col min="14092" max="14092" width="3.5703125" style="64" customWidth="1"/>
    <col min="14093" max="14093" width="50.5703125" style="64" customWidth="1"/>
    <col min="14094" max="14094" width="3.5703125" style="64" customWidth="1"/>
    <col min="14095" max="14096" width="9.140625" style="64"/>
    <col min="14097" max="14097" width="3.5703125" style="64" customWidth="1"/>
    <col min="14098" max="14334" width="9.140625" style="64"/>
    <col min="14335" max="14335" width="3.5703125" style="64" customWidth="1"/>
    <col min="14336" max="14336" width="9.140625" style="64"/>
    <col min="14337" max="14337" width="38.42578125" style="64" bestFit="1" customWidth="1"/>
    <col min="14338" max="14339" width="15.5703125" style="64" customWidth="1"/>
    <col min="14340" max="14340" width="3.5703125" style="64" customWidth="1"/>
    <col min="14341" max="14341" width="16.5703125" style="64" bestFit="1" customWidth="1"/>
    <col min="14342" max="14342" width="9.42578125" style="64" bestFit="1" customWidth="1"/>
    <col min="14343" max="14343" width="3.5703125" style="64" customWidth="1"/>
    <col min="14344" max="14344" width="12.5703125" style="64" bestFit="1" customWidth="1"/>
    <col min="14345" max="14345" width="9.42578125" style="64" bestFit="1" customWidth="1"/>
    <col min="14346" max="14346" width="3.5703125" style="64" customWidth="1"/>
    <col min="14347" max="14347" width="22.42578125" style="64" customWidth="1"/>
    <col min="14348" max="14348" width="3.5703125" style="64" customWidth="1"/>
    <col min="14349" max="14349" width="50.5703125" style="64" customWidth="1"/>
    <col min="14350" max="14350" width="3.5703125" style="64" customWidth="1"/>
    <col min="14351" max="14352" width="9.140625" style="64"/>
    <col min="14353" max="14353" width="3.5703125" style="64" customWidth="1"/>
    <col min="14354" max="14590" width="9.140625" style="64"/>
    <col min="14591" max="14591" width="3.5703125" style="64" customWidth="1"/>
    <col min="14592" max="14592" width="9.140625" style="64"/>
    <col min="14593" max="14593" width="38.42578125" style="64" bestFit="1" customWidth="1"/>
    <col min="14594" max="14595" width="15.5703125" style="64" customWidth="1"/>
    <col min="14596" max="14596" width="3.5703125" style="64" customWidth="1"/>
    <col min="14597" max="14597" width="16.5703125" style="64" bestFit="1" customWidth="1"/>
    <col min="14598" max="14598" width="9.42578125" style="64" bestFit="1" customWidth="1"/>
    <col min="14599" max="14599" width="3.5703125" style="64" customWidth="1"/>
    <col min="14600" max="14600" width="12.5703125" style="64" bestFit="1" customWidth="1"/>
    <col min="14601" max="14601" width="9.42578125" style="64" bestFit="1" customWidth="1"/>
    <col min="14602" max="14602" width="3.5703125" style="64" customWidth="1"/>
    <col min="14603" max="14603" width="22.42578125" style="64" customWidth="1"/>
    <col min="14604" max="14604" width="3.5703125" style="64" customWidth="1"/>
    <col min="14605" max="14605" width="50.5703125" style="64" customWidth="1"/>
    <col min="14606" max="14606" width="3.5703125" style="64" customWidth="1"/>
    <col min="14607" max="14608" width="9.140625" style="64"/>
    <col min="14609" max="14609" width="3.5703125" style="64" customWidth="1"/>
    <col min="14610" max="14846" width="9.140625" style="64"/>
    <col min="14847" max="14847" width="3.5703125" style="64" customWidth="1"/>
    <col min="14848" max="14848" width="9.140625" style="64"/>
    <col min="14849" max="14849" width="38.42578125" style="64" bestFit="1" customWidth="1"/>
    <col min="14850" max="14851" width="15.5703125" style="64" customWidth="1"/>
    <col min="14852" max="14852" width="3.5703125" style="64" customWidth="1"/>
    <col min="14853" max="14853" width="16.5703125" style="64" bestFit="1" customWidth="1"/>
    <col min="14854" max="14854" width="9.42578125" style="64" bestFit="1" customWidth="1"/>
    <col min="14855" max="14855" width="3.5703125" style="64" customWidth="1"/>
    <col min="14856" max="14856" width="12.5703125" style="64" bestFit="1" customWidth="1"/>
    <col min="14857" max="14857" width="9.42578125" style="64" bestFit="1" customWidth="1"/>
    <col min="14858" max="14858" width="3.5703125" style="64" customWidth="1"/>
    <col min="14859" max="14859" width="22.42578125" style="64" customWidth="1"/>
    <col min="14860" max="14860" width="3.5703125" style="64" customWidth="1"/>
    <col min="14861" max="14861" width="50.5703125" style="64" customWidth="1"/>
    <col min="14862" max="14862" width="3.5703125" style="64" customWidth="1"/>
    <col min="14863" max="14864" width="9.140625" style="64"/>
    <col min="14865" max="14865" width="3.5703125" style="64" customWidth="1"/>
    <col min="14866" max="15102" width="9.140625" style="64"/>
    <col min="15103" max="15103" width="3.5703125" style="64" customWidth="1"/>
    <col min="15104" max="15104" width="9.140625" style="64"/>
    <col min="15105" max="15105" width="38.42578125" style="64" bestFit="1" customWidth="1"/>
    <col min="15106" max="15107" width="15.5703125" style="64" customWidth="1"/>
    <col min="15108" max="15108" width="3.5703125" style="64" customWidth="1"/>
    <col min="15109" max="15109" width="16.5703125" style="64" bestFit="1" customWidth="1"/>
    <col min="15110" max="15110" width="9.42578125" style="64" bestFit="1" customWidth="1"/>
    <col min="15111" max="15111" width="3.5703125" style="64" customWidth="1"/>
    <col min="15112" max="15112" width="12.5703125" style="64" bestFit="1" customWidth="1"/>
    <col min="15113" max="15113" width="9.42578125" style="64" bestFit="1" customWidth="1"/>
    <col min="15114" max="15114" width="3.5703125" style="64" customWidth="1"/>
    <col min="15115" max="15115" width="22.42578125" style="64" customWidth="1"/>
    <col min="15116" max="15116" width="3.5703125" style="64" customWidth="1"/>
    <col min="15117" max="15117" width="50.5703125" style="64" customWidth="1"/>
    <col min="15118" max="15118" width="3.5703125" style="64" customWidth="1"/>
    <col min="15119" max="15120" width="9.140625" style="64"/>
    <col min="15121" max="15121" width="3.5703125" style="64" customWidth="1"/>
    <col min="15122" max="15358" width="9.140625" style="64"/>
    <col min="15359" max="15359" width="3.5703125" style="64" customWidth="1"/>
    <col min="15360" max="15360" width="9.140625" style="64"/>
    <col min="15361" max="15361" width="38.42578125" style="64" bestFit="1" customWidth="1"/>
    <col min="15362" max="15363" width="15.5703125" style="64" customWidth="1"/>
    <col min="15364" max="15364" width="3.5703125" style="64" customWidth="1"/>
    <col min="15365" max="15365" width="16.5703125" style="64" bestFit="1" customWidth="1"/>
    <col min="15366" max="15366" width="9.42578125" style="64" bestFit="1" customWidth="1"/>
    <col min="15367" max="15367" width="3.5703125" style="64" customWidth="1"/>
    <col min="15368" max="15368" width="12.5703125" style="64" bestFit="1" customWidth="1"/>
    <col min="15369" max="15369" width="9.42578125" style="64" bestFit="1" customWidth="1"/>
    <col min="15370" max="15370" width="3.5703125" style="64" customWidth="1"/>
    <col min="15371" max="15371" width="22.42578125" style="64" customWidth="1"/>
    <col min="15372" max="15372" width="3.5703125" style="64" customWidth="1"/>
    <col min="15373" max="15373" width="50.5703125" style="64" customWidth="1"/>
    <col min="15374" max="15374" width="3.5703125" style="64" customWidth="1"/>
    <col min="15375" max="15376" width="9.140625" style="64"/>
    <col min="15377" max="15377" width="3.5703125" style="64" customWidth="1"/>
    <col min="15378" max="15614" width="9.140625" style="64"/>
    <col min="15615" max="15615" width="3.5703125" style="64" customWidth="1"/>
    <col min="15616" max="15616" width="9.140625" style="64"/>
    <col min="15617" max="15617" width="38.42578125" style="64" bestFit="1" customWidth="1"/>
    <col min="15618" max="15619" width="15.5703125" style="64" customWidth="1"/>
    <col min="15620" max="15620" width="3.5703125" style="64" customWidth="1"/>
    <col min="15621" max="15621" width="16.5703125" style="64" bestFit="1" customWidth="1"/>
    <col min="15622" max="15622" width="9.42578125" style="64" bestFit="1" customWidth="1"/>
    <col min="15623" max="15623" width="3.5703125" style="64" customWidth="1"/>
    <col min="15624" max="15624" width="12.5703125" style="64" bestFit="1" customWidth="1"/>
    <col min="15625" max="15625" width="9.42578125" style="64" bestFit="1" customWidth="1"/>
    <col min="15626" max="15626" width="3.5703125" style="64" customWidth="1"/>
    <col min="15627" max="15627" width="22.42578125" style="64" customWidth="1"/>
    <col min="15628" max="15628" width="3.5703125" style="64" customWidth="1"/>
    <col min="15629" max="15629" width="50.5703125" style="64" customWidth="1"/>
    <col min="15630" max="15630" width="3.5703125" style="64" customWidth="1"/>
    <col min="15631" max="15632" width="9.140625" style="64"/>
    <col min="15633" max="15633" width="3.5703125" style="64" customWidth="1"/>
    <col min="15634" max="15870" width="9.140625" style="64"/>
    <col min="15871" max="15871" width="3.5703125" style="64" customWidth="1"/>
    <col min="15872" max="15872" width="9.140625" style="64"/>
    <col min="15873" max="15873" width="38.42578125" style="64" bestFit="1" customWidth="1"/>
    <col min="15874" max="15875" width="15.5703125" style="64" customWidth="1"/>
    <col min="15876" max="15876" width="3.5703125" style="64" customWidth="1"/>
    <col min="15877" max="15877" width="16.5703125" style="64" bestFit="1" customWidth="1"/>
    <col min="15878" max="15878" width="9.42578125" style="64" bestFit="1" customWidth="1"/>
    <col min="15879" max="15879" width="3.5703125" style="64" customWidth="1"/>
    <col min="15880" max="15880" width="12.5703125" style="64" bestFit="1" customWidth="1"/>
    <col min="15881" max="15881" width="9.42578125" style="64" bestFit="1" customWidth="1"/>
    <col min="15882" max="15882" width="3.5703125" style="64" customWidth="1"/>
    <col min="15883" max="15883" width="22.42578125" style="64" customWidth="1"/>
    <col min="15884" max="15884" width="3.5703125" style="64" customWidth="1"/>
    <col min="15885" max="15885" width="50.5703125" style="64" customWidth="1"/>
    <col min="15886" max="15886" width="3.5703125" style="64" customWidth="1"/>
    <col min="15887" max="15888" width="9.140625" style="64"/>
    <col min="15889" max="15889" width="3.5703125" style="64" customWidth="1"/>
    <col min="15890" max="16126" width="9.140625" style="64"/>
    <col min="16127" max="16127" width="3.5703125" style="64" customWidth="1"/>
    <col min="16128" max="16128" width="9.140625" style="64"/>
    <col min="16129" max="16129" width="38.42578125" style="64" bestFit="1" customWidth="1"/>
    <col min="16130" max="16131" width="15.5703125" style="64" customWidth="1"/>
    <col min="16132" max="16132" width="3.5703125" style="64" customWidth="1"/>
    <col min="16133" max="16133" width="16.5703125" style="64" bestFit="1" customWidth="1"/>
    <col min="16134" max="16134" width="9.42578125" style="64" bestFit="1" customWidth="1"/>
    <col min="16135" max="16135" width="3.5703125" style="64" customWidth="1"/>
    <col min="16136" max="16136" width="12.5703125" style="64" bestFit="1" customWidth="1"/>
    <col min="16137" max="16137" width="9.42578125" style="64" bestFit="1" customWidth="1"/>
    <col min="16138" max="16138" width="3.5703125" style="64" customWidth="1"/>
    <col min="16139" max="16139" width="22.42578125" style="64" customWidth="1"/>
    <col min="16140" max="16140" width="3.5703125" style="64" customWidth="1"/>
    <col min="16141" max="16141" width="50.5703125" style="64" customWidth="1"/>
    <col min="16142" max="16142" width="3.5703125" style="64" customWidth="1"/>
    <col min="16143" max="16144" width="9.140625" style="64"/>
    <col min="16145" max="16145" width="3.5703125" style="64" customWidth="1"/>
    <col min="16146" max="16383" width="9.140625" style="64"/>
    <col min="16384" max="16384" width="9.140625" style="64" customWidth="1"/>
  </cols>
  <sheetData>
    <row r="1" spans="1:72" s="6" customFormat="1" x14ac:dyDescent="0.2">
      <c r="A1" s="781"/>
      <c r="B1" s="782"/>
      <c r="C1" s="783"/>
      <c r="D1" s="782"/>
      <c r="E1" s="782"/>
      <c r="F1" s="782"/>
      <c r="G1" s="782"/>
      <c r="H1" s="782"/>
      <c r="I1" s="782"/>
      <c r="J1" s="782"/>
      <c r="K1" s="782"/>
      <c r="L1" s="782"/>
      <c r="M1" s="782"/>
      <c r="N1" s="784"/>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row>
    <row r="2" spans="1:72" s="6" customFormat="1" ht="15.75" x14ac:dyDescent="0.25">
      <c r="A2" s="911" t="s">
        <v>220</v>
      </c>
      <c r="B2" s="908"/>
      <c r="C2" s="908"/>
      <c r="D2" s="908"/>
      <c r="E2" s="908"/>
      <c r="F2" s="908"/>
      <c r="G2" s="908"/>
      <c r="H2" s="908"/>
      <c r="I2" s="908"/>
      <c r="J2" s="908"/>
      <c r="K2" s="908"/>
      <c r="L2" s="908"/>
      <c r="M2" s="908"/>
      <c r="N2" s="1044"/>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row>
    <row r="3" spans="1:72" s="6" customFormat="1" ht="15.75" x14ac:dyDescent="0.25">
      <c r="N3" s="785"/>
      <c r="O3" s="36"/>
      <c r="P3" s="36"/>
      <c r="Q3" s="36"/>
      <c r="R3" s="36"/>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row>
    <row r="4" spans="1:72" s="6" customFormat="1" ht="15.75" x14ac:dyDescent="0.25">
      <c r="A4" s="908" t="s">
        <v>221</v>
      </c>
      <c r="B4" s="908"/>
      <c r="C4" s="908"/>
      <c r="D4" s="908"/>
      <c r="E4" s="908"/>
      <c r="F4" s="908"/>
      <c r="G4" s="908"/>
      <c r="H4" s="908"/>
      <c r="I4" s="908"/>
      <c r="J4" s="908"/>
      <c r="K4" s="908"/>
      <c r="L4" s="908"/>
      <c r="M4" s="908"/>
      <c r="N4" s="1044"/>
      <c r="O4" s="36"/>
      <c r="P4" s="36"/>
      <c r="Q4" s="36"/>
      <c r="R4" s="36"/>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row>
    <row r="5" spans="1:72" s="6" customFormat="1" ht="15.75" x14ac:dyDescent="0.25">
      <c r="A5" s="786"/>
      <c r="B5" s="787"/>
      <c r="C5" s="788"/>
      <c r="N5" s="785"/>
      <c r="P5" s="36"/>
      <c r="Q5" s="36"/>
      <c r="R5" s="36"/>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row>
    <row r="6" spans="1:72" s="35" customFormat="1" ht="15.75" x14ac:dyDescent="0.25">
      <c r="A6" s="911" t="s">
        <v>222</v>
      </c>
      <c r="B6" s="908"/>
      <c r="C6" s="908"/>
      <c r="D6" s="908"/>
      <c r="E6" s="908"/>
      <c r="F6" s="908"/>
      <c r="G6" s="908"/>
      <c r="H6" s="908"/>
      <c r="I6" s="908"/>
      <c r="J6" s="908"/>
      <c r="K6" s="908"/>
      <c r="L6" s="908"/>
      <c r="M6" s="908"/>
      <c r="N6" s="1044"/>
    </row>
    <row r="7" spans="1:72" s="35" customFormat="1" ht="15.75" x14ac:dyDescent="0.25">
      <c r="A7" s="789"/>
      <c r="B7" s="790"/>
      <c r="C7" s="790"/>
      <c r="D7" s="790"/>
      <c r="E7" s="790"/>
      <c r="F7" s="790"/>
      <c r="G7" s="790"/>
      <c r="H7" s="790"/>
      <c r="I7" s="790"/>
      <c r="J7" s="790"/>
      <c r="K7" s="790"/>
      <c r="L7" s="790"/>
      <c r="M7" s="790"/>
      <c r="N7" s="699"/>
    </row>
    <row r="8" spans="1:72" s="35" customFormat="1" ht="15.75" x14ac:dyDescent="0.25">
      <c r="A8" s="789"/>
      <c r="B8" s="791" t="str">
        <f>CONCATENATE("Local Authority: ",CTR1_Billing!E20)</f>
        <v>Local Authority: ZZZZ</v>
      </c>
      <c r="C8" s="792"/>
      <c r="D8" s="793"/>
      <c r="E8" s="793"/>
      <c r="F8" s="794"/>
      <c r="G8" s="794"/>
      <c r="H8" s="794"/>
      <c r="I8" s="794"/>
      <c r="J8" s="794"/>
      <c r="K8" s="794"/>
      <c r="L8" s="794"/>
      <c r="M8" s="794"/>
      <c r="N8" s="785"/>
    </row>
    <row r="9" spans="1:72" s="35" customFormat="1" x14ac:dyDescent="0.2">
      <c r="A9" s="789"/>
      <c r="B9" s="6" t="str">
        <f>CONCATENATE("E-code: ",CTR1_Billing!E21)</f>
        <v>E-code: EZZZZ</v>
      </c>
      <c r="C9" s="792"/>
      <c r="D9" s="793"/>
      <c r="E9" s="793"/>
      <c r="F9" s="794"/>
      <c r="G9" s="794"/>
      <c r="H9" s="794"/>
      <c r="I9" s="794"/>
      <c r="J9" s="794"/>
      <c r="K9" s="794"/>
      <c r="L9" s="794"/>
      <c r="M9" s="794"/>
      <c r="N9" s="785"/>
    </row>
    <row r="10" spans="1:72" s="35" customFormat="1" ht="8.25" customHeight="1" thickBot="1" x14ac:dyDescent="0.3">
      <c r="A10" s="795"/>
      <c r="B10" s="796"/>
      <c r="C10" s="797"/>
      <c r="D10" s="798"/>
      <c r="E10" s="798"/>
      <c r="F10" s="799"/>
      <c r="G10" s="799"/>
      <c r="H10" s="799"/>
      <c r="I10" s="799"/>
      <c r="J10" s="799"/>
      <c r="K10" s="799"/>
      <c r="L10" s="799"/>
      <c r="M10" s="799"/>
      <c r="N10" s="800"/>
    </row>
    <row r="11" spans="1:72" s="35" customFormat="1" x14ac:dyDescent="0.2">
      <c r="A11" s="37"/>
      <c r="N11" s="39"/>
    </row>
    <row r="12" spans="1:72" s="59" customFormat="1" ht="15.75" x14ac:dyDescent="0.25">
      <c r="A12" s="58"/>
      <c r="B12" s="100"/>
      <c r="C12" s="77"/>
      <c r="M12" s="60"/>
      <c r="N12" s="61"/>
      <c r="Q12" s="62"/>
      <c r="R12" s="63"/>
    </row>
    <row r="13" spans="1:72" s="59" customFormat="1" ht="15.75" x14ac:dyDescent="0.25">
      <c r="A13" s="58"/>
      <c r="C13" s="101"/>
      <c r="K13" s="1052" t="s">
        <v>223</v>
      </c>
      <c r="M13" s="60"/>
      <c r="N13" s="61"/>
      <c r="Q13" s="62"/>
      <c r="R13" s="63"/>
      <c r="BB13" s="64"/>
      <c r="BC13" s="64"/>
      <c r="BD13" s="64"/>
      <c r="BE13" s="64"/>
      <c r="BF13" s="64"/>
      <c r="BG13" s="64"/>
      <c r="BH13" s="64"/>
      <c r="BI13" s="64"/>
      <c r="BJ13" s="64"/>
      <c r="BK13" s="64"/>
      <c r="BL13" s="64"/>
      <c r="BM13" s="64"/>
      <c r="BN13" s="64"/>
      <c r="BO13" s="64"/>
      <c r="BP13" s="64"/>
      <c r="BQ13" s="64"/>
      <c r="BR13" s="64"/>
      <c r="BS13" s="64"/>
      <c r="BT13" s="64"/>
    </row>
    <row r="14" spans="1:72" s="59" customFormat="1" ht="15.75" customHeight="1" x14ac:dyDescent="0.25">
      <c r="A14" s="58"/>
      <c r="C14" s="77"/>
      <c r="D14" s="1050"/>
      <c r="E14" s="1050"/>
      <c r="F14" s="1050"/>
      <c r="G14" s="60"/>
      <c r="H14" s="1053" t="s">
        <v>224</v>
      </c>
      <c r="I14" s="1053"/>
      <c r="J14" s="60"/>
      <c r="K14" s="1052"/>
      <c r="L14" s="102"/>
      <c r="M14" s="60"/>
      <c r="N14" s="61"/>
      <c r="Q14" s="62"/>
      <c r="R14" s="63"/>
      <c r="BB14" s="64"/>
      <c r="BC14" s="64"/>
      <c r="BD14" s="64"/>
      <c r="BE14" s="64"/>
      <c r="BF14" s="64"/>
      <c r="BG14" s="64"/>
      <c r="BH14" s="64"/>
      <c r="BI14" s="64"/>
      <c r="BJ14" s="64"/>
      <c r="BK14" s="64"/>
      <c r="BL14" s="64"/>
      <c r="BM14" s="64"/>
      <c r="BN14" s="64"/>
      <c r="BO14" s="64"/>
      <c r="BP14" s="64"/>
      <c r="BQ14" s="64"/>
      <c r="BR14" s="64"/>
      <c r="BS14" s="64"/>
      <c r="BT14" s="64"/>
    </row>
    <row r="15" spans="1:72" s="77" customFormat="1" ht="15.75" x14ac:dyDescent="0.25">
      <c r="A15" s="103"/>
      <c r="B15" s="157" t="s">
        <v>225</v>
      </c>
      <c r="C15" s="104"/>
      <c r="D15" s="105" t="s">
        <v>226</v>
      </c>
      <c r="E15" s="105"/>
      <c r="F15" s="105" t="s">
        <v>227</v>
      </c>
      <c r="H15" s="106" t="s">
        <v>228</v>
      </c>
      <c r="I15" s="106" t="s">
        <v>122</v>
      </c>
      <c r="J15" s="106"/>
      <c r="K15" s="1052"/>
      <c r="L15" s="107"/>
      <c r="M15" s="108"/>
      <c r="N15" s="83"/>
      <c r="Q15" s="84"/>
      <c r="R15" s="85"/>
      <c r="S15" s="85"/>
      <c r="T15" s="85"/>
      <c r="U15" s="85"/>
      <c r="V15" s="85"/>
      <c r="W15" s="85"/>
      <c r="X15" s="85"/>
      <c r="BB15" s="86"/>
      <c r="BC15" s="86"/>
      <c r="BD15" s="86"/>
      <c r="BE15" s="86"/>
      <c r="BF15" s="86"/>
      <c r="BG15" s="86"/>
      <c r="BH15" s="86"/>
      <c r="BI15" s="86"/>
      <c r="BJ15" s="86"/>
      <c r="BK15" s="86"/>
      <c r="BL15" s="86"/>
      <c r="BM15" s="86"/>
      <c r="BN15" s="86"/>
      <c r="BO15" s="86"/>
      <c r="BP15" s="86"/>
      <c r="BQ15" s="86"/>
      <c r="BR15" s="86"/>
      <c r="BS15" s="86"/>
      <c r="BT15" s="86"/>
    </row>
    <row r="16" spans="1:72" s="75" customFormat="1" ht="21" customHeight="1" x14ac:dyDescent="0.2">
      <c r="A16" s="506"/>
      <c r="B16" s="158">
        <v>1</v>
      </c>
      <c r="C16" s="213" t="s">
        <v>229</v>
      </c>
      <c r="D16" s="214">
        <f>VLOOKUP(CTR1_Billing!$E$21,Data!$C$6:$AJ$400,7,0)</f>
        <v>0</v>
      </c>
      <c r="E16" s="215"/>
      <c r="F16" s="216">
        <f>CTR1_Billing!$H$32</f>
        <v>0</v>
      </c>
      <c r="G16" s="217"/>
      <c r="H16" s="216">
        <f>ABS($D$16-$F$16)</f>
        <v>0</v>
      </c>
      <c r="I16" s="219">
        <f>IF(AND(D16=0,F16=0),0,IF(AND(D16=0,F16&lt;&gt;0),1,H16/D16))</f>
        <v>0</v>
      </c>
      <c r="J16" s="217"/>
      <c r="K16" s="217">
        <v>0.1</v>
      </c>
      <c r="L16" s="212"/>
      <c r="M16" s="122" t="str">
        <f>IF($I$16&gt;$K$16,"Please provide a comment in DELTA","OK")</f>
        <v>OK</v>
      </c>
      <c r="N16" s="801" t="str">
        <f>+IF(P16+Q16=2,"!","")</f>
        <v/>
      </c>
      <c r="R16" s="87"/>
      <c r="S16" s="87"/>
      <c r="T16" s="87"/>
      <c r="U16" s="87"/>
      <c r="V16" s="87"/>
      <c r="W16" s="87"/>
      <c r="X16" s="87"/>
      <c r="BB16" s="76"/>
      <c r="BC16" s="76"/>
      <c r="BD16" s="76"/>
      <c r="BE16" s="76"/>
      <c r="BF16" s="76"/>
      <c r="BG16" s="76"/>
      <c r="BH16" s="76"/>
      <c r="BI16" s="76"/>
      <c r="BJ16" s="76"/>
      <c r="BK16" s="76"/>
      <c r="BL16" s="76"/>
      <c r="BM16" s="76"/>
      <c r="BN16" s="76"/>
      <c r="BO16" s="76"/>
      <c r="BP16" s="76"/>
      <c r="BQ16" s="76"/>
      <c r="BR16" s="76"/>
      <c r="BS16" s="76"/>
      <c r="BT16" s="76"/>
    </row>
    <row r="17" spans="1:72" s="75" customFormat="1" ht="21" customHeight="1" x14ac:dyDescent="0.2">
      <c r="A17" s="506"/>
      <c r="B17" s="158">
        <v>2</v>
      </c>
      <c r="C17" s="213" t="s">
        <v>230</v>
      </c>
      <c r="D17" s="214">
        <f>VLOOKUP(CTR1_Billing!$E$21,Data!$C$6:$AJ$400,9,0)</f>
        <v>0</v>
      </c>
      <c r="E17" s="215"/>
      <c r="F17" s="216">
        <f>CTR1_Billing!$H$36</f>
        <v>0</v>
      </c>
      <c r="G17" s="217"/>
      <c r="H17" s="216">
        <f>ABS($D$17-$F$17)</f>
        <v>0</v>
      </c>
      <c r="I17" s="219">
        <f t="shared" ref="I17:I19" si="0">IF(AND(D17=0,F17=0),0,IF(AND(D17=0,F17&lt;&gt;0),1,H17/D17))</f>
        <v>0</v>
      </c>
      <c r="J17" s="217"/>
      <c r="K17" s="217">
        <v>0.1</v>
      </c>
      <c r="L17" s="212"/>
      <c r="M17" s="122" t="str">
        <f>IF($I$17&gt;$K$17,"Please provide a comment in DELTA","OK")</f>
        <v>OK</v>
      </c>
      <c r="N17" s="802"/>
      <c r="Q17" s="62"/>
      <c r="R17" s="87"/>
      <c r="S17" s="87"/>
      <c r="T17" s="87"/>
      <c r="U17" s="87"/>
      <c r="V17" s="87"/>
      <c r="W17" s="87"/>
      <c r="X17" s="87"/>
      <c r="BB17" s="76"/>
      <c r="BC17" s="76"/>
      <c r="BD17" s="76"/>
      <c r="BE17" s="76"/>
      <c r="BF17" s="76"/>
      <c r="BG17" s="76"/>
      <c r="BH17" s="76"/>
      <c r="BI17" s="76"/>
      <c r="BJ17" s="76"/>
      <c r="BK17" s="76"/>
      <c r="BL17" s="76"/>
      <c r="BM17" s="76"/>
      <c r="BN17" s="76"/>
      <c r="BO17" s="76"/>
      <c r="BP17" s="76"/>
      <c r="BQ17" s="76"/>
      <c r="BR17" s="76"/>
      <c r="BS17" s="76"/>
      <c r="BT17" s="76"/>
    </row>
    <row r="18" spans="1:72" s="75" customFormat="1" ht="21" customHeight="1" x14ac:dyDescent="0.2">
      <c r="A18" s="506"/>
      <c r="B18" s="158">
        <v>3</v>
      </c>
      <c r="C18" s="213" t="s">
        <v>231</v>
      </c>
      <c r="D18" s="347">
        <f>VLOOKUP(CTR1_Billing!$E$21,Data!$C$6:$AJ$400,11,0)</f>
        <v>0</v>
      </c>
      <c r="E18" s="217"/>
      <c r="F18" s="231">
        <f>CTR1_Billing!$H$42</f>
        <v>0</v>
      </c>
      <c r="G18" s="217"/>
      <c r="H18" s="226">
        <f>ABS($D$18*100-$F$18*100)</f>
        <v>0</v>
      </c>
      <c r="I18" s="219" t="s">
        <v>232</v>
      </c>
      <c r="J18" s="217"/>
      <c r="K18" s="268">
        <v>0.5</v>
      </c>
      <c r="L18" s="212"/>
      <c r="M18" s="122" t="str">
        <f>IF($H$18&gt;$K$18,"Please provide a comment in DELTA","OK")</f>
        <v>OK</v>
      </c>
      <c r="N18" s="802"/>
      <c r="Q18" s="62"/>
      <c r="R18" s="87"/>
      <c r="S18" s="87"/>
      <c r="T18" s="87"/>
      <c r="U18" s="87"/>
      <c r="V18" s="87"/>
      <c r="W18" s="87"/>
      <c r="X18" s="87"/>
      <c r="BB18" s="76"/>
      <c r="BC18" s="76"/>
      <c r="BD18" s="76"/>
      <c r="BE18" s="76"/>
      <c r="BF18" s="76"/>
      <c r="BG18" s="76"/>
      <c r="BH18" s="76"/>
      <c r="BI18" s="76"/>
      <c r="BJ18" s="76"/>
      <c r="BK18" s="76"/>
      <c r="BL18" s="76"/>
      <c r="BM18" s="76"/>
      <c r="BN18" s="76"/>
      <c r="BO18" s="76"/>
      <c r="BP18" s="76"/>
      <c r="BQ18" s="76"/>
      <c r="BR18" s="76"/>
      <c r="BS18" s="76"/>
      <c r="BT18" s="76"/>
    </row>
    <row r="19" spans="1:72" s="76" customFormat="1" ht="21" customHeight="1" x14ac:dyDescent="0.2">
      <c r="A19" s="506"/>
      <c r="B19" s="159">
        <v>4</v>
      </c>
      <c r="C19" s="221" t="s">
        <v>233</v>
      </c>
      <c r="D19" s="509">
        <f>VLOOKUP(CTR1_Billing!$E$21,Data!$C$6:$AJ$400,21,0)</f>
        <v>0</v>
      </c>
      <c r="E19" s="222"/>
      <c r="F19" s="220">
        <f>CTR1_Billing!$H$46</f>
        <v>0</v>
      </c>
      <c r="G19" s="223"/>
      <c r="H19" s="228">
        <f>$F$19-$D$19</f>
        <v>0</v>
      </c>
      <c r="I19" s="219">
        <f t="shared" si="0"/>
        <v>0</v>
      </c>
      <c r="J19" s="223"/>
      <c r="K19" s="219">
        <v>2.5000000000000001E-2</v>
      </c>
      <c r="L19" s="269">
        <v>-5.0000000000000001E-3</v>
      </c>
      <c r="M19" s="122" t="str">
        <f>IF(OR($I$19&gt;$K$19,$I$19&lt;$L$19),"Please provide a comment in DELTA","OK")</f>
        <v>OK</v>
      </c>
      <c r="N19" s="802"/>
      <c r="O19" s="75"/>
      <c r="P19" s="75"/>
      <c r="Q19" s="62"/>
      <c r="R19" s="87"/>
      <c r="S19" s="87"/>
      <c r="T19" s="87"/>
      <c r="U19" s="87"/>
      <c r="V19" s="87"/>
      <c r="W19" s="87"/>
      <c r="X19" s="87"/>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row>
    <row r="20" spans="1:72" s="75" customFormat="1" ht="21" customHeight="1" x14ac:dyDescent="0.2">
      <c r="A20" s="109"/>
      <c r="B20" s="115"/>
      <c r="C20" s="110"/>
      <c r="D20" s="111"/>
      <c r="E20" s="111"/>
      <c r="F20" s="90"/>
      <c r="G20" s="112"/>
      <c r="H20" s="112"/>
      <c r="I20" s="113"/>
      <c r="J20" s="112"/>
      <c r="K20" s="112"/>
      <c r="L20" s="114"/>
      <c r="M20" s="116"/>
      <c r="N20" s="74"/>
      <c r="Q20" s="62"/>
      <c r="R20" s="87"/>
      <c r="S20" s="87"/>
      <c r="T20" s="87"/>
      <c r="U20" s="87"/>
      <c r="V20" s="87"/>
      <c r="W20" s="87"/>
      <c r="X20" s="87"/>
      <c r="BB20" s="76"/>
      <c r="BC20" s="76"/>
      <c r="BD20" s="76"/>
      <c r="BE20" s="76"/>
      <c r="BF20" s="76"/>
      <c r="BG20" s="76"/>
      <c r="BH20" s="76"/>
      <c r="BI20" s="76"/>
      <c r="BJ20" s="76"/>
      <c r="BK20" s="76"/>
      <c r="BL20" s="76"/>
      <c r="BM20" s="76"/>
      <c r="BN20" s="76"/>
      <c r="BO20" s="76"/>
      <c r="BP20" s="76"/>
      <c r="BQ20" s="76"/>
      <c r="BR20" s="76"/>
      <c r="BS20" s="76"/>
      <c r="BT20" s="76"/>
    </row>
    <row r="21" spans="1:72" s="90" customFormat="1" ht="32.25" customHeight="1" x14ac:dyDescent="0.25">
      <c r="A21" s="117"/>
      <c r="B21" s="118"/>
      <c r="C21" s="119"/>
      <c r="D21" s="106" t="s">
        <v>234</v>
      </c>
      <c r="E21" s="120"/>
      <c r="F21" s="211" t="s">
        <v>235</v>
      </c>
      <c r="H21" s="1054" t="s">
        <v>224</v>
      </c>
      <c r="I21" s="1054"/>
      <c r="J21" s="120"/>
      <c r="K21" s="92" t="s">
        <v>236</v>
      </c>
      <c r="L21" s="120"/>
      <c r="M21" s="121"/>
      <c r="N21" s="93"/>
      <c r="O21" s="75"/>
      <c r="R21" s="94"/>
      <c r="S21" s="94"/>
      <c r="T21" s="94"/>
      <c r="U21" s="94"/>
      <c r="V21" s="94"/>
      <c r="W21" s="94"/>
      <c r="X21" s="94"/>
      <c r="BB21" s="95"/>
      <c r="BC21" s="95"/>
      <c r="BD21" s="95"/>
      <c r="BE21" s="95"/>
      <c r="BF21" s="95"/>
      <c r="BG21" s="95"/>
      <c r="BH21" s="95"/>
      <c r="BI21" s="95"/>
      <c r="BJ21" s="95"/>
      <c r="BK21" s="95"/>
      <c r="BL21" s="95"/>
      <c r="BM21" s="95"/>
      <c r="BN21" s="95"/>
      <c r="BO21" s="95"/>
      <c r="BP21" s="95"/>
      <c r="BQ21" s="95"/>
      <c r="BR21" s="95"/>
      <c r="BS21" s="95"/>
      <c r="BT21" s="95"/>
    </row>
    <row r="22" spans="1:72" s="75" customFormat="1" ht="21" customHeight="1" x14ac:dyDescent="0.2">
      <c r="A22" s="506"/>
      <c r="B22" s="188">
        <f>B19+1</f>
        <v>5</v>
      </c>
      <c r="C22" s="221" t="str">
        <f>IF(CTR1_Billing!L72=1,"Not applicable to this authority","Check Average council tax (including local precepts) (Line 8) has been calculated correctly")</f>
        <v>Check Average council tax (including local precepts) (Line 8) has been calculated correctly</v>
      </c>
      <c r="D22" s="224" t="str">
        <f>CTR1_Billing!$H$50</f>
        <v/>
      </c>
      <c r="E22" s="224"/>
      <c r="F22" s="224" t="e">
        <f>IF(CTR1_Billing!$L$72=1,0,ROUND((CTR1_Billing!$H$27)/(CTR1_Billing!$H$46),2))</f>
        <v>#DIV/0!</v>
      </c>
      <c r="G22" s="217"/>
      <c r="H22" s="1055" t="e">
        <f>$D$22-$F$22</f>
        <v>#VALUE!</v>
      </c>
      <c r="I22" s="1055"/>
      <c r="J22" s="217"/>
      <c r="K22" s="218">
        <v>0</v>
      </c>
      <c r="L22" s="212"/>
      <c r="M22" s="122" t="e">
        <f>IF($H$22=$K$22,"OK","Please check")</f>
        <v>#VALUE!</v>
      </c>
      <c r="N22" s="802"/>
      <c r="P22" s="89"/>
      <c r="Q22" s="89"/>
      <c r="R22" s="87"/>
      <c r="S22" s="87"/>
      <c r="T22" s="87"/>
      <c r="U22" s="87"/>
      <c r="V22" s="87"/>
      <c r="W22" s="87"/>
      <c r="X22" s="87"/>
      <c r="BB22" s="76"/>
      <c r="BC22" s="76"/>
      <c r="BD22" s="76"/>
      <c r="BE22" s="76"/>
      <c r="BF22" s="76"/>
      <c r="BG22" s="76"/>
      <c r="BH22" s="76"/>
      <c r="BI22" s="76"/>
      <c r="BJ22" s="76"/>
      <c r="BK22" s="76"/>
      <c r="BL22" s="76"/>
      <c r="BM22" s="76"/>
      <c r="BN22" s="76"/>
      <c r="BO22" s="76"/>
      <c r="BP22" s="76"/>
      <c r="BQ22" s="76"/>
      <c r="BR22" s="76"/>
      <c r="BS22" s="76"/>
      <c r="BT22" s="76"/>
    </row>
    <row r="23" spans="1:72" s="75" customFormat="1" ht="21" customHeight="1" x14ac:dyDescent="0.2">
      <c r="A23" s="109"/>
      <c r="B23" s="115"/>
      <c r="C23" s="110"/>
      <c r="D23" s="111"/>
      <c r="E23" s="111"/>
      <c r="F23" s="111"/>
      <c r="G23" s="112"/>
      <c r="H23" s="112"/>
      <c r="I23" s="113"/>
      <c r="J23" s="112"/>
      <c r="K23" s="112"/>
      <c r="L23" s="114"/>
      <c r="M23" s="123"/>
      <c r="N23" s="74"/>
      <c r="R23" s="87"/>
      <c r="S23" s="87"/>
      <c r="T23" s="87"/>
      <c r="U23" s="87"/>
      <c r="V23" s="87"/>
      <c r="W23" s="87"/>
      <c r="X23" s="87"/>
      <c r="BB23" s="76"/>
      <c r="BC23" s="76"/>
      <c r="BD23" s="76"/>
      <c r="BE23" s="76"/>
      <c r="BF23" s="76"/>
      <c r="BG23" s="76"/>
      <c r="BH23" s="76"/>
      <c r="BI23" s="76"/>
      <c r="BJ23" s="76"/>
      <c r="BK23" s="76"/>
      <c r="BL23" s="76"/>
      <c r="BM23" s="76"/>
      <c r="BN23" s="76"/>
      <c r="BO23" s="76"/>
      <c r="BP23" s="76"/>
      <c r="BQ23" s="76"/>
      <c r="BR23" s="76"/>
      <c r="BS23" s="76"/>
      <c r="BT23" s="76"/>
    </row>
    <row r="24" spans="1:72" s="90" customFormat="1" ht="33" customHeight="1" x14ac:dyDescent="0.25">
      <c r="A24" s="117"/>
      <c r="B24" s="118"/>
      <c r="C24" s="119"/>
      <c r="D24" s="105" t="s">
        <v>237</v>
      </c>
      <c r="E24" s="124"/>
      <c r="F24" s="105" t="s">
        <v>238</v>
      </c>
      <c r="G24" s="125"/>
      <c r="H24" s="1054" t="s">
        <v>224</v>
      </c>
      <c r="I24" s="1054"/>
      <c r="J24" s="120"/>
      <c r="K24" s="92" t="s">
        <v>236</v>
      </c>
      <c r="L24" s="126"/>
      <c r="M24" s="127"/>
      <c r="N24" s="93"/>
      <c r="O24" s="75"/>
      <c r="R24" s="94"/>
      <c r="S24" s="94"/>
      <c r="T24" s="94"/>
      <c r="U24" s="94"/>
      <c r="V24" s="94"/>
      <c r="W24" s="94"/>
      <c r="X24" s="94"/>
      <c r="BB24" s="95"/>
      <c r="BC24" s="95"/>
      <c r="BD24" s="95"/>
      <c r="BE24" s="95"/>
      <c r="BF24" s="95"/>
      <c r="BG24" s="95"/>
      <c r="BH24" s="95"/>
      <c r="BI24" s="95"/>
      <c r="BJ24" s="95"/>
      <c r="BK24" s="95"/>
      <c r="BL24" s="95"/>
      <c r="BM24" s="95"/>
      <c r="BN24" s="95"/>
      <c r="BO24" s="95"/>
      <c r="BP24" s="95"/>
      <c r="BQ24" s="95"/>
      <c r="BR24" s="95"/>
      <c r="BS24" s="95"/>
      <c r="BT24" s="95"/>
    </row>
    <row r="25" spans="1:72" s="75" customFormat="1" ht="21" customHeight="1" x14ac:dyDescent="0.2">
      <c r="A25" s="506"/>
      <c r="B25" s="188">
        <f>B22+1</f>
        <v>6</v>
      </c>
      <c r="C25" s="221" t="str">
        <f>IF(CTR1_Billing!L72=1,"Not applicable to this authority","Check Average council tax (excluding local precepts) (Line 9) has been calculated correctly")</f>
        <v>Check Average council tax (excluding local precepts) (Line 9) has been calculated correctly</v>
      </c>
      <c r="D25" s="225" t="str">
        <f>CTR1_Billing!$H$55</f>
        <v/>
      </c>
      <c r="E25" s="225"/>
      <c r="F25" s="225" t="e">
        <f>IF(CTR1_Billing!$L$72=1,0,ROUND((CTR1_Billing!$H$34)/(CTR1_Billing!$H$46),2))</f>
        <v>#DIV/0!</v>
      </c>
      <c r="G25" s="217"/>
      <c r="H25" s="1055" t="e">
        <f>$D$25-$F$25</f>
        <v>#VALUE!</v>
      </c>
      <c r="I25" s="1055"/>
      <c r="J25" s="217"/>
      <c r="K25" s="218">
        <v>0</v>
      </c>
      <c r="L25" s="212"/>
      <c r="M25" s="122" t="e">
        <f>IF($H$25=$K$25,"OK","Please check")</f>
        <v>#VALUE!</v>
      </c>
      <c r="N25" s="802"/>
      <c r="R25" s="87"/>
      <c r="S25" s="87"/>
      <c r="T25" s="87"/>
      <c r="U25" s="87"/>
      <c r="V25" s="87"/>
      <c r="W25" s="87"/>
      <c r="X25" s="87"/>
      <c r="BB25" s="76"/>
      <c r="BC25" s="76"/>
      <c r="BD25" s="76"/>
      <c r="BE25" s="76"/>
      <c r="BF25" s="76"/>
      <c r="BG25" s="76"/>
      <c r="BH25" s="76"/>
      <c r="BI25" s="76"/>
      <c r="BJ25" s="76"/>
      <c r="BK25" s="76"/>
      <c r="BL25" s="76"/>
      <c r="BM25" s="76"/>
      <c r="BN25" s="76"/>
      <c r="BO25" s="76"/>
      <c r="BP25" s="76"/>
      <c r="BQ25" s="76"/>
      <c r="BR25" s="76"/>
      <c r="BS25" s="76"/>
      <c r="BT25" s="76"/>
    </row>
    <row r="26" spans="1:72" s="75" customFormat="1" ht="53.1" customHeight="1" x14ac:dyDescent="0.2">
      <c r="A26" s="109"/>
      <c r="C26" s="508" t="s">
        <v>239</v>
      </c>
      <c r="D26" s="128"/>
      <c r="E26" s="128"/>
      <c r="F26" s="128"/>
      <c r="G26" s="128"/>
      <c r="H26" s="128"/>
      <c r="I26" s="129"/>
      <c r="J26" s="128"/>
      <c r="K26" s="128"/>
      <c r="N26" s="74"/>
      <c r="R26" s="87"/>
      <c r="S26" s="87"/>
      <c r="T26" s="87"/>
      <c r="U26" s="87"/>
      <c r="V26" s="87"/>
      <c r="W26" s="87"/>
      <c r="X26" s="87"/>
      <c r="BB26" s="76"/>
      <c r="BC26" s="76"/>
      <c r="BD26" s="76"/>
      <c r="BE26" s="76"/>
      <c r="BF26" s="76"/>
      <c r="BG26" s="76"/>
      <c r="BH26" s="76"/>
      <c r="BI26" s="76"/>
      <c r="BJ26" s="76"/>
      <c r="BK26" s="76"/>
      <c r="BL26" s="76"/>
      <c r="BM26" s="76"/>
      <c r="BN26" s="76"/>
      <c r="BO26" s="76"/>
      <c r="BP26" s="76"/>
      <c r="BQ26" s="76"/>
      <c r="BR26" s="76"/>
      <c r="BS26" s="76"/>
      <c r="BT26" s="76"/>
    </row>
    <row r="27" spans="1:72" s="97" customFormat="1" ht="32.25" customHeight="1" x14ac:dyDescent="0.25">
      <c r="A27" s="130"/>
      <c r="B27" s="92"/>
      <c r="C27" s="119"/>
      <c r="D27" s="105" t="s">
        <v>240</v>
      </c>
      <c r="E27" s="124"/>
      <c r="F27" s="189" t="s">
        <v>241</v>
      </c>
      <c r="G27" s="131"/>
      <c r="H27" s="1048" t="s">
        <v>224</v>
      </c>
      <c r="I27" s="1048"/>
      <c r="J27" s="131"/>
      <c r="K27" s="342" t="s">
        <v>236</v>
      </c>
      <c r="L27" s="132"/>
      <c r="M27" s="127"/>
      <c r="N27" s="96"/>
      <c r="O27" s="75"/>
      <c r="R27" s="98"/>
      <c r="S27" s="98"/>
      <c r="T27" s="98"/>
      <c r="U27" s="98"/>
      <c r="V27" s="98"/>
      <c r="W27" s="98"/>
      <c r="X27" s="98"/>
      <c r="BB27" s="99"/>
      <c r="BC27" s="99"/>
      <c r="BD27" s="99"/>
      <c r="BE27" s="99"/>
      <c r="BF27" s="99"/>
      <c r="BG27" s="99"/>
      <c r="BH27" s="99"/>
      <c r="BI27" s="99"/>
      <c r="BJ27" s="99"/>
      <c r="BK27" s="99"/>
      <c r="BL27" s="99"/>
      <c r="BM27" s="99"/>
      <c r="BN27" s="99"/>
      <c r="BO27" s="99"/>
      <c r="BP27" s="99"/>
      <c r="BQ27" s="99"/>
      <c r="BR27" s="99"/>
      <c r="BS27" s="99"/>
      <c r="BT27" s="99"/>
    </row>
    <row r="28" spans="1:72" s="75" customFormat="1" ht="21" customHeight="1" x14ac:dyDescent="0.2">
      <c r="A28" s="506"/>
      <c r="B28" s="188">
        <f>B25+1</f>
        <v>7</v>
      </c>
      <c r="C28" s="213" t="str">
        <f>IF(CTR1_Billing!C108="","Not applicable for this authority","Check Average Council Tax for County (Line 16a) has been calculated correctly")</f>
        <v>Not applicable for this authority</v>
      </c>
      <c r="D28" s="224" t="e">
        <f>ROUND(CTR1_Billing!$F$108/CTR1_Billing!$H$46,2)</f>
        <v>#DIV/0!</v>
      </c>
      <c r="E28" s="224"/>
      <c r="F28" s="220">
        <f>CTR1_Billing!$H$108</f>
        <v>0</v>
      </c>
      <c r="G28" s="217"/>
      <c r="H28" s="1046" t="e">
        <f>+$F$28-$D$28</f>
        <v>#DIV/0!</v>
      </c>
      <c r="I28" s="1046"/>
      <c r="J28" s="217"/>
      <c r="K28" s="218">
        <v>0</v>
      </c>
      <c r="L28" s="212"/>
      <c r="M28" s="122" t="e">
        <f>IF($H$28=$K$28,"OK","Please check")</f>
        <v>#DIV/0!</v>
      </c>
      <c r="N28" s="802"/>
      <c r="R28" s="87"/>
      <c r="S28" s="87"/>
      <c r="T28" s="87"/>
      <c r="U28" s="87"/>
      <c r="V28" s="87"/>
      <c r="W28" s="87"/>
      <c r="X28" s="87"/>
      <c r="BB28" s="76"/>
      <c r="BC28" s="76"/>
      <c r="BD28" s="76"/>
      <c r="BE28" s="76"/>
      <c r="BF28" s="76"/>
      <c r="BG28" s="76"/>
      <c r="BH28" s="76"/>
      <c r="BI28" s="76"/>
      <c r="BJ28" s="76"/>
      <c r="BK28" s="76"/>
      <c r="BL28" s="76"/>
      <c r="BM28" s="76"/>
      <c r="BN28" s="76"/>
      <c r="BO28" s="76"/>
      <c r="BP28" s="76"/>
      <c r="BQ28" s="76"/>
      <c r="BR28" s="76"/>
      <c r="BS28" s="76"/>
      <c r="BT28" s="76"/>
    </row>
    <row r="29" spans="1:72" s="75" customFormat="1" ht="21" customHeight="1" x14ac:dyDescent="0.2">
      <c r="A29" s="109"/>
      <c r="C29" s="90"/>
      <c r="D29" s="133"/>
      <c r="E29" s="133"/>
      <c r="F29" s="133"/>
      <c r="G29" s="128"/>
      <c r="H29" s="128"/>
      <c r="I29" s="129"/>
      <c r="J29" s="128"/>
      <c r="K29" s="128"/>
      <c r="M29" s="115"/>
      <c r="N29" s="74"/>
      <c r="R29" s="87"/>
      <c r="S29" s="87"/>
      <c r="T29" s="87"/>
      <c r="U29" s="87"/>
      <c r="V29" s="87"/>
      <c r="W29" s="87"/>
      <c r="X29" s="87"/>
      <c r="BB29" s="76"/>
      <c r="BC29" s="76"/>
      <c r="BD29" s="76"/>
      <c r="BE29" s="76"/>
      <c r="BF29" s="76"/>
      <c r="BG29" s="76"/>
      <c r="BH29" s="76"/>
      <c r="BI29" s="76"/>
      <c r="BJ29" s="76"/>
      <c r="BK29" s="76"/>
      <c r="BL29" s="76"/>
      <c r="BM29" s="76"/>
      <c r="BN29" s="76"/>
      <c r="BO29" s="76"/>
      <c r="BP29" s="76"/>
      <c r="BQ29" s="76"/>
      <c r="BR29" s="76"/>
      <c r="BS29" s="76"/>
      <c r="BT29" s="76"/>
    </row>
    <row r="30" spans="1:72" s="90" customFormat="1" ht="32.25" customHeight="1" x14ac:dyDescent="0.25">
      <c r="A30" s="117"/>
      <c r="B30" s="92"/>
      <c r="C30" s="119"/>
      <c r="D30" s="190" t="s">
        <v>242</v>
      </c>
      <c r="E30" s="190"/>
      <c r="F30" s="191" t="s">
        <v>243</v>
      </c>
      <c r="G30" s="131"/>
      <c r="H30" s="1048" t="s">
        <v>224</v>
      </c>
      <c r="I30" s="1048"/>
      <c r="J30" s="131"/>
      <c r="K30" s="342" t="s">
        <v>236</v>
      </c>
      <c r="L30" s="132"/>
      <c r="M30" s="127"/>
      <c r="N30" s="93"/>
      <c r="O30" s="75"/>
      <c r="R30" s="94"/>
      <c r="S30" s="94"/>
      <c r="T30" s="94"/>
      <c r="U30" s="94"/>
      <c r="V30" s="94"/>
      <c r="W30" s="94"/>
      <c r="X30" s="94"/>
      <c r="BB30" s="95"/>
      <c r="BC30" s="95"/>
      <c r="BD30" s="95"/>
      <c r="BE30" s="95"/>
      <c r="BF30" s="95"/>
      <c r="BG30" s="95"/>
      <c r="BH30" s="95"/>
      <c r="BI30" s="95"/>
      <c r="BJ30" s="95"/>
      <c r="BK30" s="95"/>
      <c r="BL30" s="95"/>
      <c r="BM30" s="95"/>
      <c r="BN30" s="95"/>
      <c r="BO30" s="95"/>
      <c r="BP30" s="95"/>
      <c r="BQ30" s="95"/>
      <c r="BR30" s="95"/>
      <c r="BS30" s="95"/>
      <c r="BT30" s="95"/>
    </row>
    <row r="31" spans="1:72" s="76" customFormat="1" ht="21" customHeight="1" x14ac:dyDescent="0.2">
      <c r="A31" s="506"/>
      <c r="B31" s="188">
        <f>B28+1</f>
        <v>8</v>
      </c>
      <c r="C31" s="213" t="str">
        <f>IF(CTR1_Billing!C110="","Not applicable for this authority","Check Average Council Tax for Police (Line 16b) has been calculated correctly")</f>
        <v>Not applicable for this authority</v>
      </c>
      <c r="D31" s="224" t="e">
        <f>ROUND(CTR1_Billing!$F$110/CTR1_Billing!$H$46,2)</f>
        <v>#DIV/0!</v>
      </c>
      <c r="E31" s="224"/>
      <c r="F31" s="220">
        <f>CTR1_Billing!$H$110</f>
        <v>0</v>
      </c>
      <c r="G31" s="217"/>
      <c r="H31" s="1046" t="e">
        <f>+$F$31-$D$31</f>
        <v>#DIV/0!</v>
      </c>
      <c r="I31" s="1046"/>
      <c r="J31" s="217"/>
      <c r="K31" s="218">
        <v>0</v>
      </c>
      <c r="L31" s="212"/>
      <c r="M31" s="122" t="e">
        <f>IF($H$31=$K$31,"OK","Please check")</f>
        <v>#DIV/0!</v>
      </c>
      <c r="N31" s="802"/>
      <c r="O31" s="75"/>
      <c r="P31" s="75"/>
      <c r="Q31" s="75"/>
      <c r="R31" s="87"/>
      <c r="S31" s="87"/>
      <c r="T31" s="87"/>
      <c r="U31" s="87"/>
      <c r="V31" s="87"/>
      <c r="W31" s="87"/>
      <c r="X31" s="87"/>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row>
    <row r="32" spans="1:72" s="76" customFormat="1" ht="21" customHeight="1" x14ac:dyDescent="0.2">
      <c r="A32" s="109"/>
      <c r="B32" s="75"/>
      <c r="C32" s="90"/>
      <c r="D32" s="133"/>
      <c r="E32" s="133"/>
      <c r="F32" s="133"/>
      <c r="G32" s="128"/>
      <c r="H32" s="128"/>
      <c r="I32" s="129"/>
      <c r="J32" s="128"/>
      <c r="K32" s="128"/>
      <c r="L32" s="75"/>
      <c r="M32" s="115"/>
      <c r="N32" s="74"/>
      <c r="O32" s="75"/>
      <c r="P32" s="75"/>
      <c r="Q32" s="75"/>
      <c r="R32" s="87"/>
      <c r="S32" s="87"/>
      <c r="T32" s="87"/>
      <c r="U32" s="87"/>
      <c r="V32" s="87"/>
      <c r="W32" s="87"/>
      <c r="X32" s="87"/>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row>
    <row r="33" spans="1:53" s="95" customFormat="1" ht="32.25" customHeight="1" x14ac:dyDescent="0.25">
      <c r="A33" s="117"/>
      <c r="B33" s="92"/>
      <c r="C33" s="119"/>
      <c r="D33" s="190" t="s">
        <v>244</v>
      </c>
      <c r="E33" s="190"/>
      <c r="F33" s="191" t="s">
        <v>245</v>
      </c>
      <c r="G33" s="131"/>
      <c r="H33" s="1048" t="s">
        <v>224</v>
      </c>
      <c r="I33" s="1048"/>
      <c r="J33" s="131"/>
      <c r="K33" s="342" t="s">
        <v>236</v>
      </c>
      <c r="L33" s="132"/>
      <c r="M33" s="127"/>
      <c r="N33" s="93"/>
      <c r="O33" s="75"/>
      <c r="P33" s="90"/>
      <c r="Q33" s="90"/>
      <c r="R33" s="94"/>
      <c r="S33" s="94"/>
      <c r="T33" s="94"/>
      <c r="U33" s="94"/>
      <c r="V33" s="94"/>
      <c r="W33" s="94"/>
      <c r="X33" s="94"/>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row>
    <row r="34" spans="1:53" s="76" customFormat="1" ht="21" customHeight="1" x14ac:dyDescent="0.2">
      <c r="A34" s="506"/>
      <c r="B34" s="188">
        <f>B31+1</f>
        <v>9</v>
      </c>
      <c r="C34" s="213" t="str">
        <f>IF(CTR1_Billing!C112="","Not applicable for this authority","Check Average Council Tax for Fire (Line 16c) has been calculated correctly")</f>
        <v>Not applicable for this authority</v>
      </c>
      <c r="D34" s="224" t="e">
        <f>ROUND(CTR1_Billing!$F$112/CTR1_Billing!$H$46,2)</f>
        <v>#DIV/0!</v>
      </c>
      <c r="E34" s="224"/>
      <c r="F34" s="220">
        <f>CTR1_Billing!$H$112</f>
        <v>0</v>
      </c>
      <c r="G34" s="217"/>
      <c r="H34" s="1046" t="e">
        <f>+$F$34-$D$34</f>
        <v>#DIV/0!</v>
      </c>
      <c r="I34" s="1046"/>
      <c r="J34" s="217"/>
      <c r="K34" s="218">
        <v>0</v>
      </c>
      <c r="L34" s="212"/>
      <c r="M34" s="122" t="e">
        <f>IF($H$34=$K$34,"OK","Please check")</f>
        <v>#DIV/0!</v>
      </c>
      <c r="N34" s="802"/>
      <c r="O34" s="75"/>
      <c r="P34" s="75"/>
      <c r="Q34" s="75"/>
      <c r="R34" s="87"/>
      <c r="S34" s="87"/>
      <c r="T34" s="87"/>
      <c r="U34" s="87"/>
      <c r="V34" s="87"/>
      <c r="W34" s="87"/>
      <c r="X34" s="87"/>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row>
    <row r="35" spans="1:53" x14ac:dyDescent="0.2">
      <c r="A35" s="58"/>
      <c r="B35" s="59"/>
      <c r="C35" s="77"/>
      <c r="D35" s="59"/>
      <c r="E35" s="59"/>
      <c r="F35" s="59"/>
      <c r="G35" s="59"/>
      <c r="H35" s="59"/>
      <c r="I35" s="59"/>
      <c r="J35" s="59"/>
      <c r="K35" s="59"/>
      <c r="L35" s="59"/>
      <c r="M35" s="60"/>
      <c r="N35" s="69"/>
      <c r="R35" s="65"/>
      <c r="S35" s="65"/>
      <c r="T35" s="65"/>
      <c r="U35" s="65"/>
      <c r="V35" s="65"/>
      <c r="W35" s="65"/>
      <c r="X35" s="65"/>
    </row>
    <row r="36" spans="1:53" s="95" customFormat="1" ht="32.25" customHeight="1" x14ac:dyDescent="0.25">
      <c r="A36" s="117"/>
      <c r="B36" s="92"/>
      <c r="C36" s="119"/>
      <c r="D36" s="190" t="s">
        <v>246</v>
      </c>
      <c r="E36" s="190"/>
      <c r="F36" s="191" t="s">
        <v>247</v>
      </c>
      <c r="G36" s="131"/>
      <c r="H36" s="1048" t="s">
        <v>224</v>
      </c>
      <c r="I36" s="1048"/>
      <c r="J36" s="131"/>
      <c r="K36" s="342" t="s">
        <v>236</v>
      </c>
      <c r="L36" s="132"/>
      <c r="M36" s="127"/>
      <c r="N36" s="93"/>
      <c r="O36" s="75"/>
      <c r="P36" s="90"/>
      <c r="Q36" s="90"/>
      <c r="R36" s="94"/>
      <c r="S36" s="94"/>
      <c r="T36" s="94"/>
      <c r="U36" s="94"/>
      <c r="V36" s="94"/>
      <c r="W36" s="94"/>
      <c r="X36" s="94"/>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row>
    <row r="37" spans="1:53" s="76" customFormat="1" ht="21" customHeight="1" x14ac:dyDescent="0.2">
      <c r="A37" s="506"/>
      <c r="B37" s="188">
        <v>10</v>
      </c>
      <c r="C37" s="213" t="str">
        <f>IF(CTR1_Billing!C114="","Not applicable for this authority","Check Average Council Tax for Combined authority (Line 16d) has been calculated correctly")</f>
        <v>Not applicable for this authority</v>
      </c>
      <c r="D37" s="224" t="e">
        <f>ROUND(CTR1_Billing!$F$114/CTR1_Billing!$H$46,2)</f>
        <v>#DIV/0!</v>
      </c>
      <c r="E37" s="224"/>
      <c r="F37" s="220">
        <f>CTR1_Billing!$H$114</f>
        <v>0</v>
      </c>
      <c r="G37" s="217"/>
      <c r="H37" s="1046" t="e">
        <f>+$F$37-$D$37</f>
        <v>#DIV/0!</v>
      </c>
      <c r="I37" s="1046"/>
      <c r="J37" s="217"/>
      <c r="K37" s="218">
        <v>0</v>
      </c>
      <c r="L37" s="212"/>
      <c r="M37" s="122" t="e">
        <f>IF($H$37=$K$37,"OK","Please check")</f>
        <v>#DIV/0!</v>
      </c>
      <c r="N37" s="802"/>
      <c r="O37" s="75"/>
      <c r="P37" s="75"/>
      <c r="Q37" s="75"/>
      <c r="R37" s="87"/>
      <c r="S37" s="87"/>
      <c r="T37" s="87"/>
      <c r="U37" s="87"/>
      <c r="V37" s="87"/>
      <c r="W37" s="87"/>
      <c r="X37" s="87"/>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row>
    <row r="38" spans="1:53" x14ac:dyDescent="0.2">
      <c r="A38" s="58"/>
      <c r="B38" s="59"/>
      <c r="C38" s="77"/>
      <c r="D38" s="59"/>
      <c r="E38" s="59"/>
      <c r="F38" s="59"/>
      <c r="G38" s="59"/>
      <c r="H38" s="59"/>
      <c r="I38" s="59"/>
      <c r="J38" s="59"/>
      <c r="K38" s="59"/>
      <c r="L38" s="59"/>
      <c r="M38" s="60"/>
      <c r="N38" s="69"/>
      <c r="R38" s="65"/>
      <c r="S38" s="65"/>
      <c r="T38" s="65"/>
      <c r="U38" s="65"/>
      <c r="V38" s="65"/>
      <c r="W38" s="65"/>
      <c r="X38" s="65"/>
    </row>
    <row r="39" spans="1:53" ht="31.5" x14ac:dyDescent="0.25">
      <c r="A39" s="58"/>
      <c r="B39" s="92"/>
      <c r="C39" s="119"/>
      <c r="D39" s="105" t="s">
        <v>248</v>
      </c>
      <c r="E39" s="124"/>
      <c r="F39" s="134" t="s">
        <v>249</v>
      </c>
      <c r="G39" s="131"/>
      <c r="H39" s="1048" t="s">
        <v>224</v>
      </c>
      <c r="I39" s="1048"/>
      <c r="J39" s="131"/>
      <c r="K39" s="342" t="s">
        <v>236</v>
      </c>
      <c r="L39" s="132"/>
      <c r="M39" s="127"/>
      <c r="N39" s="69"/>
      <c r="R39" s="65"/>
      <c r="S39" s="65"/>
      <c r="T39" s="65"/>
      <c r="U39" s="65"/>
      <c r="V39" s="65"/>
      <c r="W39" s="65"/>
      <c r="X39" s="65"/>
    </row>
    <row r="40" spans="1:53" ht="21" customHeight="1" x14ac:dyDescent="0.2">
      <c r="A40" s="507"/>
      <c r="B40" s="188">
        <v>11</v>
      </c>
      <c r="C40" s="213" t="s">
        <v>250</v>
      </c>
      <c r="D40" s="224">
        <f>CTR1_Billing!$H$117</f>
        <v>0</v>
      </c>
      <c r="E40" s="227"/>
      <c r="F40" s="224" t="e">
        <f>IF(CTR1_Billing!$L$72=1, CTR1_Billing!$E$87+CTR1_Billing!$H$108+CTR1_Billing!$H$110+CTR1_Billing!$H$112+CTR1_Billing!$H$114,CTR1_Billing!$H$50+CTR1_Billing!$H$108+CTR1_Billing!$H$110+CTR1_Billing!$H$112+CTR1_Billing!$H$114)</f>
        <v>#VALUE!</v>
      </c>
      <c r="G40" s="217"/>
      <c r="H40" s="1046" t="e">
        <f>$D$40-$F$40</f>
        <v>#VALUE!</v>
      </c>
      <c r="I40" s="1046"/>
      <c r="J40" s="217"/>
      <c r="K40" s="229">
        <v>0</v>
      </c>
      <c r="L40" s="212"/>
      <c r="M40" s="122" t="e">
        <f>IF($H$40=0,"OK","Please check")</f>
        <v>#VALUE!</v>
      </c>
      <c r="N40" s="803"/>
      <c r="R40" s="65"/>
      <c r="S40" s="65"/>
      <c r="T40" s="65"/>
      <c r="U40" s="65"/>
      <c r="V40" s="65"/>
      <c r="W40" s="65"/>
      <c r="X40" s="65"/>
    </row>
    <row r="41" spans="1:53" x14ac:dyDescent="0.2">
      <c r="A41" s="58"/>
      <c r="B41" s="59"/>
      <c r="C41" s="77"/>
      <c r="D41" s="59"/>
      <c r="E41" s="59"/>
      <c r="F41" s="59"/>
      <c r="G41" s="59"/>
      <c r="H41" s="59"/>
      <c r="I41" s="59"/>
      <c r="J41" s="59"/>
      <c r="K41" s="59"/>
      <c r="L41" s="59"/>
      <c r="M41" s="60"/>
      <c r="N41" s="69"/>
      <c r="R41" s="65"/>
      <c r="S41" s="65"/>
      <c r="T41" s="65"/>
      <c r="U41" s="65"/>
      <c r="V41" s="65"/>
      <c r="W41" s="65"/>
      <c r="X41" s="65"/>
    </row>
    <row r="42" spans="1:53" ht="31.5" x14ac:dyDescent="0.25">
      <c r="A42" s="58"/>
      <c r="B42" s="92"/>
      <c r="C42" s="119"/>
      <c r="D42" s="105" t="s">
        <v>251</v>
      </c>
      <c r="E42" s="124"/>
      <c r="F42" s="134" t="s">
        <v>252</v>
      </c>
      <c r="G42" s="131"/>
      <c r="H42" s="1048" t="s">
        <v>224</v>
      </c>
      <c r="I42" s="1048"/>
      <c r="J42" s="131"/>
      <c r="K42" s="342" t="s">
        <v>236</v>
      </c>
      <c r="L42" s="132"/>
      <c r="M42" s="127"/>
      <c r="N42" s="69"/>
      <c r="R42" s="65"/>
      <c r="S42" s="65"/>
      <c r="T42" s="65"/>
      <c r="U42" s="65"/>
      <c r="V42" s="65"/>
      <c r="W42" s="65"/>
      <c r="X42" s="65"/>
    </row>
    <row r="43" spans="1:53" ht="21" customHeight="1" x14ac:dyDescent="0.2">
      <c r="A43" s="507"/>
      <c r="B43" s="188">
        <f>B40+1</f>
        <v>12</v>
      </c>
      <c r="C43" s="213" t="s">
        <v>253</v>
      </c>
      <c r="D43" s="230">
        <f>CTR1_Billing!$H$46</f>
        <v>0</v>
      </c>
      <c r="E43" s="227"/>
      <c r="F43" s="230">
        <f>CTR1_Billing!$H$123</f>
        <v>0</v>
      </c>
      <c r="G43" s="217"/>
      <c r="H43" s="1049">
        <f>+$D$43-$F$43</f>
        <v>0</v>
      </c>
      <c r="I43" s="1049"/>
      <c r="J43" s="217"/>
      <c r="K43" s="229" t="s">
        <v>254</v>
      </c>
      <c r="L43" s="212"/>
      <c r="M43" s="122" t="str">
        <f>IF($D$43&gt;=$F$43,"OK","Please check")</f>
        <v>OK</v>
      </c>
      <c r="N43" s="803"/>
      <c r="R43" s="65"/>
      <c r="S43" s="65"/>
      <c r="T43" s="65"/>
      <c r="U43" s="65"/>
      <c r="V43" s="65"/>
      <c r="W43" s="65"/>
      <c r="X43" s="65"/>
    </row>
    <row r="44" spans="1:53" x14ac:dyDescent="0.2">
      <c r="A44" s="58"/>
      <c r="B44" s="59"/>
      <c r="C44" s="77"/>
      <c r="D44" s="59"/>
      <c r="E44" s="59"/>
      <c r="F44" s="59"/>
      <c r="G44" s="59"/>
      <c r="H44" s="59"/>
      <c r="I44" s="59"/>
      <c r="J44" s="59"/>
      <c r="K44" s="59"/>
      <c r="L44" s="59"/>
      <c r="M44" s="60"/>
      <c r="N44" s="69"/>
      <c r="R44" s="65"/>
      <c r="S44" s="65"/>
      <c r="T44" s="65"/>
      <c r="U44" s="65"/>
      <c r="V44" s="65"/>
      <c r="W44" s="65"/>
      <c r="X44" s="65"/>
    </row>
    <row r="45" spans="1:53" ht="31.5" x14ac:dyDescent="0.25">
      <c r="A45" s="58"/>
      <c r="B45" s="92"/>
      <c r="C45" s="119"/>
      <c r="D45" s="105" t="s">
        <v>255</v>
      </c>
      <c r="E45" s="124"/>
      <c r="F45" s="134" t="s">
        <v>249</v>
      </c>
      <c r="G45" s="131"/>
      <c r="H45" s="1048" t="s">
        <v>224</v>
      </c>
      <c r="I45" s="1048"/>
      <c r="J45" s="131"/>
      <c r="K45" s="342" t="s">
        <v>236</v>
      </c>
      <c r="L45" s="132"/>
      <c r="M45" s="127"/>
      <c r="N45" s="69"/>
      <c r="R45" s="65"/>
      <c r="S45" s="65"/>
      <c r="T45" s="65"/>
      <c r="U45" s="65"/>
      <c r="V45" s="65"/>
      <c r="W45" s="65"/>
      <c r="X45" s="65"/>
    </row>
    <row r="46" spans="1:53" ht="21" customHeight="1" x14ac:dyDescent="0.2">
      <c r="A46" s="507"/>
      <c r="B46" s="188">
        <v>13</v>
      </c>
      <c r="C46" s="213" t="str">
        <f>IF(OR(CTR1_Billing!L66=0, CTR1_Billing!L72=1), "Not applicable to this authority", "Check ASC Band D cash figure (Line 11) has been calculated correctly")</f>
        <v>Not applicable to this authority</v>
      </c>
      <c r="D46" s="224" t="str">
        <f>CTR1_Billing!$F$66</f>
        <v/>
      </c>
      <c r="E46" s="227"/>
      <c r="F46" s="224" t="e">
        <f>CTR1_Billing!$H$64/CTR1_Billing!$H$46</f>
        <v>#DIV/0!</v>
      </c>
      <c r="G46" s="217"/>
      <c r="H46" s="1046" t="e">
        <f>ROUND($D$46-$F$46,2)</f>
        <v>#VALUE!</v>
      </c>
      <c r="I46" s="1046"/>
      <c r="J46" s="217"/>
      <c r="K46" s="229">
        <v>0</v>
      </c>
      <c r="L46" s="212"/>
      <c r="M46" s="122" t="e">
        <f>IF($H$46=0,"OK","Please check")</f>
        <v>#VALUE!</v>
      </c>
      <c r="N46" s="803"/>
      <c r="R46" s="65"/>
      <c r="S46" s="65"/>
      <c r="T46" s="65"/>
      <c r="U46" s="65"/>
      <c r="V46" s="65"/>
      <c r="W46" s="65"/>
      <c r="X46" s="65"/>
    </row>
    <row r="47" spans="1:53" x14ac:dyDescent="0.2">
      <c r="A47" s="58"/>
      <c r="B47" s="59"/>
      <c r="C47" s="77"/>
      <c r="D47" s="59"/>
      <c r="E47" s="59"/>
      <c r="F47" s="59"/>
      <c r="G47" s="59"/>
      <c r="H47" s="59"/>
      <c r="I47" s="59"/>
      <c r="J47" s="59"/>
      <c r="K47" s="59"/>
      <c r="L47" s="59"/>
      <c r="M47" s="60"/>
      <c r="N47" s="69"/>
      <c r="R47" s="65"/>
      <c r="S47" s="65"/>
      <c r="T47" s="65"/>
      <c r="U47" s="65"/>
      <c r="V47" s="65"/>
      <c r="W47" s="65"/>
      <c r="X47" s="65"/>
    </row>
    <row r="48" spans="1:53" ht="31.5" x14ac:dyDescent="0.25">
      <c r="A48" s="58"/>
      <c r="B48" s="92"/>
      <c r="C48" s="119"/>
      <c r="D48" s="105" t="s">
        <v>255</v>
      </c>
      <c r="E48" s="124"/>
      <c r="F48" s="134" t="s">
        <v>249</v>
      </c>
      <c r="G48" s="131"/>
      <c r="H48" s="1048" t="s">
        <v>224</v>
      </c>
      <c r="I48" s="1048"/>
      <c r="J48" s="131"/>
      <c r="K48" s="342" t="s">
        <v>236</v>
      </c>
      <c r="L48" s="132"/>
      <c r="M48" s="127"/>
      <c r="N48" s="69"/>
      <c r="R48" s="65"/>
      <c r="S48" s="65"/>
      <c r="T48" s="65"/>
      <c r="U48" s="65"/>
      <c r="V48" s="65"/>
      <c r="W48" s="65"/>
      <c r="X48" s="65"/>
    </row>
    <row r="49" spans="1:24" ht="22.5" customHeight="1" x14ac:dyDescent="0.2">
      <c r="A49" s="507"/>
      <c r="B49" s="188">
        <v>14</v>
      </c>
      <c r="C49" s="213" t="str">
        <f>IF(OR(CTR1_Billing!L66=0, CTR1_Billing!L72=1),"Not applicable to this authority","Check ASC Band D percentage figure (Line 11) has been calculated correctly")</f>
        <v>Not applicable to this authority</v>
      </c>
      <c r="D49" s="231" t="str">
        <f>CTR1_Billing!$H$66</f>
        <v/>
      </c>
      <c r="E49" s="227"/>
      <c r="F49" s="231" t="e">
        <f>CTR1_Billing!$F$66/CTR1_Billing!$F$55</f>
        <v>#VALUE!</v>
      </c>
      <c r="G49" s="217"/>
      <c r="H49" s="1046" t="e">
        <f>ROUND($D$49-$F$49,2)</f>
        <v>#VALUE!</v>
      </c>
      <c r="I49" s="1046"/>
      <c r="J49" s="217"/>
      <c r="K49" s="229">
        <v>0</v>
      </c>
      <c r="L49" s="212"/>
      <c r="M49" s="122" t="e">
        <f>IF($H$49=0,"OK","Please check")</f>
        <v>#VALUE!</v>
      </c>
      <c r="N49" s="803"/>
      <c r="R49" s="65"/>
      <c r="S49" s="65"/>
      <c r="T49" s="65"/>
      <c r="U49" s="65"/>
      <c r="V49" s="65"/>
      <c r="W49" s="65"/>
      <c r="X49" s="65"/>
    </row>
    <row r="50" spans="1:24" x14ac:dyDescent="0.2">
      <c r="A50" s="58"/>
      <c r="B50" s="59"/>
      <c r="C50" s="77"/>
      <c r="D50" s="59"/>
      <c r="E50" s="59"/>
      <c r="F50" s="59"/>
      <c r="G50" s="59"/>
      <c r="H50" s="59"/>
      <c r="I50" s="59"/>
      <c r="J50" s="59"/>
      <c r="K50" s="59"/>
      <c r="L50" s="59"/>
      <c r="M50" s="60"/>
      <c r="N50" s="69"/>
      <c r="R50" s="65"/>
      <c r="S50" s="65"/>
      <c r="T50" s="65"/>
      <c r="U50" s="65"/>
      <c r="V50" s="65"/>
      <c r="W50" s="65"/>
      <c r="X50" s="65"/>
    </row>
    <row r="51" spans="1:24" ht="31.5" x14ac:dyDescent="0.25">
      <c r="A51" s="58"/>
      <c r="B51" s="92"/>
      <c r="C51" s="119"/>
      <c r="D51" s="187" t="s">
        <v>256</v>
      </c>
      <c r="E51" s="124"/>
      <c r="F51" s="134" t="s">
        <v>257</v>
      </c>
      <c r="G51" s="131"/>
      <c r="H51" s="1048" t="s">
        <v>224</v>
      </c>
      <c r="I51" s="1048"/>
      <c r="J51" s="131"/>
      <c r="K51" s="342" t="s">
        <v>236</v>
      </c>
      <c r="L51" s="132"/>
      <c r="M51" s="127"/>
      <c r="N51" s="69"/>
      <c r="R51" s="65"/>
      <c r="S51" s="65"/>
      <c r="T51" s="65"/>
      <c r="U51" s="65"/>
      <c r="V51" s="65"/>
      <c r="W51" s="65"/>
      <c r="X51" s="65"/>
    </row>
    <row r="52" spans="1:24" ht="22.5" customHeight="1" x14ac:dyDescent="0.2">
      <c r="A52" s="507"/>
      <c r="B52" s="188">
        <v>15</v>
      </c>
      <c r="C52" s="213" t="str">
        <f>IF(OR(CTR1_Billing!L66=0, CTR1_Billing!L72=1),"Not applicable to this authority","Check Adult Social Care element (Line 11) is less than or equal to the maximum expected increase allowed")</f>
        <v>Not applicable to this authority</v>
      </c>
      <c r="D52" s="244">
        <f>IF(OR(CTR1_Billing!$L$66=0, CTR1_Billing!$L$72=1), 0, (VLOOKUP(CTR1_Billing!$E$21,Data!$C$6:$AJ$301,34,0)))</f>
        <v>0</v>
      </c>
      <c r="E52" s="227"/>
      <c r="F52" s="231" t="str">
        <f>CTR1_Billing!$H$66</f>
        <v/>
      </c>
      <c r="G52" s="217"/>
      <c r="H52" s="1047" t="e">
        <f>ROUND($D$52-$F$52,5)</f>
        <v>#VALUE!</v>
      </c>
      <c r="I52" s="1047"/>
      <c r="J52" s="217"/>
      <c r="K52" s="229" t="s">
        <v>258</v>
      </c>
      <c r="L52" s="212"/>
      <c r="M52" s="122" t="str">
        <f>IF($F$52&lt;=$D$52,"OK","Please check")</f>
        <v>Please check</v>
      </c>
      <c r="N52" s="803"/>
      <c r="R52" s="65"/>
      <c r="S52" s="65"/>
      <c r="T52" s="65"/>
      <c r="U52" s="65"/>
      <c r="V52" s="65"/>
      <c r="W52" s="65"/>
      <c r="X52" s="65"/>
    </row>
    <row r="53" spans="1:24" ht="15.75" thickBot="1" x14ac:dyDescent="0.25">
      <c r="A53" s="273"/>
      <c r="B53" s="274"/>
      <c r="C53" s="275"/>
      <c r="D53" s="274"/>
      <c r="E53" s="274"/>
      <c r="F53" s="274"/>
      <c r="G53" s="274"/>
      <c r="H53" s="274"/>
      <c r="I53" s="274"/>
      <c r="J53" s="274"/>
      <c r="K53" s="274"/>
      <c r="L53" s="274"/>
      <c r="M53" s="276"/>
      <c r="N53" s="277"/>
      <c r="R53" s="71"/>
      <c r="U53" s="71"/>
      <c r="V53" s="71"/>
      <c r="W53" s="71"/>
      <c r="X53" s="71"/>
    </row>
    <row r="54" spans="1:24" x14ac:dyDescent="0.2">
      <c r="A54" s="58"/>
      <c r="B54" s="59"/>
      <c r="C54" s="88"/>
      <c r="D54" s="59"/>
      <c r="E54" s="59"/>
      <c r="F54" s="78"/>
      <c r="G54" s="59"/>
      <c r="H54" s="59"/>
      <c r="I54" s="59"/>
      <c r="J54" s="59"/>
      <c r="K54" s="59"/>
      <c r="L54" s="59"/>
      <c r="M54" s="91"/>
      <c r="N54" s="70"/>
    </row>
    <row r="55" spans="1:24" ht="15.75" x14ac:dyDescent="0.2">
      <c r="A55" s="58"/>
      <c r="B55" s="66"/>
      <c r="C55" s="73"/>
      <c r="D55" s="67"/>
      <c r="E55" s="67"/>
      <c r="F55" s="67"/>
      <c r="G55" s="44"/>
      <c r="H55" s="44"/>
      <c r="I55" s="44"/>
      <c r="J55" s="44"/>
      <c r="K55" s="44"/>
      <c r="L55" s="68"/>
      <c r="M55" s="72"/>
    </row>
    <row r="56" spans="1:24" s="59" customFormat="1" ht="15.75" x14ac:dyDescent="0.25">
      <c r="A56" s="58"/>
      <c r="B56" s="79"/>
      <c r="C56" s="77"/>
      <c r="G56" s="80"/>
      <c r="H56" s="80"/>
      <c r="I56" s="80"/>
      <c r="J56" s="80"/>
      <c r="K56" s="80"/>
      <c r="L56" s="80"/>
      <c r="M56" s="80"/>
    </row>
    <row r="57" spans="1:24" s="59" customFormat="1" x14ac:dyDescent="0.2">
      <c r="B57" s="1051"/>
      <c r="C57" s="1051"/>
      <c r="D57" s="1051"/>
      <c r="E57" s="1051"/>
      <c r="F57" s="1051"/>
      <c r="G57" s="1051"/>
      <c r="H57" s="1051"/>
      <c r="I57" s="1051"/>
      <c r="J57" s="1051"/>
      <c r="K57" s="1051"/>
      <c r="L57" s="1051"/>
      <c r="M57" s="1051"/>
    </row>
    <row r="58" spans="1:24" s="59" customFormat="1" x14ac:dyDescent="0.2">
      <c r="B58" s="1051"/>
      <c r="C58" s="1051"/>
      <c r="D58" s="1051"/>
      <c r="E58" s="1051"/>
      <c r="F58" s="1051"/>
      <c r="G58" s="1051"/>
      <c r="H58" s="1051"/>
      <c r="I58" s="1051"/>
      <c r="J58" s="1051"/>
      <c r="K58" s="1051"/>
      <c r="L58" s="1051"/>
      <c r="M58" s="1051"/>
    </row>
    <row r="59" spans="1:24" s="59" customFormat="1" x14ac:dyDescent="0.2">
      <c r="C59" s="77"/>
      <c r="M59" s="60"/>
    </row>
    <row r="60" spans="1:24" s="59" customFormat="1" x14ac:dyDescent="0.2">
      <c r="A60" s="58"/>
      <c r="M60" s="60"/>
    </row>
    <row r="61" spans="1:24" s="59" customFormat="1" x14ac:dyDescent="0.2">
      <c r="A61" s="58"/>
      <c r="C61" s="77"/>
      <c r="M61" s="60"/>
    </row>
    <row r="62" spans="1:24" s="59" customFormat="1" x14ac:dyDescent="0.2">
      <c r="A62" s="58"/>
      <c r="C62" s="243"/>
      <c r="M62" s="60"/>
    </row>
    <row r="63" spans="1:24" s="59" customFormat="1" x14ac:dyDescent="0.2">
      <c r="A63" s="58"/>
      <c r="C63" s="77"/>
      <c r="M63" s="60"/>
    </row>
    <row r="64" spans="1:24" s="59" customFormat="1" ht="18" x14ac:dyDescent="0.25">
      <c r="A64" s="58"/>
      <c r="B64" s="81"/>
      <c r="C64" s="1045"/>
      <c r="D64" s="1045"/>
      <c r="E64" s="1045"/>
      <c r="F64" s="1045"/>
      <c r="G64" s="1045"/>
      <c r="H64" s="1045"/>
      <c r="I64" s="1045"/>
      <c r="J64" s="1045"/>
      <c r="K64" s="1045"/>
      <c r="L64" s="1045"/>
      <c r="M64" s="60"/>
    </row>
    <row r="65" spans="1:13" s="59" customFormat="1" ht="18" x14ac:dyDescent="0.25">
      <c r="A65" s="58"/>
      <c r="B65" s="81"/>
      <c r="C65" s="1045"/>
      <c r="D65" s="1045"/>
      <c r="E65" s="1045"/>
      <c r="F65" s="1045"/>
      <c r="G65" s="1045"/>
      <c r="H65" s="1045"/>
      <c r="I65" s="1045"/>
      <c r="J65" s="1045"/>
      <c r="K65" s="1045"/>
      <c r="L65" s="1045"/>
      <c r="M65" s="60"/>
    </row>
    <row r="66" spans="1:13" s="59" customFormat="1" ht="18" x14ac:dyDescent="0.25">
      <c r="A66" s="58"/>
      <c r="B66" s="81"/>
      <c r="C66" s="1045"/>
      <c r="D66" s="1045"/>
      <c r="E66" s="1045"/>
      <c r="F66" s="1045"/>
      <c r="G66" s="1045"/>
      <c r="H66" s="1045"/>
      <c r="I66" s="1045"/>
      <c r="J66" s="1045"/>
      <c r="K66" s="1045"/>
      <c r="L66" s="1045"/>
      <c r="M66" s="60"/>
    </row>
    <row r="67" spans="1:13" s="59" customFormat="1" x14ac:dyDescent="0.2">
      <c r="A67" s="58"/>
      <c r="C67" s="77"/>
      <c r="M67" s="60"/>
    </row>
    <row r="68" spans="1:13" s="59" customFormat="1" x14ac:dyDescent="0.2">
      <c r="C68" s="77"/>
      <c r="M68" s="60"/>
    </row>
    <row r="69" spans="1:13" s="59" customFormat="1" x14ac:dyDescent="0.2">
      <c r="C69" s="77"/>
      <c r="M69" s="60"/>
    </row>
    <row r="70" spans="1:13" s="59" customFormat="1" x14ac:dyDescent="0.2">
      <c r="C70" s="77"/>
      <c r="M70" s="60"/>
    </row>
    <row r="71" spans="1:13" s="59" customFormat="1" x14ac:dyDescent="0.2">
      <c r="C71" s="77"/>
      <c r="M71" s="60"/>
    </row>
    <row r="72" spans="1:13" s="59" customFormat="1" x14ac:dyDescent="0.2">
      <c r="C72" s="77"/>
      <c r="M72" s="60"/>
    </row>
    <row r="73" spans="1:13" s="59" customFormat="1" x14ac:dyDescent="0.2">
      <c r="C73" s="77"/>
      <c r="M73" s="60"/>
    </row>
    <row r="74" spans="1:13" s="59" customFormat="1" x14ac:dyDescent="0.2">
      <c r="C74" s="77"/>
      <c r="M74" s="60"/>
    </row>
    <row r="75" spans="1:13" s="59" customFormat="1" x14ac:dyDescent="0.2">
      <c r="C75" s="77"/>
      <c r="M75" s="60"/>
    </row>
    <row r="76" spans="1:13" s="59" customFormat="1" x14ac:dyDescent="0.2">
      <c r="C76" s="77"/>
      <c r="M76" s="60"/>
    </row>
    <row r="77" spans="1:13" s="59" customFormat="1" x14ac:dyDescent="0.2">
      <c r="C77" s="77"/>
      <c r="M77" s="60"/>
    </row>
    <row r="78" spans="1:13" s="59" customFormat="1" x14ac:dyDescent="0.2">
      <c r="C78" s="77"/>
      <c r="M78" s="60"/>
    </row>
    <row r="79" spans="1:13" s="59" customFormat="1" x14ac:dyDescent="0.2">
      <c r="C79" s="77"/>
      <c r="M79" s="60"/>
    </row>
    <row r="80" spans="1:13" s="59" customFormat="1" x14ac:dyDescent="0.2">
      <c r="B80" s="64"/>
      <c r="C80" s="86"/>
      <c r="D80" s="64"/>
      <c r="E80" s="64"/>
      <c r="F80" s="64"/>
      <c r="G80" s="64"/>
      <c r="H80" s="64"/>
      <c r="I80" s="64"/>
      <c r="J80" s="64"/>
      <c r="K80" s="64"/>
      <c r="L80" s="64"/>
      <c r="M80" s="82"/>
    </row>
    <row r="81" spans="1:72" s="59" customFormat="1" x14ac:dyDescent="0.2">
      <c r="B81" s="64"/>
      <c r="C81" s="86"/>
      <c r="D81" s="64"/>
      <c r="E81" s="64"/>
      <c r="F81" s="64"/>
      <c r="G81" s="64"/>
      <c r="H81" s="64"/>
      <c r="I81" s="64"/>
      <c r="J81" s="64"/>
      <c r="K81" s="64"/>
      <c r="L81" s="64"/>
      <c r="M81" s="82"/>
      <c r="BB81" s="64"/>
      <c r="BC81" s="64"/>
      <c r="BD81" s="64"/>
      <c r="BE81" s="64"/>
      <c r="BF81" s="64"/>
      <c r="BG81" s="64"/>
      <c r="BH81" s="64"/>
      <c r="BI81" s="64"/>
      <c r="BJ81" s="64"/>
      <c r="BK81" s="64"/>
      <c r="BL81" s="64"/>
      <c r="BM81" s="64"/>
      <c r="BN81" s="64"/>
      <c r="BO81" s="64"/>
      <c r="BP81" s="64"/>
      <c r="BQ81" s="64"/>
      <c r="BR81" s="64"/>
      <c r="BS81" s="64"/>
      <c r="BT81" s="64"/>
    </row>
    <row r="82" spans="1:72" s="59" customFormat="1" x14ac:dyDescent="0.2">
      <c r="B82" s="64"/>
      <c r="C82" s="86"/>
      <c r="D82" s="64"/>
      <c r="E82" s="64"/>
      <c r="F82" s="64"/>
      <c r="G82" s="64"/>
      <c r="H82" s="64"/>
      <c r="I82" s="64"/>
      <c r="J82" s="64"/>
      <c r="K82" s="64"/>
      <c r="L82" s="64"/>
      <c r="M82" s="82"/>
      <c r="BB82" s="64"/>
      <c r="BC82" s="64"/>
      <c r="BD82" s="64"/>
      <c r="BE82" s="64"/>
      <c r="BF82" s="64"/>
      <c r="BG82" s="64"/>
      <c r="BH82" s="64"/>
      <c r="BI82" s="64"/>
      <c r="BJ82" s="64"/>
      <c r="BK82" s="64"/>
      <c r="BL82" s="64"/>
      <c r="BM82" s="64"/>
      <c r="BN82" s="64"/>
      <c r="BO82" s="64"/>
      <c r="BP82" s="64"/>
      <c r="BQ82" s="64"/>
      <c r="BR82" s="64"/>
      <c r="BS82" s="64"/>
      <c r="BT82" s="64"/>
    </row>
    <row r="83" spans="1:72" s="59" customFormat="1" x14ac:dyDescent="0.2">
      <c r="B83" s="64"/>
      <c r="C83" s="86"/>
      <c r="D83" s="64"/>
      <c r="E83" s="64"/>
      <c r="F83" s="64"/>
      <c r="G83" s="64"/>
      <c r="H83" s="64"/>
      <c r="I83" s="64"/>
      <c r="J83" s="64"/>
      <c r="K83" s="64"/>
      <c r="L83" s="64"/>
      <c r="M83" s="82"/>
      <c r="BB83" s="64"/>
      <c r="BC83" s="64"/>
      <c r="BD83" s="64"/>
      <c r="BE83" s="64"/>
      <c r="BF83" s="64"/>
      <c r="BG83" s="64"/>
      <c r="BH83" s="64"/>
      <c r="BI83" s="64"/>
      <c r="BJ83" s="64"/>
      <c r="BK83" s="64"/>
      <c r="BL83" s="64"/>
      <c r="BM83" s="64"/>
      <c r="BN83" s="64"/>
      <c r="BO83" s="64"/>
      <c r="BP83" s="64"/>
      <c r="BQ83" s="64"/>
      <c r="BR83" s="64"/>
      <c r="BS83" s="64"/>
      <c r="BT83" s="64"/>
    </row>
    <row r="84" spans="1:72" s="59" customFormat="1" x14ac:dyDescent="0.2">
      <c r="B84" s="64"/>
      <c r="C84" s="86"/>
      <c r="D84" s="64"/>
      <c r="E84" s="64"/>
      <c r="F84" s="64"/>
      <c r="G84" s="64"/>
      <c r="H84" s="64"/>
      <c r="I84" s="64"/>
      <c r="J84" s="64"/>
      <c r="K84" s="64"/>
      <c r="L84" s="64"/>
      <c r="M84" s="82"/>
      <c r="BB84" s="64"/>
      <c r="BC84" s="64"/>
      <c r="BD84" s="64"/>
      <c r="BE84" s="64"/>
      <c r="BF84" s="64"/>
      <c r="BG84" s="64"/>
      <c r="BH84" s="64"/>
      <c r="BI84" s="64"/>
      <c r="BJ84" s="64"/>
      <c r="BK84" s="64"/>
      <c r="BL84" s="64"/>
      <c r="BM84" s="64"/>
      <c r="BN84" s="64"/>
      <c r="BO84" s="64"/>
      <c r="BP84" s="64"/>
      <c r="BQ84" s="64"/>
      <c r="BR84" s="64"/>
      <c r="BS84" s="64"/>
      <c r="BT84" s="64"/>
    </row>
    <row r="85" spans="1:72" s="59" customFormat="1" x14ac:dyDescent="0.2">
      <c r="A85" s="64"/>
      <c r="B85" s="64"/>
      <c r="C85" s="86"/>
      <c r="D85" s="64"/>
      <c r="E85" s="64"/>
      <c r="F85" s="64"/>
      <c r="G85" s="64"/>
      <c r="H85" s="64"/>
      <c r="I85" s="64"/>
      <c r="J85" s="64"/>
      <c r="K85" s="64"/>
      <c r="L85" s="64"/>
      <c r="M85" s="82"/>
      <c r="BB85" s="64"/>
      <c r="BC85" s="64"/>
      <c r="BD85" s="64"/>
      <c r="BE85" s="64"/>
      <c r="BF85" s="64"/>
      <c r="BG85" s="64"/>
      <c r="BH85" s="64"/>
      <c r="BI85" s="64"/>
      <c r="BJ85" s="64"/>
      <c r="BK85" s="64"/>
      <c r="BL85" s="64"/>
      <c r="BM85" s="64"/>
      <c r="BN85" s="64"/>
      <c r="BO85" s="64"/>
      <c r="BP85" s="64"/>
      <c r="BQ85" s="64"/>
      <c r="BR85" s="64"/>
      <c r="BS85" s="64"/>
      <c r="BT85" s="64"/>
    </row>
    <row r="86" spans="1:72" s="59" customFormat="1" x14ac:dyDescent="0.2">
      <c r="A86" s="64"/>
      <c r="B86" s="64"/>
      <c r="C86" s="86"/>
      <c r="D86" s="64"/>
      <c r="E86" s="64"/>
      <c r="F86" s="64"/>
      <c r="G86" s="64"/>
      <c r="H86" s="64"/>
      <c r="I86" s="64"/>
      <c r="J86" s="64"/>
      <c r="K86" s="64"/>
      <c r="L86" s="64"/>
      <c r="M86" s="82"/>
      <c r="BB86" s="64"/>
      <c r="BC86" s="64"/>
      <c r="BD86" s="64"/>
      <c r="BE86" s="64"/>
      <c r="BF86" s="64"/>
      <c r="BG86" s="64"/>
      <c r="BH86" s="64"/>
      <c r="BI86" s="64"/>
      <c r="BJ86" s="64"/>
      <c r="BK86" s="64"/>
      <c r="BL86" s="64"/>
      <c r="BM86" s="64"/>
      <c r="BN86" s="64"/>
      <c r="BO86" s="64"/>
      <c r="BP86" s="64"/>
      <c r="BQ86" s="64"/>
      <c r="BR86" s="64"/>
      <c r="BS86" s="64"/>
      <c r="BT86" s="64"/>
    </row>
    <row r="87" spans="1:72" s="59" customFormat="1" x14ac:dyDescent="0.2">
      <c r="A87" s="64"/>
      <c r="B87" s="64"/>
      <c r="C87" s="86"/>
      <c r="D87" s="64"/>
      <c r="E87" s="64"/>
      <c r="F87" s="64"/>
      <c r="G87" s="64"/>
      <c r="H87" s="64"/>
      <c r="I87" s="64"/>
      <c r="J87" s="64"/>
      <c r="K87" s="64"/>
      <c r="L87" s="64"/>
      <c r="M87" s="82"/>
      <c r="BB87" s="64"/>
      <c r="BC87" s="64"/>
      <c r="BD87" s="64"/>
      <c r="BE87" s="64"/>
      <c r="BF87" s="64"/>
      <c r="BG87" s="64"/>
      <c r="BH87" s="64"/>
      <c r="BI87" s="64"/>
      <c r="BJ87" s="64"/>
      <c r="BK87" s="64"/>
      <c r="BL87" s="64"/>
      <c r="BM87" s="64"/>
      <c r="BN87" s="64"/>
      <c r="BO87" s="64"/>
      <c r="BP87" s="64"/>
      <c r="BQ87" s="64"/>
      <c r="BR87" s="64"/>
      <c r="BS87" s="64"/>
      <c r="BT87" s="64"/>
    </row>
  </sheetData>
  <sheetProtection sheet="1" objects="1" scenarios="1"/>
  <mergeCells count="32">
    <mergeCell ref="C66:L66"/>
    <mergeCell ref="A6:N6"/>
    <mergeCell ref="D14:F14"/>
    <mergeCell ref="B57:M58"/>
    <mergeCell ref="K13:K15"/>
    <mergeCell ref="H14:I14"/>
    <mergeCell ref="H21:I21"/>
    <mergeCell ref="H24:I24"/>
    <mergeCell ref="H27:I27"/>
    <mergeCell ref="H30:I30"/>
    <mergeCell ref="H49:I49"/>
    <mergeCell ref="H25:I25"/>
    <mergeCell ref="H28:I28"/>
    <mergeCell ref="H31:I31"/>
    <mergeCell ref="H22:I22"/>
    <mergeCell ref="H48:I48"/>
    <mergeCell ref="A2:N2"/>
    <mergeCell ref="C64:L64"/>
    <mergeCell ref="H46:I46"/>
    <mergeCell ref="A4:N4"/>
    <mergeCell ref="C65:L65"/>
    <mergeCell ref="H52:I52"/>
    <mergeCell ref="H51:I51"/>
    <mergeCell ref="H33:I33"/>
    <mergeCell ref="H34:I34"/>
    <mergeCell ref="H36:I36"/>
    <mergeCell ref="H37:I37"/>
    <mergeCell ref="H39:I39"/>
    <mergeCell ref="H40:I40"/>
    <mergeCell ref="H42:I42"/>
    <mergeCell ref="H43:I43"/>
    <mergeCell ref="H45:I45"/>
  </mergeCells>
  <phoneticPr fontId="34" type="noConversion"/>
  <conditionalFormatting sqref="B57">
    <cfRule type="expression" dxfId="35" priority="118">
      <formula>AND($M57="Please comment")=TRUE</formula>
    </cfRule>
  </conditionalFormatting>
  <conditionalFormatting sqref="M16:M19">
    <cfRule type="expression" dxfId="34" priority="1">
      <formula>M16="OK"</formula>
    </cfRule>
    <cfRule type="expression" dxfId="33" priority="2">
      <formula>M16="Please provide a comment in DELTA"</formula>
    </cfRule>
  </conditionalFormatting>
  <conditionalFormatting sqref="M22">
    <cfRule type="expression" dxfId="32" priority="9">
      <formula>M22="OK"</formula>
    </cfRule>
    <cfRule type="expression" dxfId="31" priority="10">
      <formula>$M$22="Please check"</formula>
    </cfRule>
  </conditionalFormatting>
  <conditionalFormatting sqref="M25">
    <cfRule type="expression" dxfId="30" priority="11">
      <formula>$M$25="OK"</formula>
    </cfRule>
    <cfRule type="expression" dxfId="29" priority="12">
      <formula>$M$25="Please check"</formula>
    </cfRule>
  </conditionalFormatting>
  <conditionalFormatting sqref="M28">
    <cfRule type="expression" dxfId="28" priority="13">
      <formula>$M$28="OK"</formula>
    </cfRule>
    <cfRule type="expression" dxfId="27" priority="14">
      <formula>$M$28="Please check"</formula>
    </cfRule>
  </conditionalFormatting>
  <conditionalFormatting sqref="M31">
    <cfRule type="expression" dxfId="26" priority="16">
      <formula>$M$31="OK"</formula>
    </cfRule>
    <cfRule type="expression" dxfId="25" priority="17">
      <formula>$M$31="Please check"</formula>
    </cfRule>
  </conditionalFormatting>
  <conditionalFormatting sqref="M34">
    <cfRule type="expression" dxfId="24" priority="18">
      <formula>$M$34="OK"</formula>
    </cfRule>
    <cfRule type="expression" dxfId="23" priority="20">
      <formula>$M$34="Please check"</formula>
    </cfRule>
  </conditionalFormatting>
  <conditionalFormatting sqref="M37">
    <cfRule type="expression" dxfId="22" priority="22">
      <formula>$M$37="OK"</formula>
    </cfRule>
    <cfRule type="expression" dxfId="21" priority="23">
      <formula>$M$37="Please check"</formula>
    </cfRule>
  </conditionalFormatting>
  <conditionalFormatting sqref="M40">
    <cfRule type="expression" dxfId="20" priority="25">
      <formula>$M$40="OK"</formula>
    </cfRule>
    <cfRule type="expression" dxfId="19" priority="43">
      <formula>$M$40="Please check"</formula>
    </cfRule>
  </conditionalFormatting>
  <conditionalFormatting sqref="M43">
    <cfRule type="expression" dxfId="18" priority="77">
      <formula>$M$43="OK"</formula>
    </cfRule>
    <cfRule type="expression" dxfId="17" priority="79">
      <formula>$M$43="Please review"</formula>
    </cfRule>
  </conditionalFormatting>
  <conditionalFormatting sqref="M46">
    <cfRule type="expression" dxfId="16" priority="81">
      <formula>$M$46="OK"</formula>
    </cfRule>
    <cfRule type="expression" dxfId="15" priority="87">
      <formula>$M$46="Please check"</formula>
    </cfRule>
  </conditionalFormatting>
  <conditionalFormatting sqref="M49">
    <cfRule type="expression" dxfId="14" priority="109">
      <formula>$M$49="OK"</formula>
    </cfRule>
    <cfRule type="expression" dxfId="13" priority="110">
      <formula>$M$49="Please check"</formula>
    </cfRule>
  </conditionalFormatting>
  <conditionalFormatting sqref="M52">
    <cfRule type="expression" dxfId="12" priority="112">
      <formula>$M$52="OK"</formula>
    </cfRule>
    <cfRule type="expression" dxfId="11" priority="113">
      <formula>$M$52="Please check"</formula>
    </cfRule>
  </conditionalFormatting>
  <pageMargins left="0.39370078740157483" right="0.39370078740157483" top="0.39370078740157483" bottom="0.39370078740157483" header="0.31496062992125984" footer="0.31496062992125984"/>
  <pageSetup paperSize="9" scale="4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V172"/>
  <sheetViews>
    <sheetView showGridLines="0" zoomScale="80" zoomScaleNormal="80" workbookViewId="0"/>
  </sheetViews>
  <sheetFormatPr defaultColWidth="9.140625" defaultRowHeight="15" x14ac:dyDescent="0.2"/>
  <cols>
    <col min="1" max="1" width="6.42578125" style="6" customWidth="1"/>
    <col min="2" max="2" width="8.140625" style="6" customWidth="1"/>
    <col min="3" max="3" width="3.42578125" style="6" customWidth="1"/>
    <col min="4" max="4" width="69.42578125" style="6" customWidth="1"/>
    <col min="5" max="7" width="20.5703125" style="6" customWidth="1"/>
    <col min="8" max="8" width="28.5703125" style="49" customWidth="1"/>
    <col min="9" max="9" width="42.140625" style="49" customWidth="1"/>
    <col min="10" max="10" width="50.5703125" style="35" customWidth="1"/>
    <col min="11" max="11" width="3.140625" style="35" customWidth="1"/>
    <col min="12" max="12" width="6.42578125" style="35" customWidth="1"/>
    <col min="13" max="14" width="9.140625" style="35"/>
    <col min="15" max="15" width="3.5703125" style="35" customWidth="1"/>
    <col min="16" max="23" width="9.140625" style="35"/>
    <col min="24" max="24" width="10.42578125" style="35" bestFit="1" customWidth="1"/>
    <col min="25" max="27" width="9.140625" style="35"/>
    <col min="28" max="16384" width="9.140625" style="6"/>
  </cols>
  <sheetData>
    <row r="1" spans="1:43" x14ac:dyDescent="0.2">
      <c r="A1" s="781"/>
      <c r="B1" s="782"/>
      <c r="C1" s="782"/>
      <c r="D1" s="782"/>
      <c r="E1" s="782"/>
      <c r="F1" s="804"/>
      <c r="G1" s="782"/>
      <c r="H1" s="782"/>
      <c r="I1" s="782"/>
      <c r="J1" s="782"/>
      <c r="K1" s="782"/>
      <c r="L1" s="784"/>
      <c r="M1" s="6"/>
      <c r="N1" s="6"/>
      <c r="O1" s="6"/>
      <c r="P1" s="6"/>
      <c r="Q1" s="6"/>
      <c r="R1" s="6"/>
      <c r="S1" s="6"/>
      <c r="T1" s="6"/>
      <c r="U1" s="6"/>
      <c r="V1" s="6"/>
      <c r="W1" s="6"/>
      <c r="X1" s="6"/>
      <c r="Y1" s="6"/>
      <c r="Z1" s="6"/>
      <c r="AA1" s="6"/>
    </row>
    <row r="2" spans="1:43" ht="15.75" x14ac:dyDescent="0.25">
      <c r="A2" s="789"/>
      <c r="B2" s="1058" t="s">
        <v>259</v>
      </c>
      <c r="C2" s="1058"/>
      <c r="D2" s="1058"/>
      <c r="E2" s="1058"/>
      <c r="F2" s="1058"/>
      <c r="G2" s="1058"/>
      <c r="H2" s="1058"/>
      <c r="I2" s="1058"/>
      <c r="J2" s="1058"/>
      <c r="K2" s="805"/>
      <c r="L2" s="806"/>
      <c r="M2" s="807"/>
      <c r="N2" s="807"/>
      <c r="O2" s="807"/>
      <c r="P2" s="807"/>
      <c r="Q2" s="807"/>
      <c r="R2" s="807"/>
      <c r="S2" s="807"/>
      <c r="T2" s="807"/>
      <c r="U2" s="6"/>
      <c r="V2" s="6"/>
      <c r="W2" s="6"/>
      <c r="X2" s="6"/>
      <c r="Y2" s="6"/>
      <c r="Z2" s="6"/>
      <c r="AA2" s="6"/>
    </row>
    <row r="3" spans="1:43" ht="15.75" x14ac:dyDescent="0.25">
      <c r="A3" s="789"/>
      <c r="J3" s="6"/>
      <c r="K3" s="805"/>
      <c r="L3" s="806"/>
      <c r="M3" s="807"/>
      <c r="N3" s="807"/>
      <c r="O3" s="807"/>
      <c r="P3" s="807"/>
      <c r="Q3" s="807"/>
      <c r="R3" s="807"/>
      <c r="S3" s="807"/>
      <c r="T3" s="807"/>
      <c r="U3" s="6"/>
      <c r="V3" s="6"/>
      <c r="W3" s="6"/>
      <c r="X3" s="6"/>
      <c r="Y3" s="6"/>
      <c r="Z3" s="6"/>
      <c r="AA3" s="6"/>
    </row>
    <row r="4" spans="1:43" ht="15.75" x14ac:dyDescent="0.25">
      <c r="A4" s="789"/>
      <c r="B4" s="1058" t="s">
        <v>260</v>
      </c>
      <c r="C4" s="1058"/>
      <c r="D4" s="1058"/>
      <c r="E4" s="1058"/>
      <c r="F4" s="1058"/>
      <c r="G4" s="1058"/>
      <c r="H4" s="1058"/>
      <c r="I4" s="1058"/>
      <c r="J4" s="1058"/>
      <c r="K4" s="808"/>
      <c r="L4" s="806"/>
      <c r="M4" s="807"/>
      <c r="N4" s="807"/>
      <c r="O4" s="807"/>
      <c r="P4" s="807"/>
      <c r="Q4" s="807"/>
      <c r="R4" s="807"/>
      <c r="S4" s="807"/>
      <c r="T4" s="807"/>
      <c r="U4" s="6"/>
      <c r="V4" s="6"/>
      <c r="W4" s="6"/>
      <c r="X4" s="809"/>
      <c r="Y4" s="6"/>
      <c r="Z4" s="6"/>
      <c r="AA4" s="6"/>
    </row>
    <row r="5" spans="1:43" ht="15.75" x14ac:dyDescent="0.25">
      <c r="A5" s="789"/>
      <c r="B5" s="1059"/>
      <c r="C5" s="1059"/>
      <c r="D5" s="1059"/>
      <c r="E5" s="1059"/>
      <c r="F5" s="1059"/>
      <c r="G5" s="1059"/>
      <c r="H5" s="1059"/>
      <c r="I5" s="1059"/>
      <c r="J5" s="1059"/>
      <c r="K5" s="641"/>
      <c r="L5" s="810"/>
      <c r="M5" s="6"/>
      <c r="N5" s="6"/>
      <c r="O5" s="811"/>
      <c r="P5" s="812"/>
      <c r="Q5" s="6"/>
      <c r="R5" s="6"/>
      <c r="S5" s="6"/>
      <c r="T5" s="6"/>
      <c r="U5" s="6"/>
      <c r="V5" s="6"/>
      <c r="W5" s="6"/>
      <c r="X5" s="6"/>
      <c r="Y5" s="6"/>
      <c r="Z5" s="6"/>
      <c r="AA5" s="6"/>
    </row>
    <row r="6" spans="1:43" ht="15.75" x14ac:dyDescent="0.25">
      <c r="A6" s="789"/>
      <c r="B6" s="641"/>
      <c r="C6" s="641"/>
      <c r="D6" s="641"/>
      <c r="E6" s="641"/>
      <c r="F6" s="641"/>
      <c r="G6" s="641"/>
      <c r="H6" s="641"/>
      <c r="I6" s="641"/>
      <c r="J6" s="641"/>
      <c r="K6" s="641"/>
      <c r="L6" s="810"/>
      <c r="M6" s="6"/>
      <c r="N6" s="6"/>
      <c r="O6" s="811"/>
      <c r="P6" s="812"/>
      <c r="Q6" s="6"/>
      <c r="R6" s="6"/>
      <c r="S6" s="6"/>
      <c r="T6" s="6"/>
      <c r="U6" s="6"/>
      <c r="V6" s="6"/>
      <c r="W6" s="6"/>
      <c r="X6" s="6"/>
      <c r="Y6" s="6"/>
      <c r="Z6" s="6"/>
      <c r="AA6" s="6"/>
    </row>
    <row r="7" spans="1:43" x14ac:dyDescent="0.2">
      <c r="A7" s="789"/>
      <c r="B7" s="793"/>
      <c r="C7" s="793"/>
      <c r="D7" s="793"/>
      <c r="E7" s="794"/>
      <c r="F7" s="794"/>
      <c r="G7" s="794"/>
      <c r="H7" s="794"/>
      <c r="I7" s="794"/>
      <c r="J7" s="794"/>
      <c r="K7" s="794"/>
      <c r="L7" s="785"/>
      <c r="M7" s="6"/>
      <c r="N7" s="6"/>
      <c r="O7" s="813"/>
      <c r="P7" s="814"/>
      <c r="Q7" s="6"/>
      <c r="R7" s="6"/>
      <c r="S7" s="6"/>
      <c r="T7" s="6"/>
      <c r="U7" s="6"/>
      <c r="V7" s="6"/>
      <c r="W7" s="6"/>
      <c r="X7" s="6"/>
      <c r="Y7" s="6"/>
      <c r="Z7" s="6"/>
      <c r="AA7" s="6"/>
    </row>
    <row r="8" spans="1:43" ht="15.75" x14ac:dyDescent="0.25">
      <c r="A8" s="789"/>
      <c r="B8" s="791" t="str">
        <f>CONCATENATE("Local Authority: ",+CTR1_Billing!E20)</f>
        <v>Local Authority: ZZZZ</v>
      </c>
      <c r="C8" s="793"/>
      <c r="D8" s="793"/>
      <c r="E8" s="794"/>
      <c r="F8" s="794"/>
      <c r="G8" s="794"/>
      <c r="H8" s="794"/>
      <c r="I8" s="794"/>
      <c r="J8" s="794"/>
      <c r="K8" s="794"/>
      <c r="L8" s="785"/>
      <c r="M8" s="6"/>
      <c r="N8" s="6"/>
      <c r="O8" s="813"/>
      <c r="P8" s="814"/>
      <c r="Q8" s="6"/>
      <c r="R8" s="6"/>
      <c r="S8" s="6"/>
      <c r="T8" s="6"/>
      <c r="U8" s="6"/>
      <c r="V8" s="6"/>
      <c r="W8" s="6"/>
      <c r="X8" s="6"/>
      <c r="Y8" s="6"/>
      <c r="Z8" s="6"/>
      <c r="AA8" s="6"/>
    </row>
    <row r="9" spans="1:43" x14ac:dyDescent="0.2">
      <c r="A9" s="789"/>
      <c r="B9" s="6" t="str">
        <f>CONCATENATE("E-code: ",CTR1_Billing!E21)</f>
        <v>E-code: EZZZZ</v>
      </c>
      <c r="C9" s="793"/>
      <c r="D9" s="793"/>
      <c r="E9" s="794"/>
      <c r="F9" s="794"/>
      <c r="G9" s="794"/>
      <c r="H9" s="794"/>
      <c r="I9" s="794"/>
      <c r="J9" s="794"/>
      <c r="K9" s="794"/>
      <c r="L9" s="785"/>
      <c r="M9" s="6"/>
      <c r="N9" s="6"/>
      <c r="O9" s="813"/>
      <c r="P9" s="814"/>
      <c r="Q9" s="6"/>
      <c r="R9" s="6"/>
      <c r="S9" s="6"/>
      <c r="T9" s="6"/>
      <c r="U9" s="6"/>
      <c r="V9" s="6"/>
      <c r="W9" s="6"/>
      <c r="X9" s="6"/>
      <c r="Y9" s="6"/>
      <c r="Z9" s="6"/>
      <c r="AA9" s="6"/>
    </row>
    <row r="10" spans="1:43" ht="16.5" thickBot="1" x14ac:dyDescent="0.3">
      <c r="A10" s="795"/>
      <c r="B10" s="796"/>
      <c r="C10" s="796"/>
      <c r="D10" s="798"/>
      <c r="E10" s="799"/>
      <c r="F10" s="799"/>
      <c r="G10" s="799"/>
      <c r="H10" s="799"/>
      <c r="I10" s="799"/>
      <c r="J10" s="799"/>
      <c r="K10" s="799"/>
      <c r="L10" s="800"/>
      <c r="M10" s="6"/>
      <c r="N10" s="6"/>
      <c r="O10" s="815"/>
      <c r="P10" s="814"/>
      <c r="Q10" s="6"/>
      <c r="R10" s="6"/>
      <c r="S10" s="6"/>
      <c r="T10" s="6"/>
      <c r="U10" s="6"/>
      <c r="V10" s="6"/>
      <c r="W10" s="6"/>
      <c r="X10" s="6"/>
      <c r="Y10" s="6"/>
      <c r="Z10" s="6"/>
      <c r="AA10" s="6"/>
    </row>
    <row r="11" spans="1:43" s="35" customFormat="1" ht="15.75" x14ac:dyDescent="0.25">
      <c r="A11" s="37"/>
      <c r="B11" s="135"/>
      <c r="C11" s="135"/>
      <c r="H11" s="38"/>
      <c r="I11" s="38"/>
      <c r="L11" s="39"/>
      <c r="O11" s="41"/>
      <c r="P11" s="40"/>
    </row>
    <row r="12" spans="1:43" s="35" customFormat="1" x14ac:dyDescent="0.2">
      <c r="A12" s="37"/>
      <c r="B12" s="136"/>
      <c r="C12" s="136"/>
      <c r="D12" s="136"/>
      <c r="H12" s="38"/>
      <c r="I12" s="38"/>
      <c r="L12" s="39"/>
      <c r="O12" s="41"/>
      <c r="P12" s="40"/>
    </row>
    <row r="13" spans="1:43" ht="15.75" x14ac:dyDescent="0.25">
      <c r="A13" s="37"/>
      <c r="B13" s="137"/>
      <c r="C13" s="35"/>
      <c r="D13" s="135"/>
      <c r="E13" s="35"/>
      <c r="F13" s="35"/>
      <c r="G13" s="35"/>
      <c r="H13" s="38"/>
      <c r="I13" s="38"/>
      <c r="L13" s="39"/>
      <c r="O13" s="41"/>
      <c r="P13" s="40"/>
      <c r="AB13" s="35"/>
      <c r="AC13" s="35"/>
      <c r="AD13" s="35"/>
      <c r="AE13" s="35"/>
      <c r="AF13" s="35"/>
      <c r="AG13" s="35"/>
      <c r="AH13" s="35"/>
      <c r="AI13" s="35"/>
      <c r="AJ13" s="35"/>
      <c r="AK13" s="35"/>
      <c r="AL13" s="35"/>
      <c r="AM13" s="35"/>
      <c r="AN13" s="35"/>
      <c r="AO13" s="35"/>
      <c r="AP13" s="35"/>
      <c r="AQ13" s="35"/>
    </row>
    <row r="14" spans="1:43" ht="20.25" customHeight="1" x14ac:dyDescent="0.2">
      <c r="A14" s="50"/>
      <c r="B14" s="138" t="s">
        <v>225</v>
      </c>
      <c r="C14" s="182"/>
      <c r="D14" s="183"/>
      <c r="E14" s="139" t="s">
        <v>261</v>
      </c>
      <c r="F14" s="139" t="s">
        <v>262</v>
      </c>
      <c r="G14" s="139" t="s">
        <v>224</v>
      </c>
      <c r="H14" s="140" t="s">
        <v>263</v>
      </c>
      <c r="I14" s="503"/>
      <c r="J14" s="1060"/>
      <c r="K14" s="1060"/>
      <c r="L14" s="39"/>
      <c r="O14" s="41"/>
      <c r="P14" s="42"/>
      <c r="Q14" s="42"/>
      <c r="R14" s="42"/>
      <c r="S14" s="42"/>
      <c r="T14" s="42"/>
      <c r="U14" s="42"/>
      <c r="V14" s="42"/>
      <c r="AB14" s="35"/>
      <c r="AC14" s="35"/>
      <c r="AD14" s="35"/>
      <c r="AE14" s="35"/>
      <c r="AF14" s="35"/>
      <c r="AG14" s="35"/>
      <c r="AH14" s="35"/>
      <c r="AI14" s="35"/>
      <c r="AJ14" s="35"/>
      <c r="AK14" s="35"/>
      <c r="AL14" s="35"/>
      <c r="AM14" s="35"/>
      <c r="AN14" s="35"/>
      <c r="AO14" s="35"/>
      <c r="AP14" s="35"/>
      <c r="AQ14" s="35"/>
    </row>
    <row r="15" spans="1:43" ht="20.25" customHeight="1" x14ac:dyDescent="0.2">
      <c r="A15" s="37"/>
      <c r="B15" s="55">
        <v>1</v>
      </c>
      <c r="C15" s="54"/>
      <c r="D15" s="141" t="s">
        <v>264</v>
      </c>
      <c r="E15" s="57">
        <f>ROUND(CTR1_Billing!$H$32,0)</f>
        <v>0</v>
      </c>
      <c r="F15" s="142">
        <f>ROUND(CTR1_Local!$P$24,0)</f>
        <v>0</v>
      </c>
      <c r="G15" s="233">
        <f>$F$15-$E$15</f>
        <v>0</v>
      </c>
      <c r="H15" s="178">
        <v>0</v>
      </c>
      <c r="I15" s="235" t="str">
        <f>IF($G$15=$H$15,"OK",IF($G$15&lt;&gt;$H$15,"Please check"))</f>
        <v>OK</v>
      </c>
      <c r="J15" s="1061"/>
      <c r="K15" s="1061"/>
      <c r="L15" s="43" t="str">
        <f>+IF(N15+O15=2,"!","")</f>
        <v/>
      </c>
      <c r="P15" s="42"/>
      <c r="Q15" s="42"/>
      <c r="R15" s="42"/>
      <c r="S15" s="42"/>
      <c r="T15" s="42"/>
      <c r="U15" s="42"/>
      <c r="V15" s="42"/>
      <c r="AB15" s="35"/>
      <c r="AC15" s="35"/>
      <c r="AD15" s="35"/>
      <c r="AE15" s="35"/>
      <c r="AF15" s="35"/>
      <c r="AG15" s="35"/>
      <c r="AH15" s="35"/>
      <c r="AI15" s="35"/>
      <c r="AJ15" s="35"/>
      <c r="AK15" s="35"/>
      <c r="AL15" s="35"/>
      <c r="AM15" s="35"/>
      <c r="AN15" s="35"/>
      <c r="AO15" s="35"/>
      <c r="AP15" s="35"/>
      <c r="AQ15" s="35"/>
    </row>
    <row r="16" spans="1:43" ht="20.25" customHeight="1" x14ac:dyDescent="0.2">
      <c r="A16" s="37"/>
      <c r="B16" s="55">
        <v>2</v>
      </c>
      <c r="C16" s="185"/>
      <c r="D16" s="184" t="s">
        <v>265</v>
      </c>
      <c r="E16" s="142">
        <f>CTR1_Billing!$F$123</f>
        <v>0</v>
      </c>
      <c r="F16" s="142">
        <f>CTR1_Local!$N$17</f>
        <v>0</v>
      </c>
      <c r="G16" s="233">
        <f>$F$16-$E$16</f>
        <v>0</v>
      </c>
      <c r="H16" s="178">
        <v>0</v>
      </c>
      <c r="I16" s="236" t="str">
        <f>IF($G$16=$H$16,"OK",IF($G$16&lt;&gt;$H$16,"Please check"))</f>
        <v>OK</v>
      </c>
      <c r="J16" s="1061"/>
      <c r="K16" s="1061"/>
      <c r="L16" s="43"/>
      <c r="P16" s="42"/>
      <c r="Q16" s="42"/>
      <c r="R16" s="42"/>
      <c r="S16" s="42"/>
      <c r="T16" s="42"/>
      <c r="U16" s="42"/>
      <c r="V16" s="42"/>
      <c r="AB16" s="35"/>
      <c r="AC16" s="35"/>
      <c r="AD16" s="35"/>
      <c r="AE16" s="35"/>
      <c r="AF16" s="35"/>
      <c r="AG16" s="35"/>
      <c r="AH16" s="35"/>
      <c r="AI16" s="35"/>
      <c r="AJ16" s="35"/>
      <c r="AK16" s="35"/>
      <c r="AL16" s="35"/>
      <c r="AM16" s="35"/>
      <c r="AN16" s="35"/>
      <c r="AO16" s="35"/>
      <c r="AP16" s="35"/>
      <c r="AQ16" s="35"/>
    </row>
    <row r="17" spans="1:43" ht="20.25" customHeight="1" x14ac:dyDescent="0.2">
      <c r="A17" s="37"/>
      <c r="B17" s="55">
        <v>3</v>
      </c>
      <c r="C17" s="185"/>
      <c r="D17" s="184" t="s">
        <v>266</v>
      </c>
      <c r="E17" s="57">
        <f>CTR1_Billing!$F$125</f>
        <v>0</v>
      </c>
      <c r="F17" s="142">
        <f>CTR1_Local!$N$19</f>
        <v>0</v>
      </c>
      <c r="G17" s="233">
        <f>$F$17-$E$17</f>
        <v>0</v>
      </c>
      <c r="H17" s="178">
        <v>0</v>
      </c>
      <c r="I17" s="236" t="str">
        <f>IF($G$17=$H$17,"OK",IF($G$17&lt;&gt;$H$17,"Please check"))</f>
        <v>OK</v>
      </c>
      <c r="J17" s="1061"/>
      <c r="K17" s="1061"/>
      <c r="L17" s="45"/>
      <c r="O17" s="41"/>
      <c r="P17" s="42"/>
      <c r="Q17" s="42"/>
      <c r="R17" s="42"/>
      <c r="S17" s="42"/>
      <c r="T17" s="42"/>
      <c r="U17" s="42"/>
      <c r="V17" s="42"/>
      <c r="AB17" s="35"/>
      <c r="AC17" s="35"/>
      <c r="AD17" s="35"/>
      <c r="AE17" s="35"/>
      <c r="AF17" s="35"/>
      <c r="AG17" s="35"/>
      <c r="AH17" s="35"/>
      <c r="AI17" s="35"/>
      <c r="AJ17" s="35"/>
      <c r="AK17" s="35"/>
      <c r="AL17" s="35"/>
      <c r="AM17" s="35"/>
      <c r="AN17" s="35"/>
      <c r="AO17" s="35"/>
      <c r="AP17" s="35"/>
      <c r="AQ17" s="35"/>
    </row>
    <row r="18" spans="1:43" ht="20.25" customHeight="1" x14ac:dyDescent="0.2">
      <c r="A18" s="37"/>
      <c r="B18" s="55">
        <v>4</v>
      </c>
      <c r="C18" s="185"/>
      <c r="D18" s="184" t="s">
        <v>267</v>
      </c>
      <c r="E18" s="57">
        <f>CTR1_Billing!$F$127</f>
        <v>0</v>
      </c>
      <c r="F18" s="142">
        <f>CTR1_Local!$N$21</f>
        <v>0</v>
      </c>
      <c r="G18" s="233">
        <f>$F$18-$E$18</f>
        <v>0</v>
      </c>
      <c r="H18" s="178">
        <v>0</v>
      </c>
      <c r="I18" s="236" t="str">
        <f>IF($G$18=$H$18,"OK",IF($G$18&lt;&gt;$H$18,"Please check"))</f>
        <v>OK</v>
      </c>
      <c r="J18" s="1061"/>
      <c r="K18" s="1061"/>
      <c r="L18" s="45"/>
      <c r="O18" s="41"/>
      <c r="P18" s="42"/>
      <c r="Q18" s="42"/>
      <c r="R18" s="42"/>
      <c r="S18" s="42"/>
      <c r="T18" s="42"/>
      <c r="U18" s="42"/>
      <c r="V18" s="42"/>
      <c r="AB18" s="35"/>
      <c r="AC18" s="35"/>
      <c r="AD18" s="35"/>
      <c r="AE18" s="35"/>
      <c r="AF18" s="35"/>
      <c r="AG18" s="35"/>
      <c r="AH18" s="35"/>
      <c r="AI18" s="35"/>
      <c r="AJ18" s="35"/>
      <c r="AK18" s="35"/>
      <c r="AL18" s="35"/>
      <c r="AM18" s="35"/>
      <c r="AN18" s="35"/>
      <c r="AO18" s="35"/>
      <c r="AP18" s="35"/>
      <c r="AQ18" s="35"/>
    </row>
    <row r="19" spans="1:43" ht="20.25" customHeight="1" x14ac:dyDescent="0.2">
      <c r="A19" s="816"/>
      <c r="B19" s="55">
        <v>5</v>
      </c>
      <c r="D19" s="184" t="s">
        <v>268</v>
      </c>
      <c r="E19" s="510">
        <f>ROUND(CTR1_Billing!$H$123,2)</f>
        <v>0</v>
      </c>
      <c r="F19" s="510">
        <f>ROUND(CTR1_Local!$P$17,2)</f>
        <v>0</v>
      </c>
      <c r="G19" s="233">
        <f>$F$19-$E$19</f>
        <v>0</v>
      </c>
      <c r="H19" s="178">
        <v>0</v>
      </c>
      <c r="I19" s="236" t="str">
        <f>IF($G$19=$H$19,"OK",IF($G$19&lt;&gt;$H$19,"Please check"))</f>
        <v>OK</v>
      </c>
      <c r="J19" s="1061"/>
      <c r="K19" s="1061"/>
      <c r="L19" s="45"/>
      <c r="O19" s="41"/>
      <c r="P19" s="42"/>
      <c r="Q19" s="42"/>
      <c r="R19" s="42"/>
      <c r="S19" s="42"/>
      <c r="T19" s="42"/>
      <c r="U19" s="42"/>
      <c r="V19" s="42"/>
      <c r="AB19" s="35"/>
      <c r="AC19" s="35"/>
      <c r="AD19" s="35"/>
      <c r="AE19" s="35"/>
      <c r="AF19" s="35"/>
      <c r="AG19" s="35"/>
      <c r="AH19" s="35"/>
      <c r="AI19" s="35"/>
      <c r="AJ19" s="35"/>
      <c r="AK19" s="35"/>
      <c r="AL19" s="35"/>
      <c r="AM19" s="35"/>
      <c r="AN19" s="35"/>
      <c r="AO19" s="35"/>
      <c r="AP19" s="35"/>
      <c r="AQ19" s="35"/>
    </row>
    <row r="20" spans="1:43" ht="20.25" customHeight="1" x14ac:dyDescent="0.2">
      <c r="A20" s="816"/>
      <c r="B20" s="55">
        <v>6</v>
      </c>
      <c r="C20" s="54"/>
      <c r="D20" s="141" t="s">
        <v>269</v>
      </c>
      <c r="E20" s="510">
        <f>ROUND(CTR1_Billing!$H$125,2)</f>
        <v>0</v>
      </c>
      <c r="F20" s="510">
        <f>ROUND(CTR1_Local!$P$19,2)</f>
        <v>0</v>
      </c>
      <c r="G20" s="233">
        <f>$F$20-$E$20</f>
        <v>0</v>
      </c>
      <c r="H20" s="178">
        <v>0</v>
      </c>
      <c r="I20" s="236" t="str">
        <f>IF($G$20=$H$20,"OK",IF($G$20&lt;&gt;$H$20,"Please check"))</f>
        <v>OK</v>
      </c>
      <c r="J20" s="1061"/>
      <c r="K20" s="1061"/>
      <c r="L20" s="45"/>
      <c r="O20" s="41"/>
      <c r="P20" s="42"/>
      <c r="Q20" s="42"/>
      <c r="R20" s="42"/>
      <c r="S20" s="42"/>
      <c r="T20" s="42"/>
      <c r="U20" s="42"/>
      <c r="V20" s="42"/>
      <c r="AB20" s="35"/>
      <c r="AC20" s="35"/>
      <c r="AD20" s="35"/>
      <c r="AE20" s="35"/>
      <c r="AF20" s="35"/>
      <c r="AG20" s="35"/>
      <c r="AH20" s="35"/>
      <c r="AI20" s="35"/>
      <c r="AJ20" s="35"/>
      <c r="AK20" s="35"/>
      <c r="AL20" s="35"/>
      <c r="AM20" s="35"/>
      <c r="AN20" s="35"/>
      <c r="AO20" s="35"/>
      <c r="AP20" s="35"/>
      <c r="AQ20" s="35"/>
    </row>
    <row r="21" spans="1:43" ht="20.25" customHeight="1" x14ac:dyDescent="0.2">
      <c r="A21" s="816"/>
      <c r="B21" s="143">
        <v>7</v>
      </c>
      <c r="C21" s="144"/>
      <c r="D21" s="145" t="s">
        <v>270</v>
      </c>
      <c r="E21" s="511">
        <f>ROUND(CTR1_Billing!$H$127,2)</f>
        <v>0</v>
      </c>
      <c r="F21" s="512">
        <f>ROUND(CTR1_Local!$P$21,2)</f>
        <v>0</v>
      </c>
      <c r="G21" s="234">
        <f>$F$21-$E$21</f>
        <v>0</v>
      </c>
      <c r="H21" s="179">
        <v>0</v>
      </c>
      <c r="I21" s="186" t="str">
        <f>IF($G$21=$H$21,"OK",IF($G$21&lt;&gt;$H$21,"Please check"))</f>
        <v>OK</v>
      </c>
      <c r="J21" s="1061"/>
      <c r="K21" s="1061"/>
      <c r="L21" s="45"/>
      <c r="O21" s="41"/>
      <c r="P21" s="42"/>
      <c r="Q21" s="42"/>
      <c r="R21" s="42"/>
      <c r="S21" s="42"/>
      <c r="T21" s="42"/>
      <c r="U21" s="42"/>
      <c r="V21" s="42"/>
      <c r="AB21" s="35"/>
      <c r="AC21" s="35"/>
      <c r="AD21" s="35"/>
      <c r="AE21" s="35"/>
      <c r="AF21" s="35"/>
      <c r="AG21" s="35"/>
      <c r="AH21" s="35"/>
      <c r="AI21" s="35"/>
      <c r="AJ21" s="35"/>
      <c r="AK21" s="35"/>
      <c r="AL21" s="35"/>
      <c r="AM21" s="35"/>
      <c r="AN21" s="35"/>
      <c r="AO21" s="35"/>
      <c r="AP21" s="35"/>
      <c r="AQ21" s="35"/>
    </row>
    <row r="22" spans="1:43" ht="15.75" x14ac:dyDescent="0.2">
      <c r="A22" s="37"/>
      <c r="B22" s="54"/>
      <c r="C22" s="54"/>
      <c r="D22" s="141"/>
      <c r="E22" s="47"/>
      <c r="F22" s="47"/>
      <c r="G22" s="146"/>
      <c r="H22" s="147"/>
      <c r="I22" s="181"/>
      <c r="J22" s="56"/>
      <c r="K22" s="56"/>
      <c r="L22" s="45"/>
      <c r="N22" s="46"/>
      <c r="O22" s="46"/>
      <c r="P22" s="42"/>
      <c r="Q22" s="42"/>
      <c r="R22" s="42"/>
      <c r="S22" s="42"/>
      <c r="T22" s="42"/>
      <c r="U22" s="42"/>
      <c r="V22" s="42"/>
      <c r="AB22" s="35"/>
      <c r="AC22" s="35"/>
      <c r="AD22" s="35"/>
      <c r="AE22" s="35"/>
      <c r="AF22" s="35"/>
      <c r="AG22" s="35"/>
      <c r="AH22" s="35"/>
      <c r="AI22" s="35"/>
      <c r="AJ22" s="35"/>
      <c r="AK22" s="35"/>
      <c r="AL22" s="35"/>
      <c r="AM22" s="35"/>
      <c r="AN22" s="35"/>
      <c r="AO22" s="35"/>
      <c r="AP22" s="35"/>
      <c r="AQ22" s="35"/>
    </row>
    <row r="23" spans="1:43" ht="17.25" customHeight="1" thickBot="1" x14ac:dyDescent="0.25">
      <c r="A23" s="278"/>
      <c r="B23" s="279"/>
      <c r="C23" s="279"/>
      <c r="D23" s="279"/>
      <c r="E23" s="279"/>
      <c r="F23" s="279"/>
      <c r="G23" s="279"/>
      <c r="H23" s="280"/>
      <c r="I23" s="280"/>
      <c r="J23" s="279"/>
      <c r="K23" s="279"/>
      <c r="L23" s="281"/>
      <c r="AB23" s="35"/>
      <c r="AC23" s="35"/>
      <c r="AD23" s="35"/>
      <c r="AE23" s="35"/>
      <c r="AF23" s="35"/>
      <c r="AG23" s="35"/>
      <c r="AH23" s="35"/>
      <c r="AI23" s="35"/>
      <c r="AJ23" s="35"/>
      <c r="AK23" s="35"/>
      <c r="AL23" s="35"/>
      <c r="AM23" s="35"/>
      <c r="AN23" s="35"/>
      <c r="AO23" s="35"/>
      <c r="AP23" s="35"/>
      <c r="AQ23" s="35"/>
    </row>
    <row r="24" spans="1:43" x14ac:dyDescent="0.2">
      <c r="A24" s="53"/>
      <c r="B24" s="1057"/>
      <c r="C24" s="1057"/>
      <c r="D24" s="1057"/>
      <c r="E24" s="35"/>
      <c r="F24" s="35"/>
      <c r="G24" s="52"/>
      <c r="H24" s="1056"/>
      <c r="I24" s="1056"/>
      <c r="J24" s="1056"/>
      <c r="K24" s="51"/>
      <c r="L24" s="53"/>
      <c r="AB24" s="35"/>
      <c r="AC24" s="35"/>
      <c r="AD24" s="35"/>
      <c r="AE24" s="35"/>
      <c r="AF24" s="35"/>
      <c r="AG24" s="35"/>
      <c r="AH24" s="35"/>
      <c r="AI24" s="35"/>
      <c r="AJ24" s="35"/>
      <c r="AK24" s="35"/>
      <c r="AL24" s="35"/>
      <c r="AM24" s="35"/>
      <c r="AN24" s="35"/>
      <c r="AO24" s="35"/>
      <c r="AP24" s="35"/>
      <c r="AQ24" s="35"/>
    </row>
    <row r="25" spans="1:43" x14ac:dyDescent="0.2">
      <c r="A25" s="35"/>
      <c r="B25" s="1057"/>
      <c r="C25" s="1057"/>
      <c r="D25" s="1057"/>
      <c r="E25" s="35"/>
      <c r="F25" s="35"/>
      <c r="G25" s="52"/>
      <c r="H25" s="1056"/>
      <c r="I25" s="1056"/>
      <c r="J25" s="1056"/>
      <c r="K25" s="51"/>
      <c r="AB25" s="35"/>
      <c r="AC25" s="35"/>
      <c r="AD25" s="35"/>
      <c r="AE25" s="35"/>
      <c r="AF25" s="35"/>
      <c r="AG25" s="35"/>
      <c r="AH25" s="35"/>
      <c r="AI25" s="35"/>
      <c r="AJ25" s="35"/>
      <c r="AK25" s="35"/>
      <c r="AL25" s="35"/>
      <c r="AM25" s="35"/>
      <c r="AN25" s="35"/>
      <c r="AO25" s="35"/>
      <c r="AP25" s="35"/>
      <c r="AQ25" s="35"/>
    </row>
    <row r="26" spans="1:43" x14ac:dyDescent="0.2">
      <c r="A26" s="35"/>
      <c r="B26" s="1057"/>
      <c r="C26" s="1057"/>
      <c r="D26" s="1057"/>
      <c r="E26" s="35"/>
      <c r="F26" s="35"/>
      <c r="G26" s="52"/>
      <c r="H26" s="1056"/>
      <c r="I26" s="1056"/>
      <c r="J26" s="1056"/>
      <c r="K26" s="51"/>
      <c r="AB26" s="35"/>
      <c r="AC26" s="35"/>
      <c r="AD26" s="35"/>
      <c r="AE26" s="35"/>
      <c r="AF26" s="35"/>
      <c r="AG26" s="35"/>
      <c r="AH26" s="35"/>
      <c r="AI26" s="35"/>
      <c r="AJ26" s="35"/>
      <c r="AK26" s="35"/>
      <c r="AL26" s="35"/>
      <c r="AM26" s="35"/>
      <c r="AN26" s="35"/>
      <c r="AO26" s="35"/>
      <c r="AP26" s="35"/>
      <c r="AQ26" s="35"/>
    </row>
    <row r="27" spans="1:43" x14ac:dyDescent="0.2">
      <c r="A27" s="35"/>
      <c r="B27" s="1057"/>
      <c r="C27" s="1057"/>
      <c r="D27" s="1057"/>
      <c r="E27" s="35"/>
      <c r="F27" s="35"/>
      <c r="G27" s="52"/>
      <c r="H27" s="1056"/>
      <c r="I27" s="1056"/>
      <c r="J27" s="1056"/>
      <c r="K27" s="51"/>
      <c r="AB27" s="35"/>
      <c r="AC27" s="35"/>
      <c r="AD27" s="35"/>
      <c r="AE27" s="35"/>
      <c r="AF27" s="35"/>
      <c r="AG27" s="35"/>
      <c r="AH27" s="35"/>
      <c r="AI27" s="35"/>
      <c r="AJ27" s="35"/>
      <c r="AK27" s="35"/>
      <c r="AL27" s="35"/>
      <c r="AM27" s="35"/>
      <c r="AN27" s="35"/>
      <c r="AO27" s="35"/>
      <c r="AP27" s="35"/>
      <c r="AQ27" s="35"/>
    </row>
    <row r="28" spans="1:43" x14ac:dyDescent="0.2">
      <c r="A28" s="35"/>
      <c r="B28" s="1057"/>
      <c r="C28" s="1057"/>
      <c r="D28" s="1057"/>
      <c r="E28" s="35"/>
      <c r="F28" s="35"/>
      <c r="G28" s="52"/>
      <c r="H28" s="1056"/>
      <c r="I28" s="1056"/>
      <c r="J28" s="1056"/>
      <c r="K28" s="51"/>
      <c r="AB28" s="35"/>
      <c r="AC28" s="35"/>
      <c r="AD28" s="35"/>
      <c r="AE28" s="35"/>
      <c r="AF28" s="35"/>
      <c r="AG28" s="35"/>
      <c r="AH28" s="35"/>
      <c r="AI28" s="35"/>
      <c r="AJ28" s="35"/>
      <c r="AK28" s="35"/>
      <c r="AL28" s="35"/>
      <c r="AM28" s="35"/>
      <c r="AN28" s="35"/>
      <c r="AO28" s="35"/>
      <c r="AP28" s="35"/>
      <c r="AQ28" s="35"/>
    </row>
    <row r="29" spans="1:43" x14ac:dyDescent="0.2">
      <c r="A29" s="35"/>
      <c r="B29" s="1057"/>
      <c r="C29" s="1057"/>
      <c r="D29" s="1057"/>
      <c r="E29" s="47"/>
      <c r="F29" s="47"/>
      <c r="G29" s="52"/>
      <c r="H29" s="1056"/>
      <c r="I29" s="1056"/>
      <c r="J29" s="1056"/>
      <c r="K29" s="51"/>
      <c r="AB29" s="35"/>
      <c r="AC29" s="35"/>
      <c r="AD29" s="35"/>
      <c r="AE29" s="35"/>
      <c r="AF29" s="35"/>
      <c r="AG29" s="35"/>
      <c r="AH29" s="35"/>
      <c r="AI29" s="35"/>
      <c r="AJ29" s="35"/>
      <c r="AK29" s="35"/>
      <c r="AL29" s="35"/>
      <c r="AM29" s="35"/>
      <c r="AN29" s="35"/>
      <c r="AO29" s="35"/>
      <c r="AP29" s="35"/>
      <c r="AQ29" s="35"/>
    </row>
    <row r="30" spans="1:43" s="35" customFormat="1" x14ac:dyDescent="0.2">
      <c r="B30" s="1057"/>
      <c r="C30" s="1057"/>
      <c r="D30" s="1057"/>
      <c r="F30" s="48"/>
      <c r="G30" s="52"/>
      <c r="H30" s="1056"/>
      <c r="I30" s="1056"/>
      <c r="J30" s="1056"/>
      <c r="K30" s="51"/>
    </row>
    <row r="31" spans="1:43" s="35" customFormat="1" x14ac:dyDescent="0.2">
      <c r="B31" s="1057"/>
      <c r="C31" s="1057"/>
      <c r="D31" s="1057"/>
      <c r="F31" s="48"/>
      <c r="G31" s="52"/>
      <c r="H31" s="1056"/>
      <c r="I31" s="1056"/>
      <c r="J31" s="1056"/>
      <c r="K31" s="51"/>
    </row>
    <row r="32" spans="1:43" s="35" customFormat="1" x14ac:dyDescent="0.2">
      <c r="B32" s="1057"/>
      <c r="C32" s="1057"/>
      <c r="D32" s="1057"/>
      <c r="G32" s="52"/>
      <c r="H32" s="1056"/>
      <c r="I32" s="1056"/>
      <c r="J32" s="1056"/>
      <c r="K32" s="51"/>
    </row>
    <row r="33" spans="1:74" s="35" customFormat="1" x14ac:dyDescent="0.2">
      <c r="D33" s="38"/>
      <c r="F33" s="48"/>
      <c r="H33" s="38"/>
      <c r="I33" s="38"/>
    </row>
    <row r="34" spans="1:74" s="35" customFormat="1" x14ac:dyDescent="0.2"/>
    <row r="35" spans="1:74" s="35" customFormat="1" x14ac:dyDescent="0.2"/>
    <row r="36" spans="1:74" s="35" customFormat="1" x14ac:dyDescent="0.2"/>
    <row r="37" spans="1:74" s="35" customFormat="1" x14ac:dyDescent="0.2"/>
    <row r="38" spans="1:74" s="35" customFormat="1" x14ac:dyDescent="0.2"/>
    <row r="39" spans="1:74" s="35" customFormat="1" x14ac:dyDescent="0.2">
      <c r="H39" s="38"/>
      <c r="I39" s="38"/>
    </row>
    <row r="40" spans="1:74" s="35" customFormat="1" x14ac:dyDescent="0.2">
      <c r="H40" s="38"/>
      <c r="I40" s="38"/>
    </row>
    <row r="41" spans="1:74" s="35" customFormat="1" x14ac:dyDescent="0.2">
      <c r="H41" s="38"/>
      <c r="I41" s="38"/>
    </row>
    <row r="42" spans="1:74" x14ac:dyDescent="0.2">
      <c r="A42" s="35"/>
      <c r="B42" s="35"/>
      <c r="C42" s="35"/>
      <c r="D42" s="35"/>
      <c r="E42" s="35"/>
      <c r="F42" s="35"/>
      <c r="G42" s="35"/>
      <c r="H42" s="38"/>
      <c r="I42" s="38"/>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row>
    <row r="43" spans="1:74" x14ac:dyDescent="0.2">
      <c r="A43" s="35"/>
      <c r="B43" s="35"/>
      <c r="C43" s="35"/>
      <c r="D43" s="35"/>
      <c r="E43" s="35"/>
      <c r="F43" s="35"/>
      <c r="G43" s="35"/>
      <c r="H43" s="38"/>
      <c r="I43" s="38"/>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row>
    <row r="44" spans="1:74" x14ac:dyDescent="0.2">
      <c r="A44" s="35"/>
      <c r="B44" s="35"/>
      <c r="C44" s="35"/>
      <c r="D44" s="35"/>
      <c r="E44" s="35"/>
      <c r="F44" s="35"/>
      <c r="G44" s="35"/>
      <c r="H44" s="38"/>
      <c r="I44" s="38"/>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row>
    <row r="45" spans="1:74" x14ac:dyDescent="0.2">
      <c r="A45" s="35"/>
      <c r="B45" s="35"/>
      <c r="C45" s="35"/>
      <c r="D45" s="35"/>
      <c r="E45" s="35"/>
      <c r="F45" s="35"/>
      <c r="G45" s="35"/>
      <c r="H45" s="38"/>
      <c r="I45" s="38"/>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row>
    <row r="46" spans="1:74" x14ac:dyDescent="0.2">
      <c r="A46" s="35"/>
      <c r="B46" s="35"/>
      <c r="C46" s="35"/>
      <c r="D46" s="35"/>
      <c r="E46" s="35"/>
      <c r="F46" s="35"/>
      <c r="G46" s="35"/>
      <c r="H46" s="38"/>
      <c r="I46" s="38"/>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row>
    <row r="47" spans="1:74" x14ac:dyDescent="0.2">
      <c r="A47" s="35"/>
      <c r="B47" s="35"/>
      <c r="C47" s="35"/>
      <c r="D47" s="35"/>
      <c r="E47" s="35"/>
      <c r="F47" s="35"/>
      <c r="G47" s="35"/>
      <c r="H47" s="38"/>
      <c r="I47" s="38"/>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row>
    <row r="48" spans="1:74" x14ac:dyDescent="0.2">
      <c r="A48" s="35"/>
      <c r="B48" s="35"/>
      <c r="C48" s="35"/>
      <c r="D48" s="35"/>
      <c r="E48" s="35"/>
      <c r="F48" s="35"/>
      <c r="G48" s="35"/>
      <c r="H48" s="38"/>
      <c r="I48" s="38"/>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row>
    <row r="49" spans="1:74" x14ac:dyDescent="0.2">
      <c r="A49" s="35"/>
      <c r="B49" s="35"/>
      <c r="C49" s="35"/>
      <c r="D49" s="35"/>
      <c r="E49" s="35"/>
      <c r="F49" s="35"/>
      <c r="G49" s="35"/>
      <c r="H49" s="38"/>
      <c r="I49" s="38"/>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row>
    <row r="50" spans="1:74" x14ac:dyDescent="0.2">
      <c r="A50" s="35"/>
      <c r="B50" s="35"/>
      <c r="C50" s="35"/>
      <c r="D50" s="35"/>
      <c r="E50" s="35"/>
      <c r="F50" s="35"/>
      <c r="G50" s="35"/>
      <c r="H50" s="38"/>
      <c r="I50" s="38"/>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row>
    <row r="51" spans="1:74" x14ac:dyDescent="0.2">
      <c r="A51" s="35"/>
      <c r="B51" s="35"/>
      <c r="C51" s="35"/>
      <c r="D51" s="35"/>
      <c r="E51" s="35"/>
      <c r="F51" s="35"/>
      <c r="G51" s="35"/>
      <c r="H51" s="38"/>
      <c r="I51" s="38"/>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row>
    <row r="52" spans="1:74" x14ac:dyDescent="0.2">
      <c r="A52" s="35"/>
      <c r="B52" s="35"/>
      <c r="C52" s="35"/>
      <c r="D52" s="35"/>
      <c r="E52" s="35"/>
      <c r="F52" s="35"/>
      <c r="G52" s="35"/>
      <c r="H52" s="38"/>
      <c r="I52" s="38"/>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row>
    <row r="53" spans="1:74" x14ac:dyDescent="0.2">
      <c r="A53" s="35"/>
      <c r="B53" s="35"/>
      <c r="C53" s="35"/>
      <c r="D53" s="35"/>
      <c r="E53" s="35"/>
      <c r="F53" s="35"/>
      <c r="G53" s="35"/>
      <c r="H53" s="38"/>
      <c r="I53" s="38"/>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row>
    <row r="54" spans="1:74" x14ac:dyDescent="0.2">
      <c r="A54" s="35"/>
      <c r="B54" s="35"/>
      <c r="C54" s="35"/>
      <c r="D54" s="35"/>
      <c r="E54" s="35"/>
      <c r="F54" s="35"/>
      <c r="G54" s="35"/>
      <c r="H54" s="38"/>
      <c r="I54" s="38"/>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row>
    <row r="55" spans="1:74" x14ac:dyDescent="0.2">
      <c r="A55" s="35"/>
      <c r="B55" s="35"/>
      <c r="C55" s="35"/>
      <c r="D55" s="35"/>
      <c r="E55" s="35"/>
      <c r="F55" s="35"/>
      <c r="G55" s="35"/>
      <c r="H55" s="38"/>
      <c r="I55" s="38"/>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row>
    <row r="56" spans="1:74" x14ac:dyDescent="0.2">
      <c r="A56" s="35"/>
      <c r="B56" s="35"/>
      <c r="C56" s="35"/>
      <c r="D56" s="35"/>
      <c r="E56" s="35"/>
      <c r="F56" s="35"/>
      <c r="G56" s="35"/>
      <c r="H56" s="38"/>
      <c r="I56" s="38"/>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row>
    <row r="57" spans="1:74" x14ac:dyDescent="0.2">
      <c r="A57" s="35"/>
      <c r="B57" s="35"/>
      <c r="C57" s="35"/>
      <c r="D57" s="35"/>
      <c r="E57" s="35"/>
      <c r="F57" s="35"/>
      <c r="G57" s="35"/>
      <c r="H57" s="38"/>
      <c r="I57" s="38"/>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row>
    <row r="58" spans="1:74" x14ac:dyDescent="0.2">
      <c r="A58" s="35"/>
      <c r="B58" s="35"/>
      <c r="C58" s="35"/>
      <c r="D58" s="35"/>
      <c r="E58" s="35"/>
      <c r="F58" s="35"/>
      <c r="G58" s="35"/>
      <c r="H58" s="38"/>
      <c r="I58" s="38"/>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row>
    <row r="59" spans="1:74" x14ac:dyDescent="0.2">
      <c r="A59" s="35"/>
      <c r="B59" s="35"/>
      <c r="C59" s="35"/>
      <c r="D59" s="35"/>
      <c r="E59" s="35"/>
      <c r="F59" s="35"/>
      <c r="G59" s="35"/>
      <c r="H59" s="38"/>
      <c r="I59" s="38"/>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row>
    <row r="60" spans="1:74" x14ac:dyDescent="0.2">
      <c r="A60" s="35"/>
      <c r="B60" s="35"/>
      <c r="C60" s="35"/>
      <c r="D60" s="35"/>
      <c r="E60" s="35"/>
      <c r="F60" s="35"/>
      <c r="G60" s="35"/>
      <c r="H60" s="38"/>
      <c r="I60" s="38"/>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row>
    <row r="61" spans="1:74" x14ac:dyDescent="0.2">
      <c r="A61" s="35"/>
      <c r="B61" s="35"/>
      <c r="C61" s="35"/>
      <c r="D61" s="35"/>
      <c r="E61" s="35"/>
      <c r="F61" s="35"/>
      <c r="G61" s="35"/>
      <c r="H61" s="38"/>
      <c r="I61" s="38"/>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row>
    <row r="62" spans="1:74" x14ac:dyDescent="0.2">
      <c r="A62" s="35"/>
      <c r="B62" s="35"/>
      <c r="C62" s="35"/>
      <c r="D62" s="35"/>
      <c r="E62" s="35"/>
      <c r="F62" s="35"/>
      <c r="G62" s="35"/>
      <c r="H62" s="38"/>
      <c r="I62" s="38"/>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row>
    <row r="63" spans="1:74" x14ac:dyDescent="0.2">
      <c r="A63" s="35"/>
      <c r="B63" s="35"/>
      <c r="C63" s="35"/>
      <c r="D63" s="35"/>
      <c r="E63" s="35"/>
      <c r="F63" s="35"/>
      <c r="G63" s="35"/>
      <c r="H63" s="38"/>
      <c r="I63" s="38"/>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row>
    <row r="64" spans="1:74" x14ac:dyDescent="0.2">
      <c r="A64" s="35"/>
      <c r="B64" s="35"/>
      <c r="C64" s="35"/>
      <c r="D64" s="35"/>
      <c r="E64" s="35"/>
      <c r="F64" s="35"/>
      <c r="G64" s="35"/>
      <c r="H64" s="38"/>
      <c r="I64" s="38"/>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row>
    <row r="65" spans="1:74" x14ac:dyDescent="0.2">
      <c r="A65" s="35"/>
      <c r="B65" s="35"/>
      <c r="C65" s="35"/>
      <c r="D65" s="35"/>
      <c r="E65" s="35"/>
      <c r="F65" s="35"/>
      <c r="G65" s="35"/>
      <c r="H65" s="38"/>
      <c r="I65" s="38"/>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row>
    <row r="66" spans="1:74" x14ac:dyDescent="0.2">
      <c r="A66" s="35"/>
      <c r="B66" s="35"/>
      <c r="C66" s="35"/>
      <c r="D66" s="35"/>
      <c r="E66" s="35"/>
      <c r="F66" s="35"/>
      <c r="G66" s="35"/>
      <c r="H66" s="38"/>
      <c r="I66" s="38"/>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row>
    <row r="67" spans="1:74" x14ac:dyDescent="0.2">
      <c r="A67" s="35"/>
      <c r="B67" s="35"/>
      <c r="C67" s="35"/>
      <c r="D67" s="35"/>
      <c r="E67" s="35"/>
      <c r="F67" s="35"/>
      <c r="G67" s="35"/>
      <c r="H67" s="38"/>
      <c r="I67" s="38"/>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row>
    <row r="68" spans="1:74" x14ac:dyDescent="0.2">
      <c r="A68" s="35"/>
      <c r="B68" s="35"/>
      <c r="C68" s="35"/>
      <c r="D68" s="35"/>
      <c r="E68" s="35"/>
      <c r="F68" s="35"/>
      <c r="G68" s="35"/>
      <c r="H68" s="38"/>
      <c r="I68" s="38"/>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row>
    <row r="69" spans="1:74" x14ac:dyDescent="0.2">
      <c r="A69" s="35"/>
      <c r="B69" s="35"/>
      <c r="C69" s="35"/>
      <c r="D69" s="35"/>
      <c r="E69" s="35"/>
      <c r="F69" s="35"/>
      <c r="G69" s="35"/>
      <c r="H69" s="38"/>
      <c r="I69" s="38"/>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row>
    <row r="70" spans="1:74" x14ac:dyDescent="0.2">
      <c r="A70" s="35"/>
      <c r="B70" s="35"/>
      <c r="C70" s="35"/>
      <c r="D70" s="35"/>
      <c r="E70" s="35"/>
      <c r="F70" s="35"/>
      <c r="G70" s="35"/>
      <c r="H70" s="38"/>
      <c r="I70" s="38"/>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row>
    <row r="71" spans="1:74" x14ac:dyDescent="0.2">
      <c r="A71" s="35"/>
      <c r="B71" s="35"/>
      <c r="C71" s="35"/>
      <c r="D71" s="35"/>
      <c r="E71" s="35"/>
      <c r="F71" s="35"/>
      <c r="G71" s="35"/>
      <c r="H71" s="38"/>
      <c r="I71" s="38"/>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row>
    <row r="72" spans="1:74" x14ac:dyDescent="0.2">
      <c r="A72" s="35"/>
      <c r="B72" s="35"/>
      <c r="C72" s="35"/>
      <c r="D72" s="35"/>
      <c r="E72" s="35"/>
      <c r="F72" s="35"/>
      <c r="G72" s="35"/>
      <c r="H72" s="38"/>
      <c r="I72" s="38"/>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row>
    <row r="73" spans="1:74" x14ac:dyDescent="0.2">
      <c r="A73" s="35"/>
      <c r="B73" s="35"/>
      <c r="C73" s="35"/>
      <c r="D73" s="35"/>
      <c r="E73" s="35"/>
      <c r="F73" s="35"/>
      <c r="G73" s="35"/>
      <c r="H73" s="38"/>
      <c r="I73" s="38"/>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row>
    <row r="74" spans="1:74" x14ac:dyDescent="0.2">
      <c r="A74" s="35"/>
      <c r="B74" s="35"/>
      <c r="C74" s="35"/>
      <c r="D74" s="35"/>
      <c r="E74" s="35"/>
      <c r="F74" s="35"/>
      <c r="G74" s="35"/>
      <c r="H74" s="38"/>
      <c r="I74" s="38"/>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row>
    <row r="75" spans="1:74" x14ac:dyDescent="0.2">
      <c r="A75" s="35"/>
      <c r="B75" s="35"/>
      <c r="C75" s="35"/>
      <c r="D75" s="35"/>
      <c r="E75" s="35"/>
      <c r="F75" s="35"/>
      <c r="G75" s="35"/>
      <c r="H75" s="38"/>
      <c r="I75" s="38"/>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row>
    <row r="76" spans="1:74" x14ac:dyDescent="0.2">
      <c r="A76" s="35"/>
      <c r="B76" s="35"/>
      <c r="C76" s="35"/>
      <c r="D76" s="35"/>
      <c r="E76" s="35"/>
      <c r="F76" s="35"/>
      <c r="G76" s="35"/>
      <c r="H76" s="38"/>
      <c r="I76" s="38"/>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row>
    <row r="77" spans="1:74" x14ac:dyDescent="0.2">
      <c r="A77" s="35"/>
      <c r="B77" s="35"/>
      <c r="C77" s="35"/>
      <c r="D77" s="35"/>
      <c r="E77" s="35"/>
      <c r="F77" s="35"/>
      <c r="G77" s="35"/>
      <c r="H77" s="38"/>
      <c r="I77" s="38"/>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row>
    <row r="78" spans="1:74" x14ac:dyDescent="0.2">
      <c r="A78" s="35"/>
      <c r="B78" s="35"/>
      <c r="C78" s="35"/>
      <c r="D78" s="35"/>
      <c r="E78" s="35"/>
      <c r="F78" s="35"/>
      <c r="G78" s="35"/>
      <c r="H78" s="38"/>
      <c r="I78" s="38"/>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row>
    <row r="79" spans="1:74" x14ac:dyDescent="0.2">
      <c r="A79" s="35"/>
      <c r="B79" s="35"/>
      <c r="C79" s="35"/>
      <c r="D79" s="35"/>
      <c r="E79" s="35"/>
      <c r="F79" s="35"/>
      <c r="G79" s="35"/>
      <c r="H79" s="38"/>
      <c r="I79" s="38"/>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row>
    <row r="80" spans="1:74" x14ac:dyDescent="0.2">
      <c r="A80" s="35"/>
      <c r="B80" s="35"/>
      <c r="C80" s="35"/>
      <c r="D80" s="35"/>
      <c r="E80" s="35"/>
      <c r="F80" s="35"/>
      <c r="G80" s="35"/>
      <c r="H80" s="38"/>
      <c r="I80" s="38"/>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row>
    <row r="81" spans="1:74" x14ac:dyDescent="0.2">
      <c r="A81" s="35"/>
      <c r="B81" s="35"/>
      <c r="C81" s="35"/>
      <c r="D81" s="35"/>
      <c r="E81" s="35"/>
      <c r="F81" s="35"/>
      <c r="G81" s="35"/>
      <c r="H81" s="38"/>
      <c r="I81" s="38"/>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row>
    <row r="82" spans="1:74" x14ac:dyDescent="0.2">
      <c r="A82" s="35"/>
      <c r="B82" s="35"/>
      <c r="C82" s="35"/>
      <c r="D82" s="35"/>
      <c r="E82" s="35"/>
      <c r="F82" s="35"/>
      <c r="G82" s="35"/>
      <c r="H82" s="38"/>
      <c r="I82" s="38"/>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row>
    <row r="83" spans="1:74" x14ac:dyDescent="0.2">
      <c r="A83" s="35"/>
      <c r="B83" s="35"/>
      <c r="C83" s="35"/>
      <c r="D83" s="35"/>
      <c r="E83" s="35"/>
      <c r="F83" s="35"/>
      <c r="G83" s="35"/>
      <c r="H83" s="38"/>
      <c r="I83" s="38"/>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row>
    <row r="84" spans="1:74" x14ac:dyDescent="0.2">
      <c r="A84" s="35"/>
      <c r="B84" s="35"/>
      <c r="C84" s="35"/>
      <c r="D84" s="35"/>
      <c r="E84" s="35"/>
      <c r="F84" s="35"/>
      <c r="G84" s="35"/>
      <c r="H84" s="38"/>
      <c r="I84" s="38"/>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row>
    <row r="85" spans="1:74" x14ac:dyDescent="0.2">
      <c r="A85" s="35"/>
      <c r="B85" s="35"/>
      <c r="C85" s="35"/>
      <c r="D85" s="35"/>
      <c r="E85" s="35"/>
      <c r="F85" s="35"/>
      <c r="G85" s="35"/>
      <c r="H85" s="38"/>
      <c r="I85" s="38"/>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row>
    <row r="86" spans="1:74" x14ac:dyDescent="0.2">
      <c r="A86" s="35"/>
      <c r="B86" s="35"/>
      <c r="C86" s="35"/>
      <c r="D86" s="35"/>
      <c r="E86" s="35"/>
      <c r="F86" s="35"/>
      <c r="G86" s="35"/>
      <c r="H86" s="38"/>
      <c r="I86" s="38"/>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row>
    <row r="87" spans="1:74" x14ac:dyDescent="0.2">
      <c r="A87" s="35"/>
      <c r="B87" s="35"/>
      <c r="C87" s="35"/>
      <c r="D87" s="35"/>
      <c r="E87" s="35"/>
      <c r="F87" s="35"/>
      <c r="G87" s="35"/>
      <c r="H87" s="38"/>
      <c r="I87" s="38"/>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row>
    <row r="88" spans="1:74" x14ac:dyDescent="0.2">
      <c r="A88" s="35"/>
      <c r="B88" s="35"/>
      <c r="C88" s="35"/>
      <c r="D88" s="35"/>
      <c r="E88" s="35"/>
      <c r="F88" s="35"/>
      <c r="G88" s="35"/>
      <c r="H88" s="38"/>
      <c r="I88" s="38"/>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row>
    <row r="89" spans="1:74" x14ac:dyDescent="0.2">
      <c r="A89" s="35"/>
      <c r="B89" s="35"/>
      <c r="C89" s="35"/>
      <c r="D89" s="35"/>
      <c r="E89" s="35"/>
      <c r="F89" s="35"/>
      <c r="G89" s="35"/>
      <c r="H89" s="38"/>
      <c r="I89" s="38"/>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row>
    <row r="90" spans="1:74" x14ac:dyDescent="0.2">
      <c r="A90" s="35"/>
      <c r="B90" s="35"/>
      <c r="C90" s="35"/>
      <c r="D90" s="35"/>
      <c r="E90" s="35"/>
      <c r="F90" s="35"/>
      <c r="G90" s="35"/>
      <c r="H90" s="38"/>
      <c r="I90" s="38"/>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row>
    <row r="91" spans="1:74" x14ac:dyDescent="0.2">
      <c r="A91" s="35"/>
      <c r="B91" s="35"/>
      <c r="C91" s="35"/>
      <c r="D91" s="35"/>
      <c r="E91" s="35"/>
      <c r="F91" s="35"/>
      <c r="G91" s="35"/>
      <c r="H91" s="38"/>
      <c r="I91" s="38"/>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row>
    <row r="92" spans="1:74" x14ac:dyDescent="0.2">
      <c r="A92" s="35"/>
      <c r="B92" s="35"/>
      <c r="C92" s="35"/>
      <c r="D92" s="35"/>
      <c r="E92" s="35"/>
      <c r="F92" s="35"/>
      <c r="G92" s="35"/>
      <c r="H92" s="38"/>
      <c r="I92" s="38"/>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row>
    <row r="93" spans="1:74" x14ac:dyDescent="0.2">
      <c r="A93" s="35"/>
      <c r="B93" s="35"/>
      <c r="C93" s="35"/>
      <c r="D93" s="35"/>
      <c r="E93" s="35"/>
      <c r="F93" s="35"/>
      <c r="G93" s="35"/>
      <c r="H93" s="38"/>
      <c r="I93" s="38"/>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row>
    <row r="94" spans="1:74" x14ac:dyDescent="0.2">
      <c r="A94" s="35"/>
      <c r="B94" s="35"/>
      <c r="C94" s="35"/>
      <c r="D94" s="35"/>
      <c r="E94" s="35"/>
      <c r="F94" s="35"/>
      <c r="G94" s="35"/>
      <c r="H94" s="38"/>
      <c r="I94" s="38"/>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row>
    <row r="95" spans="1:74" x14ac:dyDescent="0.2">
      <c r="A95" s="35"/>
      <c r="B95" s="35"/>
      <c r="C95" s="35"/>
      <c r="D95" s="35"/>
      <c r="E95" s="35"/>
      <c r="F95" s="35"/>
      <c r="G95" s="35"/>
      <c r="H95" s="38"/>
      <c r="I95" s="38"/>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row>
    <row r="96" spans="1:74" x14ac:dyDescent="0.2">
      <c r="A96" s="35"/>
      <c r="B96" s="35"/>
      <c r="C96" s="35"/>
      <c r="D96" s="35"/>
      <c r="E96" s="35"/>
      <c r="F96" s="35"/>
      <c r="G96" s="35"/>
      <c r="H96" s="38"/>
      <c r="I96" s="38"/>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row>
    <row r="97" spans="1:74" x14ac:dyDescent="0.2">
      <c r="A97" s="35"/>
      <c r="B97" s="35"/>
      <c r="C97" s="35"/>
      <c r="D97" s="35"/>
      <c r="E97" s="35"/>
      <c r="F97" s="35"/>
      <c r="G97" s="35"/>
      <c r="H97" s="38"/>
      <c r="I97" s="38"/>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row>
    <row r="98" spans="1:74" x14ac:dyDescent="0.2">
      <c r="A98" s="35"/>
      <c r="B98" s="35"/>
      <c r="C98" s="35"/>
      <c r="D98" s="35"/>
      <c r="E98" s="35"/>
      <c r="F98" s="35"/>
      <c r="G98" s="35"/>
      <c r="H98" s="38"/>
      <c r="I98" s="38"/>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row>
    <row r="99" spans="1:74" x14ac:dyDescent="0.2">
      <c r="A99" s="35"/>
      <c r="B99" s="35"/>
      <c r="C99" s="35"/>
      <c r="D99" s="35"/>
      <c r="E99" s="35"/>
      <c r="F99" s="35"/>
      <c r="G99" s="35"/>
      <c r="H99" s="38"/>
      <c r="I99" s="38"/>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row>
    <row r="100" spans="1:74" x14ac:dyDescent="0.2">
      <c r="A100" s="35"/>
      <c r="B100" s="35"/>
      <c r="C100" s="35"/>
      <c r="D100" s="35"/>
      <c r="E100" s="35"/>
      <c r="F100" s="35"/>
      <c r="G100" s="35"/>
      <c r="H100" s="38"/>
      <c r="I100" s="38"/>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row>
    <row r="101" spans="1:74" x14ac:dyDescent="0.2">
      <c r="A101" s="35"/>
      <c r="B101" s="35"/>
      <c r="C101" s="35"/>
      <c r="D101" s="35"/>
      <c r="E101" s="35"/>
      <c r="F101" s="35"/>
      <c r="G101" s="35"/>
      <c r="H101" s="38"/>
      <c r="I101" s="38"/>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row>
    <row r="102" spans="1:74" x14ac:dyDescent="0.2">
      <c r="A102" s="35"/>
      <c r="B102" s="35"/>
      <c r="C102" s="35"/>
      <c r="D102" s="35"/>
      <c r="E102" s="35"/>
      <c r="F102" s="35"/>
      <c r="G102" s="35"/>
      <c r="H102" s="38"/>
      <c r="I102" s="38"/>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row>
    <row r="103" spans="1:74" x14ac:dyDescent="0.2">
      <c r="A103" s="35"/>
      <c r="B103" s="35"/>
      <c r="C103" s="35"/>
      <c r="D103" s="35"/>
      <c r="E103" s="35"/>
      <c r="F103" s="35"/>
      <c r="G103" s="35"/>
      <c r="H103" s="38"/>
      <c r="I103" s="38"/>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row>
    <row r="104" spans="1:74" x14ac:dyDescent="0.2">
      <c r="A104" s="35"/>
      <c r="B104" s="35"/>
      <c r="C104" s="35"/>
      <c r="D104" s="35"/>
      <c r="E104" s="35"/>
      <c r="F104" s="35"/>
      <c r="G104" s="35"/>
      <c r="H104" s="38"/>
      <c r="I104" s="38"/>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row>
    <row r="105" spans="1:74" x14ac:dyDescent="0.2">
      <c r="A105" s="35"/>
      <c r="B105" s="35"/>
      <c r="C105" s="35"/>
      <c r="D105" s="35"/>
      <c r="E105" s="35"/>
      <c r="F105" s="35"/>
      <c r="G105" s="35"/>
      <c r="H105" s="38"/>
      <c r="I105" s="38"/>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row>
    <row r="106" spans="1:74" x14ac:dyDescent="0.2">
      <c r="A106" s="35"/>
      <c r="B106" s="35"/>
      <c r="C106" s="35"/>
      <c r="D106" s="35"/>
      <c r="E106" s="35"/>
      <c r="F106" s="35"/>
      <c r="G106" s="35"/>
      <c r="H106" s="38"/>
      <c r="I106" s="38"/>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row>
    <row r="107" spans="1:74" x14ac:dyDescent="0.2">
      <c r="A107" s="35"/>
      <c r="B107" s="35"/>
      <c r="C107" s="35"/>
      <c r="D107" s="35"/>
      <c r="E107" s="35"/>
      <c r="F107" s="35"/>
      <c r="G107" s="35"/>
      <c r="H107" s="38"/>
      <c r="I107" s="38"/>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row>
    <row r="108" spans="1:74" x14ac:dyDescent="0.2">
      <c r="A108" s="35"/>
      <c r="B108" s="35"/>
      <c r="C108" s="35"/>
      <c r="D108" s="35"/>
      <c r="E108" s="35"/>
      <c r="F108" s="35"/>
      <c r="G108" s="35"/>
      <c r="H108" s="38"/>
      <c r="I108" s="38"/>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row>
    <row r="109" spans="1:74" x14ac:dyDescent="0.2">
      <c r="A109" s="35"/>
      <c r="B109" s="35"/>
      <c r="C109" s="35"/>
      <c r="D109" s="35"/>
      <c r="E109" s="35"/>
      <c r="F109" s="35"/>
      <c r="G109" s="35"/>
      <c r="H109" s="38"/>
      <c r="I109" s="38"/>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row>
    <row r="110" spans="1:74" x14ac:dyDescent="0.2">
      <c r="A110" s="35"/>
      <c r="B110" s="35"/>
      <c r="C110" s="35"/>
      <c r="D110" s="35"/>
      <c r="E110" s="35"/>
      <c r="F110" s="35"/>
      <c r="G110" s="35"/>
      <c r="H110" s="38"/>
      <c r="I110" s="38"/>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row>
    <row r="111" spans="1:74" x14ac:dyDescent="0.2">
      <c r="A111" s="35"/>
      <c r="B111" s="35"/>
      <c r="C111" s="35"/>
      <c r="D111" s="35"/>
      <c r="E111" s="35"/>
      <c r="F111" s="35"/>
      <c r="G111" s="35"/>
      <c r="H111" s="38"/>
      <c r="I111" s="38"/>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row>
    <row r="112" spans="1:74" x14ac:dyDescent="0.2">
      <c r="A112" s="35"/>
      <c r="B112" s="35"/>
      <c r="C112" s="35"/>
      <c r="D112" s="35"/>
      <c r="E112" s="35"/>
      <c r="F112" s="35"/>
      <c r="G112" s="35"/>
      <c r="H112" s="38"/>
      <c r="I112" s="38"/>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row>
    <row r="113" spans="1:74" x14ac:dyDescent="0.2">
      <c r="A113" s="35"/>
      <c r="B113" s="35"/>
      <c r="C113" s="35"/>
      <c r="D113" s="35"/>
      <c r="E113" s="35"/>
      <c r="F113" s="35"/>
      <c r="G113" s="35"/>
      <c r="H113" s="38"/>
      <c r="I113" s="38"/>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row>
    <row r="114" spans="1:74" x14ac:dyDescent="0.2">
      <c r="A114" s="35"/>
      <c r="B114" s="35"/>
      <c r="C114" s="35"/>
      <c r="D114" s="35"/>
      <c r="E114" s="35"/>
      <c r="F114" s="35"/>
      <c r="G114" s="35"/>
      <c r="H114" s="38"/>
      <c r="I114" s="38"/>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row>
    <row r="115" spans="1:74" x14ac:dyDescent="0.2">
      <c r="A115" s="35"/>
      <c r="B115" s="35"/>
      <c r="C115" s="35"/>
      <c r="D115" s="35"/>
      <c r="E115" s="35"/>
      <c r="F115" s="35"/>
      <c r="G115" s="35"/>
      <c r="H115" s="38"/>
      <c r="I115" s="38"/>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row>
    <row r="116" spans="1:74" x14ac:dyDescent="0.2">
      <c r="A116" s="35"/>
      <c r="B116" s="35"/>
      <c r="C116" s="35"/>
      <c r="D116" s="35"/>
      <c r="E116" s="35"/>
      <c r="F116" s="35"/>
      <c r="G116" s="35"/>
      <c r="H116" s="38"/>
      <c r="I116" s="38"/>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row>
    <row r="117" spans="1:74" x14ac:dyDescent="0.2">
      <c r="A117" s="35"/>
      <c r="B117" s="35"/>
      <c r="C117" s="35"/>
      <c r="D117" s="35"/>
      <c r="E117" s="35"/>
      <c r="F117" s="35"/>
      <c r="G117" s="35"/>
      <c r="H117" s="38"/>
      <c r="I117" s="38"/>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row>
    <row r="118" spans="1:74" x14ac:dyDescent="0.2">
      <c r="A118" s="35"/>
      <c r="B118" s="35"/>
      <c r="C118" s="35"/>
      <c r="D118" s="35"/>
      <c r="E118" s="35"/>
      <c r="F118" s="35"/>
      <c r="G118" s="35"/>
      <c r="H118" s="38"/>
      <c r="I118" s="38"/>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row>
    <row r="119" spans="1:74" x14ac:dyDescent="0.2">
      <c r="A119" s="35"/>
      <c r="B119" s="35"/>
      <c r="C119" s="35"/>
      <c r="D119" s="35"/>
      <c r="E119" s="35"/>
      <c r="F119" s="35"/>
      <c r="G119" s="35"/>
      <c r="H119" s="38"/>
      <c r="I119" s="38"/>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row>
    <row r="120" spans="1:74" x14ac:dyDescent="0.2">
      <c r="A120" s="35"/>
      <c r="B120" s="35"/>
      <c r="C120" s="35"/>
      <c r="D120" s="35"/>
      <c r="E120" s="35"/>
      <c r="F120" s="35"/>
      <c r="G120" s="35"/>
      <c r="H120" s="38"/>
      <c r="I120" s="38"/>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row>
    <row r="121" spans="1:74" x14ac:dyDescent="0.2">
      <c r="A121" s="35"/>
      <c r="B121" s="35"/>
      <c r="C121" s="35"/>
      <c r="D121" s="35"/>
      <c r="E121" s="35"/>
      <c r="F121" s="35"/>
      <c r="G121" s="35"/>
      <c r="H121" s="38"/>
      <c r="I121" s="38"/>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row>
    <row r="122" spans="1:74" x14ac:dyDescent="0.2">
      <c r="A122" s="35"/>
      <c r="B122" s="35"/>
      <c r="C122" s="35"/>
      <c r="D122" s="35"/>
      <c r="E122" s="35"/>
      <c r="F122" s="35"/>
      <c r="G122" s="35"/>
      <c r="H122" s="38"/>
      <c r="I122" s="38"/>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row>
    <row r="123" spans="1:74" x14ac:dyDescent="0.2">
      <c r="A123" s="35"/>
      <c r="B123" s="35"/>
      <c r="C123" s="35"/>
      <c r="D123" s="35"/>
      <c r="E123" s="35"/>
      <c r="F123" s="35"/>
      <c r="G123" s="35"/>
      <c r="H123" s="38"/>
      <c r="I123" s="38"/>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row>
    <row r="124" spans="1:74" x14ac:dyDescent="0.2">
      <c r="A124" s="35"/>
      <c r="B124" s="35"/>
      <c r="C124" s="35"/>
      <c r="D124" s="35"/>
      <c r="E124" s="35"/>
      <c r="F124" s="35"/>
      <c r="G124" s="35"/>
      <c r="H124" s="38"/>
      <c r="I124" s="38"/>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row>
    <row r="125" spans="1:74" x14ac:dyDescent="0.2">
      <c r="A125" s="35"/>
      <c r="B125" s="35"/>
      <c r="C125" s="35"/>
      <c r="D125" s="35"/>
      <c r="E125" s="35"/>
      <c r="F125" s="35"/>
      <c r="G125" s="35"/>
      <c r="H125" s="38"/>
      <c r="I125" s="38"/>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row>
    <row r="126" spans="1:74" x14ac:dyDescent="0.2">
      <c r="A126" s="35"/>
      <c r="B126" s="35"/>
      <c r="C126" s="35"/>
      <c r="D126" s="35"/>
      <c r="E126" s="35"/>
      <c r="F126" s="35"/>
      <c r="G126" s="35"/>
      <c r="H126" s="38"/>
      <c r="I126" s="38"/>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row>
    <row r="127" spans="1:74" x14ac:dyDescent="0.2">
      <c r="A127" s="35"/>
      <c r="B127" s="35"/>
      <c r="C127" s="35"/>
      <c r="D127" s="35"/>
      <c r="E127" s="35"/>
      <c r="F127" s="35"/>
      <c r="G127" s="35"/>
      <c r="H127" s="38"/>
      <c r="I127" s="38"/>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row>
    <row r="128" spans="1:74" x14ac:dyDescent="0.2">
      <c r="A128" s="35"/>
      <c r="B128" s="35"/>
      <c r="C128" s="35"/>
      <c r="D128" s="35"/>
      <c r="E128" s="35"/>
      <c r="F128" s="35"/>
      <c r="G128" s="35"/>
      <c r="H128" s="38"/>
      <c r="I128" s="38"/>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row>
    <row r="129" spans="1:74" x14ac:dyDescent="0.2">
      <c r="A129" s="35"/>
      <c r="B129" s="35"/>
      <c r="C129" s="35"/>
      <c r="D129" s="35"/>
      <c r="E129" s="35"/>
      <c r="F129" s="35"/>
      <c r="G129" s="35"/>
      <c r="H129" s="38"/>
      <c r="I129" s="38"/>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row>
    <row r="130" spans="1:74" x14ac:dyDescent="0.2">
      <c r="A130" s="35"/>
      <c r="B130" s="35"/>
      <c r="C130" s="35"/>
      <c r="D130" s="35"/>
      <c r="E130" s="35"/>
      <c r="F130" s="35"/>
      <c r="G130" s="35"/>
      <c r="H130" s="38"/>
      <c r="I130" s="38"/>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row>
    <row r="131" spans="1:74" x14ac:dyDescent="0.2">
      <c r="A131" s="35"/>
      <c r="B131" s="35"/>
      <c r="C131" s="35"/>
      <c r="D131" s="35"/>
      <c r="E131" s="35"/>
      <c r="F131" s="35"/>
      <c r="G131" s="35"/>
      <c r="H131" s="38"/>
      <c r="I131" s="38"/>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row>
    <row r="132" spans="1:74" x14ac:dyDescent="0.2">
      <c r="A132" s="35"/>
      <c r="B132" s="35"/>
      <c r="C132" s="35"/>
      <c r="D132" s="35"/>
      <c r="E132" s="35"/>
      <c r="F132" s="35"/>
      <c r="G132" s="35"/>
      <c r="H132" s="38"/>
      <c r="I132" s="38"/>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row>
    <row r="133" spans="1:74" x14ac:dyDescent="0.2">
      <c r="A133" s="35"/>
      <c r="B133" s="35"/>
      <c r="C133" s="35"/>
      <c r="D133" s="35"/>
      <c r="E133" s="35"/>
      <c r="F133" s="35"/>
      <c r="G133" s="35"/>
      <c r="H133" s="38"/>
      <c r="I133" s="38"/>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row>
    <row r="134" spans="1:74" x14ac:dyDescent="0.2">
      <c r="A134" s="35"/>
      <c r="B134" s="35"/>
      <c r="C134" s="35"/>
      <c r="D134" s="35"/>
      <c r="E134" s="35"/>
      <c r="F134" s="35"/>
      <c r="G134" s="35"/>
      <c r="H134" s="38"/>
      <c r="I134" s="38"/>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row>
    <row r="135" spans="1:74" x14ac:dyDescent="0.2">
      <c r="A135" s="35"/>
      <c r="B135" s="35"/>
      <c r="C135" s="35"/>
      <c r="D135" s="35"/>
      <c r="E135" s="35"/>
      <c r="F135" s="35"/>
      <c r="G135" s="35"/>
      <c r="H135" s="38"/>
      <c r="I135" s="38"/>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row>
    <row r="136" spans="1:74" x14ac:dyDescent="0.2">
      <c r="A136" s="35"/>
      <c r="B136" s="35"/>
      <c r="C136" s="35"/>
      <c r="D136" s="35"/>
      <c r="E136" s="35"/>
      <c r="F136" s="35"/>
      <c r="G136" s="35"/>
      <c r="H136" s="38"/>
      <c r="I136" s="38"/>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row>
    <row r="137" spans="1:74" x14ac:dyDescent="0.2">
      <c r="A137" s="35"/>
      <c r="B137" s="35"/>
      <c r="C137" s="35"/>
      <c r="D137" s="35"/>
      <c r="E137" s="35"/>
      <c r="F137" s="35"/>
      <c r="G137" s="35"/>
      <c r="H137" s="38"/>
      <c r="I137" s="38"/>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row>
    <row r="138" spans="1:74" x14ac:dyDescent="0.2">
      <c r="A138" s="35"/>
      <c r="B138" s="35"/>
      <c r="C138" s="35"/>
      <c r="D138" s="35"/>
      <c r="E138" s="35"/>
      <c r="F138" s="35"/>
      <c r="G138" s="35"/>
      <c r="H138" s="38"/>
      <c r="I138" s="38"/>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row>
    <row r="139" spans="1:74" x14ac:dyDescent="0.2">
      <c r="A139" s="35"/>
      <c r="B139" s="35"/>
      <c r="C139" s="35"/>
      <c r="D139" s="35"/>
      <c r="E139" s="35"/>
      <c r="F139" s="35"/>
      <c r="G139" s="35"/>
      <c r="H139" s="38"/>
      <c r="I139" s="38"/>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row>
    <row r="140" spans="1:74" x14ac:dyDescent="0.2">
      <c r="A140" s="35"/>
      <c r="B140" s="35"/>
      <c r="C140" s="35"/>
      <c r="D140" s="35"/>
      <c r="E140" s="35"/>
      <c r="F140" s="35"/>
      <c r="G140" s="35"/>
      <c r="H140" s="38"/>
      <c r="I140" s="38"/>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row>
    <row r="141" spans="1:74" x14ac:dyDescent="0.2">
      <c r="A141" s="35"/>
      <c r="B141" s="35"/>
      <c r="C141" s="35"/>
      <c r="D141" s="35"/>
      <c r="E141" s="35"/>
      <c r="F141" s="35"/>
      <c r="G141" s="35"/>
      <c r="H141" s="38"/>
      <c r="I141" s="38"/>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row>
    <row r="142" spans="1:74" x14ac:dyDescent="0.2">
      <c r="A142" s="35"/>
      <c r="B142" s="35"/>
      <c r="C142" s="35"/>
      <c r="D142" s="35"/>
      <c r="E142" s="35"/>
      <c r="F142" s="35"/>
      <c r="G142" s="35"/>
      <c r="H142" s="38"/>
      <c r="I142" s="38"/>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row>
    <row r="143" spans="1:74" x14ac:dyDescent="0.2">
      <c r="A143" s="35"/>
      <c r="B143" s="35"/>
      <c r="C143" s="35"/>
      <c r="D143" s="35"/>
      <c r="E143" s="35"/>
      <c r="F143" s="35"/>
      <c r="G143" s="35"/>
      <c r="H143" s="38"/>
      <c r="I143" s="38"/>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row>
    <row r="144" spans="1:74" x14ac:dyDescent="0.2">
      <c r="A144" s="35"/>
      <c r="B144" s="35"/>
      <c r="C144" s="35"/>
      <c r="D144" s="35"/>
      <c r="E144" s="35"/>
      <c r="F144" s="35"/>
      <c r="G144" s="35"/>
      <c r="H144" s="38"/>
      <c r="I144" s="38"/>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row>
    <row r="145" spans="1:74" x14ac:dyDescent="0.2">
      <c r="A145" s="35"/>
      <c r="B145" s="35"/>
      <c r="C145" s="35"/>
      <c r="D145" s="35"/>
      <c r="E145" s="35"/>
      <c r="F145" s="35"/>
      <c r="G145" s="35"/>
      <c r="H145" s="38"/>
      <c r="I145" s="38"/>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row>
    <row r="146" spans="1:74" x14ac:dyDescent="0.2">
      <c r="A146" s="35"/>
      <c r="B146" s="35"/>
      <c r="C146" s="35"/>
      <c r="D146" s="35"/>
      <c r="E146" s="35"/>
      <c r="F146" s="35"/>
      <c r="G146" s="35"/>
      <c r="H146" s="38"/>
      <c r="I146" s="38"/>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row>
    <row r="147" spans="1:74" x14ac:dyDescent="0.2">
      <c r="A147" s="35"/>
      <c r="B147" s="35"/>
      <c r="C147" s="35"/>
      <c r="D147" s="35"/>
      <c r="E147" s="35"/>
      <c r="F147" s="35"/>
      <c r="G147" s="35"/>
      <c r="H147" s="38"/>
      <c r="I147" s="38"/>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row>
    <row r="148" spans="1:74" x14ac:dyDescent="0.2">
      <c r="A148" s="35"/>
      <c r="B148" s="35"/>
      <c r="C148" s="35"/>
      <c r="D148" s="35"/>
      <c r="E148" s="35"/>
      <c r="F148" s="35"/>
      <c r="G148" s="35"/>
      <c r="H148" s="38"/>
      <c r="I148" s="38"/>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row>
    <row r="149" spans="1:74" x14ac:dyDescent="0.2">
      <c r="A149" s="35"/>
      <c r="B149" s="35"/>
      <c r="C149" s="35"/>
      <c r="D149" s="35"/>
      <c r="E149" s="35"/>
      <c r="F149" s="35"/>
      <c r="G149" s="35"/>
      <c r="H149" s="38"/>
      <c r="I149" s="38"/>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row>
    <row r="150" spans="1:74" x14ac:dyDescent="0.2">
      <c r="A150" s="35"/>
      <c r="B150" s="35"/>
      <c r="C150" s="35"/>
      <c r="D150" s="35"/>
      <c r="E150" s="35"/>
      <c r="F150" s="35"/>
      <c r="G150" s="35"/>
      <c r="H150" s="38"/>
      <c r="I150" s="38"/>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row>
    <row r="151" spans="1:74" x14ac:dyDescent="0.2">
      <c r="A151" s="35"/>
      <c r="B151" s="35"/>
      <c r="C151" s="35"/>
      <c r="D151" s="35"/>
      <c r="E151" s="35"/>
      <c r="F151" s="35"/>
      <c r="G151" s="35"/>
      <c r="H151" s="38"/>
      <c r="I151" s="38"/>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row>
    <row r="152" spans="1:74" x14ac:dyDescent="0.2">
      <c r="A152" s="35"/>
      <c r="B152" s="35"/>
      <c r="C152" s="35"/>
      <c r="D152" s="35"/>
      <c r="E152" s="35"/>
      <c r="F152" s="35"/>
      <c r="G152" s="35"/>
      <c r="H152" s="38"/>
      <c r="I152" s="38"/>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row>
    <row r="153" spans="1:74" x14ac:dyDescent="0.2">
      <c r="A153" s="35"/>
      <c r="B153" s="35"/>
      <c r="C153" s="35"/>
      <c r="D153" s="35"/>
      <c r="E153" s="35"/>
      <c r="F153" s="35"/>
      <c r="G153" s="35"/>
      <c r="H153" s="38"/>
      <c r="I153" s="38"/>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row>
    <row r="154" spans="1:74" x14ac:dyDescent="0.2">
      <c r="A154" s="35"/>
      <c r="B154" s="35"/>
      <c r="C154" s="35"/>
      <c r="D154" s="35"/>
      <c r="E154" s="35"/>
      <c r="F154" s="35"/>
      <c r="G154" s="35"/>
      <c r="H154" s="38"/>
      <c r="I154" s="38"/>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row>
    <row r="155" spans="1:74" x14ac:dyDescent="0.2">
      <c r="A155" s="35"/>
      <c r="B155" s="35"/>
      <c r="C155" s="35"/>
      <c r="D155" s="35"/>
      <c r="E155" s="35"/>
      <c r="F155" s="35"/>
      <c r="G155" s="35"/>
      <c r="H155" s="38"/>
      <c r="I155" s="38"/>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row>
    <row r="156" spans="1:74" x14ac:dyDescent="0.2">
      <c r="A156" s="35"/>
      <c r="B156" s="35"/>
      <c r="C156" s="35"/>
      <c r="D156" s="35"/>
      <c r="E156" s="35"/>
      <c r="F156" s="35"/>
      <c r="G156" s="35"/>
      <c r="H156" s="38"/>
      <c r="I156" s="38"/>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row>
    <row r="157" spans="1:74" x14ac:dyDescent="0.2">
      <c r="A157" s="35"/>
      <c r="B157" s="35"/>
      <c r="C157" s="35"/>
      <c r="D157" s="35"/>
      <c r="E157" s="35"/>
      <c r="F157" s="35"/>
      <c r="G157" s="35"/>
      <c r="H157" s="38"/>
      <c r="I157" s="38"/>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row>
    <row r="158" spans="1:74" x14ac:dyDescent="0.2">
      <c r="A158" s="35"/>
      <c r="B158" s="35"/>
      <c r="C158" s="35"/>
      <c r="D158" s="35"/>
      <c r="E158" s="35"/>
      <c r="F158" s="35"/>
      <c r="G158" s="35"/>
      <c r="H158" s="38"/>
      <c r="I158" s="38"/>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row>
    <row r="159" spans="1:74" x14ac:dyDescent="0.2">
      <c r="A159" s="35"/>
      <c r="B159" s="35"/>
      <c r="C159" s="35"/>
      <c r="D159" s="35"/>
      <c r="E159" s="35"/>
      <c r="F159" s="35"/>
      <c r="G159" s="35"/>
      <c r="H159" s="38"/>
      <c r="I159" s="38"/>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row>
    <row r="160" spans="1:74" x14ac:dyDescent="0.2">
      <c r="A160" s="35"/>
      <c r="B160" s="35"/>
      <c r="C160" s="35"/>
      <c r="D160" s="35"/>
      <c r="E160" s="35"/>
      <c r="F160" s="35"/>
      <c r="G160" s="35"/>
      <c r="H160" s="38"/>
      <c r="I160" s="38"/>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row>
    <row r="161" spans="1:74" x14ac:dyDescent="0.2">
      <c r="A161" s="35"/>
      <c r="B161" s="35"/>
      <c r="C161" s="35"/>
      <c r="D161" s="35"/>
      <c r="E161" s="35"/>
      <c r="F161" s="35"/>
      <c r="G161" s="35"/>
      <c r="H161" s="38"/>
      <c r="I161" s="38"/>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row>
    <row r="162" spans="1:74" x14ac:dyDescent="0.2">
      <c r="A162" s="35"/>
      <c r="B162" s="35"/>
      <c r="C162" s="35"/>
      <c r="D162" s="35"/>
      <c r="E162" s="35"/>
      <c r="F162" s="35"/>
      <c r="G162" s="35"/>
      <c r="H162" s="38"/>
      <c r="I162" s="38"/>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row>
    <row r="163" spans="1:74" x14ac:dyDescent="0.2">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row>
    <row r="164" spans="1:74" x14ac:dyDescent="0.2">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row>
    <row r="165" spans="1:74" x14ac:dyDescent="0.2">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row>
    <row r="166" spans="1:74" x14ac:dyDescent="0.2">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row>
    <row r="167" spans="1:74" x14ac:dyDescent="0.2">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row>
    <row r="168" spans="1:74" x14ac:dyDescent="0.2">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row>
    <row r="169" spans="1:74" x14ac:dyDescent="0.2">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row>
    <row r="170" spans="1:74" x14ac:dyDescent="0.2">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row>
    <row r="171" spans="1:74" x14ac:dyDescent="0.2">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row>
    <row r="172" spans="1:74" x14ac:dyDescent="0.2">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row>
  </sheetData>
  <sheetProtection sheet="1" insertRows="0"/>
  <mergeCells count="29">
    <mergeCell ref="H28:J28"/>
    <mergeCell ref="H29:J29"/>
    <mergeCell ref="B2:J2"/>
    <mergeCell ref="B4:J4"/>
    <mergeCell ref="B5:J5"/>
    <mergeCell ref="J14:K14"/>
    <mergeCell ref="J15:K15"/>
    <mergeCell ref="J16:K16"/>
    <mergeCell ref="J18:K18"/>
    <mergeCell ref="J19:K19"/>
    <mergeCell ref="J20:K20"/>
    <mergeCell ref="J17:K17"/>
    <mergeCell ref="J21:K21"/>
    <mergeCell ref="H32:J32"/>
    <mergeCell ref="H24:J24"/>
    <mergeCell ref="B32:D32"/>
    <mergeCell ref="B24:D24"/>
    <mergeCell ref="B25:D25"/>
    <mergeCell ref="B26:D26"/>
    <mergeCell ref="B27:D27"/>
    <mergeCell ref="B28:D28"/>
    <mergeCell ref="B29:D29"/>
    <mergeCell ref="B30:D30"/>
    <mergeCell ref="B31:D31"/>
    <mergeCell ref="H30:J30"/>
    <mergeCell ref="H31:J31"/>
    <mergeCell ref="H25:J25"/>
    <mergeCell ref="H26:J26"/>
    <mergeCell ref="H27:J27"/>
  </mergeCells>
  <conditionalFormatting sqref="I15">
    <cfRule type="expression" dxfId="10" priority="77">
      <formula>$I$15="OK"</formula>
    </cfRule>
  </conditionalFormatting>
  <conditionalFormatting sqref="I15:I21">
    <cfRule type="cellIs" dxfId="9" priority="1" operator="equal">
      <formula>"Please check"</formula>
    </cfRule>
  </conditionalFormatting>
  <conditionalFormatting sqref="I16">
    <cfRule type="expression" dxfId="8" priority="76">
      <formula>$I$16="OK"</formula>
    </cfRule>
  </conditionalFormatting>
  <conditionalFormatting sqref="I17">
    <cfRule type="expression" dxfId="7" priority="28">
      <formula>$I$17="OK"</formula>
    </cfRule>
  </conditionalFormatting>
  <conditionalFormatting sqref="I18">
    <cfRule type="expression" dxfId="6" priority="26">
      <formula>$I$18="OK"</formula>
    </cfRule>
  </conditionalFormatting>
  <conditionalFormatting sqref="I19">
    <cfRule type="expression" dxfId="5" priority="24">
      <formula>$I$19="OK"</formula>
    </cfRule>
  </conditionalFormatting>
  <conditionalFormatting sqref="I20">
    <cfRule type="expression" dxfId="4" priority="22">
      <formula>$I$20="OK"</formula>
    </cfRule>
  </conditionalFormatting>
  <conditionalFormatting sqref="I21">
    <cfRule type="expression" dxfId="3" priority="20">
      <formula>$I$21="OK"</formula>
    </cfRule>
  </conditionalFormatting>
  <pageMargins left="0.25" right="0.25"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CCC43-AFA3-4461-9854-DF5D12DF12A8}">
  <sheetPr codeName="Sheet10">
    <tabColor rgb="FF92D050"/>
  </sheetPr>
  <dimension ref="A1:AZ2537"/>
  <sheetViews>
    <sheetView showGridLines="0" zoomScale="80" zoomScaleNormal="100" workbookViewId="0">
      <pane xSplit="5" topLeftCell="F1" activePane="topRight" state="frozen"/>
      <selection pane="topRight"/>
    </sheetView>
  </sheetViews>
  <sheetFormatPr defaultColWidth="9.140625" defaultRowHeight="12.75" customHeight="1" x14ac:dyDescent="0.2"/>
  <cols>
    <col min="1" max="1" width="6.42578125" style="26" customWidth="1"/>
    <col min="2" max="2" width="30.85546875" style="26" customWidth="1"/>
    <col min="3" max="3" width="7.5703125" style="26" bestFit="1" customWidth="1"/>
    <col min="4" max="4" width="12.42578125" style="153" customWidth="1"/>
    <col min="5" max="5" width="7.5703125" style="26" bestFit="1" customWidth="1"/>
    <col min="6" max="6" width="22.42578125" style="153" bestFit="1" customWidth="1"/>
    <col min="7" max="8" width="21.42578125" style="154" customWidth="1"/>
    <col min="9" max="9" width="16" style="154" bestFit="1" customWidth="1"/>
    <col min="10" max="11" width="16" style="154" customWidth="1"/>
    <col min="12" max="12" width="18.5703125" style="156" customWidth="1"/>
    <col min="13" max="13" width="18.5703125" style="26" customWidth="1"/>
    <col min="14" max="14" width="18.5703125" style="154" customWidth="1"/>
    <col min="15" max="15" width="22.140625" style="155" bestFit="1" customWidth="1"/>
    <col min="16" max="16" width="22.140625" style="155" customWidth="1"/>
    <col min="17" max="17" width="64.140625" style="155" bestFit="1" customWidth="1"/>
    <col min="18" max="18" width="22.140625" style="155" customWidth="1"/>
    <col min="19" max="19" width="43.28515625" style="155" bestFit="1" customWidth="1"/>
    <col min="20" max="20" width="22.140625" style="155" customWidth="1"/>
    <col min="21" max="21" width="53.85546875" style="155" bestFit="1" customWidth="1"/>
    <col min="22" max="22" width="26.28515625" style="155" bestFit="1" customWidth="1"/>
    <col min="23" max="23" width="16.5703125" style="167" customWidth="1"/>
    <col min="24" max="24" width="14.5703125" style="170" customWidth="1"/>
    <col min="25" max="25" width="14.42578125" style="168" customWidth="1"/>
    <col min="26" max="26" width="11.7109375" customWidth="1"/>
    <col min="27" max="28" width="10.42578125" style="177" customWidth="1"/>
    <col min="29" max="29" width="12.42578125" style="177" customWidth="1"/>
    <col min="30" max="30" width="12.42578125" customWidth="1"/>
    <col min="31" max="32" width="12.42578125" style="177" customWidth="1"/>
    <col min="33" max="33" width="11" bestFit="1" customWidth="1"/>
    <col min="34" max="34" width="13.140625" customWidth="1"/>
    <col min="35" max="35" width="12.85546875" customWidth="1"/>
    <col min="36" max="36" width="10.42578125" style="177" customWidth="1"/>
    <col min="37" max="37" width="64.85546875" customWidth="1"/>
    <col min="38" max="38" width="10.42578125" customWidth="1"/>
    <col min="39" max="39" width="15.28515625" bestFit="1" customWidth="1"/>
    <col min="40" max="40" width="28.85546875" customWidth="1"/>
    <col min="42" max="42" width="25.5703125" bestFit="1" customWidth="1"/>
    <col min="46" max="46" width="10.85546875" customWidth="1"/>
  </cols>
  <sheetData>
    <row r="1" spans="1:49" ht="76.5" customHeight="1" x14ac:dyDescent="0.2">
      <c r="A1" s="417">
        <v>1</v>
      </c>
      <c r="B1" s="418">
        <v>2</v>
      </c>
      <c r="C1" s="418">
        <v>3</v>
      </c>
      <c r="D1" s="419">
        <v>4</v>
      </c>
      <c r="E1" s="418">
        <v>5</v>
      </c>
      <c r="F1" s="419">
        <v>6</v>
      </c>
      <c r="G1" s="406" t="s">
        <v>271</v>
      </c>
      <c r="H1" s="451" t="s">
        <v>272</v>
      </c>
      <c r="I1" s="406" t="s">
        <v>273</v>
      </c>
      <c r="J1" s="406" t="s">
        <v>274</v>
      </c>
      <c r="K1" s="406" t="s">
        <v>275</v>
      </c>
      <c r="L1" s="452" t="s">
        <v>276</v>
      </c>
      <c r="M1" s="406" t="s">
        <v>277</v>
      </c>
      <c r="N1" s="406" t="s">
        <v>278</v>
      </c>
      <c r="O1" s="153" t="s">
        <v>279</v>
      </c>
      <c r="P1" s="153" t="s">
        <v>280</v>
      </c>
      <c r="Q1" s="153" t="s">
        <v>281</v>
      </c>
      <c r="R1" s="153" t="s">
        <v>282</v>
      </c>
      <c r="S1" s="153" t="s">
        <v>283</v>
      </c>
      <c r="T1" s="153" t="s">
        <v>284</v>
      </c>
      <c r="U1" s="153" t="s">
        <v>285</v>
      </c>
      <c r="V1" s="153" t="s">
        <v>286</v>
      </c>
      <c r="W1" s="453" t="s">
        <v>287</v>
      </c>
      <c r="X1" s="454" t="s">
        <v>288</v>
      </c>
      <c r="Y1" s="454" t="s">
        <v>289</v>
      </c>
      <c r="Z1" s="456" t="s">
        <v>290</v>
      </c>
      <c r="AA1" s="457" t="s">
        <v>291</v>
      </c>
      <c r="AB1" s="457" t="s">
        <v>292</v>
      </c>
      <c r="AC1" s="457" t="s">
        <v>293</v>
      </c>
      <c r="AD1" s="457" t="s">
        <v>294</v>
      </c>
      <c r="AE1" s="457" t="s">
        <v>295</v>
      </c>
      <c r="AF1" s="457" t="s">
        <v>296</v>
      </c>
      <c r="AG1" s="458" t="s">
        <v>297</v>
      </c>
      <c r="AH1" s="457" t="s">
        <v>298</v>
      </c>
      <c r="AI1" s="457" t="s">
        <v>299</v>
      </c>
      <c r="AJ1" s="459" t="s">
        <v>300</v>
      </c>
      <c r="AK1" s="406"/>
      <c r="AL1" s="406"/>
      <c r="AM1" s="406"/>
      <c r="AN1" s="406"/>
      <c r="AP1" s="406"/>
    </row>
    <row r="2" spans="1:49" x14ac:dyDescent="0.2">
      <c r="A2" s="148" t="s">
        <v>301</v>
      </c>
      <c r="B2" s="149" t="s">
        <v>302</v>
      </c>
      <c r="C2" s="149" t="s">
        <v>303</v>
      </c>
      <c r="D2" s="239" t="s">
        <v>304</v>
      </c>
      <c r="E2" s="149" t="s">
        <v>305</v>
      </c>
      <c r="F2" s="239" t="s">
        <v>306</v>
      </c>
      <c r="G2" s="282">
        <v>7</v>
      </c>
      <c r="H2" s="282">
        <v>8</v>
      </c>
      <c r="I2" s="282">
        <v>9</v>
      </c>
      <c r="J2" s="282">
        <v>10</v>
      </c>
      <c r="K2" s="282">
        <v>11</v>
      </c>
      <c r="L2" s="282">
        <v>12</v>
      </c>
      <c r="M2" s="282">
        <v>13</v>
      </c>
      <c r="N2" s="282">
        <v>14</v>
      </c>
      <c r="O2" s="282">
        <v>15</v>
      </c>
      <c r="P2" s="282">
        <v>16</v>
      </c>
      <c r="Q2" s="282">
        <v>17</v>
      </c>
      <c r="R2" s="282">
        <v>18</v>
      </c>
      <c r="S2" s="282">
        <v>19</v>
      </c>
      <c r="T2" s="282">
        <v>20</v>
      </c>
      <c r="U2" s="282">
        <v>21</v>
      </c>
      <c r="V2" s="282">
        <v>22</v>
      </c>
      <c r="W2" s="282">
        <v>23</v>
      </c>
      <c r="X2" s="282">
        <v>24</v>
      </c>
      <c r="Y2" s="282">
        <v>25</v>
      </c>
      <c r="Z2" s="282">
        <v>26</v>
      </c>
      <c r="AA2" s="282">
        <v>27</v>
      </c>
      <c r="AB2" s="282">
        <v>28</v>
      </c>
      <c r="AC2" s="282">
        <v>29</v>
      </c>
      <c r="AD2" s="282">
        <v>30</v>
      </c>
      <c r="AE2" s="282">
        <v>31</v>
      </c>
      <c r="AF2" s="282">
        <v>32</v>
      </c>
      <c r="AG2" s="282">
        <v>33</v>
      </c>
      <c r="AH2" s="282">
        <v>34</v>
      </c>
      <c r="AI2" s="282">
        <v>35</v>
      </c>
      <c r="AJ2" s="282">
        <v>36</v>
      </c>
      <c r="AL2" s="835"/>
      <c r="AM2" s="835"/>
      <c r="AN2" s="835"/>
    </row>
    <row r="3" spans="1:49" ht="35.25" customHeight="1" x14ac:dyDescent="0.2">
      <c r="A3" s="150"/>
      <c r="B3" s="151"/>
      <c r="C3" s="151"/>
      <c r="D3" s="240"/>
      <c r="E3" s="151"/>
      <c r="F3" s="240"/>
      <c r="G3" s="3" t="s">
        <v>307</v>
      </c>
      <c r="H3" s="3" t="s">
        <v>308</v>
      </c>
      <c r="I3" s="4" t="s">
        <v>309</v>
      </c>
      <c r="J3" s="4" t="s">
        <v>310</v>
      </c>
      <c r="K3" s="4" t="s">
        <v>311</v>
      </c>
      <c r="L3" s="24" t="s">
        <v>312</v>
      </c>
      <c r="M3" s="4" t="s">
        <v>313</v>
      </c>
      <c r="N3" s="24" t="s">
        <v>314</v>
      </c>
      <c r="O3" s="4"/>
      <c r="P3" s="4"/>
      <c r="Q3" s="4"/>
      <c r="R3" s="4"/>
      <c r="S3" s="4"/>
      <c r="T3" s="4"/>
      <c r="U3" s="4"/>
      <c r="V3" s="4"/>
      <c r="W3" s="165" t="s">
        <v>315</v>
      </c>
      <c r="X3" s="169" t="s">
        <v>234</v>
      </c>
      <c r="Y3" s="349" t="s">
        <v>237</v>
      </c>
      <c r="Z3" s="259"/>
      <c r="AA3" s="255"/>
      <c r="AB3" s="255"/>
      <c r="AC3" s="255"/>
      <c r="AD3" s="255"/>
      <c r="AE3" s="255"/>
      <c r="AF3" s="255"/>
      <c r="AG3" s="260"/>
      <c r="AH3" s="420"/>
      <c r="AI3" s="420"/>
      <c r="AJ3" s="421"/>
    </row>
    <row r="4" spans="1:49" x14ac:dyDescent="0.2">
      <c r="A4" s="355"/>
      <c r="B4" s="341"/>
      <c r="C4" s="341"/>
      <c r="D4" s="152"/>
      <c r="E4" s="341"/>
      <c r="F4" s="152"/>
      <c r="G4" s="356"/>
      <c r="H4" s="356"/>
      <c r="I4" s="356"/>
      <c r="J4" s="356"/>
      <c r="K4" s="356"/>
      <c r="L4" s="357"/>
      <c r="M4" s="358"/>
      <c r="N4" s="359"/>
      <c r="O4" s="360"/>
      <c r="P4" s="360"/>
      <c r="Q4" s="360"/>
      <c r="R4" s="360"/>
      <c r="S4" s="360"/>
      <c r="T4" s="360"/>
      <c r="U4" s="360"/>
      <c r="V4" s="360"/>
      <c r="W4" s="361"/>
      <c r="X4" s="362"/>
      <c r="Y4" s="363"/>
      <c r="Z4" s="364"/>
      <c r="AA4" s="364"/>
      <c r="AB4" s="364"/>
      <c r="AC4" s="364"/>
      <c r="AD4" s="364"/>
      <c r="AE4" s="364"/>
      <c r="AF4" s="364"/>
      <c r="AG4" s="422"/>
      <c r="AH4" s="177"/>
      <c r="AI4" s="177"/>
      <c r="AJ4" s="423"/>
      <c r="AK4" s="877" t="s">
        <v>316</v>
      </c>
      <c r="AL4" s="828"/>
      <c r="AM4" s="828"/>
      <c r="AN4" s="828"/>
    </row>
    <row r="5" spans="1:49" x14ac:dyDescent="0.2">
      <c r="A5" s="341"/>
      <c r="B5" s="341"/>
      <c r="C5" s="341"/>
      <c r="D5" s="341"/>
      <c r="E5" s="341"/>
      <c r="F5" s="341"/>
      <c r="G5" s="407"/>
      <c r="H5" s="407"/>
      <c r="I5" s="407"/>
      <c r="J5" s="407"/>
      <c r="K5" s="407"/>
      <c r="L5" s="408"/>
      <c r="M5" s="409"/>
      <c r="N5" s="410"/>
      <c r="O5" s="411"/>
      <c r="P5" s="411"/>
      <c r="Q5" s="411"/>
      <c r="R5" s="411"/>
      <c r="S5" s="411"/>
      <c r="T5" s="411"/>
      <c r="U5" s="411"/>
      <c r="V5" s="411"/>
      <c r="W5" s="412"/>
      <c r="X5" s="413"/>
      <c r="Y5" s="413"/>
      <c r="Z5" s="414"/>
      <c r="AA5" s="414"/>
      <c r="AB5" s="414"/>
      <c r="AC5" s="414"/>
      <c r="AD5" s="414"/>
      <c r="AE5" s="414"/>
      <c r="AF5" s="414"/>
      <c r="AG5" s="177"/>
      <c r="AH5" s="177"/>
      <c r="AI5" s="177"/>
      <c r="AK5" s="831" t="s">
        <v>305</v>
      </c>
      <c r="AL5" s="831" t="s">
        <v>317</v>
      </c>
      <c r="AM5" s="831" t="s">
        <v>295</v>
      </c>
      <c r="AN5" s="831" t="s">
        <v>296</v>
      </c>
    </row>
    <row r="6" spans="1:49" s="387" customFormat="1" ht="15" customHeight="1" x14ac:dyDescent="0.25">
      <c r="A6" s="384">
        <v>1</v>
      </c>
      <c r="B6" s="385" t="s">
        <v>318</v>
      </c>
      <c r="C6" s="384" t="s">
        <v>319</v>
      </c>
      <c r="D6" s="384" t="s">
        <v>320</v>
      </c>
      <c r="E6" s="384" t="s">
        <v>321</v>
      </c>
      <c r="F6" s="384" t="s">
        <v>322</v>
      </c>
      <c r="G6" s="386">
        <f>INDEX('CTR1 Data Previous Year'!$B:$B,MATCH($D6,'CTR1 Data Previous Year'!$A:$A,0),1)</f>
        <v>8304442</v>
      </c>
      <c r="H6" s="386">
        <f>INDEX('CTR1 Data Previous Year'!$C:$C,MATCH($D6,'CTR1 Data Previous Year'!$A:$A,0),1)</f>
        <v>0</v>
      </c>
      <c r="I6" s="386">
        <f>INDEX('CTR1 Data Previous Year'!$D:$D,MATCH($D6,'CTR1 Data Previous Year'!$A:$A,0),1)</f>
        <v>485452</v>
      </c>
      <c r="J6" s="386">
        <f>INDEX('CTR1 Data Previous Year'!$E:$E,MATCH($D6,'CTR1 Data Previous Year'!$A:$A,0),1)</f>
        <v>7818990</v>
      </c>
      <c r="K6" s="386">
        <f>INDEX('CTR1 Data Previous Year'!$F:$F,MATCH($D6,'CTR1 Data Previous Year'!$A:$A,0),1)</f>
        <v>477220</v>
      </c>
      <c r="L6" s="465">
        <f>INDEX('CTR1 Data Previous Year'!$G:$G,MATCH($D6,'CTR1 Data Previous Year'!$A:$A,0),1)</f>
        <v>23547.040000000001</v>
      </c>
      <c r="M6" s="455">
        <f>INDEX('CTR1 Data Previous Year'!$H:$H,MATCH($D6,'CTR1 Data Previous Year'!$A:$A,0),1)</f>
        <v>0.96609999999999996</v>
      </c>
      <c r="N6" s="465">
        <f>INDEX('CTR1 Data Previous Year'!$I:$I,MATCH($D6,'CTR1 Data Previous Year'!$A:$A,0),1)</f>
        <v>0</v>
      </c>
      <c r="O6" s="817" t="s">
        <v>323</v>
      </c>
      <c r="P6" s="817" t="s">
        <v>324</v>
      </c>
      <c r="Q6" s="818" t="s">
        <v>325</v>
      </c>
      <c r="R6" s="817" t="s">
        <v>326</v>
      </c>
      <c r="S6" s="819"/>
      <c r="T6" s="817"/>
      <c r="U6" s="817"/>
      <c r="V6" s="817"/>
      <c r="W6" s="465">
        <f>INDEX('CTR1 Data Previous Year'!$J:$J,MATCH($D6,'CTR1 Data Previous Year'!$A:$A,0),1)</f>
        <v>22748.799999999999</v>
      </c>
      <c r="X6" s="465">
        <f>INDEX('CTR1 Data Previous Year'!$K:$K,MATCH($D6,'CTR1 Data Previous Year'!$A:$A,0),1)</f>
        <v>365.05</v>
      </c>
      <c r="Y6" s="465">
        <f>INDEX('CTR1 Data Previous Year'!$L:$L,MATCH($D6,'CTR1 Data Previous Year'!$A:$A,0),1)</f>
        <v>343.71</v>
      </c>
      <c r="Z6" s="836" t="str">
        <f t="shared" ref="Z6:Z69" si="0">IF(IFERROR(VLOOKUP($C6,$AL$13:$AL$33,1,0),"N")="N","N","Y")</f>
        <v>N</v>
      </c>
      <c r="AA6" s="837" t="str">
        <f t="shared" ref="AA6:AA69" si="1">IF(IFERROR(VLOOKUP($C6,$AL$36:$AL$56,1,0),"N")="N","N","Y")</f>
        <v>N</v>
      </c>
      <c r="AB6" s="838">
        <f t="shared" ref="AB6:AB69" si="2">IF($AA6="N",$Y6,VLOOKUP($C6,$AL$36:$AM$56,2,0))</f>
        <v>343.71</v>
      </c>
      <c r="AC6" s="868">
        <f t="shared" ref="AC6:AC69" si="3">IF($Z6="Y",VLOOKUP($C6,$AL$13:$AN$33,2,0),0)</f>
        <v>0</v>
      </c>
      <c r="AD6" s="876">
        <f t="shared" ref="AD6:AD69" si="4">IF($Z6="Y",VLOOKUP($C6,$AL$13:$AN$33,3,0),0)</f>
        <v>0</v>
      </c>
      <c r="AE6" s="838">
        <f t="shared" ref="AE6:AE69" si="5">$AB6*(1+(VLOOKUP($E6,$AK$6:$AN$9,3,0)+VLOOKUP($E6,$AK$6:$AN$9,2,0)))</f>
        <v>354.0213</v>
      </c>
      <c r="AF6" s="838">
        <f t="shared" ref="AF6:AF69" si="6">$AB6+VLOOKUP($E6,$AK$6:$AN$9,4,0)</f>
        <v>348.71</v>
      </c>
      <c r="AG6" s="839">
        <f>IF(AND($Z6="Y",$AC6&gt;0),$AB6*(1+$AC6),IF(AND($Z6="Y",$AD6&gt;0),$AB6+$AD6,0))</f>
        <v>0</v>
      </c>
      <c r="AH6" s="839">
        <f>ROUND(MAX($AE6:$AG6),2)</f>
        <v>354.02</v>
      </c>
      <c r="AI6" s="840">
        <f t="shared" ref="AI6:AI69" si="7">ROUND($AB6*VLOOKUP($E6,$AK$6:$AN$9,2,0),2)</f>
        <v>0</v>
      </c>
      <c r="AJ6" s="841">
        <f>$AI6/$Y6</f>
        <v>0</v>
      </c>
      <c r="AK6" s="878" t="s">
        <v>321</v>
      </c>
      <c r="AL6" s="829"/>
      <c r="AM6" s="829">
        <v>0.03</v>
      </c>
      <c r="AN6" s="872">
        <v>5</v>
      </c>
      <c r="AO6" s="245" t="s">
        <v>141</v>
      </c>
      <c r="AP6" s="246"/>
      <c r="AQ6" s="246"/>
      <c r="AR6" s="246"/>
      <c r="AS6" s="246"/>
      <c r="AT6" s="246"/>
      <c r="AU6" s="246"/>
    </row>
    <row r="7" spans="1:49" ht="15" customHeight="1" x14ac:dyDescent="0.25">
      <c r="A7" s="370">
        <v>2</v>
      </c>
      <c r="B7" s="371" t="s">
        <v>327</v>
      </c>
      <c r="C7" s="370" t="s">
        <v>328</v>
      </c>
      <c r="D7" s="370" t="s">
        <v>329</v>
      </c>
      <c r="E7" s="370" t="s">
        <v>321</v>
      </c>
      <c r="F7" s="370" t="s">
        <v>330</v>
      </c>
      <c r="G7" s="386">
        <f>INDEX('CTR1 Data Previous Year'!$B:$B,MATCH($D7,'CTR1 Data Previous Year'!$A:$A,0),1)</f>
        <v>11993256.882999999</v>
      </c>
      <c r="H7" s="386">
        <f>INDEX('CTR1 Data Previous Year'!$C:$C,MATCH($D7,'CTR1 Data Previous Year'!$A:$A,0),1)</f>
        <v>0</v>
      </c>
      <c r="I7" s="386">
        <f>INDEX('CTR1 Data Previous Year'!$D:$D,MATCH($D7,'CTR1 Data Previous Year'!$A:$A,0),1)</f>
        <v>3573239.68</v>
      </c>
      <c r="J7" s="386">
        <f>INDEX('CTR1 Data Previous Year'!$E:$E,MATCH($D7,'CTR1 Data Previous Year'!$A:$A,0),1)</f>
        <v>8420017.2029999997</v>
      </c>
      <c r="K7" s="386">
        <f>INDEX('CTR1 Data Previous Year'!$F:$F,MATCH($D7,'CTR1 Data Previous Year'!$A:$A,0),1)</f>
        <v>0</v>
      </c>
      <c r="L7" s="465">
        <f>INDEX('CTR1 Data Previous Year'!$G:$G,MATCH($D7,'CTR1 Data Previous Year'!$A:$A,0),1)</f>
        <v>42986.22</v>
      </c>
      <c r="M7" s="455">
        <f>INDEX('CTR1 Data Previous Year'!$H:$H,MATCH($D7,'CTR1 Data Previous Year'!$A:$A,0),1)</f>
        <v>0.99000010000000005</v>
      </c>
      <c r="N7" s="465">
        <f>INDEX('CTR1 Data Previous Year'!$I:$I,MATCH($D7,'CTR1 Data Previous Year'!$A:$A,0),1)</f>
        <v>1.22</v>
      </c>
      <c r="O7" s="160" t="s">
        <v>331</v>
      </c>
      <c r="P7" s="817" t="s">
        <v>332</v>
      </c>
      <c r="Q7" s="820" t="s">
        <v>333</v>
      </c>
      <c r="R7" s="817" t="s">
        <v>334</v>
      </c>
      <c r="S7" s="821" t="s">
        <v>335</v>
      </c>
      <c r="T7" s="817" t="s">
        <v>336</v>
      </c>
      <c r="U7" s="822" t="s">
        <v>337</v>
      </c>
      <c r="V7" s="817" t="s">
        <v>338</v>
      </c>
      <c r="W7" s="465">
        <f>INDEX('CTR1 Data Previous Year'!$J:$J,MATCH($D7,'CTR1 Data Previous Year'!$A:$A,0),1)</f>
        <v>42557.58</v>
      </c>
      <c r="X7" s="465">
        <f>INDEX('CTR1 Data Previous Year'!$K:$K,MATCH($D7,'CTR1 Data Previous Year'!$A:$A,0),1)</f>
        <v>281.81</v>
      </c>
      <c r="Y7" s="465">
        <f>INDEX('CTR1 Data Previous Year'!$L:$L,MATCH($D7,'CTR1 Data Previous Year'!$A:$A,0),1)</f>
        <v>197.85</v>
      </c>
      <c r="Z7" s="836" t="str">
        <f t="shared" si="0"/>
        <v>N</v>
      </c>
      <c r="AA7" s="837" t="str">
        <f t="shared" si="1"/>
        <v>N</v>
      </c>
      <c r="AB7" s="838">
        <f t="shared" si="2"/>
        <v>197.85</v>
      </c>
      <c r="AC7" s="868">
        <f t="shared" si="3"/>
        <v>0</v>
      </c>
      <c r="AD7" s="876">
        <f t="shared" si="4"/>
        <v>0</v>
      </c>
      <c r="AE7" s="838">
        <f t="shared" si="5"/>
        <v>203.78550000000001</v>
      </c>
      <c r="AF7" s="838">
        <f t="shared" si="6"/>
        <v>202.85</v>
      </c>
      <c r="AG7" s="839">
        <f t="shared" ref="AG7:AG70" si="8">IF(AND($Z7="Y",$AC7&gt;0),$AB7*(1+$AC7),IF(AND($Z7="Y",$AD7&gt;0),$AB7+$AD7,0))</f>
        <v>0</v>
      </c>
      <c r="AH7" s="839">
        <f t="shared" ref="AH7:AH70" si="9">ROUND(MAX($AE7:$AG7),2)</f>
        <v>203.79</v>
      </c>
      <c r="AI7" s="840">
        <f t="shared" si="7"/>
        <v>0</v>
      </c>
      <c r="AJ7" s="841">
        <f t="shared" ref="AJ7:AJ70" si="10">$AI7/$Y7</f>
        <v>0</v>
      </c>
      <c r="AK7" s="879" t="s">
        <v>339</v>
      </c>
      <c r="AL7" s="830">
        <v>0.02</v>
      </c>
      <c r="AM7" s="830">
        <v>0.03</v>
      </c>
      <c r="AN7" s="873"/>
      <c r="AO7" s="372"/>
      <c r="AP7" s="372"/>
      <c r="AQ7" s="372"/>
      <c r="AR7" s="372"/>
      <c r="AS7" s="372"/>
      <c r="AT7" s="372"/>
      <c r="AU7" s="372"/>
    </row>
    <row r="8" spans="1:49" ht="15" customHeight="1" x14ac:dyDescent="0.25">
      <c r="A8" s="370">
        <v>3</v>
      </c>
      <c r="B8" s="371" t="s">
        <v>340</v>
      </c>
      <c r="C8" s="370" t="s">
        <v>341</v>
      </c>
      <c r="D8" s="370" t="s">
        <v>342</v>
      </c>
      <c r="E8" s="370" t="s">
        <v>321</v>
      </c>
      <c r="F8" s="370" t="s">
        <v>322</v>
      </c>
      <c r="G8" s="386">
        <f>INDEX('CTR1 Data Previous Year'!$B:$B,MATCH($D8,'CTR1 Data Previous Year'!$A:$A,0),1)</f>
        <v>20306653</v>
      </c>
      <c r="H8" s="386">
        <f>INDEX('CTR1 Data Previous Year'!$C:$C,MATCH($D8,'CTR1 Data Previous Year'!$A:$A,0),1)</f>
        <v>0</v>
      </c>
      <c r="I8" s="386">
        <f>INDEX('CTR1 Data Previous Year'!$D:$D,MATCH($D8,'CTR1 Data Previous Year'!$A:$A,0),1)</f>
        <v>5953511</v>
      </c>
      <c r="J8" s="386">
        <f>INDEX('CTR1 Data Previous Year'!$E:$E,MATCH($D8,'CTR1 Data Previous Year'!$A:$A,0),1)</f>
        <v>14353142</v>
      </c>
      <c r="K8" s="386">
        <f>INDEX('CTR1 Data Previous Year'!$F:$F,MATCH($D8,'CTR1 Data Previous Year'!$A:$A,0),1)</f>
        <v>249000</v>
      </c>
      <c r="L8" s="465">
        <f>INDEX('CTR1 Data Previous Year'!$G:$G,MATCH($D8,'CTR1 Data Previous Year'!$A:$A,0),1)</f>
        <v>68592</v>
      </c>
      <c r="M8" s="455">
        <f>INDEX('CTR1 Data Previous Year'!$H:$H,MATCH($D8,'CTR1 Data Previous Year'!$A:$A,0),1)</f>
        <v>0.97499709999999995</v>
      </c>
      <c r="N8" s="465">
        <f>INDEX('CTR1 Data Previous Year'!$I:$I,MATCH($D8,'CTR1 Data Previous Year'!$A:$A,0),1)</f>
        <v>0</v>
      </c>
      <c r="O8" s="160" t="s">
        <v>323</v>
      </c>
      <c r="P8" s="817" t="s">
        <v>324</v>
      </c>
      <c r="Q8" s="820" t="s">
        <v>325</v>
      </c>
      <c r="R8" s="817" t="s">
        <v>326</v>
      </c>
      <c r="S8" s="821" t="s">
        <v>129</v>
      </c>
      <c r="T8" s="817"/>
      <c r="U8" s="160"/>
      <c r="V8" s="817"/>
      <c r="W8" s="465">
        <f>INDEX('CTR1 Data Previous Year'!$J:$J,MATCH($D8,'CTR1 Data Previous Year'!$A:$A,0),1)</f>
        <v>66877</v>
      </c>
      <c r="X8" s="465">
        <f>INDEX('CTR1 Data Previous Year'!$K:$K,MATCH($D8,'CTR1 Data Previous Year'!$A:$A,0),1)</f>
        <v>303.64</v>
      </c>
      <c r="Y8" s="465">
        <f>INDEX('CTR1 Data Previous Year'!$L:$L,MATCH($D8,'CTR1 Data Previous Year'!$A:$A,0),1)</f>
        <v>214.62</v>
      </c>
      <c r="Z8" s="836" t="str">
        <f t="shared" si="0"/>
        <v>N</v>
      </c>
      <c r="AA8" s="837" t="str">
        <f t="shared" si="1"/>
        <v>N</v>
      </c>
      <c r="AB8" s="838">
        <f t="shared" si="2"/>
        <v>214.62</v>
      </c>
      <c r="AC8" s="868">
        <f t="shared" si="3"/>
        <v>0</v>
      </c>
      <c r="AD8" s="876">
        <f t="shared" si="4"/>
        <v>0</v>
      </c>
      <c r="AE8" s="838">
        <f t="shared" si="5"/>
        <v>221.05860000000001</v>
      </c>
      <c r="AF8" s="838">
        <f t="shared" si="6"/>
        <v>219.62</v>
      </c>
      <c r="AG8" s="839">
        <f t="shared" si="8"/>
        <v>0</v>
      </c>
      <c r="AH8" s="839">
        <f t="shared" si="9"/>
        <v>221.06</v>
      </c>
      <c r="AI8" s="840">
        <f t="shared" si="7"/>
        <v>0</v>
      </c>
      <c r="AJ8" s="841">
        <f t="shared" si="10"/>
        <v>0</v>
      </c>
      <c r="AK8" s="879" t="s">
        <v>343</v>
      </c>
      <c r="AL8" s="830">
        <v>0.02</v>
      </c>
      <c r="AM8" s="830">
        <v>0.03</v>
      </c>
      <c r="AN8" s="873"/>
      <c r="AO8" s="373"/>
      <c r="AP8" s="373"/>
      <c r="AQ8" s="374"/>
      <c r="AR8" s="374"/>
      <c r="AS8" s="374"/>
      <c r="AT8" s="375"/>
      <c r="AU8" s="372"/>
    </row>
    <row r="9" spans="1:49" ht="15" customHeight="1" x14ac:dyDescent="0.25">
      <c r="A9" s="370">
        <v>4</v>
      </c>
      <c r="B9" s="371" t="s">
        <v>344</v>
      </c>
      <c r="C9" s="370" t="s">
        <v>345</v>
      </c>
      <c r="D9" s="370" t="s">
        <v>346</v>
      </c>
      <c r="E9" s="370" t="s">
        <v>321</v>
      </c>
      <c r="F9" s="370" t="s">
        <v>330</v>
      </c>
      <c r="G9" s="386">
        <f>INDEX('CTR1 Data Previous Year'!$B:$B,MATCH($D9,'CTR1 Data Previous Year'!$A:$A,0),1)</f>
        <v>7587815</v>
      </c>
      <c r="H9" s="386">
        <f>INDEX('CTR1 Data Previous Year'!$C:$C,MATCH($D9,'CTR1 Data Previous Year'!$A:$A,0),1)</f>
        <v>0</v>
      </c>
      <c r="I9" s="386">
        <f>INDEX('CTR1 Data Previous Year'!$D:$D,MATCH($D9,'CTR1 Data Previous Year'!$A:$A,0),1)</f>
        <v>403987</v>
      </c>
      <c r="J9" s="386">
        <f>INDEX('CTR1 Data Previous Year'!$E:$E,MATCH($D9,'CTR1 Data Previous Year'!$A:$A,0),1)</f>
        <v>7183828</v>
      </c>
      <c r="K9" s="386">
        <f>INDEX('CTR1 Data Previous Year'!$F:$F,MATCH($D9,'CTR1 Data Previous Year'!$A:$A,0),1)</f>
        <v>0</v>
      </c>
      <c r="L9" s="465">
        <f>INDEX('CTR1 Data Previous Year'!$G:$G,MATCH($D9,'CTR1 Data Previous Year'!$A:$A,0),1)</f>
        <v>35526.410000000003</v>
      </c>
      <c r="M9" s="455">
        <f>INDEX('CTR1 Data Previous Year'!$H:$H,MATCH($D9,'CTR1 Data Previous Year'!$A:$A,0),1)</f>
        <v>0.97499999999999998</v>
      </c>
      <c r="N9" s="465">
        <f>INDEX('CTR1 Data Previous Year'!$I:$I,MATCH($D9,'CTR1 Data Previous Year'!$A:$A,0),1)</f>
        <v>44.5</v>
      </c>
      <c r="O9" s="160" t="s">
        <v>347</v>
      </c>
      <c r="P9" s="817" t="s">
        <v>348</v>
      </c>
      <c r="Q9" s="820" t="s">
        <v>349</v>
      </c>
      <c r="R9" s="817" t="s">
        <v>350</v>
      </c>
      <c r="S9" s="821" t="s">
        <v>351</v>
      </c>
      <c r="T9" s="817" t="s">
        <v>352</v>
      </c>
      <c r="U9" s="822" t="s">
        <v>337</v>
      </c>
      <c r="V9" s="817" t="s">
        <v>338</v>
      </c>
      <c r="W9" s="465">
        <f>INDEX('CTR1 Data Previous Year'!$J:$J,MATCH($D9,'CTR1 Data Previous Year'!$A:$A,0),1)</f>
        <v>34682.75</v>
      </c>
      <c r="X9" s="465">
        <f>INDEX('CTR1 Data Previous Year'!$K:$K,MATCH($D9,'CTR1 Data Previous Year'!$A:$A,0),1)</f>
        <v>218.78</v>
      </c>
      <c r="Y9" s="465">
        <f>INDEX('CTR1 Data Previous Year'!$L:$L,MATCH($D9,'CTR1 Data Previous Year'!$A:$A,0),1)</f>
        <v>207.13</v>
      </c>
      <c r="Z9" s="836" t="str">
        <f t="shared" si="0"/>
        <v>N</v>
      </c>
      <c r="AA9" s="837" t="str">
        <f t="shared" si="1"/>
        <v>N</v>
      </c>
      <c r="AB9" s="838">
        <f t="shared" si="2"/>
        <v>207.13</v>
      </c>
      <c r="AC9" s="868">
        <f t="shared" si="3"/>
        <v>0</v>
      </c>
      <c r="AD9" s="876">
        <f t="shared" si="4"/>
        <v>0</v>
      </c>
      <c r="AE9" s="838">
        <f t="shared" si="5"/>
        <v>213.34389999999999</v>
      </c>
      <c r="AF9" s="838">
        <f t="shared" si="6"/>
        <v>212.13</v>
      </c>
      <c r="AG9" s="839">
        <f t="shared" si="8"/>
        <v>0</v>
      </c>
      <c r="AH9" s="839">
        <f t="shared" si="9"/>
        <v>213.34</v>
      </c>
      <c r="AI9" s="840">
        <f t="shared" si="7"/>
        <v>0</v>
      </c>
      <c r="AJ9" s="841">
        <f t="shared" si="10"/>
        <v>0</v>
      </c>
      <c r="AK9" s="879" t="s">
        <v>353</v>
      </c>
      <c r="AL9" s="830">
        <v>0.02</v>
      </c>
      <c r="AM9" s="830">
        <v>0.03</v>
      </c>
      <c r="AN9" s="873"/>
      <c r="AO9" s="374"/>
      <c r="AP9" s="374" t="s">
        <v>354</v>
      </c>
      <c r="AQ9" s="374">
        <v>1</v>
      </c>
      <c r="AR9" s="374"/>
      <c r="AS9" s="375">
        <f>IF(CTR1_Billing!F97="yes - to be held",1,IF(CTR1_Billing!F97="yes - resulted in no changes",2,IF(CTR1_Billing!F97="yes - changes made to form",3,IF(CTR1_Billing!F97="no",4,IF(CTR1_Billing!F97="",5,)))))</f>
        <v>4</v>
      </c>
      <c r="AT9" s="375"/>
      <c r="AU9" s="372"/>
    </row>
    <row r="10" spans="1:49" ht="15" customHeight="1" x14ac:dyDescent="0.25">
      <c r="A10" s="370">
        <v>5</v>
      </c>
      <c r="B10" s="371" t="s">
        <v>355</v>
      </c>
      <c r="C10" s="370" t="s">
        <v>356</v>
      </c>
      <c r="D10" s="370" t="s">
        <v>357</v>
      </c>
      <c r="E10" s="370" t="s">
        <v>321</v>
      </c>
      <c r="F10" s="370" t="s">
        <v>322</v>
      </c>
      <c r="G10" s="386">
        <f>INDEX('CTR1 Data Previous Year'!$B:$B,MATCH($D10,'CTR1 Data Previous Year'!$A:$A,0),1)</f>
        <v>12579189</v>
      </c>
      <c r="H10" s="386">
        <f>INDEX('CTR1 Data Previous Year'!$C:$C,MATCH($D10,'CTR1 Data Previous Year'!$A:$A,0),1)</f>
        <v>0</v>
      </c>
      <c r="I10" s="386">
        <f>INDEX('CTR1 Data Previous Year'!$D:$D,MATCH($D10,'CTR1 Data Previous Year'!$A:$A,0),1)</f>
        <v>3029502</v>
      </c>
      <c r="J10" s="386">
        <f>INDEX('CTR1 Data Previous Year'!$E:$E,MATCH($D10,'CTR1 Data Previous Year'!$A:$A,0),1)</f>
        <v>9549687</v>
      </c>
      <c r="K10" s="386">
        <f>INDEX('CTR1 Data Previous Year'!$F:$F,MATCH($D10,'CTR1 Data Previous Year'!$A:$A,0),1)</f>
        <v>348880</v>
      </c>
      <c r="L10" s="465">
        <f>INDEX('CTR1 Data Previous Year'!$G:$G,MATCH($D10,'CTR1 Data Previous Year'!$A:$A,0),1)</f>
        <v>50589</v>
      </c>
      <c r="M10" s="455">
        <f>INDEX('CTR1 Data Previous Year'!$H:$H,MATCH($D10,'CTR1 Data Previous Year'!$A:$A,0),1)</f>
        <v>0.97499999999999998</v>
      </c>
      <c r="N10" s="465">
        <f>INDEX('CTR1 Data Previous Year'!$I:$I,MATCH($D10,'CTR1 Data Previous Year'!$A:$A,0),1)</f>
        <v>7.72</v>
      </c>
      <c r="O10" s="160" t="s">
        <v>358</v>
      </c>
      <c r="P10" s="817" t="s">
        <v>359</v>
      </c>
      <c r="Q10" s="820" t="s">
        <v>360</v>
      </c>
      <c r="R10" s="817" t="s">
        <v>361</v>
      </c>
      <c r="S10" s="821" t="s">
        <v>362</v>
      </c>
      <c r="T10" s="817" t="s">
        <v>363</v>
      </c>
      <c r="U10" s="160"/>
      <c r="V10" s="817"/>
      <c r="W10" s="465">
        <f>INDEX('CTR1 Data Previous Year'!$J:$J,MATCH($D10,'CTR1 Data Previous Year'!$A:$A,0),1)</f>
        <v>49332</v>
      </c>
      <c r="X10" s="465">
        <f>INDEX('CTR1 Data Previous Year'!$K:$K,MATCH($D10,'CTR1 Data Previous Year'!$A:$A,0),1)</f>
        <v>254.99</v>
      </c>
      <c r="Y10" s="465">
        <f>INDEX('CTR1 Data Previous Year'!$L:$L,MATCH($D10,'CTR1 Data Previous Year'!$A:$A,0),1)</f>
        <v>193.58</v>
      </c>
      <c r="Z10" s="836" t="str">
        <f t="shared" si="0"/>
        <v>N</v>
      </c>
      <c r="AA10" s="837" t="str">
        <f t="shared" si="1"/>
        <v>N</v>
      </c>
      <c r="AB10" s="838">
        <f t="shared" si="2"/>
        <v>193.58</v>
      </c>
      <c r="AC10" s="868">
        <f t="shared" si="3"/>
        <v>0</v>
      </c>
      <c r="AD10" s="876">
        <f t="shared" si="4"/>
        <v>0</v>
      </c>
      <c r="AE10" s="838">
        <f t="shared" si="5"/>
        <v>199.38740000000001</v>
      </c>
      <c r="AF10" s="838">
        <f t="shared" si="6"/>
        <v>198.58</v>
      </c>
      <c r="AG10" s="839">
        <f t="shared" si="8"/>
        <v>0</v>
      </c>
      <c r="AH10" s="839">
        <f t="shared" si="9"/>
        <v>199.39</v>
      </c>
      <c r="AI10" s="840">
        <f t="shared" si="7"/>
        <v>0</v>
      </c>
      <c r="AJ10" s="841">
        <f t="shared" si="10"/>
        <v>0</v>
      </c>
      <c r="AK10" s="879"/>
      <c r="AL10" s="830"/>
      <c r="AM10" s="830"/>
      <c r="AN10" s="830"/>
      <c r="AO10" s="374"/>
      <c r="AP10" s="374" t="s">
        <v>364</v>
      </c>
      <c r="AQ10" s="372">
        <v>2</v>
      </c>
      <c r="AR10" s="374"/>
      <c r="AS10" s="376"/>
      <c r="AT10" s="376"/>
      <c r="AU10" s="372"/>
    </row>
    <row r="11" spans="1:49" ht="15" customHeight="1" x14ac:dyDescent="0.25">
      <c r="A11" s="370">
        <v>6</v>
      </c>
      <c r="B11" s="371" t="s">
        <v>365</v>
      </c>
      <c r="C11" s="370" t="s">
        <v>366</v>
      </c>
      <c r="D11" s="370" t="s">
        <v>367</v>
      </c>
      <c r="E11" s="370" t="s">
        <v>321</v>
      </c>
      <c r="F11" s="370" t="s">
        <v>368</v>
      </c>
      <c r="G11" s="386">
        <f>INDEX('CTR1 Data Previous Year'!$B:$B,MATCH($D11,'CTR1 Data Previous Year'!$A:$A,0),1)</f>
        <v>10849723</v>
      </c>
      <c r="H11" s="386">
        <f>INDEX('CTR1 Data Previous Year'!$C:$C,MATCH($D11,'CTR1 Data Previous Year'!$A:$A,0),1)</f>
        <v>0</v>
      </c>
      <c r="I11" s="386">
        <f>INDEX('CTR1 Data Previous Year'!$D:$D,MATCH($D11,'CTR1 Data Previous Year'!$A:$A,0),1)</f>
        <v>3705195</v>
      </c>
      <c r="J11" s="386">
        <f>INDEX('CTR1 Data Previous Year'!$E:$E,MATCH($D11,'CTR1 Data Previous Year'!$A:$A,0),1)</f>
        <v>7144528</v>
      </c>
      <c r="K11" s="386">
        <f>INDEX('CTR1 Data Previous Year'!$F:$F,MATCH($D11,'CTR1 Data Previous Year'!$A:$A,0),1)</f>
        <v>0</v>
      </c>
      <c r="L11" s="465">
        <f>INDEX('CTR1 Data Previous Year'!$G:$G,MATCH($D11,'CTR1 Data Previous Year'!$A:$A,0),1)</f>
        <v>37075.339999999997</v>
      </c>
      <c r="M11" s="455">
        <f>INDEX('CTR1 Data Previous Year'!$H:$H,MATCH($D11,'CTR1 Data Previous Year'!$A:$A,0),1)</f>
        <v>0.99</v>
      </c>
      <c r="N11" s="465">
        <f>INDEX('CTR1 Data Previous Year'!$I:$I,MATCH($D11,'CTR1 Data Previous Year'!$A:$A,0),1)</f>
        <v>174.2</v>
      </c>
      <c r="O11" s="160" t="s">
        <v>369</v>
      </c>
      <c r="P11" s="817" t="s">
        <v>370</v>
      </c>
      <c r="Q11" s="820" t="s">
        <v>371</v>
      </c>
      <c r="R11" s="817" t="s">
        <v>372</v>
      </c>
      <c r="S11" s="821" t="s">
        <v>129</v>
      </c>
      <c r="T11" s="817"/>
      <c r="U11" s="160"/>
      <c r="V11" s="817"/>
      <c r="W11" s="465">
        <f>INDEX('CTR1 Data Previous Year'!$J:$J,MATCH($D11,'CTR1 Data Previous Year'!$A:$A,0),1)</f>
        <v>36878.79</v>
      </c>
      <c r="X11" s="465">
        <f>INDEX('CTR1 Data Previous Year'!$K:$K,MATCH($D11,'CTR1 Data Previous Year'!$A:$A,0),1)</f>
        <v>294.2</v>
      </c>
      <c r="Y11" s="465">
        <f>INDEX('CTR1 Data Previous Year'!$L:$L,MATCH($D11,'CTR1 Data Previous Year'!$A:$A,0),1)</f>
        <v>193.73</v>
      </c>
      <c r="Z11" s="836" t="str">
        <f t="shared" si="0"/>
        <v>N</v>
      </c>
      <c r="AA11" s="837" t="str">
        <f t="shared" si="1"/>
        <v>N</v>
      </c>
      <c r="AB11" s="838">
        <f t="shared" si="2"/>
        <v>193.73</v>
      </c>
      <c r="AC11" s="868">
        <f t="shared" si="3"/>
        <v>0</v>
      </c>
      <c r="AD11" s="876">
        <f t="shared" si="4"/>
        <v>0</v>
      </c>
      <c r="AE11" s="838">
        <f t="shared" si="5"/>
        <v>199.5419</v>
      </c>
      <c r="AF11" s="838">
        <f t="shared" si="6"/>
        <v>198.73</v>
      </c>
      <c r="AG11" s="839">
        <f t="shared" si="8"/>
        <v>0</v>
      </c>
      <c r="AH11" s="839">
        <f t="shared" si="9"/>
        <v>199.54</v>
      </c>
      <c r="AI11" s="840">
        <f t="shared" si="7"/>
        <v>0</v>
      </c>
      <c r="AJ11" s="841">
        <f t="shared" si="10"/>
        <v>0</v>
      </c>
      <c r="AK11" s="880" t="s">
        <v>373</v>
      </c>
      <c r="AL11" s="834"/>
      <c r="AM11" s="834"/>
      <c r="AN11" s="834"/>
      <c r="AO11" s="374"/>
      <c r="AP11" s="374" t="s">
        <v>374</v>
      </c>
      <c r="AQ11" s="372">
        <v>3</v>
      </c>
      <c r="AR11" s="374"/>
      <c r="AS11" s="376"/>
      <c r="AT11" s="376"/>
      <c r="AU11" s="372"/>
    </row>
    <row r="12" spans="1:49" ht="15" customHeight="1" x14ac:dyDescent="0.25">
      <c r="A12" s="370">
        <v>7</v>
      </c>
      <c r="B12" s="371" t="s">
        <v>375</v>
      </c>
      <c r="C12" s="370" t="s">
        <v>376</v>
      </c>
      <c r="D12" s="370" t="s">
        <v>377</v>
      </c>
      <c r="E12" s="370" t="s">
        <v>343</v>
      </c>
      <c r="F12" s="370" t="s">
        <v>378</v>
      </c>
      <c r="G12" s="386">
        <f>INDEX('CTR1 Data Previous Year'!$B:$B,MATCH($D12,'CTR1 Data Previous Year'!$A:$A,0),1)</f>
        <v>93486358</v>
      </c>
      <c r="H12" s="386">
        <f>INDEX('CTR1 Data Previous Year'!$C:$C,MATCH($D12,'CTR1 Data Previous Year'!$A:$A,0),1)</f>
        <v>0</v>
      </c>
      <c r="I12" s="386">
        <f>INDEX('CTR1 Data Previous Year'!$D:$D,MATCH($D12,'CTR1 Data Previous Year'!$A:$A,0),1)</f>
        <v>0</v>
      </c>
      <c r="J12" s="386">
        <f>INDEX('CTR1 Data Previous Year'!$E:$E,MATCH($D12,'CTR1 Data Previous Year'!$A:$A,0),1)</f>
        <v>93486358</v>
      </c>
      <c r="K12" s="386">
        <f>INDEX('CTR1 Data Previous Year'!$F:$F,MATCH($D12,'CTR1 Data Previous Year'!$A:$A,0),1)</f>
        <v>17000000</v>
      </c>
      <c r="L12" s="465">
        <f>INDEX('CTR1 Data Previous Year'!$G:$G,MATCH($D12,'CTR1 Data Previous Year'!$A:$A,0),1)</f>
        <v>58556.7</v>
      </c>
      <c r="M12" s="455">
        <f>INDEX('CTR1 Data Previous Year'!$H:$H,MATCH($D12,'CTR1 Data Previous Year'!$A:$A,0),1)</f>
        <v>0.99299999999999999</v>
      </c>
      <c r="N12" s="465">
        <f>INDEX('CTR1 Data Previous Year'!$I:$I,MATCH($D12,'CTR1 Data Previous Year'!$A:$A,0),1)</f>
        <v>0</v>
      </c>
      <c r="O12" s="160" t="s">
        <v>379</v>
      </c>
      <c r="P12" s="862" t="s">
        <v>380</v>
      </c>
      <c r="Q12" s="820"/>
      <c r="R12" s="817"/>
      <c r="S12" s="821" t="s">
        <v>129</v>
      </c>
      <c r="T12" s="817"/>
      <c r="U12" s="160"/>
      <c r="V12" s="817"/>
      <c r="W12" s="465">
        <f>INDEX('CTR1 Data Previous Year'!$J:$J,MATCH($D12,'CTR1 Data Previous Year'!$A:$A,0),1)</f>
        <v>58146.8</v>
      </c>
      <c r="X12" s="465">
        <f>INDEX('CTR1 Data Previous Year'!$K:$K,MATCH($D12,'CTR1 Data Previous Year'!$A:$A,0),1)</f>
        <v>1607.76</v>
      </c>
      <c r="Y12" s="465">
        <f>INDEX('CTR1 Data Previous Year'!$L:$L,MATCH($D12,'CTR1 Data Previous Year'!$A:$A,0),1)</f>
        <v>1607.76</v>
      </c>
      <c r="Z12" s="836" t="str">
        <f t="shared" si="0"/>
        <v>N</v>
      </c>
      <c r="AA12" s="837" t="str">
        <f t="shared" si="1"/>
        <v>N</v>
      </c>
      <c r="AB12" s="838">
        <f t="shared" si="2"/>
        <v>1607.76</v>
      </c>
      <c r="AC12" s="868">
        <f t="shared" si="3"/>
        <v>0</v>
      </c>
      <c r="AD12" s="876">
        <f t="shared" si="4"/>
        <v>0</v>
      </c>
      <c r="AE12" s="838">
        <f t="shared" si="5"/>
        <v>1688.1480000000001</v>
      </c>
      <c r="AF12" s="838">
        <f t="shared" si="6"/>
        <v>1607.76</v>
      </c>
      <c r="AG12" s="839">
        <f t="shared" si="8"/>
        <v>0</v>
      </c>
      <c r="AH12" s="839">
        <f t="shared" si="9"/>
        <v>1688.15</v>
      </c>
      <c r="AI12" s="840">
        <f t="shared" si="7"/>
        <v>32.159999999999997</v>
      </c>
      <c r="AJ12" s="841">
        <f>$AI12/$Y12</f>
        <v>2.0002985520226897E-2</v>
      </c>
      <c r="AK12" s="880" t="s">
        <v>381</v>
      </c>
      <c r="AL12" s="833" t="s">
        <v>303</v>
      </c>
      <c r="AM12" s="833" t="s">
        <v>382</v>
      </c>
      <c r="AN12" s="874" t="s">
        <v>296</v>
      </c>
      <c r="AO12" s="374"/>
      <c r="AP12" s="374" t="s">
        <v>143</v>
      </c>
      <c r="AQ12" s="374">
        <v>4</v>
      </c>
      <c r="AR12" s="374"/>
      <c r="AS12" s="376"/>
      <c r="AT12" s="376"/>
      <c r="AU12" s="372"/>
      <c r="AV12" s="377"/>
      <c r="AW12" s="377"/>
    </row>
    <row r="13" spans="1:49" ht="15" customHeight="1" x14ac:dyDescent="0.25">
      <c r="A13" s="370">
        <v>8</v>
      </c>
      <c r="B13" s="371" t="s">
        <v>383</v>
      </c>
      <c r="C13" s="370" t="s">
        <v>384</v>
      </c>
      <c r="D13" s="370" t="s">
        <v>385</v>
      </c>
      <c r="E13" s="370" t="s">
        <v>343</v>
      </c>
      <c r="F13" s="370" t="s">
        <v>378</v>
      </c>
      <c r="G13" s="386">
        <f>INDEX('CTR1 Data Previous Year'!$B:$B,MATCH($D13,'CTR1 Data Previous Year'!$A:$A,0),1)</f>
        <v>244777146</v>
      </c>
      <c r="H13" s="386">
        <f>INDEX('CTR1 Data Previous Year'!$C:$C,MATCH($D13,'CTR1 Data Previous Year'!$A:$A,0),1)</f>
        <v>0</v>
      </c>
      <c r="I13" s="386">
        <f>INDEX('CTR1 Data Previous Year'!$D:$D,MATCH($D13,'CTR1 Data Previous Year'!$A:$A,0),1)</f>
        <v>0</v>
      </c>
      <c r="J13" s="386">
        <f>INDEX('CTR1 Data Previous Year'!$E:$E,MATCH($D13,'CTR1 Data Previous Year'!$A:$A,0),1)</f>
        <v>244777146</v>
      </c>
      <c r="K13" s="386">
        <f>INDEX('CTR1 Data Previous Year'!$F:$F,MATCH($D13,'CTR1 Data Previous Year'!$A:$A,0),1)</f>
        <v>22542387.260000002</v>
      </c>
      <c r="L13" s="465">
        <f>INDEX('CTR1 Data Previous Year'!$G:$G,MATCH($D13,'CTR1 Data Previous Year'!$A:$A,0),1)</f>
        <v>161647.69</v>
      </c>
      <c r="M13" s="455">
        <f>INDEX('CTR1 Data Previous Year'!$H:$H,MATCH($D13,'CTR1 Data Previous Year'!$A:$A,0),1)</f>
        <v>0.98</v>
      </c>
      <c r="N13" s="465">
        <f>INDEX('CTR1 Data Previous Year'!$I:$I,MATCH($D13,'CTR1 Data Previous Year'!$A:$A,0),1)</f>
        <v>2.8</v>
      </c>
      <c r="O13" s="160" t="s">
        <v>379</v>
      </c>
      <c r="P13" s="862" t="s">
        <v>380</v>
      </c>
      <c r="Q13" s="820"/>
      <c r="R13" s="817"/>
      <c r="S13" s="821" t="s">
        <v>129</v>
      </c>
      <c r="T13" s="817"/>
      <c r="U13" s="160"/>
      <c r="V13" s="817"/>
      <c r="W13" s="465">
        <f>INDEX('CTR1 Data Previous Year'!$J:$J,MATCH($D13,'CTR1 Data Previous Year'!$A:$A,0),1)</f>
        <v>158417.54</v>
      </c>
      <c r="X13" s="465">
        <f>INDEX('CTR1 Data Previous Year'!$K:$K,MATCH($D13,'CTR1 Data Previous Year'!$A:$A,0),1)</f>
        <v>1545.14</v>
      </c>
      <c r="Y13" s="465">
        <f>INDEX('CTR1 Data Previous Year'!$L:$L,MATCH($D13,'CTR1 Data Previous Year'!$A:$A,0),1)</f>
        <v>1545.14</v>
      </c>
      <c r="Z13" s="836" t="str">
        <f t="shared" si="0"/>
        <v>N</v>
      </c>
      <c r="AA13" s="837" t="str">
        <f t="shared" si="1"/>
        <v>N</v>
      </c>
      <c r="AB13" s="838">
        <f t="shared" si="2"/>
        <v>1545.14</v>
      </c>
      <c r="AC13" s="868">
        <f t="shared" si="3"/>
        <v>0</v>
      </c>
      <c r="AD13" s="876">
        <f t="shared" si="4"/>
        <v>0</v>
      </c>
      <c r="AE13" s="838">
        <f t="shared" si="5"/>
        <v>1622.3970000000002</v>
      </c>
      <c r="AF13" s="838">
        <f t="shared" si="6"/>
        <v>1545.14</v>
      </c>
      <c r="AG13" s="839">
        <f t="shared" si="8"/>
        <v>0</v>
      </c>
      <c r="AH13" s="839">
        <f t="shared" si="9"/>
        <v>1622.4</v>
      </c>
      <c r="AI13" s="840">
        <f t="shared" si="7"/>
        <v>30.9</v>
      </c>
      <c r="AJ13" s="841">
        <f t="shared" si="10"/>
        <v>1.9998187866471645E-2</v>
      </c>
      <c r="AK13" s="881" t="s">
        <v>386</v>
      </c>
      <c r="AL13" s="834" t="str">
        <f t="shared" ref="AL13:AL18" si="11">INDEX($C$6:$C$301,MATCH($AK13,$B$6:$B$301,0),1)</f>
        <v>E1204</v>
      </c>
      <c r="AM13" s="834">
        <f>4.75%+2%</f>
        <v>6.7500000000000004E-2</v>
      </c>
      <c r="AN13" s="871"/>
      <c r="AO13" s="374"/>
      <c r="AP13" s="374" t="s">
        <v>387</v>
      </c>
      <c r="AQ13" s="374">
        <v>5</v>
      </c>
      <c r="AR13" s="374"/>
      <c r="AS13" s="376"/>
      <c r="AT13" s="376"/>
      <c r="AU13" s="372"/>
    </row>
    <row r="14" spans="1:49" ht="15" customHeight="1" x14ac:dyDescent="0.25">
      <c r="A14" s="370">
        <v>9</v>
      </c>
      <c r="B14" s="371" t="s">
        <v>388</v>
      </c>
      <c r="C14" s="370" t="s">
        <v>389</v>
      </c>
      <c r="D14" s="382" t="s">
        <v>390</v>
      </c>
      <c r="E14" s="370" t="s">
        <v>353</v>
      </c>
      <c r="F14" s="370" t="s">
        <v>391</v>
      </c>
      <c r="G14" s="386">
        <f>INDEX('CTR1 Data Previous Year'!$B:$B,MATCH($D14,'CTR1 Data Previous Year'!$A:$A,0),1)</f>
        <v>127533887</v>
      </c>
      <c r="H14" s="386">
        <f>INDEX('CTR1 Data Previous Year'!$C:$C,MATCH($D14,'CTR1 Data Previous Year'!$A:$A,0),1)</f>
        <v>0</v>
      </c>
      <c r="I14" s="386">
        <f>INDEX('CTR1 Data Previous Year'!$D:$D,MATCH($D14,'CTR1 Data Previous Year'!$A:$A,0),1)</f>
        <v>529764</v>
      </c>
      <c r="J14" s="386">
        <f>INDEX('CTR1 Data Previous Year'!$E:$E,MATCH($D14,'CTR1 Data Previous Year'!$A:$A,0),1)</f>
        <v>127004123</v>
      </c>
      <c r="K14" s="386">
        <f>INDEX('CTR1 Data Previous Year'!$F:$F,MATCH($D14,'CTR1 Data Previous Year'!$A:$A,0),1)</f>
        <v>12055542</v>
      </c>
      <c r="L14" s="465">
        <f>INDEX('CTR1 Data Previous Year'!$G:$G,MATCH($D14,'CTR1 Data Previous Year'!$A:$A,0),1)</f>
        <v>70798.100000000006</v>
      </c>
      <c r="M14" s="455">
        <f>INDEX('CTR1 Data Previous Year'!$H:$H,MATCH($D14,'CTR1 Data Previous Year'!$A:$A,0),1)</f>
        <v>0.95499999999999996</v>
      </c>
      <c r="N14" s="465">
        <f>INDEX('CTR1 Data Previous Year'!$I:$I,MATCH($D14,'CTR1 Data Previous Year'!$A:$A,0),1)</f>
        <v>0</v>
      </c>
      <c r="O14" s="160" t="s">
        <v>129</v>
      </c>
      <c r="P14" s="817"/>
      <c r="Q14" s="820" t="s">
        <v>392</v>
      </c>
      <c r="R14" s="862" t="s">
        <v>393</v>
      </c>
      <c r="S14" s="821" t="s">
        <v>394</v>
      </c>
      <c r="T14" s="817" t="s">
        <v>395</v>
      </c>
      <c r="U14" s="822" t="s">
        <v>396</v>
      </c>
      <c r="V14" s="817" t="s">
        <v>393</v>
      </c>
      <c r="W14" s="465">
        <f>INDEX('CTR1 Data Previous Year'!$J:$J,MATCH($D14,'CTR1 Data Previous Year'!$A:$A,0),1)</f>
        <v>67612.19</v>
      </c>
      <c r="X14" s="465">
        <f>INDEX('CTR1 Data Previous Year'!$K:$K,MATCH($D14,'CTR1 Data Previous Year'!$A:$A,0),1)</f>
        <v>1886.26</v>
      </c>
      <c r="Y14" s="465">
        <f>INDEX('CTR1 Data Previous Year'!$L:$L,MATCH($D14,'CTR1 Data Previous Year'!$A:$A,0),1)</f>
        <v>1878.42</v>
      </c>
      <c r="Z14" s="836" t="str">
        <f t="shared" si="0"/>
        <v>N</v>
      </c>
      <c r="AA14" s="837" t="str">
        <f t="shared" si="1"/>
        <v>N</v>
      </c>
      <c r="AB14" s="838">
        <f t="shared" si="2"/>
        <v>1878.42</v>
      </c>
      <c r="AC14" s="868">
        <f t="shared" si="3"/>
        <v>0</v>
      </c>
      <c r="AD14" s="876">
        <f t="shared" si="4"/>
        <v>0</v>
      </c>
      <c r="AE14" s="838">
        <f t="shared" si="5"/>
        <v>1972.3410000000001</v>
      </c>
      <c r="AF14" s="838">
        <f t="shared" si="6"/>
        <v>1878.42</v>
      </c>
      <c r="AG14" s="839">
        <f t="shared" si="8"/>
        <v>0</v>
      </c>
      <c r="AH14" s="839">
        <f t="shared" si="9"/>
        <v>1972.34</v>
      </c>
      <c r="AI14" s="840">
        <f t="shared" si="7"/>
        <v>37.57</v>
      </c>
      <c r="AJ14" s="841">
        <f t="shared" si="10"/>
        <v>2.0000851779687183E-2</v>
      </c>
      <c r="AK14" s="881" t="s">
        <v>397</v>
      </c>
      <c r="AL14" s="834" t="str">
        <f t="shared" si="11"/>
        <v>E4209</v>
      </c>
      <c r="AM14" s="834">
        <f>5.5%+2%</f>
        <v>7.4999999999999997E-2</v>
      </c>
      <c r="AN14" s="871"/>
      <c r="AO14" s="373"/>
      <c r="AP14" s="373"/>
      <c r="AQ14" s="373"/>
      <c r="AR14" s="374"/>
      <c r="AS14" s="375"/>
      <c r="AT14" s="375"/>
      <c r="AU14" s="372"/>
    </row>
    <row r="15" spans="1:49" ht="15" customHeight="1" x14ac:dyDescent="0.25">
      <c r="A15" s="370">
        <v>10</v>
      </c>
      <c r="B15" s="371" t="s">
        <v>398</v>
      </c>
      <c r="C15" s="370" t="s">
        <v>399</v>
      </c>
      <c r="D15" s="370" t="s">
        <v>400</v>
      </c>
      <c r="E15" s="370" t="s">
        <v>321</v>
      </c>
      <c r="F15" s="370" t="s">
        <v>368</v>
      </c>
      <c r="G15" s="386">
        <f>INDEX('CTR1 Data Previous Year'!$B:$B,MATCH($D15,'CTR1 Data Previous Year'!$A:$A,0),1)</f>
        <v>19536375</v>
      </c>
      <c r="H15" s="386">
        <f>INDEX('CTR1 Data Previous Year'!$C:$C,MATCH($D15,'CTR1 Data Previous Year'!$A:$A,0),1)</f>
        <v>0</v>
      </c>
      <c r="I15" s="386">
        <f>INDEX('CTR1 Data Previous Year'!$D:$D,MATCH($D15,'CTR1 Data Previous Year'!$A:$A,0),1)</f>
        <v>772945</v>
      </c>
      <c r="J15" s="386">
        <f>INDEX('CTR1 Data Previous Year'!$E:$E,MATCH($D15,'CTR1 Data Previous Year'!$A:$A,0),1)</f>
        <v>18763430</v>
      </c>
      <c r="K15" s="386">
        <f>INDEX('CTR1 Data Previous Year'!$F:$F,MATCH($D15,'CTR1 Data Previous Year'!$A:$A,0),1)</f>
        <v>0</v>
      </c>
      <c r="L15" s="465">
        <f>INDEX('CTR1 Data Previous Year'!$G:$G,MATCH($D15,'CTR1 Data Previous Year'!$A:$A,0),1)</f>
        <v>63188</v>
      </c>
      <c r="M15" s="455">
        <f>INDEX('CTR1 Data Previous Year'!$H:$H,MATCH($D15,'CTR1 Data Previous Year'!$A:$A,0),1)</f>
        <v>0.97499999999999998</v>
      </c>
      <c r="N15" s="465">
        <f>INDEX('CTR1 Data Previous Year'!$I:$I,MATCH($D15,'CTR1 Data Previous Year'!$A:$A,0),1)</f>
        <v>0</v>
      </c>
      <c r="O15" s="160" t="s">
        <v>401</v>
      </c>
      <c r="P15" s="817" t="s">
        <v>402</v>
      </c>
      <c r="Q15" s="820" t="s">
        <v>403</v>
      </c>
      <c r="R15" s="817" t="s">
        <v>404</v>
      </c>
      <c r="S15" s="821" t="s">
        <v>405</v>
      </c>
      <c r="T15" s="817" t="s">
        <v>406</v>
      </c>
      <c r="U15" s="822"/>
      <c r="V15" s="817"/>
      <c r="W15" s="465">
        <f>INDEX('CTR1 Data Previous Year'!$J:$J,MATCH($D15,'CTR1 Data Previous Year'!$A:$A,0),1)</f>
        <v>61608.3</v>
      </c>
      <c r="X15" s="465">
        <f>INDEX('CTR1 Data Previous Year'!$K:$K,MATCH($D15,'CTR1 Data Previous Year'!$A:$A,0),1)</f>
        <v>317.11</v>
      </c>
      <c r="Y15" s="465">
        <f>INDEX('CTR1 Data Previous Year'!$L:$L,MATCH($D15,'CTR1 Data Previous Year'!$A:$A,0),1)</f>
        <v>304.56</v>
      </c>
      <c r="Z15" s="836" t="str">
        <f t="shared" si="0"/>
        <v>N</v>
      </c>
      <c r="AA15" s="837" t="str">
        <f t="shared" si="1"/>
        <v>N</v>
      </c>
      <c r="AB15" s="838">
        <f t="shared" si="2"/>
        <v>304.56</v>
      </c>
      <c r="AC15" s="868">
        <f t="shared" si="3"/>
        <v>0</v>
      </c>
      <c r="AD15" s="876">
        <f t="shared" si="4"/>
        <v>0</v>
      </c>
      <c r="AE15" s="838">
        <f t="shared" si="5"/>
        <v>313.6968</v>
      </c>
      <c r="AF15" s="838">
        <f t="shared" si="6"/>
        <v>309.56</v>
      </c>
      <c r="AG15" s="839">
        <f t="shared" si="8"/>
        <v>0</v>
      </c>
      <c r="AH15" s="839">
        <f t="shared" si="9"/>
        <v>313.7</v>
      </c>
      <c r="AI15" s="840">
        <f t="shared" si="7"/>
        <v>0</v>
      </c>
      <c r="AJ15" s="841">
        <f t="shared" si="10"/>
        <v>0</v>
      </c>
      <c r="AK15" s="881" t="s">
        <v>407</v>
      </c>
      <c r="AL15" s="834" t="str">
        <f t="shared" si="11"/>
        <v>E0602</v>
      </c>
      <c r="AM15" s="834">
        <f>5.5%+2%</f>
        <v>7.4999999999999997E-2</v>
      </c>
      <c r="AN15" s="871"/>
      <c r="AO15" s="374"/>
      <c r="AP15" s="374"/>
      <c r="AQ15" s="374"/>
      <c r="AR15" s="374"/>
      <c r="AS15" s="375"/>
      <c r="AT15" s="375"/>
      <c r="AU15" s="372"/>
    </row>
    <row r="16" spans="1:49" ht="15" customHeight="1" x14ac:dyDescent="0.25">
      <c r="A16" s="370">
        <v>11</v>
      </c>
      <c r="B16" s="371" t="s">
        <v>408</v>
      </c>
      <c r="C16" s="370" t="s">
        <v>409</v>
      </c>
      <c r="D16" s="370" t="s">
        <v>410</v>
      </c>
      <c r="E16" s="370" t="s">
        <v>321</v>
      </c>
      <c r="F16" s="370" t="s">
        <v>322</v>
      </c>
      <c r="G16" s="386">
        <f>INDEX('CTR1 Data Previous Year'!$B:$B,MATCH($D16,'CTR1 Data Previous Year'!$A:$A,0),1)</f>
        <v>12235919</v>
      </c>
      <c r="H16" s="386">
        <f>INDEX('CTR1 Data Previous Year'!$C:$C,MATCH($D16,'CTR1 Data Previous Year'!$A:$A,0),1)</f>
        <v>0</v>
      </c>
      <c r="I16" s="386">
        <f>INDEX('CTR1 Data Previous Year'!$D:$D,MATCH($D16,'CTR1 Data Previous Year'!$A:$A,0),1)</f>
        <v>1982819</v>
      </c>
      <c r="J16" s="386">
        <f>INDEX('CTR1 Data Previous Year'!$E:$E,MATCH($D16,'CTR1 Data Previous Year'!$A:$A,0),1)</f>
        <v>10253100</v>
      </c>
      <c r="K16" s="386">
        <f>INDEX('CTR1 Data Previous Year'!$F:$F,MATCH($D16,'CTR1 Data Previous Year'!$A:$A,0),1)</f>
        <v>0</v>
      </c>
      <c r="L16" s="465">
        <f>INDEX('CTR1 Data Previous Year'!$G:$G,MATCH($D16,'CTR1 Data Previous Year'!$A:$A,0),1)</f>
        <v>71454.42</v>
      </c>
      <c r="M16" s="455">
        <f>INDEX('CTR1 Data Previous Year'!$H:$H,MATCH($D16,'CTR1 Data Previous Year'!$A:$A,0),1)</f>
        <v>0.98</v>
      </c>
      <c r="N16" s="465">
        <f>INDEX('CTR1 Data Previous Year'!$I:$I,MATCH($D16,'CTR1 Data Previous Year'!$A:$A,0),1)</f>
        <v>0</v>
      </c>
      <c r="O16" s="160" t="s">
        <v>411</v>
      </c>
      <c r="P16" s="817" t="s">
        <v>412</v>
      </c>
      <c r="Q16" s="820" t="s">
        <v>413</v>
      </c>
      <c r="R16" s="817" t="s">
        <v>414</v>
      </c>
      <c r="S16" s="821" t="s">
        <v>415</v>
      </c>
      <c r="T16" s="817" t="s">
        <v>416</v>
      </c>
      <c r="U16" s="160"/>
      <c r="V16" s="817"/>
      <c r="W16" s="465">
        <f>INDEX('CTR1 Data Previous Year'!$J:$J,MATCH($D16,'CTR1 Data Previous Year'!$A:$A,0),1)</f>
        <v>70025.33</v>
      </c>
      <c r="X16" s="465">
        <f>INDEX('CTR1 Data Previous Year'!$K:$K,MATCH($D16,'CTR1 Data Previous Year'!$A:$A,0),1)</f>
        <v>174.74</v>
      </c>
      <c r="Y16" s="465">
        <f>INDEX('CTR1 Data Previous Year'!$L:$L,MATCH($D16,'CTR1 Data Previous Year'!$A:$A,0),1)</f>
        <v>146.41999999999999</v>
      </c>
      <c r="Z16" s="836" t="str">
        <f t="shared" si="0"/>
        <v>N</v>
      </c>
      <c r="AA16" s="837" t="str">
        <f t="shared" si="1"/>
        <v>N</v>
      </c>
      <c r="AB16" s="838">
        <f t="shared" si="2"/>
        <v>146.41999999999999</v>
      </c>
      <c r="AC16" s="868">
        <f t="shared" si="3"/>
        <v>0</v>
      </c>
      <c r="AD16" s="876">
        <f t="shared" si="4"/>
        <v>0</v>
      </c>
      <c r="AE16" s="838">
        <f t="shared" si="5"/>
        <v>150.8126</v>
      </c>
      <c r="AF16" s="838">
        <f t="shared" si="6"/>
        <v>151.41999999999999</v>
      </c>
      <c r="AG16" s="839">
        <f t="shared" si="8"/>
        <v>0</v>
      </c>
      <c r="AH16" s="839">
        <f t="shared" si="9"/>
        <v>151.41999999999999</v>
      </c>
      <c r="AI16" s="840">
        <f t="shared" si="7"/>
        <v>0</v>
      </c>
      <c r="AJ16" s="841">
        <f t="shared" si="10"/>
        <v>0</v>
      </c>
      <c r="AK16" s="881" t="s">
        <v>417</v>
      </c>
      <c r="AL16" s="834" t="str">
        <f t="shared" si="11"/>
        <v>E0305</v>
      </c>
      <c r="AM16" s="834">
        <f>5.5%+2%</f>
        <v>7.4999999999999997E-2</v>
      </c>
      <c r="AN16" s="871"/>
      <c r="AO16" s="374"/>
      <c r="AP16" s="374"/>
      <c r="AQ16" s="374"/>
      <c r="AR16" s="374"/>
      <c r="AS16" s="376"/>
      <c r="AT16" s="376"/>
      <c r="AU16" s="372"/>
    </row>
    <row r="17" spans="1:51" ht="15" customHeight="1" x14ac:dyDescent="0.25">
      <c r="A17" s="370">
        <v>12</v>
      </c>
      <c r="B17" s="371" t="s">
        <v>418</v>
      </c>
      <c r="C17" s="370" t="s">
        <v>419</v>
      </c>
      <c r="D17" s="370" t="s">
        <v>420</v>
      </c>
      <c r="E17" s="370" t="s">
        <v>321</v>
      </c>
      <c r="F17" s="370" t="s">
        <v>330</v>
      </c>
      <c r="G17" s="386">
        <f>INDEX('CTR1 Data Previous Year'!$B:$B,MATCH($D17,'CTR1 Data Previous Year'!$A:$A,0),1)</f>
        <v>9666363</v>
      </c>
      <c r="H17" s="386">
        <f>INDEX('CTR1 Data Previous Year'!$C:$C,MATCH($D17,'CTR1 Data Previous Year'!$A:$A,0),1)</f>
        <v>0</v>
      </c>
      <c r="I17" s="386">
        <f>INDEX('CTR1 Data Previous Year'!$D:$D,MATCH($D17,'CTR1 Data Previous Year'!$A:$A,0),1)</f>
        <v>1758259</v>
      </c>
      <c r="J17" s="386">
        <f>INDEX('CTR1 Data Previous Year'!$E:$E,MATCH($D17,'CTR1 Data Previous Year'!$A:$A,0),1)</f>
        <v>7908104</v>
      </c>
      <c r="K17" s="386">
        <f>INDEX('CTR1 Data Previous Year'!$F:$F,MATCH($D17,'CTR1 Data Previous Year'!$A:$A,0),1)</f>
        <v>939600</v>
      </c>
      <c r="L17" s="465">
        <f>INDEX('CTR1 Data Previous Year'!$G:$G,MATCH($D17,'CTR1 Data Previous Year'!$A:$A,0),1)</f>
        <v>39595.360000000001</v>
      </c>
      <c r="M17" s="455">
        <f>INDEX('CTR1 Data Previous Year'!$H:$H,MATCH($D17,'CTR1 Data Previous Year'!$A:$A,0),1)</f>
        <v>0.97</v>
      </c>
      <c r="N17" s="465">
        <f>INDEX('CTR1 Data Previous Year'!$I:$I,MATCH($D17,'CTR1 Data Previous Year'!$A:$A,0),1)</f>
        <v>0</v>
      </c>
      <c r="O17" s="160" t="s">
        <v>347</v>
      </c>
      <c r="P17" s="817" t="s">
        <v>348</v>
      </c>
      <c r="Q17" s="820" t="s">
        <v>349</v>
      </c>
      <c r="R17" s="817" t="s">
        <v>350</v>
      </c>
      <c r="S17" s="821" t="s">
        <v>351</v>
      </c>
      <c r="T17" s="817" t="s">
        <v>352</v>
      </c>
      <c r="U17" s="822" t="s">
        <v>337</v>
      </c>
      <c r="V17" s="817" t="s">
        <v>338</v>
      </c>
      <c r="W17" s="465">
        <f>INDEX('CTR1 Data Previous Year'!$J:$J,MATCH($D17,'CTR1 Data Previous Year'!$A:$A,0),1)</f>
        <v>38407.5</v>
      </c>
      <c r="X17" s="465">
        <f>INDEX('CTR1 Data Previous Year'!$K:$K,MATCH($D17,'CTR1 Data Previous Year'!$A:$A,0),1)</f>
        <v>251.68</v>
      </c>
      <c r="Y17" s="465">
        <f>INDEX('CTR1 Data Previous Year'!$L:$L,MATCH($D17,'CTR1 Data Previous Year'!$A:$A,0),1)</f>
        <v>205.9</v>
      </c>
      <c r="Z17" s="836" t="str">
        <f t="shared" si="0"/>
        <v>N</v>
      </c>
      <c r="AA17" s="837" t="str">
        <f t="shared" si="1"/>
        <v>N</v>
      </c>
      <c r="AB17" s="838">
        <f t="shared" si="2"/>
        <v>205.9</v>
      </c>
      <c r="AC17" s="868">
        <f t="shared" si="3"/>
        <v>0</v>
      </c>
      <c r="AD17" s="876">
        <f t="shared" si="4"/>
        <v>0</v>
      </c>
      <c r="AE17" s="838">
        <f t="shared" si="5"/>
        <v>212.077</v>
      </c>
      <c r="AF17" s="838">
        <f t="shared" si="6"/>
        <v>210.9</v>
      </c>
      <c r="AG17" s="839">
        <f t="shared" si="8"/>
        <v>0</v>
      </c>
      <c r="AH17" s="839">
        <f t="shared" si="9"/>
        <v>212.08</v>
      </c>
      <c r="AI17" s="840">
        <f t="shared" si="7"/>
        <v>0</v>
      </c>
      <c r="AJ17" s="841">
        <f t="shared" si="10"/>
        <v>0</v>
      </c>
      <c r="AK17" s="881" t="s">
        <v>421</v>
      </c>
      <c r="AL17" s="834" t="str">
        <f t="shared" si="11"/>
        <v>E0104</v>
      </c>
      <c r="AM17" s="834">
        <f>7%+2%</f>
        <v>9.0000000000000011E-2</v>
      </c>
      <c r="AN17" s="871"/>
      <c r="AO17" s="374"/>
      <c r="AP17" s="374" t="s">
        <v>354</v>
      </c>
      <c r="AQ17" s="374">
        <v>1</v>
      </c>
      <c r="AR17" s="374"/>
      <c r="AS17" s="375">
        <f>IF(CTR1_Billing!F99="yes - to be held",1,IF(CTR1_Billing!F99="yes - resulted in no changes",2,IF(CTR1_Billing!F99="yes - changes made to form",3,IF(CTR1_Billing!F99="no",4,IF(CTR1_Billing!F99="",5,)))))</f>
        <v>4</v>
      </c>
      <c r="AT17" s="376"/>
      <c r="AU17" s="372"/>
    </row>
    <row r="18" spans="1:51" ht="15" customHeight="1" x14ac:dyDescent="0.25">
      <c r="A18" s="370">
        <v>13</v>
      </c>
      <c r="B18" s="371" t="s">
        <v>422</v>
      </c>
      <c r="C18" s="370" t="s">
        <v>423</v>
      </c>
      <c r="D18" s="370" t="s">
        <v>424</v>
      </c>
      <c r="E18" s="370" t="s">
        <v>339</v>
      </c>
      <c r="F18" s="370" t="s">
        <v>425</v>
      </c>
      <c r="G18" s="386">
        <f>INDEX('CTR1 Data Previous Year'!$B:$B,MATCH($D18,'CTR1 Data Previous Year'!$A:$A,0),1)</f>
        <v>133584846</v>
      </c>
      <c r="H18" s="386">
        <f>INDEX('CTR1 Data Previous Year'!$C:$C,MATCH($D18,'CTR1 Data Previous Year'!$A:$A,0),1)</f>
        <v>0</v>
      </c>
      <c r="I18" s="386">
        <f>INDEX('CTR1 Data Previous Year'!$D:$D,MATCH($D18,'CTR1 Data Previous Year'!$A:$A,0),1)</f>
        <v>4195241</v>
      </c>
      <c r="J18" s="386">
        <f>INDEX('CTR1 Data Previous Year'!$E:$E,MATCH($D18,'CTR1 Data Previous Year'!$A:$A,0),1)</f>
        <v>129389605</v>
      </c>
      <c r="K18" s="386">
        <f>INDEX('CTR1 Data Previous Year'!$F:$F,MATCH($D18,'CTR1 Data Previous Year'!$A:$A,0),1)</f>
        <v>5577384</v>
      </c>
      <c r="L18" s="465">
        <f>INDEX('CTR1 Data Previous Year'!$G:$G,MATCH($D18,'CTR1 Data Previous Year'!$A:$A,0),1)</f>
        <v>71857.070000000007</v>
      </c>
      <c r="M18" s="455">
        <f>INDEX('CTR1 Data Previous Year'!$H:$H,MATCH($D18,'CTR1 Data Previous Year'!$A:$A,0),1)</f>
        <v>0.98750000000000004</v>
      </c>
      <c r="N18" s="465">
        <f>INDEX('CTR1 Data Previous Year'!$I:$I,MATCH($D18,'CTR1 Data Previous Year'!$A:$A,0),1)</f>
        <v>15</v>
      </c>
      <c r="O18" s="160" t="s">
        <v>129</v>
      </c>
      <c r="P18" s="817"/>
      <c r="Q18" s="820" t="s">
        <v>426</v>
      </c>
      <c r="R18" s="817" t="s">
        <v>427</v>
      </c>
      <c r="S18" s="821" t="s">
        <v>428</v>
      </c>
      <c r="T18" s="817" t="s">
        <v>429</v>
      </c>
      <c r="U18" s="160"/>
      <c r="V18" s="817"/>
      <c r="W18" s="465">
        <f>INDEX('CTR1 Data Previous Year'!$J:$J,MATCH($D18,'CTR1 Data Previous Year'!$A:$A,0),1)</f>
        <v>70973.86</v>
      </c>
      <c r="X18" s="465">
        <f>INDEX('CTR1 Data Previous Year'!$K:$K,MATCH($D18,'CTR1 Data Previous Year'!$A:$A,0),1)</f>
        <v>1882.17</v>
      </c>
      <c r="Y18" s="465">
        <f>INDEX('CTR1 Data Previous Year'!$L:$L,MATCH($D18,'CTR1 Data Previous Year'!$A:$A,0),1)</f>
        <v>1823.06</v>
      </c>
      <c r="Z18" s="836" t="str">
        <f t="shared" si="0"/>
        <v>N</v>
      </c>
      <c r="AA18" s="837" t="str">
        <f t="shared" si="1"/>
        <v>N</v>
      </c>
      <c r="AB18" s="838">
        <f t="shared" si="2"/>
        <v>1823.06</v>
      </c>
      <c r="AC18" s="868">
        <f t="shared" si="3"/>
        <v>0</v>
      </c>
      <c r="AD18" s="876">
        <f t="shared" si="4"/>
        <v>0</v>
      </c>
      <c r="AE18" s="838">
        <f t="shared" si="5"/>
        <v>1914.213</v>
      </c>
      <c r="AF18" s="838">
        <f t="shared" si="6"/>
        <v>1823.06</v>
      </c>
      <c r="AG18" s="839">
        <f t="shared" si="8"/>
        <v>0</v>
      </c>
      <c r="AH18" s="839">
        <f t="shared" si="9"/>
        <v>1914.21</v>
      </c>
      <c r="AI18" s="840">
        <f t="shared" si="7"/>
        <v>36.46</v>
      </c>
      <c r="AJ18" s="841">
        <f t="shared" si="10"/>
        <v>1.999934176604171E-2</v>
      </c>
      <c r="AK18" s="881" t="s">
        <v>430</v>
      </c>
      <c r="AL18" s="834" t="str">
        <f t="shared" si="11"/>
        <v>E3202</v>
      </c>
      <c r="AM18" s="834">
        <f>7%+2%</f>
        <v>9.0000000000000011E-2</v>
      </c>
      <c r="AN18" s="871"/>
      <c r="AO18" s="374"/>
      <c r="AP18" s="374" t="s">
        <v>364</v>
      </c>
      <c r="AQ18" s="372">
        <v>2</v>
      </c>
      <c r="AR18" s="374"/>
      <c r="AS18" s="376"/>
      <c r="AT18" s="375"/>
      <c r="AU18" s="372"/>
    </row>
    <row r="19" spans="1:51" ht="15" customHeight="1" x14ac:dyDescent="0.25">
      <c r="A19" s="370">
        <v>14</v>
      </c>
      <c r="B19" s="371" t="s">
        <v>431</v>
      </c>
      <c r="C19" s="370" t="s">
        <v>432</v>
      </c>
      <c r="D19" s="370" t="s">
        <v>433</v>
      </c>
      <c r="E19" s="370" t="s">
        <v>339</v>
      </c>
      <c r="F19" s="370" t="s">
        <v>368</v>
      </c>
      <c r="G19" s="386">
        <f>INDEX('CTR1 Data Previous Year'!$B:$B,MATCH($D19,'CTR1 Data Previous Year'!$A:$A,0),1)</f>
        <v>126576997</v>
      </c>
      <c r="H19" s="386">
        <f>INDEX('CTR1 Data Previous Year'!$C:$C,MATCH($D19,'CTR1 Data Previous Year'!$A:$A,0),1)</f>
        <v>1547092</v>
      </c>
      <c r="I19" s="386">
        <f>INDEX('CTR1 Data Previous Year'!$D:$D,MATCH($D19,'CTR1 Data Previous Year'!$A:$A,0),1)</f>
        <v>2490093</v>
      </c>
      <c r="J19" s="386">
        <f>INDEX('CTR1 Data Previous Year'!$E:$E,MATCH($D19,'CTR1 Data Previous Year'!$A:$A,0),1)</f>
        <v>124086904</v>
      </c>
      <c r="K19" s="386">
        <f>INDEX('CTR1 Data Previous Year'!$F:$F,MATCH($D19,'CTR1 Data Previous Year'!$A:$A,0),1)</f>
        <v>887269</v>
      </c>
      <c r="L19" s="465">
        <f>INDEX('CTR1 Data Previous Year'!$G:$G,MATCH($D19,'CTR1 Data Previous Year'!$A:$A,0),1)</f>
        <v>65760.41</v>
      </c>
      <c r="M19" s="455">
        <f>INDEX('CTR1 Data Previous Year'!$H:$H,MATCH($D19,'CTR1 Data Previous Year'!$A:$A,0),1)</f>
        <v>0.98499999999999999</v>
      </c>
      <c r="N19" s="465">
        <f>INDEX('CTR1 Data Previous Year'!$I:$I,MATCH($D19,'CTR1 Data Previous Year'!$A:$A,0),1)</f>
        <v>0</v>
      </c>
      <c r="O19" s="160" t="s">
        <v>129</v>
      </c>
      <c r="P19" s="817"/>
      <c r="Q19" s="820" t="s">
        <v>434</v>
      </c>
      <c r="R19" s="817" t="s">
        <v>435</v>
      </c>
      <c r="S19" s="821" t="s">
        <v>436</v>
      </c>
      <c r="T19" s="817" t="s">
        <v>437</v>
      </c>
      <c r="U19" s="160"/>
      <c r="V19" s="817"/>
      <c r="W19" s="465">
        <f>INDEX('CTR1 Data Previous Year'!$J:$J,MATCH($D19,'CTR1 Data Previous Year'!$A:$A,0),1)</f>
        <v>64774</v>
      </c>
      <c r="X19" s="465">
        <f>INDEX('CTR1 Data Previous Year'!$K:$K,MATCH($D19,'CTR1 Data Previous Year'!$A:$A,0),1)</f>
        <v>1954.13</v>
      </c>
      <c r="Y19" s="465">
        <f>INDEX('CTR1 Data Previous Year'!$L:$L,MATCH($D19,'CTR1 Data Previous Year'!$A:$A,0),1)</f>
        <v>1915.69</v>
      </c>
      <c r="Z19" s="836" t="str">
        <f t="shared" si="0"/>
        <v>N</v>
      </c>
      <c r="AA19" s="837" t="str">
        <f t="shared" si="1"/>
        <v>N</v>
      </c>
      <c r="AB19" s="838">
        <f t="shared" si="2"/>
        <v>1915.69</v>
      </c>
      <c r="AC19" s="868">
        <f t="shared" si="3"/>
        <v>0</v>
      </c>
      <c r="AD19" s="876">
        <f t="shared" si="4"/>
        <v>0</v>
      </c>
      <c r="AE19" s="838">
        <f t="shared" si="5"/>
        <v>2011.4745</v>
      </c>
      <c r="AF19" s="838">
        <f t="shared" si="6"/>
        <v>1915.69</v>
      </c>
      <c r="AG19" s="839">
        <f t="shared" si="8"/>
        <v>0</v>
      </c>
      <c r="AH19" s="839">
        <f t="shared" si="9"/>
        <v>2011.47</v>
      </c>
      <c r="AI19" s="840">
        <f t="shared" si="7"/>
        <v>38.31</v>
      </c>
      <c r="AJ19" s="841">
        <f t="shared" si="10"/>
        <v>1.9998016380520858E-2</v>
      </c>
      <c r="AK19" s="881"/>
      <c r="AL19" s="834" t="e">
        <f t="shared" ref="AL19:AL33" si="12">INDEX($C$6:$C$301,MATCH($AK19,$B$6:$B$301,0),1)</f>
        <v>#N/A</v>
      </c>
      <c r="AM19" s="834"/>
      <c r="AN19" s="871"/>
      <c r="AO19" s="374"/>
      <c r="AP19" s="374" t="s">
        <v>374</v>
      </c>
      <c r="AQ19" s="372">
        <v>3</v>
      </c>
      <c r="AR19" s="374"/>
      <c r="AS19" s="376"/>
      <c r="AT19" s="375"/>
      <c r="AU19" s="372"/>
    </row>
    <row r="20" spans="1:51" ht="15" customHeight="1" x14ac:dyDescent="0.25">
      <c r="A20" s="370">
        <v>15</v>
      </c>
      <c r="B20" s="371" t="s">
        <v>438</v>
      </c>
      <c r="C20" s="370" t="s">
        <v>439</v>
      </c>
      <c r="D20" s="370" t="s">
        <v>440</v>
      </c>
      <c r="E20" s="370" t="s">
        <v>343</v>
      </c>
      <c r="F20" s="370" t="s">
        <v>378</v>
      </c>
      <c r="G20" s="386">
        <f>INDEX('CTR1 Data Previous Year'!$B:$B,MATCH($D20,'CTR1 Data Previous Year'!$A:$A,0),1)</f>
        <v>150619000</v>
      </c>
      <c r="H20" s="386">
        <f>INDEX('CTR1 Data Previous Year'!$C:$C,MATCH($D20,'CTR1 Data Previous Year'!$A:$A,0),1)</f>
        <v>0</v>
      </c>
      <c r="I20" s="386">
        <f>INDEX('CTR1 Data Previous Year'!$D:$D,MATCH($D20,'CTR1 Data Previous Year'!$A:$A,0),1)</f>
        <v>0</v>
      </c>
      <c r="J20" s="386">
        <f>INDEX('CTR1 Data Previous Year'!$E:$E,MATCH($D20,'CTR1 Data Previous Year'!$A:$A,0),1)</f>
        <v>150619000</v>
      </c>
      <c r="K20" s="386">
        <f>INDEX('CTR1 Data Previous Year'!$F:$F,MATCH($D20,'CTR1 Data Previous Year'!$A:$A,0),1)</f>
        <v>621914</v>
      </c>
      <c r="L20" s="465">
        <f>INDEX('CTR1 Data Previous Year'!$G:$G,MATCH($D20,'CTR1 Data Previous Year'!$A:$A,0),1)</f>
        <v>86506.4</v>
      </c>
      <c r="M20" s="455">
        <f>INDEX('CTR1 Data Previous Year'!$H:$H,MATCH($D20,'CTR1 Data Previous Year'!$A:$A,0),1)</f>
        <v>0.98499999999999999</v>
      </c>
      <c r="N20" s="465">
        <f>INDEX('CTR1 Data Previous Year'!$I:$I,MATCH($D20,'CTR1 Data Previous Year'!$A:$A,0),1)</f>
        <v>0</v>
      </c>
      <c r="O20" s="160" t="s">
        <v>379</v>
      </c>
      <c r="P20" s="862" t="s">
        <v>380</v>
      </c>
      <c r="Q20" s="820"/>
      <c r="R20" s="817"/>
      <c r="S20" s="821" t="s">
        <v>129</v>
      </c>
      <c r="T20" s="817"/>
      <c r="U20" s="160"/>
      <c r="V20" s="817"/>
      <c r="W20" s="465">
        <f>INDEX('CTR1 Data Previous Year'!$J:$J,MATCH($D20,'CTR1 Data Previous Year'!$A:$A,0),1)</f>
        <v>85208.8</v>
      </c>
      <c r="X20" s="465">
        <f>INDEX('CTR1 Data Previous Year'!$K:$K,MATCH($D20,'CTR1 Data Previous Year'!$A:$A,0),1)</f>
        <v>1767.65</v>
      </c>
      <c r="Y20" s="465">
        <f>INDEX('CTR1 Data Previous Year'!$L:$L,MATCH($D20,'CTR1 Data Previous Year'!$A:$A,0),1)</f>
        <v>1767.65</v>
      </c>
      <c r="Z20" s="836" t="str">
        <f t="shared" si="0"/>
        <v>N</v>
      </c>
      <c r="AA20" s="837" t="str">
        <f t="shared" si="1"/>
        <v>N</v>
      </c>
      <c r="AB20" s="838">
        <f t="shared" si="2"/>
        <v>1767.65</v>
      </c>
      <c r="AC20" s="868">
        <f t="shared" si="3"/>
        <v>0</v>
      </c>
      <c r="AD20" s="876">
        <f t="shared" si="4"/>
        <v>0</v>
      </c>
      <c r="AE20" s="838">
        <f t="shared" si="5"/>
        <v>1856.0325000000003</v>
      </c>
      <c r="AF20" s="838">
        <f t="shared" si="6"/>
        <v>1767.65</v>
      </c>
      <c r="AG20" s="839">
        <f t="shared" si="8"/>
        <v>0</v>
      </c>
      <c r="AH20" s="839">
        <f t="shared" si="9"/>
        <v>1856.03</v>
      </c>
      <c r="AI20" s="840">
        <f t="shared" si="7"/>
        <v>35.35</v>
      </c>
      <c r="AJ20" s="841">
        <f t="shared" si="10"/>
        <v>1.9998302831442875E-2</v>
      </c>
      <c r="AK20" s="881"/>
      <c r="AL20" s="834" t="e">
        <f t="shared" si="12"/>
        <v>#N/A</v>
      </c>
      <c r="AM20" s="834"/>
      <c r="AN20" s="871"/>
      <c r="AO20" s="373"/>
      <c r="AP20" s="374" t="s">
        <v>143</v>
      </c>
      <c r="AQ20" s="374">
        <v>4</v>
      </c>
      <c r="AR20" s="374"/>
      <c r="AS20" s="376"/>
      <c r="AT20" s="375"/>
      <c r="AU20" s="372"/>
    </row>
    <row r="21" spans="1:51" ht="15" customHeight="1" x14ac:dyDescent="0.25">
      <c r="A21" s="370">
        <v>16</v>
      </c>
      <c r="B21" s="371" t="s">
        <v>441</v>
      </c>
      <c r="C21" s="370" t="s">
        <v>442</v>
      </c>
      <c r="D21" s="370" t="s">
        <v>443</v>
      </c>
      <c r="E21" s="370" t="s">
        <v>353</v>
      </c>
      <c r="F21" s="370" t="s">
        <v>444</v>
      </c>
      <c r="G21" s="386">
        <f>INDEX('CTR1 Data Previous Year'!$B:$B,MATCH($D21,'CTR1 Data Previous Year'!$A:$A,0),1)</f>
        <v>528925149</v>
      </c>
      <c r="H21" s="386">
        <f>INDEX('CTR1 Data Previous Year'!$C:$C,MATCH($D21,'CTR1 Data Previous Year'!$A:$A,0),1)</f>
        <v>0</v>
      </c>
      <c r="I21" s="386">
        <f>INDEX('CTR1 Data Previous Year'!$D:$D,MATCH($D21,'CTR1 Data Previous Year'!$A:$A,0),1)</f>
        <v>2299255</v>
      </c>
      <c r="J21" s="386">
        <f>INDEX('CTR1 Data Previous Year'!$E:$E,MATCH($D21,'CTR1 Data Previous Year'!$A:$A,0),1)</f>
        <v>526625894</v>
      </c>
      <c r="K21" s="386">
        <f>INDEX('CTR1 Data Previous Year'!$F:$F,MATCH($D21,'CTR1 Data Previous Year'!$A:$A,0),1)</f>
        <v>48417687</v>
      </c>
      <c r="L21" s="465">
        <f>INDEX('CTR1 Data Previous Year'!$G:$G,MATCH($D21,'CTR1 Data Previous Year'!$A:$A,0),1)</f>
        <v>280537.99</v>
      </c>
      <c r="M21" s="455">
        <f>INDEX('CTR1 Data Previous Year'!$H:$H,MATCH($D21,'CTR1 Data Previous Year'!$A:$A,0),1)</f>
        <v>0.97399999999999998</v>
      </c>
      <c r="N21" s="465">
        <f>INDEX('CTR1 Data Previous Year'!$I:$I,MATCH($D21,'CTR1 Data Previous Year'!$A:$A,0),1)</f>
        <v>0</v>
      </c>
      <c r="O21" s="160" t="s">
        <v>129</v>
      </c>
      <c r="P21" s="817"/>
      <c r="Q21" s="820" t="s">
        <v>445</v>
      </c>
      <c r="R21" s="817" t="s">
        <v>446</v>
      </c>
      <c r="S21" s="821" t="s">
        <v>447</v>
      </c>
      <c r="T21" s="817" t="s">
        <v>448</v>
      </c>
      <c r="U21" s="822" t="s">
        <v>449</v>
      </c>
      <c r="V21" s="817" t="s">
        <v>450</v>
      </c>
      <c r="W21" s="465">
        <f>INDEX('CTR1 Data Previous Year'!$J:$J,MATCH($D21,'CTR1 Data Previous Year'!$A:$A,0),1)</f>
        <v>273244</v>
      </c>
      <c r="X21" s="465">
        <f>INDEX('CTR1 Data Previous Year'!$K:$K,MATCH($D21,'CTR1 Data Previous Year'!$A:$A,0),1)</f>
        <v>1935.72</v>
      </c>
      <c r="Y21" s="465">
        <f>INDEX('CTR1 Data Previous Year'!$L:$L,MATCH($D21,'CTR1 Data Previous Year'!$A:$A,0),1)</f>
        <v>1927.31</v>
      </c>
      <c r="Z21" s="836" t="str">
        <f t="shared" si="0"/>
        <v>N</v>
      </c>
      <c r="AA21" s="837" t="str">
        <f t="shared" si="1"/>
        <v>N</v>
      </c>
      <c r="AB21" s="838">
        <f t="shared" si="2"/>
        <v>1927.31</v>
      </c>
      <c r="AC21" s="868">
        <f t="shared" si="3"/>
        <v>0</v>
      </c>
      <c r="AD21" s="876">
        <f t="shared" si="4"/>
        <v>0</v>
      </c>
      <c r="AE21" s="838">
        <f t="shared" si="5"/>
        <v>2023.6755000000001</v>
      </c>
      <c r="AF21" s="838">
        <f t="shared" si="6"/>
        <v>1927.31</v>
      </c>
      <c r="AG21" s="839">
        <f t="shared" si="8"/>
        <v>0</v>
      </c>
      <c r="AH21" s="839">
        <f t="shared" si="9"/>
        <v>2023.68</v>
      </c>
      <c r="AI21" s="840">
        <f t="shared" si="7"/>
        <v>38.549999999999997</v>
      </c>
      <c r="AJ21" s="841">
        <f t="shared" si="10"/>
        <v>2.0001971659982045E-2</v>
      </c>
      <c r="AK21" s="881"/>
      <c r="AL21" s="834" t="e">
        <f t="shared" si="12"/>
        <v>#N/A</v>
      </c>
      <c r="AM21" s="834"/>
      <c r="AN21" s="871"/>
      <c r="AO21" s="374"/>
      <c r="AP21" s="374" t="s">
        <v>387</v>
      </c>
      <c r="AQ21" s="374">
        <v>5</v>
      </c>
      <c r="AR21" s="374"/>
      <c r="AS21" s="376"/>
      <c r="AT21" s="375"/>
      <c r="AU21" s="372"/>
      <c r="AY21" s="444"/>
    </row>
    <row r="22" spans="1:51" ht="15" customHeight="1" x14ac:dyDescent="0.25">
      <c r="A22" s="370">
        <v>17</v>
      </c>
      <c r="B22" s="371" t="s">
        <v>451</v>
      </c>
      <c r="C22" s="370" t="s">
        <v>452</v>
      </c>
      <c r="D22" s="370" t="s">
        <v>453</v>
      </c>
      <c r="E22" s="370" t="s">
        <v>321</v>
      </c>
      <c r="F22" s="370" t="s">
        <v>330</v>
      </c>
      <c r="G22" s="386">
        <f>INDEX('CTR1 Data Previous Year'!$B:$B,MATCH($D22,'CTR1 Data Previous Year'!$A:$A,0),1)</f>
        <v>11733050</v>
      </c>
      <c r="H22" s="386">
        <f>INDEX('CTR1 Data Previous Year'!$C:$C,MATCH($D22,'CTR1 Data Previous Year'!$A:$A,0),1)</f>
        <v>0</v>
      </c>
      <c r="I22" s="386">
        <f>INDEX('CTR1 Data Previous Year'!$D:$D,MATCH($D22,'CTR1 Data Previous Year'!$A:$A,0),1)</f>
        <v>4978992</v>
      </c>
      <c r="J22" s="386">
        <f>INDEX('CTR1 Data Previous Year'!$E:$E,MATCH($D22,'CTR1 Data Previous Year'!$A:$A,0),1)</f>
        <v>6754058</v>
      </c>
      <c r="K22" s="386">
        <f>INDEX('CTR1 Data Previous Year'!$F:$F,MATCH($D22,'CTR1 Data Previous Year'!$A:$A,0),1)</f>
        <v>0</v>
      </c>
      <c r="L22" s="465">
        <f>INDEX('CTR1 Data Previous Year'!$G:$G,MATCH($D22,'CTR1 Data Previous Year'!$A:$A,0),1)</f>
        <v>35022.99</v>
      </c>
      <c r="M22" s="455">
        <f>INDEX('CTR1 Data Previous Year'!$H:$H,MATCH($D22,'CTR1 Data Previous Year'!$A:$A,0),1)</f>
        <v>0.99</v>
      </c>
      <c r="N22" s="465">
        <f>INDEX('CTR1 Data Previous Year'!$I:$I,MATCH($D22,'CTR1 Data Previous Year'!$A:$A,0),1)</f>
        <v>0</v>
      </c>
      <c r="O22" s="160" t="s">
        <v>454</v>
      </c>
      <c r="P22" s="817" t="s">
        <v>455</v>
      </c>
      <c r="Q22" s="820" t="s">
        <v>456</v>
      </c>
      <c r="R22" s="817" t="s">
        <v>457</v>
      </c>
      <c r="S22" s="821" t="s">
        <v>458</v>
      </c>
      <c r="T22" s="817" t="s">
        <v>459</v>
      </c>
      <c r="U22" s="160"/>
      <c r="V22" s="817"/>
      <c r="W22" s="465">
        <f>INDEX('CTR1 Data Previous Year'!$J:$J,MATCH($D22,'CTR1 Data Previous Year'!$A:$A,0),1)</f>
        <v>34672.76</v>
      </c>
      <c r="X22" s="465">
        <f>INDEX('CTR1 Data Previous Year'!$K:$K,MATCH($D22,'CTR1 Data Previous Year'!$A:$A,0),1)</f>
        <v>338.39</v>
      </c>
      <c r="Y22" s="465">
        <f>INDEX('CTR1 Data Previous Year'!$L:$L,MATCH($D22,'CTR1 Data Previous Year'!$A:$A,0),1)</f>
        <v>194.79</v>
      </c>
      <c r="Z22" s="836" t="str">
        <f t="shared" si="0"/>
        <v>N</v>
      </c>
      <c r="AA22" s="837" t="str">
        <f t="shared" si="1"/>
        <v>N</v>
      </c>
      <c r="AB22" s="838">
        <f t="shared" si="2"/>
        <v>194.79</v>
      </c>
      <c r="AC22" s="868">
        <f t="shared" si="3"/>
        <v>0</v>
      </c>
      <c r="AD22" s="876">
        <f t="shared" si="4"/>
        <v>0</v>
      </c>
      <c r="AE22" s="838">
        <f t="shared" si="5"/>
        <v>200.6337</v>
      </c>
      <c r="AF22" s="838">
        <f t="shared" si="6"/>
        <v>199.79</v>
      </c>
      <c r="AG22" s="839">
        <f t="shared" si="8"/>
        <v>0</v>
      </c>
      <c r="AH22" s="839">
        <f t="shared" si="9"/>
        <v>200.63</v>
      </c>
      <c r="AI22" s="840">
        <f t="shared" si="7"/>
        <v>0</v>
      </c>
      <c r="AJ22" s="841">
        <f t="shared" si="10"/>
        <v>0</v>
      </c>
      <c r="AK22" s="881"/>
      <c r="AL22" s="834" t="e">
        <f t="shared" si="12"/>
        <v>#N/A</v>
      </c>
      <c r="AM22" s="834"/>
      <c r="AN22" s="871"/>
      <c r="AO22" s="374"/>
      <c r="AP22" s="374"/>
      <c r="AQ22" s="374"/>
      <c r="AR22" s="374"/>
      <c r="AS22" s="375"/>
      <c r="AT22" s="375"/>
      <c r="AU22" s="372"/>
    </row>
    <row r="23" spans="1:51" ht="15" customHeight="1" x14ac:dyDescent="0.25">
      <c r="A23" s="370">
        <v>18</v>
      </c>
      <c r="B23" s="371" t="s">
        <v>460</v>
      </c>
      <c r="C23" s="370" t="s">
        <v>461</v>
      </c>
      <c r="D23" s="370" t="s">
        <v>462</v>
      </c>
      <c r="E23" s="370" t="s">
        <v>339</v>
      </c>
      <c r="F23" s="370" t="s">
        <v>463</v>
      </c>
      <c r="G23" s="386">
        <f>INDEX('CTR1 Data Previous Year'!$B:$B,MATCH($D23,'CTR1 Data Previous Year'!$A:$A,0),1)</f>
        <v>73882000</v>
      </c>
      <c r="H23" s="386">
        <f>INDEX('CTR1 Data Previous Year'!$C:$C,MATCH($D23,'CTR1 Data Previous Year'!$A:$A,0),1)</f>
        <v>0</v>
      </c>
      <c r="I23" s="386">
        <f>INDEX('CTR1 Data Previous Year'!$D:$D,MATCH($D23,'CTR1 Data Previous Year'!$A:$A,0),1)</f>
        <v>191605</v>
      </c>
      <c r="J23" s="386">
        <f>INDEX('CTR1 Data Previous Year'!$E:$E,MATCH($D23,'CTR1 Data Previous Year'!$A:$A,0),1)</f>
        <v>73690395</v>
      </c>
      <c r="K23" s="386">
        <f>INDEX('CTR1 Data Previous Year'!$F:$F,MATCH($D23,'CTR1 Data Previous Year'!$A:$A,0),1)</f>
        <v>0</v>
      </c>
      <c r="L23" s="465">
        <f>INDEX('CTR1 Data Previous Year'!$G:$G,MATCH($D23,'CTR1 Data Previous Year'!$A:$A,0),1)</f>
        <v>39065.5</v>
      </c>
      <c r="M23" s="455">
        <f>INDEX('CTR1 Data Previous Year'!$H:$H,MATCH($D23,'CTR1 Data Previous Year'!$A:$A,0),1)</f>
        <v>0.96</v>
      </c>
      <c r="N23" s="465">
        <f>INDEX('CTR1 Data Previous Year'!$I:$I,MATCH($D23,'CTR1 Data Previous Year'!$A:$A,0),1)</f>
        <v>0</v>
      </c>
      <c r="O23" s="160" t="s">
        <v>129</v>
      </c>
      <c r="P23" s="817"/>
      <c r="Q23" s="820" t="s">
        <v>464</v>
      </c>
      <c r="R23" s="817" t="s">
        <v>465</v>
      </c>
      <c r="S23" s="821" t="s">
        <v>466</v>
      </c>
      <c r="T23" s="817" t="s">
        <v>467</v>
      </c>
      <c r="U23" s="160"/>
      <c r="V23" s="817"/>
      <c r="W23" s="465">
        <f>INDEX('CTR1 Data Previous Year'!$J:$J,MATCH($D23,'CTR1 Data Previous Year'!$A:$A,0),1)</f>
        <v>37502.879999999997</v>
      </c>
      <c r="X23" s="465">
        <f>INDEX('CTR1 Data Previous Year'!$K:$K,MATCH($D23,'CTR1 Data Previous Year'!$A:$A,0),1)</f>
        <v>1970.04</v>
      </c>
      <c r="Y23" s="465">
        <f>INDEX('CTR1 Data Previous Year'!$L:$L,MATCH($D23,'CTR1 Data Previous Year'!$A:$A,0),1)</f>
        <v>1964.93</v>
      </c>
      <c r="Z23" s="836" t="str">
        <f t="shared" si="0"/>
        <v>N</v>
      </c>
      <c r="AA23" s="837" t="str">
        <f t="shared" si="1"/>
        <v>N</v>
      </c>
      <c r="AB23" s="838">
        <f t="shared" si="2"/>
        <v>1964.93</v>
      </c>
      <c r="AC23" s="868">
        <f t="shared" si="3"/>
        <v>0</v>
      </c>
      <c r="AD23" s="876">
        <f t="shared" si="4"/>
        <v>0</v>
      </c>
      <c r="AE23" s="838">
        <f t="shared" si="5"/>
        <v>2063.1765</v>
      </c>
      <c r="AF23" s="838">
        <f t="shared" si="6"/>
        <v>1964.93</v>
      </c>
      <c r="AG23" s="839">
        <f t="shared" si="8"/>
        <v>0</v>
      </c>
      <c r="AH23" s="839">
        <f t="shared" si="9"/>
        <v>2063.1799999999998</v>
      </c>
      <c r="AI23" s="840">
        <f t="shared" si="7"/>
        <v>39.299999999999997</v>
      </c>
      <c r="AJ23" s="841">
        <f t="shared" si="10"/>
        <v>2.0000712493574834E-2</v>
      </c>
      <c r="AK23" s="881"/>
      <c r="AL23" s="834" t="e">
        <f t="shared" si="12"/>
        <v>#N/A</v>
      </c>
      <c r="AM23" s="834"/>
      <c r="AN23" s="871"/>
      <c r="AO23" s="372"/>
      <c r="AP23" s="372"/>
      <c r="AQ23" s="372"/>
      <c r="AR23" s="372"/>
      <c r="AS23" s="378"/>
      <c r="AT23" s="375"/>
      <c r="AU23" s="372"/>
    </row>
    <row r="24" spans="1:51" ht="15" customHeight="1" x14ac:dyDescent="0.25">
      <c r="A24" s="370">
        <v>19</v>
      </c>
      <c r="B24" s="371" t="s">
        <v>468</v>
      </c>
      <c r="C24" s="370" t="s">
        <v>469</v>
      </c>
      <c r="D24" s="370" t="s">
        <v>470</v>
      </c>
      <c r="E24" s="370" t="s">
        <v>339</v>
      </c>
      <c r="F24" s="370" t="s">
        <v>463</v>
      </c>
      <c r="G24" s="386">
        <f>INDEX('CTR1 Data Previous Year'!$B:$B,MATCH($D24,'CTR1 Data Previous Year'!$A:$A,0),1)</f>
        <v>80509080</v>
      </c>
      <c r="H24" s="386">
        <f>INDEX('CTR1 Data Previous Year'!$C:$C,MATCH($D24,'CTR1 Data Previous Year'!$A:$A,0),1)</f>
        <v>0</v>
      </c>
      <c r="I24" s="386">
        <f>INDEX('CTR1 Data Previous Year'!$D:$D,MATCH($D24,'CTR1 Data Previous Year'!$A:$A,0),1)</f>
        <v>0</v>
      </c>
      <c r="J24" s="386">
        <f>INDEX('CTR1 Data Previous Year'!$E:$E,MATCH($D24,'CTR1 Data Previous Year'!$A:$A,0),1)</f>
        <v>80509080</v>
      </c>
      <c r="K24" s="386">
        <f>INDEX('CTR1 Data Previous Year'!$F:$F,MATCH($D24,'CTR1 Data Previous Year'!$A:$A,0),1)</f>
        <v>79931</v>
      </c>
      <c r="L24" s="465">
        <f>INDEX('CTR1 Data Previous Year'!$G:$G,MATCH($D24,'CTR1 Data Previous Year'!$A:$A,0),1)</f>
        <v>40775.4</v>
      </c>
      <c r="M24" s="455">
        <f>INDEX('CTR1 Data Previous Year'!$H:$H,MATCH($D24,'CTR1 Data Previous Year'!$A:$A,0),1)</f>
        <v>0.97499999999999998</v>
      </c>
      <c r="N24" s="465">
        <f>INDEX('CTR1 Data Previous Year'!$I:$I,MATCH($D24,'CTR1 Data Previous Year'!$A:$A,0),1)</f>
        <v>0</v>
      </c>
      <c r="O24" s="160" t="s">
        <v>129</v>
      </c>
      <c r="P24" s="817"/>
      <c r="Q24" s="820" t="s">
        <v>464</v>
      </c>
      <c r="R24" s="817" t="s">
        <v>465</v>
      </c>
      <c r="S24" s="821" t="s">
        <v>466</v>
      </c>
      <c r="T24" s="817" t="s">
        <v>467</v>
      </c>
      <c r="U24" s="160"/>
      <c r="V24" s="817"/>
      <c r="W24" s="465">
        <f>INDEX('CTR1 Data Previous Year'!$J:$J,MATCH($D24,'CTR1 Data Previous Year'!$A:$A,0),1)</f>
        <v>39756.019999999997</v>
      </c>
      <c r="X24" s="465">
        <f>INDEX('CTR1 Data Previous Year'!$K:$K,MATCH($D24,'CTR1 Data Previous Year'!$A:$A,0),1)</f>
        <v>2025.08</v>
      </c>
      <c r="Y24" s="465">
        <f>INDEX('CTR1 Data Previous Year'!$L:$L,MATCH($D24,'CTR1 Data Previous Year'!$A:$A,0),1)</f>
        <v>2025.08</v>
      </c>
      <c r="Z24" s="836" t="str">
        <f t="shared" si="0"/>
        <v>N</v>
      </c>
      <c r="AA24" s="837" t="str">
        <f t="shared" si="1"/>
        <v>N</v>
      </c>
      <c r="AB24" s="838">
        <f t="shared" si="2"/>
        <v>2025.08</v>
      </c>
      <c r="AC24" s="868">
        <f t="shared" si="3"/>
        <v>0</v>
      </c>
      <c r="AD24" s="876">
        <f t="shared" si="4"/>
        <v>0</v>
      </c>
      <c r="AE24" s="838">
        <f t="shared" si="5"/>
        <v>2126.3339999999998</v>
      </c>
      <c r="AF24" s="838">
        <f t="shared" si="6"/>
        <v>2025.08</v>
      </c>
      <c r="AG24" s="839">
        <f t="shared" si="8"/>
        <v>0</v>
      </c>
      <c r="AH24" s="839">
        <f t="shared" si="9"/>
        <v>2126.33</v>
      </c>
      <c r="AI24" s="840">
        <f t="shared" si="7"/>
        <v>40.5</v>
      </c>
      <c r="AJ24" s="841">
        <f t="shared" si="10"/>
        <v>1.9999209907756731E-2</v>
      </c>
      <c r="AK24" s="881"/>
      <c r="AL24" s="834" t="e">
        <f t="shared" si="12"/>
        <v>#N/A</v>
      </c>
      <c r="AM24" s="834"/>
      <c r="AN24" s="871"/>
      <c r="AO24" s="372"/>
      <c r="AP24" s="379"/>
      <c r="AQ24" s="380"/>
      <c r="AR24" s="380"/>
      <c r="AS24" s="378"/>
      <c r="AT24" s="375"/>
      <c r="AU24" s="372"/>
    </row>
    <row r="25" spans="1:51" ht="15" customHeight="1" x14ac:dyDescent="0.25">
      <c r="A25" s="370">
        <v>20</v>
      </c>
      <c r="B25" s="371" t="s">
        <v>471</v>
      </c>
      <c r="C25" s="370" t="s">
        <v>472</v>
      </c>
      <c r="D25" s="370" t="s">
        <v>473</v>
      </c>
      <c r="E25" s="370" t="s">
        <v>321</v>
      </c>
      <c r="F25" s="370" t="s">
        <v>330</v>
      </c>
      <c r="G25" s="386">
        <f>INDEX('CTR1 Data Previous Year'!$B:$B,MATCH($D25,'CTR1 Data Previous Year'!$A:$A,0),1)</f>
        <v>10079061.48</v>
      </c>
      <c r="H25" s="386">
        <f>INDEX('CTR1 Data Previous Year'!$C:$C,MATCH($D25,'CTR1 Data Previous Year'!$A:$A,0),1)</f>
        <v>0</v>
      </c>
      <c r="I25" s="386">
        <f>INDEX('CTR1 Data Previous Year'!$D:$D,MATCH($D25,'CTR1 Data Previous Year'!$A:$A,0),1)</f>
        <v>5196507</v>
      </c>
      <c r="J25" s="386">
        <f>INDEX('CTR1 Data Previous Year'!$E:$E,MATCH($D25,'CTR1 Data Previous Year'!$A:$A,0),1)</f>
        <v>4882554.4800000004</v>
      </c>
      <c r="K25" s="386">
        <f>INDEX('CTR1 Data Previous Year'!$F:$F,MATCH($D25,'CTR1 Data Previous Year'!$A:$A,0),1)</f>
        <v>0</v>
      </c>
      <c r="L25" s="465">
        <f>INDEX('CTR1 Data Previous Year'!$G:$G,MATCH($D25,'CTR1 Data Previous Year'!$A:$A,0),1)</f>
        <v>23795.07</v>
      </c>
      <c r="M25" s="455">
        <f>INDEX('CTR1 Data Previous Year'!$H:$H,MATCH($D25,'CTR1 Data Previous Year'!$A:$A,0),1)</f>
        <v>0.98199999999999998</v>
      </c>
      <c r="N25" s="465">
        <f>INDEX('CTR1 Data Previous Year'!$I:$I,MATCH($D25,'CTR1 Data Previous Year'!$A:$A,0),1)</f>
        <v>0</v>
      </c>
      <c r="O25" s="160" t="s">
        <v>331</v>
      </c>
      <c r="P25" s="817" t="s">
        <v>332</v>
      </c>
      <c r="Q25" s="820" t="s">
        <v>333</v>
      </c>
      <c r="R25" s="817" t="s">
        <v>334</v>
      </c>
      <c r="S25" s="821" t="s">
        <v>335</v>
      </c>
      <c r="T25" s="817" t="s">
        <v>336</v>
      </c>
      <c r="U25" s="822" t="s">
        <v>337</v>
      </c>
      <c r="V25" s="817" t="s">
        <v>338</v>
      </c>
      <c r="W25" s="465">
        <f>INDEX('CTR1 Data Previous Year'!$J:$J,MATCH($D25,'CTR1 Data Previous Year'!$A:$A,0),1)</f>
        <v>23366.76</v>
      </c>
      <c r="X25" s="465">
        <f>INDEX('CTR1 Data Previous Year'!$K:$K,MATCH($D25,'CTR1 Data Previous Year'!$A:$A,0),1)</f>
        <v>431.34</v>
      </c>
      <c r="Y25" s="465">
        <f>INDEX('CTR1 Data Previous Year'!$L:$L,MATCH($D25,'CTR1 Data Previous Year'!$A:$A,0),1)</f>
        <v>208.95</v>
      </c>
      <c r="Z25" s="836" t="str">
        <f t="shared" si="0"/>
        <v>N</v>
      </c>
      <c r="AA25" s="837" t="str">
        <f t="shared" si="1"/>
        <v>N</v>
      </c>
      <c r="AB25" s="838">
        <f t="shared" si="2"/>
        <v>208.95</v>
      </c>
      <c r="AC25" s="868">
        <f t="shared" si="3"/>
        <v>0</v>
      </c>
      <c r="AD25" s="876">
        <f t="shared" si="4"/>
        <v>0</v>
      </c>
      <c r="AE25" s="838">
        <f t="shared" si="5"/>
        <v>215.21850000000001</v>
      </c>
      <c r="AF25" s="838">
        <f t="shared" si="6"/>
        <v>213.95</v>
      </c>
      <c r="AG25" s="839">
        <f t="shared" si="8"/>
        <v>0</v>
      </c>
      <c r="AH25" s="839">
        <f t="shared" si="9"/>
        <v>215.22</v>
      </c>
      <c r="AI25" s="840">
        <f t="shared" si="7"/>
        <v>0</v>
      </c>
      <c r="AJ25" s="841">
        <f t="shared" si="10"/>
        <v>0</v>
      </c>
      <c r="AK25" s="881"/>
      <c r="AL25" s="834" t="e">
        <f t="shared" si="12"/>
        <v>#N/A</v>
      </c>
      <c r="AM25" s="834"/>
      <c r="AN25" s="871"/>
      <c r="AO25" s="372"/>
      <c r="AP25" s="380"/>
      <c r="AQ25" s="380"/>
      <c r="AR25" s="380"/>
      <c r="AS25" s="378"/>
      <c r="AT25" s="375"/>
      <c r="AU25" s="372"/>
    </row>
    <row r="26" spans="1:51" ht="15" customHeight="1" x14ac:dyDescent="0.25">
      <c r="A26" s="370">
        <v>21</v>
      </c>
      <c r="B26" s="371" t="s">
        <v>474</v>
      </c>
      <c r="C26" s="370" t="s">
        <v>475</v>
      </c>
      <c r="D26" s="370" t="s">
        <v>476</v>
      </c>
      <c r="E26" s="370" t="s">
        <v>353</v>
      </c>
      <c r="F26" s="370" t="s">
        <v>463</v>
      </c>
      <c r="G26" s="386">
        <f>INDEX('CTR1 Data Previous Year'!$B:$B,MATCH($D26,'CTR1 Data Previous Year'!$A:$A,0),1)</f>
        <v>150549492</v>
      </c>
      <c r="H26" s="386">
        <f>INDEX('CTR1 Data Previous Year'!$C:$C,MATCH($D26,'CTR1 Data Previous Year'!$A:$A,0),1)</f>
        <v>0</v>
      </c>
      <c r="I26" s="386">
        <f>INDEX('CTR1 Data Previous Year'!$D:$D,MATCH($D26,'CTR1 Data Previous Year'!$A:$A,0),1)</f>
        <v>566029</v>
      </c>
      <c r="J26" s="386">
        <f>INDEX('CTR1 Data Previous Year'!$E:$E,MATCH($D26,'CTR1 Data Previous Year'!$A:$A,0),1)</f>
        <v>149983463</v>
      </c>
      <c r="K26" s="386">
        <f>INDEX('CTR1 Data Previous Year'!$F:$F,MATCH($D26,'CTR1 Data Previous Year'!$A:$A,0),1)</f>
        <v>42462100</v>
      </c>
      <c r="L26" s="465">
        <f>INDEX('CTR1 Data Previous Year'!$G:$G,MATCH($D26,'CTR1 Data Previous Year'!$A:$A,0),1)</f>
        <v>82270.600000000006</v>
      </c>
      <c r="M26" s="455">
        <f>INDEX('CTR1 Data Previous Year'!$H:$H,MATCH($D26,'CTR1 Data Previous Year'!$A:$A,0),1)</f>
        <v>0.98</v>
      </c>
      <c r="N26" s="465">
        <f>INDEX('CTR1 Data Previous Year'!$I:$I,MATCH($D26,'CTR1 Data Previous Year'!$A:$A,0),1)</f>
        <v>0</v>
      </c>
      <c r="O26" s="160" t="s">
        <v>129</v>
      </c>
      <c r="P26" s="817"/>
      <c r="Q26" s="820" t="s">
        <v>477</v>
      </c>
      <c r="R26" s="817" t="s">
        <v>478</v>
      </c>
      <c r="S26" s="821"/>
      <c r="T26" s="817"/>
      <c r="U26" s="822" t="s">
        <v>479</v>
      </c>
      <c r="V26" s="817" t="s">
        <v>478</v>
      </c>
      <c r="W26" s="465">
        <f>INDEX('CTR1 Data Previous Year'!$J:$J,MATCH($D26,'CTR1 Data Previous Year'!$A:$A,0),1)</f>
        <v>80625.19</v>
      </c>
      <c r="X26" s="465">
        <f>INDEX('CTR1 Data Previous Year'!$K:$K,MATCH($D26,'CTR1 Data Previous Year'!$A:$A,0),1)</f>
        <v>1867.28</v>
      </c>
      <c r="Y26" s="465">
        <f>INDEX('CTR1 Data Previous Year'!$L:$L,MATCH($D26,'CTR1 Data Previous Year'!$A:$A,0),1)</f>
        <v>1860.26</v>
      </c>
      <c r="Z26" s="836" t="str">
        <f t="shared" si="0"/>
        <v>N</v>
      </c>
      <c r="AA26" s="837" t="str">
        <f t="shared" si="1"/>
        <v>N</v>
      </c>
      <c r="AB26" s="838">
        <f t="shared" si="2"/>
        <v>1860.26</v>
      </c>
      <c r="AC26" s="868">
        <f t="shared" si="3"/>
        <v>0</v>
      </c>
      <c r="AD26" s="876">
        <f t="shared" si="4"/>
        <v>0</v>
      </c>
      <c r="AE26" s="838">
        <f t="shared" si="5"/>
        <v>1953.2730000000001</v>
      </c>
      <c r="AF26" s="838">
        <f t="shared" si="6"/>
        <v>1860.26</v>
      </c>
      <c r="AG26" s="839">
        <f t="shared" si="8"/>
        <v>0</v>
      </c>
      <c r="AH26" s="839">
        <f t="shared" si="9"/>
        <v>1953.27</v>
      </c>
      <c r="AI26" s="840">
        <f t="shared" si="7"/>
        <v>37.21</v>
      </c>
      <c r="AJ26" s="841">
        <f t="shared" si="10"/>
        <v>2.0002580284476365E-2</v>
      </c>
      <c r="AK26" s="881"/>
      <c r="AL26" s="834" t="e">
        <f t="shared" si="12"/>
        <v>#N/A</v>
      </c>
      <c r="AM26" s="834"/>
      <c r="AN26" s="871"/>
      <c r="AO26" s="372"/>
      <c r="AP26" s="380"/>
      <c r="AQ26" s="380"/>
      <c r="AR26" s="380"/>
      <c r="AS26" s="378"/>
      <c r="AT26" s="375"/>
      <c r="AU26" s="372"/>
    </row>
    <row r="27" spans="1:51" ht="15" customHeight="1" x14ac:dyDescent="0.25">
      <c r="A27" s="370">
        <v>22</v>
      </c>
      <c r="B27" s="371" t="s">
        <v>480</v>
      </c>
      <c r="C27" s="370" t="s">
        <v>481</v>
      </c>
      <c r="D27" s="370" t="s">
        <v>482</v>
      </c>
      <c r="E27" s="370" t="s">
        <v>321</v>
      </c>
      <c r="F27" s="370" t="s">
        <v>330</v>
      </c>
      <c r="G27" s="386">
        <f>INDEX('CTR1 Data Previous Year'!$B:$B,MATCH($D27,'CTR1 Data Previous Year'!$A:$A,0),1)</f>
        <v>5937455</v>
      </c>
      <c r="H27" s="386">
        <f>INDEX('CTR1 Data Previous Year'!$C:$C,MATCH($D27,'CTR1 Data Previous Year'!$A:$A,0),1)</f>
        <v>769057</v>
      </c>
      <c r="I27" s="386">
        <f>INDEX('CTR1 Data Previous Year'!$D:$D,MATCH($D27,'CTR1 Data Previous Year'!$A:$A,0),1)</f>
        <v>630316</v>
      </c>
      <c r="J27" s="386">
        <f>INDEX('CTR1 Data Previous Year'!$E:$E,MATCH($D27,'CTR1 Data Previous Year'!$A:$A,0),1)</f>
        <v>5307139</v>
      </c>
      <c r="K27" s="386">
        <f>INDEX('CTR1 Data Previous Year'!$F:$F,MATCH($D27,'CTR1 Data Previous Year'!$A:$A,0),1)</f>
        <v>2927050</v>
      </c>
      <c r="L27" s="465">
        <f>INDEX('CTR1 Data Previous Year'!$G:$G,MATCH($D27,'CTR1 Data Previous Year'!$A:$A,0),1)</f>
        <v>20675.57</v>
      </c>
      <c r="M27" s="455">
        <f>INDEX('CTR1 Data Previous Year'!$H:$H,MATCH($D27,'CTR1 Data Previous Year'!$A:$A,0),1)</f>
        <v>0.98140000000000005</v>
      </c>
      <c r="N27" s="465">
        <f>INDEX('CTR1 Data Previous Year'!$I:$I,MATCH($D27,'CTR1 Data Previous Year'!$A:$A,0),1)</f>
        <v>0</v>
      </c>
      <c r="O27" s="160" t="s">
        <v>483</v>
      </c>
      <c r="P27" s="817" t="s">
        <v>484</v>
      </c>
      <c r="Q27" s="820" t="s">
        <v>485</v>
      </c>
      <c r="R27" s="817" t="s">
        <v>486</v>
      </c>
      <c r="S27" s="821" t="s">
        <v>129</v>
      </c>
      <c r="T27" s="817"/>
      <c r="U27" s="866" t="s">
        <v>487</v>
      </c>
      <c r="V27" s="867" t="s">
        <v>488</v>
      </c>
      <c r="W27" s="465">
        <f>INDEX('CTR1 Data Previous Year'!$J:$J,MATCH($D27,'CTR1 Data Previous Year'!$A:$A,0),1)</f>
        <v>20291</v>
      </c>
      <c r="X27" s="465">
        <f>INDEX('CTR1 Data Previous Year'!$K:$K,MATCH($D27,'CTR1 Data Previous Year'!$A:$A,0),1)</f>
        <v>292.62</v>
      </c>
      <c r="Y27" s="465">
        <f>INDEX('CTR1 Data Previous Year'!$L:$L,MATCH($D27,'CTR1 Data Previous Year'!$A:$A,0),1)</f>
        <v>261.55</v>
      </c>
      <c r="Z27" s="836" t="str">
        <f t="shared" si="0"/>
        <v>N</v>
      </c>
      <c r="AA27" s="837" t="str">
        <f t="shared" si="1"/>
        <v>N</v>
      </c>
      <c r="AB27" s="838">
        <f t="shared" si="2"/>
        <v>261.55</v>
      </c>
      <c r="AC27" s="868">
        <f t="shared" si="3"/>
        <v>0</v>
      </c>
      <c r="AD27" s="876">
        <f t="shared" si="4"/>
        <v>0</v>
      </c>
      <c r="AE27" s="838">
        <f t="shared" si="5"/>
        <v>269.3965</v>
      </c>
      <c r="AF27" s="838">
        <f t="shared" si="6"/>
        <v>266.55</v>
      </c>
      <c r="AG27" s="839">
        <f t="shared" si="8"/>
        <v>0</v>
      </c>
      <c r="AH27" s="839">
        <f t="shared" si="9"/>
        <v>269.39999999999998</v>
      </c>
      <c r="AI27" s="840">
        <f t="shared" si="7"/>
        <v>0</v>
      </c>
      <c r="AJ27" s="841">
        <f t="shared" si="10"/>
        <v>0</v>
      </c>
      <c r="AK27" s="881"/>
      <c r="AL27" s="834" t="e">
        <f t="shared" si="12"/>
        <v>#N/A</v>
      </c>
      <c r="AM27" s="834"/>
      <c r="AN27" s="871"/>
      <c r="AO27" s="381" t="s">
        <v>489</v>
      </c>
      <c r="AP27" s="372"/>
      <c r="AQ27" s="372"/>
      <c r="AR27" s="372"/>
      <c r="AS27" s="372"/>
      <c r="AT27" s="372"/>
      <c r="AU27" s="372"/>
    </row>
    <row r="28" spans="1:51" ht="15" customHeight="1" x14ac:dyDescent="0.25">
      <c r="A28" s="370">
        <v>23</v>
      </c>
      <c r="B28" s="371" t="s">
        <v>386</v>
      </c>
      <c r="C28" s="370" t="s">
        <v>490</v>
      </c>
      <c r="D28" s="370" t="s">
        <v>491</v>
      </c>
      <c r="E28" s="370" t="s">
        <v>339</v>
      </c>
      <c r="F28" s="370" t="s">
        <v>425</v>
      </c>
      <c r="G28" s="386">
        <f>INDEX('CTR1 Data Previous Year'!$B:$B,MATCH($D28,'CTR1 Data Previous Year'!$A:$A,0),1)</f>
        <v>282723523</v>
      </c>
      <c r="H28" s="386">
        <f>INDEX('CTR1 Data Previous Year'!$C:$C,MATCH($D28,'CTR1 Data Previous Year'!$A:$A,0),1)</f>
        <v>0</v>
      </c>
      <c r="I28" s="386">
        <f>INDEX('CTR1 Data Previous Year'!$D:$D,MATCH($D28,'CTR1 Data Previous Year'!$A:$A,0),1)</f>
        <v>1491237</v>
      </c>
      <c r="J28" s="386">
        <f>INDEX('CTR1 Data Previous Year'!$E:$E,MATCH($D28,'CTR1 Data Previous Year'!$A:$A,0),1)</f>
        <v>281232286</v>
      </c>
      <c r="K28" s="386">
        <f>INDEX('CTR1 Data Previous Year'!$F:$F,MATCH($D28,'CTR1 Data Previous Year'!$A:$A,0),1)</f>
        <v>673732</v>
      </c>
      <c r="L28" s="465">
        <f>INDEX('CTR1 Data Previous Year'!$G:$G,MATCH($D28,'CTR1 Data Previous Year'!$A:$A,0),1)</f>
        <v>153722</v>
      </c>
      <c r="M28" s="455">
        <f>INDEX('CTR1 Data Previous Year'!$H:$H,MATCH($D28,'CTR1 Data Previous Year'!$A:$A,0),1)</f>
        <v>0.98499999999999999</v>
      </c>
      <c r="N28" s="465">
        <f>INDEX('CTR1 Data Previous Year'!$I:$I,MATCH($D28,'CTR1 Data Previous Year'!$A:$A,0),1)</f>
        <v>158</v>
      </c>
      <c r="O28" s="160"/>
      <c r="P28" s="817"/>
      <c r="Q28" s="820" t="s">
        <v>492</v>
      </c>
      <c r="R28" s="817" t="s">
        <v>493</v>
      </c>
      <c r="S28" s="821" t="s">
        <v>494</v>
      </c>
      <c r="T28" s="817" t="s">
        <v>495</v>
      </c>
      <c r="U28" s="160"/>
      <c r="V28" s="817"/>
      <c r="W28" s="465">
        <f>INDEX('CTR1 Data Previous Year'!$J:$J,MATCH($D28,'CTR1 Data Previous Year'!$A:$A,0),1)</f>
        <v>151574.17000000001</v>
      </c>
      <c r="X28" s="465">
        <f>INDEX('CTR1 Data Previous Year'!$K:$K,MATCH($D28,'CTR1 Data Previous Year'!$A:$A,0),1)</f>
        <v>1865.25</v>
      </c>
      <c r="Y28" s="465">
        <f>INDEX('CTR1 Data Previous Year'!$L:$L,MATCH($D28,'CTR1 Data Previous Year'!$A:$A,0),1)</f>
        <v>1855.41</v>
      </c>
      <c r="Z28" s="836" t="str">
        <f t="shared" si="0"/>
        <v>Y</v>
      </c>
      <c r="AA28" s="837" t="str">
        <f t="shared" si="1"/>
        <v>N</v>
      </c>
      <c r="AB28" s="838">
        <f t="shared" si="2"/>
        <v>1855.41</v>
      </c>
      <c r="AC28" s="868">
        <f t="shared" si="3"/>
        <v>6.7500000000000004E-2</v>
      </c>
      <c r="AD28" s="876">
        <f t="shared" si="4"/>
        <v>0</v>
      </c>
      <c r="AE28" s="838">
        <f t="shared" si="5"/>
        <v>1948.1805000000002</v>
      </c>
      <c r="AF28" s="838">
        <f t="shared" si="6"/>
        <v>1855.41</v>
      </c>
      <c r="AG28" s="839">
        <f t="shared" si="8"/>
        <v>1980.650175</v>
      </c>
      <c r="AH28" s="839">
        <f t="shared" si="9"/>
        <v>1980.65</v>
      </c>
      <c r="AI28" s="840">
        <f t="shared" si="7"/>
        <v>37.11</v>
      </c>
      <c r="AJ28" s="841">
        <f t="shared" si="10"/>
        <v>2.0000970135980727E-2</v>
      </c>
      <c r="AK28" s="881"/>
      <c r="AL28" s="834" t="e">
        <f t="shared" si="12"/>
        <v>#N/A</v>
      </c>
      <c r="AM28" s="834"/>
      <c r="AN28" s="871"/>
      <c r="AO28" s="373" t="s">
        <v>496</v>
      </c>
      <c r="AP28" s="372"/>
      <c r="AQ28" s="372"/>
      <c r="AR28" s="372"/>
      <c r="AS28" s="372"/>
      <c r="AT28" s="372"/>
      <c r="AU28" s="372"/>
    </row>
    <row r="29" spans="1:51" ht="15" customHeight="1" x14ac:dyDescent="0.25">
      <c r="A29" s="370">
        <v>24</v>
      </c>
      <c r="B29" s="371" t="s">
        <v>497</v>
      </c>
      <c r="C29" s="370" t="s">
        <v>498</v>
      </c>
      <c r="D29" s="370" t="s">
        <v>499</v>
      </c>
      <c r="E29" s="370" t="s">
        <v>339</v>
      </c>
      <c r="F29" s="370" t="s">
        <v>322</v>
      </c>
      <c r="G29" s="386">
        <f>INDEX('CTR1 Data Previous Year'!$B:$B,MATCH($D29,'CTR1 Data Previous Year'!$A:$A,0),1)</f>
        <v>90152248</v>
      </c>
      <c r="H29" s="386">
        <f>INDEX('CTR1 Data Previous Year'!$C:$C,MATCH($D29,'CTR1 Data Previous Year'!$A:$A,0),1)</f>
        <v>0</v>
      </c>
      <c r="I29" s="386">
        <f>INDEX('CTR1 Data Previous Year'!$D:$D,MATCH($D29,'CTR1 Data Previous Year'!$A:$A,0),1)</f>
        <v>4485724</v>
      </c>
      <c r="J29" s="386">
        <f>INDEX('CTR1 Data Previous Year'!$E:$E,MATCH($D29,'CTR1 Data Previous Year'!$A:$A,0),1)</f>
        <v>85666524</v>
      </c>
      <c r="K29" s="386">
        <f>INDEX('CTR1 Data Previous Year'!$F:$F,MATCH($D29,'CTR1 Data Previous Year'!$A:$A,0),1)</f>
        <v>120641</v>
      </c>
      <c r="L29" s="465">
        <f>INDEX('CTR1 Data Previous Year'!$G:$G,MATCH($D29,'CTR1 Data Previous Year'!$A:$A,0),1)</f>
        <v>50454.9</v>
      </c>
      <c r="M29" s="455">
        <f>INDEX('CTR1 Data Previous Year'!$H:$H,MATCH($D29,'CTR1 Data Previous Year'!$A:$A,0),1)</f>
        <v>0.99534440000000002</v>
      </c>
      <c r="N29" s="465">
        <f>INDEX('CTR1 Data Previous Year'!$I:$I,MATCH($D29,'CTR1 Data Previous Year'!$A:$A,0),1)</f>
        <v>268</v>
      </c>
      <c r="O29" s="160" t="s">
        <v>129</v>
      </c>
      <c r="P29" s="817"/>
      <c r="Q29" s="820" t="s">
        <v>500</v>
      </c>
      <c r="R29" s="817" t="s">
        <v>501</v>
      </c>
      <c r="S29" s="821" t="s">
        <v>502</v>
      </c>
      <c r="T29" s="817" t="s">
        <v>503</v>
      </c>
      <c r="U29" s="160"/>
      <c r="V29" s="817"/>
      <c r="W29" s="465">
        <f>INDEX('CTR1 Data Previous Year'!$J:$J,MATCH($D29,'CTR1 Data Previous Year'!$A:$A,0),1)</f>
        <v>50488</v>
      </c>
      <c r="X29" s="465">
        <f>INDEX('CTR1 Data Previous Year'!$K:$K,MATCH($D29,'CTR1 Data Previous Year'!$A:$A,0),1)</f>
        <v>1785.62</v>
      </c>
      <c r="Y29" s="465">
        <f>INDEX('CTR1 Data Previous Year'!$L:$L,MATCH($D29,'CTR1 Data Previous Year'!$A:$A,0),1)</f>
        <v>1696.77</v>
      </c>
      <c r="Z29" s="836" t="str">
        <f t="shared" si="0"/>
        <v>N</v>
      </c>
      <c r="AA29" s="837" t="str">
        <f t="shared" si="1"/>
        <v>N</v>
      </c>
      <c r="AB29" s="838">
        <f t="shared" si="2"/>
        <v>1696.77</v>
      </c>
      <c r="AC29" s="868">
        <f t="shared" si="3"/>
        <v>0</v>
      </c>
      <c r="AD29" s="876">
        <f t="shared" si="4"/>
        <v>0</v>
      </c>
      <c r="AE29" s="838">
        <f t="shared" si="5"/>
        <v>1781.6085</v>
      </c>
      <c r="AF29" s="838">
        <f t="shared" si="6"/>
        <v>1696.77</v>
      </c>
      <c r="AG29" s="839">
        <f t="shared" si="8"/>
        <v>0</v>
      </c>
      <c r="AH29" s="839">
        <f t="shared" si="9"/>
        <v>1781.61</v>
      </c>
      <c r="AI29" s="840">
        <f t="shared" si="7"/>
        <v>33.94</v>
      </c>
      <c r="AJ29" s="841">
        <f t="shared" si="10"/>
        <v>2.0002711033316242E-2</v>
      </c>
      <c r="AK29" s="881"/>
      <c r="AL29" s="834" t="e">
        <f t="shared" si="12"/>
        <v>#N/A</v>
      </c>
      <c r="AM29" s="834"/>
      <c r="AN29" s="871"/>
      <c r="AO29" s="372"/>
      <c r="AP29" s="372"/>
      <c r="AQ29" s="372"/>
      <c r="AR29" s="372"/>
      <c r="AS29" s="372"/>
      <c r="AT29" s="372"/>
      <c r="AU29" s="372"/>
    </row>
    <row r="30" spans="1:51" ht="15" customHeight="1" x14ac:dyDescent="0.25">
      <c r="A30" s="370">
        <v>25</v>
      </c>
      <c r="B30" s="371" t="s">
        <v>504</v>
      </c>
      <c r="C30" s="370" t="s">
        <v>505</v>
      </c>
      <c r="D30" s="370" t="s">
        <v>506</v>
      </c>
      <c r="E30" s="370" t="s">
        <v>353</v>
      </c>
      <c r="F30" s="370" t="s">
        <v>391</v>
      </c>
      <c r="G30" s="386">
        <f>INDEX('CTR1 Data Previous Year'!$B:$B,MATCH($D30,'CTR1 Data Previous Year'!$A:$A,0),1)</f>
        <v>280447489</v>
      </c>
      <c r="H30" s="386">
        <f>INDEX('CTR1 Data Previous Year'!$C:$C,MATCH($D30,'CTR1 Data Previous Year'!$A:$A,0),1)</f>
        <v>0</v>
      </c>
      <c r="I30" s="386">
        <f>INDEX('CTR1 Data Previous Year'!$D:$D,MATCH($D30,'CTR1 Data Previous Year'!$A:$A,0),1)</f>
        <v>3915275</v>
      </c>
      <c r="J30" s="386">
        <f>INDEX('CTR1 Data Previous Year'!$E:$E,MATCH($D30,'CTR1 Data Previous Year'!$A:$A,0),1)</f>
        <v>276532214</v>
      </c>
      <c r="K30" s="386">
        <f>INDEX('CTR1 Data Previous Year'!$F:$F,MATCH($D30,'CTR1 Data Previous Year'!$A:$A,0),1)</f>
        <v>24275335</v>
      </c>
      <c r="L30" s="465">
        <f>INDEX('CTR1 Data Previous Year'!$G:$G,MATCH($D30,'CTR1 Data Previous Year'!$A:$A,0),1)</f>
        <v>150991.41</v>
      </c>
      <c r="M30" s="455">
        <f>INDEX('CTR1 Data Previous Year'!$H:$H,MATCH($D30,'CTR1 Data Previous Year'!$A:$A,0),1)</f>
        <v>0.97840000000000005</v>
      </c>
      <c r="N30" s="465">
        <f>INDEX('CTR1 Data Previous Year'!$I:$I,MATCH($D30,'CTR1 Data Previous Year'!$A:$A,0),1)</f>
        <v>0</v>
      </c>
      <c r="O30" s="160" t="s">
        <v>129</v>
      </c>
      <c r="P30" s="817"/>
      <c r="Q30" s="820" t="s">
        <v>507</v>
      </c>
      <c r="R30" s="817" t="s">
        <v>508</v>
      </c>
      <c r="S30" s="821" t="s">
        <v>509</v>
      </c>
      <c r="T30" s="817" t="s">
        <v>510</v>
      </c>
      <c r="U30" s="822" t="s">
        <v>511</v>
      </c>
      <c r="V30" s="817" t="s">
        <v>508</v>
      </c>
      <c r="W30" s="465">
        <f>INDEX('CTR1 Data Previous Year'!$J:$J,MATCH($D30,'CTR1 Data Previous Year'!$A:$A,0),1)</f>
        <v>147730</v>
      </c>
      <c r="X30" s="465">
        <f>INDEX('CTR1 Data Previous Year'!$K:$K,MATCH($D30,'CTR1 Data Previous Year'!$A:$A,0),1)</f>
        <v>1898.38</v>
      </c>
      <c r="Y30" s="465">
        <f>INDEX('CTR1 Data Previous Year'!$L:$L,MATCH($D30,'CTR1 Data Previous Year'!$A:$A,0),1)</f>
        <v>1871.88</v>
      </c>
      <c r="Z30" s="836" t="str">
        <f t="shared" si="0"/>
        <v>N</v>
      </c>
      <c r="AA30" s="837" t="str">
        <f t="shared" si="1"/>
        <v>N</v>
      </c>
      <c r="AB30" s="838">
        <f t="shared" si="2"/>
        <v>1871.88</v>
      </c>
      <c r="AC30" s="868">
        <f t="shared" si="3"/>
        <v>0</v>
      </c>
      <c r="AD30" s="876">
        <f t="shared" si="4"/>
        <v>0</v>
      </c>
      <c r="AE30" s="838">
        <f t="shared" si="5"/>
        <v>1965.4740000000002</v>
      </c>
      <c r="AF30" s="838">
        <f t="shared" si="6"/>
        <v>1871.88</v>
      </c>
      <c r="AG30" s="839">
        <f t="shared" si="8"/>
        <v>0</v>
      </c>
      <c r="AH30" s="839">
        <f t="shared" si="9"/>
        <v>1965.47</v>
      </c>
      <c r="AI30" s="840">
        <f t="shared" si="7"/>
        <v>37.44</v>
      </c>
      <c r="AJ30" s="841">
        <f t="shared" si="10"/>
        <v>2.0001282133470091E-2</v>
      </c>
      <c r="AK30" s="881"/>
      <c r="AL30" s="834" t="e">
        <f t="shared" si="12"/>
        <v>#N/A</v>
      </c>
      <c r="AM30" s="834"/>
      <c r="AN30" s="871"/>
      <c r="AO30" s="372"/>
      <c r="AP30" s="1062" t="s">
        <v>512</v>
      </c>
      <c r="AQ30" s="1019"/>
      <c r="AR30" s="1019"/>
      <c r="AS30" s="1019"/>
      <c r="AT30" s="1019"/>
      <c r="AU30" s="372">
        <v>1</v>
      </c>
      <c r="AY30" s="444"/>
    </row>
    <row r="31" spans="1:51" ht="15" customHeight="1" x14ac:dyDescent="0.25">
      <c r="A31" s="370">
        <v>26</v>
      </c>
      <c r="B31" s="371" t="s">
        <v>513</v>
      </c>
      <c r="C31" s="370" t="s">
        <v>514</v>
      </c>
      <c r="D31" s="370" t="s">
        <v>515</v>
      </c>
      <c r="E31" s="370" t="s">
        <v>321</v>
      </c>
      <c r="F31" s="370" t="s">
        <v>368</v>
      </c>
      <c r="G31" s="386">
        <f>INDEX('CTR1 Data Previous Year'!$B:$B,MATCH($D31,'CTR1 Data Previous Year'!$A:$A,0),1)</f>
        <v>15515157</v>
      </c>
      <c r="H31" s="386">
        <f>INDEX('CTR1 Data Previous Year'!$C:$C,MATCH($D31,'CTR1 Data Previous Year'!$A:$A,0),1)</f>
        <v>0</v>
      </c>
      <c r="I31" s="386">
        <f>INDEX('CTR1 Data Previous Year'!$D:$D,MATCH($D31,'CTR1 Data Previous Year'!$A:$A,0),1)</f>
        <v>3550302</v>
      </c>
      <c r="J31" s="386">
        <f>INDEX('CTR1 Data Previous Year'!$E:$E,MATCH($D31,'CTR1 Data Previous Year'!$A:$A,0),1)</f>
        <v>11964855</v>
      </c>
      <c r="K31" s="386">
        <f>INDEX('CTR1 Data Previous Year'!$F:$F,MATCH($D31,'CTR1 Data Previous Year'!$A:$A,0),1)</f>
        <v>0</v>
      </c>
      <c r="L31" s="465">
        <f>INDEX('CTR1 Data Previous Year'!$G:$G,MATCH($D31,'CTR1 Data Previous Year'!$A:$A,0),1)</f>
        <v>59113.49</v>
      </c>
      <c r="M31" s="455">
        <f>INDEX('CTR1 Data Previous Year'!$H:$H,MATCH($D31,'CTR1 Data Previous Year'!$A:$A,0),1)</f>
        <v>0.98250000000000004</v>
      </c>
      <c r="N31" s="465">
        <f>INDEX('CTR1 Data Previous Year'!$I:$I,MATCH($D31,'CTR1 Data Previous Year'!$A:$A,0),1)</f>
        <v>0</v>
      </c>
      <c r="O31" s="160" t="s">
        <v>401</v>
      </c>
      <c r="P31" s="817" t="s">
        <v>402</v>
      </c>
      <c r="Q31" s="820" t="s">
        <v>403</v>
      </c>
      <c r="R31" s="817" t="s">
        <v>404</v>
      </c>
      <c r="S31" s="821" t="s">
        <v>405</v>
      </c>
      <c r="T31" s="817" t="s">
        <v>406</v>
      </c>
      <c r="U31" s="822"/>
      <c r="V31" s="817"/>
      <c r="W31" s="465">
        <f>INDEX('CTR1 Data Previous Year'!$J:$J,MATCH($D31,'CTR1 Data Previous Year'!$A:$A,0),1)</f>
        <v>58079</v>
      </c>
      <c r="X31" s="465">
        <f>INDEX('CTR1 Data Previous Year'!$K:$K,MATCH($D31,'CTR1 Data Previous Year'!$A:$A,0),1)</f>
        <v>267.14</v>
      </c>
      <c r="Y31" s="465">
        <f>INDEX('CTR1 Data Previous Year'!$L:$L,MATCH($D31,'CTR1 Data Previous Year'!$A:$A,0),1)</f>
        <v>206.01</v>
      </c>
      <c r="Z31" s="836" t="str">
        <f t="shared" si="0"/>
        <v>N</v>
      </c>
      <c r="AA31" s="837" t="str">
        <f t="shared" si="1"/>
        <v>N</v>
      </c>
      <c r="AB31" s="838">
        <f t="shared" si="2"/>
        <v>206.01</v>
      </c>
      <c r="AC31" s="868">
        <f t="shared" si="3"/>
        <v>0</v>
      </c>
      <c r="AD31" s="876">
        <f t="shared" si="4"/>
        <v>0</v>
      </c>
      <c r="AE31" s="838">
        <f t="shared" si="5"/>
        <v>212.19030000000001</v>
      </c>
      <c r="AF31" s="838">
        <f t="shared" si="6"/>
        <v>211.01</v>
      </c>
      <c r="AG31" s="839">
        <f t="shared" si="8"/>
        <v>0</v>
      </c>
      <c r="AH31" s="839">
        <f t="shared" si="9"/>
        <v>212.19</v>
      </c>
      <c r="AI31" s="840">
        <f t="shared" si="7"/>
        <v>0</v>
      </c>
      <c r="AJ31" s="841">
        <f t="shared" si="10"/>
        <v>0</v>
      </c>
      <c r="AK31" s="881"/>
      <c r="AL31" s="834" t="e">
        <f t="shared" si="12"/>
        <v>#N/A</v>
      </c>
      <c r="AM31" s="834"/>
      <c r="AN31" s="871"/>
      <c r="AO31" s="372"/>
      <c r="AP31" s="1062" t="s">
        <v>516</v>
      </c>
      <c r="AQ31" s="1019"/>
      <c r="AR31" s="1019"/>
      <c r="AS31" s="1019"/>
      <c r="AT31" s="1019"/>
      <c r="AU31" s="372">
        <v>2</v>
      </c>
    </row>
    <row r="32" spans="1:51" ht="15" customHeight="1" x14ac:dyDescent="0.25">
      <c r="A32" s="370">
        <v>27</v>
      </c>
      <c r="B32" s="371" t="s">
        <v>517</v>
      </c>
      <c r="C32" s="370" t="s">
        <v>518</v>
      </c>
      <c r="D32" s="370" t="s">
        <v>519</v>
      </c>
      <c r="E32" s="370" t="s">
        <v>321</v>
      </c>
      <c r="F32" s="370" t="s">
        <v>368</v>
      </c>
      <c r="G32" s="386">
        <f>INDEX('CTR1 Data Previous Year'!$B:$B,MATCH($D32,'CTR1 Data Previous Year'!$A:$A,0),1)</f>
        <v>11594146</v>
      </c>
      <c r="H32" s="386">
        <f>INDEX('CTR1 Data Previous Year'!$C:$C,MATCH($D32,'CTR1 Data Previous Year'!$A:$A,0),1)</f>
        <v>92042</v>
      </c>
      <c r="I32" s="386">
        <f>INDEX('CTR1 Data Previous Year'!$D:$D,MATCH($D32,'CTR1 Data Previous Year'!$A:$A,0),1)</f>
        <v>5849396</v>
      </c>
      <c r="J32" s="386">
        <f>INDEX('CTR1 Data Previous Year'!$E:$E,MATCH($D32,'CTR1 Data Previous Year'!$A:$A,0),1)</f>
        <v>5744750</v>
      </c>
      <c r="K32" s="386">
        <f>INDEX('CTR1 Data Previous Year'!$F:$F,MATCH($D32,'CTR1 Data Previous Year'!$A:$A,0),1)</f>
        <v>91700</v>
      </c>
      <c r="L32" s="465">
        <f>INDEX('CTR1 Data Previous Year'!$G:$G,MATCH($D32,'CTR1 Data Previous Year'!$A:$A,0),1)</f>
        <v>47520.1</v>
      </c>
      <c r="M32" s="455">
        <f>INDEX('CTR1 Data Previous Year'!$H:$H,MATCH($D32,'CTR1 Data Previous Year'!$A:$A,0),1)</f>
        <v>1</v>
      </c>
      <c r="N32" s="465">
        <f>INDEX('CTR1 Data Previous Year'!$I:$I,MATCH($D32,'CTR1 Data Previous Year'!$A:$A,0),1)</f>
        <v>170</v>
      </c>
      <c r="O32" s="160" t="s">
        <v>520</v>
      </c>
      <c r="P32" s="817" t="s">
        <v>521</v>
      </c>
      <c r="Q32" s="820" t="s">
        <v>522</v>
      </c>
      <c r="R32" s="817" t="s">
        <v>523</v>
      </c>
      <c r="S32" s="821" t="s">
        <v>129</v>
      </c>
      <c r="T32" s="817"/>
      <c r="U32" s="160"/>
      <c r="V32" s="817"/>
      <c r="W32" s="465">
        <f>INDEX('CTR1 Data Previous Year'!$J:$J,MATCH($D32,'CTR1 Data Previous Year'!$A:$A,0),1)</f>
        <v>47690.1</v>
      </c>
      <c r="X32" s="465">
        <f>INDEX('CTR1 Data Previous Year'!$K:$K,MATCH($D32,'CTR1 Data Previous Year'!$A:$A,0),1)</f>
        <v>243.11</v>
      </c>
      <c r="Y32" s="465">
        <f>INDEX('CTR1 Data Previous Year'!$L:$L,MATCH($D32,'CTR1 Data Previous Year'!$A:$A,0),1)</f>
        <v>120.46</v>
      </c>
      <c r="Z32" s="836" t="str">
        <f t="shared" si="0"/>
        <v>N</v>
      </c>
      <c r="AA32" s="837" t="str">
        <f t="shared" si="1"/>
        <v>N</v>
      </c>
      <c r="AB32" s="838">
        <f t="shared" si="2"/>
        <v>120.46</v>
      </c>
      <c r="AC32" s="868">
        <f t="shared" si="3"/>
        <v>0</v>
      </c>
      <c r="AD32" s="876">
        <f t="shared" si="4"/>
        <v>0</v>
      </c>
      <c r="AE32" s="838">
        <f t="shared" si="5"/>
        <v>124.07379999999999</v>
      </c>
      <c r="AF32" s="838">
        <f t="shared" si="6"/>
        <v>125.46</v>
      </c>
      <c r="AG32" s="839">
        <f t="shared" si="8"/>
        <v>0</v>
      </c>
      <c r="AH32" s="839">
        <f t="shared" si="9"/>
        <v>125.46</v>
      </c>
      <c r="AI32" s="840">
        <f t="shared" si="7"/>
        <v>0</v>
      </c>
      <c r="AJ32" s="841">
        <f t="shared" si="10"/>
        <v>0</v>
      </c>
      <c r="AK32" s="881"/>
      <c r="AL32" s="834" t="e">
        <f t="shared" si="12"/>
        <v>#N/A</v>
      </c>
      <c r="AM32" s="834"/>
      <c r="AN32" s="871"/>
      <c r="AO32" s="372"/>
      <c r="AP32" s="1063" t="s">
        <v>129</v>
      </c>
      <c r="AQ32" s="1019"/>
      <c r="AR32" s="1019"/>
      <c r="AS32" s="1019"/>
      <c r="AT32" s="1019"/>
      <c r="AU32" s="372">
        <v>3</v>
      </c>
    </row>
    <row r="33" spans="1:47" ht="15" customHeight="1" x14ac:dyDescent="0.25">
      <c r="A33" s="370">
        <v>28</v>
      </c>
      <c r="B33" s="371" t="s">
        <v>524</v>
      </c>
      <c r="C33" s="370" t="s">
        <v>525</v>
      </c>
      <c r="D33" s="370" t="s">
        <v>526</v>
      </c>
      <c r="E33" s="370" t="s">
        <v>343</v>
      </c>
      <c r="F33" s="370" t="s">
        <v>378</v>
      </c>
      <c r="G33" s="386">
        <f>INDEX('CTR1 Data Previous Year'!$B:$B,MATCH($D33,'CTR1 Data Previous Year'!$A:$A,0),1)</f>
        <v>178432749</v>
      </c>
      <c r="H33" s="386">
        <f>INDEX('CTR1 Data Previous Year'!$C:$C,MATCH($D33,'CTR1 Data Previous Year'!$A:$A,0),1)</f>
        <v>0</v>
      </c>
      <c r="I33" s="386">
        <f>INDEX('CTR1 Data Previous Year'!$D:$D,MATCH($D33,'CTR1 Data Previous Year'!$A:$A,0),1)</f>
        <v>0</v>
      </c>
      <c r="J33" s="386">
        <f>INDEX('CTR1 Data Previous Year'!$E:$E,MATCH($D33,'CTR1 Data Previous Year'!$A:$A,0),1)</f>
        <v>178432749</v>
      </c>
      <c r="K33" s="386">
        <f>INDEX('CTR1 Data Previous Year'!$F:$F,MATCH($D33,'CTR1 Data Previous Year'!$A:$A,0),1)</f>
        <v>3510787</v>
      </c>
      <c r="L33" s="465">
        <f>INDEX('CTR1 Data Previous Year'!$G:$G,MATCH($D33,'CTR1 Data Previous Year'!$A:$A,0),1)</f>
        <v>111976</v>
      </c>
      <c r="M33" s="455">
        <f>INDEX('CTR1 Data Previous Year'!$H:$H,MATCH($D33,'CTR1 Data Previous Year'!$A:$A,0),1)</f>
        <v>0.97</v>
      </c>
      <c r="N33" s="465">
        <f>INDEX('CTR1 Data Previous Year'!$I:$I,MATCH($D33,'CTR1 Data Previous Year'!$A:$A,0),1)</f>
        <v>0</v>
      </c>
      <c r="O33" s="160" t="s">
        <v>379</v>
      </c>
      <c r="P33" s="862" t="s">
        <v>380</v>
      </c>
      <c r="Q33" s="820"/>
      <c r="R33" s="817"/>
      <c r="S33" s="821" t="s">
        <v>129</v>
      </c>
      <c r="T33" s="817"/>
      <c r="U33" s="160"/>
      <c r="V33" s="817"/>
      <c r="W33" s="465">
        <f>INDEX('CTR1 Data Previous Year'!$J:$J,MATCH($D33,'CTR1 Data Previous Year'!$A:$A,0),1)</f>
        <v>108616.72</v>
      </c>
      <c r="X33" s="465">
        <f>INDEX('CTR1 Data Previous Year'!$K:$K,MATCH($D33,'CTR1 Data Previous Year'!$A:$A,0),1)</f>
        <v>1642.77</v>
      </c>
      <c r="Y33" s="465">
        <f>INDEX('CTR1 Data Previous Year'!$L:$L,MATCH($D33,'CTR1 Data Previous Year'!$A:$A,0),1)</f>
        <v>1642.77</v>
      </c>
      <c r="Z33" s="836" t="str">
        <f t="shared" si="0"/>
        <v>N</v>
      </c>
      <c r="AA33" s="837" t="str">
        <f t="shared" si="1"/>
        <v>N</v>
      </c>
      <c r="AB33" s="838">
        <f t="shared" si="2"/>
        <v>1642.77</v>
      </c>
      <c r="AC33" s="868">
        <f t="shared" si="3"/>
        <v>0</v>
      </c>
      <c r="AD33" s="876">
        <f t="shared" si="4"/>
        <v>0</v>
      </c>
      <c r="AE33" s="838">
        <f t="shared" si="5"/>
        <v>1724.9085</v>
      </c>
      <c r="AF33" s="838">
        <f t="shared" si="6"/>
        <v>1642.77</v>
      </c>
      <c r="AG33" s="839">
        <f t="shared" si="8"/>
        <v>0</v>
      </c>
      <c r="AH33" s="839">
        <f t="shared" si="9"/>
        <v>1724.91</v>
      </c>
      <c r="AI33" s="840">
        <f t="shared" si="7"/>
        <v>32.86</v>
      </c>
      <c r="AJ33" s="841">
        <f t="shared" si="10"/>
        <v>2.0002800148529617E-2</v>
      </c>
      <c r="AK33" s="881"/>
      <c r="AL33" s="834" t="e">
        <f t="shared" si="12"/>
        <v>#N/A</v>
      </c>
      <c r="AM33" s="834"/>
      <c r="AN33" s="871"/>
      <c r="AO33" s="372"/>
      <c r="AP33" s="372"/>
      <c r="AQ33" s="372"/>
      <c r="AR33" s="372"/>
      <c r="AS33" s="372"/>
      <c r="AT33" s="372"/>
      <c r="AU33" s="372"/>
    </row>
    <row r="34" spans="1:47" ht="15" customHeight="1" x14ac:dyDescent="0.25">
      <c r="A34" s="370">
        <v>29</v>
      </c>
      <c r="B34" s="371" t="s">
        <v>527</v>
      </c>
      <c r="C34" s="370" t="s">
        <v>528</v>
      </c>
      <c r="D34" s="370" t="s">
        <v>529</v>
      </c>
      <c r="E34" s="370" t="s">
        <v>321</v>
      </c>
      <c r="F34" s="370" t="s">
        <v>368</v>
      </c>
      <c r="G34" s="386">
        <f>INDEX('CTR1 Data Previous Year'!$B:$B,MATCH($D34,'CTR1 Data Previous Year'!$A:$A,0),1)</f>
        <v>8254873</v>
      </c>
      <c r="H34" s="386">
        <f>INDEX('CTR1 Data Previous Year'!$C:$C,MATCH($D34,'CTR1 Data Previous Year'!$A:$A,0),1)</f>
        <v>0</v>
      </c>
      <c r="I34" s="386">
        <f>INDEX('CTR1 Data Previous Year'!$D:$D,MATCH($D34,'CTR1 Data Previous Year'!$A:$A,0),1)</f>
        <v>765877</v>
      </c>
      <c r="J34" s="386">
        <f>INDEX('CTR1 Data Previous Year'!$E:$E,MATCH($D34,'CTR1 Data Previous Year'!$A:$A,0),1)</f>
        <v>7488996</v>
      </c>
      <c r="K34" s="386">
        <f>INDEX('CTR1 Data Previous Year'!$F:$F,MATCH($D34,'CTR1 Data Previous Year'!$A:$A,0),1)</f>
        <v>0</v>
      </c>
      <c r="L34" s="465">
        <f>INDEX('CTR1 Data Previous Year'!$G:$G,MATCH($D34,'CTR1 Data Previous Year'!$A:$A,0),1)</f>
        <v>35469.17</v>
      </c>
      <c r="M34" s="455">
        <f>INDEX('CTR1 Data Previous Year'!$H:$H,MATCH($D34,'CTR1 Data Previous Year'!$A:$A,0),1)</f>
        <v>0.97299999999999998</v>
      </c>
      <c r="N34" s="465">
        <f>INDEX('CTR1 Data Previous Year'!$I:$I,MATCH($D34,'CTR1 Data Previous Year'!$A:$A,0),1)</f>
        <v>0</v>
      </c>
      <c r="O34" s="160" t="s">
        <v>401</v>
      </c>
      <c r="P34" s="817" t="s">
        <v>402</v>
      </c>
      <c r="Q34" s="820" t="s">
        <v>403</v>
      </c>
      <c r="R34" s="817" t="s">
        <v>404</v>
      </c>
      <c r="S34" s="821" t="s">
        <v>405</v>
      </c>
      <c r="T34" s="817" t="s">
        <v>406</v>
      </c>
      <c r="U34" s="822"/>
      <c r="V34" s="817"/>
      <c r="W34" s="465">
        <f>INDEX('CTR1 Data Previous Year'!$J:$J,MATCH($D34,'CTR1 Data Previous Year'!$A:$A,0),1)</f>
        <v>34511.5</v>
      </c>
      <c r="X34" s="465">
        <f>INDEX('CTR1 Data Previous Year'!$K:$K,MATCH($D34,'CTR1 Data Previous Year'!$A:$A,0),1)</f>
        <v>239.19</v>
      </c>
      <c r="Y34" s="465">
        <f>INDEX('CTR1 Data Previous Year'!$L:$L,MATCH($D34,'CTR1 Data Previous Year'!$A:$A,0),1)</f>
        <v>217</v>
      </c>
      <c r="Z34" s="836" t="str">
        <f t="shared" si="0"/>
        <v>N</v>
      </c>
      <c r="AA34" s="837" t="str">
        <f t="shared" si="1"/>
        <v>N</v>
      </c>
      <c r="AB34" s="838">
        <f t="shared" si="2"/>
        <v>217</v>
      </c>
      <c r="AC34" s="868">
        <f t="shared" si="3"/>
        <v>0</v>
      </c>
      <c r="AD34" s="876">
        <f t="shared" si="4"/>
        <v>0</v>
      </c>
      <c r="AE34" s="838">
        <f t="shared" si="5"/>
        <v>223.51000000000002</v>
      </c>
      <c r="AF34" s="838">
        <f t="shared" si="6"/>
        <v>222</v>
      </c>
      <c r="AG34" s="839">
        <f t="shared" si="8"/>
        <v>0</v>
      </c>
      <c r="AH34" s="839">
        <f t="shared" si="9"/>
        <v>223.51</v>
      </c>
      <c r="AI34" s="840">
        <f t="shared" si="7"/>
        <v>0</v>
      </c>
      <c r="AJ34" s="841">
        <f t="shared" si="10"/>
        <v>0</v>
      </c>
      <c r="AK34" s="831" t="s">
        <v>530</v>
      </c>
      <c r="AL34" s="879"/>
      <c r="AM34" s="830"/>
      <c r="AN34" s="830"/>
      <c r="AO34" s="372"/>
      <c r="AP34" s="372"/>
      <c r="AQ34" s="372"/>
      <c r="AR34" s="372"/>
      <c r="AS34" s="372"/>
      <c r="AT34" s="372"/>
      <c r="AU34" s="372"/>
    </row>
    <row r="35" spans="1:47" ht="15" customHeight="1" x14ac:dyDescent="0.25">
      <c r="A35" s="370">
        <v>30</v>
      </c>
      <c r="B35" s="371" t="s">
        <v>531</v>
      </c>
      <c r="C35" s="370" t="s">
        <v>532</v>
      </c>
      <c r="D35" s="370" t="s">
        <v>533</v>
      </c>
      <c r="E35" s="370" t="s">
        <v>339</v>
      </c>
      <c r="F35" s="370" t="s">
        <v>322</v>
      </c>
      <c r="G35" s="386">
        <f>INDEX('CTR1 Data Previous Year'!$B:$B,MATCH($D35,'CTR1 Data Previous Year'!$A:$A,0),1)</f>
        <v>197684340</v>
      </c>
      <c r="H35" s="386">
        <f>INDEX('CTR1 Data Previous Year'!$C:$C,MATCH($D35,'CTR1 Data Previous Year'!$A:$A,0),1)</f>
        <v>34328</v>
      </c>
      <c r="I35" s="386">
        <f>INDEX('CTR1 Data Previous Year'!$D:$D,MATCH($D35,'CTR1 Data Previous Year'!$A:$A,0),1)</f>
        <v>60340</v>
      </c>
      <c r="J35" s="386">
        <f>INDEX('CTR1 Data Previous Year'!$E:$E,MATCH($D35,'CTR1 Data Previous Year'!$A:$A,0),1)</f>
        <v>197624000</v>
      </c>
      <c r="K35" s="386">
        <f>INDEX('CTR1 Data Previous Year'!$F:$F,MATCH($D35,'CTR1 Data Previous Year'!$A:$A,0),1)</f>
        <v>213187</v>
      </c>
      <c r="L35" s="465">
        <f>INDEX('CTR1 Data Previous Year'!$G:$G,MATCH($D35,'CTR1 Data Previous Year'!$A:$A,0),1)</f>
        <v>96364.86</v>
      </c>
      <c r="M35" s="455">
        <f>INDEX('CTR1 Data Previous Year'!$H:$H,MATCH($D35,'CTR1 Data Previous Year'!$A:$A,0),1)</f>
        <v>0.98750000000000004</v>
      </c>
      <c r="N35" s="465">
        <f>INDEX('CTR1 Data Previous Year'!$I:$I,MATCH($D35,'CTR1 Data Previous Year'!$A:$A,0),1)</f>
        <v>0</v>
      </c>
      <c r="O35" s="160" t="s">
        <v>129</v>
      </c>
      <c r="P35" s="817"/>
      <c r="Q35" s="820" t="s">
        <v>325</v>
      </c>
      <c r="R35" s="817" t="s">
        <v>326</v>
      </c>
      <c r="S35" s="821" t="s">
        <v>534</v>
      </c>
      <c r="T35" s="817" t="s">
        <v>535</v>
      </c>
      <c r="U35" s="160"/>
      <c r="V35" s="817"/>
      <c r="W35" s="465">
        <f>INDEX('CTR1 Data Previous Year'!$J:$J,MATCH($D35,'CTR1 Data Previous Year'!$A:$A,0),1)</f>
        <v>95160.3</v>
      </c>
      <c r="X35" s="465">
        <f>INDEX('CTR1 Data Previous Year'!$K:$K,MATCH($D35,'CTR1 Data Previous Year'!$A:$A,0),1)</f>
        <v>2077.38</v>
      </c>
      <c r="Y35" s="465">
        <f>INDEX('CTR1 Data Previous Year'!$L:$L,MATCH($D35,'CTR1 Data Previous Year'!$A:$A,0),1)</f>
        <v>2076.75</v>
      </c>
      <c r="Z35" s="836" t="str">
        <f t="shared" si="0"/>
        <v>N</v>
      </c>
      <c r="AA35" s="837" t="str">
        <f t="shared" si="1"/>
        <v>N</v>
      </c>
      <c r="AB35" s="838">
        <f t="shared" si="2"/>
        <v>2076.75</v>
      </c>
      <c r="AC35" s="868">
        <f t="shared" si="3"/>
        <v>0</v>
      </c>
      <c r="AD35" s="876">
        <f t="shared" si="4"/>
        <v>0</v>
      </c>
      <c r="AE35" s="838">
        <f t="shared" si="5"/>
        <v>2180.5875000000001</v>
      </c>
      <c r="AF35" s="838">
        <f t="shared" si="6"/>
        <v>2076.75</v>
      </c>
      <c r="AG35" s="839">
        <f t="shared" si="8"/>
        <v>0</v>
      </c>
      <c r="AH35" s="839">
        <f t="shared" si="9"/>
        <v>2180.59</v>
      </c>
      <c r="AI35" s="840">
        <f t="shared" si="7"/>
        <v>41.54</v>
      </c>
      <c r="AJ35" s="841">
        <f t="shared" si="10"/>
        <v>2.0002407608041409E-2</v>
      </c>
      <c r="AK35" s="831" t="s">
        <v>381</v>
      </c>
      <c r="AL35" s="831" t="s">
        <v>303</v>
      </c>
      <c r="AM35" s="832" t="s">
        <v>291</v>
      </c>
      <c r="AN35" s="832"/>
      <c r="AO35" s="372"/>
      <c r="AP35" s="372"/>
      <c r="AQ35" s="372"/>
      <c r="AR35" s="372"/>
      <c r="AS35" s="372">
        <f>IF(CTR1_Billing!F74="Apply to the increase in average Band D amount across the predecessor areas",1,IF(CTR1_Billing!F74="Apply to the increase in average Band D in each individual predecessor area",2,IF(CTR1_Billing!F74="",3,)))</f>
        <v>3</v>
      </c>
      <c r="AT35" s="372"/>
      <c r="AU35" s="372"/>
    </row>
    <row r="36" spans="1:47" ht="15" customHeight="1" x14ac:dyDescent="0.25">
      <c r="A36" s="370">
        <v>31</v>
      </c>
      <c r="B36" s="371" t="s">
        <v>536</v>
      </c>
      <c r="C36" s="370" t="s">
        <v>537</v>
      </c>
      <c r="D36" s="370" t="s">
        <v>538</v>
      </c>
      <c r="E36" s="370" t="s">
        <v>339</v>
      </c>
      <c r="F36" s="370" t="s">
        <v>425</v>
      </c>
      <c r="G36" s="386">
        <f>INDEX('CTR1 Data Previous Year'!$B:$B,MATCH($D36,'CTR1 Data Previous Year'!$A:$A,0),1)</f>
        <v>299257362</v>
      </c>
      <c r="H36" s="386">
        <f>INDEX('CTR1 Data Previous Year'!$C:$C,MATCH($D36,'CTR1 Data Previous Year'!$A:$A,0),1)</f>
        <v>0</v>
      </c>
      <c r="I36" s="386">
        <f>INDEX('CTR1 Data Previous Year'!$D:$D,MATCH($D36,'CTR1 Data Previous Year'!$A:$A,0),1)</f>
        <v>0</v>
      </c>
      <c r="J36" s="386">
        <f>INDEX('CTR1 Data Previous Year'!$E:$E,MATCH($D36,'CTR1 Data Previous Year'!$A:$A,0),1)</f>
        <v>299257362</v>
      </c>
      <c r="K36" s="386">
        <f>INDEX('CTR1 Data Previous Year'!$F:$F,MATCH($D36,'CTR1 Data Previous Year'!$A:$A,0),1)</f>
        <v>0</v>
      </c>
      <c r="L36" s="465">
        <f>INDEX('CTR1 Data Previous Year'!$G:$G,MATCH($D36,'CTR1 Data Previous Year'!$A:$A,0),1)</f>
        <v>138765.82</v>
      </c>
      <c r="M36" s="455">
        <f>INDEX('CTR1 Data Previous Year'!$H:$H,MATCH($D36,'CTR1 Data Previous Year'!$A:$A,0),1)</f>
        <v>0.98</v>
      </c>
      <c r="N36" s="465">
        <f>INDEX('CTR1 Data Previous Year'!$I:$I,MATCH($D36,'CTR1 Data Previous Year'!$A:$A,0),1)</f>
        <v>19.5</v>
      </c>
      <c r="O36" s="160" t="s">
        <v>129</v>
      </c>
      <c r="P36" s="817"/>
      <c r="Q36" s="820" t="s">
        <v>426</v>
      </c>
      <c r="R36" s="817" t="s">
        <v>427</v>
      </c>
      <c r="S36" s="821" t="s">
        <v>428</v>
      </c>
      <c r="T36" s="817" t="s">
        <v>429</v>
      </c>
      <c r="U36" s="160"/>
      <c r="V36" s="817"/>
      <c r="W36" s="465">
        <f>INDEX('CTR1 Data Previous Year'!$J:$J,MATCH($D36,'CTR1 Data Previous Year'!$A:$A,0),1)</f>
        <v>136010</v>
      </c>
      <c r="X36" s="465">
        <f>INDEX('CTR1 Data Previous Year'!$K:$K,MATCH($D36,'CTR1 Data Previous Year'!$A:$A,0),1)</f>
        <v>2200.2600000000002</v>
      </c>
      <c r="Y36" s="465">
        <f>INDEX('CTR1 Data Previous Year'!$L:$L,MATCH($D36,'CTR1 Data Previous Year'!$A:$A,0),1)</f>
        <v>2200.2600000000002</v>
      </c>
      <c r="Z36" s="836" t="str">
        <f t="shared" si="0"/>
        <v>N</v>
      </c>
      <c r="AA36" s="837" t="str">
        <f t="shared" si="1"/>
        <v>N</v>
      </c>
      <c r="AB36" s="838">
        <f t="shared" si="2"/>
        <v>2200.2600000000002</v>
      </c>
      <c r="AC36" s="868">
        <f t="shared" si="3"/>
        <v>0</v>
      </c>
      <c r="AD36" s="876">
        <f t="shared" si="4"/>
        <v>0</v>
      </c>
      <c r="AE36" s="838">
        <f t="shared" si="5"/>
        <v>2310.2730000000001</v>
      </c>
      <c r="AF36" s="838">
        <f t="shared" si="6"/>
        <v>2200.2600000000002</v>
      </c>
      <c r="AG36" s="839">
        <f t="shared" si="8"/>
        <v>0</v>
      </c>
      <c r="AH36" s="839">
        <f t="shared" si="9"/>
        <v>2310.27</v>
      </c>
      <c r="AI36" s="840">
        <f t="shared" si="7"/>
        <v>44.01</v>
      </c>
      <c r="AJ36" s="841">
        <f t="shared" si="10"/>
        <v>2.0002181560361047E-2</v>
      </c>
      <c r="AK36" s="879"/>
      <c r="AL36" s="879" t="e">
        <f>INDEX($C$6:$C$301,MATCH($AK36,$B$6:$B$301,0),1)</f>
        <v>#N/A</v>
      </c>
      <c r="AM36" s="873"/>
      <c r="AN36" s="830"/>
      <c r="AO36" s="372"/>
      <c r="AP36" s="372"/>
      <c r="AQ36" s="372"/>
      <c r="AR36" s="372"/>
      <c r="AS36" s="372"/>
      <c r="AT36" s="372"/>
      <c r="AU36" s="372"/>
    </row>
    <row r="37" spans="1:47" ht="15" customHeight="1" x14ac:dyDescent="0.25">
      <c r="A37" s="370">
        <v>32</v>
      </c>
      <c r="B37" s="371" t="s">
        <v>539</v>
      </c>
      <c r="C37" s="370" t="s">
        <v>540</v>
      </c>
      <c r="D37" s="370" t="s">
        <v>541</v>
      </c>
      <c r="E37" s="370" t="s">
        <v>321</v>
      </c>
      <c r="F37" s="370" t="s">
        <v>368</v>
      </c>
      <c r="G37" s="386">
        <f>INDEX('CTR1 Data Previous Year'!$B:$B,MATCH($D37,'CTR1 Data Previous Year'!$A:$A,0),1)</f>
        <v>12074303</v>
      </c>
      <c r="H37" s="386">
        <f>INDEX('CTR1 Data Previous Year'!$C:$C,MATCH($D37,'CTR1 Data Previous Year'!$A:$A,0),1)</f>
        <v>62155</v>
      </c>
      <c r="I37" s="386">
        <f>INDEX('CTR1 Data Previous Year'!$D:$D,MATCH($D37,'CTR1 Data Previous Year'!$A:$A,0),1)</f>
        <v>5295114</v>
      </c>
      <c r="J37" s="386">
        <f>INDEX('CTR1 Data Previous Year'!$E:$E,MATCH($D37,'CTR1 Data Previous Year'!$A:$A,0),1)</f>
        <v>6779189</v>
      </c>
      <c r="K37" s="386">
        <f>INDEX('CTR1 Data Previous Year'!$F:$F,MATCH($D37,'CTR1 Data Previous Year'!$A:$A,0),1)</f>
        <v>351966</v>
      </c>
      <c r="L37" s="465">
        <f>INDEX('CTR1 Data Previous Year'!$G:$G,MATCH($D37,'CTR1 Data Previous Year'!$A:$A,0),1)</f>
        <v>50165.241000000002</v>
      </c>
      <c r="M37" s="455">
        <f>INDEX('CTR1 Data Previous Year'!$H:$H,MATCH($D37,'CTR1 Data Previous Year'!$A:$A,0),1)</f>
        <v>0.99250000000000005</v>
      </c>
      <c r="N37" s="465">
        <f>INDEX('CTR1 Data Previous Year'!$I:$I,MATCH($D37,'CTR1 Data Previous Year'!$A:$A,0),1)</f>
        <v>0</v>
      </c>
      <c r="O37" s="160" t="s">
        <v>520</v>
      </c>
      <c r="P37" s="817" t="s">
        <v>521</v>
      </c>
      <c r="Q37" s="820" t="s">
        <v>522</v>
      </c>
      <c r="R37" s="817" t="s">
        <v>523</v>
      </c>
      <c r="S37" s="821" t="s">
        <v>129</v>
      </c>
      <c r="T37" s="817"/>
      <c r="U37" s="160"/>
      <c r="V37" s="817"/>
      <c r="W37" s="465">
        <f>INDEX('CTR1 Data Previous Year'!$J:$J,MATCH($D37,'CTR1 Data Previous Year'!$A:$A,0),1)</f>
        <v>49789</v>
      </c>
      <c r="X37" s="465">
        <f>INDEX('CTR1 Data Previous Year'!$K:$K,MATCH($D37,'CTR1 Data Previous Year'!$A:$A,0),1)</f>
        <v>242.51</v>
      </c>
      <c r="Y37" s="465">
        <f>INDEX('CTR1 Data Previous Year'!$L:$L,MATCH($D37,'CTR1 Data Previous Year'!$A:$A,0),1)</f>
        <v>136.16</v>
      </c>
      <c r="Z37" s="836" t="str">
        <f t="shared" si="0"/>
        <v>N</v>
      </c>
      <c r="AA37" s="837" t="str">
        <f t="shared" si="1"/>
        <v>N</v>
      </c>
      <c r="AB37" s="838">
        <f t="shared" si="2"/>
        <v>136.16</v>
      </c>
      <c r="AC37" s="868">
        <f t="shared" si="3"/>
        <v>0</v>
      </c>
      <c r="AD37" s="876">
        <f t="shared" si="4"/>
        <v>0</v>
      </c>
      <c r="AE37" s="838">
        <f t="shared" si="5"/>
        <v>140.2448</v>
      </c>
      <c r="AF37" s="838">
        <f t="shared" si="6"/>
        <v>141.16</v>
      </c>
      <c r="AG37" s="839">
        <f t="shared" si="8"/>
        <v>0</v>
      </c>
      <c r="AH37" s="839">
        <f t="shared" si="9"/>
        <v>141.16</v>
      </c>
      <c r="AI37" s="840">
        <f t="shared" si="7"/>
        <v>0</v>
      </c>
      <c r="AJ37" s="841">
        <f t="shared" si="10"/>
        <v>0</v>
      </c>
      <c r="AK37" s="879"/>
      <c r="AL37" s="879" t="e">
        <f t="shared" ref="AL37:AL56" si="13">INDEX($C$6:$C$301,MATCH($AK37,$B$6:$B$301,0),1)</f>
        <v>#N/A</v>
      </c>
      <c r="AM37" s="873"/>
      <c r="AN37" s="830"/>
    </row>
    <row r="38" spans="1:47" ht="15" customHeight="1" x14ac:dyDescent="0.25">
      <c r="A38" s="370">
        <v>33</v>
      </c>
      <c r="B38" s="371" t="s">
        <v>542</v>
      </c>
      <c r="C38" s="370" t="s">
        <v>543</v>
      </c>
      <c r="D38" s="370" t="s">
        <v>544</v>
      </c>
      <c r="E38" s="370" t="s">
        <v>343</v>
      </c>
      <c r="F38" s="370" t="s">
        <v>378</v>
      </c>
      <c r="G38" s="386">
        <f>INDEX('CTR1 Data Previous Year'!$B:$B,MATCH($D38,'CTR1 Data Previous Year'!$A:$A,0),1)</f>
        <v>213396000</v>
      </c>
      <c r="H38" s="386">
        <f>INDEX('CTR1 Data Previous Year'!$C:$C,MATCH($D38,'CTR1 Data Previous Year'!$A:$A,0),1)</f>
        <v>0</v>
      </c>
      <c r="I38" s="386">
        <f>INDEX('CTR1 Data Previous Year'!$D:$D,MATCH($D38,'CTR1 Data Previous Year'!$A:$A,0),1)</f>
        <v>0</v>
      </c>
      <c r="J38" s="386">
        <f>INDEX('CTR1 Data Previous Year'!$E:$E,MATCH($D38,'CTR1 Data Previous Year'!$A:$A,0),1)</f>
        <v>213396000</v>
      </c>
      <c r="K38" s="386">
        <f>INDEX('CTR1 Data Previous Year'!$F:$F,MATCH($D38,'CTR1 Data Previous Year'!$A:$A,0),1)</f>
        <v>1310586</v>
      </c>
      <c r="L38" s="465">
        <f>INDEX('CTR1 Data Previous Year'!$G:$G,MATCH($D38,'CTR1 Data Previous Year'!$A:$A,0),1)</f>
        <v>139796.51999999999</v>
      </c>
      <c r="M38" s="455">
        <f>INDEX('CTR1 Data Previous Year'!$H:$H,MATCH($D38,'CTR1 Data Previous Year'!$A:$A,0),1)</f>
        <v>0.98340000000000005</v>
      </c>
      <c r="N38" s="465">
        <f>INDEX('CTR1 Data Previous Year'!$I:$I,MATCH($D38,'CTR1 Data Previous Year'!$A:$A,0),1)</f>
        <v>14.1</v>
      </c>
      <c r="O38" s="160" t="s">
        <v>379</v>
      </c>
      <c r="P38" s="862" t="s">
        <v>380</v>
      </c>
      <c r="Q38" s="820"/>
      <c r="R38" s="817"/>
      <c r="S38" s="821" t="s">
        <v>129</v>
      </c>
      <c r="T38" s="817"/>
      <c r="U38" s="160"/>
      <c r="V38" s="817"/>
      <c r="W38" s="465">
        <f>INDEX('CTR1 Data Previous Year'!$J:$J,MATCH($D38,'CTR1 Data Previous Year'!$A:$A,0),1)</f>
        <v>137490</v>
      </c>
      <c r="X38" s="465">
        <f>INDEX('CTR1 Data Previous Year'!$K:$K,MATCH($D38,'CTR1 Data Previous Year'!$A:$A,0),1)</f>
        <v>1552.08</v>
      </c>
      <c r="Y38" s="465">
        <f>INDEX('CTR1 Data Previous Year'!$L:$L,MATCH($D38,'CTR1 Data Previous Year'!$A:$A,0),1)</f>
        <v>1552.08</v>
      </c>
      <c r="Z38" s="836" t="str">
        <f t="shared" si="0"/>
        <v>N</v>
      </c>
      <c r="AA38" s="837" t="str">
        <f t="shared" si="1"/>
        <v>N</v>
      </c>
      <c r="AB38" s="838">
        <f t="shared" si="2"/>
        <v>1552.08</v>
      </c>
      <c r="AC38" s="868">
        <f t="shared" si="3"/>
        <v>0</v>
      </c>
      <c r="AD38" s="876">
        <f t="shared" si="4"/>
        <v>0</v>
      </c>
      <c r="AE38" s="838">
        <f t="shared" si="5"/>
        <v>1629.684</v>
      </c>
      <c r="AF38" s="838">
        <f t="shared" si="6"/>
        <v>1552.08</v>
      </c>
      <c r="AG38" s="839">
        <f t="shared" si="8"/>
        <v>0</v>
      </c>
      <c r="AH38" s="839">
        <f t="shared" si="9"/>
        <v>1629.68</v>
      </c>
      <c r="AI38" s="840">
        <f t="shared" si="7"/>
        <v>31.04</v>
      </c>
      <c r="AJ38" s="841">
        <f t="shared" si="10"/>
        <v>1.9998969125302819E-2</v>
      </c>
      <c r="AK38" s="879"/>
      <c r="AL38" s="879" t="e">
        <f t="shared" si="13"/>
        <v>#N/A</v>
      </c>
      <c r="AM38" s="873"/>
      <c r="AN38" s="830"/>
    </row>
    <row r="39" spans="1:47" ht="15" customHeight="1" x14ac:dyDescent="0.25">
      <c r="A39" s="370">
        <v>34</v>
      </c>
      <c r="B39" s="371" t="s">
        <v>545</v>
      </c>
      <c r="C39" s="370" t="s">
        <v>546</v>
      </c>
      <c r="D39" s="370" t="s">
        <v>547</v>
      </c>
      <c r="E39" s="370" t="s">
        <v>321</v>
      </c>
      <c r="F39" s="370" t="s">
        <v>444</v>
      </c>
      <c r="G39" s="386">
        <f>INDEX('CTR1 Data Previous Year'!$B:$B,MATCH($D39,'CTR1 Data Previous Year'!$A:$A,0),1)</f>
        <v>11250708</v>
      </c>
      <c r="H39" s="386">
        <f>INDEX('CTR1 Data Previous Year'!$C:$C,MATCH($D39,'CTR1 Data Previous Year'!$A:$A,0),1)</f>
        <v>0</v>
      </c>
      <c r="I39" s="386">
        <f>INDEX('CTR1 Data Previous Year'!$D:$D,MATCH($D39,'CTR1 Data Previous Year'!$A:$A,0),1)</f>
        <v>1373801</v>
      </c>
      <c r="J39" s="386">
        <f>INDEX('CTR1 Data Previous Year'!$E:$E,MATCH($D39,'CTR1 Data Previous Year'!$A:$A,0),1)</f>
        <v>9876907</v>
      </c>
      <c r="K39" s="386">
        <f>INDEX('CTR1 Data Previous Year'!$F:$F,MATCH($D39,'CTR1 Data Previous Year'!$A:$A,0),1)</f>
        <v>0</v>
      </c>
      <c r="L39" s="465">
        <f>INDEX('CTR1 Data Previous Year'!$G:$G,MATCH($D39,'CTR1 Data Previous Year'!$A:$A,0),1)</f>
        <v>38735.75</v>
      </c>
      <c r="M39" s="455">
        <f>INDEX('CTR1 Data Previous Year'!$H:$H,MATCH($D39,'CTR1 Data Previous Year'!$A:$A,0),1)</f>
        <v>0.99</v>
      </c>
      <c r="N39" s="465">
        <f>INDEX('CTR1 Data Previous Year'!$I:$I,MATCH($D39,'CTR1 Data Previous Year'!$A:$A,0),1)</f>
        <v>11.55</v>
      </c>
      <c r="O39" s="160" t="s">
        <v>548</v>
      </c>
      <c r="P39" s="817" t="s">
        <v>549</v>
      </c>
      <c r="Q39" s="820" t="s">
        <v>550</v>
      </c>
      <c r="R39" s="817" t="s">
        <v>551</v>
      </c>
      <c r="S39" s="821" t="s">
        <v>552</v>
      </c>
      <c r="T39" s="817" t="s">
        <v>553</v>
      </c>
      <c r="U39" s="160"/>
      <c r="V39" s="817"/>
      <c r="W39" s="465">
        <f>INDEX('CTR1 Data Previous Year'!$J:$J,MATCH($D39,'CTR1 Data Previous Year'!$A:$A,0),1)</f>
        <v>38359.94</v>
      </c>
      <c r="X39" s="465">
        <f>INDEX('CTR1 Data Previous Year'!$K:$K,MATCH($D39,'CTR1 Data Previous Year'!$A:$A,0),1)</f>
        <v>293.29000000000002</v>
      </c>
      <c r="Y39" s="465">
        <f>INDEX('CTR1 Data Previous Year'!$L:$L,MATCH($D39,'CTR1 Data Previous Year'!$A:$A,0),1)</f>
        <v>257.48</v>
      </c>
      <c r="Z39" s="836" t="str">
        <f t="shared" si="0"/>
        <v>N</v>
      </c>
      <c r="AA39" s="837" t="str">
        <f t="shared" si="1"/>
        <v>N</v>
      </c>
      <c r="AB39" s="838">
        <f t="shared" si="2"/>
        <v>257.48</v>
      </c>
      <c r="AC39" s="868">
        <f t="shared" si="3"/>
        <v>0</v>
      </c>
      <c r="AD39" s="876">
        <f t="shared" si="4"/>
        <v>0</v>
      </c>
      <c r="AE39" s="838">
        <f t="shared" si="5"/>
        <v>265.20440000000002</v>
      </c>
      <c r="AF39" s="838">
        <f t="shared" si="6"/>
        <v>262.48</v>
      </c>
      <c r="AG39" s="839">
        <f t="shared" si="8"/>
        <v>0</v>
      </c>
      <c r="AH39" s="839">
        <f t="shared" si="9"/>
        <v>265.2</v>
      </c>
      <c r="AI39" s="840">
        <f t="shared" si="7"/>
        <v>0</v>
      </c>
      <c r="AJ39" s="841">
        <f t="shared" si="10"/>
        <v>0</v>
      </c>
      <c r="AK39" s="879"/>
      <c r="AL39" s="879" t="e">
        <f t="shared" si="13"/>
        <v>#N/A</v>
      </c>
      <c r="AM39" s="873"/>
      <c r="AN39" s="830"/>
    </row>
    <row r="40" spans="1:47" ht="15" customHeight="1" x14ac:dyDescent="0.25">
      <c r="A40" s="370">
        <v>35</v>
      </c>
      <c r="B40" s="371" t="s">
        <v>554</v>
      </c>
      <c r="C40" s="370" t="s">
        <v>555</v>
      </c>
      <c r="D40" s="370" t="s">
        <v>556</v>
      </c>
      <c r="E40" s="370" t="s">
        <v>321</v>
      </c>
      <c r="F40" s="370" t="s">
        <v>368</v>
      </c>
      <c r="G40" s="386">
        <f>INDEX('CTR1 Data Previous Year'!$B:$B,MATCH($D40,'CTR1 Data Previous Year'!$A:$A,0),1)</f>
        <v>5980461</v>
      </c>
      <c r="H40" s="386">
        <f>INDEX('CTR1 Data Previous Year'!$C:$C,MATCH($D40,'CTR1 Data Previous Year'!$A:$A,0),1)</f>
        <v>0</v>
      </c>
      <c r="I40" s="386">
        <f>INDEX('CTR1 Data Previous Year'!$D:$D,MATCH($D40,'CTR1 Data Previous Year'!$A:$A,0),1)</f>
        <v>0</v>
      </c>
      <c r="J40" s="386">
        <f>INDEX('CTR1 Data Previous Year'!$E:$E,MATCH($D40,'CTR1 Data Previous Year'!$A:$A,0),1)</f>
        <v>5980461</v>
      </c>
      <c r="K40" s="386">
        <f>INDEX('CTR1 Data Previous Year'!$F:$F,MATCH($D40,'CTR1 Data Previous Year'!$A:$A,0),1)</f>
        <v>0</v>
      </c>
      <c r="L40" s="465">
        <f>INDEX('CTR1 Data Previous Year'!$G:$G,MATCH($D40,'CTR1 Data Previous Year'!$A:$A,0),1)</f>
        <v>37383.699999999997</v>
      </c>
      <c r="M40" s="455">
        <f>INDEX('CTR1 Data Previous Year'!$H:$H,MATCH($D40,'CTR1 Data Previous Year'!$A:$A,0),1)</f>
        <v>0.98</v>
      </c>
      <c r="N40" s="465">
        <f>INDEX('CTR1 Data Previous Year'!$I:$I,MATCH($D40,'CTR1 Data Previous Year'!$A:$A,0),1)</f>
        <v>0</v>
      </c>
      <c r="O40" s="160" t="s">
        <v>557</v>
      </c>
      <c r="P40" s="817" t="s">
        <v>558</v>
      </c>
      <c r="Q40" s="820" t="s">
        <v>559</v>
      </c>
      <c r="R40" s="817" t="s">
        <v>560</v>
      </c>
      <c r="S40" s="821" t="s">
        <v>129</v>
      </c>
      <c r="T40" s="817"/>
      <c r="U40" s="160"/>
      <c r="V40" s="817"/>
      <c r="W40" s="465">
        <f>INDEX('CTR1 Data Previous Year'!$J:$J,MATCH($D40,'CTR1 Data Previous Year'!$A:$A,0),1)</f>
        <v>36636.03</v>
      </c>
      <c r="X40" s="465">
        <f>INDEX('CTR1 Data Previous Year'!$K:$K,MATCH($D40,'CTR1 Data Previous Year'!$A:$A,0),1)</f>
        <v>163.24</v>
      </c>
      <c r="Y40" s="465">
        <f>INDEX('CTR1 Data Previous Year'!$L:$L,MATCH($D40,'CTR1 Data Previous Year'!$A:$A,0),1)</f>
        <v>163.24</v>
      </c>
      <c r="Z40" s="836" t="str">
        <f t="shared" si="0"/>
        <v>N</v>
      </c>
      <c r="AA40" s="837" t="str">
        <f t="shared" si="1"/>
        <v>N</v>
      </c>
      <c r="AB40" s="838">
        <f t="shared" si="2"/>
        <v>163.24</v>
      </c>
      <c r="AC40" s="868">
        <f t="shared" si="3"/>
        <v>0</v>
      </c>
      <c r="AD40" s="876">
        <f t="shared" si="4"/>
        <v>0</v>
      </c>
      <c r="AE40" s="838">
        <f t="shared" si="5"/>
        <v>168.13720000000001</v>
      </c>
      <c r="AF40" s="838">
        <f t="shared" si="6"/>
        <v>168.24</v>
      </c>
      <c r="AG40" s="839">
        <f t="shared" si="8"/>
        <v>0</v>
      </c>
      <c r="AH40" s="839">
        <f t="shared" si="9"/>
        <v>168.24</v>
      </c>
      <c r="AI40" s="840">
        <f t="shared" si="7"/>
        <v>0</v>
      </c>
      <c r="AJ40" s="841">
        <f t="shared" si="10"/>
        <v>0</v>
      </c>
      <c r="AK40" s="879"/>
      <c r="AL40" s="879" t="e">
        <f t="shared" si="13"/>
        <v>#N/A</v>
      </c>
      <c r="AM40" s="873"/>
      <c r="AN40" s="830"/>
    </row>
    <row r="41" spans="1:47" ht="15" customHeight="1" x14ac:dyDescent="0.25">
      <c r="A41" s="370">
        <v>36</v>
      </c>
      <c r="B41" s="371" t="s">
        <v>561</v>
      </c>
      <c r="C41" s="370" t="s">
        <v>562</v>
      </c>
      <c r="D41" s="370" t="s">
        <v>563</v>
      </c>
      <c r="E41" s="370" t="s">
        <v>321</v>
      </c>
      <c r="F41" s="370" t="s">
        <v>330</v>
      </c>
      <c r="G41" s="386">
        <f>INDEX('CTR1 Data Previous Year'!$B:$B,MATCH($D41,'CTR1 Data Previous Year'!$A:$A,0),1)</f>
        <v>8121949</v>
      </c>
      <c r="H41" s="386">
        <f>INDEX('CTR1 Data Previous Year'!$C:$C,MATCH($D41,'CTR1 Data Previous Year'!$A:$A,0),1)</f>
        <v>26000</v>
      </c>
      <c r="I41" s="386">
        <f>INDEX('CTR1 Data Previous Year'!$D:$D,MATCH($D41,'CTR1 Data Previous Year'!$A:$A,0),1)</f>
        <v>1233770</v>
      </c>
      <c r="J41" s="386">
        <f>INDEX('CTR1 Data Previous Year'!$E:$E,MATCH($D41,'CTR1 Data Previous Year'!$A:$A,0),1)</f>
        <v>6888179</v>
      </c>
      <c r="K41" s="386">
        <f>INDEX('CTR1 Data Previous Year'!$F:$F,MATCH($D41,'CTR1 Data Previous Year'!$A:$A,0),1)</f>
        <v>0</v>
      </c>
      <c r="L41" s="465">
        <f>INDEX('CTR1 Data Previous Year'!$G:$G,MATCH($D41,'CTR1 Data Previous Year'!$A:$A,0),1)</f>
        <v>35943.480000000003</v>
      </c>
      <c r="M41" s="455">
        <f>INDEX('CTR1 Data Previous Year'!$H:$H,MATCH($D41,'CTR1 Data Previous Year'!$A:$A,0),1)</f>
        <v>0.98499999999999999</v>
      </c>
      <c r="N41" s="465">
        <f>INDEX('CTR1 Data Previous Year'!$I:$I,MATCH($D41,'CTR1 Data Previous Year'!$A:$A,0),1)</f>
        <v>163.9</v>
      </c>
      <c r="O41" s="160" t="s">
        <v>347</v>
      </c>
      <c r="P41" s="817" t="s">
        <v>348</v>
      </c>
      <c r="Q41" s="820" t="s">
        <v>349</v>
      </c>
      <c r="R41" s="817" t="s">
        <v>350</v>
      </c>
      <c r="S41" s="821" t="s">
        <v>351</v>
      </c>
      <c r="T41" s="817" t="s">
        <v>352</v>
      </c>
      <c r="U41" s="822" t="s">
        <v>337</v>
      </c>
      <c r="V41" s="817" t="s">
        <v>338</v>
      </c>
      <c r="W41" s="465">
        <f>INDEX('CTR1 Data Previous Year'!$J:$J,MATCH($D41,'CTR1 Data Previous Year'!$A:$A,0),1)</f>
        <v>35568.230000000003</v>
      </c>
      <c r="X41" s="465">
        <f>INDEX('CTR1 Data Previous Year'!$K:$K,MATCH($D41,'CTR1 Data Previous Year'!$A:$A,0),1)</f>
        <v>228.35</v>
      </c>
      <c r="Y41" s="465">
        <f>INDEX('CTR1 Data Previous Year'!$L:$L,MATCH($D41,'CTR1 Data Previous Year'!$A:$A,0),1)</f>
        <v>193.66</v>
      </c>
      <c r="Z41" s="836" t="str">
        <f t="shared" si="0"/>
        <v>N</v>
      </c>
      <c r="AA41" s="837" t="str">
        <f t="shared" si="1"/>
        <v>N</v>
      </c>
      <c r="AB41" s="838">
        <f t="shared" si="2"/>
        <v>193.66</v>
      </c>
      <c r="AC41" s="868">
        <f t="shared" si="3"/>
        <v>0</v>
      </c>
      <c r="AD41" s="876">
        <f t="shared" si="4"/>
        <v>0</v>
      </c>
      <c r="AE41" s="838">
        <f t="shared" si="5"/>
        <v>199.46979999999999</v>
      </c>
      <c r="AF41" s="838">
        <f t="shared" si="6"/>
        <v>198.66</v>
      </c>
      <c r="AG41" s="839">
        <f t="shared" si="8"/>
        <v>0</v>
      </c>
      <c r="AH41" s="839">
        <f t="shared" si="9"/>
        <v>199.47</v>
      </c>
      <c r="AI41" s="840">
        <f t="shared" si="7"/>
        <v>0</v>
      </c>
      <c r="AJ41" s="841">
        <f t="shared" si="10"/>
        <v>0</v>
      </c>
      <c r="AK41" s="879"/>
      <c r="AL41" s="879" t="e">
        <f t="shared" si="13"/>
        <v>#N/A</v>
      </c>
      <c r="AM41" s="873"/>
      <c r="AN41" s="830"/>
    </row>
    <row r="42" spans="1:47" ht="15" customHeight="1" x14ac:dyDescent="0.25">
      <c r="A42" s="370">
        <v>37</v>
      </c>
      <c r="B42" s="371" t="s">
        <v>564</v>
      </c>
      <c r="C42" s="382" t="s">
        <v>565</v>
      </c>
      <c r="D42" s="370" t="s">
        <v>566</v>
      </c>
      <c r="E42" s="370" t="s">
        <v>339</v>
      </c>
      <c r="F42" s="370" t="s">
        <v>322</v>
      </c>
      <c r="G42" s="386">
        <f>INDEX('CTR1 Data Previous Year'!$B:$B,MATCH($D42,'CTR1 Data Previous Year'!$A:$A,0),1)</f>
        <v>474417619</v>
      </c>
      <c r="H42" s="386">
        <f>INDEX('CTR1 Data Previous Year'!$C:$C,MATCH($D42,'CTR1 Data Previous Year'!$A:$A,0),1)</f>
        <v>1529688.34</v>
      </c>
      <c r="I42" s="386">
        <f>INDEX('CTR1 Data Previous Year'!$D:$D,MATCH($D42,'CTR1 Data Previous Year'!$A:$A,0),1)</f>
        <v>21727031</v>
      </c>
      <c r="J42" s="386">
        <f>INDEX('CTR1 Data Previous Year'!$E:$E,MATCH($D42,'CTR1 Data Previous Year'!$A:$A,0),1)</f>
        <v>452690588</v>
      </c>
      <c r="K42" s="386">
        <f>INDEX('CTR1 Data Previous Year'!$F:$F,MATCH($D42,'CTR1 Data Previous Year'!$A:$A,0),1)</f>
        <v>0</v>
      </c>
      <c r="L42" s="465">
        <f>INDEX('CTR1 Data Previous Year'!$G:$G,MATCH($D42,'CTR1 Data Previous Year'!$A:$A,0),1)</f>
        <v>235992.14</v>
      </c>
      <c r="M42" s="455">
        <f>INDEX('CTR1 Data Previous Year'!$H:$H,MATCH($D42,'CTR1 Data Previous Year'!$A:$A,0),1)</f>
        <v>0.98399999999999999</v>
      </c>
      <c r="N42" s="465">
        <f>INDEX('CTR1 Data Previous Year'!$I:$I,MATCH($D42,'CTR1 Data Previous Year'!$A:$A,0),1)</f>
        <v>1051.52</v>
      </c>
      <c r="O42" s="160"/>
      <c r="P42" s="817"/>
      <c r="Q42" s="820" t="s">
        <v>500</v>
      </c>
      <c r="R42" s="817" t="s">
        <v>501</v>
      </c>
      <c r="S42" s="821" t="s">
        <v>567</v>
      </c>
      <c r="T42" s="817" t="s">
        <v>568</v>
      </c>
      <c r="U42" s="160"/>
      <c r="V42" s="817"/>
      <c r="W42" s="465">
        <f>INDEX('CTR1 Data Previous Year'!$J:$J,MATCH($D42,'CTR1 Data Previous Year'!$A:$A,0),1)</f>
        <v>233267.79</v>
      </c>
      <c r="X42" s="465">
        <f>INDEX('CTR1 Data Previous Year'!$K:$K,MATCH($D42,'CTR1 Data Previous Year'!$A:$A,0),1)</f>
        <v>2033.79</v>
      </c>
      <c r="Y42" s="465">
        <f>INDEX('CTR1 Data Previous Year'!$L:$L,MATCH($D42,'CTR1 Data Previous Year'!$A:$A,0),1)</f>
        <v>1940.65</v>
      </c>
      <c r="Z42" s="836" t="str">
        <f t="shared" si="0"/>
        <v>N</v>
      </c>
      <c r="AA42" s="837" t="str">
        <f t="shared" si="1"/>
        <v>N</v>
      </c>
      <c r="AB42" s="838">
        <f t="shared" si="2"/>
        <v>1940.65</v>
      </c>
      <c r="AC42" s="868">
        <f t="shared" si="3"/>
        <v>0</v>
      </c>
      <c r="AD42" s="876">
        <f t="shared" si="4"/>
        <v>0</v>
      </c>
      <c r="AE42" s="838">
        <f t="shared" si="5"/>
        <v>2037.6825000000001</v>
      </c>
      <c r="AF42" s="838">
        <f t="shared" si="6"/>
        <v>1940.65</v>
      </c>
      <c r="AG42" s="839">
        <f t="shared" si="8"/>
        <v>0</v>
      </c>
      <c r="AH42" s="839">
        <f t="shared" si="9"/>
        <v>2037.68</v>
      </c>
      <c r="AI42" s="840">
        <f t="shared" si="7"/>
        <v>38.81</v>
      </c>
      <c r="AJ42" s="841">
        <f t="shared" si="10"/>
        <v>1.9998454126194831E-2</v>
      </c>
      <c r="AK42" s="879"/>
      <c r="AL42" s="879" t="e">
        <f t="shared" si="13"/>
        <v>#N/A</v>
      </c>
      <c r="AM42" s="873"/>
      <c r="AN42" s="830"/>
    </row>
    <row r="43" spans="1:47" ht="15" customHeight="1" x14ac:dyDescent="0.25">
      <c r="A43" s="370">
        <v>38</v>
      </c>
      <c r="B43" s="371" t="s">
        <v>569</v>
      </c>
      <c r="C43" s="370" t="s">
        <v>570</v>
      </c>
      <c r="D43" s="370" t="s">
        <v>571</v>
      </c>
      <c r="E43" s="370" t="s">
        <v>321</v>
      </c>
      <c r="F43" s="370" t="s">
        <v>463</v>
      </c>
      <c r="G43" s="386">
        <f>INDEX('CTR1 Data Previous Year'!$B:$B,MATCH($D43,'CTR1 Data Previous Year'!$A:$A,0),1)</f>
        <v>8506556</v>
      </c>
      <c r="H43" s="386">
        <f>INDEX('CTR1 Data Previous Year'!$C:$C,MATCH($D43,'CTR1 Data Previous Year'!$A:$A,0),1)</f>
        <v>0</v>
      </c>
      <c r="I43" s="386">
        <f>INDEX('CTR1 Data Previous Year'!$D:$D,MATCH($D43,'CTR1 Data Previous Year'!$A:$A,0),1)</f>
        <v>200800</v>
      </c>
      <c r="J43" s="386">
        <f>INDEX('CTR1 Data Previous Year'!$E:$E,MATCH($D43,'CTR1 Data Previous Year'!$A:$A,0),1)</f>
        <v>8305756</v>
      </c>
      <c r="K43" s="386">
        <f>INDEX('CTR1 Data Previous Year'!$F:$F,MATCH($D43,'CTR1 Data Previous Year'!$A:$A,0),1)</f>
        <v>0</v>
      </c>
      <c r="L43" s="465">
        <f>INDEX('CTR1 Data Previous Year'!$G:$G,MATCH($D43,'CTR1 Data Previous Year'!$A:$A,0),1)</f>
        <v>24849.48</v>
      </c>
      <c r="M43" s="455">
        <f>INDEX('CTR1 Data Previous Year'!$H:$H,MATCH($D43,'CTR1 Data Previous Year'!$A:$A,0),1)</f>
        <v>0.97</v>
      </c>
      <c r="N43" s="465">
        <f>INDEX('CTR1 Data Previous Year'!$I:$I,MATCH($D43,'CTR1 Data Previous Year'!$A:$A,0),1)</f>
        <v>0</v>
      </c>
      <c r="O43" s="160" t="s">
        <v>572</v>
      </c>
      <c r="P43" s="817" t="s">
        <v>573</v>
      </c>
      <c r="Q43" s="820" t="s">
        <v>464</v>
      </c>
      <c r="R43" s="817" t="s">
        <v>465</v>
      </c>
      <c r="S43" s="821" t="s">
        <v>466</v>
      </c>
      <c r="T43" s="817" t="s">
        <v>467</v>
      </c>
      <c r="U43" s="160"/>
      <c r="V43" s="817"/>
      <c r="W43" s="465">
        <f>INDEX('CTR1 Data Previous Year'!$J:$J,MATCH($D43,'CTR1 Data Previous Year'!$A:$A,0),1)</f>
        <v>24104</v>
      </c>
      <c r="X43" s="465">
        <f>INDEX('CTR1 Data Previous Year'!$K:$K,MATCH($D43,'CTR1 Data Previous Year'!$A:$A,0),1)</f>
        <v>352.91</v>
      </c>
      <c r="Y43" s="465">
        <f>INDEX('CTR1 Data Previous Year'!$L:$L,MATCH($D43,'CTR1 Data Previous Year'!$A:$A,0),1)</f>
        <v>344.58</v>
      </c>
      <c r="Z43" s="836" t="str">
        <f t="shared" si="0"/>
        <v>N</v>
      </c>
      <c r="AA43" s="837" t="str">
        <f t="shared" si="1"/>
        <v>N</v>
      </c>
      <c r="AB43" s="838">
        <f t="shared" si="2"/>
        <v>344.58</v>
      </c>
      <c r="AC43" s="868">
        <f t="shared" si="3"/>
        <v>0</v>
      </c>
      <c r="AD43" s="876">
        <f t="shared" si="4"/>
        <v>0</v>
      </c>
      <c r="AE43" s="838">
        <f t="shared" si="5"/>
        <v>354.91739999999999</v>
      </c>
      <c r="AF43" s="838">
        <f t="shared" si="6"/>
        <v>349.58</v>
      </c>
      <c r="AG43" s="839">
        <f t="shared" si="8"/>
        <v>0</v>
      </c>
      <c r="AH43" s="839">
        <f t="shared" si="9"/>
        <v>354.92</v>
      </c>
      <c r="AI43" s="840">
        <f t="shared" si="7"/>
        <v>0</v>
      </c>
      <c r="AJ43" s="841">
        <f t="shared" si="10"/>
        <v>0</v>
      </c>
      <c r="AK43" s="879"/>
      <c r="AL43" s="879" t="e">
        <f t="shared" si="13"/>
        <v>#N/A</v>
      </c>
      <c r="AM43" s="873"/>
      <c r="AN43" s="830"/>
    </row>
    <row r="44" spans="1:47" ht="15" customHeight="1" x14ac:dyDescent="0.25">
      <c r="A44" s="370">
        <v>39</v>
      </c>
      <c r="B44" s="371" t="s">
        <v>574</v>
      </c>
      <c r="C44" s="370" t="s">
        <v>575</v>
      </c>
      <c r="D44" s="370" t="s">
        <v>576</v>
      </c>
      <c r="E44" s="370" t="s">
        <v>353</v>
      </c>
      <c r="F44" s="370" t="s">
        <v>463</v>
      </c>
      <c r="G44" s="386">
        <f>INDEX('CTR1 Data Previous Year'!$B:$B,MATCH($D44,'CTR1 Data Previous Year'!$A:$A,0),1)</f>
        <v>118295558</v>
      </c>
      <c r="H44" s="386">
        <f>INDEX('CTR1 Data Previous Year'!$C:$C,MATCH($D44,'CTR1 Data Previous Year'!$A:$A,0),1)</f>
        <v>0</v>
      </c>
      <c r="I44" s="386">
        <f>INDEX('CTR1 Data Previous Year'!$D:$D,MATCH($D44,'CTR1 Data Previous Year'!$A:$A,0),1)</f>
        <v>0</v>
      </c>
      <c r="J44" s="386">
        <f>INDEX('CTR1 Data Previous Year'!$E:$E,MATCH($D44,'CTR1 Data Previous Year'!$A:$A,0),1)</f>
        <v>118295558</v>
      </c>
      <c r="K44" s="386">
        <f>INDEX('CTR1 Data Previous Year'!$F:$F,MATCH($D44,'CTR1 Data Previous Year'!$A:$A,0),1)</f>
        <v>29301472</v>
      </c>
      <c r="L44" s="465">
        <f>INDEX('CTR1 Data Previous Year'!$G:$G,MATCH($D44,'CTR1 Data Previous Year'!$A:$A,0),1)</f>
        <v>60201.088210000002</v>
      </c>
      <c r="M44" s="455">
        <f>INDEX('CTR1 Data Previous Year'!$H:$H,MATCH($D44,'CTR1 Data Previous Year'!$A:$A,0),1)</f>
        <v>0.97499999999999998</v>
      </c>
      <c r="N44" s="465">
        <f>INDEX('CTR1 Data Previous Year'!$I:$I,MATCH($D44,'CTR1 Data Previous Year'!$A:$A,0),1)</f>
        <v>1.8</v>
      </c>
      <c r="O44" s="160" t="s">
        <v>129</v>
      </c>
      <c r="P44" s="817"/>
      <c r="Q44" s="820" t="s">
        <v>477</v>
      </c>
      <c r="R44" s="817" t="s">
        <v>478</v>
      </c>
      <c r="S44" s="821"/>
      <c r="T44" s="817"/>
      <c r="U44" s="822" t="s">
        <v>479</v>
      </c>
      <c r="V44" s="817" t="s">
        <v>478</v>
      </c>
      <c r="W44" s="465">
        <f>INDEX('CTR1 Data Previous Year'!$J:$J,MATCH($D44,'CTR1 Data Previous Year'!$A:$A,0),1)</f>
        <v>58697.86</v>
      </c>
      <c r="X44" s="465">
        <f>INDEX('CTR1 Data Previous Year'!$K:$K,MATCH($D44,'CTR1 Data Previous Year'!$A:$A,0),1)</f>
        <v>2015.33</v>
      </c>
      <c r="Y44" s="465">
        <f>INDEX('CTR1 Data Previous Year'!$L:$L,MATCH($D44,'CTR1 Data Previous Year'!$A:$A,0),1)</f>
        <v>2015.33</v>
      </c>
      <c r="Z44" s="836" t="str">
        <f t="shared" si="0"/>
        <v>N</v>
      </c>
      <c r="AA44" s="837" t="str">
        <f t="shared" si="1"/>
        <v>N</v>
      </c>
      <c r="AB44" s="838">
        <f t="shared" si="2"/>
        <v>2015.33</v>
      </c>
      <c r="AC44" s="868">
        <f t="shared" si="3"/>
        <v>0</v>
      </c>
      <c r="AD44" s="876">
        <f t="shared" si="4"/>
        <v>0</v>
      </c>
      <c r="AE44" s="838">
        <f t="shared" si="5"/>
        <v>2116.0965000000001</v>
      </c>
      <c r="AF44" s="838">
        <f t="shared" si="6"/>
        <v>2015.33</v>
      </c>
      <c r="AG44" s="839">
        <f t="shared" si="8"/>
        <v>0</v>
      </c>
      <c r="AH44" s="839">
        <f t="shared" si="9"/>
        <v>2116.1</v>
      </c>
      <c r="AI44" s="840">
        <f t="shared" si="7"/>
        <v>40.31</v>
      </c>
      <c r="AJ44" s="841">
        <f t="shared" si="10"/>
        <v>2.0001687068619038E-2</v>
      </c>
      <c r="AK44" s="879"/>
      <c r="AL44" s="879" t="e">
        <f t="shared" si="13"/>
        <v>#N/A</v>
      </c>
      <c r="AM44" s="873"/>
      <c r="AN44" s="830"/>
    </row>
    <row r="45" spans="1:47" ht="15" customHeight="1" x14ac:dyDescent="0.25">
      <c r="A45" s="370">
        <v>40</v>
      </c>
      <c r="B45" s="371" t="s">
        <v>577</v>
      </c>
      <c r="C45" s="370" t="s">
        <v>578</v>
      </c>
      <c r="D45" s="370" t="s">
        <v>579</v>
      </c>
      <c r="E45" s="370" t="s">
        <v>353</v>
      </c>
      <c r="F45" s="370" t="s">
        <v>391</v>
      </c>
      <c r="G45" s="386">
        <f>INDEX('CTR1 Data Previous Year'!$B:$B,MATCH($D45,'CTR1 Data Previous Year'!$A:$A,0),1)</f>
        <v>129481113</v>
      </c>
      <c r="H45" s="386">
        <f>INDEX('CTR1 Data Previous Year'!$C:$C,MATCH($D45,'CTR1 Data Previous Year'!$A:$A,0),1)</f>
        <v>0</v>
      </c>
      <c r="I45" s="386">
        <f>INDEX('CTR1 Data Previous Year'!$D:$D,MATCH($D45,'CTR1 Data Previous Year'!$A:$A,0),1)</f>
        <v>1129639</v>
      </c>
      <c r="J45" s="386">
        <f>INDEX('CTR1 Data Previous Year'!$E:$E,MATCH($D45,'CTR1 Data Previous Year'!$A:$A,0),1)</f>
        <v>128351474</v>
      </c>
      <c r="K45" s="386">
        <f>INDEX('CTR1 Data Previous Year'!$F:$F,MATCH($D45,'CTR1 Data Previous Year'!$A:$A,0),1)</f>
        <v>9033356</v>
      </c>
      <c r="L45" s="465">
        <f>INDEX('CTR1 Data Previous Year'!$G:$G,MATCH($D45,'CTR1 Data Previous Year'!$A:$A,0),1)</f>
        <v>67254.399999999994</v>
      </c>
      <c r="M45" s="455">
        <f>INDEX('CTR1 Data Previous Year'!$H:$H,MATCH($D45,'CTR1 Data Previous Year'!$A:$A,0),1)</f>
        <v>0.98499999999999999</v>
      </c>
      <c r="N45" s="465">
        <f>INDEX('CTR1 Data Previous Year'!$I:$I,MATCH($D45,'CTR1 Data Previous Year'!$A:$A,0),1)</f>
        <v>0</v>
      </c>
      <c r="O45" s="160" t="s">
        <v>129</v>
      </c>
      <c r="P45" s="817"/>
      <c r="Q45" s="820" t="s">
        <v>507</v>
      </c>
      <c r="R45" s="817" t="s">
        <v>508</v>
      </c>
      <c r="S45" s="821" t="s">
        <v>509</v>
      </c>
      <c r="T45" s="817" t="s">
        <v>510</v>
      </c>
      <c r="U45" s="822" t="s">
        <v>511</v>
      </c>
      <c r="V45" s="817" t="s">
        <v>508</v>
      </c>
      <c r="W45" s="465">
        <f>INDEX('CTR1 Data Previous Year'!$J:$J,MATCH($D45,'CTR1 Data Previous Year'!$A:$A,0),1)</f>
        <v>66245.58</v>
      </c>
      <c r="X45" s="465">
        <f>INDEX('CTR1 Data Previous Year'!$K:$K,MATCH($D45,'CTR1 Data Previous Year'!$A:$A,0),1)</f>
        <v>1954.56</v>
      </c>
      <c r="Y45" s="465">
        <f>INDEX('CTR1 Data Previous Year'!$L:$L,MATCH($D45,'CTR1 Data Previous Year'!$A:$A,0),1)</f>
        <v>1937.51</v>
      </c>
      <c r="Z45" s="836" t="str">
        <f t="shared" si="0"/>
        <v>N</v>
      </c>
      <c r="AA45" s="837" t="str">
        <f t="shared" si="1"/>
        <v>N</v>
      </c>
      <c r="AB45" s="838">
        <f t="shared" si="2"/>
        <v>1937.51</v>
      </c>
      <c r="AC45" s="868">
        <f t="shared" si="3"/>
        <v>0</v>
      </c>
      <c r="AD45" s="876">
        <f t="shared" si="4"/>
        <v>0</v>
      </c>
      <c r="AE45" s="838">
        <f t="shared" si="5"/>
        <v>2034.3855000000001</v>
      </c>
      <c r="AF45" s="838">
        <f t="shared" si="6"/>
        <v>1937.51</v>
      </c>
      <c r="AG45" s="839">
        <f t="shared" si="8"/>
        <v>0</v>
      </c>
      <c r="AH45" s="839">
        <f t="shared" si="9"/>
        <v>2034.39</v>
      </c>
      <c r="AI45" s="840">
        <f t="shared" si="7"/>
        <v>38.75</v>
      </c>
      <c r="AJ45" s="841">
        <f t="shared" si="10"/>
        <v>1.9999896774726324E-2</v>
      </c>
      <c r="AK45" s="879"/>
      <c r="AL45" s="879" t="e">
        <f t="shared" si="13"/>
        <v>#N/A</v>
      </c>
      <c r="AM45" s="873"/>
      <c r="AN45" s="830"/>
    </row>
    <row r="46" spans="1:47" ht="15" customHeight="1" x14ac:dyDescent="0.25">
      <c r="A46" s="370">
        <v>41</v>
      </c>
      <c r="B46" s="371" t="s">
        <v>580</v>
      </c>
      <c r="C46" s="370" t="s">
        <v>581</v>
      </c>
      <c r="D46" s="370" t="s">
        <v>582</v>
      </c>
      <c r="E46" s="370" t="s">
        <v>321</v>
      </c>
      <c r="F46" s="370" t="s">
        <v>368</v>
      </c>
      <c r="G46" s="386">
        <f>INDEX('CTR1 Data Previous Year'!$B:$B,MATCH($D46,'CTR1 Data Previous Year'!$A:$A,0),1)</f>
        <v>10615429</v>
      </c>
      <c r="H46" s="386">
        <f>INDEX('CTR1 Data Previous Year'!$C:$C,MATCH($D46,'CTR1 Data Previous Year'!$A:$A,0),1)</f>
        <v>0</v>
      </c>
      <c r="I46" s="386">
        <f>INDEX('CTR1 Data Previous Year'!$D:$D,MATCH($D46,'CTR1 Data Previous Year'!$A:$A,0),1)</f>
        <v>0</v>
      </c>
      <c r="J46" s="386">
        <f>INDEX('CTR1 Data Previous Year'!$E:$E,MATCH($D46,'CTR1 Data Previous Year'!$A:$A,0),1)</f>
        <v>10615429</v>
      </c>
      <c r="K46" s="386">
        <f>INDEX('CTR1 Data Previous Year'!$F:$F,MATCH($D46,'CTR1 Data Previous Year'!$A:$A,0),1)</f>
        <v>0</v>
      </c>
      <c r="L46" s="465">
        <f>INDEX('CTR1 Data Previous Year'!$G:$G,MATCH($D46,'CTR1 Data Previous Year'!$A:$A,0),1)</f>
        <v>46333.33</v>
      </c>
      <c r="M46" s="455">
        <f>INDEX('CTR1 Data Previous Year'!$H:$H,MATCH($D46,'CTR1 Data Previous Year'!$A:$A,0),1)</f>
        <v>0.98699999999999999</v>
      </c>
      <c r="N46" s="465">
        <f>INDEX('CTR1 Data Previous Year'!$I:$I,MATCH($D46,'CTR1 Data Previous Year'!$A:$A,0),1)</f>
        <v>0</v>
      </c>
      <c r="O46" s="160" t="s">
        <v>583</v>
      </c>
      <c r="P46" s="817" t="s">
        <v>584</v>
      </c>
      <c r="Q46" s="820" t="s">
        <v>585</v>
      </c>
      <c r="R46" s="817" t="s">
        <v>586</v>
      </c>
      <c r="S46" s="821" t="s">
        <v>587</v>
      </c>
      <c r="T46" s="817" t="s">
        <v>588</v>
      </c>
      <c r="U46" s="822" t="s">
        <v>589</v>
      </c>
      <c r="V46" s="817" t="s">
        <v>590</v>
      </c>
      <c r="W46" s="465">
        <f>INDEX('CTR1 Data Previous Year'!$J:$J,MATCH($D46,'CTR1 Data Previous Year'!$A:$A,0),1)</f>
        <v>45731</v>
      </c>
      <c r="X46" s="465">
        <f>INDEX('CTR1 Data Previous Year'!$K:$K,MATCH($D46,'CTR1 Data Previous Year'!$A:$A,0),1)</f>
        <v>232.13</v>
      </c>
      <c r="Y46" s="465">
        <f>INDEX('CTR1 Data Previous Year'!$L:$L,MATCH($D46,'CTR1 Data Previous Year'!$A:$A,0),1)</f>
        <v>232.13</v>
      </c>
      <c r="Z46" s="836" t="str">
        <f t="shared" si="0"/>
        <v>N</v>
      </c>
      <c r="AA46" s="837" t="str">
        <f t="shared" si="1"/>
        <v>N</v>
      </c>
      <c r="AB46" s="838">
        <f t="shared" si="2"/>
        <v>232.13</v>
      </c>
      <c r="AC46" s="868">
        <f t="shared" si="3"/>
        <v>0</v>
      </c>
      <c r="AD46" s="876">
        <f t="shared" si="4"/>
        <v>0</v>
      </c>
      <c r="AE46" s="838">
        <f t="shared" si="5"/>
        <v>239.09389999999999</v>
      </c>
      <c r="AF46" s="838">
        <f t="shared" si="6"/>
        <v>237.13</v>
      </c>
      <c r="AG46" s="839">
        <f t="shared" si="8"/>
        <v>0</v>
      </c>
      <c r="AH46" s="839">
        <f t="shared" si="9"/>
        <v>239.09</v>
      </c>
      <c r="AI46" s="840">
        <f t="shared" si="7"/>
        <v>0</v>
      </c>
      <c r="AJ46" s="841">
        <f t="shared" si="10"/>
        <v>0</v>
      </c>
      <c r="AK46" s="879"/>
      <c r="AL46" s="879" t="e">
        <f t="shared" si="13"/>
        <v>#N/A</v>
      </c>
      <c r="AM46" s="873"/>
      <c r="AN46" s="830"/>
    </row>
    <row r="47" spans="1:47" ht="15" customHeight="1" x14ac:dyDescent="0.25">
      <c r="A47" s="370">
        <v>42</v>
      </c>
      <c r="B47" s="371" t="s">
        <v>591</v>
      </c>
      <c r="C47" s="370" t="s">
        <v>592</v>
      </c>
      <c r="D47" s="370" t="s">
        <v>593</v>
      </c>
      <c r="E47" s="370" t="s">
        <v>343</v>
      </c>
      <c r="F47" s="370" t="s">
        <v>378</v>
      </c>
      <c r="G47" s="386">
        <f>INDEX('CTR1 Data Previous Year'!$B:$B,MATCH($D47,'CTR1 Data Previous Year'!$A:$A,0),1)</f>
        <v>154792070</v>
      </c>
      <c r="H47" s="386">
        <f>INDEX('CTR1 Data Previous Year'!$C:$C,MATCH($D47,'CTR1 Data Previous Year'!$A:$A,0),1)</f>
        <v>31636</v>
      </c>
      <c r="I47" s="386">
        <f>INDEX('CTR1 Data Previous Year'!$D:$D,MATCH($D47,'CTR1 Data Previous Year'!$A:$A,0),1)</f>
        <v>0</v>
      </c>
      <c r="J47" s="386">
        <f>INDEX('CTR1 Data Previous Year'!$E:$E,MATCH($D47,'CTR1 Data Previous Year'!$A:$A,0),1)</f>
        <v>154792070</v>
      </c>
      <c r="K47" s="386">
        <f>INDEX('CTR1 Data Previous Year'!$F:$F,MATCH($D47,'CTR1 Data Previous Year'!$A:$A,0),1)</f>
        <v>22344000</v>
      </c>
      <c r="L47" s="465">
        <f>INDEX('CTR1 Data Previous Year'!$G:$G,MATCH($D47,'CTR1 Data Previous Year'!$A:$A,0),1)</f>
        <v>98701.75</v>
      </c>
      <c r="M47" s="455">
        <f>INDEX('CTR1 Data Previous Year'!$H:$H,MATCH($D47,'CTR1 Data Previous Year'!$A:$A,0),1)</f>
        <v>0.97</v>
      </c>
      <c r="N47" s="465">
        <f>INDEX('CTR1 Data Previous Year'!$I:$I,MATCH($D47,'CTR1 Data Previous Year'!$A:$A,0),1)</f>
        <v>28.3</v>
      </c>
      <c r="O47" s="160" t="s">
        <v>379</v>
      </c>
      <c r="P47" s="862" t="s">
        <v>380</v>
      </c>
      <c r="Q47" s="820"/>
      <c r="R47" s="817"/>
      <c r="S47" s="821" t="s">
        <v>129</v>
      </c>
      <c r="T47" s="817"/>
      <c r="U47" s="160"/>
      <c r="V47" s="817"/>
      <c r="W47" s="465">
        <f>INDEX('CTR1 Data Previous Year'!$J:$J,MATCH($D47,'CTR1 Data Previous Year'!$A:$A,0),1)</f>
        <v>95769</v>
      </c>
      <c r="X47" s="465">
        <f>INDEX('CTR1 Data Previous Year'!$K:$K,MATCH($D47,'CTR1 Data Previous Year'!$A:$A,0),1)</f>
        <v>1616.31</v>
      </c>
      <c r="Y47" s="465">
        <f>INDEX('CTR1 Data Previous Year'!$L:$L,MATCH($D47,'CTR1 Data Previous Year'!$A:$A,0),1)</f>
        <v>1616.31</v>
      </c>
      <c r="Z47" s="836" t="str">
        <f t="shared" si="0"/>
        <v>N</v>
      </c>
      <c r="AA47" s="837" t="str">
        <f t="shared" si="1"/>
        <v>N</v>
      </c>
      <c r="AB47" s="838">
        <f t="shared" si="2"/>
        <v>1616.31</v>
      </c>
      <c r="AC47" s="868">
        <f t="shared" si="3"/>
        <v>0</v>
      </c>
      <c r="AD47" s="876">
        <f t="shared" si="4"/>
        <v>0</v>
      </c>
      <c r="AE47" s="838">
        <f t="shared" si="5"/>
        <v>1697.1255000000001</v>
      </c>
      <c r="AF47" s="838">
        <f t="shared" si="6"/>
        <v>1616.31</v>
      </c>
      <c r="AG47" s="839">
        <f t="shared" si="8"/>
        <v>0</v>
      </c>
      <c r="AH47" s="839">
        <f t="shared" si="9"/>
        <v>1697.13</v>
      </c>
      <c r="AI47" s="840">
        <f t="shared" si="7"/>
        <v>32.33</v>
      </c>
      <c r="AJ47" s="841">
        <f t="shared" si="10"/>
        <v>2.0002351034145677E-2</v>
      </c>
      <c r="AK47" s="879"/>
      <c r="AL47" s="879" t="e">
        <f t="shared" si="13"/>
        <v>#N/A</v>
      </c>
      <c r="AM47" s="873"/>
      <c r="AN47" s="830"/>
    </row>
    <row r="48" spans="1:47" ht="15" customHeight="1" x14ac:dyDescent="0.25">
      <c r="A48" s="370">
        <v>43</v>
      </c>
      <c r="B48" s="371" t="s">
        <v>594</v>
      </c>
      <c r="C48" s="370" t="s">
        <v>595</v>
      </c>
      <c r="D48" s="370" t="s">
        <v>596</v>
      </c>
      <c r="E48" s="370" t="s">
        <v>321</v>
      </c>
      <c r="F48" s="370" t="s">
        <v>444</v>
      </c>
      <c r="G48" s="386">
        <f>INDEX('CTR1 Data Previous Year'!$B:$B,MATCH($D48,'CTR1 Data Previous Year'!$A:$A,0),1)</f>
        <v>8437142</v>
      </c>
      <c r="H48" s="386">
        <f>INDEX('CTR1 Data Previous Year'!$C:$C,MATCH($D48,'CTR1 Data Previous Year'!$A:$A,0),1)</f>
        <v>0</v>
      </c>
      <c r="I48" s="386">
        <f>INDEX('CTR1 Data Previous Year'!$D:$D,MATCH($D48,'CTR1 Data Previous Year'!$A:$A,0),1)</f>
        <v>898376</v>
      </c>
      <c r="J48" s="386">
        <f>INDEX('CTR1 Data Previous Year'!$E:$E,MATCH($D48,'CTR1 Data Previous Year'!$A:$A,0),1)</f>
        <v>7538766</v>
      </c>
      <c r="K48" s="386">
        <f>INDEX('CTR1 Data Previous Year'!$F:$F,MATCH($D48,'CTR1 Data Previous Year'!$A:$A,0),1)</f>
        <v>0</v>
      </c>
      <c r="L48" s="465">
        <f>INDEX('CTR1 Data Previous Year'!$G:$G,MATCH($D48,'CTR1 Data Previous Year'!$A:$A,0),1)</f>
        <v>30798.12</v>
      </c>
      <c r="M48" s="455">
        <f>INDEX('CTR1 Data Previous Year'!$H:$H,MATCH($D48,'CTR1 Data Previous Year'!$A:$A,0),1)</f>
        <v>0.97399999999999998</v>
      </c>
      <c r="N48" s="465">
        <f>INDEX('CTR1 Data Previous Year'!$I:$I,MATCH($D48,'CTR1 Data Previous Year'!$A:$A,0),1)</f>
        <v>1.7</v>
      </c>
      <c r="O48" s="160" t="s">
        <v>597</v>
      </c>
      <c r="P48" s="817" t="s">
        <v>598</v>
      </c>
      <c r="Q48" s="820" t="s">
        <v>599</v>
      </c>
      <c r="R48" s="817" t="s">
        <v>600</v>
      </c>
      <c r="S48" s="821" t="s">
        <v>601</v>
      </c>
      <c r="T48" s="817" t="s">
        <v>602</v>
      </c>
      <c r="U48" s="160"/>
      <c r="V48" s="817"/>
      <c r="W48" s="465">
        <f>INDEX('CTR1 Data Previous Year'!$J:$J,MATCH($D48,'CTR1 Data Previous Year'!$A:$A,0),1)</f>
        <v>29999.07</v>
      </c>
      <c r="X48" s="465">
        <f>INDEX('CTR1 Data Previous Year'!$K:$K,MATCH($D48,'CTR1 Data Previous Year'!$A:$A,0),1)</f>
        <v>281.25</v>
      </c>
      <c r="Y48" s="465">
        <f>INDEX('CTR1 Data Previous Year'!$L:$L,MATCH($D48,'CTR1 Data Previous Year'!$A:$A,0),1)</f>
        <v>251.3</v>
      </c>
      <c r="Z48" s="836" t="str">
        <f t="shared" si="0"/>
        <v>N</v>
      </c>
      <c r="AA48" s="837" t="str">
        <f t="shared" si="1"/>
        <v>N</v>
      </c>
      <c r="AB48" s="838">
        <f t="shared" si="2"/>
        <v>251.3</v>
      </c>
      <c r="AC48" s="868">
        <f t="shared" si="3"/>
        <v>0</v>
      </c>
      <c r="AD48" s="876">
        <f t="shared" si="4"/>
        <v>0</v>
      </c>
      <c r="AE48" s="838">
        <f t="shared" si="5"/>
        <v>258.839</v>
      </c>
      <c r="AF48" s="838">
        <f t="shared" si="6"/>
        <v>256.3</v>
      </c>
      <c r="AG48" s="839">
        <f t="shared" si="8"/>
        <v>0</v>
      </c>
      <c r="AH48" s="839">
        <f t="shared" si="9"/>
        <v>258.83999999999997</v>
      </c>
      <c r="AI48" s="840">
        <f t="shared" si="7"/>
        <v>0</v>
      </c>
      <c r="AJ48" s="841">
        <f t="shared" si="10"/>
        <v>0</v>
      </c>
      <c r="AK48" s="879"/>
      <c r="AL48" s="879" t="e">
        <f t="shared" si="13"/>
        <v>#N/A</v>
      </c>
      <c r="AM48" s="873"/>
      <c r="AN48" s="830"/>
    </row>
    <row r="49" spans="1:40" ht="15" customHeight="1" x14ac:dyDescent="0.25">
      <c r="A49" s="370">
        <v>44</v>
      </c>
      <c r="B49" s="371" t="s">
        <v>603</v>
      </c>
      <c r="C49" s="370" t="s">
        <v>604</v>
      </c>
      <c r="D49" s="370" t="s">
        <v>605</v>
      </c>
      <c r="E49" s="370" t="s">
        <v>321</v>
      </c>
      <c r="F49" s="370" t="s">
        <v>322</v>
      </c>
      <c r="G49" s="386">
        <f>INDEX('CTR1 Data Previous Year'!$B:$B,MATCH($D49,'CTR1 Data Previous Year'!$A:$A,0),1)</f>
        <v>14618244</v>
      </c>
      <c r="H49" s="386">
        <f>INDEX('CTR1 Data Previous Year'!$C:$C,MATCH($D49,'CTR1 Data Previous Year'!$A:$A,0),1)</f>
        <v>0</v>
      </c>
      <c r="I49" s="386">
        <f>INDEX('CTR1 Data Previous Year'!$D:$D,MATCH($D49,'CTR1 Data Previous Year'!$A:$A,0),1)</f>
        <v>1017158</v>
      </c>
      <c r="J49" s="386">
        <f>INDEX('CTR1 Data Previous Year'!$E:$E,MATCH($D49,'CTR1 Data Previous Year'!$A:$A,0),1)</f>
        <v>13601086</v>
      </c>
      <c r="K49" s="386">
        <f>INDEX('CTR1 Data Previous Year'!$F:$F,MATCH($D49,'CTR1 Data Previous Year'!$A:$A,0),1)</f>
        <v>174277</v>
      </c>
      <c r="L49" s="465">
        <f>INDEX('CTR1 Data Previous Year'!$G:$G,MATCH($D49,'CTR1 Data Previous Year'!$A:$A,0),1)</f>
        <v>56756.68</v>
      </c>
      <c r="M49" s="455">
        <f>INDEX('CTR1 Data Previous Year'!$H:$H,MATCH($D49,'CTR1 Data Previous Year'!$A:$A,0),1)</f>
        <v>0.97</v>
      </c>
      <c r="N49" s="465">
        <f>INDEX('CTR1 Data Previous Year'!$I:$I,MATCH($D49,'CTR1 Data Previous Year'!$A:$A,0),1)</f>
        <v>0</v>
      </c>
      <c r="O49" s="160" t="s">
        <v>358</v>
      </c>
      <c r="P49" s="817" t="s">
        <v>359</v>
      </c>
      <c r="Q49" s="820" t="s">
        <v>360</v>
      </c>
      <c r="R49" s="817" t="s">
        <v>361</v>
      </c>
      <c r="S49" s="821" t="s">
        <v>362</v>
      </c>
      <c r="T49" s="817" t="s">
        <v>363</v>
      </c>
      <c r="U49" s="160"/>
      <c r="V49" s="817"/>
      <c r="W49" s="465">
        <f>INDEX('CTR1 Data Previous Year'!$J:$J,MATCH($D49,'CTR1 Data Previous Year'!$A:$A,0),1)</f>
        <v>55053.98</v>
      </c>
      <c r="X49" s="465">
        <f>INDEX('CTR1 Data Previous Year'!$K:$K,MATCH($D49,'CTR1 Data Previous Year'!$A:$A,0),1)</f>
        <v>265.52999999999997</v>
      </c>
      <c r="Y49" s="465">
        <f>INDEX('CTR1 Data Previous Year'!$L:$L,MATCH($D49,'CTR1 Data Previous Year'!$A:$A,0),1)</f>
        <v>247.05</v>
      </c>
      <c r="Z49" s="836" t="str">
        <f t="shared" si="0"/>
        <v>N</v>
      </c>
      <c r="AA49" s="837" t="str">
        <f t="shared" si="1"/>
        <v>N</v>
      </c>
      <c r="AB49" s="838">
        <f t="shared" si="2"/>
        <v>247.05</v>
      </c>
      <c r="AC49" s="868">
        <f t="shared" si="3"/>
        <v>0</v>
      </c>
      <c r="AD49" s="876">
        <f t="shared" si="4"/>
        <v>0</v>
      </c>
      <c r="AE49" s="838">
        <f t="shared" si="5"/>
        <v>254.46150000000003</v>
      </c>
      <c r="AF49" s="838">
        <f t="shared" si="6"/>
        <v>252.05</v>
      </c>
      <c r="AG49" s="839">
        <f t="shared" si="8"/>
        <v>0</v>
      </c>
      <c r="AH49" s="839">
        <f t="shared" si="9"/>
        <v>254.46</v>
      </c>
      <c r="AI49" s="840">
        <f t="shared" si="7"/>
        <v>0</v>
      </c>
      <c r="AJ49" s="841">
        <f t="shared" si="10"/>
        <v>0</v>
      </c>
      <c r="AK49" s="879"/>
      <c r="AL49" s="879" t="e">
        <f t="shared" si="13"/>
        <v>#N/A</v>
      </c>
      <c r="AM49" s="873"/>
      <c r="AN49" s="830"/>
    </row>
    <row r="50" spans="1:40" ht="15" customHeight="1" x14ac:dyDescent="0.25">
      <c r="A50" s="370">
        <v>45</v>
      </c>
      <c r="B50" s="371" t="s">
        <v>606</v>
      </c>
      <c r="C50" s="370" t="s">
        <v>607</v>
      </c>
      <c r="D50" s="370" t="s">
        <v>608</v>
      </c>
      <c r="E50" s="370" t="s">
        <v>321</v>
      </c>
      <c r="F50" s="370" t="s">
        <v>368</v>
      </c>
      <c r="G50" s="386">
        <f>INDEX('CTR1 Data Previous Year'!$B:$B,MATCH($D50,'CTR1 Data Previous Year'!$A:$A,0),1)</f>
        <v>9367456</v>
      </c>
      <c r="H50" s="386">
        <f>INDEX('CTR1 Data Previous Year'!$C:$C,MATCH($D50,'CTR1 Data Previous Year'!$A:$A,0),1)</f>
        <v>0</v>
      </c>
      <c r="I50" s="386">
        <f>INDEX('CTR1 Data Previous Year'!$D:$D,MATCH($D50,'CTR1 Data Previous Year'!$A:$A,0),1)</f>
        <v>297866</v>
      </c>
      <c r="J50" s="386">
        <f>INDEX('CTR1 Data Previous Year'!$E:$E,MATCH($D50,'CTR1 Data Previous Year'!$A:$A,0),1)</f>
        <v>9069590</v>
      </c>
      <c r="K50" s="386">
        <f>INDEX('CTR1 Data Previous Year'!$F:$F,MATCH($D50,'CTR1 Data Previous Year'!$A:$A,0),1)</f>
        <v>0</v>
      </c>
      <c r="L50" s="465">
        <f>INDEX('CTR1 Data Previous Year'!$G:$G,MATCH($D50,'CTR1 Data Previous Year'!$A:$A,0),1)</f>
        <v>31944</v>
      </c>
      <c r="M50" s="455">
        <f>INDEX('CTR1 Data Previous Year'!$H:$H,MATCH($D50,'CTR1 Data Previous Year'!$A:$A,0),1)</f>
        <v>0.97850000000000004</v>
      </c>
      <c r="N50" s="465">
        <f>INDEX('CTR1 Data Previous Year'!$I:$I,MATCH($D50,'CTR1 Data Previous Year'!$A:$A,0),1)</f>
        <v>0</v>
      </c>
      <c r="O50" s="160" t="s">
        <v>401</v>
      </c>
      <c r="P50" s="817" t="s">
        <v>402</v>
      </c>
      <c r="Q50" s="820" t="s">
        <v>403</v>
      </c>
      <c r="R50" s="817" t="s">
        <v>404</v>
      </c>
      <c r="S50" s="821" t="s">
        <v>405</v>
      </c>
      <c r="T50" s="817" t="s">
        <v>406</v>
      </c>
      <c r="U50" s="822"/>
      <c r="V50" s="817"/>
      <c r="W50" s="465">
        <f>INDEX('CTR1 Data Previous Year'!$J:$J,MATCH($D50,'CTR1 Data Previous Year'!$A:$A,0),1)</f>
        <v>31257.200000000001</v>
      </c>
      <c r="X50" s="465">
        <f>INDEX('CTR1 Data Previous Year'!$K:$K,MATCH($D50,'CTR1 Data Previous Year'!$A:$A,0),1)</f>
        <v>299.69</v>
      </c>
      <c r="Y50" s="465">
        <f>INDEX('CTR1 Data Previous Year'!$L:$L,MATCH($D50,'CTR1 Data Previous Year'!$A:$A,0),1)</f>
        <v>290.16000000000003</v>
      </c>
      <c r="Z50" s="836" t="str">
        <f t="shared" si="0"/>
        <v>N</v>
      </c>
      <c r="AA50" s="837" t="str">
        <f t="shared" si="1"/>
        <v>N</v>
      </c>
      <c r="AB50" s="838">
        <f t="shared" si="2"/>
        <v>290.16000000000003</v>
      </c>
      <c r="AC50" s="868">
        <f t="shared" si="3"/>
        <v>0</v>
      </c>
      <c r="AD50" s="876">
        <f t="shared" si="4"/>
        <v>0</v>
      </c>
      <c r="AE50" s="838">
        <f t="shared" si="5"/>
        <v>298.86480000000006</v>
      </c>
      <c r="AF50" s="838">
        <f t="shared" si="6"/>
        <v>295.16000000000003</v>
      </c>
      <c r="AG50" s="839">
        <f t="shared" si="8"/>
        <v>0</v>
      </c>
      <c r="AH50" s="839">
        <f t="shared" si="9"/>
        <v>298.86</v>
      </c>
      <c r="AI50" s="840">
        <f t="shared" si="7"/>
        <v>0</v>
      </c>
      <c r="AJ50" s="841">
        <f t="shared" si="10"/>
        <v>0</v>
      </c>
      <c r="AK50" s="879"/>
      <c r="AL50" s="879" t="e">
        <f t="shared" si="13"/>
        <v>#N/A</v>
      </c>
      <c r="AM50" s="873"/>
      <c r="AN50" s="830"/>
    </row>
    <row r="51" spans="1:40" ht="15" customHeight="1" x14ac:dyDescent="0.25">
      <c r="A51" s="370">
        <v>46</v>
      </c>
      <c r="B51" s="371" t="s">
        <v>609</v>
      </c>
      <c r="C51" s="370" t="s">
        <v>610</v>
      </c>
      <c r="D51" s="370" t="s">
        <v>611</v>
      </c>
      <c r="E51" s="370" t="s">
        <v>339</v>
      </c>
      <c r="F51" s="370" t="s">
        <v>368</v>
      </c>
      <c r="G51" s="386">
        <f>INDEX('CTR1 Data Previous Year'!$B:$B,MATCH($D51,'CTR1 Data Previous Year'!$A:$A,0),1)</f>
        <v>229510623</v>
      </c>
      <c r="H51" s="386">
        <f>INDEX('CTR1 Data Previous Year'!$C:$C,MATCH($D51,'CTR1 Data Previous Year'!$A:$A,0),1)</f>
        <v>0</v>
      </c>
      <c r="I51" s="386">
        <f>INDEX('CTR1 Data Previous Year'!$D:$D,MATCH($D51,'CTR1 Data Previous Year'!$A:$A,0),1)</f>
        <v>18107939</v>
      </c>
      <c r="J51" s="386">
        <f>INDEX('CTR1 Data Previous Year'!$E:$E,MATCH($D51,'CTR1 Data Previous Year'!$A:$A,0),1)</f>
        <v>211402684</v>
      </c>
      <c r="K51" s="386">
        <f>INDEX('CTR1 Data Previous Year'!$F:$F,MATCH($D51,'CTR1 Data Previous Year'!$A:$A,0),1)</f>
        <v>1009089</v>
      </c>
      <c r="L51" s="465">
        <f>INDEX('CTR1 Data Previous Year'!$G:$G,MATCH($D51,'CTR1 Data Previous Year'!$A:$A,0),1)</f>
        <v>115254.76</v>
      </c>
      <c r="M51" s="455">
        <f>INDEX('CTR1 Data Previous Year'!$H:$H,MATCH($D51,'CTR1 Data Previous Year'!$A:$A,0),1)</f>
        <v>0.997</v>
      </c>
      <c r="N51" s="465">
        <f>INDEX('CTR1 Data Previous Year'!$I:$I,MATCH($D51,'CTR1 Data Previous Year'!$A:$A,0),1)</f>
        <v>0</v>
      </c>
      <c r="O51" s="160" t="s">
        <v>129</v>
      </c>
      <c r="P51" s="817"/>
      <c r="Q51" s="820" t="s">
        <v>434</v>
      </c>
      <c r="R51" s="817" t="s">
        <v>435</v>
      </c>
      <c r="S51" s="821" t="s">
        <v>436</v>
      </c>
      <c r="T51" s="817" t="s">
        <v>437</v>
      </c>
      <c r="U51" s="160"/>
      <c r="V51" s="817"/>
      <c r="W51" s="465">
        <f>INDEX('CTR1 Data Previous Year'!$J:$J,MATCH($D51,'CTR1 Data Previous Year'!$A:$A,0),1)</f>
        <v>114909</v>
      </c>
      <c r="X51" s="465">
        <f>INDEX('CTR1 Data Previous Year'!$K:$K,MATCH($D51,'CTR1 Data Previous Year'!$A:$A,0),1)</f>
        <v>1997.33</v>
      </c>
      <c r="Y51" s="465">
        <f>INDEX('CTR1 Data Previous Year'!$L:$L,MATCH($D51,'CTR1 Data Previous Year'!$A:$A,0),1)</f>
        <v>1839.74</v>
      </c>
      <c r="Z51" s="836" t="str">
        <f t="shared" si="0"/>
        <v>N</v>
      </c>
      <c r="AA51" s="837" t="str">
        <f t="shared" si="1"/>
        <v>N</v>
      </c>
      <c r="AB51" s="838">
        <f t="shared" si="2"/>
        <v>1839.74</v>
      </c>
      <c r="AC51" s="868">
        <f t="shared" si="3"/>
        <v>0</v>
      </c>
      <c r="AD51" s="876">
        <f t="shared" si="4"/>
        <v>0</v>
      </c>
      <c r="AE51" s="838">
        <f t="shared" si="5"/>
        <v>1931.7270000000001</v>
      </c>
      <c r="AF51" s="838">
        <f t="shared" si="6"/>
        <v>1839.74</v>
      </c>
      <c r="AG51" s="839">
        <f t="shared" si="8"/>
        <v>0</v>
      </c>
      <c r="AH51" s="839">
        <f t="shared" si="9"/>
        <v>1931.73</v>
      </c>
      <c r="AI51" s="840">
        <f t="shared" si="7"/>
        <v>36.79</v>
      </c>
      <c r="AJ51" s="841">
        <f t="shared" si="10"/>
        <v>1.9997390935675693E-2</v>
      </c>
      <c r="AK51" s="879"/>
      <c r="AL51" s="879" t="e">
        <f t="shared" si="13"/>
        <v>#N/A</v>
      </c>
      <c r="AM51" s="873"/>
      <c r="AN51" s="830"/>
    </row>
    <row r="52" spans="1:40" ht="15" customHeight="1" x14ac:dyDescent="0.25">
      <c r="A52" s="370">
        <v>47</v>
      </c>
      <c r="B52" s="371" t="s">
        <v>612</v>
      </c>
      <c r="C52" s="370" t="s">
        <v>613</v>
      </c>
      <c r="D52" s="370" t="s">
        <v>614</v>
      </c>
      <c r="E52" s="370" t="s">
        <v>321</v>
      </c>
      <c r="F52" s="370" t="s">
        <v>330</v>
      </c>
      <c r="G52" s="386">
        <f>INDEX('CTR1 Data Previous Year'!$B:$B,MATCH($D52,'CTR1 Data Previous Year'!$A:$A,0),1)</f>
        <v>15618834</v>
      </c>
      <c r="H52" s="386">
        <f>INDEX('CTR1 Data Previous Year'!$C:$C,MATCH($D52,'CTR1 Data Previous Year'!$A:$A,0),1)</f>
        <v>1426865</v>
      </c>
      <c r="I52" s="386">
        <f>INDEX('CTR1 Data Previous Year'!$D:$D,MATCH($D52,'CTR1 Data Previous Year'!$A:$A,0),1)</f>
        <v>5184881</v>
      </c>
      <c r="J52" s="386">
        <f>INDEX('CTR1 Data Previous Year'!$E:$E,MATCH($D52,'CTR1 Data Previous Year'!$A:$A,0),1)</f>
        <v>10433953</v>
      </c>
      <c r="K52" s="386">
        <f>INDEX('CTR1 Data Previous Year'!$F:$F,MATCH($D52,'CTR1 Data Previous Year'!$A:$A,0),1)</f>
        <v>0</v>
      </c>
      <c r="L52" s="465">
        <f>INDEX('CTR1 Data Previous Year'!$G:$G,MATCH($D52,'CTR1 Data Previous Year'!$A:$A,0),1)</f>
        <v>61168.63</v>
      </c>
      <c r="M52" s="455">
        <f>INDEX('CTR1 Data Previous Year'!$H:$H,MATCH($D52,'CTR1 Data Previous Year'!$A:$A,0),1)</f>
        <v>0.98499999999999999</v>
      </c>
      <c r="N52" s="465">
        <f>INDEX('CTR1 Data Previous Year'!$I:$I,MATCH($D52,'CTR1 Data Previous Year'!$A:$A,0),1)</f>
        <v>25.2</v>
      </c>
      <c r="O52" s="160" t="s">
        <v>454</v>
      </c>
      <c r="P52" s="817" t="s">
        <v>455</v>
      </c>
      <c r="Q52" s="820" t="s">
        <v>456</v>
      </c>
      <c r="R52" s="817" t="s">
        <v>457</v>
      </c>
      <c r="S52" s="821" t="s">
        <v>458</v>
      </c>
      <c r="T52" s="817" t="s">
        <v>459</v>
      </c>
      <c r="U52" s="160"/>
      <c r="V52" s="817"/>
      <c r="W52" s="465">
        <f>INDEX('CTR1 Data Previous Year'!$J:$J,MATCH($D52,'CTR1 Data Previous Year'!$A:$A,0),1)</f>
        <v>60276.3</v>
      </c>
      <c r="X52" s="465">
        <f>INDEX('CTR1 Data Previous Year'!$K:$K,MATCH($D52,'CTR1 Data Previous Year'!$A:$A,0),1)</f>
        <v>259.12</v>
      </c>
      <c r="Y52" s="465">
        <f>INDEX('CTR1 Data Previous Year'!$L:$L,MATCH($D52,'CTR1 Data Previous Year'!$A:$A,0),1)</f>
        <v>173.1</v>
      </c>
      <c r="Z52" s="836" t="str">
        <f t="shared" si="0"/>
        <v>N</v>
      </c>
      <c r="AA52" s="837" t="str">
        <f t="shared" si="1"/>
        <v>N</v>
      </c>
      <c r="AB52" s="838">
        <f t="shared" si="2"/>
        <v>173.1</v>
      </c>
      <c r="AC52" s="868">
        <f t="shared" si="3"/>
        <v>0</v>
      </c>
      <c r="AD52" s="876">
        <f t="shared" si="4"/>
        <v>0</v>
      </c>
      <c r="AE52" s="838">
        <f t="shared" si="5"/>
        <v>178.29300000000001</v>
      </c>
      <c r="AF52" s="838">
        <f t="shared" si="6"/>
        <v>178.1</v>
      </c>
      <c r="AG52" s="839">
        <f t="shared" si="8"/>
        <v>0</v>
      </c>
      <c r="AH52" s="839">
        <f t="shared" si="9"/>
        <v>178.29</v>
      </c>
      <c r="AI52" s="840">
        <f t="shared" si="7"/>
        <v>0</v>
      </c>
      <c r="AJ52" s="841">
        <f t="shared" si="10"/>
        <v>0</v>
      </c>
      <c r="AK52" s="879"/>
      <c r="AL52" s="879" t="e">
        <f t="shared" si="13"/>
        <v>#N/A</v>
      </c>
      <c r="AM52" s="873"/>
      <c r="AN52" s="830"/>
    </row>
    <row r="53" spans="1:40" ht="15" customHeight="1" x14ac:dyDescent="0.25">
      <c r="A53" s="370">
        <v>48</v>
      </c>
      <c r="B53" s="371" t="s">
        <v>615</v>
      </c>
      <c r="C53" s="370" t="s">
        <v>616</v>
      </c>
      <c r="D53" s="370" t="s">
        <v>617</v>
      </c>
      <c r="E53" s="370" t="s">
        <v>321</v>
      </c>
      <c r="F53" s="370" t="s">
        <v>368</v>
      </c>
      <c r="G53" s="386">
        <f>INDEX('CTR1 Data Previous Year'!$B:$B,MATCH($D53,'CTR1 Data Previous Year'!$A:$A,0),1)</f>
        <v>20141940</v>
      </c>
      <c r="H53" s="386">
        <f>INDEX('CTR1 Data Previous Year'!$C:$C,MATCH($D53,'CTR1 Data Previous Year'!$A:$A,0),1)</f>
        <v>2368178</v>
      </c>
      <c r="I53" s="386">
        <f>INDEX('CTR1 Data Previous Year'!$D:$D,MATCH($D53,'CTR1 Data Previous Year'!$A:$A,0),1)</f>
        <v>3703320</v>
      </c>
      <c r="J53" s="386">
        <f>INDEX('CTR1 Data Previous Year'!$E:$E,MATCH($D53,'CTR1 Data Previous Year'!$A:$A,0),1)</f>
        <v>16438620</v>
      </c>
      <c r="K53" s="386">
        <f>INDEX('CTR1 Data Previous Year'!$F:$F,MATCH($D53,'CTR1 Data Previous Year'!$A:$A,0),1)</f>
        <v>0</v>
      </c>
      <c r="L53" s="465">
        <f>INDEX('CTR1 Data Previous Year'!$G:$G,MATCH($D53,'CTR1 Data Previous Year'!$A:$A,0),1)</f>
        <v>73094.5</v>
      </c>
      <c r="M53" s="455">
        <f>INDEX('CTR1 Data Previous Year'!$H:$H,MATCH($D53,'CTR1 Data Previous Year'!$A:$A,0),1)</f>
        <v>0.98609999999999998</v>
      </c>
      <c r="N53" s="465">
        <f>INDEX('CTR1 Data Previous Year'!$I:$I,MATCH($D53,'CTR1 Data Previous Year'!$A:$A,0),1)</f>
        <v>0</v>
      </c>
      <c r="O53" s="160" t="s">
        <v>401</v>
      </c>
      <c r="P53" s="817" t="s">
        <v>402</v>
      </c>
      <c r="Q53" s="820" t="s">
        <v>403</v>
      </c>
      <c r="R53" s="817" t="s">
        <v>404</v>
      </c>
      <c r="S53" s="821" t="s">
        <v>405</v>
      </c>
      <c r="T53" s="817" t="s">
        <v>406</v>
      </c>
      <c r="U53" s="822"/>
      <c r="V53" s="817"/>
      <c r="W53" s="465">
        <f>INDEX('CTR1 Data Previous Year'!$J:$J,MATCH($D53,'CTR1 Data Previous Year'!$A:$A,0),1)</f>
        <v>72078.490000000005</v>
      </c>
      <c r="X53" s="465">
        <f>INDEX('CTR1 Data Previous Year'!$K:$K,MATCH($D53,'CTR1 Data Previous Year'!$A:$A,0),1)</f>
        <v>279.44</v>
      </c>
      <c r="Y53" s="465">
        <f>INDEX('CTR1 Data Previous Year'!$L:$L,MATCH($D53,'CTR1 Data Previous Year'!$A:$A,0),1)</f>
        <v>228.07</v>
      </c>
      <c r="Z53" s="836" t="str">
        <f t="shared" si="0"/>
        <v>N</v>
      </c>
      <c r="AA53" s="837" t="str">
        <f t="shared" si="1"/>
        <v>N</v>
      </c>
      <c r="AB53" s="838">
        <f t="shared" si="2"/>
        <v>228.07</v>
      </c>
      <c r="AC53" s="868">
        <f t="shared" si="3"/>
        <v>0</v>
      </c>
      <c r="AD53" s="876">
        <f t="shared" si="4"/>
        <v>0</v>
      </c>
      <c r="AE53" s="838">
        <f t="shared" si="5"/>
        <v>234.91210000000001</v>
      </c>
      <c r="AF53" s="838">
        <f t="shared" si="6"/>
        <v>233.07</v>
      </c>
      <c r="AG53" s="839">
        <f t="shared" si="8"/>
        <v>0</v>
      </c>
      <c r="AH53" s="839">
        <f t="shared" si="9"/>
        <v>234.91</v>
      </c>
      <c r="AI53" s="840">
        <f t="shared" si="7"/>
        <v>0</v>
      </c>
      <c r="AJ53" s="841">
        <f t="shared" si="10"/>
        <v>0</v>
      </c>
      <c r="AK53" s="879"/>
      <c r="AL53" s="879" t="e">
        <f t="shared" si="13"/>
        <v>#N/A</v>
      </c>
      <c r="AM53" s="873"/>
      <c r="AN53" s="830"/>
    </row>
    <row r="54" spans="1:40" ht="15" customHeight="1" x14ac:dyDescent="0.25">
      <c r="A54" s="370">
        <v>49</v>
      </c>
      <c r="B54" s="371" t="s">
        <v>618</v>
      </c>
      <c r="C54" s="370" t="s">
        <v>619</v>
      </c>
      <c r="D54" s="370" t="s">
        <v>620</v>
      </c>
      <c r="E54" s="370" t="s">
        <v>321</v>
      </c>
      <c r="F54" s="370" t="s">
        <v>425</v>
      </c>
      <c r="G54" s="386">
        <f>INDEX('CTR1 Data Previous Year'!$B:$B,MATCH($D54,'CTR1 Data Previous Year'!$A:$A,0),1)</f>
        <v>11403821</v>
      </c>
      <c r="H54" s="386">
        <f>INDEX('CTR1 Data Previous Year'!$C:$C,MATCH($D54,'CTR1 Data Previous Year'!$A:$A,0),1)</f>
        <v>0</v>
      </c>
      <c r="I54" s="386">
        <f>INDEX('CTR1 Data Previous Year'!$D:$D,MATCH($D54,'CTR1 Data Previous Year'!$A:$A,0),1)</f>
        <v>522857</v>
      </c>
      <c r="J54" s="386">
        <f>INDEX('CTR1 Data Previous Year'!$E:$E,MATCH($D54,'CTR1 Data Previous Year'!$A:$A,0),1)</f>
        <v>10880964</v>
      </c>
      <c r="K54" s="386">
        <f>INDEX('CTR1 Data Previous Year'!$F:$F,MATCH($D54,'CTR1 Data Previous Year'!$A:$A,0),1)</f>
        <v>0</v>
      </c>
      <c r="L54" s="465">
        <f>INDEX('CTR1 Data Previous Year'!$G:$G,MATCH($D54,'CTR1 Data Previous Year'!$A:$A,0),1)</f>
        <v>44899.19</v>
      </c>
      <c r="M54" s="455">
        <f>INDEX('CTR1 Data Previous Year'!$H:$H,MATCH($D54,'CTR1 Data Previous Year'!$A:$A,0),1)</f>
        <v>0.99</v>
      </c>
      <c r="N54" s="465">
        <f>INDEX('CTR1 Data Previous Year'!$I:$I,MATCH($D54,'CTR1 Data Previous Year'!$A:$A,0),1)</f>
        <v>0</v>
      </c>
      <c r="O54" s="160" t="s">
        <v>621</v>
      </c>
      <c r="P54" s="817" t="s">
        <v>622</v>
      </c>
      <c r="Q54" s="820" t="s">
        <v>623</v>
      </c>
      <c r="R54" s="817" t="s">
        <v>624</v>
      </c>
      <c r="S54" s="821" t="s">
        <v>129</v>
      </c>
      <c r="T54" s="817"/>
      <c r="U54" s="160"/>
      <c r="V54" s="817"/>
      <c r="W54" s="465">
        <f>INDEX('CTR1 Data Previous Year'!$J:$J,MATCH($D54,'CTR1 Data Previous Year'!$A:$A,0),1)</f>
        <v>44450.2</v>
      </c>
      <c r="X54" s="465">
        <f>INDEX('CTR1 Data Previous Year'!$K:$K,MATCH($D54,'CTR1 Data Previous Year'!$A:$A,0),1)</f>
        <v>256.55</v>
      </c>
      <c r="Y54" s="465">
        <f>INDEX('CTR1 Data Previous Year'!$L:$L,MATCH($D54,'CTR1 Data Previous Year'!$A:$A,0),1)</f>
        <v>244.79</v>
      </c>
      <c r="Z54" s="836" t="str">
        <f t="shared" si="0"/>
        <v>N</v>
      </c>
      <c r="AA54" s="837" t="str">
        <f t="shared" si="1"/>
        <v>N</v>
      </c>
      <c r="AB54" s="838">
        <f t="shared" si="2"/>
        <v>244.79</v>
      </c>
      <c r="AC54" s="868">
        <f t="shared" si="3"/>
        <v>0</v>
      </c>
      <c r="AD54" s="876">
        <f t="shared" si="4"/>
        <v>0</v>
      </c>
      <c r="AE54" s="838">
        <f t="shared" si="5"/>
        <v>252.1337</v>
      </c>
      <c r="AF54" s="838">
        <f t="shared" si="6"/>
        <v>249.79</v>
      </c>
      <c r="AG54" s="839">
        <f t="shared" si="8"/>
        <v>0</v>
      </c>
      <c r="AH54" s="839">
        <f t="shared" si="9"/>
        <v>252.13</v>
      </c>
      <c r="AI54" s="840">
        <f t="shared" si="7"/>
        <v>0</v>
      </c>
      <c r="AJ54" s="841">
        <f t="shared" si="10"/>
        <v>0</v>
      </c>
      <c r="AK54" s="879"/>
      <c r="AL54" s="879" t="e">
        <f t="shared" si="13"/>
        <v>#N/A</v>
      </c>
      <c r="AM54" s="873"/>
      <c r="AN54" s="830"/>
    </row>
    <row r="55" spans="1:40" ht="15" customHeight="1" x14ac:dyDescent="0.25">
      <c r="A55" s="370">
        <v>50</v>
      </c>
      <c r="B55" s="371" t="s">
        <v>625</v>
      </c>
      <c r="C55" s="370" t="s">
        <v>626</v>
      </c>
      <c r="D55" s="370" t="s">
        <v>627</v>
      </c>
      <c r="E55" s="370" t="s">
        <v>321</v>
      </c>
      <c r="F55" s="370" t="s">
        <v>322</v>
      </c>
      <c r="G55" s="386">
        <f>INDEX('CTR1 Data Previous Year'!$B:$B,MATCH($D55,'CTR1 Data Previous Year'!$A:$A,0),1)</f>
        <v>16112078</v>
      </c>
      <c r="H55" s="386">
        <f>INDEX('CTR1 Data Previous Year'!$C:$C,MATCH($D55,'CTR1 Data Previous Year'!$A:$A,0),1)</f>
        <v>0</v>
      </c>
      <c r="I55" s="386">
        <f>INDEX('CTR1 Data Previous Year'!$D:$D,MATCH($D55,'CTR1 Data Previous Year'!$A:$A,0),1)</f>
        <v>6625282</v>
      </c>
      <c r="J55" s="386">
        <f>INDEX('CTR1 Data Previous Year'!$E:$E,MATCH($D55,'CTR1 Data Previous Year'!$A:$A,0),1)</f>
        <v>9486796</v>
      </c>
      <c r="K55" s="386">
        <f>INDEX('CTR1 Data Previous Year'!$F:$F,MATCH($D55,'CTR1 Data Previous Year'!$A:$A,0),1)</f>
        <v>0</v>
      </c>
      <c r="L55" s="465">
        <f>INDEX('CTR1 Data Previous Year'!$G:$G,MATCH($D55,'CTR1 Data Previous Year'!$A:$A,0),1)</f>
        <v>60821.120000000003</v>
      </c>
      <c r="M55" s="455">
        <f>INDEX('CTR1 Data Previous Year'!$H:$H,MATCH($D55,'CTR1 Data Previous Year'!$A:$A,0),1)</f>
        <v>0.98</v>
      </c>
      <c r="N55" s="465">
        <f>INDEX('CTR1 Data Previous Year'!$I:$I,MATCH($D55,'CTR1 Data Previous Year'!$A:$A,0),1)</f>
        <v>248.9</v>
      </c>
      <c r="O55" s="160" t="s">
        <v>628</v>
      </c>
      <c r="P55" s="817" t="s">
        <v>629</v>
      </c>
      <c r="Q55" s="820" t="s">
        <v>500</v>
      </c>
      <c r="R55" s="817" t="s">
        <v>501</v>
      </c>
      <c r="S55" s="821" t="s">
        <v>129</v>
      </c>
      <c r="T55" s="817"/>
      <c r="U55" s="160"/>
      <c r="V55" s="817"/>
      <c r="W55" s="465">
        <f>INDEX('CTR1 Data Previous Year'!$J:$J,MATCH($D55,'CTR1 Data Previous Year'!$A:$A,0),1)</f>
        <v>59853.599999999999</v>
      </c>
      <c r="X55" s="465">
        <f>INDEX('CTR1 Data Previous Year'!$K:$K,MATCH($D55,'CTR1 Data Previous Year'!$A:$A,0),1)</f>
        <v>269.19</v>
      </c>
      <c r="Y55" s="465">
        <f>INDEX('CTR1 Data Previous Year'!$L:$L,MATCH($D55,'CTR1 Data Previous Year'!$A:$A,0),1)</f>
        <v>158.5</v>
      </c>
      <c r="Z55" s="836" t="str">
        <f t="shared" si="0"/>
        <v>N</v>
      </c>
      <c r="AA55" s="837" t="str">
        <f t="shared" si="1"/>
        <v>N</v>
      </c>
      <c r="AB55" s="838">
        <f t="shared" si="2"/>
        <v>158.5</v>
      </c>
      <c r="AC55" s="868">
        <f t="shared" si="3"/>
        <v>0</v>
      </c>
      <c r="AD55" s="876">
        <f t="shared" si="4"/>
        <v>0</v>
      </c>
      <c r="AE55" s="838">
        <f t="shared" si="5"/>
        <v>163.255</v>
      </c>
      <c r="AF55" s="838">
        <f t="shared" si="6"/>
        <v>163.5</v>
      </c>
      <c r="AG55" s="839">
        <f t="shared" si="8"/>
        <v>0</v>
      </c>
      <c r="AH55" s="839">
        <f t="shared" si="9"/>
        <v>163.5</v>
      </c>
      <c r="AI55" s="840">
        <f t="shared" si="7"/>
        <v>0</v>
      </c>
      <c r="AJ55" s="841">
        <f t="shared" si="10"/>
        <v>0</v>
      </c>
      <c r="AK55" s="879"/>
      <c r="AL55" s="879" t="e">
        <f t="shared" si="13"/>
        <v>#N/A</v>
      </c>
      <c r="AM55" s="873"/>
      <c r="AN55" s="830"/>
    </row>
    <row r="56" spans="1:40" ht="15" customHeight="1" x14ac:dyDescent="0.25">
      <c r="A56" s="370">
        <v>51</v>
      </c>
      <c r="B56" s="371" t="s">
        <v>630</v>
      </c>
      <c r="C56" s="370" t="s">
        <v>631</v>
      </c>
      <c r="D56" s="370" t="s">
        <v>632</v>
      </c>
      <c r="E56" s="370" t="s">
        <v>339</v>
      </c>
      <c r="F56" s="370" t="s">
        <v>463</v>
      </c>
      <c r="G56" s="386">
        <f>INDEX('CTR1 Data Previous Year'!$B:$B,MATCH($D56,'CTR1 Data Previous Year'!$A:$A,0),1)</f>
        <v>320085755</v>
      </c>
      <c r="H56" s="386">
        <f>INDEX('CTR1 Data Previous Year'!$C:$C,MATCH($D56,'CTR1 Data Previous Year'!$A:$A,0),1)</f>
        <v>0</v>
      </c>
      <c r="I56" s="386">
        <f>INDEX('CTR1 Data Previous Year'!$D:$D,MATCH($D56,'CTR1 Data Previous Year'!$A:$A,0),1)</f>
        <v>12821834</v>
      </c>
      <c r="J56" s="386">
        <f>INDEX('CTR1 Data Previous Year'!$E:$E,MATCH($D56,'CTR1 Data Previous Year'!$A:$A,0),1)</f>
        <v>307263921</v>
      </c>
      <c r="K56" s="386">
        <f>INDEX('CTR1 Data Previous Year'!$F:$F,MATCH($D56,'CTR1 Data Previous Year'!$A:$A,0),1)</f>
        <v>0</v>
      </c>
      <c r="L56" s="465">
        <f>INDEX('CTR1 Data Previous Year'!$G:$G,MATCH($D56,'CTR1 Data Previous Year'!$A:$A,0),1)</f>
        <v>164910.20000000001</v>
      </c>
      <c r="M56" s="455">
        <f>INDEX('CTR1 Data Previous Year'!$H:$H,MATCH($D56,'CTR1 Data Previous Year'!$A:$A,0),1)</f>
        <v>0.99</v>
      </c>
      <c r="N56" s="465">
        <f>INDEX('CTR1 Data Previous Year'!$I:$I,MATCH($D56,'CTR1 Data Previous Year'!$A:$A,0),1)</f>
        <v>0</v>
      </c>
      <c r="O56" s="160" t="s">
        <v>129</v>
      </c>
      <c r="P56" s="817"/>
      <c r="Q56" s="820" t="s">
        <v>633</v>
      </c>
      <c r="R56" s="817" t="s">
        <v>634</v>
      </c>
      <c r="S56" s="821" t="s">
        <v>635</v>
      </c>
      <c r="T56" s="817" t="s">
        <v>636</v>
      </c>
      <c r="U56" s="160"/>
      <c r="V56" s="817"/>
      <c r="W56" s="465">
        <f>INDEX('CTR1 Data Previous Year'!$J:$J,MATCH($D56,'CTR1 Data Previous Year'!$A:$A,0),1)</f>
        <v>163261.1</v>
      </c>
      <c r="X56" s="465">
        <f>INDEX('CTR1 Data Previous Year'!$K:$K,MATCH($D56,'CTR1 Data Previous Year'!$A:$A,0),1)</f>
        <v>1960.58</v>
      </c>
      <c r="Y56" s="465">
        <f>INDEX('CTR1 Data Previous Year'!$L:$L,MATCH($D56,'CTR1 Data Previous Year'!$A:$A,0),1)</f>
        <v>1882.04</v>
      </c>
      <c r="Z56" s="836" t="str">
        <f t="shared" si="0"/>
        <v>N</v>
      </c>
      <c r="AA56" s="837" t="str">
        <f t="shared" si="1"/>
        <v>N</v>
      </c>
      <c r="AB56" s="838">
        <f t="shared" si="2"/>
        <v>1882.04</v>
      </c>
      <c r="AC56" s="868">
        <f t="shared" si="3"/>
        <v>0</v>
      </c>
      <c r="AD56" s="876">
        <f t="shared" si="4"/>
        <v>0</v>
      </c>
      <c r="AE56" s="838">
        <f t="shared" si="5"/>
        <v>1976.1420000000001</v>
      </c>
      <c r="AF56" s="838">
        <f t="shared" si="6"/>
        <v>1882.04</v>
      </c>
      <c r="AG56" s="839">
        <f t="shared" si="8"/>
        <v>0</v>
      </c>
      <c r="AH56" s="839">
        <f t="shared" si="9"/>
        <v>1976.14</v>
      </c>
      <c r="AI56" s="840">
        <f t="shared" si="7"/>
        <v>37.64</v>
      </c>
      <c r="AJ56" s="841">
        <f t="shared" si="10"/>
        <v>1.9999574929332003E-2</v>
      </c>
      <c r="AK56" s="879"/>
      <c r="AL56" s="879" t="e">
        <f t="shared" si="13"/>
        <v>#N/A</v>
      </c>
      <c r="AM56" s="873"/>
      <c r="AN56" s="830"/>
    </row>
    <row r="57" spans="1:40" ht="15" customHeight="1" x14ac:dyDescent="0.25">
      <c r="A57" s="370">
        <v>52</v>
      </c>
      <c r="B57" s="371" t="s">
        <v>637</v>
      </c>
      <c r="C57" s="370" t="s">
        <v>638</v>
      </c>
      <c r="D57" s="370" t="s">
        <v>639</v>
      </c>
      <c r="E57" s="370" t="s">
        <v>339</v>
      </c>
      <c r="F57" s="370" t="s">
        <v>463</v>
      </c>
      <c r="G57" s="386">
        <f>INDEX('CTR1 Data Previous Year'!$B:$B,MATCH($D57,'CTR1 Data Previous Year'!$A:$A,0),1)</f>
        <v>265966130</v>
      </c>
      <c r="H57" s="386">
        <f>INDEX('CTR1 Data Previous Year'!$C:$C,MATCH($D57,'CTR1 Data Previous Year'!$A:$A,0),1)</f>
        <v>228381</v>
      </c>
      <c r="I57" s="386">
        <f>INDEX('CTR1 Data Previous Year'!$D:$D,MATCH($D57,'CTR1 Data Previous Year'!$A:$A,0),1)</f>
        <v>5518141</v>
      </c>
      <c r="J57" s="386">
        <f>INDEX('CTR1 Data Previous Year'!$E:$E,MATCH($D57,'CTR1 Data Previous Year'!$A:$A,0),1)</f>
        <v>260447989</v>
      </c>
      <c r="K57" s="386">
        <f>INDEX('CTR1 Data Previous Year'!$F:$F,MATCH($D57,'CTR1 Data Previous Year'!$A:$A,0),1)</f>
        <v>400161</v>
      </c>
      <c r="L57" s="465">
        <f>INDEX('CTR1 Data Previous Year'!$G:$G,MATCH($D57,'CTR1 Data Previous Year'!$A:$A,0),1)</f>
        <v>132865.29999999999</v>
      </c>
      <c r="M57" s="455">
        <f>INDEX('CTR1 Data Previous Year'!$H:$H,MATCH($D57,'CTR1 Data Previous Year'!$A:$A,0),1)</f>
        <v>0.99</v>
      </c>
      <c r="N57" s="465">
        <f>INDEX('CTR1 Data Previous Year'!$I:$I,MATCH($D57,'CTR1 Data Previous Year'!$A:$A,0),1)</f>
        <v>129.75</v>
      </c>
      <c r="O57" s="160" t="s">
        <v>129</v>
      </c>
      <c r="P57" s="817"/>
      <c r="Q57" s="820" t="s">
        <v>633</v>
      </c>
      <c r="R57" s="817" t="s">
        <v>634</v>
      </c>
      <c r="S57" s="821" t="s">
        <v>635</v>
      </c>
      <c r="T57" s="817" t="s">
        <v>636</v>
      </c>
      <c r="U57" s="160"/>
      <c r="V57" s="817"/>
      <c r="W57" s="465">
        <f>INDEX('CTR1 Data Previous Year'!$J:$J,MATCH($D57,'CTR1 Data Previous Year'!$A:$A,0),1)</f>
        <v>131666.4</v>
      </c>
      <c r="X57" s="465">
        <f>INDEX('CTR1 Data Previous Year'!$K:$K,MATCH($D57,'CTR1 Data Previous Year'!$A:$A,0),1)</f>
        <v>2020</v>
      </c>
      <c r="Y57" s="465">
        <f>INDEX('CTR1 Data Previous Year'!$L:$L,MATCH($D57,'CTR1 Data Previous Year'!$A:$A,0),1)</f>
        <v>1978.09</v>
      </c>
      <c r="Z57" s="836" t="str">
        <f t="shared" si="0"/>
        <v>N</v>
      </c>
      <c r="AA57" s="837" t="str">
        <f t="shared" si="1"/>
        <v>N</v>
      </c>
      <c r="AB57" s="838">
        <f t="shared" si="2"/>
        <v>1978.09</v>
      </c>
      <c r="AC57" s="868">
        <f t="shared" si="3"/>
        <v>0</v>
      </c>
      <c r="AD57" s="876">
        <f t="shared" si="4"/>
        <v>0</v>
      </c>
      <c r="AE57" s="838">
        <f t="shared" si="5"/>
        <v>2076.9944999999998</v>
      </c>
      <c r="AF57" s="838">
        <f t="shared" si="6"/>
        <v>1978.09</v>
      </c>
      <c r="AG57" s="839">
        <f t="shared" si="8"/>
        <v>0</v>
      </c>
      <c r="AH57" s="839">
        <f t="shared" si="9"/>
        <v>2076.9899999999998</v>
      </c>
      <c r="AI57" s="840">
        <f t="shared" si="7"/>
        <v>39.56</v>
      </c>
      <c r="AJ57" s="841">
        <f t="shared" si="10"/>
        <v>1.9999090031292816E-2</v>
      </c>
      <c r="AK57" s="446"/>
      <c r="AL57" s="446"/>
      <c r="AM57" s="446"/>
      <c r="AN57" s="446"/>
    </row>
    <row r="58" spans="1:40" ht="15" customHeight="1" x14ac:dyDescent="0.25">
      <c r="A58" s="370">
        <v>53</v>
      </c>
      <c r="B58" s="371" t="s">
        <v>640</v>
      </c>
      <c r="C58" s="370" t="s">
        <v>641</v>
      </c>
      <c r="D58" s="370" t="s">
        <v>642</v>
      </c>
      <c r="E58" s="370" t="s">
        <v>321</v>
      </c>
      <c r="F58" s="370" t="s">
        <v>330</v>
      </c>
      <c r="G58" s="386">
        <f>INDEX('CTR1 Data Previous Year'!$B:$B,MATCH($D58,'CTR1 Data Previous Year'!$A:$A,0),1)</f>
        <v>6680443</v>
      </c>
      <c r="H58" s="386">
        <f>INDEX('CTR1 Data Previous Year'!$C:$C,MATCH($D58,'CTR1 Data Previous Year'!$A:$A,0),1)</f>
        <v>0</v>
      </c>
      <c r="I58" s="386">
        <f>INDEX('CTR1 Data Previous Year'!$D:$D,MATCH($D58,'CTR1 Data Previous Year'!$A:$A,0),1)</f>
        <v>629401</v>
      </c>
      <c r="J58" s="386">
        <f>INDEX('CTR1 Data Previous Year'!$E:$E,MATCH($D58,'CTR1 Data Previous Year'!$A:$A,0),1)</f>
        <v>6051042</v>
      </c>
      <c r="K58" s="386">
        <f>INDEX('CTR1 Data Previous Year'!$F:$F,MATCH($D58,'CTR1 Data Previous Year'!$A:$A,0),1)</f>
        <v>0</v>
      </c>
      <c r="L58" s="465">
        <f>INDEX('CTR1 Data Previous Year'!$G:$G,MATCH($D58,'CTR1 Data Previous Year'!$A:$A,0),1)</f>
        <v>31341.01</v>
      </c>
      <c r="M58" s="455">
        <f>INDEX('CTR1 Data Previous Year'!$H:$H,MATCH($D58,'CTR1 Data Previous Year'!$A:$A,0),1)</f>
        <v>0.98250000000000004</v>
      </c>
      <c r="N58" s="465">
        <f>INDEX('CTR1 Data Previous Year'!$I:$I,MATCH($D58,'CTR1 Data Previous Year'!$A:$A,0),1)</f>
        <v>0</v>
      </c>
      <c r="O58" s="160" t="s">
        <v>331</v>
      </c>
      <c r="P58" s="817" t="s">
        <v>332</v>
      </c>
      <c r="Q58" s="820" t="s">
        <v>333</v>
      </c>
      <c r="R58" s="817" t="s">
        <v>334</v>
      </c>
      <c r="S58" s="821" t="s">
        <v>335</v>
      </c>
      <c r="T58" s="817" t="s">
        <v>336</v>
      </c>
      <c r="U58" s="822" t="s">
        <v>337</v>
      </c>
      <c r="V58" s="817" t="s">
        <v>338</v>
      </c>
      <c r="W58" s="465">
        <f>INDEX('CTR1 Data Previous Year'!$J:$J,MATCH($D58,'CTR1 Data Previous Year'!$A:$A,0),1)</f>
        <v>30792.54</v>
      </c>
      <c r="X58" s="465">
        <f>INDEX('CTR1 Data Previous Year'!$K:$K,MATCH($D58,'CTR1 Data Previous Year'!$A:$A,0),1)</f>
        <v>216.95</v>
      </c>
      <c r="Y58" s="465">
        <f>INDEX('CTR1 Data Previous Year'!$L:$L,MATCH($D58,'CTR1 Data Previous Year'!$A:$A,0),1)</f>
        <v>196.51</v>
      </c>
      <c r="Z58" s="836" t="str">
        <f t="shared" si="0"/>
        <v>N</v>
      </c>
      <c r="AA58" s="837" t="str">
        <f t="shared" si="1"/>
        <v>N</v>
      </c>
      <c r="AB58" s="838">
        <f t="shared" si="2"/>
        <v>196.51</v>
      </c>
      <c r="AC58" s="868">
        <f t="shared" si="3"/>
        <v>0</v>
      </c>
      <c r="AD58" s="876">
        <f t="shared" si="4"/>
        <v>0</v>
      </c>
      <c r="AE58" s="838">
        <f t="shared" si="5"/>
        <v>202.40529999999998</v>
      </c>
      <c r="AF58" s="838">
        <f t="shared" si="6"/>
        <v>201.51</v>
      </c>
      <c r="AG58" s="839">
        <f t="shared" si="8"/>
        <v>0</v>
      </c>
      <c r="AH58" s="839">
        <f t="shared" si="9"/>
        <v>202.41</v>
      </c>
      <c r="AI58" s="840">
        <f t="shared" si="7"/>
        <v>0</v>
      </c>
      <c r="AJ58" s="841">
        <f t="shared" si="10"/>
        <v>0</v>
      </c>
      <c r="AK58" s="446"/>
      <c r="AL58" s="446"/>
      <c r="AM58" s="446"/>
      <c r="AN58" s="446"/>
    </row>
    <row r="59" spans="1:40" ht="15" customHeight="1" x14ac:dyDescent="0.25">
      <c r="A59" s="370">
        <v>54</v>
      </c>
      <c r="B59" s="371" t="s">
        <v>643</v>
      </c>
      <c r="C59" s="370" t="s">
        <v>644</v>
      </c>
      <c r="D59" s="370" t="s">
        <v>645</v>
      </c>
      <c r="E59" s="370" t="s">
        <v>321</v>
      </c>
      <c r="F59" s="370" t="s">
        <v>322</v>
      </c>
      <c r="G59" s="386">
        <f>INDEX('CTR1 Data Previous Year'!$B:$B,MATCH($D59,'CTR1 Data Previous Year'!$A:$A,0),1)</f>
        <v>16656682</v>
      </c>
      <c r="H59" s="386">
        <f>INDEX('CTR1 Data Previous Year'!$C:$C,MATCH($D59,'CTR1 Data Previous Year'!$A:$A,0),1)</f>
        <v>0</v>
      </c>
      <c r="I59" s="386">
        <f>INDEX('CTR1 Data Previous Year'!$D:$D,MATCH($D59,'CTR1 Data Previous Year'!$A:$A,0),1)</f>
        <v>5188182</v>
      </c>
      <c r="J59" s="386">
        <f>INDEX('CTR1 Data Previous Year'!$E:$E,MATCH($D59,'CTR1 Data Previous Year'!$A:$A,0),1)</f>
        <v>11468500</v>
      </c>
      <c r="K59" s="386">
        <f>INDEX('CTR1 Data Previous Year'!$F:$F,MATCH($D59,'CTR1 Data Previous Year'!$A:$A,0),1)</f>
        <v>300</v>
      </c>
      <c r="L59" s="465">
        <f>INDEX('CTR1 Data Previous Year'!$G:$G,MATCH($D59,'CTR1 Data Previous Year'!$A:$A,0),1)</f>
        <v>60027.73</v>
      </c>
      <c r="M59" s="455">
        <f>INDEX('CTR1 Data Previous Year'!$H:$H,MATCH($D59,'CTR1 Data Previous Year'!$A:$A,0),1)</f>
        <v>0.99</v>
      </c>
      <c r="N59" s="465">
        <f>INDEX('CTR1 Data Previous Year'!$I:$I,MATCH($D59,'CTR1 Data Previous Year'!$A:$A,0),1)</f>
        <v>285.55</v>
      </c>
      <c r="O59" s="160" t="s">
        <v>323</v>
      </c>
      <c r="P59" s="817" t="s">
        <v>324</v>
      </c>
      <c r="Q59" s="820" t="s">
        <v>325</v>
      </c>
      <c r="R59" s="817" t="s">
        <v>326</v>
      </c>
      <c r="S59" s="821" t="s">
        <v>129</v>
      </c>
      <c r="T59" s="817"/>
      <c r="U59" s="160"/>
      <c r="V59" s="817"/>
      <c r="W59" s="465">
        <f>INDEX('CTR1 Data Previous Year'!$J:$J,MATCH($D59,'CTR1 Data Previous Year'!$A:$A,0),1)</f>
        <v>59713</v>
      </c>
      <c r="X59" s="465">
        <f>INDEX('CTR1 Data Previous Year'!$K:$K,MATCH($D59,'CTR1 Data Previous Year'!$A:$A,0),1)</f>
        <v>278.95</v>
      </c>
      <c r="Y59" s="465">
        <f>INDEX('CTR1 Data Previous Year'!$L:$L,MATCH($D59,'CTR1 Data Previous Year'!$A:$A,0),1)</f>
        <v>192.06</v>
      </c>
      <c r="Z59" s="836" t="str">
        <f t="shared" si="0"/>
        <v>N</v>
      </c>
      <c r="AA59" s="837" t="str">
        <f t="shared" si="1"/>
        <v>N</v>
      </c>
      <c r="AB59" s="838">
        <f t="shared" si="2"/>
        <v>192.06</v>
      </c>
      <c r="AC59" s="868">
        <f t="shared" si="3"/>
        <v>0</v>
      </c>
      <c r="AD59" s="876">
        <f t="shared" si="4"/>
        <v>0</v>
      </c>
      <c r="AE59" s="838">
        <f t="shared" si="5"/>
        <v>197.8218</v>
      </c>
      <c r="AF59" s="838">
        <f t="shared" si="6"/>
        <v>197.06</v>
      </c>
      <c r="AG59" s="839">
        <f t="shared" si="8"/>
        <v>0</v>
      </c>
      <c r="AH59" s="839">
        <f t="shared" si="9"/>
        <v>197.82</v>
      </c>
      <c r="AI59" s="840">
        <f t="shared" si="7"/>
        <v>0</v>
      </c>
      <c r="AJ59" s="841">
        <f t="shared" si="10"/>
        <v>0</v>
      </c>
      <c r="AK59" s="446"/>
      <c r="AL59" s="446"/>
      <c r="AM59" s="446"/>
      <c r="AN59" s="446"/>
    </row>
    <row r="60" spans="1:40" ht="15" customHeight="1" x14ac:dyDescent="0.25">
      <c r="A60" s="370">
        <v>55</v>
      </c>
      <c r="B60" s="371" t="s">
        <v>646</v>
      </c>
      <c r="C60" s="370" t="s">
        <v>647</v>
      </c>
      <c r="D60" s="370" t="s">
        <v>648</v>
      </c>
      <c r="E60" s="370" t="s">
        <v>321</v>
      </c>
      <c r="F60" s="370" t="s">
        <v>463</v>
      </c>
      <c r="G60" s="386">
        <f>INDEX('CTR1 Data Previous Year'!$B:$B,MATCH($D60,'CTR1 Data Previous Year'!$A:$A,0),1)</f>
        <v>9297800</v>
      </c>
      <c r="H60" s="386">
        <f>INDEX('CTR1 Data Previous Year'!$C:$C,MATCH($D60,'CTR1 Data Previous Year'!$A:$A,0),1)</f>
        <v>896812</v>
      </c>
      <c r="I60" s="386">
        <f>INDEX('CTR1 Data Previous Year'!$D:$D,MATCH($D60,'CTR1 Data Previous Year'!$A:$A,0),1)</f>
        <v>927688</v>
      </c>
      <c r="J60" s="386">
        <f>INDEX('CTR1 Data Previous Year'!$E:$E,MATCH($D60,'CTR1 Data Previous Year'!$A:$A,0),1)</f>
        <v>8370112</v>
      </c>
      <c r="K60" s="386">
        <f>INDEX('CTR1 Data Previous Year'!$F:$F,MATCH($D60,'CTR1 Data Previous Year'!$A:$A,0),1)</f>
        <v>0</v>
      </c>
      <c r="L60" s="465">
        <f>INDEX('CTR1 Data Previous Year'!$G:$G,MATCH($D60,'CTR1 Data Previous Year'!$A:$A,0),1)</f>
        <v>39342.14</v>
      </c>
      <c r="M60" s="455">
        <f>INDEX('CTR1 Data Previous Year'!$H:$H,MATCH($D60,'CTR1 Data Previous Year'!$A:$A,0),1)</f>
        <v>0.98499999999999999</v>
      </c>
      <c r="N60" s="465">
        <f>INDEX('CTR1 Data Previous Year'!$I:$I,MATCH($D60,'CTR1 Data Previous Year'!$A:$A,0),1)</f>
        <v>0</v>
      </c>
      <c r="O60" s="160" t="s">
        <v>572</v>
      </c>
      <c r="P60" s="817" t="s">
        <v>573</v>
      </c>
      <c r="Q60" s="820" t="s">
        <v>464</v>
      </c>
      <c r="R60" s="817" t="s">
        <v>465</v>
      </c>
      <c r="S60" s="821" t="s">
        <v>466</v>
      </c>
      <c r="T60" s="817" t="s">
        <v>467</v>
      </c>
      <c r="U60" s="160"/>
      <c r="V60" s="817"/>
      <c r="W60" s="465">
        <f>INDEX('CTR1 Data Previous Year'!$J:$J,MATCH($D60,'CTR1 Data Previous Year'!$A:$A,0),1)</f>
        <v>38752.01</v>
      </c>
      <c r="X60" s="465">
        <f>INDEX('CTR1 Data Previous Year'!$K:$K,MATCH($D60,'CTR1 Data Previous Year'!$A:$A,0),1)</f>
        <v>239.93</v>
      </c>
      <c r="Y60" s="465">
        <f>INDEX('CTR1 Data Previous Year'!$L:$L,MATCH($D60,'CTR1 Data Previous Year'!$A:$A,0),1)</f>
        <v>215.99</v>
      </c>
      <c r="Z60" s="836" t="str">
        <f t="shared" si="0"/>
        <v>N</v>
      </c>
      <c r="AA60" s="837" t="str">
        <f t="shared" si="1"/>
        <v>N</v>
      </c>
      <c r="AB60" s="838">
        <f t="shared" si="2"/>
        <v>215.99</v>
      </c>
      <c r="AC60" s="868">
        <f t="shared" si="3"/>
        <v>0</v>
      </c>
      <c r="AD60" s="876">
        <f t="shared" si="4"/>
        <v>0</v>
      </c>
      <c r="AE60" s="838">
        <f t="shared" si="5"/>
        <v>222.46970000000002</v>
      </c>
      <c r="AF60" s="838">
        <f t="shared" si="6"/>
        <v>220.99</v>
      </c>
      <c r="AG60" s="839">
        <f t="shared" si="8"/>
        <v>0</v>
      </c>
      <c r="AH60" s="839">
        <f t="shared" si="9"/>
        <v>222.47</v>
      </c>
      <c r="AI60" s="840">
        <f t="shared" si="7"/>
        <v>0</v>
      </c>
      <c r="AJ60" s="841">
        <f t="shared" si="10"/>
        <v>0</v>
      </c>
      <c r="AK60" s="446"/>
      <c r="AL60" s="446"/>
      <c r="AM60" s="446"/>
      <c r="AN60" s="446"/>
    </row>
    <row r="61" spans="1:40" ht="15" customHeight="1" x14ac:dyDescent="0.25">
      <c r="A61" s="370">
        <v>56</v>
      </c>
      <c r="B61" s="371" t="s">
        <v>649</v>
      </c>
      <c r="C61" s="370" t="s">
        <v>650</v>
      </c>
      <c r="D61" s="370" t="s">
        <v>651</v>
      </c>
      <c r="E61" s="370" t="s">
        <v>343</v>
      </c>
      <c r="F61" s="370" t="s">
        <v>378</v>
      </c>
      <c r="G61" s="386">
        <f>INDEX('CTR1 Data Previous Year'!$B:$B,MATCH($D61,'CTR1 Data Previous Year'!$A:$A,0),1)</f>
        <v>10581635</v>
      </c>
      <c r="H61" s="386">
        <f>INDEX('CTR1 Data Previous Year'!$C:$C,MATCH($D61,'CTR1 Data Previous Year'!$A:$A,0),1)</f>
        <v>0</v>
      </c>
      <c r="I61" s="386">
        <f>INDEX('CTR1 Data Previous Year'!$D:$D,MATCH($D61,'CTR1 Data Previous Year'!$A:$A,0),1)</f>
        <v>416021</v>
      </c>
      <c r="J61" s="386">
        <f>INDEX('CTR1 Data Previous Year'!$E:$E,MATCH($D61,'CTR1 Data Previous Year'!$A:$A,0),1)</f>
        <v>10165614</v>
      </c>
      <c r="K61" s="386">
        <f>INDEX('CTR1 Data Previous Year'!$F:$F,MATCH($D61,'CTR1 Data Previous Year'!$A:$A,0),1)</f>
        <v>276176</v>
      </c>
      <c r="L61" s="465">
        <f>INDEX('CTR1 Data Previous Year'!$G:$G,MATCH($D61,'CTR1 Data Previous Year'!$A:$A,0),1)</f>
        <v>9891.82</v>
      </c>
      <c r="M61" s="455">
        <f>INDEX('CTR1 Data Previous Year'!$H:$H,MATCH($D61,'CTR1 Data Previous Year'!$A:$A,0),1)</f>
        <v>0.97</v>
      </c>
      <c r="N61" s="465">
        <f>INDEX('CTR1 Data Previous Year'!$I:$I,MATCH($D61,'CTR1 Data Previous Year'!$A:$A,0),1)</f>
        <v>0</v>
      </c>
      <c r="O61" s="160" t="s">
        <v>379</v>
      </c>
      <c r="P61" s="862" t="s">
        <v>380</v>
      </c>
      <c r="Q61" s="820"/>
      <c r="R61" s="817"/>
      <c r="S61" s="821" t="s">
        <v>129</v>
      </c>
      <c r="T61" s="817"/>
      <c r="U61" s="160"/>
      <c r="V61" s="817"/>
      <c r="W61" s="465">
        <f>INDEX('CTR1 Data Previous Year'!$J:$J,MATCH($D61,'CTR1 Data Previous Year'!$A:$A,0),1)</f>
        <v>9595.07</v>
      </c>
      <c r="X61" s="465">
        <f>INDEX('CTR1 Data Previous Year'!$K:$K,MATCH($D61,'CTR1 Data Previous Year'!$A:$A,0),1)</f>
        <v>1102.82</v>
      </c>
      <c r="Y61" s="465">
        <f>INDEX('CTR1 Data Previous Year'!$L:$L,MATCH($D61,'CTR1 Data Previous Year'!$A:$A,0),1)</f>
        <v>1059.46</v>
      </c>
      <c r="Z61" s="836" t="str">
        <f t="shared" si="0"/>
        <v>N</v>
      </c>
      <c r="AA61" s="837" t="str">
        <f t="shared" si="1"/>
        <v>N</v>
      </c>
      <c r="AB61" s="838">
        <f t="shared" si="2"/>
        <v>1059.46</v>
      </c>
      <c r="AC61" s="868">
        <f t="shared" si="3"/>
        <v>0</v>
      </c>
      <c r="AD61" s="876">
        <f t="shared" si="4"/>
        <v>0</v>
      </c>
      <c r="AE61" s="838">
        <f t="shared" si="5"/>
        <v>1112.433</v>
      </c>
      <c r="AF61" s="838">
        <f t="shared" si="6"/>
        <v>1059.46</v>
      </c>
      <c r="AG61" s="839">
        <f t="shared" si="8"/>
        <v>0</v>
      </c>
      <c r="AH61" s="839">
        <f t="shared" si="9"/>
        <v>1112.43</v>
      </c>
      <c r="AI61" s="840">
        <f t="shared" si="7"/>
        <v>21.19</v>
      </c>
      <c r="AJ61" s="841">
        <f t="shared" si="10"/>
        <v>2.0000755101655561E-2</v>
      </c>
      <c r="AK61" s="446"/>
      <c r="AL61" s="446"/>
      <c r="AM61" s="446"/>
      <c r="AN61" s="446"/>
    </row>
    <row r="62" spans="1:40" ht="15" customHeight="1" x14ac:dyDescent="0.25">
      <c r="A62" s="370">
        <v>57</v>
      </c>
      <c r="B62" s="371" t="s">
        <v>652</v>
      </c>
      <c r="C62" s="370" t="s">
        <v>653</v>
      </c>
      <c r="D62" s="370" t="s">
        <v>654</v>
      </c>
      <c r="E62" s="370" t="s">
        <v>321</v>
      </c>
      <c r="F62" s="370" t="s">
        <v>368</v>
      </c>
      <c r="G62" s="386">
        <f>INDEX('CTR1 Data Previous Year'!$B:$B,MATCH($D62,'CTR1 Data Previous Year'!$A:$A,0),1)</f>
        <v>17777676</v>
      </c>
      <c r="H62" s="386">
        <f>INDEX('CTR1 Data Previous Year'!$C:$C,MATCH($D62,'CTR1 Data Previous Year'!$A:$A,0),1)</f>
        <v>0</v>
      </c>
      <c r="I62" s="386">
        <f>INDEX('CTR1 Data Previous Year'!$D:$D,MATCH($D62,'CTR1 Data Previous Year'!$A:$A,0),1)</f>
        <v>2695106</v>
      </c>
      <c r="J62" s="386">
        <f>INDEX('CTR1 Data Previous Year'!$E:$E,MATCH($D62,'CTR1 Data Previous Year'!$A:$A,0),1)</f>
        <v>15082570</v>
      </c>
      <c r="K62" s="386">
        <f>INDEX('CTR1 Data Previous Year'!$F:$F,MATCH($D62,'CTR1 Data Previous Year'!$A:$A,0),1)</f>
        <v>0</v>
      </c>
      <c r="L62" s="465">
        <f>INDEX('CTR1 Data Previous Year'!$G:$G,MATCH($D62,'CTR1 Data Previous Year'!$A:$A,0),1)</f>
        <v>67093.740000000005</v>
      </c>
      <c r="M62" s="455">
        <f>INDEX('CTR1 Data Previous Year'!$H:$H,MATCH($D62,'CTR1 Data Previous Year'!$A:$A,0),1)</f>
        <v>0.99</v>
      </c>
      <c r="N62" s="465">
        <f>INDEX('CTR1 Data Previous Year'!$I:$I,MATCH($D62,'CTR1 Data Previous Year'!$A:$A,0),1)</f>
        <v>778.1</v>
      </c>
      <c r="O62" s="160" t="s">
        <v>401</v>
      </c>
      <c r="P62" s="817" t="s">
        <v>402</v>
      </c>
      <c r="Q62" s="820" t="s">
        <v>403</v>
      </c>
      <c r="R62" s="817" t="s">
        <v>404</v>
      </c>
      <c r="S62" s="821" t="s">
        <v>405</v>
      </c>
      <c r="T62" s="817" t="s">
        <v>406</v>
      </c>
      <c r="U62" s="822"/>
      <c r="V62" s="817"/>
      <c r="W62" s="465">
        <f>INDEX('CTR1 Data Previous Year'!$J:$J,MATCH($D62,'CTR1 Data Previous Year'!$A:$A,0),1)</f>
        <v>67200.899999999994</v>
      </c>
      <c r="X62" s="465">
        <f>INDEX('CTR1 Data Previous Year'!$K:$K,MATCH($D62,'CTR1 Data Previous Year'!$A:$A,0),1)</f>
        <v>264.55</v>
      </c>
      <c r="Y62" s="465">
        <f>INDEX('CTR1 Data Previous Year'!$L:$L,MATCH($D62,'CTR1 Data Previous Year'!$A:$A,0),1)</f>
        <v>224.44</v>
      </c>
      <c r="Z62" s="836" t="str">
        <f t="shared" si="0"/>
        <v>N</v>
      </c>
      <c r="AA62" s="837" t="str">
        <f t="shared" si="1"/>
        <v>N</v>
      </c>
      <c r="AB62" s="838">
        <f t="shared" si="2"/>
        <v>224.44</v>
      </c>
      <c r="AC62" s="868">
        <f t="shared" si="3"/>
        <v>0</v>
      </c>
      <c r="AD62" s="876">
        <f t="shared" si="4"/>
        <v>0</v>
      </c>
      <c r="AE62" s="838">
        <f t="shared" si="5"/>
        <v>231.17320000000001</v>
      </c>
      <c r="AF62" s="838">
        <f t="shared" si="6"/>
        <v>229.44</v>
      </c>
      <c r="AG62" s="839">
        <f t="shared" si="8"/>
        <v>0</v>
      </c>
      <c r="AH62" s="839">
        <f t="shared" si="9"/>
        <v>231.17</v>
      </c>
      <c r="AI62" s="840">
        <f t="shared" si="7"/>
        <v>0</v>
      </c>
      <c r="AJ62" s="841">
        <f t="shared" si="10"/>
        <v>0</v>
      </c>
      <c r="AK62" s="446"/>
      <c r="AL62" s="446"/>
      <c r="AM62" s="446"/>
      <c r="AN62" s="446"/>
    </row>
    <row r="63" spans="1:40" ht="15" customHeight="1" x14ac:dyDescent="0.25">
      <c r="A63" s="370">
        <v>58</v>
      </c>
      <c r="B63" s="371" t="s">
        <v>655</v>
      </c>
      <c r="C63" s="370" t="s">
        <v>656</v>
      </c>
      <c r="D63" s="370" t="s">
        <v>657</v>
      </c>
      <c r="E63" s="370" t="s">
        <v>339</v>
      </c>
      <c r="F63" s="370" t="s">
        <v>425</v>
      </c>
      <c r="G63" s="386">
        <f>INDEX('CTR1 Data Previous Year'!$B:$B,MATCH($D63,'CTR1 Data Previous Year'!$A:$A,0),1)</f>
        <v>482363425</v>
      </c>
      <c r="H63" s="386">
        <f>INDEX('CTR1 Data Previous Year'!$C:$C,MATCH($D63,'CTR1 Data Previous Year'!$A:$A,0),1)</f>
        <v>0</v>
      </c>
      <c r="I63" s="386">
        <f>INDEX('CTR1 Data Previous Year'!$D:$D,MATCH($D63,'CTR1 Data Previous Year'!$A:$A,0),1)</f>
        <v>40984048.340000004</v>
      </c>
      <c r="J63" s="386">
        <f>INDEX('CTR1 Data Previous Year'!$E:$E,MATCH($D63,'CTR1 Data Previous Year'!$A:$A,0),1)</f>
        <v>441379376.66000003</v>
      </c>
      <c r="K63" s="386">
        <f>INDEX('CTR1 Data Previous Year'!$F:$F,MATCH($D63,'CTR1 Data Previous Year'!$A:$A,0),1)</f>
        <v>2012527.13</v>
      </c>
      <c r="L63" s="465">
        <f>INDEX('CTR1 Data Previous Year'!$G:$G,MATCH($D63,'CTR1 Data Previous Year'!$A:$A,0),1)</f>
        <v>223645</v>
      </c>
      <c r="M63" s="455">
        <f>INDEX('CTR1 Data Previous Year'!$H:$H,MATCH($D63,'CTR1 Data Previous Year'!$A:$A,0),1)</f>
        <v>0.99099999999999999</v>
      </c>
      <c r="N63" s="465">
        <f>INDEX('CTR1 Data Previous Year'!$I:$I,MATCH($D63,'CTR1 Data Previous Year'!$A:$A,0),1)</f>
        <v>479</v>
      </c>
      <c r="O63" s="160" t="s">
        <v>129</v>
      </c>
      <c r="P63" s="817"/>
      <c r="Q63" s="820" t="s">
        <v>658</v>
      </c>
      <c r="R63" s="817" t="s">
        <v>659</v>
      </c>
      <c r="S63" s="821" t="s">
        <v>129</v>
      </c>
      <c r="T63" s="817"/>
      <c r="U63" s="160"/>
      <c r="V63" s="817"/>
      <c r="W63" s="465">
        <f>INDEX('CTR1 Data Previous Year'!$J:$J,MATCH($D63,'CTR1 Data Previous Year'!$A:$A,0),1)</f>
        <v>222111.2</v>
      </c>
      <c r="X63" s="465">
        <f>INDEX('CTR1 Data Previous Year'!$K:$K,MATCH($D63,'CTR1 Data Previous Year'!$A:$A,0),1)</f>
        <v>2171.7199999999998</v>
      </c>
      <c r="Y63" s="465">
        <f>INDEX('CTR1 Data Previous Year'!$L:$L,MATCH($D63,'CTR1 Data Previous Year'!$A:$A,0),1)</f>
        <v>1987.2</v>
      </c>
      <c r="Z63" s="836" t="str">
        <f t="shared" si="0"/>
        <v>N</v>
      </c>
      <c r="AA63" s="837" t="str">
        <f t="shared" si="1"/>
        <v>N</v>
      </c>
      <c r="AB63" s="838">
        <f t="shared" si="2"/>
        <v>1987.2</v>
      </c>
      <c r="AC63" s="868">
        <f t="shared" si="3"/>
        <v>0</v>
      </c>
      <c r="AD63" s="876">
        <f t="shared" si="4"/>
        <v>0</v>
      </c>
      <c r="AE63" s="838">
        <f t="shared" si="5"/>
        <v>2086.56</v>
      </c>
      <c r="AF63" s="838">
        <f t="shared" si="6"/>
        <v>1987.2</v>
      </c>
      <c r="AG63" s="839">
        <f t="shared" si="8"/>
        <v>0</v>
      </c>
      <c r="AH63" s="839">
        <f t="shared" si="9"/>
        <v>2086.56</v>
      </c>
      <c r="AI63" s="840">
        <f t="shared" si="7"/>
        <v>39.74</v>
      </c>
      <c r="AJ63" s="841">
        <f t="shared" si="10"/>
        <v>1.9997987117552334E-2</v>
      </c>
      <c r="AK63" s="446"/>
      <c r="AL63" s="446"/>
      <c r="AM63" s="446"/>
      <c r="AN63" s="446"/>
    </row>
    <row r="64" spans="1:40" ht="15" customHeight="1" x14ac:dyDescent="0.25">
      <c r="A64" s="370">
        <v>59</v>
      </c>
      <c r="B64" s="371" t="s">
        <v>660</v>
      </c>
      <c r="C64" s="370" t="s">
        <v>661</v>
      </c>
      <c r="D64" s="370" t="s">
        <v>662</v>
      </c>
      <c r="E64" s="370" t="s">
        <v>321</v>
      </c>
      <c r="F64" s="370" t="s">
        <v>425</v>
      </c>
      <c r="G64" s="386">
        <f>INDEX('CTR1 Data Previous Year'!$B:$B,MATCH($D64,'CTR1 Data Previous Year'!$A:$A,0),1)</f>
        <v>12224262.26</v>
      </c>
      <c r="H64" s="386">
        <f>INDEX('CTR1 Data Previous Year'!$C:$C,MATCH($D64,'CTR1 Data Previous Year'!$A:$A,0),1)</f>
        <v>0</v>
      </c>
      <c r="I64" s="386">
        <f>INDEX('CTR1 Data Previous Year'!$D:$D,MATCH($D64,'CTR1 Data Previous Year'!$A:$A,0),1)</f>
        <v>5158844.75</v>
      </c>
      <c r="J64" s="386">
        <f>INDEX('CTR1 Data Previous Year'!$E:$E,MATCH($D64,'CTR1 Data Previous Year'!$A:$A,0),1)</f>
        <v>7065417.5099999998</v>
      </c>
      <c r="K64" s="386">
        <f>INDEX('CTR1 Data Previous Year'!$F:$F,MATCH($D64,'CTR1 Data Previous Year'!$A:$A,0),1)</f>
        <v>0</v>
      </c>
      <c r="L64" s="465">
        <f>INDEX('CTR1 Data Previous Year'!$G:$G,MATCH($D64,'CTR1 Data Previous Year'!$A:$A,0),1)</f>
        <v>44765.108990000001</v>
      </c>
      <c r="M64" s="455">
        <f>INDEX('CTR1 Data Previous Year'!$H:$H,MATCH($D64,'CTR1 Data Previous Year'!$A:$A,0),1)</f>
        <v>0.99</v>
      </c>
      <c r="N64" s="465">
        <f>INDEX('CTR1 Data Previous Year'!$I:$I,MATCH($D64,'CTR1 Data Previous Year'!$A:$A,0),1)</f>
        <v>138.69999999999999</v>
      </c>
      <c r="O64" s="160" t="s">
        <v>621</v>
      </c>
      <c r="P64" s="817" t="s">
        <v>622</v>
      </c>
      <c r="Q64" s="820" t="s">
        <v>623</v>
      </c>
      <c r="R64" s="817" t="s">
        <v>624</v>
      </c>
      <c r="S64" s="821" t="s">
        <v>129</v>
      </c>
      <c r="T64" s="817"/>
      <c r="U64" s="160"/>
      <c r="V64" s="817"/>
      <c r="W64" s="465">
        <f>INDEX('CTR1 Data Previous Year'!$J:$J,MATCH($D64,'CTR1 Data Previous Year'!$A:$A,0),1)</f>
        <v>44456.160000000003</v>
      </c>
      <c r="X64" s="465">
        <f>INDEX('CTR1 Data Previous Year'!$K:$K,MATCH($D64,'CTR1 Data Previous Year'!$A:$A,0),1)</f>
        <v>274.97000000000003</v>
      </c>
      <c r="Y64" s="465">
        <f>INDEX('CTR1 Data Previous Year'!$L:$L,MATCH($D64,'CTR1 Data Previous Year'!$A:$A,0),1)</f>
        <v>158.93</v>
      </c>
      <c r="Z64" s="836" t="str">
        <f t="shared" si="0"/>
        <v>N</v>
      </c>
      <c r="AA64" s="837" t="str">
        <f t="shared" si="1"/>
        <v>N</v>
      </c>
      <c r="AB64" s="838">
        <f t="shared" si="2"/>
        <v>158.93</v>
      </c>
      <c r="AC64" s="868">
        <f t="shared" si="3"/>
        <v>0</v>
      </c>
      <c r="AD64" s="876">
        <f t="shared" si="4"/>
        <v>0</v>
      </c>
      <c r="AE64" s="838">
        <f t="shared" si="5"/>
        <v>163.6979</v>
      </c>
      <c r="AF64" s="838">
        <f t="shared" si="6"/>
        <v>163.93</v>
      </c>
      <c r="AG64" s="839">
        <f t="shared" si="8"/>
        <v>0</v>
      </c>
      <c r="AH64" s="839">
        <f t="shared" si="9"/>
        <v>163.93</v>
      </c>
      <c r="AI64" s="840">
        <f t="shared" si="7"/>
        <v>0</v>
      </c>
      <c r="AJ64" s="841">
        <f t="shared" si="10"/>
        <v>0</v>
      </c>
      <c r="AK64" s="446"/>
      <c r="AL64" s="446"/>
      <c r="AM64" s="446"/>
      <c r="AN64" s="446"/>
    </row>
    <row r="65" spans="1:40" ht="15" customHeight="1" x14ac:dyDescent="0.25">
      <c r="A65" s="370">
        <v>60</v>
      </c>
      <c r="B65" s="371" t="s">
        <v>663</v>
      </c>
      <c r="C65" s="370" t="s">
        <v>664</v>
      </c>
      <c r="D65" s="370" t="s">
        <v>665</v>
      </c>
      <c r="E65" s="370" t="s">
        <v>353</v>
      </c>
      <c r="F65" s="370" t="s">
        <v>444</v>
      </c>
      <c r="G65" s="386">
        <f>INDEX('CTR1 Data Previous Year'!$B:$B,MATCH($D65,'CTR1 Data Previous Year'!$A:$A,0),1)</f>
        <v>189490860</v>
      </c>
      <c r="H65" s="386">
        <f>INDEX('CTR1 Data Previous Year'!$C:$C,MATCH($D65,'CTR1 Data Previous Year'!$A:$A,0),1)</f>
        <v>0</v>
      </c>
      <c r="I65" s="386">
        <f>INDEX('CTR1 Data Previous Year'!$D:$D,MATCH($D65,'CTR1 Data Previous Year'!$A:$A,0),1)</f>
        <v>51386</v>
      </c>
      <c r="J65" s="386">
        <f>INDEX('CTR1 Data Previous Year'!$E:$E,MATCH($D65,'CTR1 Data Previous Year'!$A:$A,0),1)</f>
        <v>189439474</v>
      </c>
      <c r="K65" s="386">
        <f>INDEX('CTR1 Data Previous Year'!$F:$F,MATCH($D65,'CTR1 Data Previous Year'!$A:$A,0),1)</f>
        <v>14986772</v>
      </c>
      <c r="L65" s="465">
        <f>INDEX('CTR1 Data Previous Year'!$G:$G,MATCH($D65,'CTR1 Data Previous Year'!$A:$A,0),1)</f>
        <v>92277.3</v>
      </c>
      <c r="M65" s="455">
        <f>INDEX('CTR1 Data Previous Year'!$H:$H,MATCH($D65,'CTR1 Data Previous Year'!$A:$A,0),1)</f>
        <v>0.97599999999999998</v>
      </c>
      <c r="N65" s="465">
        <f>INDEX('CTR1 Data Previous Year'!$I:$I,MATCH($D65,'CTR1 Data Previous Year'!$A:$A,0),1)</f>
        <v>0</v>
      </c>
      <c r="O65" s="160" t="s">
        <v>129</v>
      </c>
      <c r="P65" s="817"/>
      <c r="Q65" s="820" t="s">
        <v>445</v>
      </c>
      <c r="R65" s="817" t="s">
        <v>446</v>
      </c>
      <c r="S65" s="821" t="s">
        <v>447</v>
      </c>
      <c r="T65" s="817" t="s">
        <v>448</v>
      </c>
      <c r="U65" s="822" t="s">
        <v>449</v>
      </c>
      <c r="V65" s="817" t="s">
        <v>450</v>
      </c>
      <c r="W65" s="465">
        <f>INDEX('CTR1 Data Previous Year'!$J:$J,MATCH($D65,'CTR1 Data Previous Year'!$A:$A,0),1)</f>
        <v>90062.64</v>
      </c>
      <c r="X65" s="465">
        <f>INDEX('CTR1 Data Previous Year'!$K:$K,MATCH($D65,'CTR1 Data Previous Year'!$A:$A,0),1)</f>
        <v>2103.9899999999998</v>
      </c>
      <c r="Y65" s="465">
        <f>INDEX('CTR1 Data Previous Year'!$L:$L,MATCH($D65,'CTR1 Data Previous Year'!$A:$A,0),1)</f>
        <v>2103.42</v>
      </c>
      <c r="Z65" s="836" t="str">
        <f t="shared" si="0"/>
        <v>N</v>
      </c>
      <c r="AA65" s="837" t="str">
        <f t="shared" si="1"/>
        <v>N</v>
      </c>
      <c r="AB65" s="838">
        <f t="shared" si="2"/>
        <v>2103.42</v>
      </c>
      <c r="AC65" s="868">
        <f t="shared" si="3"/>
        <v>0</v>
      </c>
      <c r="AD65" s="876">
        <f t="shared" si="4"/>
        <v>0</v>
      </c>
      <c r="AE65" s="838">
        <f t="shared" si="5"/>
        <v>2208.5910000000003</v>
      </c>
      <c r="AF65" s="838">
        <f t="shared" si="6"/>
        <v>2103.42</v>
      </c>
      <c r="AG65" s="839">
        <f t="shared" si="8"/>
        <v>0</v>
      </c>
      <c r="AH65" s="839">
        <f t="shared" si="9"/>
        <v>2208.59</v>
      </c>
      <c r="AI65" s="840">
        <f t="shared" si="7"/>
        <v>42.07</v>
      </c>
      <c r="AJ65" s="841">
        <f t="shared" si="10"/>
        <v>2.0000760665963051E-2</v>
      </c>
      <c r="AK65" s="446"/>
      <c r="AL65" s="446"/>
      <c r="AM65" s="446"/>
      <c r="AN65" s="446"/>
    </row>
    <row r="66" spans="1:40" ht="15" customHeight="1" x14ac:dyDescent="0.25">
      <c r="A66" s="370">
        <v>61</v>
      </c>
      <c r="B66" s="371" t="s">
        <v>666</v>
      </c>
      <c r="C66" s="370" t="s">
        <v>667</v>
      </c>
      <c r="D66" s="370" t="s">
        <v>668</v>
      </c>
      <c r="E66" s="370" t="s">
        <v>321</v>
      </c>
      <c r="F66" s="370" t="s">
        <v>322</v>
      </c>
      <c r="G66" s="386">
        <f>INDEX('CTR1 Data Previous Year'!$B:$B,MATCH($D66,'CTR1 Data Previous Year'!$A:$A,0),1)</f>
        <v>8840927</v>
      </c>
      <c r="H66" s="386">
        <f>INDEX('CTR1 Data Previous Year'!$C:$C,MATCH($D66,'CTR1 Data Previous Year'!$A:$A,0),1)</f>
        <v>0</v>
      </c>
      <c r="I66" s="386">
        <f>INDEX('CTR1 Data Previous Year'!$D:$D,MATCH($D66,'CTR1 Data Previous Year'!$A:$A,0),1)</f>
        <v>0</v>
      </c>
      <c r="J66" s="386">
        <f>INDEX('CTR1 Data Previous Year'!$E:$E,MATCH($D66,'CTR1 Data Previous Year'!$A:$A,0),1)</f>
        <v>8840927</v>
      </c>
      <c r="K66" s="386">
        <f>INDEX('CTR1 Data Previous Year'!$F:$F,MATCH($D66,'CTR1 Data Previous Year'!$A:$A,0),1)</f>
        <v>0</v>
      </c>
      <c r="L66" s="465">
        <f>INDEX('CTR1 Data Previous Year'!$G:$G,MATCH($D66,'CTR1 Data Previous Year'!$A:$A,0),1)</f>
        <v>37171.03</v>
      </c>
      <c r="M66" s="455">
        <f>INDEX('CTR1 Data Previous Year'!$H:$H,MATCH($D66,'CTR1 Data Previous Year'!$A:$A,0),1)</f>
        <v>0.995</v>
      </c>
      <c r="N66" s="465">
        <f>INDEX('CTR1 Data Previous Year'!$I:$I,MATCH($D66,'CTR1 Data Previous Year'!$A:$A,0),1)</f>
        <v>0</v>
      </c>
      <c r="O66" s="160" t="s">
        <v>323</v>
      </c>
      <c r="P66" s="817" t="s">
        <v>324</v>
      </c>
      <c r="Q66" s="820" t="s">
        <v>325</v>
      </c>
      <c r="R66" s="817" t="s">
        <v>326</v>
      </c>
      <c r="S66" s="821" t="s">
        <v>129</v>
      </c>
      <c r="T66" s="817"/>
      <c r="U66" s="160"/>
      <c r="V66" s="817"/>
      <c r="W66" s="465">
        <f>INDEX('CTR1 Data Previous Year'!$J:$J,MATCH($D66,'CTR1 Data Previous Year'!$A:$A,0),1)</f>
        <v>36985.17</v>
      </c>
      <c r="X66" s="465">
        <f>INDEX('CTR1 Data Previous Year'!$K:$K,MATCH($D66,'CTR1 Data Previous Year'!$A:$A,0),1)</f>
        <v>239.04</v>
      </c>
      <c r="Y66" s="465">
        <f>INDEX('CTR1 Data Previous Year'!$L:$L,MATCH($D66,'CTR1 Data Previous Year'!$A:$A,0),1)</f>
        <v>239.04</v>
      </c>
      <c r="Z66" s="836" t="str">
        <f t="shared" si="0"/>
        <v>N</v>
      </c>
      <c r="AA66" s="837" t="str">
        <f t="shared" si="1"/>
        <v>N</v>
      </c>
      <c r="AB66" s="838">
        <f t="shared" si="2"/>
        <v>239.04</v>
      </c>
      <c r="AC66" s="868">
        <f t="shared" si="3"/>
        <v>0</v>
      </c>
      <c r="AD66" s="876">
        <f t="shared" si="4"/>
        <v>0</v>
      </c>
      <c r="AE66" s="838">
        <f t="shared" si="5"/>
        <v>246.21119999999999</v>
      </c>
      <c r="AF66" s="838">
        <f t="shared" si="6"/>
        <v>244.04</v>
      </c>
      <c r="AG66" s="839">
        <f t="shared" si="8"/>
        <v>0</v>
      </c>
      <c r="AH66" s="839">
        <f t="shared" si="9"/>
        <v>246.21</v>
      </c>
      <c r="AI66" s="840">
        <f t="shared" si="7"/>
        <v>0</v>
      </c>
      <c r="AJ66" s="841">
        <f t="shared" si="10"/>
        <v>0</v>
      </c>
      <c r="AK66" s="446"/>
      <c r="AL66" s="446"/>
      <c r="AM66" s="446"/>
      <c r="AN66" s="446"/>
    </row>
    <row r="67" spans="1:40" ht="15" customHeight="1" x14ac:dyDescent="0.25">
      <c r="A67" s="370">
        <v>62</v>
      </c>
      <c r="B67" s="371" t="s">
        <v>669</v>
      </c>
      <c r="C67" s="370" t="s">
        <v>670</v>
      </c>
      <c r="D67" s="370" t="s">
        <v>671</v>
      </c>
      <c r="E67" s="370" t="s">
        <v>343</v>
      </c>
      <c r="F67" s="370" t="s">
        <v>378</v>
      </c>
      <c r="G67" s="386">
        <f>INDEX('CTR1 Data Previous Year'!$B:$B,MATCH($D67,'CTR1 Data Previous Year'!$A:$A,0),1)</f>
        <v>275430835</v>
      </c>
      <c r="H67" s="386">
        <f>INDEX('CTR1 Data Previous Year'!$C:$C,MATCH($D67,'CTR1 Data Previous Year'!$A:$A,0),1)</f>
        <v>0</v>
      </c>
      <c r="I67" s="386">
        <f>INDEX('CTR1 Data Previous Year'!$D:$D,MATCH($D67,'CTR1 Data Previous Year'!$A:$A,0),1)</f>
        <v>0</v>
      </c>
      <c r="J67" s="386">
        <f>INDEX('CTR1 Data Previous Year'!$E:$E,MATCH($D67,'CTR1 Data Previous Year'!$A:$A,0),1)</f>
        <v>275430835</v>
      </c>
      <c r="K67" s="386">
        <f>INDEX('CTR1 Data Previous Year'!$F:$F,MATCH($D67,'CTR1 Data Previous Year'!$A:$A,0),1)</f>
        <v>1548000</v>
      </c>
      <c r="L67" s="465">
        <f>INDEX('CTR1 Data Previous Year'!$G:$G,MATCH($D67,'CTR1 Data Previous Year'!$A:$A,0),1)</f>
        <v>141225</v>
      </c>
      <c r="M67" s="455">
        <f>INDEX('CTR1 Data Previous Year'!$H:$H,MATCH($D67,'CTR1 Data Previous Year'!$A:$A,0),1)</f>
        <v>0.98</v>
      </c>
      <c r="N67" s="465">
        <f>INDEX('CTR1 Data Previous Year'!$I:$I,MATCH($D67,'CTR1 Data Previous Year'!$A:$A,0),1)</f>
        <v>0</v>
      </c>
      <c r="O67" s="160" t="s">
        <v>379</v>
      </c>
      <c r="P67" s="862" t="s">
        <v>380</v>
      </c>
      <c r="Q67" s="820"/>
      <c r="R67" s="817"/>
      <c r="S67" s="821" t="s">
        <v>129</v>
      </c>
      <c r="T67" s="817"/>
      <c r="U67" s="160"/>
      <c r="V67" s="817"/>
      <c r="W67" s="465">
        <f>INDEX('CTR1 Data Previous Year'!$J:$J,MATCH($D67,'CTR1 Data Previous Year'!$A:$A,0),1)</f>
        <v>138400.5</v>
      </c>
      <c r="X67" s="465">
        <f>INDEX('CTR1 Data Previous Year'!$K:$K,MATCH($D67,'CTR1 Data Previous Year'!$A:$A,0),1)</f>
        <v>1990.1</v>
      </c>
      <c r="Y67" s="465">
        <f>INDEX('CTR1 Data Previous Year'!$L:$L,MATCH($D67,'CTR1 Data Previous Year'!$A:$A,0),1)</f>
        <v>1990.1</v>
      </c>
      <c r="Z67" s="836" t="str">
        <f t="shared" si="0"/>
        <v>N</v>
      </c>
      <c r="AA67" s="837" t="str">
        <f t="shared" si="1"/>
        <v>N</v>
      </c>
      <c r="AB67" s="838">
        <f t="shared" si="2"/>
        <v>1990.1</v>
      </c>
      <c r="AC67" s="868">
        <f t="shared" si="3"/>
        <v>0</v>
      </c>
      <c r="AD67" s="876">
        <f t="shared" si="4"/>
        <v>0</v>
      </c>
      <c r="AE67" s="838">
        <f t="shared" si="5"/>
        <v>2089.605</v>
      </c>
      <c r="AF67" s="838">
        <f t="shared" si="6"/>
        <v>1990.1</v>
      </c>
      <c r="AG67" s="839">
        <f t="shared" si="8"/>
        <v>0</v>
      </c>
      <c r="AH67" s="839">
        <f t="shared" si="9"/>
        <v>2089.61</v>
      </c>
      <c r="AI67" s="840">
        <f t="shared" si="7"/>
        <v>39.799999999999997</v>
      </c>
      <c r="AJ67" s="841">
        <f t="shared" si="10"/>
        <v>1.999899502537561E-2</v>
      </c>
      <c r="AK67" s="446"/>
      <c r="AL67" s="446"/>
      <c r="AM67" s="446"/>
      <c r="AN67" s="446"/>
    </row>
    <row r="68" spans="1:40" ht="15" customHeight="1" x14ac:dyDescent="0.25">
      <c r="A68" s="370">
        <v>63</v>
      </c>
      <c r="B68" s="383" t="s">
        <v>672</v>
      </c>
      <c r="C68" s="382" t="s">
        <v>673</v>
      </c>
      <c r="D68" s="382" t="s">
        <v>674</v>
      </c>
      <c r="E68" s="370" t="s">
        <v>339</v>
      </c>
      <c r="F68" s="370" t="s">
        <v>463</v>
      </c>
      <c r="G68" s="386">
        <f>INDEX('CTR1 Data Previous Year'!$B:$B,MATCH($D68,'CTR1 Data Previous Year'!$A:$A,0),1)</f>
        <v>184744630</v>
      </c>
      <c r="H68" s="386">
        <f>INDEX('CTR1 Data Previous Year'!$C:$C,MATCH($D68,'CTR1 Data Previous Year'!$A:$A,0),1)</f>
        <v>0</v>
      </c>
      <c r="I68" s="386">
        <f>INDEX('CTR1 Data Previous Year'!$D:$D,MATCH($D68,'CTR1 Data Previous Year'!$A:$A,0),1)</f>
        <v>6020091</v>
      </c>
      <c r="J68" s="386">
        <f>INDEX('CTR1 Data Previous Year'!$E:$E,MATCH($D68,'CTR1 Data Previous Year'!$A:$A,0),1)</f>
        <v>178724539</v>
      </c>
      <c r="K68" s="386">
        <f>INDEX('CTR1 Data Previous Year'!$F:$F,MATCH($D68,'CTR1 Data Previous Year'!$A:$A,0),1)</f>
        <v>0</v>
      </c>
      <c r="L68" s="465">
        <f>INDEX('CTR1 Data Previous Year'!$G:$G,MATCH($D68,'CTR1 Data Previous Year'!$A:$A,0),1)</f>
        <v>95124.53</v>
      </c>
      <c r="M68" s="455">
        <f>INDEX('CTR1 Data Previous Year'!$H:$H,MATCH($D68,'CTR1 Data Previous Year'!$A:$A,0),1)</f>
        <v>0.98499999999999999</v>
      </c>
      <c r="N68" s="465">
        <f>INDEX('CTR1 Data Previous Year'!$I:$I,MATCH($D68,'CTR1 Data Previous Year'!$A:$A,0),1)</f>
        <v>0</v>
      </c>
      <c r="O68" s="160"/>
      <c r="P68" s="817"/>
      <c r="Q68" s="820" t="s">
        <v>675</v>
      </c>
      <c r="R68" s="817" t="s">
        <v>676</v>
      </c>
      <c r="S68" s="821" t="s">
        <v>677</v>
      </c>
      <c r="T68" s="817" t="s">
        <v>678</v>
      </c>
      <c r="U68" s="160"/>
      <c r="V68" s="817"/>
      <c r="W68" s="465">
        <f>INDEX('CTR1 Data Previous Year'!$J:$J,MATCH($D68,'CTR1 Data Previous Year'!$A:$A,0),1)</f>
        <v>93697.66</v>
      </c>
      <c r="X68" s="465">
        <f>INDEX('CTR1 Data Previous Year'!$K:$K,MATCH($D68,'CTR1 Data Previous Year'!$A:$A,0),1)</f>
        <v>1971.71</v>
      </c>
      <c r="Y68" s="465">
        <f>INDEX('CTR1 Data Previous Year'!$L:$L,MATCH($D68,'CTR1 Data Previous Year'!$A:$A,0),1)</f>
        <v>1907.46</v>
      </c>
      <c r="Z68" s="836" t="str">
        <f t="shared" si="0"/>
        <v>N</v>
      </c>
      <c r="AA68" s="837" t="str">
        <f t="shared" si="1"/>
        <v>N</v>
      </c>
      <c r="AB68" s="838">
        <f t="shared" si="2"/>
        <v>1907.46</v>
      </c>
      <c r="AC68" s="868">
        <f t="shared" si="3"/>
        <v>0</v>
      </c>
      <c r="AD68" s="876">
        <f t="shared" si="4"/>
        <v>0</v>
      </c>
      <c r="AE68" s="838">
        <f t="shared" si="5"/>
        <v>2002.8330000000001</v>
      </c>
      <c r="AF68" s="838">
        <f t="shared" si="6"/>
        <v>1907.46</v>
      </c>
      <c r="AG68" s="839">
        <f t="shared" si="8"/>
        <v>0</v>
      </c>
      <c r="AH68" s="839">
        <f t="shared" si="9"/>
        <v>2002.83</v>
      </c>
      <c r="AI68" s="840">
        <f t="shared" si="7"/>
        <v>38.15</v>
      </c>
      <c r="AJ68" s="841">
        <f t="shared" si="10"/>
        <v>2.0000419405911525E-2</v>
      </c>
      <c r="AK68" s="446"/>
      <c r="AL68" s="446"/>
      <c r="AM68" s="446"/>
      <c r="AN68" s="446"/>
    </row>
    <row r="69" spans="1:40" ht="15" customHeight="1" x14ac:dyDescent="0.25">
      <c r="A69" s="370">
        <v>64</v>
      </c>
      <c r="B69" s="371" t="s">
        <v>679</v>
      </c>
      <c r="C69" s="370" t="s">
        <v>680</v>
      </c>
      <c r="D69" s="370" t="s">
        <v>681</v>
      </c>
      <c r="E69" s="370" t="s">
        <v>321</v>
      </c>
      <c r="F69" s="370" t="s">
        <v>368</v>
      </c>
      <c r="G69" s="386">
        <f>INDEX('CTR1 Data Previous Year'!$B:$B,MATCH($D69,'CTR1 Data Previous Year'!$A:$A,0),1)</f>
        <v>15564139.529999999</v>
      </c>
      <c r="H69" s="386">
        <f>INDEX('CTR1 Data Previous Year'!$C:$C,MATCH($D69,'CTR1 Data Previous Year'!$A:$A,0),1)</f>
        <v>0</v>
      </c>
      <c r="I69" s="386">
        <f>INDEX('CTR1 Data Previous Year'!$D:$D,MATCH($D69,'CTR1 Data Previous Year'!$A:$A,0),1)</f>
        <v>1392920</v>
      </c>
      <c r="J69" s="386">
        <f>INDEX('CTR1 Data Previous Year'!$E:$E,MATCH($D69,'CTR1 Data Previous Year'!$A:$A,0),1)</f>
        <v>14171219.529999999</v>
      </c>
      <c r="K69" s="386">
        <f>INDEX('CTR1 Data Previous Year'!$F:$F,MATCH($D69,'CTR1 Data Previous Year'!$A:$A,0),1)</f>
        <v>0</v>
      </c>
      <c r="L69" s="465">
        <f>INDEX('CTR1 Data Previous Year'!$G:$G,MATCH($D69,'CTR1 Data Previous Year'!$A:$A,0),1)</f>
        <v>60923.25</v>
      </c>
      <c r="M69" s="455">
        <f>INDEX('CTR1 Data Previous Year'!$H:$H,MATCH($D69,'CTR1 Data Previous Year'!$A:$A,0),1)</f>
        <v>0.98499999999999999</v>
      </c>
      <c r="N69" s="465">
        <f>INDEX('CTR1 Data Previous Year'!$I:$I,MATCH($D69,'CTR1 Data Previous Year'!$A:$A,0),1)</f>
        <v>0</v>
      </c>
      <c r="O69" s="160" t="s">
        <v>557</v>
      </c>
      <c r="P69" s="817" t="s">
        <v>558</v>
      </c>
      <c r="Q69" s="820" t="s">
        <v>559</v>
      </c>
      <c r="R69" s="817" t="s">
        <v>560</v>
      </c>
      <c r="S69" s="821" t="s">
        <v>129</v>
      </c>
      <c r="T69" s="817"/>
      <c r="U69" s="160"/>
      <c r="V69" s="817"/>
      <c r="W69" s="465">
        <f>INDEX('CTR1 Data Previous Year'!$J:$J,MATCH($D69,'CTR1 Data Previous Year'!$A:$A,0),1)</f>
        <v>60009.4</v>
      </c>
      <c r="X69" s="465">
        <f>INDEX('CTR1 Data Previous Year'!$K:$K,MATCH($D69,'CTR1 Data Previous Year'!$A:$A,0),1)</f>
        <v>259.36</v>
      </c>
      <c r="Y69" s="465">
        <f>INDEX('CTR1 Data Previous Year'!$L:$L,MATCH($D69,'CTR1 Data Previous Year'!$A:$A,0),1)</f>
        <v>236.15</v>
      </c>
      <c r="Z69" s="836" t="str">
        <f t="shared" si="0"/>
        <v>N</v>
      </c>
      <c r="AA69" s="837" t="str">
        <f t="shared" si="1"/>
        <v>N</v>
      </c>
      <c r="AB69" s="838">
        <f t="shared" si="2"/>
        <v>236.15</v>
      </c>
      <c r="AC69" s="868">
        <f t="shared" si="3"/>
        <v>0</v>
      </c>
      <c r="AD69" s="876">
        <f t="shared" si="4"/>
        <v>0</v>
      </c>
      <c r="AE69" s="838">
        <f t="shared" si="5"/>
        <v>243.23450000000003</v>
      </c>
      <c r="AF69" s="838">
        <f t="shared" si="6"/>
        <v>241.15</v>
      </c>
      <c r="AG69" s="839">
        <f t="shared" si="8"/>
        <v>0</v>
      </c>
      <c r="AH69" s="839">
        <f t="shared" si="9"/>
        <v>243.23</v>
      </c>
      <c r="AI69" s="840">
        <f t="shared" si="7"/>
        <v>0</v>
      </c>
      <c r="AJ69" s="841">
        <f t="shared" si="10"/>
        <v>0</v>
      </c>
      <c r="AK69" s="446"/>
      <c r="AL69" s="446"/>
      <c r="AM69" s="446"/>
      <c r="AN69" s="446"/>
    </row>
    <row r="70" spans="1:40" ht="15" customHeight="1" x14ac:dyDescent="0.25">
      <c r="A70" s="370">
        <v>65</v>
      </c>
      <c r="B70" s="371" t="s">
        <v>682</v>
      </c>
      <c r="C70" s="370" t="s">
        <v>683</v>
      </c>
      <c r="D70" s="370" t="s">
        <v>684</v>
      </c>
      <c r="E70" s="370" t="s">
        <v>339</v>
      </c>
      <c r="F70" s="370" t="s">
        <v>685</v>
      </c>
      <c r="G70" s="386">
        <f>INDEX('CTR1 Data Previous Year'!$B:$B,MATCH($D70,'CTR1 Data Previous Year'!$A:$A,0),1)</f>
        <v>70596728</v>
      </c>
      <c r="H70" s="386">
        <f>INDEX('CTR1 Data Previous Year'!$C:$C,MATCH($D70,'CTR1 Data Previous Year'!$A:$A,0),1)</f>
        <v>0</v>
      </c>
      <c r="I70" s="386">
        <f>INDEX('CTR1 Data Previous Year'!$D:$D,MATCH($D70,'CTR1 Data Previous Year'!$A:$A,0),1)</f>
        <v>255728</v>
      </c>
      <c r="J70" s="386">
        <f>INDEX('CTR1 Data Previous Year'!$E:$E,MATCH($D70,'CTR1 Data Previous Year'!$A:$A,0),1)</f>
        <v>70341000</v>
      </c>
      <c r="K70" s="386">
        <f>INDEX('CTR1 Data Previous Year'!$F:$F,MATCH($D70,'CTR1 Data Previous Year'!$A:$A,0),1)</f>
        <v>129598</v>
      </c>
      <c r="L70" s="465">
        <f>INDEX('CTR1 Data Previous Year'!$G:$G,MATCH($D70,'CTR1 Data Previous Year'!$A:$A,0),1)</f>
        <v>36235.050000000003</v>
      </c>
      <c r="M70" s="455">
        <f>INDEX('CTR1 Data Previous Year'!$H:$H,MATCH($D70,'CTR1 Data Previous Year'!$A:$A,0),1)</f>
        <v>0.99</v>
      </c>
      <c r="N70" s="465">
        <f>INDEX('CTR1 Data Previous Year'!$I:$I,MATCH($D70,'CTR1 Data Previous Year'!$A:$A,0),1)</f>
        <v>31.8</v>
      </c>
      <c r="O70" s="160" t="s">
        <v>129</v>
      </c>
      <c r="P70" s="817"/>
      <c r="Q70" s="820" t="s">
        <v>686</v>
      </c>
      <c r="R70" s="817" t="s">
        <v>687</v>
      </c>
      <c r="S70" s="821" t="s">
        <v>688</v>
      </c>
      <c r="T70" s="817" t="s">
        <v>689</v>
      </c>
      <c r="U70" s="822" t="s">
        <v>690</v>
      </c>
      <c r="V70" s="817" t="s">
        <v>691</v>
      </c>
      <c r="W70" s="465">
        <f>INDEX('CTR1 Data Previous Year'!$J:$J,MATCH($D70,'CTR1 Data Previous Year'!$A:$A,0),1)</f>
        <v>35904.5</v>
      </c>
      <c r="X70" s="465">
        <f>INDEX('CTR1 Data Previous Year'!$K:$K,MATCH($D70,'CTR1 Data Previous Year'!$A:$A,0),1)</f>
        <v>1966.24</v>
      </c>
      <c r="Y70" s="465">
        <f>INDEX('CTR1 Data Previous Year'!$L:$L,MATCH($D70,'CTR1 Data Previous Year'!$A:$A,0),1)</f>
        <v>1959.11</v>
      </c>
      <c r="Z70" s="836" t="str">
        <f t="shared" ref="Z70:Z133" si="14">IF(IFERROR(VLOOKUP($C70,$AL$13:$AL$33,1,0),"N")="N","N","Y")</f>
        <v>N</v>
      </c>
      <c r="AA70" s="837" t="str">
        <f t="shared" ref="AA70:AA133" si="15">IF(IFERROR(VLOOKUP($C70,$AL$36:$AL$56,1,0),"N")="N","N","Y")</f>
        <v>N</v>
      </c>
      <c r="AB70" s="838">
        <f t="shared" ref="AB70:AB133" si="16">IF($AA70="N",$Y70,VLOOKUP($C70,$AL$36:$AM$56,2,0))</f>
        <v>1959.11</v>
      </c>
      <c r="AC70" s="868">
        <f t="shared" ref="AC70:AC133" si="17">IF($Z70="Y",VLOOKUP($C70,$AL$13:$AN$33,2,0),0)</f>
        <v>0</v>
      </c>
      <c r="AD70" s="876">
        <f t="shared" ref="AD70:AD133" si="18">IF($Z70="Y",VLOOKUP($C70,$AL$13:$AN$33,3,0),0)</f>
        <v>0</v>
      </c>
      <c r="AE70" s="838">
        <f t="shared" ref="AE70:AE133" si="19">$AB70*(1+(VLOOKUP($E70,$AK$6:$AN$9,3,0)+VLOOKUP($E70,$AK$6:$AN$9,2,0)))</f>
        <v>2057.0655000000002</v>
      </c>
      <c r="AF70" s="838">
        <f t="shared" ref="AF70:AF133" si="20">$AB70+VLOOKUP($E70,$AK$6:$AN$9,4,0)</f>
        <v>1959.11</v>
      </c>
      <c r="AG70" s="839">
        <f t="shared" si="8"/>
        <v>0</v>
      </c>
      <c r="AH70" s="839">
        <f t="shared" si="9"/>
        <v>2057.0700000000002</v>
      </c>
      <c r="AI70" s="840">
        <f t="shared" ref="AI70:AI133" si="21">ROUND($AB70*VLOOKUP($E70,$AK$6:$AN$9,2,0),2)</f>
        <v>39.18</v>
      </c>
      <c r="AJ70" s="841">
        <f t="shared" si="10"/>
        <v>1.9998877041105402E-2</v>
      </c>
      <c r="AK70" s="446"/>
      <c r="AL70" s="446"/>
      <c r="AM70" s="446"/>
      <c r="AN70" s="446"/>
    </row>
    <row r="71" spans="1:40" ht="15" customHeight="1" x14ac:dyDescent="0.25">
      <c r="A71" s="370">
        <v>66</v>
      </c>
      <c r="B71" s="371" t="s">
        <v>692</v>
      </c>
      <c r="C71" s="370" t="s">
        <v>693</v>
      </c>
      <c r="D71" s="370" t="s">
        <v>694</v>
      </c>
      <c r="E71" s="370" t="s">
        <v>321</v>
      </c>
      <c r="F71" s="370" t="s">
        <v>322</v>
      </c>
      <c r="G71" s="386">
        <f>INDEX('CTR1 Data Previous Year'!$B:$B,MATCH($D71,'CTR1 Data Previous Year'!$A:$A,0),1)</f>
        <v>9355803</v>
      </c>
      <c r="H71" s="386">
        <f>INDEX('CTR1 Data Previous Year'!$C:$C,MATCH($D71,'CTR1 Data Previous Year'!$A:$A,0),1)</f>
        <v>0</v>
      </c>
      <c r="I71" s="386">
        <f>INDEX('CTR1 Data Previous Year'!$D:$D,MATCH($D71,'CTR1 Data Previous Year'!$A:$A,0),1)</f>
        <v>1489074</v>
      </c>
      <c r="J71" s="386">
        <f>INDEX('CTR1 Data Previous Year'!$E:$E,MATCH($D71,'CTR1 Data Previous Year'!$A:$A,0),1)</f>
        <v>7866729</v>
      </c>
      <c r="K71" s="386">
        <f>INDEX('CTR1 Data Previous Year'!$F:$F,MATCH($D71,'CTR1 Data Previous Year'!$A:$A,0),1)</f>
        <v>0</v>
      </c>
      <c r="L71" s="465">
        <f>INDEX('CTR1 Data Previous Year'!$G:$G,MATCH($D71,'CTR1 Data Previous Year'!$A:$A,0),1)</f>
        <v>42992.1</v>
      </c>
      <c r="M71" s="455">
        <f>INDEX('CTR1 Data Previous Year'!$H:$H,MATCH($D71,'CTR1 Data Previous Year'!$A:$A,0),1)</f>
        <v>0.97</v>
      </c>
      <c r="N71" s="465">
        <f>INDEX('CTR1 Data Previous Year'!$I:$I,MATCH($D71,'CTR1 Data Previous Year'!$A:$A,0),1)</f>
        <v>0</v>
      </c>
      <c r="O71" s="160" t="s">
        <v>358</v>
      </c>
      <c r="P71" s="817" t="s">
        <v>359</v>
      </c>
      <c r="Q71" s="820" t="s">
        <v>360</v>
      </c>
      <c r="R71" s="817" t="s">
        <v>361</v>
      </c>
      <c r="S71" s="821" t="s">
        <v>362</v>
      </c>
      <c r="T71" s="817" t="s">
        <v>363</v>
      </c>
      <c r="U71" s="160"/>
      <c r="V71" s="817"/>
      <c r="W71" s="465">
        <f>INDEX('CTR1 Data Previous Year'!$J:$J,MATCH($D71,'CTR1 Data Previous Year'!$A:$A,0),1)</f>
        <v>41702.339999999997</v>
      </c>
      <c r="X71" s="465">
        <f>INDEX('CTR1 Data Previous Year'!$K:$K,MATCH($D71,'CTR1 Data Previous Year'!$A:$A,0),1)</f>
        <v>224.35</v>
      </c>
      <c r="Y71" s="465">
        <f>INDEX('CTR1 Data Previous Year'!$L:$L,MATCH($D71,'CTR1 Data Previous Year'!$A:$A,0),1)</f>
        <v>188.64</v>
      </c>
      <c r="Z71" s="836" t="str">
        <f t="shared" si="14"/>
        <v>N</v>
      </c>
      <c r="AA71" s="837" t="str">
        <f t="shared" si="15"/>
        <v>N</v>
      </c>
      <c r="AB71" s="838">
        <f t="shared" si="16"/>
        <v>188.64</v>
      </c>
      <c r="AC71" s="868">
        <f t="shared" si="17"/>
        <v>0</v>
      </c>
      <c r="AD71" s="876">
        <f t="shared" si="18"/>
        <v>0</v>
      </c>
      <c r="AE71" s="838">
        <f t="shared" si="19"/>
        <v>194.29919999999998</v>
      </c>
      <c r="AF71" s="838">
        <f t="shared" si="20"/>
        <v>193.64</v>
      </c>
      <c r="AG71" s="839">
        <f t="shared" ref="AG71:AG134" si="22">IF(AND($Z71="Y",$AC71&gt;0),$AB71*(1+$AC71),IF(AND($Z71="Y",$AD71&gt;0),$AB71+$AD71,0))</f>
        <v>0</v>
      </c>
      <c r="AH71" s="839">
        <f t="shared" ref="AH71:AH134" si="23">ROUND(MAX($AE71:$AG71),2)</f>
        <v>194.3</v>
      </c>
      <c r="AI71" s="840">
        <f t="shared" si="21"/>
        <v>0</v>
      </c>
      <c r="AJ71" s="841">
        <f t="shared" ref="AJ71:AJ134" si="24">$AI71/$Y71</f>
        <v>0</v>
      </c>
      <c r="AK71" s="446"/>
      <c r="AL71" s="446"/>
      <c r="AM71" s="446"/>
      <c r="AN71" s="446"/>
    </row>
    <row r="72" spans="1:40" ht="15" customHeight="1" x14ac:dyDescent="0.25">
      <c r="A72" s="370">
        <v>67</v>
      </c>
      <c r="B72" s="371" t="s">
        <v>695</v>
      </c>
      <c r="C72" s="370" t="s">
        <v>696</v>
      </c>
      <c r="D72" s="370" t="s">
        <v>697</v>
      </c>
      <c r="E72" s="370" t="s">
        <v>339</v>
      </c>
      <c r="F72" s="370" t="s">
        <v>330</v>
      </c>
      <c r="G72" s="386">
        <f>INDEX('CTR1 Data Previous Year'!$B:$B,MATCH($D72,'CTR1 Data Previous Year'!$A:$A,0),1)</f>
        <v>132290466</v>
      </c>
      <c r="H72" s="386">
        <f>INDEX('CTR1 Data Previous Year'!$C:$C,MATCH($D72,'CTR1 Data Previous Year'!$A:$A,0),1)</f>
        <v>0</v>
      </c>
      <c r="I72" s="386">
        <f>INDEX('CTR1 Data Previous Year'!$D:$D,MATCH($D72,'CTR1 Data Previous Year'!$A:$A,0),1)</f>
        <v>0</v>
      </c>
      <c r="J72" s="386">
        <f>INDEX('CTR1 Data Previous Year'!$E:$E,MATCH($D72,'CTR1 Data Previous Year'!$A:$A,0),1)</f>
        <v>132290466</v>
      </c>
      <c r="K72" s="386">
        <f>INDEX('CTR1 Data Previous Year'!$F:$F,MATCH($D72,'CTR1 Data Previous Year'!$A:$A,0),1)</f>
        <v>88087</v>
      </c>
      <c r="L72" s="465">
        <f>INDEX('CTR1 Data Previous Year'!$G:$G,MATCH($D72,'CTR1 Data Previous Year'!$A:$A,0),1)</f>
        <v>74328.83</v>
      </c>
      <c r="M72" s="455">
        <f>INDEX('CTR1 Data Previous Year'!$H:$H,MATCH($D72,'CTR1 Data Previous Year'!$A:$A,0),1)</f>
        <v>0.98399999999999999</v>
      </c>
      <c r="N72" s="465">
        <f>INDEX('CTR1 Data Previous Year'!$I:$I,MATCH($D72,'CTR1 Data Previous Year'!$A:$A,0),1)</f>
        <v>0</v>
      </c>
      <c r="O72" s="160" t="s">
        <v>129</v>
      </c>
      <c r="P72" s="817"/>
      <c r="Q72" s="820" t="s">
        <v>333</v>
      </c>
      <c r="R72" s="817" t="s">
        <v>334</v>
      </c>
      <c r="S72" s="821" t="s">
        <v>335</v>
      </c>
      <c r="T72" s="817" t="s">
        <v>336</v>
      </c>
      <c r="U72" s="822" t="s">
        <v>337</v>
      </c>
      <c r="V72" s="817" t="s">
        <v>338</v>
      </c>
      <c r="W72" s="465">
        <f>INDEX('CTR1 Data Previous Year'!$J:$J,MATCH($D72,'CTR1 Data Previous Year'!$A:$A,0),1)</f>
        <v>73139.570000000007</v>
      </c>
      <c r="X72" s="465">
        <f>INDEX('CTR1 Data Previous Year'!$K:$K,MATCH($D72,'CTR1 Data Previous Year'!$A:$A,0),1)</f>
        <v>1808.74</v>
      </c>
      <c r="Y72" s="465">
        <f>INDEX('CTR1 Data Previous Year'!$L:$L,MATCH($D72,'CTR1 Data Previous Year'!$A:$A,0),1)</f>
        <v>1808.74</v>
      </c>
      <c r="Z72" s="836" t="str">
        <f t="shared" si="14"/>
        <v>N</v>
      </c>
      <c r="AA72" s="837" t="str">
        <f t="shared" si="15"/>
        <v>N</v>
      </c>
      <c r="AB72" s="838">
        <f t="shared" si="16"/>
        <v>1808.74</v>
      </c>
      <c r="AC72" s="868">
        <f t="shared" si="17"/>
        <v>0</v>
      </c>
      <c r="AD72" s="876">
        <f t="shared" si="18"/>
        <v>0</v>
      </c>
      <c r="AE72" s="838">
        <f t="shared" si="19"/>
        <v>1899.1770000000001</v>
      </c>
      <c r="AF72" s="838">
        <f t="shared" si="20"/>
        <v>1808.74</v>
      </c>
      <c r="AG72" s="839">
        <f t="shared" si="22"/>
        <v>0</v>
      </c>
      <c r="AH72" s="839">
        <f t="shared" si="23"/>
        <v>1899.18</v>
      </c>
      <c r="AI72" s="840">
        <f t="shared" si="21"/>
        <v>36.17</v>
      </c>
      <c r="AJ72" s="841">
        <f t="shared" si="24"/>
        <v>1.9997346218914826E-2</v>
      </c>
      <c r="AK72" s="446"/>
      <c r="AL72" s="446"/>
      <c r="AM72" s="446"/>
      <c r="AN72" s="446"/>
    </row>
    <row r="73" spans="1:40" ht="15" customHeight="1" x14ac:dyDescent="0.25">
      <c r="A73" s="370">
        <v>68</v>
      </c>
      <c r="B73" s="371" t="s">
        <v>698</v>
      </c>
      <c r="C73" s="370" t="s">
        <v>699</v>
      </c>
      <c r="D73" s="370" t="s">
        <v>700</v>
      </c>
      <c r="E73" s="370" t="s">
        <v>321</v>
      </c>
      <c r="F73" s="370" t="s">
        <v>330</v>
      </c>
      <c r="G73" s="386">
        <f>INDEX('CTR1 Data Previous Year'!$B:$B,MATCH($D73,'CTR1 Data Previous Year'!$A:$A,0),1)</f>
        <v>10047210</v>
      </c>
      <c r="H73" s="386">
        <f>INDEX('CTR1 Data Previous Year'!$C:$C,MATCH($D73,'CTR1 Data Previous Year'!$A:$A,0),1)</f>
        <v>0</v>
      </c>
      <c r="I73" s="386">
        <f>INDEX('CTR1 Data Previous Year'!$D:$D,MATCH($D73,'CTR1 Data Previous Year'!$A:$A,0),1)</f>
        <v>2293210</v>
      </c>
      <c r="J73" s="386">
        <f>INDEX('CTR1 Data Previous Year'!$E:$E,MATCH($D73,'CTR1 Data Previous Year'!$A:$A,0),1)</f>
        <v>7754000</v>
      </c>
      <c r="K73" s="386">
        <f>INDEX('CTR1 Data Previous Year'!$F:$F,MATCH($D73,'CTR1 Data Previous Year'!$A:$A,0),1)</f>
        <v>0</v>
      </c>
      <c r="L73" s="465">
        <f>INDEX('CTR1 Data Previous Year'!$G:$G,MATCH($D73,'CTR1 Data Previous Year'!$A:$A,0),1)</f>
        <v>32026.18</v>
      </c>
      <c r="M73" s="455">
        <f>INDEX('CTR1 Data Previous Year'!$H:$H,MATCH($D73,'CTR1 Data Previous Year'!$A:$A,0),1)</f>
        <v>0.99199999999999999</v>
      </c>
      <c r="N73" s="465">
        <f>INDEX('CTR1 Data Previous Year'!$I:$I,MATCH($D73,'CTR1 Data Previous Year'!$A:$A,0),1)</f>
        <v>0</v>
      </c>
      <c r="O73" s="160" t="s">
        <v>331</v>
      </c>
      <c r="P73" s="817" t="s">
        <v>332</v>
      </c>
      <c r="Q73" s="820" t="s">
        <v>333</v>
      </c>
      <c r="R73" s="817" t="s">
        <v>334</v>
      </c>
      <c r="S73" s="821" t="s">
        <v>335</v>
      </c>
      <c r="T73" s="817" t="s">
        <v>336</v>
      </c>
      <c r="U73" s="822" t="s">
        <v>337</v>
      </c>
      <c r="V73" s="817" t="s">
        <v>338</v>
      </c>
      <c r="W73" s="465">
        <f>INDEX('CTR1 Data Previous Year'!$J:$J,MATCH($D73,'CTR1 Data Previous Year'!$A:$A,0),1)</f>
        <v>31769.97</v>
      </c>
      <c r="X73" s="465">
        <f>INDEX('CTR1 Data Previous Year'!$K:$K,MATCH($D73,'CTR1 Data Previous Year'!$A:$A,0),1)</f>
        <v>316.25</v>
      </c>
      <c r="Y73" s="465">
        <f>INDEX('CTR1 Data Previous Year'!$L:$L,MATCH($D73,'CTR1 Data Previous Year'!$A:$A,0),1)</f>
        <v>244.07</v>
      </c>
      <c r="Z73" s="836" t="str">
        <f t="shared" si="14"/>
        <v>N</v>
      </c>
      <c r="AA73" s="837" t="str">
        <f t="shared" si="15"/>
        <v>N</v>
      </c>
      <c r="AB73" s="838">
        <f t="shared" si="16"/>
        <v>244.07</v>
      </c>
      <c r="AC73" s="868">
        <f t="shared" si="17"/>
        <v>0</v>
      </c>
      <c r="AD73" s="876">
        <f t="shared" si="18"/>
        <v>0</v>
      </c>
      <c r="AE73" s="838">
        <f t="shared" si="19"/>
        <v>251.3921</v>
      </c>
      <c r="AF73" s="838">
        <f t="shared" si="20"/>
        <v>249.07</v>
      </c>
      <c r="AG73" s="839">
        <f t="shared" si="22"/>
        <v>0</v>
      </c>
      <c r="AH73" s="839">
        <f t="shared" si="23"/>
        <v>251.39</v>
      </c>
      <c r="AI73" s="840">
        <f t="shared" si="21"/>
        <v>0</v>
      </c>
      <c r="AJ73" s="841">
        <f t="shared" si="24"/>
        <v>0</v>
      </c>
      <c r="AK73" s="446"/>
      <c r="AL73" s="446"/>
      <c r="AM73" s="446"/>
      <c r="AN73" s="446"/>
    </row>
    <row r="74" spans="1:40" ht="15" customHeight="1" x14ac:dyDescent="0.25">
      <c r="A74" s="370">
        <v>69</v>
      </c>
      <c r="B74" s="371" t="s">
        <v>701</v>
      </c>
      <c r="C74" s="370" t="s">
        <v>702</v>
      </c>
      <c r="D74" s="370" t="s">
        <v>703</v>
      </c>
      <c r="E74" s="370" t="s">
        <v>353</v>
      </c>
      <c r="F74" s="370" t="s">
        <v>391</v>
      </c>
      <c r="G74" s="386">
        <f>INDEX('CTR1 Data Previous Year'!$B:$B,MATCH($D74,'CTR1 Data Previous Year'!$A:$A,0),1)</f>
        <v>154623676</v>
      </c>
      <c r="H74" s="386">
        <f>INDEX('CTR1 Data Previous Year'!$C:$C,MATCH($D74,'CTR1 Data Previous Year'!$A:$A,0),1)</f>
        <v>0</v>
      </c>
      <c r="I74" s="386">
        <f>INDEX('CTR1 Data Previous Year'!$D:$D,MATCH($D74,'CTR1 Data Previous Year'!$A:$A,0),1)</f>
        <v>3511170</v>
      </c>
      <c r="J74" s="386">
        <f>INDEX('CTR1 Data Previous Year'!$E:$E,MATCH($D74,'CTR1 Data Previous Year'!$A:$A,0),1)</f>
        <v>151112506</v>
      </c>
      <c r="K74" s="386">
        <f>INDEX('CTR1 Data Previous Year'!$F:$F,MATCH($D74,'CTR1 Data Previous Year'!$A:$A,0),1)</f>
        <v>15225550</v>
      </c>
      <c r="L74" s="465">
        <f>INDEX('CTR1 Data Previous Year'!$G:$G,MATCH($D74,'CTR1 Data Previous Year'!$A:$A,0),1)</f>
        <v>89334.69</v>
      </c>
      <c r="M74" s="455">
        <f>INDEX('CTR1 Data Previous Year'!$H:$H,MATCH($D74,'CTR1 Data Previous Year'!$A:$A,0),1)</f>
        <v>0.98599999999999999</v>
      </c>
      <c r="N74" s="465">
        <f>INDEX('CTR1 Data Previous Year'!$I:$I,MATCH($D74,'CTR1 Data Previous Year'!$A:$A,0),1)</f>
        <v>0</v>
      </c>
      <c r="O74" s="160" t="s">
        <v>129</v>
      </c>
      <c r="P74" s="817"/>
      <c r="Q74" s="820" t="s">
        <v>392</v>
      </c>
      <c r="R74" s="862" t="s">
        <v>393</v>
      </c>
      <c r="S74" s="821" t="s">
        <v>394</v>
      </c>
      <c r="T74" s="817" t="s">
        <v>395</v>
      </c>
      <c r="U74" s="822" t="s">
        <v>396</v>
      </c>
      <c r="V74" s="817" t="s">
        <v>393</v>
      </c>
      <c r="W74" s="465">
        <f>INDEX('CTR1 Data Previous Year'!$J:$J,MATCH($D74,'CTR1 Data Previous Year'!$A:$A,0),1)</f>
        <v>88084</v>
      </c>
      <c r="X74" s="465">
        <f>INDEX('CTR1 Data Previous Year'!$K:$K,MATCH($D74,'CTR1 Data Previous Year'!$A:$A,0),1)</f>
        <v>1755.41</v>
      </c>
      <c r="Y74" s="465">
        <f>INDEX('CTR1 Data Previous Year'!$L:$L,MATCH($D74,'CTR1 Data Previous Year'!$A:$A,0),1)</f>
        <v>1715.55</v>
      </c>
      <c r="Z74" s="836" t="str">
        <f t="shared" si="14"/>
        <v>N</v>
      </c>
      <c r="AA74" s="837" t="str">
        <f t="shared" si="15"/>
        <v>N</v>
      </c>
      <c r="AB74" s="838">
        <f t="shared" si="16"/>
        <v>1715.55</v>
      </c>
      <c r="AC74" s="868">
        <f t="shared" si="17"/>
        <v>0</v>
      </c>
      <c r="AD74" s="876">
        <f t="shared" si="18"/>
        <v>0</v>
      </c>
      <c r="AE74" s="838">
        <f t="shared" si="19"/>
        <v>1801.3275000000001</v>
      </c>
      <c r="AF74" s="838">
        <f t="shared" si="20"/>
        <v>1715.55</v>
      </c>
      <c r="AG74" s="839">
        <f t="shared" si="22"/>
        <v>0</v>
      </c>
      <c r="AH74" s="839">
        <f t="shared" si="23"/>
        <v>1801.33</v>
      </c>
      <c r="AI74" s="840">
        <f t="shared" si="21"/>
        <v>34.31</v>
      </c>
      <c r="AJ74" s="841">
        <f t="shared" si="24"/>
        <v>1.9999417096557958E-2</v>
      </c>
      <c r="AK74" s="446"/>
      <c r="AL74" s="446"/>
      <c r="AM74" s="446"/>
      <c r="AN74" s="446"/>
    </row>
    <row r="75" spans="1:40" ht="15" customHeight="1" x14ac:dyDescent="0.25">
      <c r="A75" s="370">
        <v>70</v>
      </c>
      <c r="B75" s="371" t="s">
        <v>704</v>
      </c>
      <c r="C75" s="370" t="s">
        <v>705</v>
      </c>
      <c r="D75" s="370" t="s">
        <v>706</v>
      </c>
      <c r="E75" s="370" t="s">
        <v>339</v>
      </c>
      <c r="F75" s="370" t="s">
        <v>425</v>
      </c>
      <c r="G75" s="386">
        <f>INDEX('CTR1 Data Previous Year'!$B:$B,MATCH($D75,'CTR1 Data Previous Year'!$A:$A,0),1)</f>
        <v>358692728</v>
      </c>
      <c r="H75" s="386">
        <f>INDEX('CTR1 Data Previous Year'!$C:$C,MATCH($D75,'CTR1 Data Previous Year'!$A:$A,0),1)</f>
        <v>0</v>
      </c>
      <c r="I75" s="386">
        <f>INDEX('CTR1 Data Previous Year'!$D:$D,MATCH($D75,'CTR1 Data Previous Year'!$A:$A,0),1)</f>
        <v>20858595</v>
      </c>
      <c r="J75" s="386">
        <f>INDEX('CTR1 Data Previous Year'!$E:$E,MATCH($D75,'CTR1 Data Previous Year'!$A:$A,0),1)</f>
        <v>337834133</v>
      </c>
      <c r="K75" s="386">
        <f>INDEX('CTR1 Data Previous Year'!$F:$F,MATCH($D75,'CTR1 Data Previous Year'!$A:$A,0),1)</f>
        <v>0</v>
      </c>
      <c r="L75" s="465">
        <f>INDEX('CTR1 Data Previous Year'!$G:$G,MATCH($D75,'CTR1 Data Previous Year'!$A:$A,0),1)</f>
        <v>161160.73000000001</v>
      </c>
      <c r="M75" s="455">
        <f>INDEX('CTR1 Data Previous Year'!$H:$H,MATCH($D75,'CTR1 Data Previous Year'!$A:$A,0),1)</f>
        <v>0.99299999999999999</v>
      </c>
      <c r="N75" s="465">
        <f>INDEX('CTR1 Data Previous Year'!$I:$I,MATCH($D75,'CTR1 Data Previous Year'!$A:$A,0),1)</f>
        <v>760.4</v>
      </c>
      <c r="O75" s="160"/>
      <c r="P75" s="817"/>
      <c r="Q75" s="820" t="s">
        <v>492</v>
      </c>
      <c r="R75" s="817" t="s">
        <v>493</v>
      </c>
      <c r="S75" s="821" t="s">
        <v>494</v>
      </c>
      <c r="T75" s="817" t="s">
        <v>495</v>
      </c>
      <c r="U75" s="160"/>
      <c r="V75" s="817"/>
      <c r="W75" s="465">
        <f>INDEX('CTR1 Data Previous Year'!$J:$J,MATCH($D75,'CTR1 Data Previous Year'!$A:$A,0),1)</f>
        <v>160793</v>
      </c>
      <c r="X75" s="465">
        <f>INDEX('CTR1 Data Previous Year'!$K:$K,MATCH($D75,'CTR1 Data Previous Year'!$A:$A,0),1)</f>
        <v>2230.77</v>
      </c>
      <c r="Y75" s="465">
        <f>INDEX('CTR1 Data Previous Year'!$L:$L,MATCH($D75,'CTR1 Data Previous Year'!$A:$A,0),1)</f>
        <v>2101.0500000000002</v>
      </c>
      <c r="Z75" s="836" t="str">
        <f t="shared" si="14"/>
        <v>N</v>
      </c>
      <c r="AA75" s="837" t="str">
        <f t="shared" si="15"/>
        <v>N</v>
      </c>
      <c r="AB75" s="838">
        <f t="shared" si="16"/>
        <v>2101.0500000000002</v>
      </c>
      <c r="AC75" s="868">
        <f t="shared" si="17"/>
        <v>0</v>
      </c>
      <c r="AD75" s="876">
        <f t="shared" si="18"/>
        <v>0</v>
      </c>
      <c r="AE75" s="838">
        <f t="shared" si="19"/>
        <v>2206.1025000000004</v>
      </c>
      <c r="AF75" s="838">
        <f t="shared" si="20"/>
        <v>2101.0500000000002</v>
      </c>
      <c r="AG75" s="839">
        <f t="shared" si="22"/>
        <v>0</v>
      </c>
      <c r="AH75" s="839">
        <f t="shared" si="23"/>
        <v>2206.1</v>
      </c>
      <c r="AI75" s="840">
        <f t="shared" si="21"/>
        <v>42.02</v>
      </c>
      <c r="AJ75" s="841">
        <f t="shared" si="24"/>
        <v>1.9999524047500061E-2</v>
      </c>
      <c r="AK75" s="446"/>
      <c r="AL75" s="446"/>
      <c r="AM75" s="446"/>
      <c r="AN75" s="446"/>
    </row>
    <row r="76" spans="1:40" ht="15" customHeight="1" x14ac:dyDescent="0.25">
      <c r="A76" s="370">
        <v>71</v>
      </c>
      <c r="B76" s="371" t="s">
        <v>707</v>
      </c>
      <c r="C76" s="370" t="s">
        <v>708</v>
      </c>
      <c r="D76" s="370" t="s">
        <v>709</v>
      </c>
      <c r="E76" s="370" t="s">
        <v>321</v>
      </c>
      <c r="F76" s="370" t="s">
        <v>322</v>
      </c>
      <c r="G76" s="386">
        <f>INDEX('CTR1 Data Previous Year'!$B:$B,MATCH($D76,'CTR1 Data Previous Year'!$A:$A,0),1)</f>
        <v>12983614</v>
      </c>
      <c r="H76" s="386">
        <f>INDEX('CTR1 Data Previous Year'!$C:$C,MATCH($D76,'CTR1 Data Previous Year'!$A:$A,0),1)</f>
        <v>0</v>
      </c>
      <c r="I76" s="386">
        <f>INDEX('CTR1 Data Previous Year'!$D:$D,MATCH($D76,'CTR1 Data Previous Year'!$A:$A,0),1)</f>
        <v>3684843</v>
      </c>
      <c r="J76" s="386">
        <f>INDEX('CTR1 Data Previous Year'!$E:$E,MATCH($D76,'CTR1 Data Previous Year'!$A:$A,0),1)</f>
        <v>9298771</v>
      </c>
      <c r="K76" s="386">
        <f>INDEX('CTR1 Data Previous Year'!$F:$F,MATCH($D76,'CTR1 Data Previous Year'!$A:$A,0),1)</f>
        <v>98223</v>
      </c>
      <c r="L76" s="465">
        <f>INDEX('CTR1 Data Previous Year'!$G:$G,MATCH($D76,'CTR1 Data Previous Year'!$A:$A,0),1)</f>
        <v>43273.84</v>
      </c>
      <c r="M76" s="455">
        <f>INDEX('CTR1 Data Previous Year'!$H:$H,MATCH($D76,'CTR1 Data Previous Year'!$A:$A,0),1)</f>
        <v>0.97</v>
      </c>
      <c r="N76" s="465">
        <f>INDEX('CTR1 Data Previous Year'!$I:$I,MATCH($D76,'CTR1 Data Previous Year'!$A:$A,0),1)</f>
        <v>144.1</v>
      </c>
      <c r="O76" s="160" t="s">
        <v>358</v>
      </c>
      <c r="P76" s="817" t="s">
        <v>359</v>
      </c>
      <c r="Q76" s="820" t="s">
        <v>360</v>
      </c>
      <c r="R76" s="817" t="s">
        <v>361</v>
      </c>
      <c r="S76" s="821" t="s">
        <v>362</v>
      </c>
      <c r="T76" s="817" t="s">
        <v>363</v>
      </c>
      <c r="U76" s="160"/>
      <c r="V76" s="817"/>
      <c r="W76" s="465">
        <f>INDEX('CTR1 Data Previous Year'!$J:$J,MATCH($D76,'CTR1 Data Previous Year'!$A:$A,0),1)</f>
        <v>42119.72</v>
      </c>
      <c r="X76" s="465">
        <f>INDEX('CTR1 Data Previous Year'!$K:$K,MATCH($D76,'CTR1 Data Previous Year'!$A:$A,0),1)</f>
        <v>308.25</v>
      </c>
      <c r="Y76" s="465">
        <f>INDEX('CTR1 Data Previous Year'!$L:$L,MATCH($D76,'CTR1 Data Previous Year'!$A:$A,0),1)</f>
        <v>220.77</v>
      </c>
      <c r="Z76" s="836" t="str">
        <f t="shared" si="14"/>
        <v>N</v>
      </c>
      <c r="AA76" s="837" t="str">
        <f t="shared" si="15"/>
        <v>N</v>
      </c>
      <c r="AB76" s="838">
        <f t="shared" si="16"/>
        <v>220.77</v>
      </c>
      <c r="AC76" s="868">
        <f t="shared" si="17"/>
        <v>0</v>
      </c>
      <c r="AD76" s="876">
        <f t="shared" si="18"/>
        <v>0</v>
      </c>
      <c r="AE76" s="838">
        <f t="shared" si="19"/>
        <v>227.3931</v>
      </c>
      <c r="AF76" s="838">
        <f t="shared" si="20"/>
        <v>225.77</v>
      </c>
      <c r="AG76" s="839">
        <f t="shared" si="22"/>
        <v>0</v>
      </c>
      <c r="AH76" s="839">
        <f t="shared" si="23"/>
        <v>227.39</v>
      </c>
      <c r="AI76" s="840">
        <f t="shared" si="21"/>
        <v>0</v>
      </c>
      <c r="AJ76" s="841">
        <f t="shared" si="24"/>
        <v>0</v>
      </c>
      <c r="AK76" s="446"/>
      <c r="AL76" s="446"/>
      <c r="AM76" s="446"/>
      <c r="AN76" s="446"/>
    </row>
    <row r="77" spans="1:40" ht="15" customHeight="1" x14ac:dyDescent="0.25">
      <c r="A77" s="370">
        <v>72</v>
      </c>
      <c r="B77" s="371" t="s">
        <v>710</v>
      </c>
      <c r="C77" s="370" t="s">
        <v>711</v>
      </c>
      <c r="D77" s="370" t="s">
        <v>712</v>
      </c>
      <c r="E77" s="370" t="s">
        <v>353</v>
      </c>
      <c r="F77" s="370" t="s">
        <v>444</v>
      </c>
      <c r="G77" s="386">
        <f>INDEX('CTR1 Data Previous Year'!$B:$B,MATCH($D77,'CTR1 Data Previous Year'!$A:$A,0),1)</f>
        <v>169250000</v>
      </c>
      <c r="H77" s="386">
        <f>INDEX('CTR1 Data Previous Year'!$C:$C,MATCH($D77,'CTR1 Data Previous Year'!$A:$A,0),1)</f>
        <v>0</v>
      </c>
      <c r="I77" s="386">
        <f>INDEX('CTR1 Data Previous Year'!$D:$D,MATCH($D77,'CTR1 Data Previous Year'!$A:$A,0),1)</f>
        <v>0</v>
      </c>
      <c r="J77" s="386">
        <f>INDEX('CTR1 Data Previous Year'!$E:$E,MATCH($D77,'CTR1 Data Previous Year'!$A:$A,0),1)</f>
        <v>169250000</v>
      </c>
      <c r="K77" s="386">
        <f>INDEX('CTR1 Data Previous Year'!$F:$F,MATCH($D77,'CTR1 Data Previous Year'!$A:$A,0),1)</f>
        <v>13592860</v>
      </c>
      <c r="L77" s="465">
        <f>INDEX('CTR1 Data Previous Year'!$G:$G,MATCH($D77,'CTR1 Data Previous Year'!$A:$A,0),1)</f>
        <v>99386.45</v>
      </c>
      <c r="M77" s="455">
        <f>INDEX('CTR1 Data Previous Year'!$H:$H,MATCH($D77,'CTR1 Data Previous Year'!$A:$A,0),1)</f>
        <v>0.98499999999999999</v>
      </c>
      <c r="N77" s="465">
        <f>INDEX('CTR1 Data Previous Year'!$I:$I,MATCH($D77,'CTR1 Data Previous Year'!$A:$A,0),1)</f>
        <v>0</v>
      </c>
      <c r="O77" s="160" t="s">
        <v>129</v>
      </c>
      <c r="P77" s="817"/>
      <c r="Q77" s="820" t="s">
        <v>445</v>
      </c>
      <c r="R77" s="817" t="s">
        <v>446</v>
      </c>
      <c r="S77" s="821" t="s">
        <v>447</v>
      </c>
      <c r="T77" s="817" t="s">
        <v>448</v>
      </c>
      <c r="U77" s="822" t="s">
        <v>449</v>
      </c>
      <c r="V77" s="817" t="s">
        <v>450</v>
      </c>
      <c r="W77" s="465">
        <f>INDEX('CTR1 Data Previous Year'!$J:$J,MATCH($D77,'CTR1 Data Previous Year'!$A:$A,0),1)</f>
        <v>97895.65</v>
      </c>
      <c r="X77" s="465">
        <f>INDEX('CTR1 Data Previous Year'!$K:$K,MATCH($D77,'CTR1 Data Previous Year'!$A:$A,0),1)</f>
        <v>1728.88</v>
      </c>
      <c r="Y77" s="465">
        <f>INDEX('CTR1 Data Previous Year'!$L:$L,MATCH($D77,'CTR1 Data Previous Year'!$A:$A,0),1)</f>
        <v>1728.88</v>
      </c>
      <c r="Z77" s="836" t="str">
        <f t="shared" si="14"/>
        <v>N</v>
      </c>
      <c r="AA77" s="837" t="str">
        <f t="shared" si="15"/>
        <v>N</v>
      </c>
      <c r="AB77" s="838">
        <f t="shared" si="16"/>
        <v>1728.88</v>
      </c>
      <c r="AC77" s="868">
        <f t="shared" si="17"/>
        <v>0</v>
      </c>
      <c r="AD77" s="876">
        <f t="shared" si="18"/>
        <v>0</v>
      </c>
      <c r="AE77" s="838">
        <f t="shared" si="19"/>
        <v>1815.3240000000003</v>
      </c>
      <c r="AF77" s="838">
        <f t="shared" si="20"/>
        <v>1728.88</v>
      </c>
      <c r="AG77" s="839">
        <f t="shared" si="22"/>
        <v>0</v>
      </c>
      <c r="AH77" s="839">
        <f t="shared" si="23"/>
        <v>1815.32</v>
      </c>
      <c r="AI77" s="840">
        <f t="shared" si="21"/>
        <v>34.58</v>
      </c>
      <c r="AJ77" s="841">
        <f t="shared" si="24"/>
        <v>2.0001388181944378E-2</v>
      </c>
      <c r="AK77" s="446"/>
      <c r="AL77" s="446"/>
      <c r="AM77" s="446"/>
      <c r="AN77" s="446"/>
    </row>
    <row r="78" spans="1:40" ht="15" customHeight="1" x14ac:dyDescent="0.25">
      <c r="A78" s="370">
        <v>73</v>
      </c>
      <c r="B78" s="371" t="s">
        <v>713</v>
      </c>
      <c r="C78" s="370" t="s">
        <v>714</v>
      </c>
      <c r="D78" s="370" t="s">
        <v>715</v>
      </c>
      <c r="E78" s="370" t="s">
        <v>339</v>
      </c>
      <c r="F78" s="370" t="s">
        <v>685</v>
      </c>
      <c r="G78" s="386">
        <f>INDEX('CTR1 Data Previous Year'!$B:$B,MATCH($D78,'CTR1 Data Previous Year'!$A:$A,0),1)</f>
        <v>319211806.5</v>
      </c>
      <c r="H78" s="386">
        <f>INDEX('CTR1 Data Previous Year'!$C:$C,MATCH($D78,'CTR1 Data Previous Year'!$A:$A,0),1)</f>
        <v>0</v>
      </c>
      <c r="I78" s="386">
        <f>INDEX('CTR1 Data Previous Year'!$D:$D,MATCH($D78,'CTR1 Data Previous Year'!$A:$A,0),1)</f>
        <v>17123656.5</v>
      </c>
      <c r="J78" s="386">
        <f>INDEX('CTR1 Data Previous Year'!$E:$E,MATCH($D78,'CTR1 Data Previous Year'!$A:$A,0),1)</f>
        <v>302088150</v>
      </c>
      <c r="K78" s="386">
        <f>INDEX('CTR1 Data Previous Year'!$F:$F,MATCH($D78,'CTR1 Data Previous Year'!$A:$A,0),1)</f>
        <v>17578722</v>
      </c>
      <c r="L78" s="465">
        <f>INDEX('CTR1 Data Previous Year'!$G:$G,MATCH($D78,'CTR1 Data Previous Year'!$A:$A,0),1)</f>
        <v>150263.23000000001</v>
      </c>
      <c r="M78" s="455">
        <f>INDEX('CTR1 Data Previous Year'!$H:$H,MATCH($D78,'CTR1 Data Previous Year'!$A:$A,0),1)</f>
        <v>0.99</v>
      </c>
      <c r="N78" s="465">
        <f>INDEX('CTR1 Data Previous Year'!$I:$I,MATCH($D78,'CTR1 Data Previous Year'!$A:$A,0),1)</f>
        <v>0</v>
      </c>
      <c r="O78" s="160" t="s">
        <v>129</v>
      </c>
      <c r="P78" s="817"/>
      <c r="Q78" s="820" t="s">
        <v>686</v>
      </c>
      <c r="R78" s="817" t="s">
        <v>687</v>
      </c>
      <c r="S78" s="821" t="s">
        <v>688</v>
      </c>
      <c r="T78" s="817" t="s">
        <v>689</v>
      </c>
      <c r="U78" s="160" t="s">
        <v>716</v>
      </c>
      <c r="V78" s="817" t="s">
        <v>717</v>
      </c>
      <c r="W78" s="465">
        <f>INDEX('CTR1 Data Previous Year'!$J:$J,MATCH($D78,'CTR1 Data Previous Year'!$A:$A,0),1)</f>
        <v>148760.6</v>
      </c>
      <c r="X78" s="465">
        <f>INDEX('CTR1 Data Previous Year'!$K:$K,MATCH($D78,'CTR1 Data Previous Year'!$A:$A,0),1)</f>
        <v>2145.81</v>
      </c>
      <c r="Y78" s="465">
        <f>INDEX('CTR1 Data Previous Year'!$L:$L,MATCH($D78,'CTR1 Data Previous Year'!$A:$A,0),1)</f>
        <v>2030.7</v>
      </c>
      <c r="Z78" s="836" t="str">
        <f t="shared" si="14"/>
        <v>N</v>
      </c>
      <c r="AA78" s="837" t="str">
        <f t="shared" si="15"/>
        <v>N</v>
      </c>
      <c r="AB78" s="838">
        <f t="shared" si="16"/>
        <v>2030.7</v>
      </c>
      <c r="AC78" s="868">
        <f t="shared" si="17"/>
        <v>0</v>
      </c>
      <c r="AD78" s="876">
        <f t="shared" si="18"/>
        <v>0</v>
      </c>
      <c r="AE78" s="838">
        <f t="shared" si="19"/>
        <v>2132.2350000000001</v>
      </c>
      <c r="AF78" s="838">
        <f t="shared" si="20"/>
        <v>2030.7</v>
      </c>
      <c r="AG78" s="839">
        <f t="shared" si="22"/>
        <v>0</v>
      </c>
      <c r="AH78" s="839">
        <f t="shared" si="23"/>
        <v>2132.2399999999998</v>
      </c>
      <c r="AI78" s="840">
        <f t="shared" si="21"/>
        <v>40.61</v>
      </c>
      <c r="AJ78" s="841">
        <f t="shared" si="24"/>
        <v>1.9998030235879254E-2</v>
      </c>
      <c r="AK78" s="446"/>
      <c r="AL78" s="446"/>
      <c r="AM78" s="446"/>
      <c r="AN78" s="446"/>
    </row>
    <row r="79" spans="1:40" ht="15" customHeight="1" x14ac:dyDescent="0.25">
      <c r="A79" s="370">
        <v>74</v>
      </c>
      <c r="B79" s="371" t="s">
        <v>718</v>
      </c>
      <c r="C79" s="370" t="s">
        <v>719</v>
      </c>
      <c r="D79" s="370" t="s">
        <v>720</v>
      </c>
      <c r="E79" s="370" t="s">
        <v>343</v>
      </c>
      <c r="F79" s="370" t="s">
        <v>378</v>
      </c>
      <c r="G79" s="386">
        <f>INDEX('CTR1 Data Previous Year'!$B:$B,MATCH($D79,'CTR1 Data Previous Year'!$A:$A,0),1)</f>
        <v>192983836</v>
      </c>
      <c r="H79" s="386">
        <f>INDEX('CTR1 Data Previous Year'!$C:$C,MATCH($D79,'CTR1 Data Previous Year'!$A:$A,0),1)</f>
        <v>0</v>
      </c>
      <c r="I79" s="386">
        <f>INDEX('CTR1 Data Previous Year'!$D:$D,MATCH($D79,'CTR1 Data Previous Year'!$A:$A,0),1)</f>
        <v>0</v>
      </c>
      <c r="J79" s="386">
        <f>INDEX('CTR1 Data Previous Year'!$E:$E,MATCH($D79,'CTR1 Data Previous Year'!$A:$A,0),1)</f>
        <v>192983836</v>
      </c>
      <c r="K79" s="386">
        <f>INDEX('CTR1 Data Previous Year'!$F:$F,MATCH($D79,'CTR1 Data Previous Year'!$A:$A,0),1)</f>
        <v>32728701</v>
      </c>
      <c r="L79" s="465">
        <f>INDEX('CTR1 Data Previous Year'!$G:$G,MATCH($D79,'CTR1 Data Previous Year'!$A:$A,0),1)</f>
        <v>126994.25</v>
      </c>
      <c r="M79" s="455">
        <f>INDEX('CTR1 Data Previous Year'!$H:$H,MATCH($D79,'CTR1 Data Previous Year'!$A:$A,0),1)</f>
        <v>0.98</v>
      </c>
      <c r="N79" s="465">
        <f>INDEX('CTR1 Data Previous Year'!$I:$I,MATCH($D79,'CTR1 Data Previous Year'!$A:$A,0),1)</f>
        <v>0</v>
      </c>
      <c r="O79" s="160" t="s">
        <v>379</v>
      </c>
      <c r="P79" s="862" t="s">
        <v>380</v>
      </c>
      <c r="Q79" s="820"/>
      <c r="R79" s="817"/>
      <c r="S79" s="821" t="s">
        <v>129</v>
      </c>
      <c r="T79" s="817"/>
      <c r="U79" s="160"/>
      <c r="V79" s="817"/>
      <c r="W79" s="465">
        <f>INDEX('CTR1 Data Previous Year'!$J:$J,MATCH($D79,'CTR1 Data Previous Year'!$A:$A,0),1)</f>
        <v>124454.36</v>
      </c>
      <c r="X79" s="465">
        <f>INDEX('CTR1 Data Previous Year'!$K:$K,MATCH($D79,'CTR1 Data Previous Year'!$A:$A,0),1)</f>
        <v>1550.64</v>
      </c>
      <c r="Y79" s="465">
        <f>INDEX('CTR1 Data Previous Year'!$L:$L,MATCH($D79,'CTR1 Data Previous Year'!$A:$A,0),1)</f>
        <v>1550.64</v>
      </c>
      <c r="Z79" s="836" t="str">
        <f t="shared" si="14"/>
        <v>N</v>
      </c>
      <c r="AA79" s="837" t="str">
        <f t="shared" si="15"/>
        <v>N</v>
      </c>
      <c r="AB79" s="838">
        <f t="shared" si="16"/>
        <v>1550.64</v>
      </c>
      <c r="AC79" s="868">
        <f t="shared" si="17"/>
        <v>0</v>
      </c>
      <c r="AD79" s="876">
        <f t="shared" si="18"/>
        <v>0</v>
      </c>
      <c r="AE79" s="838">
        <f t="shared" si="19"/>
        <v>1628.1720000000003</v>
      </c>
      <c r="AF79" s="838">
        <f t="shared" si="20"/>
        <v>1550.64</v>
      </c>
      <c r="AG79" s="839">
        <f t="shared" si="22"/>
        <v>0</v>
      </c>
      <c r="AH79" s="839">
        <f t="shared" si="23"/>
        <v>1628.17</v>
      </c>
      <c r="AI79" s="840">
        <f t="shared" si="21"/>
        <v>31.01</v>
      </c>
      <c r="AJ79" s="841">
        <f t="shared" si="24"/>
        <v>1.999819429396894E-2</v>
      </c>
      <c r="AK79" s="446"/>
      <c r="AL79" s="446"/>
      <c r="AM79" s="446"/>
      <c r="AN79" s="446"/>
    </row>
    <row r="80" spans="1:40" ht="15" customHeight="1" x14ac:dyDescent="0.25">
      <c r="A80" s="370">
        <v>75</v>
      </c>
      <c r="B80" s="371" t="s">
        <v>721</v>
      </c>
      <c r="C80" s="370" t="s">
        <v>722</v>
      </c>
      <c r="D80" s="370" t="s">
        <v>723</v>
      </c>
      <c r="E80" s="370" t="s">
        <v>321</v>
      </c>
      <c r="F80" s="370" t="s">
        <v>368</v>
      </c>
      <c r="G80" s="386">
        <f>INDEX('CTR1 Data Previous Year'!$B:$B,MATCH($D80,'CTR1 Data Previous Year'!$A:$A,0),1)</f>
        <v>8298422</v>
      </c>
      <c r="H80" s="386">
        <f>INDEX('CTR1 Data Previous Year'!$C:$C,MATCH($D80,'CTR1 Data Previous Year'!$A:$A,0),1)</f>
        <v>0</v>
      </c>
      <c r="I80" s="386">
        <f>INDEX('CTR1 Data Previous Year'!$D:$D,MATCH($D80,'CTR1 Data Previous Year'!$A:$A,0),1)</f>
        <v>3596232</v>
      </c>
      <c r="J80" s="386">
        <f>INDEX('CTR1 Data Previous Year'!$E:$E,MATCH($D80,'CTR1 Data Previous Year'!$A:$A,0),1)</f>
        <v>4702190</v>
      </c>
      <c r="K80" s="386">
        <f>INDEX('CTR1 Data Previous Year'!$F:$F,MATCH($D80,'CTR1 Data Previous Year'!$A:$A,0),1)</f>
        <v>841368</v>
      </c>
      <c r="L80" s="465">
        <f>INDEX('CTR1 Data Previous Year'!$G:$G,MATCH($D80,'CTR1 Data Previous Year'!$A:$A,0),1)</f>
        <v>33585.18</v>
      </c>
      <c r="M80" s="455">
        <f>INDEX('CTR1 Data Previous Year'!$H:$H,MATCH($D80,'CTR1 Data Previous Year'!$A:$A,0),1)</f>
        <v>0.98499999999999999</v>
      </c>
      <c r="N80" s="465">
        <f>INDEX('CTR1 Data Previous Year'!$I:$I,MATCH($D80,'CTR1 Data Previous Year'!$A:$A,0),1)</f>
        <v>0</v>
      </c>
      <c r="O80" s="160" t="s">
        <v>583</v>
      </c>
      <c r="P80" s="817" t="s">
        <v>584</v>
      </c>
      <c r="Q80" s="820" t="s">
        <v>585</v>
      </c>
      <c r="R80" s="817" t="s">
        <v>586</v>
      </c>
      <c r="S80" s="821" t="s">
        <v>587</v>
      </c>
      <c r="T80" s="817" t="s">
        <v>588</v>
      </c>
      <c r="U80" s="822" t="s">
        <v>589</v>
      </c>
      <c r="V80" s="817" t="s">
        <v>590</v>
      </c>
      <c r="W80" s="465">
        <f>INDEX('CTR1 Data Previous Year'!$J:$J,MATCH($D80,'CTR1 Data Previous Year'!$A:$A,0),1)</f>
        <v>33081.4</v>
      </c>
      <c r="X80" s="465">
        <f>INDEX('CTR1 Data Previous Year'!$K:$K,MATCH($D80,'CTR1 Data Previous Year'!$A:$A,0),1)</f>
        <v>250.85</v>
      </c>
      <c r="Y80" s="465">
        <f>INDEX('CTR1 Data Previous Year'!$L:$L,MATCH($D80,'CTR1 Data Previous Year'!$A:$A,0),1)</f>
        <v>142.13999999999999</v>
      </c>
      <c r="Z80" s="836" t="str">
        <f t="shared" si="14"/>
        <v>N</v>
      </c>
      <c r="AA80" s="837" t="str">
        <f t="shared" si="15"/>
        <v>N</v>
      </c>
      <c r="AB80" s="838">
        <f t="shared" si="16"/>
        <v>142.13999999999999</v>
      </c>
      <c r="AC80" s="868">
        <f t="shared" si="17"/>
        <v>0</v>
      </c>
      <c r="AD80" s="876">
        <f t="shared" si="18"/>
        <v>0</v>
      </c>
      <c r="AE80" s="838">
        <f t="shared" si="19"/>
        <v>146.4042</v>
      </c>
      <c r="AF80" s="838">
        <f t="shared" si="20"/>
        <v>147.13999999999999</v>
      </c>
      <c r="AG80" s="839">
        <f t="shared" si="22"/>
        <v>0</v>
      </c>
      <c r="AH80" s="839">
        <f t="shared" si="23"/>
        <v>147.13999999999999</v>
      </c>
      <c r="AI80" s="840">
        <f t="shared" si="21"/>
        <v>0</v>
      </c>
      <c r="AJ80" s="841">
        <f t="shared" si="24"/>
        <v>0</v>
      </c>
      <c r="AK80" s="446"/>
      <c r="AL80" s="446"/>
      <c r="AM80" s="446"/>
      <c r="AN80" s="446"/>
    </row>
    <row r="81" spans="1:40" ht="15" customHeight="1" x14ac:dyDescent="0.25">
      <c r="A81" s="370">
        <v>76</v>
      </c>
      <c r="B81" s="371" t="s">
        <v>724</v>
      </c>
      <c r="C81" s="370" t="s">
        <v>725</v>
      </c>
      <c r="D81" s="370" t="s">
        <v>726</v>
      </c>
      <c r="E81" s="370" t="s">
        <v>321</v>
      </c>
      <c r="F81" s="370" t="s">
        <v>425</v>
      </c>
      <c r="G81" s="386">
        <f>INDEX('CTR1 Data Previous Year'!$B:$B,MATCH($D81,'CTR1 Data Previous Year'!$A:$A,0),1)</f>
        <v>17410188</v>
      </c>
      <c r="H81" s="386">
        <f>INDEX('CTR1 Data Previous Year'!$C:$C,MATCH($D81,'CTR1 Data Previous Year'!$A:$A,0),1)</f>
        <v>0</v>
      </c>
      <c r="I81" s="386">
        <f>INDEX('CTR1 Data Previous Year'!$D:$D,MATCH($D81,'CTR1 Data Previous Year'!$A:$A,0),1)</f>
        <v>6220006</v>
      </c>
      <c r="J81" s="386">
        <f>INDEX('CTR1 Data Previous Year'!$E:$E,MATCH($D81,'CTR1 Data Previous Year'!$A:$A,0),1)</f>
        <v>11190182</v>
      </c>
      <c r="K81" s="386">
        <f>INDEX('CTR1 Data Previous Year'!$F:$F,MATCH($D81,'CTR1 Data Previous Year'!$A:$A,0),1)</f>
        <v>0</v>
      </c>
      <c r="L81" s="465">
        <f>INDEX('CTR1 Data Previous Year'!$G:$G,MATCH($D81,'CTR1 Data Previous Year'!$A:$A,0),1)</f>
        <v>65912.5</v>
      </c>
      <c r="M81" s="455">
        <f>INDEX('CTR1 Data Previous Year'!$H:$H,MATCH($D81,'CTR1 Data Previous Year'!$A:$A,0),1)</f>
        <v>0.98599999999999999</v>
      </c>
      <c r="N81" s="465">
        <f>INDEX('CTR1 Data Previous Year'!$I:$I,MATCH($D81,'CTR1 Data Previous Year'!$A:$A,0),1)</f>
        <v>152.79</v>
      </c>
      <c r="O81" s="160" t="s">
        <v>727</v>
      </c>
      <c r="P81" s="817" t="s">
        <v>728</v>
      </c>
      <c r="Q81" s="820" t="s">
        <v>658</v>
      </c>
      <c r="R81" s="817" t="s">
        <v>659</v>
      </c>
      <c r="S81" s="821" t="s">
        <v>729</v>
      </c>
      <c r="T81" s="817" t="s">
        <v>730</v>
      </c>
      <c r="U81" s="160"/>
      <c r="V81" s="817"/>
      <c r="W81" s="465">
        <f>INDEX('CTR1 Data Previous Year'!$J:$J,MATCH($D81,'CTR1 Data Previous Year'!$A:$A,0),1)</f>
        <v>65142.52</v>
      </c>
      <c r="X81" s="465">
        <f>INDEX('CTR1 Data Previous Year'!$K:$K,MATCH($D81,'CTR1 Data Previous Year'!$A:$A,0),1)</f>
        <v>267.26</v>
      </c>
      <c r="Y81" s="465">
        <f>INDEX('CTR1 Data Previous Year'!$L:$L,MATCH($D81,'CTR1 Data Previous Year'!$A:$A,0),1)</f>
        <v>171.78</v>
      </c>
      <c r="Z81" s="836" t="str">
        <f t="shared" si="14"/>
        <v>N</v>
      </c>
      <c r="AA81" s="837" t="str">
        <f t="shared" si="15"/>
        <v>N</v>
      </c>
      <c r="AB81" s="838">
        <f t="shared" si="16"/>
        <v>171.78</v>
      </c>
      <c r="AC81" s="868">
        <f t="shared" si="17"/>
        <v>0</v>
      </c>
      <c r="AD81" s="876">
        <f t="shared" si="18"/>
        <v>0</v>
      </c>
      <c r="AE81" s="838">
        <f t="shared" si="19"/>
        <v>176.93340000000001</v>
      </c>
      <c r="AF81" s="838">
        <f t="shared" si="20"/>
        <v>176.78</v>
      </c>
      <c r="AG81" s="839">
        <f t="shared" si="22"/>
        <v>0</v>
      </c>
      <c r="AH81" s="839">
        <f t="shared" si="23"/>
        <v>176.93</v>
      </c>
      <c r="AI81" s="840">
        <f t="shared" si="21"/>
        <v>0</v>
      </c>
      <c r="AJ81" s="841">
        <f t="shared" si="24"/>
        <v>0</v>
      </c>
      <c r="AK81" s="446"/>
      <c r="AL81" s="446"/>
      <c r="AM81" s="446"/>
      <c r="AN81" s="446"/>
    </row>
    <row r="82" spans="1:40" ht="15" customHeight="1" x14ac:dyDescent="0.25">
      <c r="A82" s="370">
        <v>77</v>
      </c>
      <c r="B82" s="371" t="s">
        <v>731</v>
      </c>
      <c r="C82" s="370" t="s">
        <v>732</v>
      </c>
      <c r="D82" s="370" t="s">
        <v>733</v>
      </c>
      <c r="E82" s="370" t="s">
        <v>321</v>
      </c>
      <c r="F82" s="370" t="s">
        <v>322</v>
      </c>
      <c r="G82" s="386">
        <f>INDEX('CTR1 Data Previous Year'!$B:$B,MATCH($D82,'CTR1 Data Previous Year'!$A:$A,0),1)</f>
        <v>13655482</v>
      </c>
      <c r="H82" s="386">
        <f>INDEX('CTR1 Data Previous Year'!$C:$C,MATCH($D82,'CTR1 Data Previous Year'!$A:$A,0),1)</f>
        <v>0</v>
      </c>
      <c r="I82" s="386">
        <f>INDEX('CTR1 Data Previous Year'!$D:$D,MATCH($D82,'CTR1 Data Previous Year'!$A:$A,0),1)</f>
        <v>5630563</v>
      </c>
      <c r="J82" s="386">
        <f>INDEX('CTR1 Data Previous Year'!$E:$E,MATCH($D82,'CTR1 Data Previous Year'!$A:$A,0),1)</f>
        <v>8024919</v>
      </c>
      <c r="K82" s="386">
        <f>INDEX('CTR1 Data Previous Year'!$F:$F,MATCH($D82,'CTR1 Data Previous Year'!$A:$A,0),1)</f>
        <v>0</v>
      </c>
      <c r="L82" s="465">
        <f>INDEX('CTR1 Data Previous Year'!$G:$G,MATCH($D82,'CTR1 Data Previous Year'!$A:$A,0),1)</f>
        <v>52982.28</v>
      </c>
      <c r="M82" s="455">
        <f>INDEX('CTR1 Data Previous Year'!$H:$H,MATCH($D82,'CTR1 Data Previous Year'!$A:$A,0),1)</f>
        <v>0.997</v>
      </c>
      <c r="N82" s="465">
        <f>INDEX('CTR1 Data Previous Year'!$I:$I,MATCH($D82,'CTR1 Data Previous Year'!$A:$A,0),1)</f>
        <v>0</v>
      </c>
      <c r="O82" s="160" t="s">
        <v>411</v>
      </c>
      <c r="P82" s="817" t="s">
        <v>412</v>
      </c>
      <c r="Q82" s="820" t="s">
        <v>413</v>
      </c>
      <c r="R82" s="817" t="s">
        <v>414</v>
      </c>
      <c r="S82" s="821" t="s">
        <v>415</v>
      </c>
      <c r="T82" s="817" t="s">
        <v>416</v>
      </c>
      <c r="U82" s="160"/>
      <c r="V82" s="817"/>
      <c r="W82" s="465">
        <f>INDEX('CTR1 Data Previous Year'!$J:$J,MATCH($D82,'CTR1 Data Previous Year'!$A:$A,0),1)</f>
        <v>52823.33</v>
      </c>
      <c r="X82" s="465">
        <f>INDEX('CTR1 Data Previous Year'!$K:$K,MATCH($D82,'CTR1 Data Previous Year'!$A:$A,0),1)</f>
        <v>258.51</v>
      </c>
      <c r="Y82" s="465">
        <f>INDEX('CTR1 Data Previous Year'!$L:$L,MATCH($D82,'CTR1 Data Previous Year'!$A:$A,0),1)</f>
        <v>151.91999999999999</v>
      </c>
      <c r="Z82" s="836" t="str">
        <f t="shared" si="14"/>
        <v>N</v>
      </c>
      <c r="AA82" s="837" t="str">
        <f t="shared" si="15"/>
        <v>N</v>
      </c>
      <c r="AB82" s="838">
        <f t="shared" si="16"/>
        <v>151.91999999999999</v>
      </c>
      <c r="AC82" s="868">
        <f t="shared" si="17"/>
        <v>0</v>
      </c>
      <c r="AD82" s="876">
        <f t="shared" si="18"/>
        <v>0</v>
      </c>
      <c r="AE82" s="838">
        <f t="shared" si="19"/>
        <v>156.4776</v>
      </c>
      <c r="AF82" s="838">
        <f t="shared" si="20"/>
        <v>156.91999999999999</v>
      </c>
      <c r="AG82" s="839">
        <f t="shared" si="22"/>
        <v>0</v>
      </c>
      <c r="AH82" s="839">
        <f t="shared" si="23"/>
        <v>156.91999999999999</v>
      </c>
      <c r="AI82" s="840">
        <f t="shared" si="21"/>
        <v>0</v>
      </c>
      <c r="AJ82" s="841">
        <f t="shared" si="24"/>
        <v>0</v>
      </c>
      <c r="AK82" s="446"/>
      <c r="AL82" s="446"/>
      <c r="AM82" s="446"/>
      <c r="AN82" s="446"/>
    </row>
    <row r="83" spans="1:40" ht="15" customHeight="1" x14ac:dyDescent="0.25">
      <c r="A83" s="370">
        <v>78</v>
      </c>
      <c r="B83" s="371" t="s">
        <v>734</v>
      </c>
      <c r="C83" s="370" t="s">
        <v>735</v>
      </c>
      <c r="D83" s="370" t="s">
        <v>736</v>
      </c>
      <c r="E83" s="370" t="s">
        <v>321</v>
      </c>
      <c r="F83" s="370" t="s">
        <v>368</v>
      </c>
      <c r="G83" s="386">
        <f>INDEX('CTR1 Data Previous Year'!$B:$B,MATCH($D83,'CTR1 Data Previous Year'!$A:$A,0),1)</f>
        <v>19905368</v>
      </c>
      <c r="H83" s="386">
        <f>INDEX('CTR1 Data Previous Year'!$C:$C,MATCH($D83,'CTR1 Data Previous Year'!$A:$A,0),1)</f>
        <v>0</v>
      </c>
      <c r="I83" s="386">
        <f>INDEX('CTR1 Data Previous Year'!$D:$D,MATCH($D83,'CTR1 Data Previous Year'!$A:$A,0),1)</f>
        <v>6774633</v>
      </c>
      <c r="J83" s="386">
        <f>INDEX('CTR1 Data Previous Year'!$E:$E,MATCH($D83,'CTR1 Data Previous Year'!$A:$A,0),1)</f>
        <v>13130735</v>
      </c>
      <c r="K83" s="386">
        <f>INDEX('CTR1 Data Previous Year'!$F:$F,MATCH($D83,'CTR1 Data Previous Year'!$A:$A,0),1)</f>
        <v>0</v>
      </c>
      <c r="L83" s="465">
        <f>INDEX('CTR1 Data Previous Year'!$G:$G,MATCH($D83,'CTR1 Data Previous Year'!$A:$A,0),1)</f>
        <v>66308.67</v>
      </c>
      <c r="M83" s="455">
        <f>INDEX('CTR1 Data Previous Year'!$H:$H,MATCH($D83,'CTR1 Data Previous Year'!$A:$A,0),1)</f>
        <v>0.98499999999999999</v>
      </c>
      <c r="N83" s="465">
        <f>INDEX('CTR1 Data Previous Year'!$I:$I,MATCH($D83,'CTR1 Data Previous Year'!$A:$A,0),1)</f>
        <v>0</v>
      </c>
      <c r="O83" s="160" t="s">
        <v>557</v>
      </c>
      <c r="P83" s="817" t="s">
        <v>558</v>
      </c>
      <c r="Q83" s="820" t="s">
        <v>559</v>
      </c>
      <c r="R83" s="817" t="s">
        <v>560</v>
      </c>
      <c r="S83" s="821" t="s">
        <v>129</v>
      </c>
      <c r="T83" s="817"/>
      <c r="U83" s="160"/>
      <c r="V83" s="817"/>
      <c r="W83" s="465">
        <f>INDEX('CTR1 Data Previous Year'!$J:$J,MATCH($D83,'CTR1 Data Previous Year'!$A:$A,0),1)</f>
        <v>65314.04</v>
      </c>
      <c r="X83" s="465">
        <f>INDEX('CTR1 Data Previous Year'!$K:$K,MATCH($D83,'CTR1 Data Previous Year'!$A:$A,0),1)</f>
        <v>304.76</v>
      </c>
      <c r="Y83" s="465">
        <f>INDEX('CTR1 Data Previous Year'!$L:$L,MATCH($D83,'CTR1 Data Previous Year'!$A:$A,0),1)</f>
        <v>201.04</v>
      </c>
      <c r="Z83" s="836" t="str">
        <f t="shared" si="14"/>
        <v>N</v>
      </c>
      <c r="AA83" s="837" t="str">
        <f t="shared" si="15"/>
        <v>N</v>
      </c>
      <c r="AB83" s="838">
        <f t="shared" si="16"/>
        <v>201.04</v>
      </c>
      <c r="AC83" s="868">
        <f t="shared" si="17"/>
        <v>0</v>
      </c>
      <c r="AD83" s="876">
        <f t="shared" si="18"/>
        <v>0</v>
      </c>
      <c r="AE83" s="838">
        <f t="shared" si="19"/>
        <v>207.0712</v>
      </c>
      <c r="AF83" s="838">
        <f t="shared" si="20"/>
        <v>206.04</v>
      </c>
      <c r="AG83" s="839">
        <f t="shared" si="22"/>
        <v>0</v>
      </c>
      <c r="AH83" s="839">
        <f t="shared" si="23"/>
        <v>207.07</v>
      </c>
      <c r="AI83" s="840">
        <f t="shared" si="21"/>
        <v>0</v>
      </c>
      <c r="AJ83" s="841">
        <f t="shared" si="24"/>
        <v>0</v>
      </c>
      <c r="AK83" s="446"/>
      <c r="AL83" s="446"/>
      <c r="AM83" s="446"/>
      <c r="AN83" s="446"/>
    </row>
    <row r="84" spans="1:40" ht="15" customHeight="1" x14ac:dyDescent="0.25">
      <c r="A84" s="370">
        <v>79</v>
      </c>
      <c r="B84" s="371" t="s">
        <v>737</v>
      </c>
      <c r="C84" s="370" t="s">
        <v>738</v>
      </c>
      <c r="D84" s="370" t="s">
        <v>739</v>
      </c>
      <c r="E84" s="370" t="s">
        <v>321</v>
      </c>
      <c r="F84" s="370" t="s">
        <v>330</v>
      </c>
      <c r="G84" s="386">
        <f>INDEX('CTR1 Data Previous Year'!$B:$B,MATCH($D84,'CTR1 Data Previous Year'!$A:$A,0),1)</f>
        <v>12406302</v>
      </c>
      <c r="H84" s="386">
        <f>INDEX('CTR1 Data Previous Year'!$C:$C,MATCH($D84,'CTR1 Data Previous Year'!$A:$A,0),1)</f>
        <v>0</v>
      </c>
      <c r="I84" s="386">
        <f>INDEX('CTR1 Data Previous Year'!$D:$D,MATCH($D84,'CTR1 Data Previous Year'!$A:$A,0),1)</f>
        <v>4143906</v>
      </c>
      <c r="J84" s="386">
        <f>INDEX('CTR1 Data Previous Year'!$E:$E,MATCH($D84,'CTR1 Data Previous Year'!$A:$A,0),1)</f>
        <v>8262396</v>
      </c>
      <c r="K84" s="386">
        <f>INDEX('CTR1 Data Previous Year'!$F:$F,MATCH($D84,'CTR1 Data Previous Year'!$A:$A,0),1)</f>
        <v>5391099</v>
      </c>
      <c r="L84" s="465">
        <f>INDEX('CTR1 Data Previous Year'!$G:$G,MATCH($D84,'CTR1 Data Previous Year'!$A:$A,0),1)</f>
        <v>48727.24</v>
      </c>
      <c r="M84" s="455">
        <f>INDEX('CTR1 Data Previous Year'!$H:$H,MATCH($D84,'CTR1 Data Previous Year'!$A:$A,0),1)</f>
        <v>0.9829</v>
      </c>
      <c r="N84" s="465">
        <f>INDEX('CTR1 Data Previous Year'!$I:$I,MATCH($D84,'CTR1 Data Previous Year'!$A:$A,0),1)</f>
        <v>272</v>
      </c>
      <c r="O84" s="160" t="s">
        <v>483</v>
      </c>
      <c r="P84" s="817" t="s">
        <v>484</v>
      </c>
      <c r="Q84" s="820" t="s">
        <v>485</v>
      </c>
      <c r="R84" s="817" t="s">
        <v>486</v>
      </c>
      <c r="S84" s="821" t="s">
        <v>129</v>
      </c>
      <c r="T84" s="817"/>
      <c r="U84" s="866" t="s">
        <v>487</v>
      </c>
      <c r="V84" s="867" t="s">
        <v>488</v>
      </c>
      <c r="W84" s="465">
        <f>INDEX('CTR1 Data Previous Year'!$J:$J,MATCH($D84,'CTR1 Data Previous Year'!$A:$A,0),1)</f>
        <v>48166</v>
      </c>
      <c r="X84" s="465">
        <f>INDEX('CTR1 Data Previous Year'!$K:$K,MATCH($D84,'CTR1 Data Previous Year'!$A:$A,0),1)</f>
        <v>257.57</v>
      </c>
      <c r="Y84" s="465">
        <f>INDEX('CTR1 Data Previous Year'!$L:$L,MATCH($D84,'CTR1 Data Previous Year'!$A:$A,0),1)</f>
        <v>171.54</v>
      </c>
      <c r="Z84" s="836" t="str">
        <f t="shared" si="14"/>
        <v>N</v>
      </c>
      <c r="AA84" s="837" t="str">
        <f t="shared" si="15"/>
        <v>N</v>
      </c>
      <c r="AB84" s="838">
        <f t="shared" si="16"/>
        <v>171.54</v>
      </c>
      <c r="AC84" s="868">
        <f t="shared" si="17"/>
        <v>0</v>
      </c>
      <c r="AD84" s="876">
        <f t="shared" si="18"/>
        <v>0</v>
      </c>
      <c r="AE84" s="838">
        <f t="shared" si="19"/>
        <v>176.68619999999999</v>
      </c>
      <c r="AF84" s="838">
        <f t="shared" si="20"/>
        <v>176.54</v>
      </c>
      <c r="AG84" s="839">
        <f t="shared" si="22"/>
        <v>0</v>
      </c>
      <c r="AH84" s="839">
        <f t="shared" si="23"/>
        <v>176.69</v>
      </c>
      <c r="AI84" s="840">
        <f t="shared" si="21"/>
        <v>0</v>
      </c>
      <c r="AJ84" s="841">
        <f t="shared" si="24"/>
        <v>0</v>
      </c>
      <c r="AK84" s="446"/>
      <c r="AL84" s="446"/>
      <c r="AM84" s="446"/>
      <c r="AN84" s="446"/>
    </row>
    <row r="85" spans="1:40" ht="15" customHeight="1" x14ac:dyDescent="0.25">
      <c r="A85" s="370">
        <v>80</v>
      </c>
      <c r="B85" s="371" t="s">
        <v>740</v>
      </c>
      <c r="C85" s="370" t="s">
        <v>741</v>
      </c>
      <c r="D85" s="370" t="s">
        <v>742</v>
      </c>
      <c r="E85" s="370" t="s">
        <v>339</v>
      </c>
      <c r="F85" s="370" t="s">
        <v>391</v>
      </c>
      <c r="G85" s="386">
        <f>INDEX('CTR1 Data Previous Year'!$B:$B,MATCH($D85,'CTR1 Data Previous Year'!$A:$A,0),1)</f>
        <v>249741765</v>
      </c>
      <c r="H85" s="386">
        <f>INDEX('CTR1 Data Previous Year'!$C:$C,MATCH($D85,'CTR1 Data Previous Year'!$A:$A,0),1)</f>
        <v>549142</v>
      </c>
      <c r="I85" s="386">
        <f>INDEX('CTR1 Data Previous Year'!$D:$D,MATCH($D85,'CTR1 Data Previous Year'!$A:$A,0),1)</f>
        <v>8994839</v>
      </c>
      <c r="J85" s="386">
        <f>INDEX('CTR1 Data Previous Year'!$E:$E,MATCH($D85,'CTR1 Data Previous Year'!$A:$A,0),1)</f>
        <v>240746926</v>
      </c>
      <c r="K85" s="386">
        <f>INDEX('CTR1 Data Previous Year'!$F:$F,MATCH($D85,'CTR1 Data Previous Year'!$A:$A,0),1)</f>
        <v>3056502</v>
      </c>
      <c r="L85" s="465">
        <f>INDEX('CTR1 Data Previous Year'!$G:$G,MATCH($D85,'CTR1 Data Previous Year'!$A:$A,0),1)</f>
        <v>130893.67</v>
      </c>
      <c r="M85" s="455">
        <f>INDEX('CTR1 Data Previous Year'!$H:$H,MATCH($D85,'CTR1 Data Previous Year'!$A:$A,0),1)</f>
        <v>0.98</v>
      </c>
      <c r="N85" s="465">
        <f>INDEX('CTR1 Data Previous Year'!$I:$I,MATCH($D85,'CTR1 Data Previous Year'!$A:$A,0),1)</f>
        <v>96.7</v>
      </c>
      <c r="O85" s="160" t="s">
        <v>129</v>
      </c>
      <c r="P85" s="817"/>
      <c r="Q85" s="820" t="s">
        <v>743</v>
      </c>
      <c r="R85" s="817" t="s">
        <v>744</v>
      </c>
      <c r="S85" s="821" t="s">
        <v>745</v>
      </c>
      <c r="T85" s="817" t="s">
        <v>746</v>
      </c>
      <c r="U85" s="866" t="s">
        <v>747</v>
      </c>
      <c r="V85" s="867" t="s">
        <v>748</v>
      </c>
      <c r="W85" s="465">
        <f>INDEX('CTR1 Data Previous Year'!$J:$J,MATCH($D85,'CTR1 Data Previous Year'!$A:$A,0),1)</f>
        <v>128372.5</v>
      </c>
      <c r="X85" s="465">
        <f>INDEX('CTR1 Data Previous Year'!$K:$K,MATCH($D85,'CTR1 Data Previous Year'!$A:$A,0),1)</f>
        <v>1945.45</v>
      </c>
      <c r="Y85" s="465">
        <f>INDEX('CTR1 Data Previous Year'!$L:$L,MATCH($D85,'CTR1 Data Previous Year'!$A:$A,0),1)</f>
        <v>1875.38</v>
      </c>
      <c r="Z85" s="836" t="str">
        <f t="shared" si="14"/>
        <v>N</v>
      </c>
      <c r="AA85" s="837" t="str">
        <f t="shared" si="15"/>
        <v>N</v>
      </c>
      <c r="AB85" s="838">
        <f t="shared" si="16"/>
        <v>1875.38</v>
      </c>
      <c r="AC85" s="868">
        <f t="shared" si="17"/>
        <v>0</v>
      </c>
      <c r="AD85" s="876">
        <f t="shared" si="18"/>
        <v>0</v>
      </c>
      <c r="AE85" s="838">
        <f t="shared" si="19"/>
        <v>1969.1490000000001</v>
      </c>
      <c r="AF85" s="838">
        <f t="shared" si="20"/>
        <v>1875.38</v>
      </c>
      <c r="AG85" s="839">
        <f t="shared" si="22"/>
        <v>0</v>
      </c>
      <c r="AH85" s="839">
        <f t="shared" si="23"/>
        <v>1969.15</v>
      </c>
      <c r="AI85" s="840">
        <f t="shared" si="21"/>
        <v>37.51</v>
      </c>
      <c r="AJ85" s="841">
        <f t="shared" si="24"/>
        <v>2.0001279740639227E-2</v>
      </c>
      <c r="AK85" s="446"/>
      <c r="AL85" s="446"/>
      <c r="AM85" s="446"/>
      <c r="AN85" s="446"/>
    </row>
    <row r="86" spans="1:40" ht="15" customHeight="1" x14ac:dyDescent="0.25">
      <c r="A86" s="370">
        <v>81</v>
      </c>
      <c r="B86" s="371" t="s">
        <v>749</v>
      </c>
      <c r="C86" s="370" t="s">
        <v>750</v>
      </c>
      <c r="D86" s="370" t="s">
        <v>751</v>
      </c>
      <c r="E86" s="370" t="s">
        <v>321</v>
      </c>
      <c r="F86" s="370" t="s">
        <v>444</v>
      </c>
      <c r="G86" s="386">
        <f>INDEX('CTR1 Data Previous Year'!$B:$B,MATCH($D86,'CTR1 Data Previous Year'!$A:$A,0),1)</f>
        <v>10661205</v>
      </c>
      <c r="H86" s="386">
        <f>INDEX('CTR1 Data Previous Year'!$C:$C,MATCH($D86,'CTR1 Data Previous Year'!$A:$A,0),1)</f>
        <v>464982</v>
      </c>
      <c r="I86" s="386">
        <f>INDEX('CTR1 Data Previous Year'!$D:$D,MATCH($D86,'CTR1 Data Previous Year'!$A:$A,0),1)</f>
        <v>1692016.11</v>
      </c>
      <c r="J86" s="386">
        <f>INDEX('CTR1 Data Previous Year'!$E:$E,MATCH($D86,'CTR1 Data Previous Year'!$A:$A,0),1)</f>
        <v>8969188.8900000006</v>
      </c>
      <c r="K86" s="386">
        <f>INDEX('CTR1 Data Previous Year'!$F:$F,MATCH($D86,'CTR1 Data Previous Year'!$A:$A,0),1)</f>
        <v>0</v>
      </c>
      <c r="L86" s="465">
        <f>INDEX('CTR1 Data Previous Year'!$G:$G,MATCH($D86,'CTR1 Data Previous Year'!$A:$A,0),1)</f>
        <v>42423.67</v>
      </c>
      <c r="M86" s="455">
        <f>INDEX('CTR1 Data Previous Year'!$H:$H,MATCH($D86,'CTR1 Data Previous Year'!$A:$A,0),1)</f>
        <v>0.98</v>
      </c>
      <c r="N86" s="465">
        <f>INDEX('CTR1 Data Previous Year'!$I:$I,MATCH($D86,'CTR1 Data Previous Year'!$A:$A,0),1)</f>
        <v>0</v>
      </c>
      <c r="O86" s="160" t="s">
        <v>597</v>
      </c>
      <c r="P86" s="817" t="s">
        <v>598</v>
      </c>
      <c r="Q86" s="820" t="s">
        <v>599</v>
      </c>
      <c r="R86" s="817" t="s">
        <v>600</v>
      </c>
      <c r="S86" s="821" t="s">
        <v>601</v>
      </c>
      <c r="T86" s="817" t="s">
        <v>602</v>
      </c>
      <c r="U86" s="160"/>
      <c r="V86" s="817"/>
      <c r="W86" s="465">
        <f>INDEX('CTR1 Data Previous Year'!$J:$J,MATCH($D86,'CTR1 Data Previous Year'!$A:$A,0),1)</f>
        <v>41575.199999999997</v>
      </c>
      <c r="X86" s="465">
        <f>INDEX('CTR1 Data Previous Year'!$K:$K,MATCH($D86,'CTR1 Data Previous Year'!$A:$A,0),1)</f>
        <v>256.43</v>
      </c>
      <c r="Y86" s="465">
        <f>INDEX('CTR1 Data Previous Year'!$L:$L,MATCH($D86,'CTR1 Data Previous Year'!$A:$A,0),1)</f>
        <v>215.73</v>
      </c>
      <c r="Z86" s="836" t="str">
        <f t="shared" si="14"/>
        <v>N</v>
      </c>
      <c r="AA86" s="837" t="str">
        <f t="shared" si="15"/>
        <v>N</v>
      </c>
      <c r="AB86" s="838">
        <f t="shared" si="16"/>
        <v>215.73</v>
      </c>
      <c r="AC86" s="868">
        <f t="shared" si="17"/>
        <v>0</v>
      </c>
      <c r="AD86" s="876">
        <f t="shared" si="18"/>
        <v>0</v>
      </c>
      <c r="AE86" s="838">
        <f t="shared" si="19"/>
        <v>222.20189999999999</v>
      </c>
      <c r="AF86" s="838">
        <f t="shared" si="20"/>
        <v>220.73</v>
      </c>
      <c r="AG86" s="839">
        <f t="shared" si="22"/>
        <v>0</v>
      </c>
      <c r="AH86" s="839">
        <f t="shared" si="23"/>
        <v>222.2</v>
      </c>
      <c r="AI86" s="840">
        <f t="shared" si="21"/>
        <v>0</v>
      </c>
      <c r="AJ86" s="841">
        <f t="shared" si="24"/>
        <v>0</v>
      </c>
      <c r="AK86" s="446"/>
      <c r="AL86" s="446"/>
      <c r="AM86" s="446"/>
      <c r="AN86" s="446"/>
    </row>
    <row r="87" spans="1:40" ht="15" customHeight="1" x14ac:dyDescent="0.25">
      <c r="A87" s="370">
        <v>82</v>
      </c>
      <c r="B87" s="371" t="s">
        <v>752</v>
      </c>
      <c r="C87" s="370" t="s">
        <v>753</v>
      </c>
      <c r="D87" s="370" t="s">
        <v>754</v>
      </c>
      <c r="E87" s="370" t="s">
        <v>321</v>
      </c>
      <c r="F87" s="370" t="s">
        <v>368</v>
      </c>
      <c r="G87" s="386">
        <f>INDEX('CTR1 Data Previous Year'!$B:$B,MATCH($D87,'CTR1 Data Previous Year'!$A:$A,0),1)</f>
        <v>27310863</v>
      </c>
      <c r="H87" s="386">
        <f>INDEX('CTR1 Data Previous Year'!$C:$C,MATCH($D87,'CTR1 Data Previous Year'!$A:$A,0),1)</f>
        <v>0</v>
      </c>
      <c r="I87" s="386">
        <f>INDEX('CTR1 Data Previous Year'!$D:$D,MATCH($D87,'CTR1 Data Previous Year'!$A:$A,0),1)</f>
        <v>8793754</v>
      </c>
      <c r="J87" s="386">
        <f>INDEX('CTR1 Data Previous Year'!$E:$E,MATCH($D87,'CTR1 Data Previous Year'!$A:$A,0),1)</f>
        <v>18517109</v>
      </c>
      <c r="K87" s="386">
        <f>INDEX('CTR1 Data Previous Year'!$F:$F,MATCH($D87,'CTR1 Data Previous Year'!$A:$A,0),1)</f>
        <v>177100</v>
      </c>
      <c r="L87" s="465">
        <f>INDEX('CTR1 Data Previous Year'!$G:$G,MATCH($D87,'CTR1 Data Previous Year'!$A:$A,0),1)</f>
        <v>97160.6</v>
      </c>
      <c r="M87" s="455">
        <f>INDEX('CTR1 Data Previous Year'!$H:$H,MATCH($D87,'CTR1 Data Previous Year'!$A:$A,0),1)</f>
        <v>0.99</v>
      </c>
      <c r="N87" s="465">
        <f>INDEX('CTR1 Data Previous Year'!$I:$I,MATCH($D87,'CTR1 Data Previous Year'!$A:$A,0),1)</f>
        <v>179</v>
      </c>
      <c r="O87" s="822" t="s">
        <v>369</v>
      </c>
      <c r="P87" s="817" t="s">
        <v>370</v>
      </c>
      <c r="Q87" s="820" t="s">
        <v>371</v>
      </c>
      <c r="R87" s="817" t="s">
        <v>372</v>
      </c>
      <c r="T87" s="817"/>
      <c r="U87" s="160"/>
      <c r="V87" s="817"/>
      <c r="W87" s="465">
        <f>INDEX('CTR1 Data Previous Year'!$J:$J,MATCH($D87,'CTR1 Data Previous Year'!$A:$A,0),1)</f>
        <v>96367.99</v>
      </c>
      <c r="X87" s="465">
        <f>INDEX('CTR1 Data Previous Year'!$K:$K,MATCH($D87,'CTR1 Data Previous Year'!$A:$A,0),1)</f>
        <v>283.39999999999998</v>
      </c>
      <c r="Y87" s="465">
        <f>INDEX('CTR1 Data Previous Year'!$L:$L,MATCH($D87,'CTR1 Data Previous Year'!$A:$A,0),1)</f>
        <v>192.15</v>
      </c>
      <c r="Z87" s="836" t="str">
        <f t="shared" si="14"/>
        <v>N</v>
      </c>
      <c r="AA87" s="837" t="str">
        <f t="shared" si="15"/>
        <v>N</v>
      </c>
      <c r="AB87" s="838">
        <f t="shared" si="16"/>
        <v>192.15</v>
      </c>
      <c r="AC87" s="868">
        <f t="shared" si="17"/>
        <v>0</v>
      </c>
      <c r="AD87" s="876">
        <f t="shared" si="18"/>
        <v>0</v>
      </c>
      <c r="AE87" s="838">
        <f t="shared" si="19"/>
        <v>197.9145</v>
      </c>
      <c r="AF87" s="838">
        <f t="shared" si="20"/>
        <v>197.15</v>
      </c>
      <c r="AG87" s="839">
        <f t="shared" si="22"/>
        <v>0</v>
      </c>
      <c r="AH87" s="839">
        <f t="shared" si="23"/>
        <v>197.91</v>
      </c>
      <c r="AI87" s="840">
        <f t="shared" si="21"/>
        <v>0</v>
      </c>
      <c r="AJ87" s="841">
        <f t="shared" si="24"/>
        <v>0</v>
      </c>
      <c r="AK87" s="446"/>
      <c r="AL87" s="446"/>
      <c r="AM87" s="446"/>
      <c r="AN87" s="446"/>
    </row>
    <row r="88" spans="1:40" ht="15" customHeight="1" x14ac:dyDescent="0.25">
      <c r="A88" s="370">
        <v>83</v>
      </c>
      <c r="B88" s="371" t="s">
        <v>755</v>
      </c>
      <c r="C88" s="370" t="s">
        <v>756</v>
      </c>
      <c r="D88" s="370" t="s">
        <v>757</v>
      </c>
      <c r="E88" s="370" t="s">
        <v>321</v>
      </c>
      <c r="F88" s="370" t="s">
        <v>322</v>
      </c>
      <c r="G88" s="386">
        <f>INDEX('CTR1 Data Previous Year'!$B:$B,MATCH($D88,'CTR1 Data Previous Year'!$A:$A,0),1)</f>
        <v>10303104</v>
      </c>
      <c r="H88" s="386">
        <f>INDEX('CTR1 Data Previous Year'!$C:$C,MATCH($D88,'CTR1 Data Previous Year'!$A:$A,0),1)</f>
        <v>0</v>
      </c>
      <c r="I88" s="386">
        <f>INDEX('CTR1 Data Previous Year'!$D:$D,MATCH($D88,'CTR1 Data Previous Year'!$A:$A,0),1)</f>
        <v>0</v>
      </c>
      <c r="J88" s="386">
        <f>INDEX('CTR1 Data Previous Year'!$E:$E,MATCH($D88,'CTR1 Data Previous Year'!$A:$A,0),1)</f>
        <v>10303104</v>
      </c>
      <c r="K88" s="386">
        <f>INDEX('CTR1 Data Previous Year'!$F:$F,MATCH($D88,'CTR1 Data Previous Year'!$A:$A,0),1)</f>
        <v>298412</v>
      </c>
      <c r="L88" s="465">
        <f>INDEX('CTR1 Data Previous Year'!$G:$G,MATCH($D88,'CTR1 Data Previous Year'!$A:$A,0),1)</f>
        <v>36943.4</v>
      </c>
      <c r="M88" s="455">
        <f>INDEX('CTR1 Data Previous Year'!$H:$H,MATCH($D88,'CTR1 Data Previous Year'!$A:$A,0),1)</f>
        <v>0.97499999999999998</v>
      </c>
      <c r="N88" s="465">
        <f>INDEX('CTR1 Data Previous Year'!$I:$I,MATCH($D88,'CTR1 Data Previous Year'!$A:$A,0),1)</f>
        <v>0</v>
      </c>
      <c r="O88" s="160" t="s">
        <v>758</v>
      </c>
      <c r="P88" s="817" t="s">
        <v>759</v>
      </c>
      <c r="Q88" s="820" t="s">
        <v>325</v>
      </c>
      <c r="R88" s="817" t="s">
        <v>326</v>
      </c>
      <c r="S88" s="821" t="s">
        <v>534</v>
      </c>
      <c r="T88" s="817" t="s">
        <v>535</v>
      </c>
      <c r="U88" s="160"/>
      <c r="V88" s="817"/>
      <c r="W88" s="465">
        <f>INDEX('CTR1 Data Previous Year'!$J:$J,MATCH($D88,'CTR1 Data Previous Year'!$A:$A,0),1)</f>
        <v>36019.82</v>
      </c>
      <c r="X88" s="465">
        <f>INDEX('CTR1 Data Previous Year'!$K:$K,MATCH($D88,'CTR1 Data Previous Year'!$A:$A,0),1)</f>
        <v>286.04000000000002</v>
      </c>
      <c r="Y88" s="465">
        <f>INDEX('CTR1 Data Previous Year'!$L:$L,MATCH($D88,'CTR1 Data Previous Year'!$A:$A,0),1)</f>
        <v>286.04000000000002</v>
      </c>
      <c r="Z88" s="836" t="str">
        <f t="shared" si="14"/>
        <v>N</v>
      </c>
      <c r="AA88" s="837" t="str">
        <f t="shared" si="15"/>
        <v>N</v>
      </c>
      <c r="AB88" s="838">
        <f t="shared" si="16"/>
        <v>286.04000000000002</v>
      </c>
      <c r="AC88" s="868">
        <f t="shared" si="17"/>
        <v>0</v>
      </c>
      <c r="AD88" s="876">
        <f t="shared" si="18"/>
        <v>0</v>
      </c>
      <c r="AE88" s="838">
        <f t="shared" si="19"/>
        <v>294.62120000000004</v>
      </c>
      <c r="AF88" s="838">
        <f t="shared" si="20"/>
        <v>291.04000000000002</v>
      </c>
      <c r="AG88" s="839">
        <f t="shared" si="22"/>
        <v>0</v>
      </c>
      <c r="AH88" s="839">
        <f t="shared" si="23"/>
        <v>294.62</v>
      </c>
      <c r="AI88" s="840">
        <f t="shared" si="21"/>
        <v>0</v>
      </c>
      <c r="AJ88" s="841">
        <f t="shared" si="24"/>
        <v>0</v>
      </c>
      <c r="AK88" s="446"/>
      <c r="AL88" s="446"/>
      <c r="AM88" s="446"/>
      <c r="AN88" s="446"/>
    </row>
    <row r="89" spans="1:40" ht="15" customHeight="1" x14ac:dyDescent="0.25">
      <c r="A89" s="370">
        <v>84</v>
      </c>
      <c r="B89" s="371" t="s">
        <v>760</v>
      </c>
      <c r="C89" s="370" t="s">
        <v>761</v>
      </c>
      <c r="D89" s="370" t="s">
        <v>762</v>
      </c>
      <c r="E89" s="370" t="s">
        <v>321</v>
      </c>
      <c r="F89" s="370" t="s">
        <v>322</v>
      </c>
      <c r="G89" s="386">
        <f>INDEX('CTR1 Data Previous Year'!$B:$B,MATCH($D89,'CTR1 Data Previous Year'!$A:$A,0),1)</f>
        <v>12619579</v>
      </c>
      <c r="H89" s="386">
        <f>INDEX('CTR1 Data Previous Year'!$C:$C,MATCH($D89,'CTR1 Data Previous Year'!$A:$A,0),1)</f>
        <v>1156174</v>
      </c>
      <c r="I89" s="386">
        <f>INDEX('CTR1 Data Previous Year'!$D:$D,MATCH($D89,'CTR1 Data Previous Year'!$A:$A,0),1)</f>
        <v>5491444</v>
      </c>
      <c r="J89" s="386">
        <f>INDEX('CTR1 Data Previous Year'!$E:$E,MATCH($D89,'CTR1 Data Previous Year'!$A:$A,0),1)</f>
        <v>7128135</v>
      </c>
      <c r="K89" s="386">
        <f>INDEX('CTR1 Data Previous Year'!$F:$F,MATCH($D89,'CTR1 Data Previous Year'!$A:$A,0),1)</f>
        <v>0</v>
      </c>
      <c r="L89" s="465">
        <f>INDEX('CTR1 Data Previous Year'!$G:$G,MATCH($D89,'CTR1 Data Previous Year'!$A:$A,0),1)</f>
        <v>50847.5</v>
      </c>
      <c r="M89" s="455">
        <f>INDEX('CTR1 Data Previous Year'!$H:$H,MATCH($D89,'CTR1 Data Previous Year'!$A:$A,0),1)</f>
        <v>0.97499999999999998</v>
      </c>
      <c r="N89" s="465">
        <f>INDEX('CTR1 Data Previous Year'!$I:$I,MATCH($D89,'CTR1 Data Previous Year'!$A:$A,0),1)</f>
        <v>0</v>
      </c>
      <c r="O89" s="160" t="s">
        <v>411</v>
      </c>
      <c r="P89" s="817" t="s">
        <v>412</v>
      </c>
      <c r="Q89" s="820" t="s">
        <v>413</v>
      </c>
      <c r="R89" s="817" t="s">
        <v>414</v>
      </c>
      <c r="S89" s="821" t="s">
        <v>415</v>
      </c>
      <c r="T89" s="817" t="s">
        <v>416</v>
      </c>
      <c r="U89" s="160"/>
      <c r="V89" s="817"/>
      <c r="W89" s="465">
        <f>INDEX('CTR1 Data Previous Year'!$J:$J,MATCH($D89,'CTR1 Data Previous Year'!$A:$A,0),1)</f>
        <v>49576.31</v>
      </c>
      <c r="X89" s="465">
        <f>INDEX('CTR1 Data Previous Year'!$K:$K,MATCH($D89,'CTR1 Data Previous Year'!$A:$A,0),1)</f>
        <v>254.55</v>
      </c>
      <c r="Y89" s="465">
        <f>INDEX('CTR1 Data Previous Year'!$L:$L,MATCH($D89,'CTR1 Data Previous Year'!$A:$A,0),1)</f>
        <v>143.78</v>
      </c>
      <c r="Z89" s="836" t="str">
        <f t="shared" si="14"/>
        <v>N</v>
      </c>
      <c r="AA89" s="837" t="str">
        <f t="shared" si="15"/>
        <v>N</v>
      </c>
      <c r="AB89" s="838">
        <f t="shared" si="16"/>
        <v>143.78</v>
      </c>
      <c r="AC89" s="868">
        <f t="shared" si="17"/>
        <v>0</v>
      </c>
      <c r="AD89" s="876">
        <f t="shared" si="18"/>
        <v>0</v>
      </c>
      <c r="AE89" s="838">
        <f t="shared" si="19"/>
        <v>148.0934</v>
      </c>
      <c r="AF89" s="838">
        <f t="shared" si="20"/>
        <v>148.78</v>
      </c>
      <c r="AG89" s="839">
        <f t="shared" si="22"/>
        <v>0</v>
      </c>
      <c r="AH89" s="839">
        <f t="shared" si="23"/>
        <v>148.78</v>
      </c>
      <c r="AI89" s="840">
        <f t="shared" si="21"/>
        <v>0</v>
      </c>
      <c r="AJ89" s="841">
        <f t="shared" si="24"/>
        <v>0</v>
      </c>
      <c r="AK89" s="446"/>
      <c r="AL89" s="446"/>
      <c r="AM89" s="446"/>
      <c r="AN89" s="446"/>
    </row>
    <row r="90" spans="1:40" ht="15" customHeight="1" x14ac:dyDescent="0.25">
      <c r="A90" s="370">
        <v>85</v>
      </c>
      <c r="B90" s="371" t="s">
        <v>763</v>
      </c>
      <c r="C90" s="370" t="s">
        <v>764</v>
      </c>
      <c r="D90" s="370" t="s">
        <v>765</v>
      </c>
      <c r="E90" s="370" t="s">
        <v>321</v>
      </c>
      <c r="F90" s="370" t="s">
        <v>322</v>
      </c>
      <c r="G90" s="386">
        <f>INDEX('CTR1 Data Previous Year'!$B:$B,MATCH($D90,'CTR1 Data Previous Year'!$A:$A,0),1)</f>
        <v>17417764</v>
      </c>
      <c r="H90" s="386">
        <f>INDEX('CTR1 Data Previous Year'!$C:$C,MATCH($D90,'CTR1 Data Previous Year'!$A:$A,0),1)</f>
        <v>0</v>
      </c>
      <c r="I90" s="386">
        <f>INDEX('CTR1 Data Previous Year'!$D:$D,MATCH($D90,'CTR1 Data Previous Year'!$A:$A,0),1)</f>
        <v>58115</v>
      </c>
      <c r="J90" s="386">
        <f>INDEX('CTR1 Data Previous Year'!$E:$E,MATCH($D90,'CTR1 Data Previous Year'!$A:$A,0),1)</f>
        <v>17359649</v>
      </c>
      <c r="K90" s="386">
        <f>INDEX('CTR1 Data Previous Year'!$F:$F,MATCH($D90,'CTR1 Data Previous Year'!$A:$A,0),1)</f>
        <v>0</v>
      </c>
      <c r="L90" s="465">
        <f>INDEX('CTR1 Data Previous Year'!$G:$G,MATCH($D90,'CTR1 Data Previous Year'!$A:$A,0),1)</f>
        <v>67928.28</v>
      </c>
      <c r="M90" s="455">
        <f>INDEX('CTR1 Data Previous Year'!$H:$H,MATCH($D90,'CTR1 Data Previous Year'!$A:$A,0),1)</f>
        <v>0.99</v>
      </c>
      <c r="N90" s="465">
        <f>INDEX('CTR1 Data Previous Year'!$I:$I,MATCH($D90,'CTR1 Data Previous Year'!$A:$A,0),1)</f>
        <v>0</v>
      </c>
      <c r="O90" s="160" t="s">
        <v>766</v>
      </c>
      <c r="P90" s="817" t="s">
        <v>767</v>
      </c>
      <c r="Q90" s="820" t="s">
        <v>768</v>
      </c>
      <c r="R90" s="817" t="s">
        <v>769</v>
      </c>
      <c r="S90" s="821" t="s">
        <v>129</v>
      </c>
      <c r="T90" s="817"/>
      <c r="U90" s="160"/>
      <c r="V90" s="817"/>
      <c r="W90" s="465">
        <f>INDEX('CTR1 Data Previous Year'!$J:$J,MATCH($D90,'CTR1 Data Previous Year'!$A:$A,0),1)</f>
        <v>67249</v>
      </c>
      <c r="X90" s="465">
        <f>INDEX('CTR1 Data Previous Year'!$K:$K,MATCH($D90,'CTR1 Data Previous Year'!$A:$A,0),1)</f>
        <v>259</v>
      </c>
      <c r="Y90" s="465">
        <f>INDEX('CTR1 Data Previous Year'!$L:$L,MATCH($D90,'CTR1 Data Previous Year'!$A:$A,0),1)</f>
        <v>258.14</v>
      </c>
      <c r="Z90" s="836" t="str">
        <f t="shared" si="14"/>
        <v>N</v>
      </c>
      <c r="AA90" s="837" t="str">
        <f t="shared" si="15"/>
        <v>N</v>
      </c>
      <c r="AB90" s="838">
        <f t="shared" si="16"/>
        <v>258.14</v>
      </c>
      <c r="AC90" s="868">
        <f t="shared" si="17"/>
        <v>0</v>
      </c>
      <c r="AD90" s="876">
        <f t="shared" si="18"/>
        <v>0</v>
      </c>
      <c r="AE90" s="838">
        <f t="shared" si="19"/>
        <v>265.88420000000002</v>
      </c>
      <c r="AF90" s="838">
        <f t="shared" si="20"/>
        <v>263.14</v>
      </c>
      <c r="AG90" s="839">
        <f t="shared" si="22"/>
        <v>0</v>
      </c>
      <c r="AH90" s="839">
        <f t="shared" si="23"/>
        <v>265.88</v>
      </c>
      <c r="AI90" s="840">
        <f t="shared" si="21"/>
        <v>0</v>
      </c>
      <c r="AJ90" s="841">
        <f t="shared" si="24"/>
        <v>0</v>
      </c>
      <c r="AK90" s="446"/>
      <c r="AL90" s="446"/>
      <c r="AM90" s="446"/>
      <c r="AN90" s="446"/>
    </row>
    <row r="91" spans="1:40" ht="15" customHeight="1" x14ac:dyDescent="0.25">
      <c r="A91" s="370">
        <v>86</v>
      </c>
      <c r="B91" s="371" t="s">
        <v>770</v>
      </c>
      <c r="C91" s="370" t="s">
        <v>771</v>
      </c>
      <c r="D91" s="370" t="s">
        <v>772</v>
      </c>
      <c r="E91" s="370" t="s">
        <v>343</v>
      </c>
      <c r="F91" s="370" t="s">
        <v>378</v>
      </c>
      <c r="G91" s="386">
        <f>INDEX('CTR1 Data Previous Year'!$B:$B,MATCH($D91,'CTR1 Data Previous Year'!$A:$A,0),1)</f>
        <v>174544600</v>
      </c>
      <c r="H91" s="386">
        <f>INDEX('CTR1 Data Previous Year'!$C:$C,MATCH($D91,'CTR1 Data Previous Year'!$A:$A,0),1)</f>
        <v>0</v>
      </c>
      <c r="I91" s="386">
        <f>INDEX('CTR1 Data Previous Year'!$D:$D,MATCH($D91,'CTR1 Data Previous Year'!$A:$A,0),1)</f>
        <v>0</v>
      </c>
      <c r="J91" s="386">
        <f>INDEX('CTR1 Data Previous Year'!$E:$E,MATCH($D91,'CTR1 Data Previous Year'!$A:$A,0),1)</f>
        <v>174544600</v>
      </c>
      <c r="K91" s="386">
        <f>INDEX('CTR1 Data Previous Year'!$F:$F,MATCH($D91,'CTR1 Data Previous Year'!$A:$A,0),1)</f>
        <v>14021816</v>
      </c>
      <c r="L91" s="465">
        <f>INDEX('CTR1 Data Previous Year'!$G:$G,MATCH($D91,'CTR1 Data Previous Year'!$A:$A,0),1)</f>
        <v>109791.25</v>
      </c>
      <c r="M91" s="455">
        <f>INDEX('CTR1 Data Previous Year'!$H:$H,MATCH($D91,'CTR1 Data Previous Year'!$A:$A,0),1)</f>
        <v>0.94989999999999997</v>
      </c>
      <c r="N91" s="465">
        <f>INDEX('CTR1 Data Previous Year'!$I:$I,MATCH($D91,'CTR1 Data Previous Year'!$A:$A,0),1)</f>
        <v>0</v>
      </c>
      <c r="O91" s="160" t="s">
        <v>379</v>
      </c>
      <c r="P91" s="862" t="s">
        <v>380</v>
      </c>
      <c r="Q91" s="820"/>
      <c r="R91" s="817"/>
      <c r="S91" s="821" t="s">
        <v>129</v>
      </c>
      <c r="T91" s="817"/>
      <c r="U91" s="160"/>
      <c r="V91" s="817"/>
      <c r="W91" s="465">
        <f>INDEX('CTR1 Data Previous Year'!$J:$J,MATCH($D91,'CTR1 Data Previous Year'!$A:$A,0),1)</f>
        <v>104290.71</v>
      </c>
      <c r="X91" s="465">
        <f>INDEX('CTR1 Data Previous Year'!$K:$K,MATCH($D91,'CTR1 Data Previous Year'!$A:$A,0),1)</f>
        <v>1673.64</v>
      </c>
      <c r="Y91" s="465">
        <f>INDEX('CTR1 Data Previous Year'!$L:$L,MATCH($D91,'CTR1 Data Previous Year'!$A:$A,0),1)</f>
        <v>1673.64</v>
      </c>
      <c r="Z91" s="836" t="str">
        <f t="shared" si="14"/>
        <v>N</v>
      </c>
      <c r="AA91" s="837" t="str">
        <f t="shared" si="15"/>
        <v>N</v>
      </c>
      <c r="AB91" s="838">
        <f t="shared" si="16"/>
        <v>1673.64</v>
      </c>
      <c r="AC91" s="868">
        <f t="shared" si="17"/>
        <v>0</v>
      </c>
      <c r="AD91" s="876">
        <f t="shared" si="18"/>
        <v>0</v>
      </c>
      <c r="AE91" s="838">
        <f t="shared" si="19"/>
        <v>1757.3220000000001</v>
      </c>
      <c r="AF91" s="838">
        <f t="shared" si="20"/>
        <v>1673.64</v>
      </c>
      <c r="AG91" s="839">
        <f t="shared" si="22"/>
        <v>0</v>
      </c>
      <c r="AH91" s="839">
        <f t="shared" si="23"/>
        <v>1757.32</v>
      </c>
      <c r="AI91" s="840">
        <f t="shared" si="21"/>
        <v>33.47</v>
      </c>
      <c r="AJ91" s="841">
        <f t="shared" si="24"/>
        <v>1.99983269998327E-2</v>
      </c>
      <c r="AK91" s="446"/>
      <c r="AL91" s="446"/>
      <c r="AM91" s="446"/>
      <c r="AN91" s="446"/>
    </row>
    <row r="92" spans="1:40" ht="15" customHeight="1" x14ac:dyDescent="0.25">
      <c r="A92" s="370">
        <v>87</v>
      </c>
      <c r="B92" s="371" t="s">
        <v>773</v>
      </c>
      <c r="C92" s="370" t="s">
        <v>774</v>
      </c>
      <c r="D92" s="370" t="s">
        <v>775</v>
      </c>
      <c r="E92" s="370" t="s">
        <v>321</v>
      </c>
      <c r="F92" s="370" t="s">
        <v>368</v>
      </c>
      <c r="G92" s="386">
        <f>INDEX('CTR1 Data Previous Year'!$B:$B,MATCH($D92,'CTR1 Data Previous Year'!$A:$A,0),1)</f>
        <v>14498964</v>
      </c>
      <c r="H92" s="386">
        <f>INDEX('CTR1 Data Previous Year'!$C:$C,MATCH($D92,'CTR1 Data Previous Year'!$A:$A,0),1)</f>
        <v>0</v>
      </c>
      <c r="I92" s="386">
        <f>INDEX('CTR1 Data Previous Year'!$D:$D,MATCH($D92,'CTR1 Data Previous Year'!$A:$A,0),1)</f>
        <v>4876966</v>
      </c>
      <c r="J92" s="386">
        <f>INDEX('CTR1 Data Previous Year'!$E:$E,MATCH($D92,'CTR1 Data Previous Year'!$A:$A,0),1)</f>
        <v>9621998</v>
      </c>
      <c r="K92" s="386">
        <f>INDEX('CTR1 Data Previous Year'!$F:$F,MATCH($D92,'CTR1 Data Previous Year'!$A:$A,0),1)</f>
        <v>0</v>
      </c>
      <c r="L92" s="465">
        <f>INDEX('CTR1 Data Previous Year'!$G:$G,MATCH($D92,'CTR1 Data Previous Year'!$A:$A,0),1)</f>
        <v>57086.84</v>
      </c>
      <c r="M92" s="455">
        <f>INDEX('CTR1 Data Previous Year'!$H:$H,MATCH($D92,'CTR1 Data Previous Year'!$A:$A,0),1)</f>
        <v>0.98</v>
      </c>
      <c r="N92" s="465">
        <f>INDEX('CTR1 Data Previous Year'!$I:$I,MATCH($D92,'CTR1 Data Previous Year'!$A:$A,0),1)</f>
        <v>0</v>
      </c>
      <c r="O92" s="160" t="s">
        <v>401</v>
      </c>
      <c r="P92" s="817" t="s">
        <v>402</v>
      </c>
      <c r="Q92" s="820" t="s">
        <v>403</v>
      </c>
      <c r="R92" s="817" t="s">
        <v>404</v>
      </c>
      <c r="S92" s="821" t="s">
        <v>405</v>
      </c>
      <c r="T92" s="817" t="s">
        <v>406</v>
      </c>
      <c r="U92" s="822"/>
      <c r="V92" s="817"/>
      <c r="W92" s="465">
        <f>INDEX('CTR1 Data Previous Year'!$J:$J,MATCH($D92,'CTR1 Data Previous Year'!$A:$A,0),1)</f>
        <v>55945.1</v>
      </c>
      <c r="X92" s="465">
        <f>INDEX('CTR1 Data Previous Year'!$K:$K,MATCH($D92,'CTR1 Data Previous Year'!$A:$A,0),1)</f>
        <v>259.16000000000003</v>
      </c>
      <c r="Y92" s="465">
        <f>INDEX('CTR1 Data Previous Year'!$L:$L,MATCH($D92,'CTR1 Data Previous Year'!$A:$A,0),1)</f>
        <v>171.99</v>
      </c>
      <c r="Z92" s="836" t="str">
        <f t="shared" si="14"/>
        <v>N</v>
      </c>
      <c r="AA92" s="837" t="str">
        <f t="shared" si="15"/>
        <v>N</v>
      </c>
      <c r="AB92" s="838">
        <f t="shared" si="16"/>
        <v>171.99</v>
      </c>
      <c r="AC92" s="868">
        <f t="shared" si="17"/>
        <v>0</v>
      </c>
      <c r="AD92" s="876">
        <f t="shared" si="18"/>
        <v>0</v>
      </c>
      <c r="AE92" s="838">
        <f t="shared" si="19"/>
        <v>177.14970000000002</v>
      </c>
      <c r="AF92" s="838">
        <f t="shared" si="20"/>
        <v>176.99</v>
      </c>
      <c r="AG92" s="839">
        <f t="shared" si="22"/>
        <v>0</v>
      </c>
      <c r="AH92" s="839">
        <f t="shared" si="23"/>
        <v>177.15</v>
      </c>
      <c r="AI92" s="840">
        <f t="shared" si="21"/>
        <v>0</v>
      </c>
      <c r="AJ92" s="841">
        <f t="shared" si="24"/>
        <v>0</v>
      </c>
      <c r="AK92" s="446"/>
      <c r="AL92" s="446"/>
      <c r="AM92" s="446"/>
      <c r="AN92" s="446"/>
    </row>
    <row r="93" spans="1:40" ht="15" customHeight="1" x14ac:dyDescent="0.25">
      <c r="A93" s="370">
        <v>88</v>
      </c>
      <c r="B93" s="371" t="s">
        <v>776</v>
      </c>
      <c r="C93" s="370" t="s">
        <v>777</v>
      </c>
      <c r="D93" s="370" t="s">
        <v>778</v>
      </c>
      <c r="E93" s="370" t="s">
        <v>321</v>
      </c>
      <c r="F93" s="370" t="s">
        <v>322</v>
      </c>
      <c r="G93" s="386">
        <f>INDEX('CTR1 Data Previous Year'!$B:$B,MATCH($D93,'CTR1 Data Previous Year'!$A:$A,0),1)</f>
        <v>7883620</v>
      </c>
      <c r="H93" s="386">
        <f>INDEX('CTR1 Data Previous Year'!$C:$C,MATCH($D93,'CTR1 Data Previous Year'!$A:$A,0),1)</f>
        <v>0</v>
      </c>
      <c r="I93" s="386">
        <f>INDEX('CTR1 Data Previous Year'!$D:$D,MATCH($D93,'CTR1 Data Previous Year'!$A:$A,0),1)</f>
        <v>0</v>
      </c>
      <c r="J93" s="386">
        <f>INDEX('CTR1 Data Previous Year'!$E:$E,MATCH($D93,'CTR1 Data Previous Year'!$A:$A,0),1)</f>
        <v>7883620</v>
      </c>
      <c r="K93" s="386">
        <f>INDEX('CTR1 Data Previous Year'!$F:$F,MATCH($D93,'CTR1 Data Previous Year'!$A:$A,0),1)</f>
        <v>0</v>
      </c>
      <c r="L93" s="465">
        <f>INDEX('CTR1 Data Previous Year'!$G:$G,MATCH($D93,'CTR1 Data Previous Year'!$A:$A,0),1)</f>
        <v>34292.75</v>
      </c>
      <c r="M93" s="455">
        <f>INDEX('CTR1 Data Previous Year'!$H:$H,MATCH($D93,'CTR1 Data Previous Year'!$A:$A,0),1)</f>
        <v>0.98699999999999999</v>
      </c>
      <c r="N93" s="465">
        <f>INDEX('CTR1 Data Previous Year'!$I:$I,MATCH($D93,'CTR1 Data Previous Year'!$A:$A,0),1)</f>
        <v>0</v>
      </c>
      <c r="O93" s="160" t="s">
        <v>766</v>
      </c>
      <c r="P93" s="817" t="s">
        <v>767</v>
      </c>
      <c r="Q93" s="820" t="s">
        <v>768</v>
      </c>
      <c r="R93" s="817" t="s">
        <v>769</v>
      </c>
      <c r="S93" s="821" t="s">
        <v>129</v>
      </c>
      <c r="T93" s="817"/>
      <c r="U93" s="160"/>
      <c r="V93" s="817"/>
      <c r="W93" s="465">
        <f>INDEX('CTR1 Data Previous Year'!$J:$J,MATCH($D93,'CTR1 Data Previous Year'!$A:$A,0),1)</f>
        <v>33846.94</v>
      </c>
      <c r="X93" s="465">
        <f>INDEX('CTR1 Data Previous Year'!$K:$K,MATCH($D93,'CTR1 Data Previous Year'!$A:$A,0),1)</f>
        <v>232.92</v>
      </c>
      <c r="Y93" s="465">
        <f>INDEX('CTR1 Data Previous Year'!$L:$L,MATCH($D93,'CTR1 Data Previous Year'!$A:$A,0),1)</f>
        <v>232.92</v>
      </c>
      <c r="Z93" s="836" t="str">
        <f t="shared" si="14"/>
        <v>N</v>
      </c>
      <c r="AA93" s="837" t="str">
        <f t="shared" si="15"/>
        <v>N</v>
      </c>
      <c r="AB93" s="838">
        <f t="shared" si="16"/>
        <v>232.92</v>
      </c>
      <c r="AC93" s="868">
        <f t="shared" si="17"/>
        <v>0</v>
      </c>
      <c r="AD93" s="876">
        <f t="shared" si="18"/>
        <v>0</v>
      </c>
      <c r="AE93" s="838">
        <f t="shared" si="19"/>
        <v>239.9076</v>
      </c>
      <c r="AF93" s="838">
        <f t="shared" si="20"/>
        <v>237.92</v>
      </c>
      <c r="AG93" s="839">
        <f t="shared" si="22"/>
        <v>0</v>
      </c>
      <c r="AH93" s="839">
        <f t="shared" si="23"/>
        <v>239.91</v>
      </c>
      <c r="AI93" s="840">
        <f t="shared" si="21"/>
        <v>0</v>
      </c>
      <c r="AJ93" s="841">
        <f t="shared" si="24"/>
        <v>0</v>
      </c>
      <c r="AK93" s="446"/>
      <c r="AL93" s="446"/>
      <c r="AM93" s="446"/>
      <c r="AN93" s="446"/>
    </row>
    <row r="94" spans="1:40" ht="15" customHeight="1" x14ac:dyDescent="0.25">
      <c r="A94" s="370">
        <v>89</v>
      </c>
      <c r="B94" s="371" t="s">
        <v>779</v>
      </c>
      <c r="C94" s="370" t="s">
        <v>780</v>
      </c>
      <c r="D94" s="370" t="s">
        <v>781</v>
      </c>
      <c r="E94" s="370" t="s">
        <v>321</v>
      </c>
      <c r="F94" s="370" t="s">
        <v>330</v>
      </c>
      <c r="G94" s="386">
        <f>INDEX('CTR1 Data Previous Year'!$B:$B,MATCH($D94,'CTR1 Data Previous Year'!$A:$A,0),1)</f>
        <v>8416742</v>
      </c>
      <c r="H94" s="386">
        <f>INDEX('CTR1 Data Previous Year'!$C:$C,MATCH($D94,'CTR1 Data Previous Year'!$A:$A,0),1)</f>
        <v>0</v>
      </c>
      <c r="I94" s="386">
        <f>INDEX('CTR1 Data Previous Year'!$D:$D,MATCH($D94,'CTR1 Data Previous Year'!$A:$A,0),1)</f>
        <v>816882</v>
      </c>
      <c r="J94" s="386">
        <f>INDEX('CTR1 Data Previous Year'!$E:$E,MATCH($D94,'CTR1 Data Previous Year'!$A:$A,0),1)</f>
        <v>7599860</v>
      </c>
      <c r="K94" s="386">
        <f>INDEX('CTR1 Data Previous Year'!$F:$F,MATCH($D94,'CTR1 Data Previous Year'!$A:$A,0),1)</f>
        <v>0</v>
      </c>
      <c r="L94" s="465">
        <f>INDEX('CTR1 Data Previous Year'!$G:$G,MATCH($D94,'CTR1 Data Previous Year'!$A:$A,0),1)</f>
        <v>35035.839999999997</v>
      </c>
      <c r="M94" s="455">
        <f>INDEX('CTR1 Data Previous Year'!$H:$H,MATCH($D94,'CTR1 Data Previous Year'!$A:$A,0),1)</f>
        <v>0.98499999999999999</v>
      </c>
      <c r="N94" s="465">
        <f>INDEX('CTR1 Data Previous Year'!$I:$I,MATCH($D94,'CTR1 Data Previous Year'!$A:$A,0),1)</f>
        <v>0</v>
      </c>
      <c r="O94" s="160" t="s">
        <v>331</v>
      </c>
      <c r="P94" s="817" t="s">
        <v>332</v>
      </c>
      <c r="Q94" s="820" t="s">
        <v>333</v>
      </c>
      <c r="R94" s="817" t="s">
        <v>334</v>
      </c>
      <c r="S94" s="821" t="s">
        <v>335</v>
      </c>
      <c r="T94" s="817" t="s">
        <v>336</v>
      </c>
      <c r="U94" s="822" t="s">
        <v>337</v>
      </c>
      <c r="V94" s="817" t="s">
        <v>338</v>
      </c>
      <c r="W94" s="465">
        <f>INDEX('CTR1 Data Previous Year'!$J:$J,MATCH($D94,'CTR1 Data Previous Year'!$A:$A,0),1)</f>
        <v>34510.300000000003</v>
      </c>
      <c r="X94" s="465">
        <f>INDEX('CTR1 Data Previous Year'!$K:$K,MATCH($D94,'CTR1 Data Previous Year'!$A:$A,0),1)</f>
        <v>243.89</v>
      </c>
      <c r="Y94" s="465">
        <f>INDEX('CTR1 Data Previous Year'!$L:$L,MATCH($D94,'CTR1 Data Previous Year'!$A:$A,0),1)</f>
        <v>220.22</v>
      </c>
      <c r="Z94" s="836" t="str">
        <f t="shared" si="14"/>
        <v>N</v>
      </c>
      <c r="AA94" s="837" t="str">
        <f t="shared" si="15"/>
        <v>N</v>
      </c>
      <c r="AB94" s="838">
        <f t="shared" si="16"/>
        <v>220.22</v>
      </c>
      <c r="AC94" s="868">
        <f t="shared" si="17"/>
        <v>0</v>
      </c>
      <c r="AD94" s="876">
        <f t="shared" si="18"/>
        <v>0</v>
      </c>
      <c r="AE94" s="838">
        <f t="shared" si="19"/>
        <v>226.82660000000001</v>
      </c>
      <c r="AF94" s="838">
        <f t="shared" si="20"/>
        <v>225.22</v>
      </c>
      <c r="AG94" s="839">
        <f t="shared" si="22"/>
        <v>0</v>
      </c>
      <c r="AH94" s="839">
        <f t="shared" si="23"/>
        <v>226.83</v>
      </c>
      <c r="AI94" s="840">
        <f t="shared" si="21"/>
        <v>0</v>
      </c>
      <c r="AJ94" s="841">
        <f t="shared" si="24"/>
        <v>0</v>
      </c>
      <c r="AK94" s="446"/>
      <c r="AL94" s="446"/>
      <c r="AM94" s="446"/>
      <c r="AN94" s="446"/>
    </row>
    <row r="95" spans="1:40" ht="15" customHeight="1" x14ac:dyDescent="0.25">
      <c r="A95" s="370">
        <v>90</v>
      </c>
      <c r="B95" s="371" t="s">
        <v>782</v>
      </c>
      <c r="C95" s="370" t="s">
        <v>783</v>
      </c>
      <c r="D95" s="370" t="s">
        <v>784</v>
      </c>
      <c r="E95" s="370" t="s">
        <v>321</v>
      </c>
      <c r="F95" s="370" t="s">
        <v>425</v>
      </c>
      <c r="G95" s="386">
        <f>INDEX('CTR1 Data Previous Year'!$B:$B,MATCH($D95,'CTR1 Data Previous Year'!$A:$A,0),1)</f>
        <v>7403098</v>
      </c>
      <c r="H95" s="386">
        <f>INDEX('CTR1 Data Previous Year'!$C:$C,MATCH($D95,'CTR1 Data Previous Year'!$A:$A,0),1)</f>
        <v>0</v>
      </c>
      <c r="I95" s="386">
        <f>INDEX('CTR1 Data Previous Year'!$D:$D,MATCH($D95,'CTR1 Data Previous Year'!$A:$A,0),1)</f>
        <v>0</v>
      </c>
      <c r="J95" s="386">
        <f>INDEX('CTR1 Data Previous Year'!$E:$E,MATCH($D95,'CTR1 Data Previous Year'!$A:$A,0),1)</f>
        <v>7403098</v>
      </c>
      <c r="K95" s="386">
        <f>INDEX('CTR1 Data Previous Year'!$F:$F,MATCH($D95,'CTR1 Data Previous Year'!$A:$A,0),1)</f>
        <v>0</v>
      </c>
      <c r="L95" s="465">
        <f>INDEX('CTR1 Data Previous Year'!$G:$G,MATCH($D95,'CTR1 Data Previous Year'!$A:$A,0),1)</f>
        <v>40873.85</v>
      </c>
      <c r="M95" s="455">
        <f>INDEX('CTR1 Data Previous Year'!$H:$H,MATCH($D95,'CTR1 Data Previous Year'!$A:$A,0),1)</f>
        <v>0.97499999999999998</v>
      </c>
      <c r="N95" s="465">
        <f>INDEX('CTR1 Data Previous Year'!$I:$I,MATCH($D95,'CTR1 Data Previous Year'!$A:$A,0),1)</f>
        <v>0</v>
      </c>
      <c r="O95" s="160" t="s">
        <v>727</v>
      </c>
      <c r="P95" s="817" t="s">
        <v>728</v>
      </c>
      <c r="Q95" s="820" t="s">
        <v>658</v>
      </c>
      <c r="R95" s="817" t="s">
        <v>659</v>
      </c>
      <c r="S95" s="821" t="s">
        <v>729</v>
      </c>
      <c r="T95" s="817" t="s">
        <v>730</v>
      </c>
      <c r="U95" s="160"/>
      <c r="V95" s="817"/>
      <c r="W95" s="465">
        <f>INDEX('CTR1 Data Previous Year'!$J:$J,MATCH($D95,'CTR1 Data Previous Year'!$A:$A,0),1)</f>
        <v>39852</v>
      </c>
      <c r="X95" s="465">
        <f>INDEX('CTR1 Data Previous Year'!$K:$K,MATCH($D95,'CTR1 Data Previous Year'!$A:$A,0),1)</f>
        <v>185.76</v>
      </c>
      <c r="Y95" s="465">
        <f>INDEX('CTR1 Data Previous Year'!$L:$L,MATCH($D95,'CTR1 Data Previous Year'!$A:$A,0),1)</f>
        <v>185.76</v>
      </c>
      <c r="Z95" s="836" t="str">
        <f t="shared" si="14"/>
        <v>N</v>
      </c>
      <c r="AA95" s="837" t="str">
        <f t="shared" si="15"/>
        <v>N</v>
      </c>
      <c r="AB95" s="838">
        <f t="shared" si="16"/>
        <v>185.76</v>
      </c>
      <c r="AC95" s="868">
        <f t="shared" si="17"/>
        <v>0</v>
      </c>
      <c r="AD95" s="876">
        <f t="shared" si="18"/>
        <v>0</v>
      </c>
      <c r="AE95" s="838">
        <f t="shared" si="19"/>
        <v>191.33279999999999</v>
      </c>
      <c r="AF95" s="838">
        <f t="shared" si="20"/>
        <v>190.76</v>
      </c>
      <c r="AG95" s="839">
        <f t="shared" si="22"/>
        <v>0</v>
      </c>
      <c r="AH95" s="839">
        <f t="shared" si="23"/>
        <v>191.33</v>
      </c>
      <c r="AI95" s="840">
        <f t="shared" si="21"/>
        <v>0</v>
      </c>
      <c r="AJ95" s="841">
        <f t="shared" si="24"/>
        <v>0</v>
      </c>
      <c r="AK95" s="446"/>
      <c r="AL95" s="446"/>
      <c r="AM95" s="446"/>
      <c r="AN95" s="446"/>
    </row>
    <row r="96" spans="1:40" ht="15" customHeight="1" x14ac:dyDescent="0.25">
      <c r="A96" s="370">
        <v>91</v>
      </c>
      <c r="B96" s="371" t="s">
        <v>785</v>
      </c>
      <c r="C96" s="370" t="s">
        <v>786</v>
      </c>
      <c r="D96" s="370" t="s">
        <v>787</v>
      </c>
      <c r="E96" s="370" t="s">
        <v>321</v>
      </c>
      <c r="F96" s="370" t="s">
        <v>322</v>
      </c>
      <c r="G96" s="386">
        <f>INDEX('CTR1 Data Previous Year'!$B:$B,MATCH($D96,'CTR1 Data Previous Year'!$A:$A,0),1)</f>
        <v>8536643</v>
      </c>
      <c r="H96" s="386">
        <f>INDEX('CTR1 Data Previous Year'!$C:$C,MATCH($D96,'CTR1 Data Previous Year'!$A:$A,0),1)</f>
        <v>0</v>
      </c>
      <c r="I96" s="386">
        <f>INDEX('CTR1 Data Previous Year'!$D:$D,MATCH($D96,'CTR1 Data Previous Year'!$A:$A,0),1)</f>
        <v>0</v>
      </c>
      <c r="J96" s="386">
        <f>INDEX('CTR1 Data Previous Year'!$E:$E,MATCH($D96,'CTR1 Data Previous Year'!$A:$A,0),1)</f>
        <v>8536643</v>
      </c>
      <c r="K96" s="386">
        <f>INDEX('CTR1 Data Previous Year'!$F:$F,MATCH($D96,'CTR1 Data Previous Year'!$A:$A,0),1)</f>
        <v>0</v>
      </c>
      <c r="L96" s="465">
        <f>INDEX('CTR1 Data Previous Year'!$G:$G,MATCH($D96,'CTR1 Data Previous Year'!$A:$A,0),1)</f>
        <v>44277.48</v>
      </c>
      <c r="M96" s="455">
        <f>INDEX('CTR1 Data Previous Year'!$H:$H,MATCH($D96,'CTR1 Data Previous Year'!$A:$A,0),1)</f>
        <v>0.999</v>
      </c>
      <c r="N96" s="465">
        <f>INDEX('CTR1 Data Previous Year'!$I:$I,MATCH($D96,'CTR1 Data Previous Year'!$A:$A,0),1)</f>
        <v>363.2</v>
      </c>
      <c r="O96" s="160" t="s">
        <v>411</v>
      </c>
      <c r="P96" s="817" t="s">
        <v>412</v>
      </c>
      <c r="Q96" s="820" t="s">
        <v>413</v>
      </c>
      <c r="R96" s="817" t="s">
        <v>414</v>
      </c>
      <c r="S96" s="821" t="s">
        <v>415</v>
      </c>
      <c r="T96" s="817" t="s">
        <v>416</v>
      </c>
      <c r="U96" s="160"/>
      <c r="V96" s="817"/>
      <c r="W96" s="465">
        <f>INDEX('CTR1 Data Previous Year'!$J:$J,MATCH($D96,'CTR1 Data Previous Year'!$A:$A,0),1)</f>
        <v>44596.4</v>
      </c>
      <c r="X96" s="465">
        <f>INDEX('CTR1 Data Previous Year'!$K:$K,MATCH($D96,'CTR1 Data Previous Year'!$A:$A,0),1)</f>
        <v>191.42</v>
      </c>
      <c r="Y96" s="465">
        <f>INDEX('CTR1 Data Previous Year'!$L:$L,MATCH($D96,'CTR1 Data Previous Year'!$A:$A,0),1)</f>
        <v>191.42</v>
      </c>
      <c r="Z96" s="836" t="str">
        <f t="shared" si="14"/>
        <v>N</v>
      </c>
      <c r="AA96" s="837" t="str">
        <f t="shared" si="15"/>
        <v>N</v>
      </c>
      <c r="AB96" s="838">
        <f t="shared" si="16"/>
        <v>191.42</v>
      </c>
      <c r="AC96" s="868">
        <f t="shared" si="17"/>
        <v>0</v>
      </c>
      <c r="AD96" s="876">
        <f t="shared" si="18"/>
        <v>0</v>
      </c>
      <c r="AE96" s="838">
        <f t="shared" si="19"/>
        <v>197.1626</v>
      </c>
      <c r="AF96" s="838">
        <f t="shared" si="20"/>
        <v>196.42</v>
      </c>
      <c r="AG96" s="839">
        <f t="shared" si="22"/>
        <v>0</v>
      </c>
      <c r="AH96" s="839">
        <f t="shared" si="23"/>
        <v>197.16</v>
      </c>
      <c r="AI96" s="840">
        <f t="shared" si="21"/>
        <v>0</v>
      </c>
      <c r="AJ96" s="841">
        <f t="shared" si="24"/>
        <v>0</v>
      </c>
      <c r="AK96" s="446"/>
      <c r="AL96" s="446"/>
      <c r="AM96" s="446"/>
      <c r="AN96" s="446"/>
    </row>
    <row r="97" spans="1:40" ht="15" customHeight="1" x14ac:dyDescent="0.25">
      <c r="A97" s="370">
        <v>92</v>
      </c>
      <c r="B97" s="371" t="s">
        <v>788</v>
      </c>
      <c r="C97" s="370" t="s">
        <v>789</v>
      </c>
      <c r="D97" s="370" t="s">
        <v>790</v>
      </c>
      <c r="E97" s="370" t="s">
        <v>321</v>
      </c>
      <c r="F97" s="370" t="s">
        <v>368</v>
      </c>
      <c r="G97" s="386">
        <f>INDEX('CTR1 Data Previous Year'!$B:$B,MATCH($D97,'CTR1 Data Previous Year'!$A:$A,0),1)</f>
        <v>9952541</v>
      </c>
      <c r="H97" s="386">
        <f>INDEX('CTR1 Data Previous Year'!$C:$C,MATCH($D97,'CTR1 Data Previous Year'!$A:$A,0),1)</f>
        <v>0</v>
      </c>
      <c r="I97" s="386">
        <f>INDEX('CTR1 Data Previous Year'!$D:$D,MATCH($D97,'CTR1 Data Previous Year'!$A:$A,0),1)</f>
        <v>1760028</v>
      </c>
      <c r="J97" s="386">
        <f>INDEX('CTR1 Data Previous Year'!$E:$E,MATCH($D97,'CTR1 Data Previous Year'!$A:$A,0),1)</f>
        <v>8192513</v>
      </c>
      <c r="K97" s="386">
        <f>INDEX('CTR1 Data Previous Year'!$F:$F,MATCH($D97,'CTR1 Data Previous Year'!$A:$A,0),1)</f>
        <v>2468240</v>
      </c>
      <c r="L97" s="465">
        <f>INDEX('CTR1 Data Previous Year'!$G:$G,MATCH($D97,'CTR1 Data Previous Year'!$A:$A,0),1)</f>
        <v>32544.53</v>
      </c>
      <c r="M97" s="455">
        <f>INDEX('CTR1 Data Previous Year'!$H:$H,MATCH($D97,'CTR1 Data Previous Year'!$A:$A,0),1)</f>
        <v>0.98799999999999999</v>
      </c>
      <c r="N97" s="465">
        <f>INDEX('CTR1 Data Previous Year'!$I:$I,MATCH($D97,'CTR1 Data Previous Year'!$A:$A,0),1)</f>
        <v>0</v>
      </c>
      <c r="O97" s="160" t="s">
        <v>583</v>
      </c>
      <c r="P97" s="817" t="s">
        <v>584</v>
      </c>
      <c r="Q97" s="820" t="s">
        <v>585</v>
      </c>
      <c r="R97" s="817" t="s">
        <v>586</v>
      </c>
      <c r="S97" s="821" t="s">
        <v>587</v>
      </c>
      <c r="T97" s="817" t="s">
        <v>588</v>
      </c>
      <c r="U97" s="822" t="s">
        <v>589</v>
      </c>
      <c r="V97" s="817" t="s">
        <v>590</v>
      </c>
      <c r="W97" s="465">
        <f>INDEX('CTR1 Data Previous Year'!$J:$J,MATCH($D97,'CTR1 Data Previous Year'!$A:$A,0),1)</f>
        <v>32154</v>
      </c>
      <c r="X97" s="465">
        <f>INDEX('CTR1 Data Previous Year'!$K:$K,MATCH($D97,'CTR1 Data Previous Year'!$A:$A,0),1)</f>
        <v>309.52999999999997</v>
      </c>
      <c r="Y97" s="465">
        <f>INDEX('CTR1 Data Previous Year'!$L:$L,MATCH($D97,'CTR1 Data Previous Year'!$A:$A,0),1)</f>
        <v>254.79</v>
      </c>
      <c r="Z97" s="836" t="str">
        <f t="shared" si="14"/>
        <v>N</v>
      </c>
      <c r="AA97" s="837" t="str">
        <f t="shared" si="15"/>
        <v>N</v>
      </c>
      <c r="AB97" s="838">
        <f t="shared" si="16"/>
        <v>254.79</v>
      </c>
      <c r="AC97" s="868">
        <f t="shared" si="17"/>
        <v>0</v>
      </c>
      <c r="AD97" s="876">
        <f t="shared" si="18"/>
        <v>0</v>
      </c>
      <c r="AE97" s="838">
        <f t="shared" si="19"/>
        <v>262.43369999999999</v>
      </c>
      <c r="AF97" s="838">
        <f t="shared" si="20"/>
        <v>259.78999999999996</v>
      </c>
      <c r="AG97" s="839">
        <f t="shared" si="22"/>
        <v>0</v>
      </c>
      <c r="AH97" s="839">
        <f t="shared" si="23"/>
        <v>262.43</v>
      </c>
      <c r="AI97" s="840">
        <f t="shared" si="21"/>
        <v>0</v>
      </c>
      <c r="AJ97" s="841">
        <f t="shared" si="24"/>
        <v>0</v>
      </c>
      <c r="AK97" s="446"/>
      <c r="AL97" s="446"/>
      <c r="AM97" s="446"/>
      <c r="AN97" s="446"/>
    </row>
    <row r="98" spans="1:40" ht="15" customHeight="1" x14ac:dyDescent="0.25">
      <c r="A98" s="370">
        <v>93</v>
      </c>
      <c r="B98" s="371" t="s">
        <v>791</v>
      </c>
      <c r="C98" s="370" t="s">
        <v>792</v>
      </c>
      <c r="D98" s="370" t="s">
        <v>793</v>
      </c>
      <c r="E98" s="370" t="s">
        <v>321</v>
      </c>
      <c r="F98" s="370" t="s">
        <v>322</v>
      </c>
      <c r="G98" s="386">
        <f>INDEX('CTR1 Data Previous Year'!$B:$B,MATCH($D98,'CTR1 Data Previous Year'!$A:$A,0),1)</f>
        <v>15784698</v>
      </c>
      <c r="H98" s="386">
        <f>INDEX('CTR1 Data Previous Year'!$C:$C,MATCH($D98,'CTR1 Data Previous Year'!$A:$A,0),1)</f>
        <v>677494</v>
      </c>
      <c r="I98" s="386">
        <f>INDEX('CTR1 Data Previous Year'!$D:$D,MATCH($D98,'CTR1 Data Previous Year'!$A:$A,0),1)</f>
        <v>3161440</v>
      </c>
      <c r="J98" s="386">
        <f>INDEX('CTR1 Data Previous Year'!$E:$E,MATCH($D98,'CTR1 Data Previous Year'!$A:$A,0),1)</f>
        <v>12623258</v>
      </c>
      <c r="K98" s="386">
        <f>INDEX('CTR1 Data Previous Year'!$F:$F,MATCH($D98,'CTR1 Data Previous Year'!$A:$A,0),1)</f>
        <v>609040</v>
      </c>
      <c r="L98" s="465">
        <f>INDEX('CTR1 Data Previous Year'!$G:$G,MATCH($D98,'CTR1 Data Previous Year'!$A:$A,0),1)</f>
        <v>43100.73</v>
      </c>
      <c r="M98" s="455">
        <f>INDEX('CTR1 Data Previous Year'!$H:$H,MATCH($D98,'CTR1 Data Previous Year'!$A:$A,0),1)</f>
        <v>0.95499999999999996</v>
      </c>
      <c r="N98" s="465">
        <f>INDEX('CTR1 Data Previous Year'!$I:$I,MATCH($D98,'CTR1 Data Previous Year'!$A:$A,0),1)</f>
        <v>252.44</v>
      </c>
      <c r="O98" s="160" t="s">
        <v>358</v>
      </c>
      <c r="P98" s="817" t="s">
        <v>359</v>
      </c>
      <c r="Q98" s="820" t="s">
        <v>360</v>
      </c>
      <c r="R98" s="817" t="s">
        <v>361</v>
      </c>
      <c r="S98" s="821" t="s">
        <v>362</v>
      </c>
      <c r="T98" s="817" t="s">
        <v>363</v>
      </c>
      <c r="U98" s="160"/>
      <c r="V98" s="817"/>
      <c r="W98" s="465">
        <f>INDEX('CTR1 Data Previous Year'!$J:$J,MATCH($D98,'CTR1 Data Previous Year'!$A:$A,0),1)</f>
        <v>41413.64</v>
      </c>
      <c r="X98" s="465">
        <f>INDEX('CTR1 Data Previous Year'!$K:$K,MATCH($D98,'CTR1 Data Previous Year'!$A:$A,0),1)</f>
        <v>381.15</v>
      </c>
      <c r="Y98" s="465">
        <f>INDEX('CTR1 Data Previous Year'!$L:$L,MATCH($D98,'CTR1 Data Previous Year'!$A:$A,0),1)</f>
        <v>304.81</v>
      </c>
      <c r="Z98" s="836" t="str">
        <f t="shared" si="14"/>
        <v>N</v>
      </c>
      <c r="AA98" s="837" t="str">
        <f t="shared" si="15"/>
        <v>N</v>
      </c>
      <c r="AB98" s="838">
        <f t="shared" si="16"/>
        <v>304.81</v>
      </c>
      <c r="AC98" s="868">
        <f t="shared" si="17"/>
        <v>0</v>
      </c>
      <c r="AD98" s="876">
        <f t="shared" si="18"/>
        <v>0</v>
      </c>
      <c r="AE98" s="838">
        <f t="shared" si="19"/>
        <v>313.95429999999999</v>
      </c>
      <c r="AF98" s="838">
        <f t="shared" si="20"/>
        <v>309.81</v>
      </c>
      <c r="AG98" s="839">
        <f t="shared" si="22"/>
        <v>0</v>
      </c>
      <c r="AH98" s="839">
        <f t="shared" si="23"/>
        <v>313.95</v>
      </c>
      <c r="AI98" s="840">
        <f t="shared" si="21"/>
        <v>0</v>
      </c>
      <c r="AJ98" s="841">
        <f t="shared" si="24"/>
        <v>0</v>
      </c>
      <c r="AK98" s="446"/>
      <c r="AL98" s="446"/>
      <c r="AM98" s="446"/>
      <c r="AN98" s="446"/>
    </row>
    <row r="99" spans="1:40" ht="15" customHeight="1" x14ac:dyDescent="0.25">
      <c r="A99" s="370">
        <v>94</v>
      </c>
      <c r="B99" s="371" t="s">
        <v>794</v>
      </c>
      <c r="C99" s="370" t="s">
        <v>795</v>
      </c>
      <c r="D99" s="370" t="s">
        <v>796</v>
      </c>
      <c r="E99" s="370" t="s">
        <v>321</v>
      </c>
      <c r="F99" s="370" t="s">
        <v>425</v>
      </c>
      <c r="G99" s="386">
        <f>INDEX('CTR1 Data Previous Year'!$B:$B,MATCH($D99,'CTR1 Data Previous Year'!$A:$A,0),1)</f>
        <v>10336605</v>
      </c>
      <c r="H99" s="386">
        <f>INDEX('CTR1 Data Previous Year'!$C:$C,MATCH($D99,'CTR1 Data Previous Year'!$A:$A,0),1)</f>
        <v>9110</v>
      </c>
      <c r="I99" s="386">
        <f>INDEX('CTR1 Data Previous Year'!$D:$D,MATCH($D99,'CTR1 Data Previous Year'!$A:$A,0),1)</f>
        <v>3598575</v>
      </c>
      <c r="J99" s="386">
        <f>INDEX('CTR1 Data Previous Year'!$E:$E,MATCH($D99,'CTR1 Data Previous Year'!$A:$A,0),1)</f>
        <v>6738030</v>
      </c>
      <c r="K99" s="386">
        <f>INDEX('CTR1 Data Previous Year'!$F:$F,MATCH($D99,'CTR1 Data Previous Year'!$A:$A,0),1)</f>
        <v>0</v>
      </c>
      <c r="L99" s="465">
        <f>INDEX('CTR1 Data Previous Year'!$G:$G,MATCH($D99,'CTR1 Data Previous Year'!$A:$A,0),1)</f>
        <v>32020.6</v>
      </c>
      <c r="M99" s="455">
        <f>INDEX('CTR1 Data Previous Year'!$H:$H,MATCH($D99,'CTR1 Data Previous Year'!$A:$A,0),1)</f>
        <v>0.98750000000000004</v>
      </c>
      <c r="N99" s="465">
        <f>INDEX('CTR1 Data Previous Year'!$I:$I,MATCH($D99,'CTR1 Data Previous Year'!$A:$A,0),1)</f>
        <v>170.34</v>
      </c>
      <c r="O99" s="160" t="s">
        <v>621</v>
      </c>
      <c r="P99" s="817" t="s">
        <v>622</v>
      </c>
      <c r="Q99" s="820" t="s">
        <v>623</v>
      </c>
      <c r="R99" s="817" t="s">
        <v>624</v>
      </c>
      <c r="S99" s="821" t="s">
        <v>129</v>
      </c>
      <c r="T99" s="817"/>
      <c r="U99" s="160"/>
      <c r="V99" s="817"/>
      <c r="W99" s="465">
        <f>INDEX('CTR1 Data Previous Year'!$J:$J,MATCH($D99,'CTR1 Data Previous Year'!$A:$A,0),1)</f>
        <v>31790.68</v>
      </c>
      <c r="X99" s="465">
        <f>INDEX('CTR1 Data Previous Year'!$K:$K,MATCH($D99,'CTR1 Data Previous Year'!$A:$A,0),1)</f>
        <v>325.14999999999998</v>
      </c>
      <c r="Y99" s="465">
        <f>INDEX('CTR1 Data Previous Year'!$L:$L,MATCH($D99,'CTR1 Data Previous Year'!$A:$A,0),1)</f>
        <v>211.95</v>
      </c>
      <c r="Z99" s="836" t="str">
        <f t="shared" si="14"/>
        <v>N</v>
      </c>
      <c r="AA99" s="837" t="str">
        <f t="shared" si="15"/>
        <v>N</v>
      </c>
      <c r="AB99" s="838">
        <f t="shared" si="16"/>
        <v>211.95</v>
      </c>
      <c r="AC99" s="868">
        <f t="shared" si="17"/>
        <v>0</v>
      </c>
      <c r="AD99" s="876">
        <f t="shared" si="18"/>
        <v>0</v>
      </c>
      <c r="AE99" s="838">
        <f t="shared" si="19"/>
        <v>218.30849999999998</v>
      </c>
      <c r="AF99" s="838">
        <f t="shared" si="20"/>
        <v>216.95</v>
      </c>
      <c r="AG99" s="839">
        <f t="shared" si="22"/>
        <v>0</v>
      </c>
      <c r="AH99" s="839">
        <f t="shared" si="23"/>
        <v>218.31</v>
      </c>
      <c r="AI99" s="840">
        <f t="shared" si="21"/>
        <v>0</v>
      </c>
      <c r="AJ99" s="841">
        <f t="shared" si="24"/>
        <v>0</v>
      </c>
      <c r="AK99" s="446"/>
      <c r="AL99" s="446"/>
      <c r="AM99" s="446"/>
      <c r="AN99" s="446"/>
    </row>
    <row r="100" spans="1:40" ht="15" customHeight="1" x14ac:dyDescent="0.25">
      <c r="A100" s="370">
        <v>95</v>
      </c>
      <c r="B100" s="371" t="s">
        <v>797</v>
      </c>
      <c r="C100" s="370" t="s">
        <v>798</v>
      </c>
      <c r="D100" s="370" t="s">
        <v>799</v>
      </c>
      <c r="E100" s="370" t="s">
        <v>321</v>
      </c>
      <c r="F100" s="370" t="s">
        <v>463</v>
      </c>
      <c r="G100" s="386">
        <f>INDEX('CTR1 Data Previous Year'!$B:$B,MATCH($D100,'CTR1 Data Previous Year'!$A:$A,0),1)</f>
        <v>9304961</v>
      </c>
      <c r="H100" s="386">
        <f>INDEX('CTR1 Data Previous Year'!$C:$C,MATCH($D100,'CTR1 Data Previous Year'!$A:$A,0),1)</f>
        <v>1600117</v>
      </c>
      <c r="I100" s="386">
        <f>INDEX('CTR1 Data Previous Year'!$D:$D,MATCH($D100,'CTR1 Data Previous Year'!$A:$A,0),1)</f>
        <v>1721128</v>
      </c>
      <c r="J100" s="386">
        <f>INDEX('CTR1 Data Previous Year'!$E:$E,MATCH($D100,'CTR1 Data Previous Year'!$A:$A,0),1)</f>
        <v>7583833</v>
      </c>
      <c r="K100" s="386">
        <f>INDEX('CTR1 Data Previous Year'!$F:$F,MATCH($D100,'CTR1 Data Previous Year'!$A:$A,0),1)</f>
        <v>0</v>
      </c>
      <c r="L100" s="465">
        <f>INDEX('CTR1 Data Previous Year'!$G:$G,MATCH($D100,'CTR1 Data Previous Year'!$A:$A,0),1)</f>
        <v>33156.230000000003</v>
      </c>
      <c r="M100" s="455">
        <f>INDEX('CTR1 Data Previous Year'!$H:$H,MATCH($D100,'CTR1 Data Previous Year'!$A:$A,0),1)</f>
        <v>0.98250000000000004</v>
      </c>
      <c r="N100" s="465">
        <f>INDEX('CTR1 Data Previous Year'!$I:$I,MATCH($D100,'CTR1 Data Previous Year'!$A:$A,0),1)</f>
        <v>89</v>
      </c>
      <c r="O100" s="160" t="s">
        <v>572</v>
      </c>
      <c r="P100" s="817" t="s">
        <v>573</v>
      </c>
      <c r="Q100" s="820" t="s">
        <v>464</v>
      </c>
      <c r="R100" s="817" t="s">
        <v>465</v>
      </c>
      <c r="S100" s="821" t="s">
        <v>466</v>
      </c>
      <c r="T100" s="817" t="s">
        <v>467</v>
      </c>
      <c r="U100" s="160"/>
      <c r="V100" s="817"/>
      <c r="W100" s="465">
        <f>INDEX('CTR1 Data Previous Year'!$J:$J,MATCH($D100,'CTR1 Data Previous Year'!$A:$A,0),1)</f>
        <v>32665</v>
      </c>
      <c r="X100" s="465">
        <f>INDEX('CTR1 Data Previous Year'!$K:$K,MATCH($D100,'CTR1 Data Previous Year'!$A:$A,0),1)</f>
        <v>284.86</v>
      </c>
      <c r="Y100" s="465">
        <f>INDEX('CTR1 Data Previous Year'!$L:$L,MATCH($D100,'CTR1 Data Previous Year'!$A:$A,0),1)</f>
        <v>232.17</v>
      </c>
      <c r="Z100" s="836" t="str">
        <f t="shared" si="14"/>
        <v>N</v>
      </c>
      <c r="AA100" s="837" t="str">
        <f t="shared" si="15"/>
        <v>N</v>
      </c>
      <c r="AB100" s="838">
        <f t="shared" si="16"/>
        <v>232.17</v>
      </c>
      <c r="AC100" s="868">
        <f t="shared" si="17"/>
        <v>0</v>
      </c>
      <c r="AD100" s="876">
        <f t="shared" si="18"/>
        <v>0</v>
      </c>
      <c r="AE100" s="838">
        <f t="shared" si="19"/>
        <v>239.13509999999999</v>
      </c>
      <c r="AF100" s="838">
        <f t="shared" si="20"/>
        <v>237.17</v>
      </c>
      <c r="AG100" s="839">
        <f t="shared" si="22"/>
        <v>0</v>
      </c>
      <c r="AH100" s="839">
        <f t="shared" si="23"/>
        <v>239.14</v>
      </c>
      <c r="AI100" s="840">
        <f t="shared" si="21"/>
        <v>0</v>
      </c>
      <c r="AJ100" s="841">
        <f t="shared" si="24"/>
        <v>0</v>
      </c>
      <c r="AK100" s="446"/>
      <c r="AL100" s="446"/>
      <c r="AM100" s="446"/>
      <c r="AN100" s="446"/>
    </row>
    <row r="101" spans="1:40" ht="15" customHeight="1" x14ac:dyDescent="0.25">
      <c r="A101" s="370">
        <v>96</v>
      </c>
      <c r="B101" s="371" t="s">
        <v>800</v>
      </c>
      <c r="C101" s="370" t="s">
        <v>801</v>
      </c>
      <c r="D101" s="370" t="s">
        <v>802</v>
      </c>
      <c r="E101" s="370" t="s">
        <v>353</v>
      </c>
      <c r="F101" s="370" t="s">
        <v>685</v>
      </c>
      <c r="G101" s="386">
        <f>INDEX('CTR1 Data Previous Year'!$B:$B,MATCH($D101,'CTR1 Data Previous Year'!$A:$A,0),1)</f>
        <v>124234957</v>
      </c>
      <c r="H101" s="386">
        <f>INDEX('CTR1 Data Previous Year'!$C:$C,MATCH($D101,'CTR1 Data Previous Year'!$A:$A,0),1)</f>
        <v>0</v>
      </c>
      <c r="I101" s="386">
        <f>INDEX('CTR1 Data Previous Year'!$D:$D,MATCH($D101,'CTR1 Data Previous Year'!$A:$A,0),1)</f>
        <v>15548</v>
      </c>
      <c r="J101" s="386">
        <f>INDEX('CTR1 Data Previous Year'!$E:$E,MATCH($D101,'CTR1 Data Previous Year'!$A:$A,0),1)</f>
        <v>124219409</v>
      </c>
      <c r="K101" s="386">
        <f>INDEX('CTR1 Data Previous Year'!$F:$F,MATCH($D101,'CTR1 Data Previous Year'!$A:$A,0),1)</f>
        <v>12702844</v>
      </c>
      <c r="L101" s="465">
        <f>INDEX('CTR1 Data Previous Year'!$G:$G,MATCH($D101,'CTR1 Data Previous Year'!$A:$A,0),1)</f>
        <v>55682</v>
      </c>
      <c r="M101" s="455">
        <f>INDEX('CTR1 Data Previous Year'!$H:$H,MATCH($D101,'CTR1 Data Previous Year'!$A:$A,0),1)</f>
        <v>0.97750000000000004</v>
      </c>
      <c r="N101" s="465">
        <f>INDEX('CTR1 Data Previous Year'!$I:$I,MATCH($D101,'CTR1 Data Previous Year'!$A:$A,0),1)</f>
        <v>0</v>
      </c>
      <c r="O101" s="160" t="s">
        <v>129</v>
      </c>
      <c r="P101" s="817"/>
      <c r="Q101" s="820" t="s">
        <v>803</v>
      </c>
      <c r="R101" s="817" t="s">
        <v>804</v>
      </c>
      <c r="S101" s="821" t="s">
        <v>805</v>
      </c>
      <c r="T101" s="817" t="s">
        <v>806</v>
      </c>
      <c r="U101" s="160" t="s">
        <v>716</v>
      </c>
      <c r="V101" s="817" t="s">
        <v>717</v>
      </c>
      <c r="W101" s="465">
        <f>INDEX('CTR1 Data Previous Year'!$J:$J,MATCH($D101,'CTR1 Data Previous Year'!$A:$A,0),1)</f>
        <v>54429.16</v>
      </c>
      <c r="X101" s="465">
        <f>INDEX('CTR1 Data Previous Year'!$K:$K,MATCH($D101,'CTR1 Data Previous Year'!$A:$A,0),1)</f>
        <v>2282.5100000000002</v>
      </c>
      <c r="Y101" s="465">
        <f>INDEX('CTR1 Data Previous Year'!$L:$L,MATCH($D101,'CTR1 Data Previous Year'!$A:$A,0),1)</f>
        <v>2282.2199999999998</v>
      </c>
      <c r="Z101" s="836" t="str">
        <f t="shared" si="14"/>
        <v>N</v>
      </c>
      <c r="AA101" s="837" t="str">
        <f t="shared" si="15"/>
        <v>N</v>
      </c>
      <c r="AB101" s="838">
        <f t="shared" si="16"/>
        <v>2282.2199999999998</v>
      </c>
      <c r="AC101" s="868">
        <f t="shared" si="17"/>
        <v>0</v>
      </c>
      <c r="AD101" s="876">
        <f t="shared" si="18"/>
        <v>0</v>
      </c>
      <c r="AE101" s="838">
        <f t="shared" si="19"/>
        <v>2396.3309999999997</v>
      </c>
      <c r="AF101" s="838">
        <f t="shared" si="20"/>
        <v>2282.2199999999998</v>
      </c>
      <c r="AG101" s="839">
        <f t="shared" si="22"/>
        <v>0</v>
      </c>
      <c r="AH101" s="839">
        <f t="shared" si="23"/>
        <v>2396.33</v>
      </c>
      <c r="AI101" s="840">
        <f t="shared" si="21"/>
        <v>45.64</v>
      </c>
      <c r="AJ101" s="841">
        <f t="shared" si="24"/>
        <v>1.999807205265049E-2</v>
      </c>
      <c r="AK101" s="446"/>
      <c r="AL101" s="446"/>
      <c r="AM101" s="446"/>
      <c r="AN101" s="446"/>
    </row>
    <row r="102" spans="1:40" ht="15" customHeight="1" x14ac:dyDescent="0.25">
      <c r="A102" s="370">
        <v>97</v>
      </c>
      <c r="B102" s="371" t="s">
        <v>807</v>
      </c>
      <c r="C102" s="370" t="s">
        <v>808</v>
      </c>
      <c r="D102" s="370" t="s">
        <v>809</v>
      </c>
      <c r="E102" s="370" t="s">
        <v>321</v>
      </c>
      <c r="F102" s="370" t="s">
        <v>330</v>
      </c>
      <c r="G102" s="386">
        <f>INDEX('CTR1 Data Previous Year'!$B:$B,MATCH($D102,'CTR1 Data Previous Year'!$A:$A,0),1)</f>
        <v>8696163</v>
      </c>
      <c r="H102" s="386">
        <f>INDEX('CTR1 Data Previous Year'!$C:$C,MATCH($D102,'CTR1 Data Previous Year'!$A:$A,0),1)</f>
        <v>0</v>
      </c>
      <c r="I102" s="386">
        <f>INDEX('CTR1 Data Previous Year'!$D:$D,MATCH($D102,'CTR1 Data Previous Year'!$A:$A,0),1)</f>
        <v>981413</v>
      </c>
      <c r="J102" s="386">
        <f>INDEX('CTR1 Data Previous Year'!$E:$E,MATCH($D102,'CTR1 Data Previous Year'!$A:$A,0),1)</f>
        <v>7714750</v>
      </c>
      <c r="K102" s="386">
        <f>INDEX('CTR1 Data Previous Year'!$F:$F,MATCH($D102,'CTR1 Data Previous Year'!$A:$A,0),1)</f>
        <v>38278</v>
      </c>
      <c r="L102" s="465">
        <f>INDEX('CTR1 Data Previous Year'!$G:$G,MATCH($D102,'CTR1 Data Previous Year'!$A:$A,0),1)</f>
        <v>40152.97</v>
      </c>
      <c r="M102" s="455">
        <f>INDEX('CTR1 Data Previous Year'!$H:$H,MATCH($D102,'CTR1 Data Previous Year'!$A:$A,0),1)</f>
        <v>0.98750000000000004</v>
      </c>
      <c r="N102" s="465">
        <f>INDEX('CTR1 Data Previous Year'!$I:$I,MATCH($D102,'CTR1 Data Previous Year'!$A:$A,0),1)</f>
        <v>13.2</v>
      </c>
      <c r="O102" s="160" t="s">
        <v>347</v>
      </c>
      <c r="P102" s="817" t="s">
        <v>348</v>
      </c>
      <c r="Q102" s="820" t="s">
        <v>349</v>
      </c>
      <c r="R102" s="817" t="s">
        <v>350</v>
      </c>
      <c r="S102" s="821" t="s">
        <v>351</v>
      </c>
      <c r="T102" s="817" t="s">
        <v>352</v>
      </c>
      <c r="U102" s="822" t="s">
        <v>337</v>
      </c>
      <c r="V102" s="817" t="s">
        <v>338</v>
      </c>
      <c r="W102" s="465">
        <f>INDEX('CTR1 Data Previous Year'!$J:$J,MATCH($D102,'CTR1 Data Previous Year'!$A:$A,0),1)</f>
        <v>39664.26</v>
      </c>
      <c r="X102" s="465">
        <f>INDEX('CTR1 Data Previous Year'!$K:$K,MATCH($D102,'CTR1 Data Previous Year'!$A:$A,0),1)</f>
        <v>219.24</v>
      </c>
      <c r="Y102" s="465">
        <f>INDEX('CTR1 Data Previous Year'!$L:$L,MATCH($D102,'CTR1 Data Previous Year'!$A:$A,0),1)</f>
        <v>194.5</v>
      </c>
      <c r="Z102" s="836" t="str">
        <f t="shared" si="14"/>
        <v>N</v>
      </c>
      <c r="AA102" s="837" t="str">
        <f t="shared" si="15"/>
        <v>N</v>
      </c>
      <c r="AB102" s="838">
        <f t="shared" si="16"/>
        <v>194.5</v>
      </c>
      <c r="AC102" s="868">
        <f t="shared" si="17"/>
        <v>0</v>
      </c>
      <c r="AD102" s="876">
        <f t="shared" si="18"/>
        <v>0</v>
      </c>
      <c r="AE102" s="838">
        <f t="shared" si="19"/>
        <v>200.33500000000001</v>
      </c>
      <c r="AF102" s="838">
        <f t="shared" si="20"/>
        <v>199.5</v>
      </c>
      <c r="AG102" s="839">
        <f t="shared" si="22"/>
        <v>0</v>
      </c>
      <c r="AH102" s="839">
        <f t="shared" si="23"/>
        <v>200.34</v>
      </c>
      <c r="AI102" s="840">
        <f t="shared" si="21"/>
        <v>0</v>
      </c>
      <c r="AJ102" s="841">
        <f t="shared" si="24"/>
        <v>0</v>
      </c>
      <c r="AK102" s="446"/>
      <c r="AL102" s="446"/>
      <c r="AM102" s="446"/>
      <c r="AN102" s="446"/>
    </row>
    <row r="103" spans="1:40" ht="15" customHeight="1" x14ac:dyDescent="0.25">
      <c r="A103" s="370">
        <v>98</v>
      </c>
      <c r="B103" s="371" t="s">
        <v>810</v>
      </c>
      <c r="C103" s="370" t="s">
        <v>811</v>
      </c>
      <c r="D103" s="370" t="s">
        <v>812</v>
      </c>
      <c r="E103" s="370" t="s">
        <v>321</v>
      </c>
      <c r="F103" s="370" t="s">
        <v>425</v>
      </c>
      <c r="G103" s="386">
        <f>INDEX('CTR1 Data Previous Year'!$B:$B,MATCH($D103,'CTR1 Data Previous Year'!$A:$A,0),1)</f>
        <v>9735977</v>
      </c>
      <c r="H103" s="386">
        <f>INDEX('CTR1 Data Previous Year'!$C:$C,MATCH($D103,'CTR1 Data Previous Year'!$A:$A,0),1)</f>
        <v>0</v>
      </c>
      <c r="I103" s="386">
        <f>INDEX('CTR1 Data Previous Year'!$D:$D,MATCH($D103,'CTR1 Data Previous Year'!$A:$A,0),1)</f>
        <v>294195</v>
      </c>
      <c r="J103" s="386">
        <f>INDEX('CTR1 Data Previous Year'!$E:$E,MATCH($D103,'CTR1 Data Previous Year'!$A:$A,0),1)</f>
        <v>9441782</v>
      </c>
      <c r="K103" s="386">
        <f>INDEX('CTR1 Data Previous Year'!$F:$F,MATCH($D103,'CTR1 Data Previous Year'!$A:$A,0),1)</f>
        <v>0</v>
      </c>
      <c r="L103" s="465">
        <f>INDEX('CTR1 Data Previous Year'!$G:$G,MATCH($D103,'CTR1 Data Previous Year'!$A:$A,0),1)</f>
        <v>40309.06</v>
      </c>
      <c r="M103" s="455">
        <f>INDEX('CTR1 Data Previous Year'!$H:$H,MATCH($D103,'CTR1 Data Previous Year'!$A:$A,0),1)</f>
        <v>0.98750000000000004</v>
      </c>
      <c r="N103" s="465">
        <f>INDEX('CTR1 Data Previous Year'!$I:$I,MATCH($D103,'CTR1 Data Previous Year'!$A:$A,0),1)</f>
        <v>26.1</v>
      </c>
      <c r="O103" s="160" t="s">
        <v>621</v>
      </c>
      <c r="P103" s="817" t="s">
        <v>622</v>
      </c>
      <c r="Q103" s="820" t="s">
        <v>623</v>
      </c>
      <c r="R103" s="817" t="s">
        <v>624</v>
      </c>
      <c r="S103" s="821" t="s">
        <v>129</v>
      </c>
      <c r="T103" s="817"/>
      <c r="U103" s="160"/>
      <c r="V103" s="817"/>
      <c r="W103" s="465">
        <f>INDEX('CTR1 Data Previous Year'!$J:$J,MATCH($D103,'CTR1 Data Previous Year'!$A:$A,0),1)</f>
        <v>39831.300000000003</v>
      </c>
      <c r="X103" s="465">
        <f>INDEX('CTR1 Data Previous Year'!$K:$K,MATCH($D103,'CTR1 Data Previous Year'!$A:$A,0),1)</f>
        <v>244.43</v>
      </c>
      <c r="Y103" s="465">
        <f>INDEX('CTR1 Data Previous Year'!$L:$L,MATCH($D103,'CTR1 Data Previous Year'!$A:$A,0),1)</f>
        <v>237.04</v>
      </c>
      <c r="Z103" s="836" t="str">
        <f t="shared" si="14"/>
        <v>N</v>
      </c>
      <c r="AA103" s="837" t="str">
        <f t="shared" si="15"/>
        <v>N</v>
      </c>
      <c r="AB103" s="838">
        <f t="shared" si="16"/>
        <v>237.04</v>
      </c>
      <c r="AC103" s="868">
        <f t="shared" si="17"/>
        <v>0</v>
      </c>
      <c r="AD103" s="876">
        <f t="shared" si="18"/>
        <v>0</v>
      </c>
      <c r="AE103" s="838">
        <f t="shared" si="19"/>
        <v>244.15119999999999</v>
      </c>
      <c r="AF103" s="838">
        <f t="shared" si="20"/>
        <v>242.04</v>
      </c>
      <c r="AG103" s="839">
        <f t="shared" si="22"/>
        <v>0</v>
      </c>
      <c r="AH103" s="839">
        <f t="shared" si="23"/>
        <v>244.15</v>
      </c>
      <c r="AI103" s="840">
        <f t="shared" si="21"/>
        <v>0</v>
      </c>
      <c r="AJ103" s="841">
        <f t="shared" si="24"/>
        <v>0</v>
      </c>
      <c r="AK103" s="446"/>
      <c r="AL103" s="446"/>
      <c r="AM103" s="446"/>
      <c r="AN103" s="446"/>
    </row>
    <row r="104" spans="1:40" ht="15" customHeight="1" x14ac:dyDescent="0.25">
      <c r="A104" s="370">
        <v>99</v>
      </c>
      <c r="B104" s="371" t="s">
        <v>813</v>
      </c>
      <c r="C104" s="370" t="s">
        <v>814</v>
      </c>
      <c r="D104" s="370" t="s">
        <v>815</v>
      </c>
      <c r="E104" s="370" t="s">
        <v>321</v>
      </c>
      <c r="F104" s="370" t="s">
        <v>322</v>
      </c>
      <c r="G104" s="386">
        <f>INDEX('CTR1 Data Previous Year'!$B:$B,MATCH($D104,'CTR1 Data Previous Year'!$A:$A,0),1)</f>
        <v>7124020</v>
      </c>
      <c r="H104" s="386">
        <f>INDEX('CTR1 Data Previous Year'!$C:$C,MATCH($D104,'CTR1 Data Previous Year'!$A:$A,0),1)</f>
        <v>0</v>
      </c>
      <c r="I104" s="386">
        <f>INDEX('CTR1 Data Previous Year'!$D:$D,MATCH($D104,'CTR1 Data Previous Year'!$A:$A,0),1)</f>
        <v>0</v>
      </c>
      <c r="J104" s="386">
        <f>INDEX('CTR1 Data Previous Year'!$E:$E,MATCH($D104,'CTR1 Data Previous Year'!$A:$A,0),1)</f>
        <v>7124020</v>
      </c>
      <c r="K104" s="386">
        <f>INDEX('CTR1 Data Previous Year'!$F:$F,MATCH($D104,'CTR1 Data Previous Year'!$A:$A,0),1)</f>
        <v>0</v>
      </c>
      <c r="L104" s="465">
        <f>INDEX('CTR1 Data Previous Year'!$G:$G,MATCH($D104,'CTR1 Data Previous Year'!$A:$A,0),1)</f>
        <v>26989.439999999999</v>
      </c>
      <c r="M104" s="455">
        <f>INDEX('CTR1 Data Previous Year'!$H:$H,MATCH($D104,'CTR1 Data Previous Year'!$A:$A,0),1)</f>
        <v>0.97499999999999998</v>
      </c>
      <c r="N104" s="465">
        <f>INDEX('CTR1 Data Previous Year'!$I:$I,MATCH($D104,'CTR1 Data Previous Year'!$A:$A,0),1)</f>
        <v>771.8</v>
      </c>
      <c r="O104" s="160" t="s">
        <v>411</v>
      </c>
      <c r="P104" s="817" t="s">
        <v>412</v>
      </c>
      <c r="Q104" s="820" t="s">
        <v>413</v>
      </c>
      <c r="R104" s="817" t="s">
        <v>414</v>
      </c>
      <c r="S104" s="821" t="s">
        <v>415</v>
      </c>
      <c r="T104" s="817" t="s">
        <v>416</v>
      </c>
      <c r="U104" s="160"/>
      <c r="V104" s="817"/>
      <c r="W104" s="465">
        <f>INDEX('CTR1 Data Previous Year'!$J:$J,MATCH($D104,'CTR1 Data Previous Year'!$A:$A,0),1)</f>
        <v>27086.5</v>
      </c>
      <c r="X104" s="465">
        <f>INDEX('CTR1 Data Previous Year'!$K:$K,MATCH($D104,'CTR1 Data Previous Year'!$A:$A,0),1)</f>
        <v>263.01</v>
      </c>
      <c r="Y104" s="465">
        <f>INDEX('CTR1 Data Previous Year'!$L:$L,MATCH($D104,'CTR1 Data Previous Year'!$A:$A,0),1)</f>
        <v>263.01</v>
      </c>
      <c r="Z104" s="836" t="str">
        <f t="shared" si="14"/>
        <v>N</v>
      </c>
      <c r="AA104" s="837" t="str">
        <f t="shared" si="15"/>
        <v>N</v>
      </c>
      <c r="AB104" s="838">
        <f t="shared" si="16"/>
        <v>263.01</v>
      </c>
      <c r="AC104" s="868">
        <f t="shared" si="17"/>
        <v>0</v>
      </c>
      <c r="AD104" s="876">
        <f t="shared" si="18"/>
        <v>0</v>
      </c>
      <c r="AE104" s="838">
        <f t="shared" si="19"/>
        <v>270.90030000000002</v>
      </c>
      <c r="AF104" s="838">
        <f t="shared" si="20"/>
        <v>268.01</v>
      </c>
      <c r="AG104" s="839">
        <f t="shared" si="22"/>
        <v>0</v>
      </c>
      <c r="AH104" s="839">
        <f t="shared" si="23"/>
        <v>270.89999999999998</v>
      </c>
      <c r="AI104" s="840">
        <f t="shared" si="21"/>
        <v>0</v>
      </c>
      <c r="AJ104" s="841">
        <f t="shared" si="24"/>
        <v>0</v>
      </c>
      <c r="AK104" s="446"/>
      <c r="AL104" s="446"/>
      <c r="AM104" s="446"/>
      <c r="AN104" s="446"/>
    </row>
    <row r="105" spans="1:40" ht="15" customHeight="1" x14ac:dyDescent="0.25">
      <c r="A105" s="370">
        <v>100</v>
      </c>
      <c r="B105" s="371" t="s">
        <v>816</v>
      </c>
      <c r="C105" s="370" t="s">
        <v>817</v>
      </c>
      <c r="D105" s="370" t="s">
        <v>818</v>
      </c>
      <c r="E105" s="370" t="s">
        <v>321</v>
      </c>
      <c r="F105" s="370" t="s">
        <v>322</v>
      </c>
      <c r="G105" s="386">
        <f>INDEX('CTR1 Data Previous Year'!$B:$B,MATCH($D105,'CTR1 Data Previous Year'!$A:$A,0),1)</f>
        <v>9103970</v>
      </c>
      <c r="H105" s="386">
        <f>INDEX('CTR1 Data Previous Year'!$C:$C,MATCH($D105,'CTR1 Data Previous Year'!$A:$A,0),1)</f>
        <v>0</v>
      </c>
      <c r="I105" s="386">
        <f>INDEX('CTR1 Data Previous Year'!$D:$D,MATCH($D105,'CTR1 Data Previous Year'!$A:$A,0),1)</f>
        <v>669980</v>
      </c>
      <c r="J105" s="386">
        <f>INDEX('CTR1 Data Previous Year'!$E:$E,MATCH($D105,'CTR1 Data Previous Year'!$A:$A,0),1)</f>
        <v>8433990</v>
      </c>
      <c r="K105" s="386">
        <f>INDEX('CTR1 Data Previous Year'!$F:$F,MATCH($D105,'CTR1 Data Previous Year'!$A:$A,0),1)</f>
        <v>48800</v>
      </c>
      <c r="L105" s="465">
        <f>INDEX('CTR1 Data Previous Year'!$G:$G,MATCH($D105,'CTR1 Data Previous Year'!$A:$A,0),1)</f>
        <v>36258.71</v>
      </c>
      <c r="M105" s="455">
        <f>INDEX('CTR1 Data Previous Year'!$H:$H,MATCH($D105,'CTR1 Data Previous Year'!$A:$A,0),1)</f>
        <v>0.97750000000000004</v>
      </c>
      <c r="N105" s="465">
        <f>INDEX('CTR1 Data Previous Year'!$I:$I,MATCH($D105,'CTR1 Data Previous Year'!$A:$A,0),1)</f>
        <v>0</v>
      </c>
      <c r="O105" s="160" t="s">
        <v>358</v>
      </c>
      <c r="P105" s="817" t="s">
        <v>359</v>
      </c>
      <c r="Q105" s="820" t="s">
        <v>360</v>
      </c>
      <c r="R105" s="817" t="s">
        <v>361</v>
      </c>
      <c r="S105" s="821" t="s">
        <v>362</v>
      </c>
      <c r="T105" s="817" t="s">
        <v>363</v>
      </c>
      <c r="U105" s="160"/>
      <c r="V105" s="817"/>
      <c r="W105" s="465">
        <f>INDEX('CTR1 Data Previous Year'!$J:$J,MATCH($D105,'CTR1 Data Previous Year'!$A:$A,0),1)</f>
        <v>35442.89</v>
      </c>
      <c r="X105" s="465">
        <f>INDEX('CTR1 Data Previous Year'!$K:$K,MATCH($D105,'CTR1 Data Previous Year'!$A:$A,0),1)</f>
        <v>256.86</v>
      </c>
      <c r="Y105" s="465">
        <f>INDEX('CTR1 Data Previous Year'!$L:$L,MATCH($D105,'CTR1 Data Previous Year'!$A:$A,0),1)</f>
        <v>237.96</v>
      </c>
      <c r="Z105" s="836" t="str">
        <f t="shared" si="14"/>
        <v>N</v>
      </c>
      <c r="AA105" s="837" t="str">
        <f t="shared" si="15"/>
        <v>N</v>
      </c>
      <c r="AB105" s="838">
        <f t="shared" si="16"/>
        <v>237.96</v>
      </c>
      <c r="AC105" s="868">
        <f t="shared" si="17"/>
        <v>0</v>
      </c>
      <c r="AD105" s="876">
        <f t="shared" si="18"/>
        <v>0</v>
      </c>
      <c r="AE105" s="838">
        <f t="shared" si="19"/>
        <v>245.09880000000001</v>
      </c>
      <c r="AF105" s="838">
        <f t="shared" si="20"/>
        <v>242.96</v>
      </c>
      <c r="AG105" s="839">
        <f t="shared" si="22"/>
        <v>0</v>
      </c>
      <c r="AH105" s="839">
        <f t="shared" si="23"/>
        <v>245.1</v>
      </c>
      <c r="AI105" s="840">
        <f t="shared" si="21"/>
        <v>0</v>
      </c>
      <c r="AJ105" s="841">
        <f t="shared" si="24"/>
        <v>0</v>
      </c>
      <c r="AK105" s="446"/>
      <c r="AL105" s="446"/>
      <c r="AM105" s="446"/>
      <c r="AN105" s="446"/>
    </row>
    <row r="106" spans="1:40" ht="15" customHeight="1" x14ac:dyDescent="0.25">
      <c r="A106" s="370">
        <v>101</v>
      </c>
      <c r="B106" s="371" t="s">
        <v>819</v>
      </c>
      <c r="C106" s="370" t="s">
        <v>820</v>
      </c>
      <c r="D106" s="370" t="s">
        <v>821</v>
      </c>
      <c r="E106" s="370" t="s">
        <v>321</v>
      </c>
      <c r="F106" s="370" t="s">
        <v>368</v>
      </c>
      <c r="G106" s="386">
        <f>INDEX('CTR1 Data Previous Year'!$B:$B,MATCH($D106,'CTR1 Data Previous Year'!$A:$A,0),1)</f>
        <v>6933820</v>
      </c>
      <c r="H106" s="386">
        <f>INDEX('CTR1 Data Previous Year'!$C:$C,MATCH($D106,'CTR1 Data Previous Year'!$A:$A,0),1)</f>
        <v>0</v>
      </c>
      <c r="I106" s="386">
        <f>INDEX('CTR1 Data Previous Year'!$D:$D,MATCH($D106,'CTR1 Data Previous Year'!$A:$A,0),1)</f>
        <v>857488</v>
      </c>
      <c r="J106" s="386">
        <f>INDEX('CTR1 Data Previous Year'!$E:$E,MATCH($D106,'CTR1 Data Previous Year'!$A:$A,0),1)</f>
        <v>6076332</v>
      </c>
      <c r="K106" s="386">
        <f>INDEX('CTR1 Data Previous Year'!$F:$F,MATCH($D106,'CTR1 Data Previous Year'!$A:$A,0),1)</f>
        <v>595100</v>
      </c>
      <c r="L106" s="465">
        <f>INDEX('CTR1 Data Previous Year'!$G:$G,MATCH($D106,'CTR1 Data Previous Year'!$A:$A,0),1)</f>
        <v>32211.22</v>
      </c>
      <c r="M106" s="455">
        <f>INDEX('CTR1 Data Previous Year'!$H:$H,MATCH($D106,'CTR1 Data Previous Year'!$A:$A,0),1)</f>
        <v>0.98</v>
      </c>
      <c r="N106" s="465">
        <f>INDEX('CTR1 Data Previous Year'!$I:$I,MATCH($D106,'CTR1 Data Previous Year'!$A:$A,0),1)</f>
        <v>0</v>
      </c>
      <c r="O106" s="160" t="s">
        <v>520</v>
      </c>
      <c r="P106" s="817" t="s">
        <v>521</v>
      </c>
      <c r="Q106" s="820" t="s">
        <v>522</v>
      </c>
      <c r="R106" s="817" t="s">
        <v>523</v>
      </c>
      <c r="S106" s="821" t="s">
        <v>129</v>
      </c>
      <c r="T106" s="817"/>
      <c r="U106" s="160"/>
      <c r="V106" s="817"/>
      <c r="W106" s="465">
        <f>INDEX('CTR1 Data Previous Year'!$J:$J,MATCH($D106,'CTR1 Data Previous Year'!$A:$A,0),1)</f>
        <v>31567</v>
      </c>
      <c r="X106" s="465">
        <f>INDEX('CTR1 Data Previous Year'!$K:$K,MATCH($D106,'CTR1 Data Previous Year'!$A:$A,0),1)</f>
        <v>219.65</v>
      </c>
      <c r="Y106" s="465">
        <f>INDEX('CTR1 Data Previous Year'!$L:$L,MATCH($D106,'CTR1 Data Previous Year'!$A:$A,0),1)</f>
        <v>192.49</v>
      </c>
      <c r="Z106" s="836" t="str">
        <f t="shared" si="14"/>
        <v>N</v>
      </c>
      <c r="AA106" s="837" t="str">
        <f t="shared" si="15"/>
        <v>N</v>
      </c>
      <c r="AB106" s="838">
        <f t="shared" si="16"/>
        <v>192.49</v>
      </c>
      <c r="AC106" s="868">
        <f t="shared" si="17"/>
        <v>0</v>
      </c>
      <c r="AD106" s="876">
        <f t="shared" si="18"/>
        <v>0</v>
      </c>
      <c r="AE106" s="838">
        <f t="shared" si="19"/>
        <v>198.2647</v>
      </c>
      <c r="AF106" s="838">
        <f t="shared" si="20"/>
        <v>197.49</v>
      </c>
      <c r="AG106" s="839">
        <f t="shared" si="22"/>
        <v>0</v>
      </c>
      <c r="AH106" s="839">
        <f t="shared" si="23"/>
        <v>198.26</v>
      </c>
      <c r="AI106" s="840">
        <f t="shared" si="21"/>
        <v>0</v>
      </c>
      <c r="AJ106" s="841">
        <f t="shared" si="24"/>
        <v>0</v>
      </c>
      <c r="AK106" s="446"/>
      <c r="AL106" s="446"/>
      <c r="AM106" s="446"/>
      <c r="AN106" s="446"/>
    </row>
    <row r="107" spans="1:40" ht="15" customHeight="1" x14ac:dyDescent="0.25">
      <c r="A107" s="370">
        <v>102</v>
      </c>
      <c r="B107" s="371" t="s">
        <v>822</v>
      </c>
      <c r="C107" s="370" t="s">
        <v>823</v>
      </c>
      <c r="D107" s="370" t="s">
        <v>824</v>
      </c>
      <c r="E107" s="370" t="s">
        <v>343</v>
      </c>
      <c r="F107" s="370" t="s">
        <v>378</v>
      </c>
      <c r="G107" s="386">
        <f>INDEX('CTR1 Data Previous Year'!$B:$B,MATCH($D107,'CTR1 Data Previous Year'!$A:$A,0),1)</f>
        <v>138584910</v>
      </c>
      <c r="H107" s="386">
        <f>INDEX('CTR1 Data Previous Year'!$C:$C,MATCH($D107,'CTR1 Data Previous Year'!$A:$A,0),1)</f>
        <v>0</v>
      </c>
      <c r="I107" s="386">
        <f>INDEX('CTR1 Data Previous Year'!$D:$D,MATCH($D107,'CTR1 Data Previous Year'!$A:$A,0),1)</f>
        <v>0</v>
      </c>
      <c r="J107" s="386">
        <f>INDEX('CTR1 Data Previous Year'!$E:$E,MATCH($D107,'CTR1 Data Previous Year'!$A:$A,0),1)</f>
        <v>138584910</v>
      </c>
      <c r="K107" s="386">
        <f>INDEX('CTR1 Data Previous Year'!$F:$F,MATCH($D107,'CTR1 Data Previous Year'!$A:$A,0),1)</f>
        <v>1646160</v>
      </c>
      <c r="L107" s="465">
        <f>INDEX('CTR1 Data Previous Year'!$G:$G,MATCH($D107,'CTR1 Data Previous Year'!$A:$A,0),1)</f>
        <v>96377.59</v>
      </c>
      <c r="M107" s="455">
        <f>INDEX('CTR1 Data Previous Year'!$H:$H,MATCH($D107,'CTR1 Data Previous Year'!$A:$A,0),1)</f>
        <v>0.9425</v>
      </c>
      <c r="N107" s="465">
        <f>INDEX('CTR1 Data Previous Year'!$I:$I,MATCH($D107,'CTR1 Data Previous Year'!$A:$A,0),1)</f>
        <v>253</v>
      </c>
      <c r="O107" s="160" t="s">
        <v>379</v>
      </c>
      <c r="P107" s="862" t="s">
        <v>380</v>
      </c>
      <c r="Q107" s="820"/>
      <c r="R107" s="817"/>
      <c r="S107" s="821" t="s">
        <v>129</v>
      </c>
      <c r="T107" s="817"/>
      <c r="U107" s="160"/>
      <c r="V107" s="817"/>
      <c r="W107" s="465">
        <f>INDEX('CTR1 Data Previous Year'!$J:$J,MATCH($D107,'CTR1 Data Previous Year'!$A:$A,0),1)</f>
        <v>91088.88</v>
      </c>
      <c r="X107" s="465">
        <f>INDEX('CTR1 Data Previous Year'!$K:$K,MATCH($D107,'CTR1 Data Previous Year'!$A:$A,0),1)</f>
        <v>1521.43</v>
      </c>
      <c r="Y107" s="465">
        <f>INDEX('CTR1 Data Previous Year'!$L:$L,MATCH($D107,'CTR1 Data Previous Year'!$A:$A,0),1)</f>
        <v>1521.43</v>
      </c>
      <c r="Z107" s="836" t="str">
        <f t="shared" si="14"/>
        <v>N</v>
      </c>
      <c r="AA107" s="837" t="str">
        <f t="shared" si="15"/>
        <v>N</v>
      </c>
      <c r="AB107" s="838">
        <f t="shared" si="16"/>
        <v>1521.43</v>
      </c>
      <c r="AC107" s="868">
        <f t="shared" si="17"/>
        <v>0</v>
      </c>
      <c r="AD107" s="876">
        <f t="shared" si="18"/>
        <v>0</v>
      </c>
      <c r="AE107" s="838">
        <f t="shared" si="19"/>
        <v>1597.5015000000001</v>
      </c>
      <c r="AF107" s="838">
        <f t="shared" si="20"/>
        <v>1521.43</v>
      </c>
      <c r="AG107" s="839">
        <f t="shared" si="22"/>
        <v>0</v>
      </c>
      <c r="AH107" s="839">
        <f t="shared" si="23"/>
        <v>1597.5</v>
      </c>
      <c r="AI107" s="840">
        <f t="shared" si="21"/>
        <v>30.43</v>
      </c>
      <c r="AJ107" s="841">
        <f t="shared" si="24"/>
        <v>2.0000920186929401E-2</v>
      </c>
      <c r="AK107" s="446"/>
      <c r="AL107" s="446"/>
      <c r="AM107" s="446"/>
      <c r="AN107" s="446"/>
    </row>
    <row r="108" spans="1:40" ht="15" customHeight="1" x14ac:dyDescent="0.25">
      <c r="A108" s="370">
        <v>103</v>
      </c>
      <c r="B108" s="371" t="s">
        <v>825</v>
      </c>
      <c r="C108" s="370" t="s">
        <v>826</v>
      </c>
      <c r="D108" s="370" t="s">
        <v>827</v>
      </c>
      <c r="E108" s="370" t="s">
        <v>321</v>
      </c>
      <c r="F108" s="370" t="s">
        <v>322</v>
      </c>
      <c r="G108" s="386">
        <f>INDEX('CTR1 Data Previous Year'!$B:$B,MATCH($D108,'CTR1 Data Previous Year'!$A:$A,0),1)</f>
        <v>14853474</v>
      </c>
      <c r="H108" s="386">
        <f>INDEX('CTR1 Data Previous Year'!$C:$C,MATCH($D108,'CTR1 Data Previous Year'!$A:$A,0),1)</f>
        <v>0</v>
      </c>
      <c r="I108" s="386">
        <f>INDEX('CTR1 Data Previous Year'!$D:$D,MATCH($D108,'CTR1 Data Previous Year'!$A:$A,0),1)</f>
        <v>2478247</v>
      </c>
      <c r="J108" s="386">
        <f>INDEX('CTR1 Data Previous Year'!$E:$E,MATCH($D108,'CTR1 Data Previous Year'!$A:$A,0),1)</f>
        <v>12375227</v>
      </c>
      <c r="K108" s="386">
        <f>INDEX('CTR1 Data Previous Year'!$F:$F,MATCH($D108,'CTR1 Data Previous Year'!$A:$A,0),1)</f>
        <v>0</v>
      </c>
      <c r="L108" s="465">
        <f>INDEX('CTR1 Data Previous Year'!$G:$G,MATCH($D108,'CTR1 Data Previous Year'!$A:$A,0),1)</f>
        <v>61447</v>
      </c>
      <c r="M108" s="455">
        <f>INDEX('CTR1 Data Previous Year'!$H:$H,MATCH($D108,'CTR1 Data Previous Year'!$A:$A,0),1)</f>
        <v>0.98</v>
      </c>
      <c r="N108" s="465">
        <f>INDEX('CTR1 Data Previous Year'!$I:$I,MATCH($D108,'CTR1 Data Previous Year'!$A:$A,0),1)</f>
        <v>417.8</v>
      </c>
      <c r="O108" s="160" t="s">
        <v>766</v>
      </c>
      <c r="P108" s="817" t="s">
        <v>767</v>
      </c>
      <c r="Q108" s="820" t="s">
        <v>768</v>
      </c>
      <c r="R108" s="817" t="s">
        <v>769</v>
      </c>
      <c r="S108" s="821" t="s">
        <v>129</v>
      </c>
      <c r="T108" s="817"/>
      <c r="U108" s="160"/>
      <c r="V108" s="817"/>
      <c r="W108" s="465">
        <f>INDEX('CTR1 Data Previous Year'!$J:$J,MATCH($D108,'CTR1 Data Previous Year'!$A:$A,0),1)</f>
        <v>60635.86</v>
      </c>
      <c r="X108" s="465">
        <f>INDEX('CTR1 Data Previous Year'!$K:$K,MATCH($D108,'CTR1 Data Previous Year'!$A:$A,0),1)</f>
        <v>244.96</v>
      </c>
      <c r="Y108" s="465">
        <f>INDEX('CTR1 Data Previous Year'!$L:$L,MATCH($D108,'CTR1 Data Previous Year'!$A:$A,0),1)</f>
        <v>204.09</v>
      </c>
      <c r="Z108" s="836" t="str">
        <f t="shared" si="14"/>
        <v>N</v>
      </c>
      <c r="AA108" s="837" t="str">
        <f t="shared" si="15"/>
        <v>N</v>
      </c>
      <c r="AB108" s="838">
        <f t="shared" si="16"/>
        <v>204.09</v>
      </c>
      <c r="AC108" s="868">
        <f t="shared" si="17"/>
        <v>0</v>
      </c>
      <c r="AD108" s="876">
        <f t="shared" si="18"/>
        <v>0</v>
      </c>
      <c r="AE108" s="838">
        <f t="shared" si="19"/>
        <v>210.21270000000001</v>
      </c>
      <c r="AF108" s="838">
        <f t="shared" si="20"/>
        <v>209.09</v>
      </c>
      <c r="AG108" s="839">
        <f t="shared" si="22"/>
        <v>0</v>
      </c>
      <c r="AH108" s="839">
        <f t="shared" si="23"/>
        <v>210.21</v>
      </c>
      <c r="AI108" s="840">
        <f t="shared" si="21"/>
        <v>0</v>
      </c>
      <c r="AJ108" s="841">
        <f t="shared" si="24"/>
        <v>0</v>
      </c>
      <c r="AK108" s="446"/>
      <c r="AL108" s="446"/>
      <c r="AM108" s="446"/>
      <c r="AN108" s="446"/>
    </row>
    <row r="109" spans="1:40" ht="15" customHeight="1" x14ac:dyDescent="0.25">
      <c r="A109" s="370">
        <v>104</v>
      </c>
      <c r="B109" s="371" t="s">
        <v>828</v>
      </c>
      <c r="C109" s="370" t="s">
        <v>829</v>
      </c>
      <c r="D109" s="370" t="s">
        <v>830</v>
      </c>
      <c r="E109" s="370" t="s">
        <v>343</v>
      </c>
      <c r="F109" s="370" t="s">
        <v>378</v>
      </c>
      <c r="G109" s="386">
        <f>INDEX('CTR1 Data Previous Year'!$B:$B,MATCH($D109,'CTR1 Data Previous Year'!$A:$A,0),1)</f>
        <v>116251290</v>
      </c>
      <c r="H109" s="386">
        <f>INDEX('CTR1 Data Previous Year'!$C:$C,MATCH($D109,'CTR1 Data Previous Year'!$A:$A,0),1)</f>
        <v>0</v>
      </c>
      <c r="I109" s="386">
        <f>INDEX('CTR1 Data Previous Year'!$D:$D,MATCH($D109,'CTR1 Data Previous Year'!$A:$A,0),1)</f>
        <v>0</v>
      </c>
      <c r="J109" s="386">
        <f>INDEX('CTR1 Data Previous Year'!$E:$E,MATCH($D109,'CTR1 Data Previous Year'!$A:$A,0),1)</f>
        <v>116251290</v>
      </c>
      <c r="K109" s="386">
        <f>INDEX('CTR1 Data Previous Year'!$F:$F,MATCH($D109,'CTR1 Data Previous Year'!$A:$A,0),1)</f>
        <v>11510228</v>
      </c>
      <c r="L109" s="465">
        <f>INDEX('CTR1 Data Previous Year'!$G:$G,MATCH($D109,'CTR1 Data Previous Year'!$A:$A,0),1)</f>
        <v>83780.960000000006</v>
      </c>
      <c r="M109" s="455">
        <f>INDEX('CTR1 Data Previous Year'!$H:$H,MATCH($D109,'CTR1 Data Previous Year'!$A:$A,0),1)</f>
        <v>0.94</v>
      </c>
      <c r="N109" s="465">
        <f>INDEX('CTR1 Data Previous Year'!$I:$I,MATCH($D109,'CTR1 Data Previous Year'!$A:$A,0),1)</f>
        <v>0</v>
      </c>
      <c r="O109" s="160" t="s">
        <v>379</v>
      </c>
      <c r="P109" s="862" t="s">
        <v>380</v>
      </c>
      <c r="Q109" s="820"/>
      <c r="R109" s="817"/>
      <c r="S109" s="821" t="s">
        <v>129</v>
      </c>
      <c r="T109" s="817"/>
      <c r="U109" s="160"/>
      <c r="V109" s="817"/>
      <c r="W109" s="465">
        <f>INDEX('CTR1 Data Previous Year'!$J:$J,MATCH($D109,'CTR1 Data Previous Year'!$A:$A,0),1)</f>
        <v>78754.100000000006</v>
      </c>
      <c r="X109" s="465">
        <f>INDEX('CTR1 Data Previous Year'!$K:$K,MATCH($D109,'CTR1 Data Previous Year'!$A:$A,0),1)</f>
        <v>1476.13</v>
      </c>
      <c r="Y109" s="465">
        <f>INDEX('CTR1 Data Previous Year'!$L:$L,MATCH($D109,'CTR1 Data Previous Year'!$A:$A,0),1)</f>
        <v>1476.13</v>
      </c>
      <c r="Z109" s="836" t="str">
        <f t="shared" si="14"/>
        <v>N</v>
      </c>
      <c r="AA109" s="837" t="str">
        <f t="shared" si="15"/>
        <v>N</v>
      </c>
      <c r="AB109" s="838">
        <f t="shared" si="16"/>
        <v>1476.13</v>
      </c>
      <c r="AC109" s="868">
        <f t="shared" si="17"/>
        <v>0</v>
      </c>
      <c r="AD109" s="876">
        <f t="shared" si="18"/>
        <v>0</v>
      </c>
      <c r="AE109" s="838">
        <f t="shared" si="19"/>
        <v>1549.9365000000003</v>
      </c>
      <c r="AF109" s="838">
        <f t="shared" si="20"/>
        <v>1476.13</v>
      </c>
      <c r="AG109" s="839">
        <f t="shared" si="22"/>
        <v>0</v>
      </c>
      <c r="AH109" s="839">
        <f t="shared" si="23"/>
        <v>1549.94</v>
      </c>
      <c r="AI109" s="840">
        <f t="shared" si="21"/>
        <v>29.52</v>
      </c>
      <c r="AJ109" s="841">
        <f t="shared" si="24"/>
        <v>1.9998238637518373E-2</v>
      </c>
      <c r="AK109" s="446"/>
      <c r="AL109" s="446"/>
      <c r="AM109" s="446"/>
      <c r="AN109" s="446"/>
    </row>
    <row r="110" spans="1:40" ht="15" customHeight="1" x14ac:dyDescent="0.25">
      <c r="A110" s="370">
        <v>105</v>
      </c>
      <c r="B110" s="371" t="s">
        <v>831</v>
      </c>
      <c r="C110" s="370" t="s">
        <v>832</v>
      </c>
      <c r="D110" s="370" t="s">
        <v>833</v>
      </c>
      <c r="E110" s="370" t="s">
        <v>339</v>
      </c>
      <c r="F110" s="370" t="s">
        <v>463</v>
      </c>
      <c r="G110" s="386">
        <f>INDEX('CTR1 Data Previous Year'!$B:$B,MATCH($D110,'CTR1 Data Previous Year'!$A:$A,0),1)</f>
        <v>68453719</v>
      </c>
      <c r="H110" s="386">
        <f>INDEX('CTR1 Data Previous Year'!$C:$C,MATCH($D110,'CTR1 Data Previous Year'!$A:$A,0),1)</f>
        <v>0</v>
      </c>
      <c r="I110" s="386">
        <f>INDEX('CTR1 Data Previous Year'!$D:$D,MATCH($D110,'CTR1 Data Previous Year'!$A:$A,0),1)</f>
        <v>245485</v>
      </c>
      <c r="J110" s="386">
        <f>INDEX('CTR1 Data Previous Year'!$E:$E,MATCH($D110,'CTR1 Data Previous Year'!$A:$A,0),1)</f>
        <v>68208234</v>
      </c>
      <c r="K110" s="386">
        <f>INDEX('CTR1 Data Previous Year'!$F:$F,MATCH($D110,'CTR1 Data Previous Year'!$A:$A,0),1)</f>
        <v>3335650</v>
      </c>
      <c r="L110" s="465">
        <f>INDEX('CTR1 Data Previous Year'!$G:$G,MATCH($D110,'CTR1 Data Previous Year'!$A:$A,0),1)</f>
        <v>38078.35</v>
      </c>
      <c r="M110" s="455">
        <f>INDEX('CTR1 Data Previous Year'!$H:$H,MATCH($D110,'CTR1 Data Previous Year'!$A:$A,0),1)</f>
        <v>0.97</v>
      </c>
      <c r="N110" s="465">
        <f>INDEX('CTR1 Data Previous Year'!$I:$I,MATCH($D110,'CTR1 Data Previous Year'!$A:$A,0),1)</f>
        <v>0</v>
      </c>
      <c r="O110" s="160" t="s">
        <v>129</v>
      </c>
      <c r="P110" s="817"/>
      <c r="Q110" s="820" t="s">
        <v>633</v>
      </c>
      <c r="R110" s="817" t="s">
        <v>634</v>
      </c>
      <c r="S110" s="821" t="s">
        <v>635</v>
      </c>
      <c r="T110" s="817" t="s">
        <v>636</v>
      </c>
      <c r="U110" s="822" t="s">
        <v>834</v>
      </c>
      <c r="V110" s="817" t="s">
        <v>835</v>
      </c>
      <c r="W110" s="465">
        <f>INDEX('CTR1 Data Previous Year'!$J:$J,MATCH($D110,'CTR1 Data Previous Year'!$A:$A,0),1)</f>
        <v>36936</v>
      </c>
      <c r="X110" s="465">
        <f>INDEX('CTR1 Data Previous Year'!$K:$K,MATCH($D110,'CTR1 Data Previous Year'!$A:$A,0),1)</f>
        <v>1853.31</v>
      </c>
      <c r="Y110" s="465">
        <f>INDEX('CTR1 Data Previous Year'!$L:$L,MATCH($D110,'CTR1 Data Previous Year'!$A:$A,0),1)</f>
        <v>1846.66</v>
      </c>
      <c r="Z110" s="836" t="str">
        <f t="shared" si="14"/>
        <v>N</v>
      </c>
      <c r="AA110" s="837" t="str">
        <f t="shared" si="15"/>
        <v>N</v>
      </c>
      <c r="AB110" s="838">
        <f t="shared" si="16"/>
        <v>1846.66</v>
      </c>
      <c r="AC110" s="868">
        <f t="shared" si="17"/>
        <v>0</v>
      </c>
      <c r="AD110" s="876">
        <f t="shared" si="18"/>
        <v>0</v>
      </c>
      <c r="AE110" s="838">
        <f t="shared" si="19"/>
        <v>1938.9930000000002</v>
      </c>
      <c r="AF110" s="838">
        <f t="shared" si="20"/>
        <v>1846.66</v>
      </c>
      <c r="AG110" s="839">
        <f t="shared" si="22"/>
        <v>0</v>
      </c>
      <c r="AH110" s="839">
        <f t="shared" si="23"/>
        <v>1938.99</v>
      </c>
      <c r="AI110" s="840">
        <f t="shared" si="21"/>
        <v>36.93</v>
      </c>
      <c r="AJ110" s="841">
        <f t="shared" si="24"/>
        <v>1.9998267141758633E-2</v>
      </c>
      <c r="AK110" s="446"/>
      <c r="AL110" s="446"/>
      <c r="AM110" s="446"/>
      <c r="AN110" s="446"/>
    </row>
    <row r="111" spans="1:40" ht="15" customHeight="1" x14ac:dyDescent="0.25">
      <c r="A111" s="370">
        <v>106</v>
      </c>
      <c r="B111" s="371" t="s">
        <v>836</v>
      </c>
      <c r="C111" s="370" t="s">
        <v>837</v>
      </c>
      <c r="D111" s="370" t="s">
        <v>838</v>
      </c>
      <c r="E111" s="370" t="s">
        <v>343</v>
      </c>
      <c r="F111" s="370" t="s">
        <v>378</v>
      </c>
      <c r="G111" s="386">
        <f>INDEX('CTR1 Data Previous Year'!$B:$B,MATCH($D111,'CTR1 Data Previous Year'!$A:$A,0),1)</f>
        <v>84863676</v>
      </c>
      <c r="H111" s="386">
        <f>INDEX('CTR1 Data Previous Year'!$C:$C,MATCH($D111,'CTR1 Data Previous Year'!$A:$A,0),1)</f>
        <v>0</v>
      </c>
      <c r="I111" s="386">
        <f>INDEX('CTR1 Data Previous Year'!$D:$D,MATCH($D111,'CTR1 Data Previous Year'!$A:$A,0),1)</f>
        <v>0</v>
      </c>
      <c r="J111" s="386">
        <f>INDEX('CTR1 Data Previous Year'!$E:$E,MATCH($D111,'CTR1 Data Previous Year'!$A:$A,0),1)</f>
        <v>84863676</v>
      </c>
      <c r="K111" s="386">
        <f>INDEX('CTR1 Data Previous Year'!$F:$F,MATCH($D111,'CTR1 Data Previous Year'!$A:$A,0),1)</f>
        <v>2478624</v>
      </c>
      <c r="L111" s="465">
        <f>INDEX('CTR1 Data Previous Year'!$G:$G,MATCH($D111,'CTR1 Data Previous Year'!$A:$A,0),1)</f>
        <v>91035.05</v>
      </c>
      <c r="M111" s="455">
        <f>INDEX('CTR1 Data Previous Year'!$H:$H,MATCH($D111,'CTR1 Data Previous Year'!$A:$A,0),1)</f>
        <v>0.97</v>
      </c>
      <c r="N111" s="465">
        <f>INDEX('CTR1 Data Previous Year'!$I:$I,MATCH($D111,'CTR1 Data Previous Year'!$A:$A,0),1)</f>
        <v>0</v>
      </c>
      <c r="O111" s="160" t="s">
        <v>379</v>
      </c>
      <c r="P111" s="862" t="s">
        <v>380</v>
      </c>
      <c r="Q111" s="820"/>
      <c r="R111" s="817"/>
      <c r="S111" s="821" t="s">
        <v>129</v>
      </c>
      <c r="T111" s="817"/>
      <c r="U111" s="160"/>
      <c r="V111" s="817"/>
      <c r="W111" s="465">
        <f>INDEX('CTR1 Data Previous Year'!$J:$J,MATCH($D111,'CTR1 Data Previous Year'!$A:$A,0),1)</f>
        <v>88304</v>
      </c>
      <c r="X111" s="465">
        <f>INDEX('CTR1 Data Previous Year'!$K:$K,MATCH($D111,'CTR1 Data Previous Year'!$A:$A,0),1)</f>
        <v>961.04</v>
      </c>
      <c r="Y111" s="465">
        <f>INDEX('CTR1 Data Previous Year'!$L:$L,MATCH($D111,'CTR1 Data Previous Year'!$A:$A,0),1)</f>
        <v>961.04</v>
      </c>
      <c r="Z111" s="836" t="str">
        <f t="shared" si="14"/>
        <v>N</v>
      </c>
      <c r="AA111" s="837" t="str">
        <f t="shared" si="15"/>
        <v>N</v>
      </c>
      <c r="AB111" s="838">
        <f t="shared" si="16"/>
        <v>961.04</v>
      </c>
      <c r="AC111" s="868">
        <f t="shared" si="17"/>
        <v>0</v>
      </c>
      <c r="AD111" s="876">
        <f t="shared" si="18"/>
        <v>0</v>
      </c>
      <c r="AE111" s="838">
        <f t="shared" si="19"/>
        <v>1009.092</v>
      </c>
      <c r="AF111" s="838">
        <f t="shared" si="20"/>
        <v>961.04</v>
      </c>
      <c r="AG111" s="839">
        <f t="shared" si="22"/>
        <v>0</v>
      </c>
      <c r="AH111" s="839">
        <f t="shared" si="23"/>
        <v>1009.09</v>
      </c>
      <c r="AI111" s="840">
        <f t="shared" si="21"/>
        <v>19.22</v>
      </c>
      <c r="AJ111" s="841">
        <f t="shared" si="24"/>
        <v>1.9999167568467494E-2</v>
      </c>
      <c r="AK111" s="446"/>
      <c r="AL111" s="446"/>
      <c r="AM111" s="446"/>
      <c r="AN111" s="446"/>
    </row>
    <row r="112" spans="1:40" ht="15" customHeight="1" x14ac:dyDescent="0.25">
      <c r="A112" s="370">
        <v>107</v>
      </c>
      <c r="B112" s="371" t="s">
        <v>839</v>
      </c>
      <c r="C112" s="370" t="s">
        <v>840</v>
      </c>
      <c r="D112" s="370" t="s">
        <v>841</v>
      </c>
      <c r="E112" s="370" t="s">
        <v>321</v>
      </c>
      <c r="F112" s="370" t="s">
        <v>330</v>
      </c>
      <c r="G112" s="386">
        <f>INDEX('CTR1 Data Previous Year'!$B:$B,MATCH($D112,'CTR1 Data Previous Year'!$A:$A,0),1)</f>
        <v>10154691</v>
      </c>
      <c r="H112" s="386">
        <f>INDEX('CTR1 Data Previous Year'!$C:$C,MATCH($D112,'CTR1 Data Previous Year'!$A:$A,0),1)</f>
        <v>743192</v>
      </c>
      <c r="I112" s="386">
        <f>INDEX('CTR1 Data Previous Year'!$D:$D,MATCH($D112,'CTR1 Data Previous Year'!$A:$A,0),1)</f>
        <v>2900733</v>
      </c>
      <c r="J112" s="386">
        <f>INDEX('CTR1 Data Previous Year'!$E:$E,MATCH($D112,'CTR1 Data Previous Year'!$A:$A,0),1)</f>
        <v>7253958</v>
      </c>
      <c r="K112" s="386">
        <f>INDEX('CTR1 Data Previous Year'!$F:$F,MATCH($D112,'CTR1 Data Previous Year'!$A:$A,0),1)</f>
        <v>0</v>
      </c>
      <c r="L112" s="465">
        <f>INDEX('CTR1 Data Previous Year'!$G:$G,MATCH($D112,'CTR1 Data Previous Year'!$A:$A,0),1)</f>
        <v>40179.1</v>
      </c>
      <c r="M112" s="455">
        <f>INDEX('CTR1 Data Previous Year'!$H:$H,MATCH($D112,'CTR1 Data Previous Year'!$A:$A,0),1)</f>
        <v>0.98499999999999999</v>
      </c>
      <c r="N112" s="465">
        <f>INDEX('CTR1 Data Previous Year'!$I:$I,MATCH($D112,'CTR1 Data Previous Year'!$A:$A,0),1)</f>
        <v>0</v>
      </c>
      <c r="O112" s="160" t="s">
        <v>454</v>
      </c>
      <c r="P112" s="817" t="s">
        <v>455</v>
      </c>
      <c r="Q112" s="820" t="s">
        <v>456</v>
      </c>
      <c r="R112" s="817" t="s">
        <v>457</v>
      </c>
      <c r="S112" s="821" t="s">
        <v>458</v>
      </c>
      <c r="T112" s="817" t="s">
        <v>459</v>
      </c>
      <c r="U112" s="160"/>
      <c r="V112" s="817"/>
      <c r="W112" s="465">
        <f>INDEX('CTR1 Data Previous Year'!$J:$J,MATCH($D112,'CTR1 Data Previous Year'!$A:$A,0),1)</f>
        <v>39576.410000000003</v>
      </c>
      <c r="X112" s="465">
        <f>INDEX('CTR1 Data Previous Year'!$K:$K,MATCH($D112,'CTR1 Data Previous Year'!$A:$A,0),1)</f>
        <v>256.58</v>
      </c>
      <c r="Y112" s="465">
        <f>INDEX('CTR1 Data Previous Year'!$L:$L,MATCH($D112,'CTR1 Data Previous Year'!$A:$A,0),1)</f>
        <v>183.29</v>
      </c>
      <c r="Z112" s="836" t="str">
        <f t="shared" si="14"/>
        <v>N</v>
      </c>
      <c r="AA112" s="837" t="str">
        <f t="shared" si="15"/>
        <v>N</v>
      </c>
      <c r="AB112" s="838">
        <f t="shared" si="16"/>
        <v>183.29</v>
      </c>
      <c r="AC112" s="868">
        <f t="shared" si="17"/>
        <v>0</v>
      </c>
      <c r="AD112" s="876">
        <f t="shared" si="18"/>
        <v>0</v>
      </c>
      <c r="AE112" s="838">
        <f t="shared" si="19"/>
        <v>188.78870000000001</v>
      </c>
      <c r="AF112" s="838">
        <f t="shared" si="20"/>
        <v>188.29</v>
      </c>
      <c r="AG112" s="839">
        <f t="shared" si="22"/>
        <v>0</v>
      </c>
      <c r="AH112" s="839">
        <f t="shared" si="23"/>
        <v>188.79</v>
      </c>
      <c r="AI112" s="840">
        <f t="shared" si="21"/>
        <v>0</v>
      </c>
      <c r="AJ112" s="841">
        <f t="shared" si="24"/>
        <v>0</v>
      </c>
      <c r="AK112" s="446"/>
      <c r="AL112" s="446"/>
      <c r="AM112" s="446"/>
      <c r="AN112" s="446"/>
    </row>
    <row r="113" spans="1:40" ht="15" customHeight="1" x14ac:dyDescent="0.25">
      <c r="A113" s="370">
        <v>108</v>
      </c>
      <c r="B113" s="371" t="s">
        <v>842</v>
      </c>
      <c r="C113" s="370" t="s">
        <v>843</v>
      </c>
      <c r="D113" s="370" t="s">
        <v>844</v>
      </c>
      <c r="E113" s="370" t="s">
        <v>343</v>
      </c>
      <c r="F113" s="370" t="s">
        <v>378</v>
      </c>
      <c r="G113" s="386">
        <f>INDEX('CTR1 Data Previous Year'!$B:$B,MATCH($D113,'CTR1 Data Previous Year'!$A:$A,0),1)</f>
        <v>141851563</v>
      </c>
      <c r="H113" s="386">
        <f>INDEX('CTR1 Data Previous Year'!$C:$C,MATCH($D113,'CTR1 Data Previous Year'!$A:$A,0),1)</f>
        <v>0</v>
      </c>
      <c r="I113" s="386">
        <f>INDEX('CTR1 Data Previous Year'!$D:$D,MATCH($D113,'CTR1 Data Previous Year'!$A:$A,0),1)</f>
        <v>0</v>
      </c>
      <c r="J113" s="386">
        <f>INDEX('CTR1 Data Previous Year'!$E:$E,MATCH($D113,'CTR1 Data Previous Year'!$A:$A,0),1)</f>
        <v>141851563</v>
      </c>
      <c r="K113" s="386">
        <f>INDEX('CTR1 Data Previous Year'!$F:$F,MATCH($D113,'CTR1 Data Previous Year'!$A:$A,0),1)</f>
        <v>11909000</v>
      </c>
      <c r="L113" s="465">
        <f>INDEX('CTR1 Data Previous Year'!$G:$G,MATCH($D113,'CTR1 Data Previous Year'!$A:$A,0),1)</f>
        <v>86255</v>
      </c>
      <c r="M113" s="455">
        <f>INDEX('CTR1 Data Previous Year'!$H:$H,MATCH($D113,'CTR1 Data Previous Year'!$A:$A,0),1)</f>
        <v>0.95750000000000002</v>
      </c>
      <c r="N113" s="465">
        <f>INDEX('CTR1 Data Previous Year'!$I:$I,MATCH($D113,'CTR1 Data Previous Year'!$A:$A,0),1)</f>
        <v>0</v>
      </c>
      <c r="O113" s="160" t="s">
        <v>379</v>
      </c>
      <c r="P113" s="862" t="s">
        <v>380</v>
      </c>
      <c r="Q113" s="820"/>
      <c r="R113" s="817"/>
      <c r="S113" s="821" t="s">
        <v>129</v>
      </c>
      <c r="T113" s="817"/>
      <c r="U113" s="160"/>
      <c r="V113" s="817"/>
      <c r="W113" s="465">
        <f>INDEX('CTR1 Data Previous Year'!$J:$J,MATCH($D113,'CTR1 Data Previous Year'!$A:$A,0),1)</f>
        <v>82589.16</v>
      </c>
      <c r="X113" s="465">
        <f>INDEX('CTR1 Data Previous Year'!$K:$K,MATCH($D113,'CTR1 Data Previous Year'!$A:$A,0),1)</f>
        <v>1717.56</v>
      </c>
      <c r="Y113" s="465">
        <f>INDEX('CTR1 Data Previous Year'!$L:$L,MATCH($D113,'CTR1 Data Previous Year'!$A:$A,0),1)</f>
        <v>1717.56</v>
      </c>
      <c r="Z113" s="836" t="str">
        <f t="shared" si="14"/>
        <v>N</v>
      </c>
      <c r="AA113" s="837" t="str">
        <f t="shared" si="15"/>
        <v>N</v>
      </c>
      <c r="AB113" s="838">
        <f t="shared" si="16"/>
        <v>1717.56</v>
      </c>
      <c r="AC113" s="868">
        <f t="shared" si="17"/>
        <v>0</v>
      </c>
      <c r="AD113" s="876">
        <f t="shared" si="18"/>
        <v>0</v>
      </c>
      <c r="AE113" s="838">
        <f t="shared" si="19"/>
        <v>1803.4380000000001</v>
      </c>
      <c r="AF113" s="838">
        <f t="shared" si="20"/>
        <v>1717.56</v>
      </c>
      <c r="AG113" s="839">
        <f t="shared" si="22"/>
        <v>0</v>
      </c>
      <c r="AH113" s="839">
        <f t="shared" si="23"/>
        <v>1803.44</v>
      </c>
      <c r="AI113" s="840">
        <f t="shared" si="21"/>
        <v>34.35</v>
      </c>
      <c r="AJ113" s="841">
        <f t="shared" si="24"/>
        <v>1.99993013344512E-2</v>
      </c>
      <c r="AK113" s="446"/>
      <c r="AL113" s="446"/>
      <c r="AM113" s="446"/>
      <c r="AN113" s="446"/>
    </row>
    <row r="114" spans="1:40" ht="15" customHeight="1" x14ac:dyDescent="0.25">
      <c r="A114" s="370">
        <v>109</v>
      </c>
      <c r="B114" s="371" t="s">
        <v>845</v>
      </c>
      <c r="C114" s="370" t="s">
        <v>846</v>
      </c>
      <c r="D114" s="370" t="s">
        <v>847</v>
      </c>
      <c r="E114" s="370" t="s">
        <v>321</v>
      </c>
      <c r="F114" s="370" t="s">
        <v>368</v>
      </c>
      <c r="G114" s="386">
        <f>INDEX('CTR1 Data Previous Year'!$B:$B,MATCH($D114,'CTR1 Data Previous Year'!$A:$A,0),1)</f>
        <v>8464071</v>
      </c>
      <c r="H114" s="386">
        <f>INDEX('CTR1 Data Previous Year'!$C:$C,MATCH($D114,'CTR1 Data Previous Year'!$A:$A,0),1)</f>
        <v>0</v>
      </c>
      <c r="I114" s="386">
        <f>INDEX('CTR1 Data Previous Year'!$D:$D,MATCH($D114,'CTR1 Data Previous Year'!$A:$A,0),1)</f>
        <v>0</v>
      </c>
      <c r="J114" s="386">
        <f>INDEX('CTR1 Data Previous Year'!$E:$E,MATCH($D114,'CTR1 Data Previous Year'!$A:$A,0),1)</f>
        <v>8464071</v>
      </c>
      <c r="K114" s="386">
        <f>INDEX('CTR1 Data Previous Year'!$F:$F,MATCH($D114,'CTR1 Data Previous Year'!$A:$A,0),1)</f>
        <v>0</v>
      </c>
      <c r="L114" s="465">
        <f>INDEX('CTR1 Data Previous Year'!$G:$G,MATCH($D114,'CTR1 Data Previous Year'!$A:$A,0),1)</f>
        <v>30101.279999999999</v>
      </c>
      <c r="M114" s="455">
        <f>INDEX('CTR1 Data Previous Year'!$H:$H,MATCH($D114,'CTR1 Data Previous Year'!$A:$A,0),1)</f>
        <v>0.97330000000000005</v>
      </c>
      <c r="N114" s="465">
        <f>INDEX('CTR1 Data Previous Year'!$I:$I,MATCH($D114,'CTR1 Data Previous Year'!$A:$A,0),1)</f>
        <v>0</v>
      </c>
      <c r="O114" s="160" t="s">
        <v>401</v>
      </c>
      <c r="P114" s="817" t="s">
        <v>402</v>
      </c>
      <c r="Q114" s="820" t="s">
        <v>403</v>
      </c>
      <c r="R114" s="817" t="s">
        <v>404</v>
      </c>
      <c r="S114" s="821" t="s">
        <v>405</v>
      </c>
      <c r="T114" s="817" t="s">
        <v>406</v>
      </c>
      <c r="U114" s="822"/>
      <c r="V114" s="817"/>
      <c r="W114" s="465">
        <f>INDEX('CTR1 Data Previous Year'!$J:$J,MATCH($D114,'CTR1 Data Previous Year'!$A:$A,0),1)</f>
        <v>29297.58</v>
      </c>
      <c r="X114" s="465">
        <f>INDEX('CTR1 Data Previous Year'!$K:$K,MATCH($D114,'CTR1 Data Previous Year'!$A:$A,0),1)</f>
        <v>288.89999999999998</v>
      </c>
      <c r="Y114" s="465">
        <f>INDEX('CTR1 Data Previous Year'!$L:$L,MATCH($D114,'CTR1 Data Previous Year'!$A:$A,0),1)</f>
        <v>288.89999999999998</v>
      </c>
      <c r="Z114" s="836" t="str">
        <f t="shared" si="14"/>
        <v>N</v>
      </c>
      <c r="AA114" s="837" t="str">
        <f t="shared" si="15"/>
        <v>N</v>
      </c>
      <c r="AB114" s="838">
        <f t="shared" si="16"/>
        <v>288.89999999999998</v>
      </c>
      <c r="AC114" s="868">
        <f t="shared" si="17"/>
        <v>0</v>
      </c>
      <c r="AD114" s="876">
        <f t="shared" si="18"/>
        <v>0</v>
      </c>
      <c r="AE114" s="838">
        <f t="shared" si="19"/>
        <v>297.56700000000001</v>
      </c>
      <c r="AF114" s="838">
        <f t="shared" si="20"/>
        <v>293.89999999999998</v>
      </c>
      <c r="AG114" s="839">
        <f t="shared" si="22"/>
        <v>0</v>
      </c>
      <c r="AH114" s="839">
        <f t="shared" si="23"/>
        <v>297.57</v>
      </c>
      <c r="AI114" s="840">
        <f t="shared" si="21"/>
        <v>0</v>
      </c>
      <c r="AJ114" s="841">
        <f t="shared" si="24"/>
        <v>0</v>
      </c>
      <c r="AK114" s="446"/>
      <c r="AL114" s="446"/>
      <c r="AM114" s="446"/>
      <c r="AN114" s="446"/>
    </row>
    <row r="115" spans="1:40" ht="15" customHeight="1" x14ac:dyDescent="0.25">
      <c r="A115" s="370">
        <v>110</v>
      </c>
      <c r="B115" s="371" t="s">
        <v>848</v>
      </c>
      <c r="C115" s="370" t="s">
        <v>849</v>
      </c>
      <c r="D115" s="370" t="s">
        <v>850</v>
      </c>
      <c r="E115" s="370" t="s">
        <v>343</v>
      </c>
      <c r="F115" s="370" t="s">
        <v>378</v>
      </c>
      <c r="G115" s="386">
        <f>INDEX('CTR1 Data Previous Year'!$B:$B,MATCH($D115,'CTR1 Data Previous Year'!$A:$A,0),1)</f>
        <v>173099520</v>
      </c>
      <c r="H115" s="386">
        <f>INDEX('CTR1 Data Previous Year'!$C:$C,MATCH($D115,'CTR1 Data Previous Year'!$A:$A,0),1)</f>
        <v>0</v>
      </c>
      <c r="I115" s="386">
        <f>INDEX('CTR1 Data Previous Year'!$D:$D,MATCH($D115,'CTR1 Data Previous Year'!$A:$A,0),1)</f>
        <v>0</v>
      </c>
      <c r="J115" s="386">
        <f>INDEX('CTR1 Data Previous Year'!$E:$E,MATCH($D115,'CTR1 Data Previous Year'!$A:$A,0),1)</f>
        <v>173099520</v>
      </c>
      <c r="K115" s="386">
        <f>INDEX('CTR1 Data Previous Year'!$F:$F,MATCH($D115,'CTR1 Data Previous Year'!$A:$A,0),1)</f>
        <v>3891777</v>
      </c>
      <c r="L115" s="465">
        <f>INDEX('CTR1 Data Previous Year'!$G:$G,MATCH($D115,'CTR1 Data Previous Year'!$A:$A,0),1)</f>
        <v>92573.27</v>
      </c>
      <c r="M115" s="455">
        <f>INDEX('CTR1 Data Previous Year'!$H:$H,MATCH($D115,'CTR1 Data Previous Year'!$A:$A,0),1)</f>
        <v>0.98</v>
      </c>
      <c r="N115" s="465">
        <f>INDEX('CTR1 Data Previous Year'!$I:$I,MATCH($D115,'CTR1 Data Previous Year'!$A:$A,0),1)</f>
        <v>121.2</v>
      </c>
      <c r="O115" s="160" t="s">
        <v>379</v>
      </c>
      <c r="P115" s="862" t="s">
        <v>380</v>
      </c>
      <c r="Q115" s="820"/>
      <c r="R115" s="817"/>
      <c r="S115" s="821" t="s">
        <v>129</v>
      </c>
      <c r="T115" s="817"/>
      <c r="U115" s="160"/>
      <c r="V115" s="817"/>
      <c r="W115" s="465">
        <f>INDEX('CTR1 Data Previous Year'!$J:$J,MATCH($D115,'CTR1 Data Previous Year'!$A:$A,0),1)</f>
        <v>90843</v>
      </c>
      <c r="X115" s="465">
        <f>INDEX('CTR1 Data Previous Year'!$K:$K,MATCH($D115,'CTR1 Data Previous Year'!$A:$A,0),1)</f>
        <v>1905.48</v>
      </c>
      <c r="Y115" s="465">
        <f>INDEX('CTR1 Data Previous Year'!$L:$L,MATCH($D115,'CTR1 Data Previous Year'!$A:$A,0),1)</f>
        <v>1905.48</v>
      </c>
      <c r="Z115" s="836" t="str">
        <f t="shared" si="14"/>
        <v>N</v>
      </c>
      <c r="AA115" s="837" t="str">
        <f t="shared" si="15"/>
        <v>N</v>
      </c>
      <c r="AB115" s="838">
        <f t="shared" si="16"/>
        <v>1905.48</v>
      </c>
      <c r="AC115" s="868">
        <f t="shared" si="17"/>
        <v>0</v>
      </c>
      <c r="AD115" s="876">
        <f t="shared" si="18"/>
        <v>0</v>
      </c>
      <c r="AE115" s="838">
        <f t="shared" si="19"/>
        <v>2000.7540000000001</v>
      </c>
      <c r="AF115" s="838">
        <f t="shared" si="20"/>
        <v>1905.48</v>
      </c>
      <c r="AG115" s="839">
        <f t="shared" si="22"/>
        <v>0</v>
      </c>
      <c r="AH115" s="839">
        <f t="shared" si="23"/>
        <v>2000.75</v>
      </c>
      <c r="AI115" s="840">
        <f t="shared" si="21"/>
        <v>38.11</v>
      </c>
      <c r="AJ115" s="841">
        <f t="shared" si="24"/>
        <v>2.0000209920859834E-2</v>
      </c>
      <c r="AK115" s="446"/>
      <c r="AL115" s="446"/>
      <c r="AM115" s="446"/>
      <c r="AN115" s="446"/>
    </row>
    <row r="116" spans="1:40" ht="15" customHeight="1" x14ac:dyDescent="0.25">
      <c r="A116" s="370">
        <v>111</v>
      </c>
      <c r="B116" s="371" t="s">
        <v>851</v>
      </c>
      <c r="C116" s="370" t="s">
        <v>852</v>
      </c>
      <c r="D116" s="370" t="s">
        <v>853</v>
      </c>
      <c r="E116" s="370" t="s">
        <v>321</v>
      </c>
      <c r="F116" s="370" t="s">
        <v>322</v>
      </c>
      <c r="G116" s="386">
        <f>INDEX('CTR1 Data Previous Year'!$B:$B,MATCH($D116,'CTR1 Data Previous Year'!$A:$A,0),1)</f>
        <v>13439428</v>
      </c>
      <c r="H116" s="386">
        <f>INDEX('CTR1 Data Previous Year'!$C:$C,MATCH($D116,'CTR1 Data Previous Year'!$A:$A,0),1)</f>
        <v>0</v>
      </c>
      <c r="I116" s="386">
        <f>INDEX('CTR1 Data Previous Year'!$D:$D,MATCH($D116,'CTR1 Data Previous Year'!$A:$A,0),1)</f>
        <v>4648400</v>
      </c>
      <c r="J116" s="386">
        <f>INDEX('CTR1 Data Previous Year'!$E:$E,MATCH($D116,'CTR1 Data Previous Year'!$A:$A,0),1)</f>
        <v>8791028</v>
      </c>
      <c r="K116" s="386">
        <f>INDEX('CTR1 Data Previous Year'!$F:$F,MATCH($D116,'CTR1 Data Previous Year'!$A:$A,0),1)</f>
        <v>0</v>
      </c>
      <c r="L116" s="465">
        <f>INDEX('CTR1 Data Previous Year'!$G:$G,MATCH($D116,'CTR1 Data Previous Year'!$A:$A,0),1)</f>
        <v>43088.71</v>
      </c>
      <c r="M116" s="455">
        <f>INDEX('CTR1 Data Previous Year'!$H:$H,MATCH($D116,'CTR1 Data Previous Year'!$A:$A,0),1)</f>
        <v>0.98699999999999999</v>
      </c>
      <c r="N116" s="465">
        <f>INDEX('CTR1 Data Previous Year'!$I:$I,MATCH($D116,'CTR1 Data Previous Year'!$A:$A,0),1)</f>
        <v>543.6</v>
      </c>
      <c r="O116" s="160" t="s">
        <v>411</v>
      </c>
      <c r="P116" s="817" t="s">
        <v>412</v>
      </c>
      <c r="Q116" s="820" t="s">
        <v>413</v>
      </c>
      <c r="R116" s="817" t="s">
        <v>414</v>
      </c>
      <c r="S116" s="821" t="s">
        <v>415</v>
      </c>
      <c r="T116" s="817" t="s">
        <v>416</v>
      </c>
      <c r="U116" s="160"/>
      <c r="V116" s="817"/>
      <c r="W116" s="465">
        <f>INDEX('CTR1 Data Previous Year'!$J:$J,MATCH($D116,'CTR1 Data Previous Year'!$A:$A,0),1)</f>
        <v>43072.160000000003</v>
      </c>
      <c r="X116" s="465">
        <f>INDEX('CTR1 Data Previous Year'!$K:$K,MATCH($D116,'CTR1 Data Previous Year'!$A:$A,0),1)</f>
        <v>312.02</v>
      </c>
      <c r="Y116" s="465">
        <f>INDEX('CTR1 Data Previous Year'!$L:$L,MATCH($D116,'CTR1 Data Previous Year'!$A:$A,0),1)</f>
        <v>204.1</v>
      </c>
      <c r="Z116" s="836" t="str">
        <f t="shared" si="14"/>
        <v>N</v>
      </c>
      <c r="AA116" s="837" t="str">
        <f t="shared" si="15"/>
        <v>N</v>
      </c>
      <c r="AB116" s="838">
        <f t="shared" si="16"/>
        <v>204.1</v>
      </c>
      <c r="AC116" s="868">
        <f t="shared" si="17"/>
        <v>0</v>
      </c>
      <c r="AD116" s="876">
        <f t="shared" si="18"/>
        <v>0</v>
      </c>
      <c r="AE116" s="838">
        <f t="shared" si="19"/>
        <v>210.22300000000001</v>
      </c>
      <c r="AF116" s="838">
        <f t="shared" si="20"/>
        <v>209.1</v>
      </c>
      <c r="AG116" s="839">
        <f t="shared" si="22"/>
        <v>0</v>
      </c>
      <c r="AH116" s="839">
        <f t="shared" si="23"/>
        <v>210.22</v>
      </c>
      <c r="AI116" s="840">
        <f t="shared" si="21"/>
        <v>0</v>
      </c>
      <c r="AJ116" s="841">
        <f t="shared" si="24"/>
        <v>0</v>
      </c>
      <c r="AK116" s="446"/>
      <c r="AL116" s="446"/>
      <c r="AM116" s="446"/>
      <c r="AN116" s="446"/>
    </row>
    <row r="117" spans="1:40" ht="15" customHeight="1" x14ac:dyDescent="0.25">
      <c r="A117" s="370">
        <v>112</v>
      </c>
      <c r="B117" s="371" t="s">
        <v>854</v>
      </c>
      <c r="C117" s="370" t="s">
        <v>855</v>
      </c>
      <c r="D117" s="370" t="s">
        <v>856</v>
      </c>
      <c r="E117" s="370" t="s">
        <v>339</v>
      </c>
      <c r="F117" s="370" t="s">
        <v>685</v>
      </c>
      <c r="G117" s="386">
        <f>INDEX('CTR1 Data Previous Year'!$B:$B,MATCH($D117,'CTR1 Data Previous Year'!$A:$A,0),1)</f>
        <v>55194118</v>
      </c>
      <c r="H117" s="386">
        <f>INDEX('CTR1 Data Previous Year'!$C:$C,MATCH($D117,'CTR1 Data Previous Year'!$A:$A,0),1)</f>
        <v>0</v>
      </c>
      <c r="I117" s="386">
        <f>INDEX('CTR1 Data Previous Year'!$D:$D,MATCH($D117,'CTR1 Data Previous Year'!$A:$A,0),1)</f>
        <v>76713</v>
      </c>
      <c r="J117" s="386">
        <f>INDEX('CTR1 Data Previous Year'!$E:$E,MATCH($D117,'CTR1 Data Previous Year'!$A:$A,0),1)</f>
        <v>55117405</v>
      </c>
      <c r="K117" s="386">
        <f>INDEX('CTR1 Data Previous Year'!$F:$F,MATCH($D117,'CTR1 Data Previous Year'!$A:$A,0),1)</f>
        <v>133313</v>
      </c>
      <c r="L117" s="465">
        <f>INDEX('CTR1 Data Previous Year'!$G:$G,MATCH($D117,'CTR1 Data Previous Year'!$A:$A,0),1)</f>
        <v>26857.87</v>
      </c>
      <c r="M117" s="455">
        <f>INDEX('CTR1 Data Previous Year'!$H:$H,MATCH($D117,'CTR1 Data Previous Year'!$A:$A,0),1)</f>
        <v>0.98499999999999999</v>
      </c>
      <c r="N117" s="465">
        <f>INDEX('CTR1 Data Previous Year'!$I:$I,MATCH($D117,'CTR1 Data Previous Year'!$A:$A,0),1)</f>
        <v>0</v>
      </c>
      <c r="O117" s="160" t="s">
        <v>129</v>
      </c>
      <c r="P117" s="817"/>
      <c r="Q117" s="820" t="s">
        <v>857</v>
      </c>
      <c r="R117" s="817" t="s">
        <v>858</v>
      </c>
      <c r="S117" s="821" t="s">
        <v>859</v>
      </c>
      <c r="T117" s="817" t="s">
        <v>860</v>
      </c>
      <c r="U117" s="822" t="s">
        <v>690</v>
      </c>
      <c r="V117" s="817" t="s">
        <v>691</v>
      </c>
      <c r="W117" s="465">
        <f>INDEX('CTR1 Data Previous Year'!$J:$J,MATCH($D117,'CTR1 Data Previous Year'!$A:$A,0),1)</f>
        <v>26455</v>
      </c>
      <c r="X117" s="465">
        <f>INDEX('CTR1 Data Previous Year'!$K:$K,MATCH($D117,'CTR1 Data Previous Year'!$A:$A,0),1)</f>
        <v>2086.34</v>
      </c>
      <c r="Y117" s="465">
        <f>INDEX('CTR1 Data Previous Year'!$L:$L,MATCH($D117,'CTR1 Data Previous Year'!$A:$A,0),1)</f>
        <v>2083.44</v>
      </c>
      <c r="Z117" s="836" t="str">
        <f t="shared" si="14"/>
        <v>N</v>
      </c>
      <c r="AA117" s="837" t="str">
        <f t="shared" si="15"/>
        <v>N</v>
      </c>
      <c r="AB117" s="838">
        <f t="shared" si="16"/>
        <v>2083.44</v>
      </c>
      <c r="AC117" s="868">
        <f t="shared" si="17"/>
        <v>0</v>
      </c>
      <c r="AD117" s="876">
        <f t="shared" si="18"/>
        <v>0</v>
      </c>
      <c r="AE117" s="838">
        <f t="shared" si="19"/>
        <v>2187.6120000000001</v>
      </c>
      <c r="AF117" s="838">
        <f t="shared" si="20"/>
        <v>2083.44</v>
      </c>
      <c r="AG117" s="839">
        <f t="shared" si="22"/>
        <v>0</v>
      </c>
      <c r="AH117" s="839">
        <f t="shared" si="23"/>
        <v>2187.61</v>
      </c>
      <c r="AI117" s="840">
        <f t="shared" si="21"/>
        <v>41.67</v>
      </c>
      <c r="AJ117" s="841">
        <f t="shared" si="24"/>
        <v>2.0000575970510311E-2</v>
      </c>
      <c r="AK117" s="446"/>
      <c r="AL117" s="446"/>
      <c r="AM117" s="446"/>
      <c r="AN117" s="446"/>
    </row>
    <row r="118" spans="1:40" ht="15" customHeight="1" x14ac:dyDescent="0.25">
      <c r="A118" s="370">
        <v>113</v>
      </c>
      <c r="B118" s="371" t="s">
        <v>861</v>
      </c>
      <c r="C118" s="370" t="s">
        <v>862</v>
      </c>
      <c r="D118" s="370" t="s">
        <v>863</v>
      </c>
      <c r="E118" s="370" t="s">
        <v>321</v>
      </c>
      <c r="F118" s="370" t="s">
        <v>322</v>
      </c>
      <c r="G118" s="386">
        <f>INDEX('CTR1 Data Previous Year'!$B:$B,MATCH($D118,'CTR1 Data Previous Year'!$A:$A,0),1)</f>
        <v>8391691</v>
      </c>
      <c r="H118" s="386">
        <f>INDEX('CTR1 Data Previous Year'!$C:$C,MATCH($D118,'CTR1 Data Previous Year'!$A:$A,0),1)</f>
        <v>0</v>
      </c>
      <c r="I118" s="386">
        <f>INDEX('CTR1 Data Previous Year'!$D:$D,MATCH($D118,'CTR1 Data Previous Year'!$A:$A,0),1)</f>
        <v>0</v>
      </c>
      <c r="J118" s="386">
        <f>INDEX('CTR1 Data Previous Year'!$E:$E,MATCH($D118,'CTR1 Data Previous Year'!$A:$A,0),1)</f>
        <v>8391691</v>
      </c>
      <c r="K118" s="386">
        <f>INDEX('CTR1 Data Previous Year'!$F:$F,MATCH($D118,'CTR1 Data Previous Year'!$A:$A,0),1)</f>
        <v>0</v>
      </c>
      <c r="L118" s="465">
        <f>INDEX('CTR1 Data Previous Year'!$G:$G,MATCH($D118,'CTR1 Data Previous Year'!$A:$A,0),1)</f>
        <v>28262.38725</v>
      </c>
      <c r="M118" s="455">
        <f>INDEX('CTR1 Data Previous Year'!$H:$H,MATCH($D118,'CTR1 Data Previous Year'!$A:$A,0),1)</f>
        <v>0.96499999999999997</v>
      </c>
      <c r="N118" s="465">
        <f>INDEX('CTR1 Data Previous Year'!$I:$I,MATCH($D118,'CTR1 Data Previous Year'!$A:$A,0),1)</f>
        <v>0</v>
      </c>
      <c r="O118" s="160" t="s">
        <v>758</v>
      </c>
      <c r="P118" s="817" t="s">
        <v>759</v>
      </c>
      <c r="Q118" s="820" t="s">
        <v>325</v>
      </c>
      <c r="R118" s="817" t="s">
        <v>326</v>
      </c>
      <c r="S118" s="821" t="s">
        <v>534</v>
      </c>
      <c r="T118" s="817" t="s">
        <v>535</v>
      </c>
      <c r="U118" s="160"/>
      <c r="V118" s="817"/>
      <c r="W118" s="465">
        <f>INDEX('CTR1 Data Previous Year'!$J:$J,MATCH($D118,'CTR1 Data Previous Year'!$A:$A,0),1)</f>
        <v>27273.200000000001</v>
      </c>
      <c r="X118" s="465">
        <f>INDEX('CTR1 Data Previous Year'!$K:$K,MATCH($D118,'CTR1 Data Previous Year'!$A:$A,0),1)</f>
        <v>307.69</v>
      </c>
      <c r="Y118" s="465">
        <f>INDEX('CTR1 Data Previous Year'!$L:$L,MATCH($D118,'CTR1 Data Previous Year'!$A:$A,0),1)</f>
        <v>307.69</v>
      </c>
      <c r="Z118" s="836" t="str">
        <f t="shared" si="14"/>
        <v>N</v>
      </c>
      <c r="AA118" s="837" t="str">
        <f t="shared" si="15"/>
        <v>N</v>
      </c>
      <c r="AB118" s="838">
        <f t="shared" si="16"/>
        <v>307.69</v>
      </c>
      <c r="AC118" s="868">
        <f t="shared" si="17"/>
        <v>0</v>
      </c>
      <c r="AD118" s="876">
        <f t="shared" si="18"/>
        <v>0</v>
      </c>
      <c r="AE118" s="838">
        <f t="shared" si="19"/>
        <v>316.92070000000001</v>
      </c>
      <c r="AF118" s="838">
        <f t="shared" si="20"/>
        <v>312.69</v>
      </c>
      <c r="AG118" s="839">
        <f t="shared" si="22"/>
        <v>0</v>
      </c>
      <c r="AH118" s="839">
        <f t="shared" si="23"/>
        <v>316.92</v>
      </c>
      <c r="AI118" s="840">
        <f t="shared" si="21"/>
        <v>0</v>
      </c>
      <c r="AJ118" s="841">
        <f t="shared" si="24"/>
        <v>0</v>
      </c>
      <c r="AK118" s="446"/>
      <c r="AL118" s="446"/>
      <c r="AM118" s="446"/>
      <c r="AN118" s="446"/>
    </row>
    <row r="119" spans="1:40" ht="15" customHeight="1" x14ac:dyDescent="0.25">
      <c r="A119" s="370">
        <v>114</v>
      </c>
      <c r="B119" s="371" t="s">
        <v>864</v>
      </c>
      <c r="C119" s="370" t="s">
        <v>865</v>
      </c>
      <c r="D119" s="370" t="s">
        <v>866</v>
      </c>
      <c r="E119" s="370" t="s">
        <v>321</v>
      </c>
      <c r="F119" s="370" t="s">
        <v>322</v>
      </c>
      <c r="G119" s="386">
        <f>INDEX('CTR1 Data Previous Year'!$B:$B,MATCH($D119,'CTR1 Data Previous Year'!$A:$A,0),1)</f>
        <v>10345021</v>
      </c>
      <c r="H119" s="386">
        <f>INDEX('CTR1 Data Previous Year'!$C:$C,MATCH($D119,'CTR1 Data Previous Year'!$A:$A,0),1)</f>
        <v>0</v>
      </c>
      <c r="I119" s="386">
        <f>INDEX('CTR1 Data Previous Year'!$D:$D,MATCH($D119,'CTR1 Data Previous Year'!$A:$A,0),1)</f>
        <v>0</v>
      </c>
      <c r="J119" s="386">
        <f>INDEX('CTR1 Data Previous Year'!$E:$E,MATCH($D119,'CTR1 Data Previous Year'!$A:$A,0),1)</f>
        <v>10345021</v>
      </c>
      <c r="K119" s="386">
        <f>INDEX('CTR1 Data Previous Year'!$F:$F,MATCH($D119,'CTR1 Data Previous Year'!$A:$A,0),1)</f>
        <v>0</v>
      </c>
      <c r="L119" s="465">
        <f>INDEX('CTR1 Data Previous Year'!$G:$G,MATCH($D119,'CTR1 Data Previous Year'!$A:$A,0),1)</f>
        <v>43624.2</v>
      </c>
      <c r="M119" s="455">
        <f>INDEX('CTR1 Data Previous Year'!$H:$H,MATCH($D119,'CTR1 Data Previous Year'!$A:$A,0),1)</f>
        <v>0.98750000000000004</v>
      </c>
      <c r="N119" s="465">
        <f>INDEX('CTR1 Data Previous Year'!$I:$I,MATCH($D119,'CTR1 Data Previous Year'!$A:$A,0),1)</f>
        <v>68.5</v>
      </c>
      <c r="O119" s="160" t="s">
        <v>411</v>
      </c>
      <c r="P119" s="817" t="s">
        <v>412</v>
      </c>
      <c r="Q119" s="820" t="s">
        <v>413</v>
      </c>
      <c r="R119" s="817" t="s">
        <v>414</v>
      </c>
      <c r="S119" s="821" t="s">
        <v>415</v>
      </c>
      <c r="T119" s="817" t="s">
        <v>416</v>
      </c>
      <c r="U119" s="160"/>
      <c r="V119" s="817"/>
      <c r="W119" s="465">
        <f>INDEX('CTR1 Data Previous Year'!$J:$J,MATCH($D119,'CTR1 Data Previous Year'!$A:$A,0),1)</f>
        <v>43147.4</v>
      </c>
      <c r="X119" s="465">
        <f>INDEX('CTR1 Data Previous Year'!$K:$K,MATCH($D119,'CTR1 Data Previous Year'!$A:$A,0),1)</f>
        <v>239.76</v>
      </c>
      <c r="Y119" s="465">
        <f>INDEX('CTR1 Data Previous Year'!$L:$L,MATCH($D119,'CTR1 Data Previous Year'!$A:$A,0),1)</f>
        <v>239.76</v>
      </c>
      <c r="Z119" s="836" t="str">
        <f t="shared" si="14"/>
        <v>N</v>
      </c>
      <c r="AA119" s="837" t="str">
        <f t="shared" si="15"/>
        <v>N</v>
      </c>
      <c r="AB119" s="838">
        <f t="shared" si="16"/>
        <v>239.76</v>
      </c>
      <c r="AC119" s="868">
        <f t="shared" si="17"/>
        <v>0</v>
      </c>
      <c r="AD119" s="876">
        <f t="shared" si="18"/>
        <v>0</v>
      </c>
      <c r="AE119" s="838">
        <f t="shared" si="19"/>
        <v>246.9528</v>
      </c>
      <c r="AF119" s="838">
        <f t="shared" si="20"/>
        <v>244.76</v>
      </c>
      <c r="AG119" s="839">
        <f t="shared" si="22"/>
        <v>0</v>
      </c>
      <c r="AH119" s="839">
        <f t="shared" si="23"/>
        <v>246.95</v>
      </c>
      <c r="AI119" s="840">
        <f t="shared" si="21"/>
        <v>0</v>
      </c>
      <c r="AJ119" s="841">
        <f t="shared" si="24"/>
        <v>0</v>
      </c>
      <c r="AK119" s="446"/>
      <c r="AL119" s="446"/>
      <c r="AM119" s="446"/>
      <c r="AN119" s="446"/>
    </row>
    <row r="120" spans="1:40" ht="15" customHeight="1" x14ac:dyDescent="0.25">
      <c r="A120" s="370">
        <v>115</v>
      </c>
      <c r="B120" s="371" t="s">
        <v>867</v>
      </c>
      <c r="C120" s="370" t="s">
        <v>868</v>
      </c>
      <c r="D120" s="370" t="s">
        <v>869</v>
      </c>
      <c r="E120" s="370" t="s">
        <v>343</v>
      </c>
      <c r="F120" s="370" t="s">
        <v>378</v>
      </c>
      <c r="G120" s="386">
        <f>INDEX('CTR1 Data Previous Year'!$B:$B,MATCH($D120,'CTR1 Data Previous Year'!$A:$A,0),1)</f>
        <v>164361000</v>
      </c>
      <c r="H120" s="386">
        <f>INDEX('CTR1 Data Previous Year'!$C:$C,MATCH($D120,'CTR1 Data Previous Year'!$A:$A,0),1)</f>
        <v>0</v>
      </c>
      <c r="I120" s="386">
        <f>INDEX('CTR1 Data Previous Year'!$D:$D,MATCH($D120,'CTR1 Data Previous Year'!$A:$A,0),1)</f>
        <v>0</v>
      </c>
      <c r="J120" s="386">
        <f>INDEX('CTR1 Data Previous Year'!$E:$E,MATCH($D120,'CTR1 Data Previous Year'!$A:$A,0),1)</f>
        <v>164361000</v>
      </c>
      <c r="K120" s="386">
        <f>INDEX('CTR1 Data Previous Year'!$F:$F,MATCH($D120,'CTR1 Data Previous Year'!$A:$A,0),1)</f>
        <v>18771980</v>
      </c>
      <c r="L120" s="465">
        <f>INDEX('CTR1 Data Previous Year'!$G:$G,MATCH($D120,'CTR1 Data Previous Year'!$A:$A,0),1)</f>
        <v>92939.18</v>
      </c>
      <c r="M120" s="455">
        <f>INDEX('CTR1 Data Previous Year'!$H:$H,MATCH($D120,'CTR1 Data Previous Year'!$A:$A,0),1)</f>
        <v>0.97</v>
      </c>
      <c r="N120" s="465">
        <f>INDEX('CTR1 Data Previous Year'!$I:$I,MATCH($D120,'CTR1 Data Previous Year'!$A:$A,0),1)</f>
        <v>0</v>
      </c>
      <c r="O120" s="160" t="s">
        <v>379</v>
      </c>
      <c r="P120" s="862" t="s">
        <v>380</v>
      </c>
      <c r="Q120" s="820"/>
      <c r="R120" s="817"/>
      <c r="S120" s="821" t="s">
        <v>129</v>
      </c>
      <c r="T120" s="817"/>
      <c r="U120" s="160"/>
      <c r="V120" s="817"/>
      <c r="W120" s="465">
        <f>INDEX('CTR1 Data Previous Year'!$J:$J,MATCH($D120,'CTR1 Data Previous Year'!$A:$A,0),1)</f>
        <v>90151</v>
      </c>
      <c r="X120" s="465">
        <f>INDEX('CTR1 Data Previous Year'!$K:$K,MATCH($D120,'CTR1 Data Previous Year'!$A:$A,0),1)</f>
        <v>1823.17</v>
      </c>
      <c r="Y120" s="465">
        <f>INDEX('CTR1 Data Previous Year'!$L:$L,MATCH($D120,'CTR1 Data Previous Year'!$A:$A,0),1)</f>
        <v>1823.17</v>
      </c>
      <c r="Z120" s="836" t="str">
        <f t="shared" si="14"/>
        <v>N</v>
      </c>
      <c r="AA120" s="837" t="str">
        <f t="shared" si="15"/>
        <v>N</v>
      </c>
      <c r="AB120" s="838">
        <f t="shared" si="16"/>
        <v>1823.17</v>
      </c>
      <c r="AC120" s="868">
        <f t="shared" si="17"/>
        <v>0</v>
      </c>
      <c r="AD120" s="876">
        <f t="shared" si="18"/>
        <v>0</v>
      </c>
      <c r="AE120" s="838">
        <f t="shared" si="19"/>
        <v>1914.3285000000001</v>
      </c>
      <c r="AF120" s="838">
        <f t="shared" si="20"/>
        <v>1823.17</v>
      </c>
      <c r="AG120" s="839">
        <f t="shared" si="22"/>
        <v>0</v>
      </c>
      <c r="AH120" s="839">
        <f t="shared" si="23"/>
        <v>1914.33</v>
      </c>
      <c r="AI120" s="840">
        <f t="shared" si="21"/>
        <v>36.46</v>
      </c>
      <c r="AJ120" s="841">
        <f t="shared" si="24"/>
        <v>1.9998135116308408E-2</v>
      </c>
      <c r="AK120" s="446"/>
      <c r="AL120" s="446"/>
      <c r="AM120" s="446"/>
      <c r="AN120" s="446"/>
    </row>
    <row r="121" spans="1:40" ht="15" customHeight="1" x14ac:dyDescent="0.25">
      <c r="A121" s="370">
        <v>116</v>
      </c>
      <c r="B121" s="371" t="s">
        <v>870</v>
      </c>
      <c r="C121" s="370" t="s">
        <v>871</v>
      </c>
      <c r="D121" s="370" t="s">
        <v>872</v>
      </c>
      <c r="E121" s="370" t="s">
        <v>339</v>
      </c>
      <c r="F121" s="370" t="s">
        <v>444</v>
      </c>
      <c r="G121" s="386">
        <f>INDEX('CTR1 Data Previous Year'!$B:$B,MATCH($D121,'CTR1 Data Previous Year'!$A:$A,0),1)</f>
        <v>149670995.03</v>
      </c>
      <c r="H121" s="386">
        <f>INDEX('CTR1 Data Previous Year'!$C:$C,MATCH($D121,'CTR1 Data Previous Year'!$A:$A,0),1)</f>
        <v>0</v>
      </c>
      <c r="I121" s="386">
        <f>INDEX('CTR1 Data Previous Year'!$D:$D,MATCH($D121,'CTR1 Data Previous Year'!$A:$A,0),1)</f>
        <v>6268582</v>
      </c>
      <c r="J121" s="386">
        <f>INDEX('CTR1 Data Previous Year'!$E:$E,MATCH($D121,'CTR1 Data Previous Year'!$A:$A,0),1)</f>
        <v>143402413.03</v>
      </c>
      <c r="K121" s="386">
        <f>INDEX('CTR1 Data Previous Year'!$F:$F,MATCH($D121,'CTR1 Data Previous Year'!$A:$A,0),1)</f>
        <v>246940.57</v>
      </c>
      <c r="L121" s="465">
        <f>INDEX('CTR1 Data Previous Year'!$G:$G,MATCH($D121,'CTR1 Data Previous Year'!$A:$A,0),1)</f>
        <v>72782.45</v>
      </c>
      <c r="M121" s="455">
        <f>INDEX('CTR1 Data Previous Year'!$H:$H,MATCH($D121,'CTR1 Data Previous Year'!$A:$A,0),1)</f>
        <v>0.995</v>
      </c>
      <c r="N121" s="465">
        <f>INDEX('CTR1 Data Previous Year'!$I:$I,MATCH($D121,'CTR1 Data Previous Year'!$A:$A,0),1)</f>
        <v>398.2</v>
      </c>
      <c r="O121" s="160" t="s">
        <v>129</v>
      </c>
      <c r="P121" s="817"/>
      <c r="Q121" s="820" t="s">
        <v>550</v>
      </c>
      <c r="R121" s="817" t="s">
        <v>551</v>
      </c>
      <c r="S121" s="821" t="s">
        <v>552</v>
      </c>
      <c r="T121" s="817" t="s">
        <v>553</v>
      </c>
      <c r="U121" s="160"/>
      <c r="V121" s="817"/>
      <c r="W121" s="465">
        <f>INDEX('CTR1 Data Previous Year'!$J:$J,MATCH($D121,'CTR1 Data Previous Year'!$A:$A,0),1)</f>
        <v>72816.740000000005</v>
      </c>
      <c r="X121" s="465">
        <f>INDEX('CTR1 Data Previous Year'!$K:$K,MATCH($D121,'CTR1 Data Previous Year'!$A:$A,0),1)</f>
        <v>2055.4499999999998</v>
      </c>
      <c r="Y121" s="465">
        <f>INDEX('CTR1 Data Previous Year'!$L:$L,MATCH($D121,'CTR1 Data Previous Year'!$A:$A,0),1)</f>
        <v>1969.36</v>
      </c>
      <c r="Z121" s="836" t="str">
        <f t="shared" si="14"/>
        <v>N</v>
      </c>
      <c r="AA121" s="837" t="str">
        <f t="shared" si="15"/>
        <v>N</v>
      </c>
      <c r="AB121" s="838">
        <f t="shared" si="16"/>
        <v>1969.36</v>
      </c>
      <c r="AC121" s="868">
        <f t="shared" si="17"/>
        <v>0</v>
      </c>
      <c r="AD121" s="876">
        <f t="shared" si="18"/>
        <v>0</v>
      </c>
      <c r="AE121" s="838">
        <f t="shared" si="19"/>
        <v>2067.828</v>
      </c>
      <c r="AF121" s="838">
        <f t="shared" si="20"/>
        <v>1969.36</v>
      </c>
      <c r="AG121" s="839">
        <f t="shared" si="22"/>
        <v>0</v>
      </c>
      <c r="AH121" s="839">
        <f t="shared" si="23"/>
        <v>2067.83</v>
      </c>
      <c r="AI121" s="840">
        <f t="shared" si="21"/>
        <v>39.39</v>
      </c>
      <c r="AJ121" s="841">
        <f t="shared" si="24"/>
        <v>2.0001421781695578E-2</v>
      </c>
      <c r="AK121" s="446"/>
      <c r="AL121" s="446"/>
      <c r="AM121" s="446"/>
      <c r="AN121" s="446"/>
    </row>
    <row r="122" spans="1:40" ht="15" customHeight="1" x14ac:dyDescent="0.25">
      <c r="A122" s="370">
        <v>117</v>
      </c>
      <c r="B122" s="371" t="s">
        <v>873</v>
      </c>
      <c r="C122" s="370" t="s">
        <v>874</v>
      </c>
      <c r="D122" s="370" t="s">
        <v>875</v>
      </c>
      <c r="E122" s="370" t="s">
        <v>321</v>
      </c>
      <c r="F122" s="370" t="s">
        <v>368</v>
      </c>
      <c r="G122" s="386">
        <f>INDEX('CTR1 Data Previous Year'!$B:$B,MATCH($D122,'CTR1 Data Previous Year'!$A:$A,0),1)</f>
        <v>11021341</v>
      </c>
      <c r="H122" s="386">
        <f>INDEX('CTR1 Data Previous Year'!$C:$C,MATCH($D122,'CTR1 Data Previous Year'!$A:$A,0),1)</f>
        <v>690341</v>
      </c>
      <c r="I122" s="386">
        <f>INDEX('CTR1 Data Previous Year'!$D:$D,MATCH($D122,'CTR1 Data Previous Year'!$A:$A,0),1)</f>
        <v>1919075</v>
      </c>
      <c r="J122" s="386">
        <f>INDEX('CTR1 Data Previous Year'!$E:$E,MATCH($D122,'CTR1 Data Previous Year'!$A:$A,0),1)</f>
        <v>9102266</v>
      </c>
      <c r="K122" s="386">
        <f>INDEX('CTR1 Data Previous Year'!$F:$F,MATCH($D122,'CTR1 Data Previous Year'!$A:$A,0),1)</f>
        <v>0</v>
      </c>
      <c r="L122" s="465">
        <f>INDEX('CTR1 Data Previous Year'!$G:$G,MATCH($D122,'CTR1 Data Previous Year'!$A:$A,0),1)</f>
        <v>43960.2</v>
      </c>
      <c r="M122" s="455">
        <f>INDEX('CTR1 Data Previous Year'!$H:$H,MATCH($D122,'CTR1 Data Previous Year'!$A:$A,0),1)</f>
        <v>0.98</v>
      </c>
      <c r="N122" s="465">
        <f>INDEX('CTR1 Data Previous Year'!$I:$I,MATCH($D122,'CTR1 Data Previous Year'!$A:$A,0),1)</f>
        <v>250.4</v>
      </c>
      <c r="O122" s="160" t="s">
        <v>557</v>
      </c>
      <c r="P122" s="817" t="s">
        <v>558</v>
      </c>
      <c r="Q122" s="820" t="s">
        <v>559</v>
      </c>
      <c r="R122" s="817" t="s">
        <v>560</v>
      </c>
      <c r="S122" s="821" t="s">
        <v>129</v>
      </c>
      <c r="T122" s="817"/>
      <c r="U122" s="160"/>
      <c r="V122" s="817"/>
      <c r="W122" s="465">
        <f>INDEX('CTR1 Data Previous Year'!$J:$J,MATCH($D122,'CTR1 Data Previous Year'!$A:$A,0),1)</f>
        <v>43331.4</v>
      </c>
      <c r="X122" s="465">
        <f>INDEX('CTR1 Data Previous Year'!$K:$K,MATCH($D122,'CTR1 Data Previous Year'!$A:$A,0),1)</f>
        <v>254.35</v>
      </c>
      <c r="Y122" s="465">
        <f>INDEX('CTR1 Data Previous Year'!$L:$L,MATCH($D122,'CTR1 Data Previous Year'!$A:$A,0),1)</f>
        <v>210.06</v>
      </c>
      <c r="Z122" s="836" t="str">
        <f t="shared" si="14"/>
        <v>N</v>
      </c>
      <c r="AA122" s="837" t="str">
        <f t="shared" si="15"/>
        <v>N</v>
      </c>
      <c r="AB122" s="838">
        <f t="shared" si="16"/>
        <v>210.06</v>
      </c>
      <c r="AC122" s="868">
        <f t="shared" si="17"/>
        <v>0</v>
      </c>
      <c r="AD122" s="876">
        <f t="shared" si="18"/>
        <v>0</v>
      </c>
      <c r="AE122" s="838">
        <f t="shared" si="19"/>
        <v>216.36180000000002</v>
      </c>
      <c r="AF122" s="838">
        <f t="shared" si="20"/>
        <v>215.06</v>
      </c>
      <c r="AG122" s="839">
        <f t="shared" si="22"/>
        <v>0</v>
      </c>
      <c r="AH122" s="839">
        <f t="shared" si="23"/>
        <v>216.36</v>
      </c>
      <c r="AI122" s="840">
        <f t="shared" si="21"/>
        <v>0</v>
      </c>
      <c r="AJ122" s="841">
        <f t="shared" si="24"/>
        <v>0</v>
      </c>
      <c r="AK122" s="446"/>
      <c r="AL122" s="446"/>
      <c r="AM122" s="446"/>
      <c r="AN122" s="446"/>
    </row>
    <row r="123" spans="1:40" ht="15" customHeight="1" x14ac:dyDescent="0.25">
      <c r="A123" s="370">
        <v>118</v>
      </c>
      <c r="B123" s="371" t="s">
        <v>876</v>
      </c>
      <c r="C123" s="370" t="s">
        <v>877</v>
      </c>
      <c r="D123" s="370" t="s">
        <v>878</v>
      </c>
      <c r="E123" s="370" t="s">
        <v>321</v>
      </c>
      <c r="F123" s="370" t="s">
        <v>330</v>
      </c>
      <c r="G123" s="386">
        <f>INDEX('CTR1 Data Previous Year'!$B:$B,MATCH($D123,'CTR1 Data Previous Year'!$A:$A,0),1)</f>
        <v>8524534</v>
      </c>
      <c r="H123" s="386">
        <f>INDEX('CTR1 Data Previous Year'!$C:$C,MATCH($D123,'CTR1 Data Previous Year'!$A:$A,0),1)</f>
        <v>0</v>
      </c>
      <c r="I123" s="386">
        <f>INDEX('CTR1 Data Previous Year'!$D:$D,MATCH($D123,'CTR1 Data Previous Year'!$A:$A,0),1)</f>
        <v>1155634</v>
      </c>
      <c r="J123" s="386">
        <f>INDEX('CTR1 Data Previous Year'!$E:$E,MATCH($D123,'CTR1 Data Previous Year'!$A:$A,0),1)</f>
        <v>7368900</v>
      </c>
      <c r="K123" s="386">
        <f>INDEX('CTR1 Data Previous Year'!$F:$F,MATCH($D123,'CTR1 Data Previous Year'!$A:$A,0),1)</f>
        <v>0</v>
      </c>
      <c r="L123" s="465">
        <f>INDEX('CTR1 Data Previous Year'!$G:$G,MATCH($D123,'CTR1 Data Previous Year'!$A:$A,0),1)</f>
        <v>33201.01</v>
      </c>
      <c r="M123" s="455">
        <f>INDEX('CTR1 Data Previous Year'!$H:$H,MATCH($D123,'CTR1 Data Previous Year'!$A:$A,0),1)</f>
        <v>0.99</v>
      </c>
      <c r="N123" s="465">
        <f>INDEX('CTR1 Data Previous Year'!$I:$I,MATCH($D123,'CTR1 Data Previous Year'!$A:$A,0),1)</f>
        <v>0</v>
      </c>
      <c r="O123" s="160" t="s">
        <v>331</v>
      </c>
      <c r="P123" s="817" t="s">
        <v>332</v>
      </c>
      <c r="Q123" s="820" t="s">
        <v>333</v>
      </c>
      <c r="R123" s="817" t="s">
        <v>334</v>
      </c>
      <c r="S123" s="821" t="s">
        <v>335</v>
      </c>
      <c r="T123" s="817" t="s">
        <v>336</v>
      </c>
      <c r="U123" s="822" t="s">
        <v>337</v>
      </c>
      <c r="V123" s="817" t="s">
        <v>338</v>
      </c>
      <c r="W123" s="465">
        <f>INDEX('CTR1 Data Previous Year'!$J:$J,MATCH($D123,'CTR1 Data Previous Year'!$A:$A,0),1)</f>
        <v>32869</v>
      </c>
      <c r="X123" s="465">
        <f>INDEX('CTR1 Data Previous Year'!$K:$K,MATCH($D123,'CTR1 Data Previous Year'!$A:$A,0),1)</f>
        <v>259.35000000000002</v>
      </c>
      <c r="Y123" s="465">
        <f>INDEX('CTR1 Data Previous Year'!$L:$L,MATCH($D123,'CTR1 Data Previous Year'!$A:$A,0),1)</f>
        <v>224.19</v>
      </c>
      <c r="Z123" s="836" t="str">
        <f t="shared" si="14"/>
        <v>N</v>
      </c>
      <c r="AA123" s="837" t="str">
        <f t="shared" si="15"/>
        <v>N</v>
      </c>
      <c r="AB123" s="838">
        <f t="shared" si="16"/>
        <v>224.19</v>
      </c>
      <c r="AC123" s="868">
        <f t="shared" si="17"/>
        <v>0</v>
      </c>
      <c r="AD123" s="876">
        <f t="shared" si="18"/>
        <v>0</v>
      </c>
      <c r="AE123" s="838">
        <f t="shared" si="19"/>
        <v>230.91570000000002</v>
      </c>
      <c r="AF123" s="838">
        <f t="shared" si="20"/>
        <v>229.19</v>
      </c>
      <c r="AG123" s="839">
        <f t="shared" si="22"/>
        <v>0</v>
      </c>
      <c r="AH123" s="839">
        <f t="shared" si="23"/>
        <v>230.92</v>
      </c>
      <c r="AI123" s="840">
        <f t="shared" si="21"/>
        <v>0</v>
      </c>
      <c r="AJ123" s="841">
        <f t="shared" si="24"/>
        <v>0</v>
      </c>
      <c r="AK123" s="446"/>
      <c r="AL123" s="446"/>
      <c r="AM123" s="446"/>
      <c r="AN123" s="446"/>
    </row>
    <row r="124" spans="1:40" ht="15" customHeight="1" x14ac:dyDescent="0.25">
      <c r="A124" s="370">
        <v>119</v>
      </c>
      <c r="B124" s="371" t="s">
        <v>879</v>
      </c>
      <c r="C124" s="370" t="s">
        <v>880</v>
      </c>
      <c r="D124" s="370" t="s">
        <v>881</v>
      </c>
      <c r="E124" s="370" t="s">
        <v>343</v>
      </c>
      <c r="F124" s="370" t="s">
        <v>378</v>
      </c>
      <c r="G124" s="386">
        <f>INDEX('CTR1 Data Previous Year'!$B:$B,MATCH($D124,'CTR1 Data Previous Year'!$A:$A,0),1)</f>
        <v>154126964</v>
      </c>
      <c r="H124" s="386">
        <f>INDEX('CTR1 Data Previous Year'!$C:$C,MATCH($D124,'CTR1 Data Previous Year'!$A:$A,0),1)</f>
        <v>0</v>
      </c>
      <c r="I124" s="386">
        <f>INDEX('CTR1 Data Previous Year'!$D:$D,MATCH($D124,'CTR1 Data Previous Year'!$A:$A,0),1)</f>
        <v>0</v>
      </c>
      <c r="J124" s="386">
        <f>INDEX('CTR1 Data Previous Year'!$E:$E,MATCH($D124,'CTR1 Data Previous Year'!$A:$A,0),1)</f>
        <v>154126964</v>
      </c>
      <c r="K124" s="386">
        <f>INDEX('CTR1 Data Previous Year'!$F:$F,MATCH($D124,'CTR1 Data Previous Year'!$A:$A,0),1)</f>
        <v>800812</v>
      </c>
      <c r="L124" s="465">
        <f>INDEX('CTR1 Data Previous Year'!$G:$G,MATCH($D124,'CTR1 Data Previous Year'!$A:$A,0),1)</f>
        <v>105719.59596000001</v>
      </c>
      <c r="M124" s="455">
        <f>INDEX('CTR1 Data Previous Year'!$H:$H,MATCH($D124,'CTR1 Data Previous Year'!$A:$A,0),1)</f>
        <v>0.99</v>
      </c>
      <c r="N124" s="465">
        <f>INDEX('CTR1 Data Previous Year'!$I:$I,MATCH($D124,'CTR1 Data Previous Year'!$A:$A,0),1)</f>
        <v>759.6</v>
      </c>
      <c r="O124" s="160" t="s">
        <v>379</v>
      </c>
      <c r="P124" s="862" t="s">
        <v>380</v>
      </c>
      <c r="Q124" s="820"/>
      <c r="R124" s="817"/>
      <c r="S124" s="821" t="s">
        <v>129</v>
      </c>
      <c r="T124" s="817"/>
      <c r="U124" s="160"/>
      <c r="V124" s="817"/>
      <c r="W124" s="465">
        <f>INDEX('CTR1 Data Previous Year'!$J:$J,MATCH($D124,'CTR1 Data Previous Year'!$A:$A,0),1)</f>
        <v>105422</v>
      </c>
      <c r="X124" s="465">
        <f>INDEX('CTR1 Data Previous Year'!$K:$K,MATCH($D124,'CTR1 Data Previous Year'!$A:$A,0),1)</f>
        <v>1462</v>
      </c>
      <c r="Y124" s="465">
        <f>INDEX('CTR1 Data Previous Year'!$L:$L,MATCH($D124,'CTR1 Data Previous Year'!$A:$A,0),1)</f>
        <v>1462</v>
      </c>
      <c r="Z124" s="836" t="str">
        <f t="shared" si="14"/>
        <v>N</v>
      </c>
      <c r="AA124" s="837" t="str">
        <f t="shared" si="15"/>
        <v>N</v>
      </c>
      <c r="AB124" s="838">
        <f t="shared" si="16"/>
        <v>1462</v>
      </c>
      <c r="AC124" s="868">
        <f t="shared" si="17"/>
        <v>0</v>
      </c>
      <c r="AD124" s="876">
        <f t="shared" si="18"/>
        <v>0</v>
      </c>
      <c r="AE124" s="838">
        <f t="shared" si="19"/>
        <v>1535.1000000000001</v>
      </c>
      <c r="AF124" s="838">
        <f t="shared" si="20"/>
        <v>1462</v>
      </c>
      <c r="AG124" s="839">
        <f t="shared" si="22"/>
        <v>0</v>
      </c>
      <c r="AH124" s="839">
        <f t="shared" si="23"/>
        <v>1535.1</v>
      </c>
      <c r="AI124" s="840">
        <f t="shared" si="21"/>
        <v>29.24</v>
      </c>
      <c r="AJ124" s="841">
        <f t="shared" si="24"/>
        <v>0.02</v>
      </c>
      <c r="AK124" s="446"/>
      <c r="AL124" s="446"/>
      <c r="AM124" s="446"/>
      <c r="AN124" s="446"/>
    </row>
    <row r="125" spans="1:40" ht="15" customHeight="1" x14ac:dyDescent="0.25">
      <c r="A125" s="370">
        <v>120</v>
      </c>
      <c r="B125" s="371" t="s">
        <v>882</v>
      </c>
      <c r="C125" s="370" t="s">
        <v>883</v>
      </c>
      <c r="D125" s="370" t="s">
        <v>884</v>
      </c>
      <c r="E125" s="370" t="s">
        <v>321</v>
      </c>
      <c r="F125" s="370" t="s">
        <v>330</v>
      </c>
      <c r="G125" s="386">
        <f>INDEX('CTR1 Data Previous Year'!$B:$B,MATCH($D125,'CTR1 Data Previous Year'!$A:$A,0),1)</f>
        <v>9461809</v>
      </c>
      <c r="H125" s="386">
        <f>INDEX('CTR1 Data Previous Year'!$C:$C,MATCH($D125,'CTR1 Data Previous Year'!$A:$A,0),1)</f>
        <v>0</v>
      </c>
      <c r="I125" s="386">
        <f>INDEX('CTR1 Data Previous Year'!$D:$D,MATCH($D125,'CTR1 Data Previous Year'!$A:$A,0),1)</f>
        <v>3046022</v>
      </c>
      <c r="J125" s="386">
        <f>INDEX('CTR1 Data Previous Year'!$E:$E,MATCH($D125,'CTR1 Data Previous Year'!$A:$A,0),1)</f>
        <v>6415787</v>
      </c>
      <c r="K125" s="386">
        <f>INDEX('CTR1 Data Previous Year'!$F:$F,MATCH($D125,'CTR1 Data Previous Year'!$A:$A,0),1)</f>
        <v>0</v>
      </c>
      <c r="L125" s="465">
        <f>INDEX('CTR1 Data Previous Year'!$G:$G,MATCH($D125,'CTR1 Data Previous Year'!$A:$A,0),1)</f>
        <v>40619.839999999997</v>
      </c>
      <c r="M125" s="455">
        <f>INDEX('CTR1 Data Previous Year'!$H:$H,MATCH($D125,'CTR1 Data Previous Year'!$A:$A,0),1)</f>
        <v>0.98799999999999999</v>
      </c>
      <c r="N125" s="465">
        <f>INDEX('CTR1 Data Previous Year'!$I:$I,MATCH($D125,'CTR1 Data Previous Year'!$A:$A,0),1)</f>
        <v>0</v>
      </c>
      <c r="O125" s="160" t="s">
        <v>454</v>
      </c>
      <c r="P125" s="817" t="s">
        <v>455</v>
      </c>
      <c r="Q125" s="820" t="s">
        <v>456</v>
      </c>
      <c r="R125" s="817" t="s">
        <v>457</v>
      </c>
      <c r="S125" s="821" t="s">
        <v>458</v>
      </c>
      <c r="T125" s="817" t="s">
        <v>459</v>
      </c>
      <c r="U125" s="160"/>
      <c r="V125" s="817"/>
      <c r="W125" s="465">
        <f>INDEX('CTR1 Data Previous Year'!$J:$J,MATCH($D125,'CTR1 Data Previous Year'!$A:$A,0),1)</f>
        <v>40132.400000000001</v>
      </c>
      <c r="X125" s="465">
        <f>INDEX('CTR1 Data Previous Year'!$K:$K,MATCH($D125,'CTR1 Data Previous Year'!$A:$A,0),1)</f>
        <v>235.76</v>
      </c>
      <c r="Y125" s="465">
        <f>INDEX('CTR1 Data Previous Year'!$L:$L,MATCH($D125,'CTR1 Data Previous Year'!$A:$A,0),1)</f>
        <v>159.87</v>
      </c>
      <c r="Z125" s="836" t="str">
        <f t="shared" si="14"/>
        <v>N</v>
      </c>
      <c r="AA125" s="837" t="str">
        <f t="shared" si="15"/>
        <v>N</v>
      </c>
      <c r="AB125" s="838">
        <f t="shared" si="16"/>
        <v>159.87</v>
      </c>
      <c r="AC125" s="868">
        <f t="shared" si="17"/>
        <v>0</v>
      </c>
      <c r="AD125" s="876">
        <f t="shared" si="18"/>
        <v>0</v>
      </c>
      <c r="AE125" s="838">
        <f t="shared" si="19"/>
        <v>164.6661</v>
      </c>
      <c r="AF125" s="838">
        <f t="shared" si="20"/>
        <v>164.87</v>
      </c>
      <c r="AG125" s="839">
        <f t="shared" si="22"/>
        <v>0</v>
      </c>
      <c r="AH125" s="839">
        <f t="shared" si="23"/>
        <v>164.87</v>
      </c>
      <c r="AI125" s="840">
        <f t="shared" si="21"/>
        <v>0</v>
      </c>
      <c r="AJ125" s="841">
        <f t="shared" si="24"/>
        <v>0</v>
      </c>
      <c r="AK125" s="446"/>
      <c r="AL125" s="446"/>
      <c r="AM125" s="446"/>
      <c r="AN125" s="446"/>
    </row>
    <row r="126" spans="1:40" ht="15" customHeight="1" x14ac:dyDescent="0.25">
      <c r="A126" s="370">
        <v>121</v>
      </c>
      <c r="B126" s="371" t="s">
        <v>885</v>
      </c>
      <c r="C126" s="370" t="s">
        <v>886</v>
      </c>
      <c r="D126" s="370" t="s">
        <v>887</v>
      </c>
      <c r="E126" s="370" t="s">
        <v>321</v>
      </c>
      <c r="F126" s="370" t="s">
        <v>322</v>
      </c>
      <c r="G126" s="386">
        <f>INDEX('CTR1 Data Previous Year'!$B:$B,MATCH($D126,'CTR1 Data Previous Year'!$A:$A,0),1)</f>
        <v>16614764</v>
      </c>
      <c r="H126" s="386">
        <f>INDEX('CTR1 Data Previous Year'!$C:$C,MATCH($D126,'CTR1 Data Previous Year'!$A:$A,0),1)</f>
        <v>499800</v>
      </c>
      <c r="I126" s="386">
        <f>INDEX('CTR1 Data Previous Year'!$D:$D,MATCH($D126,'CTR1 Data Previous Year'!$A:$A,0),1)</f>
        <v>4675408</v>
      </c>
      <c r="J126" s="386">
        <f>INDEX('CTR1 Data Previous Year'!$E:$E,MATCH($D126,'CTR1 Data Previous Year'!$A:$A,0),1)</f>
        <v>11939356</v>
      </c>
      <c r="K126" s="386">
        <f>INDEX('CTR1 Data Previous Year'!$F:$F,MATCH($D126,'CTR1 Data Previous Year'!$A:$A,0),1)</f>
        <v>0</v>
      </c>
      <c r="L126" s="465">
        <f>INDEX('CTR1 Data Previous Year'!$G:$G,MATCH($D126,'CTR1 Data Previous Year'!$A:$A,0),1)</f>
        <v>66049.7</v>
      </c>
      <c r="M126" s="455">
        <f>INDEX('CTR1 Data Previous Year'!$H:$H,MATCH($D126,'CTR1 Data Previous Year'!$A:$A,0),1)</f>
        <v>0.99</v>
      </c>
      <c r="N126" s="465">
        <f>INDEX('CTR1 Data Previous Year'!$I:$I,MATCH($D126,'CTR1 Data Previous Year'!$A:$A,0),1)</f>
        <v>0</v>
      </c>
      <c r="O126" s="160" t="s">
        <v>323</v>
      </c>
      <c r="P126" s="817" t="s">
        <v>324</v>
      </c>
      <c r="Q126" s="820" t="s">
        <v>325</v>
      </c>
      <c r="R126" s="817" t="s">
        <v>326</v>
      </c>
      <c r="S126" s="821" t="s">
        <v>129</v>
      </c>
      <c r="T126" s="817"/>
      <c r="U126" s="160"/>
      <c r="V126" s="817"/>
      <c r="W126" s="465">
        <f>INDEX('CTR1 Data Previous Year'!$J:$J,MATCH($D126,'CTR1 Data Previous Year'!$A:$A,0),1)</f>
        <v>65389.2</v>
      </c>
      <c r="X126" s="465">
        <f>INDEX('CTR1 Data Previous Year'!$K:$K,MATCH($D126,'CTR1 Data Previous Year'!$A:$A,0),1)</f>
        <v>254.09</v>
      </c>
      <c r="Y126" s="465">
        <f>INDEX('CTR1 Data Previous Year'!$L:$L,MATCH($D126,'CTR1 Data Previous Year'!$A:$A,0),1)</f>
        <v>182.59</v>
      </c>
      <c r="Z126" s="836" t="str">
        <f t="shared" si="14"/>
        <v>N</v>
      </c>
      <c r="AA126" s="837" t="str">
        <f t="shared" si="15"/>
        <v>N</v>
      </c>
      <c r="AB126" s="838">
        <f t="shared" si="16"/>
        <v>182.59</v>
      </c>
      <c r="AC126" s="868">
        <f t="shared" si="17"/>
        <v>0</v>
      </c>
      <c r="AD126" s="876">
        <f t="shared" si="18"/>
        <v>0</v>
      </c>
      <c r="AE126" s="838">
        <f t="shared" si="19"/>
        <v>188.0677</v>
      </c>
      <c r="AF126" s="838">
        <f t="shared" si="20"/>
        <v>187.59</v>
      </c>
      <c r="AG126" s="839">
        <f t="shared" si="22"/>
        <v>0</v>
      </c>
      <c r="AH126" s="839">
        <f t="shared" si="23"/>
        <v>188.07</v>
      </c>
      <c r="AI126" s="840">
        <f t="shared" si="21"/>
        <v>0</v>
      </c>
      <c r="AJ126" s="841">
        <f t="shared" si="24"/>
        <v>0</v>
      </c>
      <c r="AK126" s="446"/>
      <c r="AL126" s="446"/>
      <c r="AM126" s="446"/>
      <c r="AN126" s="446"/>
    </row>
    <row r="127" spans="1:40" ht="15" customHeight="1" x14ac:dyDescent="0.25">
      <c r="A127" s="370">
        <v>122</v>
      </c>
      <c r="B127" s="371" t="s">
        <v>888</v>
      </c>
      <c r="C127" s="370" t="s">
        <v>889</v>
      </c>
      <c r="D127" s="370" t="s">
        <v>890</v>
      </c>
      <c r="E127" s="370" t="s">
        <v>343</v>
      </c>
      <c r="F127" s="370" t="s">
        <v>378</v>
      </c>
      <c r="G127" s="386">
        <f>INDEX('CTR1 Data Previous Year'!$B:$B,MATCH($D127,'CTR1 Data Previous Year'!$A:$A,0),1)</f>
        <v>150135000</v>
      </c>
      <c r="H127" s="386">
        <f>INDEX('CTR1 Data Previous Year'!$C:$C,MATCH($D127,'CTR1 Data Previous Year'!$A:$A,0),1)</f>
        <v>0</v>
      </c>
      <c r="I127" s="386">
        <f>INDEX('CTR1 Data Previous Year'!$D:$D,MATCH($D127,'CTR1 Data Previous Year'!$A:$A,0),1)</f>
        <v>0</v>
      </c>
      <c r="J127" s="386">
        <f>INDEX('CTR1 Data Previous Year'!$E:$E,MATCH($D127,'CTR1 Data Previous Year'!$A:$A,0),1)</f>
        <v>150135000</v>
      </c>
      <c r="K127" s="386">
        <f>INDEX('CTR1 Data Previous Year'!$F:$F,MATCH($D127,'CTR1 Data Previous Year'!$A:$A,0),1)</f>
        <v>13398062</v>
      </c>
      <c r="L127" s="465">
        <f>INDEX('CTR1 Data Previous Year'!$G:$G,MATCH($D127,'CTR1 Data Previous Year'!$A:$A,0),1)</f>
        <v>95956.02</v>
      </c>
      <c r="M127" s="455">
        <f>INDEX('CTR1 Data Previous Year'!$H:$H,MATCH($D127,'CTR1 Data Previous Year'!$A:$A,0),1)</f>
        <v>0.98</v>
      </c>
      <c r="N127" s="465">
        <f>INDEX('CTR1 Data Previous Year'!$I:$I,MATCH($D127,'CTR1 Data Previous Year'!$A:$A,0),1)</f>
        <v>65.7</v>
      </c>
      <c r="O127" s="160" t="s">
        <v>379</v>
      </c>
      <c r="P127" s="862" t="s">
        <v>380</v>
      </c>
      <c r="Q127" s="820"/>
      <c r="R127" s="817"/>
      <c r="S127" s="821" t="s">
        <v>129</v>
      </c>
      <c r="T127" s="817"/>
      <c r="U127" s="160"/>
      <c r="V127" s="817"/>
      <c r="W127" s="465">
        <f>INDEX('CTR1 Data Previous Year'!$J:$J,MATCH($D127,'CTR1 Data Previous Year'!$A:$A,0),1)</f>
        <v>94102.6</v>
      </c>
      <c r="X127" s="465">
        <f>INDEX('CTR1 Data Previous Year'!$K:$K,MATCH($D127,'CTR1 Data Previous Year'!$A:$A,0),1)</f>
        <v>1595.44</v>
      </c>
      <c r="Y127" s="465">
        <f>INDEX('CTR1 Data Previous Year'!$L:$L,MATCH($D127,'CTR1 Data Previous Year'!$A:$A,0),1)</f>
        <v>1595.44</v>
      </c>
      <c r="Z127" s="836" t="str">
        <f t="shared" si="14"/>
        <v>N</v>
      </c>
      <c r="AA127" s="837" t="str">
        <f t="shared" si="15"/>
        <v>N</v>
      </c>
      <c r="AB127" s="838">
        <f t="shared" si="16"/>
        <v>1595.44</v>
      </c>
      <c r="AC127" s="868">
        <f t="shared" si="17"/>
        <v>0</v>
      </c>
      <c r="AD127" s="876">
        <f t="shared" si="18"/>
        <v>0</v>
      </c>
      <c r="AE127" s="838">
        <f t="shared" si="19"/>
        <v>1675.2120000000002</v>
      </c>
      <c r="AF127" s="838">
        <f t="shared" si="20"/>
        <v>1595.44</v>
      </c>
      <c r="AG127" s="839">
        <f t="shared" si="22"/>
        <v>0</v>
      </c>
      <c r="AH127" s="839">
        <f t="shared" si="23"/>
        <v>1675.21</v>
      </c>
      <c r="AI127" s="840">
        <f t="shared" si="21"/>
        <v>31.91</v>
      </c>
      <c r="AJ127" s="841">
        <f t="shared" si="24"/>
        <v>2.0000752143609284E-2</v>
      </c>
      <c r="AK127" s="446"/>
      <c r="AL127" s="446"/>
      <c r="AM127" s="446"/>
      <c r="AN127" s="446"/>
    </row>
    <row r="128" spans="1:40" ht="15" customHeight="1" x14ac:dyDescent="0.25">
      <c r="A128" s="370">
        <v>123</v>
      </c>
      <c r="B128" s="371" t="s">
        <v>891</v>
      </c>
      <c r="C128" s="370" t="s">
        <v>892</v>
      </c>
      <c r="D128" s="370" t="s">
        <v>893</v>
      </c>
      <c r="E128" s="370" t="s">
        <v>321</v>
      </c>
      <c r="F128" s="370" t="s">
        <v>368</v>
      </c>
      <c r="G128" s="386">
        <f>INDEX('CTR1 Data Previous Year'!$B:$B,MATCH($D128,'CTR1 Data Previous Year'!$A:$A,0),1)</f>
        <v>21083892.039999999</v>
      </c>
      <c r="H128" s="386">
        <f>INDEX('CTR1 Data Previous Year'!$C:$C,MATCH($D128,'CTR1 Data Previous Year'!$A:$A,0),1)</f>
        <v>0</v>
      </c>
      <c r="I128" s="386">
        <f>INDEX('CTR1 Data Previous Year'!$D:$D,MATCH($D128,'CTR1 Data Previous Year'!$A:$A,0),1)</f>
        <v>10031601</v>
      </c>
      <c r="J128" s="386">
        <f>INDEX('CTR1 Data Previous Year'!$E:$E,MATCH($D128,'CTR1 Data Previous Year'!$A:$A,0),1)</f>
        <v>11052291.039999999</v>
      </c>
      <c r="K128" s="386">
        <f>INDEX('CTR1 Data Previous Year'!$F:$F,MATCH($D128,'CTR1 Data Previous Year'!$A:$A,0),1)</f>
        <v>629096</v>
      </c>
      <c r="L128" s="465">
        <f>INDEX('CTR1 Data Previous Year'!$G:$G,MATCH($D128,'CTR1 Data Previous Year'!$A:$A,0),1)</f>
        <v>66761.267609999995</v>
      </c>
      <c r="M128" s="455">
        <f>INDEX('CTR1 Data Previous Year'!$H:$H,MATCH($D128,'CTR1 Data Previous Year'!$A:$A,0),1)</f>
        <v>0.99399999999999999</v>
      </c>
      <c r="N128" s="465">
        <f>INDEX('CTR1 Data Previous Year'!$I:$I,MATCH($D128,'CTR1 Data Previous Year'!$A:$A,0),1)</f>
        <v>277.3</v>
      </c>
      <c r="O128" s="160" t="s">
        <v>583</v>
      </c>
      <c r="P128" s="817" t="s">
        <v>584</v>
      </c>
      <c r="Q128" s="820" t="s">
        <v>585</v>
      </c>
      <c r="R128" s="817" t="s">
        <v>586</v>
      </c>
      <c r="S128" s="821" t="s">
        <v>587</v>
      </c>
      <c r="T128" s="817" t="s">
        <v>588</v>
      </c>
      <c r="U128" s="822" t="s">
        <v>589</v>
      </c>
      <c r="V128" s="817" t="s">
        <v>590</v>
      </c>
      <c r="W128" s="465">
        <f>INDEX('CTR1 Data Previous Year'!$J:$J,MATCH($D128,'CTR1 Data Previous Year'!$A:$A,0),1)</f>
        <v>66638</v>
      </c>
      <c r="X128" s="465">
        <f>INDEX('CTR1 Data Previous Year'!$K:$K,MATCH($D128,'CTR1 Data Previous Year'!$A:$A,0),1)</f>
        <v>316.39</v>
      </c>
      <c r="Y128" s="465">
        <f>INDEX('CTR1 Data Previous Year'!$L:$L,MATCH($D128,'CTR1 Data Previous Year'!$A:$A,0),1)</f>
        <v>165.86</v>
      </c>
      <c r="Z128" s="836" t="str">
        <f t="shared" si="14"/>
        <v>N</v>
      </c>
      <c r="AA128" s="837" t="str">
        <f t="shared" si="15"/>
        <v>N</v>
      </c>
      <c r="AB128" s="838">
        <f t="shared" si="16"/>
        <v>165.86</v>
      </c>
      <c r="AC128" s="868">
        <f t="shared" si="17"/>
        <v>0</v>
      </c>
      <c r="AD128" s="876">
        <f t="shared" si="18"/>
        <v>0</v>
      </c>
      <c r="AE128" s="838">
        <f t="shared" si="19"/>
        <v>170.83580000000001</v>
      </c>
      <c r="AF128" s="838">
        <f t="shared" si="20"/>
        <v>170.86</v>
      </c>
      <c r="AG128" s="839">
        <f t="shared" si="22"/>
        <v>0</v>
      </c>
      <c r="AH128" s="839">
        <f t="shared" si="23"/>
        <v>170.86</v>
      </c>
      <c r="AI128" s="840">
        <f t="shared" si="21"/>
        <v>0</v>
      </c>
      <c r="AJ128" s="841">
        <f t="shared" si="24"/>
        <v>0</v>
      </c>
      <c r="AK128" s="446"/>
      <c r="AL128" s="446"/>
      <c r="AM128" s="446"/>
      <c r="AN128" s="446"/>
    </row>
    <row r="129" spans="1:40" ht="15" customHeight="1" x14ac:dyDescent="0.25">
      <c r="A129" s="370">
        <v>124</v>
      </c>
      <c r="B129" s="371" t="s">
        <v>894</v>
      </c>
      <c r="C129" s="370" t="s">
        <v>895</v>
      </c>
      <c r="D129" s="370" t="s">
        <v>896</v>
      </c>
      <c r="E129" s="370" t="s">
        <v>321</v>
      </c>
      <c r="F129" s="370" t="s">
        <v>463</v>
      </c>
      <c r="G129" s="386">
        <f>INDEX('CTR1 Data Previous Year'!$B:$B,MATCH($D129,'CTR1 Data Previous Year'!$A:$A,0),1)</f>
        <v>6141369</v>
      </c>
      <c r="H129" s="386">
        <f>INDEX('CTR1 Data Previous Year'!$C:$C,MATCH($D129,'CTR1 Data Previous Year'!$A:$A,0),1)</f>
        <v>0</v>
      </c>
      <c r="I129" s="386">
        <f>INDEX('CTR1 Data Previous Year'!$D:$D,MATCH($D129,'CTR1 Data Previous Year'!$A:$A,0),1)</f>
        <v>14186</v>
      </c>
      <c r="J129" s="386">
        <f>INDEX('CTR1 Data Previous Year'!$E:$E,MATCH($D129,'CTR1 Data Previous Year'!$A:$A,0),1)</f>
        <v>6127183</v>
      </c>
      <c r="K129" s="386">
        <f>INDEX('CTR1 Data Previous Year'!$F:$F,MATCH($D129,'CTR1 Data Previous Year'!$A:$A,0),1)</f>
        <v>0</v>
      </c>
      <c r="L129" s="465">
        <f>INDEX('CTR1 Data Previous Year'!$G:$G,MATCH($D129,'CTR1 Data Previous Year'!$A:$A,0),1)</f>
        <v>22731.279999999999</v>
      </c>
      <c r="M129" s="455">
        <f>INDEX('CTR1 Data Previous Year'!$H:$H,MATCH($D129,'CTR1 Data Previous Year'!$A:$A,0),1)</f>
        <v>0.97499999999999998</v>
      </c>
      <c r="N129" s="465">
        <f>INDEX('CTR1 Data Previous Year'!$I:$I,MATCH($D129,'CTR1 Data Previous Year'!$A:$A,0),1)</f>
        <v>0</v>
      </c>
      <c r="O129" s="160" t="s">
        <v>572</v>
      </c>
      <c r="P129" s="817" t="s">
        <v>573</v>
      </c>
      <c r="Q129" s="820" t="s">
        <v>464</v>
      </c>
      <c r="R129" s="817" t="s">
        <v>465</v>
      </c>
      <c r="S129" s="821" t="s">
        <v>466</v>
      </c>
      <c r="T129" s="817" t="s">
        <v>467</v>
      </c>
      <c r="U129" s="160"/>
      <c r="V129" s="817"/>
      <c r="W129" s="465">
        <f>INDEX('CTR1 Data Previous Year'!$J:$J,MATCH($D129,'CTR1 Data Previous Year'!$A:$A,0),1)</f>
        <v>22163</v>
      </c>
      <c r="X129" s="465">
        <f>INDEX('CTR1 Data Previous Year'!$K:$K,MATCH($D129,'CTR1 Data Previous Year'!$A:$A,0),1)</f>
        <v>277.10000000000002</v>
      </c>
      <c r="Y129" s="465">
        <f>INDEX('CTR1 Data Previous Year'!$L:$L,MATCH($D129,'CTR1 Data Previous Year'!$A:$A,0),1)</f>
        <v>276.45999999999998</v>
      </c>
      <c r="Z129" s="836" t="str">
        <f t="shared" si="14"/>
        <v>N</v>
      </c>
      <c r="AA129" s="837" t="str">
        <f t="shared" si="15"/>
        <v>N</v>
      </c>
      <c r="AB129" s="838">
        <f t="shared" si="16"/>
        <v>276.45999999999998</v>
      </c>
      <c r="AC129" s="868">
        <f t="shared" si="17"/>
        <v>0</v>
      </c>
      <c r="AD129" s="876">
        <f t="shared" si="18"/>
        <v>0</v>
      </c>
      <c r="AE129" s="838">
        <f t="shared" si="19"/>
        <v>284.75380000000001</v>
      </c>
      <c r="AF129" s="838">
        <f t="shared" si="20"/>
        <v>281.45999999999998</v>
      </c>
      <c r="AG129" s="839">
        <f t="shared" si="22"/>
        <v>0</v>
      </c>
      <c r="AH129" s="839">
        <f t="shared" si="23"/>
        <v>284.75</v>
      </c>
      <c r="AI129" s="840">
        <f t="shared" si="21"/>
        <v>0</v>
      </c>
      <c r="AJ129" s="841">
        <f t="shared" si="24"/>
        <v>0</v>
      </c>
      <c r="AK129" s="446"/>
      <c r="AL129" s="446"/>
      <c r="AM129" s="446"/>
      <c r="AN129" s="446"/>
    </row>
    <row r="130" spans="1:40" ht="15" customHeight="1" x14ac:dyDescent="0.25">
      <c r="A130" s="370">
        <v>125</v>
      </c>
      <c r="B130" s="371" t="s">
        <v>897</v>
      </c>
      <c r="C130" s="370" t="s">
        <v>898</v>
      </c>
      <c r="D130" s="370" t="s">
        <v>899</v>
      </c>
      <c r="E130" s="370" t="s">
        <v>321</v>
      </c>
      <c r="F130" s="370" t="s">
        <v>368</v>
      </c>
      <c r="G130" s="386">
        <f>INDEX('CTR1 Data Previous Year'!$B:$B,MATCH($D130,'CTR1 Data Previous Year'!$A:$A,0),1)</f>
        <v>16882220</v>
      </c>
      <c r="H130" s="386">
        <f>INDEX('CTR1 Data Previous Year'!$C:$C,MATCH($D130,'CTR1 Data Previous Year'!$A:$A,0),1)</f>
        <v>0</v>
      </c>
      <c r="I130" s="386">
        <f>INDEX('CTR1 Data Previous Year'!$D:$D,MATCH($D130,'CTR1 Data Previous Year'!$A:$A,0),1)</f>
        <v>0</v>
      </c>
      <c r="J130" s="386">
        <f>INDEX('CTR1 Data Previous Year'!$E:$E,MATCH($D130,'CTR1 Data Previous Year'!$A:$A,0),1)</f>
        <v>16882220</v>
      </c>
      <c r="K130" s="386">
        <f>INDEX('CTR1 Data Previous Year'!$F:$F,MATCH($D130,'CTR1 Data Previous Year'!$A:$A,0),1)</f>
        <v>0</v>
      </c>
      <c r="L130" s="465">
        <f>INDEX('CTR1 Data Previous Year'!$G:$G,MATCH($D130,'CTR1 Data Previous Year'!$A:$A,0),1)</f>
        <v>40642.42</v>
      </c>
      <c r="M130" s="455">
        <f>INDEX('CTR1 Data Previous Year'!$H:$H,MATCH($D130,'CTR1 Data Previous Year'!$A:$A,0),1)</f>
        <v>0.99</v>
      </c>
      <c r="N130" s="465">
        <f>INDEX('CTR1 Data Previous Year'!$I:$I,MATCH($D130,'CTR1 Data Previous Year'!$A:$A,0),1)</f>
        <v>0</v>
      </c>
      <c r="O130" s="160" t="s">
        <v>369</v>
      </c>
      <c r="P130" s="817" t="s">
        <v>370</v>
      </c>
      <c r="Q130" s="820" t="s">
        <v>371</v>
      </c>
      <c r="R130" s="817" t="s">
        <v>372</v>
      </c>
      <c r="S130" s="821" t="s">
        <v>129</v>
      </c>
      <c r="T130" s="817"/>
      <c r="U130" s="160"/>
      <c r="V130" s="817"/>
      <c r="W130" s="465">
        <f>INDEX('CTR1 Data Previous Year'!$J:$J,MATCH($D130,'CTR1 Data Previous Year'!$A:$A,0),1)</f>
        <v>40236</v>
      </c>
      <c r="X130" s="465">
        <f>INDEX('CTR1 Data Previous Year'!$K:$K,MATCH($D130,'CTR1 Data Previous Year'!$A:$A,0),1)</f>
        <v>419.58</v>
      </c>
      <c r="Y130" s="465">
        <f>INDEX('CTR1 Data Previous Year'!$L:$L,MATCH($D130,'CTR1 Data Previous Year'!$A:$A,0),1)</f>
        <v>419.58</v>
      </c>
      <c r="Z130" s="836" t="str">
        <f t="shared" si="14"/>
        <v>N</v>
      </c>
      <c r="AA130" s="837" t="str">
        <f t="shared" si="15"/>
        <v>N</v>
      </c>
      <c r="AB130" s="838">
        <f t="shared" si="16"/>
        <v>419.58</v>
      </c>
      <c r="AC130" s="868">
        <f t="shared" si="17"/>
        <v>0</v>
      </c>
      <c r="AD130" s="876">
        <f t="shared" si="18"/>
        <v>0</v>
      </c>
      <c r="AE130" s="838">
        <f t="shared" si="19"/>
        <v>432.16739999999999</v>
      </c>
      <c r="AF130" s="838">
        <f t="shared" si="20"/>
        <v>424.58</v>
      </c>
      <c r="AG130" s="839">
        <f t="shared" si="22"/>
        <v>0</v>
      </c>
      <c r="AH130" s="839">
        <f t="shared" si="23"/>
        <v>432.17</v>
      </c>
      <c r="AI130" s="840">
        <f t="shared" si="21"/>
        <v>0</v>
      </c>
      <c r="AJ130" s="841">
        <f t="shared" si="24"/>
        <v>0</v>
      </c>
      <c r="AK130" s="446"/>
      <c r="AL130" s="446"/>
      <c r="AM130" s="446"/>
      <c r="AN130" s="446"/>
    </row>
    <row r="131" spans="1:40" ht="15" customHeight="1" x14ac:dyDescent="0.25">
      <c r="A131" s="370">
        <v>126</v>
      </c>
      <c r="B131" s="371" t="s">
        <v>900</v>
      </c>
      <c r="C131" s="370" t="s">
        <v>901</v>
      </c>
      <c r="D131" s="370" t="s">
        <v>902</v>
      </c>
      <c r="E131" s="370" t="s">
        <v>339</v>
      </c>
      <c r="F131" s="370" t="s">
        <v>322</v>
      </c>
      <c r="G131" s="386">
        <f>INDEX('CTR1 Data Previous Year'!$B:$B,MATCH($D131,'CTR1 Data Previous Year'!$A:$A,0),1)</f>
        <v>122898174</v>
      </c>
      <c r="H131" s="386">
        <f>INDEX('CTR1 Data Previous Year'!$C:$C,MATCH($D131,'CTR1 Data Previous Year'!$A:$A,0),1)</f>
        <v>0</v>
      </c>
      <c r="I131" s="386">
        <f>INDEX('CTR1 Data Previous Year'!$D:$D,MATCH($D131,'CTR1 Data Previous Year'!$A:$A,0),1)</f>
        <v>7290495</v>
      </c>
      <c r="J131" s="386">
        <f>INDEX('CTR1 Data Previous Year'!$E:$E,MATCH($D131,'CTR1 Data Previous Year'!$A:$A,0),1)</f>
        <v>115607679</v>
      </c>
      <c r="K131" s="386">
        <f>INDEX('CTR1 Data Previous Year'!$F:$F,MATCH($D131,'CTR1 Data Previous Year'!$A:$A,0),1)</f>
        <v>0</v>
      </c>
      <c r="L131" s="465">
        <f>INDEX('CTR1 Data Previous Year'!$G:$G,MATCH($D131,'CTR1 Data Previous Year'!$A:$A,0),1)</f>
        <v>58874.6</v>
      </c>
      <c r="M131" s="455">
        <f>INDEX('CTR1 Data Previous Year'!$H:$H,MATCH($D131,'CTR1 Data Previous Year'!$A:$A,0),1)</f>
        <v>0.98</v>
      </c>
      <c r="N131" s="465">
        <f>INDEX('CTR1 Data Previous Year'!$I:$I,MATCH($D131,'CTR1 Data Previous Year'!$A:$A,0),1)</f>
        <v>0</v>
      </c>
      <c r="O131" s="160" t="s">
        <v>129</v>
      </c>
      <c r="P131" s="817"/>
      <c r="Q131" s="820" t="s">
        <v>413</v>
      </c>
      <c r="R131" s="817" t="s">
        <v>414</v>
      </c>
      <c r="S131" s="821" t="s">
        <v>415</v>
      </c>
      <c r="T131" s="817" t="s">
        <v>416</v>
      </c>
      <c r="U131" s="160"/>
      <c r="V131" s="817"/>
      <c r="W131" s="465">
        <f>INDEX('CTR1 Data Previous Year'!$J:$J,MATCH($D131,'CTR1 Data Previous Year'!$A:$A,0),1)</f>
        <v>57697.11</v>
      </c>
      <c r="X131" s="465">
        <f>INDEX('CTR1 Data Previous Year'!$K:$K,MATCH($D131,'CTR1 Data Previous Year'!$A:$A,0),1)</f>
        <v>2130.06</v>
      </c>
      <c r="Y131" s="465">
        <f>INDEX('CTR1 Data Previous Year'!$L:$L,MATCH($D131,'CTR1 Data Previous Year'!$A:$A,0),1)</f>
        <v>2003.7</v>
      </c>
      <c r="Z131" s="836" t="str">
        <f t="shared" si="14"/>
        <v>N</v>
      </c>
      <c r="AA131" s="837" t="str">
        <f t="shared" si="15"/>
        <v>N</v>
      </c>
      <c r="AB131" s="838">
        <f t="shared" si="16"/>
        <v>2003.7</v>
      </c>
      <c r="AC131" s="868">
        <f t="shared" si="17"/>
        <v>0</v>
      </c>
      <c r="AD131" s="876">
        <f t="shared" si="18"/>
        <v>0</v>
      </c>
      <c r="AE131" s="838">
        <f t="shared" si="19"/>
        <v>2103.8850000000002</v>
      </c>
      <c r="AF131" s="838">
        <f t="shared" si="20"/>
        <v>2003.7</v>
      </c>
      <c r="AG131" s="839">
        <f t="shared" si="22"/>
        <v>0</v>
      </c>
      <c r="AH131" s="839">
        <f t="shared" si="23"/>
        <v>2103.89</v>
      </c>
      <c r="AI131" s="840">
        <f t="shared" si="21"/>
        <v>40.07</v>
      </c>
      <c r="AJ131" s="841">
        <f t="shared" si="24"/>
        <v>1.9998003693167638E-2</v>
      </c>
      <c r="AK131" s="446"/>
      <c r="AL131" s="446"/>
      <c r="AM131" s="446"/>
      <c r="AN131" s="446"/>
    </row>
    <row r="132" spans="1:40" ht="15" customHeight="1" x14ac:dyDescent="0.25">
      <c r="A132" s="370">
        <v>127</v>
      </c>
      <c r="B132" s="371" t="s">
        <v>903</v>
      </c>
      <c r="C132" s="370" t="s">
        <v>904</v>
      </c>
      <c r="D132" s="370" t="s">
        <v>905</v>
      </c>
      <c r="E132" s="370" t="s">
        <v>339</v>
      </c>
      <c r="F132" s="370" t="s">
        <v>425</v>
      </c>
      <c r="G132" s="386">
        <f>INDEX('CTR1 Data Previous Year'!$B:$B,MATCH($D132,'CTR1 Data Previous Year'!$A:$A,0),1)</f>
        <v>2381236</v>
      </c>
      <c r="H132" s="386">
        <f>INDEX('CTR1 Data Previous Year'!$C:$C,MATCH($D132,'CTR1 Data Previous Year'!$A:$A,0),1)</f>
        <v>0</v>
      </c>
      <c r="I132" s="386">
        <f>INDEX('CTR1 Data Previous Year'!$D:$D,MATCH($D132,'CTR1 Data Previous Year'!$A:$A,0),1)</f>
        <v>0</v>
      </c>
      <c r="J132" s="386">
        <f>INDEX('CTR1 Data Previous Year'!$E:$E,MATCH($D132,'CTR1 Data Previous Year'!$A:$A,0),1)</f>
        <v>2381236</v>
      </c>
      <c r="K132" s="386">
        <f>INDEX('CTR1 Data Previous Year'!$F:$F,MATCH($D132,'CTR1 Data Previous Year'!$A:$A,0),1)</f>
        <v>42688</v>
      </c>
      <c r="L132" s="465">
        <f>INDEX('CTR1 Data Previous Year'!$G:$G,MATCH($D132,'CTR1 Data Previous Year'!$A:$A,0),1)</f>
        <v>1454.7</v>
      </c>
      <c r="M132" s="455">
        <f>INDEX('CTR1 Data Previous Year'!$H:$H,MATCH($D132,'CTR1 Data Previous Year'!$A:$A,0),1)</f>
        <v>0.98499999999999999</v>
      </c>
      <c r="N132" s="465">
        <f>INDEX('CTR1 Data Previous Year'!$I:$I,MATCH($D132,'CTR1 Data Previous Year'!$A:$A,0),1)</f>
        <v>0.02</v>
      </c>
      <c r="O132" s="160" t="s">
        <v>129</v>
      </c>
      <c r="P132" s="817"/>
      <c r="Q132" s="820" t="s">
        <v>658</v>
      </c>
      <c r="R132" s="817" t="s">
        <v>659</v>
      </c>
      <c r="S132" s="821" t="s">
        <v>129</v>
      </c>
      <c r="T132" s="817"/>
      <c r="U132" s="160"/>
      <c r="V132" s="817"/>
      <c r="W132" s="465">
        <f>INDEX('CTR1 Data Previous Year'!$J:$J,MATCH($D132,'CTR1 Data Previous Year'!$A:$A,0),1)</f>
        <v>1432.9</v>
      </c>
      <c r="X132" s="465">
        <f>INDEX('CTR1 Data Previous Year'!$K:$K,MATCH($D132,'CTR1 Data Previous Year'!$A:$A,0),1)</f>
        <v>1661.83</v>
      </c>
      <c r="Y132" s="465">
        <f>INDEX('CTR1 Data Previous Year'!$L:$L,MATCH($D132,'CTR1 Data Previous Year'!$A:$A,0),1)</f>
        <v>1661.83</v>
      </c>
      <c r="Z132" s="836" t="str">
        <f t="shared" si="14"/>
        <v>N</v>
      </c>
      <c r="AA132" s="837" t="str">
        <f t="shared" si="15"/>
        <v>N</v>
      </c>
      <c r="AB132" s="838">
        <f t="shared" si="16"/>
        <v>1661.83</v>
      </c>
      <c r="AC132" s="868">
        <f t="shared" si="17"/>
        <v>0</v>
      </c>
      <c r="AD132" s="876">
        <f t="shared" si="18"/>
        <v>0</v>
      </c>
      <c r="AE132" s="838">
        <f t="shared" si="19"/>
        <v>1744.9214999999999</v>
      </c>
      <c r="AF132" s="838">
        <f t="shared" si="20"/>
        <v>1661.83</v>
      </c>
      <c r="AG132" s="839">
        <f t="shared" si="22"/>
        <v>0</v>
      </c>
      <c r="AH132" s="839">
        <f t="shared" si="23"/>
        <v>1744.92</v>
      </c>
      <c r="AI132" s="840">
        <f t="shared" si="21"/>
        <v>33.24</v>
      </c>
      <c r="AJ132" s="841">
        <f t="shared" si="24"/>
        <v>2.0002045937310076E-2</v>
      </c>
      <c r="AK132" s="446"/>
      <c r="AL132" s="446"/>
      <c r="AM132" s="446"/>
      <c r="AN132" s="446"/>
    </row>
    <row r="133" spans="1:40" ht="15" customHeight="1" x14ac:dyDescent="0.25">
      <c r="A133" s="370">
        <v>128</v>
      </c>
      <c r="B133" s="371" t="s">
        <v>906</v>
      </c>
      <c r="C133" s="370" t="s">
        <v>907</v>
      </c>
      <c r="D133" s="370" t="s">
        <v>908</v>
      </c>
      <c r="E133" s="370" t="s">
        <v>343</v>
      </c>
      <c r="F133" s="370" t="s">
        <v>378</v>
      </c>
      <c r="G133" s="386">
        <f>INDEX('CTR1 Data Previous Year'!$B:$B,MATCH($D133,'CTR1 Data Previous Year'!$A:$A,0),1)</f>
        <v>125803940</v>
      </c>
      <c r="H133" s="386">
        <f>INDEX('CTR1 Data Previous Year'!$C:$C,MATCH($D133,'CTR1 Data Previous Year'!$A:$A,0),1)</f>
        <v>22947.78</v>
      </c>
      <c r="I133" s="386">
        <f>INDEX('CTR1 Data Previous Year'!$D:$D,MATCH($D133,'CTR1 Data Previous Year'!$A:$A,0),1)</f>
        <v>0</v>
      </c>
      <c r="J133" s="386">
        <f>INDEX('CTR1 Data Previous Year'!$E:$E,MATCH($D133,'CTR1 Data Previous Year'!$A:$A,0),1)</f>
        <v>125803940</v>
      </c>
      <c r="K133" s="386">
        <f>INDEX('CTR1 Data Previous Year'!$F:$F,MATCH($D133,'CTR1 Data Previous Year'!$A:$A,0),1)</f>
        <v>10642000</v>
      </c>
      <c r="L133" s="465">
        <f>INDEX('CTR1 Data Previous Year'!$G:$G,MATCH($D133,'CTR1 Data Previous Year'!$A:$A,0),1)</f>
        <v>85229.07</v>
      </c>
      <c r="M133" s="455">
        <f>INDEX('CTR1 Data Previous Year'!$H:$H,MATCH($D133,'CTR1 Data Previous Year'!$A:$A,0),1)</f>
        <v>0.97</v>
      </c>
      <c r="N133" s="465">
        <f>INDEX('CTR1 Data Previous Year'!$I:$I,MATCH($D133,'CTR1 Data Previous Year'!$A:$A,0),1)</f>
        <v>0</v>
      </c>
      <c r="O133" s="160" t="s">
        <v>379</v>
      </c>
      <c r="P133" s="862" t="s">
        <v>380</v>
      </c>
      <c r="Q133" s="820"/>
      <c r="R133" s="817"/>
      <c r="S133" s="821" t="s">
        <v>129</v>
      </c>
      <c r="T133" s="817"/>
      <c r="U133" s="160"/>
      <c r="V133" s="817"/>
      <c r="W133" s="465">
        <f>INDEX('CTR1 Data Previous Year'!$J:$J,MATCH($D133,'CTR1 Data Previous Year'!$A:$A,0),1)</f>
        <v>82672.2</v>
      </c>
      <c r="X133" s="465">
        <f>INDEX('CTR1 Data Previous Year'!$K:$K,MATCH($D133,'CTR1 Data Previous Year'!$A:$A,0),1)</f>
        <v>1521.72</v>
      </c>
      <c r="Y133" s="465">
        <f>INDEX('CTR1 Data Previous Year'!$L:$L,MATCH($D133,'CTR1 Data Previous Year'!$A:$A,0),1)</f>
        <v>1521.72</v>
      </c>
      <c r="Z133" s="836" t="str">
        <f t="shared" si="14"/>
        <v>N</v>
      </c>
      <c r="AA133" s="837" t="str">
        <f t="shared" si="15"/>
        <v>N</v>
      </c>
      <c r="AB133" s="838">
        <f t="shared" si="16"/>
        <v>1521.72</v>
      </c>
      <c r="AC133" s="868">
        <f t="shared" si="17"/>
        <v>0</v>
      </c>
      <c r="AD133" s="876">
        <f t="shared" si="18"/>
        <v>0</v>
      </c>
      <c r="AE133" s="838">
        <f t="shared" si="19"/>
        <v>1597.806</v>
      </c>
      <c r="AF133" s="838">
        <f t="shared" si="20"/>
        <v>1521.72</v>
      </c>
      <c r="AG133" s="839">
        <f t="shared" si="22"/>
        <v>0</v>
      </c>
      <c r="AH133" s="839">
        <f t="shared" si="23"/>
        <v>1597.81</v>
      </c>
      <c r="AI133" s="840">
        <f t="shared" si="21"/>
        <v>30.43</v>
      </c>
      <c r="AJ133" s="841">
        <f t="shared" si="24"/>
        <v>1.9997108535078727E-2</v>
      </c>
      <c r="AK133" s="446"/>
      <c r="AL133" s="446"/>
      <c r="AM133" s="446"/>
      <c r="AN133" s="446"/>
    </row>
    <row r="134" spans="1:40" ht="15" customHeight="1" x14ac:dyDescent="0.25">
      <c r="A134" s="370">
        <v>129</v>
      </c>
      <c r="B134" s="371" t="s">
        <v>909</v>
      </c>
      <c r="C134" s="370" t="s">
        <v>910</v>
      </c>
      <c r="D134" s="370" t="s">
        <v>911</v>
      </c>
      <c r="E134" s="370" t="s">
        <v>343</v>
      </c>
      <c r="F134" s="370" t="s">
        <v>378</v>
      </c>
      <c r="G134" s="386">
        <f>INDEX('CTR1 Data Previous Year'!$B:$B,MATCH($D134,'CTR1 Data Previous Year'!$A:$A,0),1)</f>
        <v>108585825</v>
      </c>
      <c r="H134" s="386">
        <f>INDEX('CTR1 Data Previous Year'!$C:$C,MATCH($D134,'CTR1 Data Previous Year'!$A:$A,0),1)</f>
        <v>0</v>
      </c>
      <c r="I134" s="386">
        <f>INDEX('CTR1 Data Previous Year'!$D:$D,MATCH($D134,'CTR1 Data Previous Year'!$A:$A,0),1)</f>
        <v>0</v>
      </c>
      <c r="J134" s="386">
        <f>INDEX('CTR1 Data Previous Year'!$E:$E,MATCH($D134,'CTR1 Data Previous Year'!$A:$A,0),1)</f>
        <v>108585825</v>
      </c>
      <c r="K134" s="386">
        <f>INDEX('CTR1 Data Previous Year'!$F:$F,MATCH($D134,'CTR1 Data Previous Year'!$A:$A,0),1)</f>
        <v>5142679</v>
      </c>
      <c r="L134" s="465">
        <f>INDEX('CTR1 Data Previous Year'!$G:$G,MATCH($D134,'CTR1 Data Previous Year'!$A:$A,0),1)</f>
        <v>100824.42</v>
      </c>
      <c r="M134" s="455">
        <f>INDEX('CTR1 Data Previous Year'!$H:$H,MATCH($D134,'CTR1 Data Previous Year'!$A:$A,0),1)</f>
        <v>0.97750000000000004</v>
      </c>
      <c r="N134" s="465">
        <f>INDEX('CTR1 Data Previous Year'!$I:$I,MATCH($D134,'CTR1 Data Previous Year'!$A:$A,0),1)</f>
        <v>50.05</v>
      </c>
      <c r="O134" s="160" t="s">
        <v>379</v>
      </c>
      <c r="P134" s="862" t="s">
        <v>380</v>
      </c>
      <c r="Q134" s="820"/>
      <c r="R134" s="817"/>
      <c r="S134" s="821" t="s">
        <v>129</v>
      </c>
      <c r="T134" s="817"/>
      <c r="U134" s="160"/>
      <c r="V134" s="817"/>
      <c r="W134" s="465">
        <f>INDEX('CTR1 Data Previous Year'!$J:$J,MATCH($D134,'CTR1 Data Previous Year'!$A:$A,0),1)</f>
        <v>98605.92</v>
      </c>
      <c r="X134" s="465">
        <f>INDEX('CTR1 Data Previous Year'!$K:$K,MATCH($D134,'CTR1 Data Previous Year'!$A:$A,0),1)</f>
        <v>1101.21</v>
      </c>
      <c r="Y134" s="465">
        <f>INDEX('CTR1 Data Previous Year'!$L:$L,MATCH($D134,'CTR1 Data Previous Year'!$A:$A,0),1)</f>
        <v>1101.21</v>
      </c>
      <c r="Z134" s="836" t="str">
        <f t="shared" ref="Z134:Z197" si="25">IF(IFERROR(VLOOKUP($C134,$AL$13:$AL$33,1,0),"N")="N","N","Y")</f>
        <v>N</v>
      </c>
      <c r="AA134" s="837" t="str">
        <f t="shared" ref="AA134:AA197" si="26">IF(IFERROR(VLOOKUP($C134,$AL$36:$AL$56,1,0),"N")="N","N","Y")</f>
        <v>N</v>
      </c>
      <c r="AB134" s="838">
        <f t="shared" ref="AB134:AB197" si="27">IF($AA134="N",$Y134,VLOOKUP($C134,$AL$36:$AM$56,2,0))</f>
        <v>1101.21</v>
      </c>
      <c r="AC134" s="868">
        <f t="shared" ref="AC134:AC197" si="28">IF($Z134="Y",VLOOKUP($C134,$AL$13:$AN$33,2,0),0)</f>
        <v>0</v>
      </c>
      <c r="AD134" s="876">
        <f t="shared" ref="AD134:AD197" si="29">IF($Z134="Y",VLOOKUP($C134,$AL$13:$AN$33,3,0),0)</f>
        <v>0</v>
      </c>
      <c r="AE134" s="838">
        <f t="shared" ref="AE134:AE197" si="30">$AB134*(1+(VLOOKUP($E134,$AK$6:$AN$9,3,0)+VLOOKUP($E134,$AK$6:$AN$9,2,0)))</f>
        <v>1156.2705000000001</v>
      </c>
      <c r="AF134" s="838">
        <f t="shared" ref="AF134:AF197" si="31">$AB134+VLOOKUP($E134,$AK$6:$AN$9,4,0)</f>
        <v>1101.21</v>
      </c>
      <c r="AG134" s="839">
        <f t="shared" si="22"/>
        <v>0</v>
      </c>
      <c r="AH134" s="839">
        <f t="shared" si="23"/>
        <v>1156.27</v>
      </c>
      <c r="AI134" s="840">
        <f t="shared" ref="AI134:AI197" si="32">ROUND($AB134*VLOOKUP($E134,$AK$6:$AN$9,2,0),2)</f>
        <v>22.02</v>
      </c>
      <c r="AJ134" s="841">
        <f t="shared" si="24"/>
        <v>1.9996186013566893E-2</v>
      </c>
      <c r="AK134" s="446"/>
      <c r="AL134" s="446"/>
      <c r="AM134" s="446"/>
      <c r="AN134" s="446"/>
    </row>
    <row r="135" spans="1:40" ht="15" customHeight="1" x14ac:dyDescent="0.25">
      <c r="A135" s="370">
        <v>130</v>
      </c>
      <c r="B135" s="371" t="s">
        <v>912</v>
      </c>
      <c r="C135" s="370" t="s">
        <v>913</v>
      </c>
      <c r="D135" s="370" t="s">
        <v>914</v>
      </c>
      <c r="E135" s="370" t="s">
        <v>321</v>
      </c>
      <c r="F135" s="370" t="s">
        <v>368</v>
      </c>
      <c r="G135" s="386">
        <f>INDEX('CTR1 Data Previous Year'!$B:$B,MATCH($D135,'CTR1 Data Previous Year'!$A:$A,0),1)</f>
        <v>13213920</v>
      </c>
      <c r="H135" s="386">
        <f>INDEX('CTR1 Data Previous Year'!$C:$C,MATCH($D135,'CTR1 Data Previous Year'!$A:$A,0),1)</f>
        <v>921530</v>
      </c>
      <c r="I135" s="386">
        <f>INDEX('CTR1 Data Previous Year'!$D:$D,MATCH($D135,'CTR1 Data Previous Year'!$A:$A,0),1)</f>
        <v>3628520</v>
      </c>
      <c r="J135" s="386">
        <f>INDEX('CTR1 Data Previous Year'!$E:$E,MATCH($D135,'CTR1 Data Previous Year'!$A:$A,0),1)</f>
        <v>9585400</v>
      </c>
      <c r="K135" s="386">
        <f>INDEX('CTR1 Data Previous Year'!$F:$F,MATCH($D135,'CTR1 Data Previous Year'!$A:$A,0),1)</f>
        <v>3729780</v>
      </c>
      <c r="L135" s="465">
        <f>INDEX('CTR1 Data Previous Year'!$G:$G,MATCH($D135,'CTR1 Data Previous Year'!$A:$A,0),1)</f>
        <v>56289.599999999999</v>
      </c>
      <c r="M135" s="455">
        <f>INDEX('CTR1 Data Previous Year'!$H:$H,MATCH($D135,'CTR1 Data Previous Year'!$A:$A,0),1)</f>
        <v>1</v>
      </c>
      <c r="N135" s="465">
        <f>INDEX('CTR1 Data Previous Year'!$I:$I,MATCH($D135,'CTR1 Data Previous Year'!$A:$A,0),1)</f>
        <v>385.2</v>
      </c>
      <c r="O135" s="160" t="s">
        <v>520</v>
      </c>
      <c r="P135" s="817" t="s">
        <v>521</v>
      </c>
      <c r="Q135" s="820" t="s">
        <v>522</v>
      </c>
      <c r="R135" s="817" t="s">
        <v>523</v>
      </c>
      <c r="S135" s="821" t="s">
        <v>129</v>
      </c>
      <c r="T135" s="817"/>
      <c r="U135" s="160"/>
      <c r="V135" s="817"/>
      <c r="W135" s="465">
        <f>INDEX('CTR1 Data Previous Year'!$J:$J,MATCH($D135,'CTR1 Data Previous Year'!$A:$A,0),1)</f>
        <v>56674.8</v>
      </c>
      <c r="X135" s="465">
        <f>INDEX('CTR1 Data Previous Year'!$K:$K,MATCH($D135,'CTR1 Data Previous Year'!$A:$A,0),1)</f>
        <v>233.15</v>
      </c>
      <c r="Y135" s="465">
        <f>INDEX('CTR1 Data Previous Year'!$L:$L,MATCH($D135,'CTR1 Data Previous Year'!$A:$A,0),1)</f>
        <v>169.13</v>
      </c>
      <c r="Z135" s="836" t="str">
        <f t="shared" si="25"/>
        <v>N</v>
      </c>
      <c r="AA135" s="837" t="str">
        <f t="shared" si="26"/>
        <v>N</v>
      </c>
      <c r="AB135" s="838">
        <f t="shared" si="27"/>
        <v>169.13</v>
      </c>
      <c r="AC135" s="868">
        <f t="shared" si="28"/>
        <v>0</v>
      </c>
      <c r="AD135" s="876">
        <f t="shared" si="29"/>
        <v>0</v>
      </c>
      <c r="AE135" s="838">
        <f t="shared" si="30"/>
        <v>174.2039</v>
      </c>
      <c r="AF135" s="838">
        <f t="shared" si="31"/>
        <v>174.13</v>
      </c>
      <c r="AG135" s="839">
        <f t="shared" ref="AG135:AG198" si="33">IF(AND($Z135="Y",$AC135&gt;0),$AB135*(1+$AC135),IF(AND($Z135="Y",$AD135&gt;0),$AB135+$AD135,0))</f>
        <v>0</v>
      </c>
      <c r="AH135" s="839">
        <f t="shared" ref="AH135:AH198" si="34">ROUND(MAX($AE135:$AG135),2)</f>
        <v>174.2</v>
      </c>
      <c r="AI135" s="840">
        <f t="shared" si="32"/>
        <v>0</v>
      </c>
      <c r="AJ135" s="841">
        <f t="shared" ref="AJ135:AJ198" si="35">$AI135/$Y135</f>
        <v>0</v>
      </c>
      <c r="AK135" s="446"/>
      <c r="AL135" s="446"/>
      <c r="AM135" s="446"/>
      <c r="AN135" s="446"/>
    </row>
    <row r="136" spans="1:40" ht="15" customHeight="1" x14ac:dyDescent="0.25">
      <c r="A136" s="370">
        <v>131</v>
      </c>
      <c r="B136" s="371" t="s">
        <v>915</v>
      </c>
      <c r="C136" s="370" t="s">
        <v>916</v>
      </c>
      <c r="D136" s="370" t="s">
        <v>917</v>
      </c>
      <c r="E136" s="370" t="s">
        <v>339</v>
      </c>
      <c r="F136" s="370" t="s">
        <v>391</v>
      </c>
      <c r="G136" s="386">
        <f>INDEX('CTR1 Data Previous Year'!$B:$B,MATCH($D136,'CTR1 Data Previous Year'!$A:$A,0),1)</f>
        <v>118683559</v>
      </c>
      <c r="H136" s="386">
        <f>INDEX('CTR1 Data Previous Year'!$C:$C,MATCH($D136,'CTR1 Data Previous Year'!$A:$A,0),1)</f>
        <v>0</v>
      </c>
      <c r="I136" s="386">
        <f>INDEX('CTR1 Data Previous Year'!$D:$D,MATCH($D136,'CTR1 Data Previous Year'!$A:$A,0),1)</f>
        <v>0</v>
      </c>
      <c r="J136" s="386">
        <f>INDEX('CTR1 Data Previous Year'!$E:$E,MATCH($D136,'CTR1 Data Previous Year'!$A:$A,0),1)</f>
        <v>118683559</v>
      </c>
      <c r="K136" s="386">
        <f>INDEX('CTR1 Data Previous Year'!$F:$F,MATCH($D136,'CTR1 Data Previous Year'!$A:$A,0),1)</f>
        <v>523123</v>
      </c>
      <c r="L136" s="465">
        <f>INDEX('CTR1 Data Previous Year'!$G:$G,MATCH($D136,'CTR1 Data Previous Year'!$A:$A,0),1)</f>
        <v>68752.33</v>
      </c>
      <c r="M136" s="455">
        <f>INDEX('CTR1 Data Previous Year'!$H:$H,MATCH($D136,'CTR1 Data Previous Year'!$A:$A,0),1)</f>
        <v>0.96740000000000004</v>
      </c>
      <c r="N136" s="465">
        <f>INDEX('CTR1 Data Previous Year'!$I:$I,MATCH($D136,'CTR1 Data Previous Year'!$A:$A,0),1)</f>
        <v>0</v>
      </c>
      <c r="O136" s="160" t="s">
        <v>129</v>
      </c>
      <c r="P136" s="817"/>
      <c r="Q136" s="820" t="s">
        <v>743</v>
      </c>
      <c r="R136" s="817" t="s">
        <v>744</v>
      </c>
      <c r="S136" s="821" t="s">
        <v>745</v>
      </c>
      <c r="T136" s="817" t="s">
        <v>746</v>
      </c>
      <c r="U136" s="866" t="s">
        <v>747</v>
      </c>
      <c r="V136" s="867" t="s">
        <v>748</v>
      </c>
      <c r="W136" s="465">
        <f>INDEX('CTR1 Data Previous Year'!$J:$J,MATCH($D136,'CTR1 Data Previous Year'!$A:$A,0),1)</f>
        <v>66511</v>
      </c>
      <c r="X136" s="465">
        <f>INDEX('CTR1 Data Previous Year'!$K:$K,MATCH($D136,'CTR1 Data Previous Year'!$A:$A,0),1)</f>
        <v>1784.42</v>
      </c>
      <c r="Y136" s="465">
        <f>INDEX('CTR1 Data Previous Year'!$L:$L,MATCH($D136,'CTR1 Data Previous Year'!$A:$A,0),1)</f>
        <v>1784.42</v>
      </c>
      <c r="Z136" s="836" t="str">
        <f t="shared" si="25"/>
        <v>N</v>
      </c>
      <c r="AA136" s="837" t="str">
        <f t="shared" si="26"/>
        <v>N</v>
      </c>
      <c r="AB136" s="838">
        <f t="shared" si="27"/>
        <v>1784.42</v>
      </c>
      <c r="AC136" s="868">
        <f t="shared" si="28"/>
        <v>0</v>
      </c>
      <c r="AD136" s="876">
        <f t="shared" si="29"/>
        <v>0</v>
      </c>
      <c r="AE136" s="838">
        <f t="shared" si="30"/>
        <v>1873.6410000000001</v>
      </c>
      <c r="AF136" s="838">
        <f t="shared" si="31"/>
        <v>1784.42</v>
      </c>
      <c r="AG136" s="839">
        <f t="shared" si="33"/>
        <v>0</v>
      </c>
      <c r="AH136" s="839">
        <f t="shared" si="34"/>
        <v>1873.64</v>
      </c>
      <c r="AI136" s="840">
        <f t="shared" si="32"/>
        <v>35.69</v>
      </c>
      <c r="AJ136" s="841">
        <f t="shared" si="35"/>
        <v>2.0000896649891839E-2</v>
      </c>
      <c r="AK136" s="446"/>
      <c r="AL136" s="446"/>
      <c r="AM136" s="446"/>
      <c r="AN136" s="446"/>
    </row>
    <row r="137" spans="1:40" ht="15" customHeight="1" x14ac:dyDescent="0.25">
      <c r="A137" s="370">
        <v>132</v>
      </c>
      <c r="B137" s="371" t="s">
        <v>918</v>
      </c>
      <c r="C137" s="370" t="s">
        <v>919</v>
      </c>
      <c r="D137" s="370" t="s">
        <v>920</v>
      </c>
      <c r="E137" s="370" t="s">
        <v>343</v>
      </c>
      <c r="F137" s="370" t="s">
        <v>378</v>
      </c>
      <c r="G137" s="386">
        <f>INDEX('CTR1 Data Previous Year'!$B:$B,MATCH($D137,'CTR1 Data Previous Year'!$A:$A,0),1)</f>
        <v>134401976</v>
      </c>
      <c r="H137" s="386">
        <f>INDEX('CTR1 Data Previous Year'!$C:$C,MATCH($D137,'CTR1 Data Previous Year'!$A:$A,0),1)</f>
        <v>0</v>
      </c>
      <c r="I137" s="386">
        <f>INDEX('CTR1 Data Previous Year'!$D:$D,MATCH($D137,'CTR1 Data Previous Year'!$A:$A,0),1)</f>
        <v>0</v>
      </c>
      <c r="J137" s="386">
        <f>INDEX('CTR1 Data Previous Year'!$E:$E,MATCH($D137,'CTR1 Data Previous Year'!$A:$A,0),1)</f>
        <v>134401976</v>
      </c>
      <c r="K137" s="386">
        <f>INDEX('CTR1 Data Previous Year'!$F:$F,MATCH($D137,'CTR1 Data Previous Year'!$A:$A,0),1)</f>
        <v>541844</v>
      </c>
      <c r="L137" s="465">
        <f>INDEX('CTR1 Data Previous Year'!$G:$G,MATCH($D137,'CTR1 Data Previous Year'!$A:$A,0),1)</f>
        <v>67727.320000000007</v>
      </c>
      <c r="M137" s="455">
        <f>INDEX('CTR1 Data Previous Year'!$H:$H,MATCH($D137,'CTR1 Data Previous Year'!$A:$A,0),1)</f>
        <v>0.99</v>
      </c>
      <c r="N137" s="465">
        <f>INDEX('CTR1 Data Previous Year'!$I:$I,MATCH($D137,'CTR1 Data Previous Year'!$A:$A,0),1)</f>
        <v>186</v>
      </c>
      <c r="O137" s="160" t="s">
        <v>379</v>
      </c>
      <c r="P137" s="862" t="s">
        <v>380</v>
      </c>
      <c r="Q137" s="820"/>
      <c r="R137" s="817"/>
      <c r="S137" s="821" t="s">
        <v>129</v>
      </c>
      <c r="T137" s="817"/>
      <c r="U137" s="160"/>
      <c r="V137" s="817"/>
      <c r="W137" s="465">
        <f>INDEX('CTR1 Data Previous Year'!$J:$J,MATCH($D137,'CTR1 Data Previous Year'!$A:$A,0),1)</f>
        <v>67236.05</v>
      </c>
      <c r="X137" s="465">
        <f>INDEX('CTR1 Data Previous Year'!$K:$K,MATCH($D137,'CTR1 Data Previous Year'!$A:$A,0),1)</f>
        <v>1998.96</v>
      </c>
      <c r="Y137" s="465">
        <f>INDEX('CTR1 Data Previous Year'!$L:$L,MATCH($D137,'CTR1 Data Previous Year'!$A:$A,0),1)</f>
        <v>1998.96</v>
      </c>
      <c r="Z137" s="836" t="str">
        <f t="shared" si="25"/>
        <v>N</v>
      </c>
      <c r="AA137" s="837" t="str">
        <f t="shared" si="26"/>
        <v>N</v>
      </c>
      <c r="AB137" s="838">
        <f t="shared" si="27"/>
        <v>1998.96</v>
      </c>
      <c r="AC137" s="868">
        <f t="shared" si="28"/>
        <v>0</v>
      </c>
      <c r="AD137" s="876">
        <f t="shared" si="29"/>
        <v>0</v>
      </c>
      <c r="AE137" s="838">
        <f t="shared" si="30"/>
        <v>2098.9079999999999</v>
      </c>
      <c r="AF137" s="838">
        <f t="shared" si="31"/>
        <v>1998.96</v>
      </c>
      <c r="AG137" s="839">
        <f t="shared" si="33"/>
        <v>0</v>
      </c>
      <c r="AH137" s="839">
        <f t="shared" si="34"/>
        <v>2098.91</v>
      </c>
      <c r="AI137" s="840">
        <f t="shared" si="32"/>
        <v>39.979999999999997</v>
      </c>
      <c r="AJ137" s="841">
        <f t="shared" si="35"/>
        <v>2.0000400208108213E-2</v>
      </c>
      <c r="AK137" s="446"/>
      <c r="AL137" s="446"/>
      <c r="AM137" s="446"/>
      <c r="AN137" s="446"/>
    </row>
    <row r="138" spans="1:40" ht="15" customHeight="1" x14ac:dyDescent="0.25">
      <c r="A138" s="370">
        <v>133</v>
      </c>
      <c r="B138" s="371" t="s">
        <v>921</v>
      </c>
      <c r="C138" s="370" t="s">
        <v>922</v>
      </c>
      <c r="D138" s="370" t="s">
        <v>923</v>
      </c>
      <c r="E138" s="370" t="s">
        <v>353</v>
      </c>
      <c r="F138" s="370" t="s">
        <v>391</v>
      </c>
      <c r="G138" s="386">
        <f>INDEX('CTR1 Data Previous Year'!$B:$B,MATCH($D138,'CTR1 Data Previous Year'!$A:$A,0),1)</f>
        <v>254135792</v>
      </c>
      <c r="H138" s="386">
        <f>INDEX('CTR1 Data Previous Year'!$C:$C,MATCH($D138,'CTR1 Data Previous Year'!$A:$A,0),1)</f>
        <v>0</v>
      </c>
      <c r="I138" s="386">
        <f>INDEX('CTR1 Data Previous Year'!$D:$D,MATCH($D138,'CTR1 Data Previous Year'!$A:$A,0),1)</f>
        <v>1234792</v>
      </c>
      <c r="J138" s="386">
        <f>INDEX('CTR1 Data Previous Year'!$E:$E,MATCH($D138,'CTR1 Data Previous Year'!$A:$A,0),1)</f>
        <v>252901000</v>
      </c>
      <c r="K138" s="386">
        <f>INDEX('CTR1 Data Previous Year'!$F:$F,MATCH($D138,'CTR1 Data Previous Year'!$A:$A,0),1)</f>
        <v>17610135</v>
      </c>
      <c r="L138" s="465">
        <f>INDEX('CTR1 Data Previous Year'!$G:$G,MATCH($D138,'CTR1 Data Previous Year'!$A:$A,0),1)</f>
        <v>130702.44</v>
      </c>
      <c r="M138" s="455">
        <f>INDEX('CTR1 Data Previous Year'!$H:$H,MATCH($D138,'CTR1 Data Previous Year'!$A:$A,0),1)</f>
        <v>0.98499999999999999</v>
      </c>
      <c r="N138" s="465">
        <f>INDEX('CTR1 Data Previous Year'!$I:$I,MATCH($D138,'CTR1 Data Previous Year'!$A:$A,0),1)</f>
        <v>0</v>
      </c>
      <c r="O138" s="160" t="s">
        <v>129</v>
      </c>
      <c r="P138" s="817"/>
      <c r="Q138" s="820" t="s">
        <v>507</v>
      </c>
      <c r="R138" s="817" t="s">
        <v>508</v>
      </c>
      <c r="S138" s="821" t="s">
        <v>509</v>
      </c>
      <c r="T138" s="817" t="s">
        <v>510</v>
      </c>
      <c r="U138" s="822" t="s">
        <v>511</v>
      </c>
      <c r="V138" s="817" t="s">
        <v>508</v>
      </c>
      <c r="W138" s="465">
        <f>INDEX('CTR1 Data Previous Year'!$J:$J,MATCH($D138,'CTR1 Data Previous Year'!$A:$A,0),1)</f>
        <v>128741.9</v>
      </c>
      <c r="X138" s="465">
        <f>INDEX('CTR1 Data Previous Year'!$K:$K,MATCH($D138,'CTR1 Data Previous Year'!$A:$A,0),1)</f>
        <v>1973.99</v>
      </c>
      <c r="Y138" s="465">
        <f>INDEX('CTR1 Data Previous Year'!$L:$L,MATCH($D138,'CTR1 Data Previous Year'!$A:$A,0),1)</f>
        <v>1964.4</v>
      </c>
      <c r="Z138" s="836" t="str">
        <f t="shared" si="25"/>
        <v>N</v>
      </c>
      <c r="AA138" s="837" t="str">
        <f t="shared" si="26"/>
        <v>N</v>
      </c>
      <c r="AB138" s="838">
        <f t="shared" si="27"/>
        <v>1964.4</v>
      </c>
      <c r="AC138" s="868">
        <f t="shared" si="28"/>
        <v>0</v>
      </c>
      <c r="AD138" s="876">
        <f t="shared" si="29"/>
        <v>0</v>
      </c>
      <c r="AE138" s="838">
        <f t="shared" si="30"/>
        <v>2062.6200000000003</v>
      </c>
      <c r="AF138" s="838">
        <f t="shared" si="31"/>
        <v>1964.4</v>
      </c>
      <c r="AG138" s="839">
        <f t="shared" si="33"/>
        <v>0</v>
      </c>
      <c r="AH138" s="839">
        <f t="shared" si="34"/>
        <v>2062.62</v>
      </c>
      <c r="AI138" s="840">
        <f t="shared" si="32"/>
        <v>39.29</v>
      </c>
      <c r="AJ138" s="841">
        <f t="shared" si="35"/>
        <v>2.0001018122581957E-2</v>
      </c>
      <c r="AK138" s="446"/>
      <c r="AL138" s="446"/>
      <c r="AM138" s="446"/>
      <c r="AN138" s="446"/>
    </row>
    <row r="139" spans="1:40" ht="15" customHeight="1" x14ac:dyDescent="0.25">
      <c r="A139" s="370">
        <v>134</v>
      </c>
      <c r="B139" s="371" t="s">
        <v>924</v>
      </c>
      <c r="C139" s="370" t="s">
        <v>925</v>
      </c>
      <c r="D139" s="370" t="s">
        <v>926</v>
      </c>
      <c r="E139" s="370" t="s">
        <v>353</v>
      </c>
      <c r="F139" s="370" t="s">
        <v>463</v>
      </c>
      <c r="G139" s="386">
        <f>INDEX('CTR1 Data Previous Year'!$B:$B,MATCH($D139,'CTR1 Data Previous Year'!$A:$A,0),1)</f>
        <v>78168559</v>
      </c>
      <c r="H139" s="386">
        <f>INDEX('CTR1 Data Previous Year'!$C:$C,MATCH($D139,'CTR1 Data Previous Year'!$A:$A,0),1)</f>
        <v>0</v>
      </c>
      <c r="I139" s="386">
        <f>INDEX('CTR1 Data Previous Year'!$D:$D,MATCH($D139,'CTR1 Data Previous Year'!$A:$A,0),1)</f>
        <v>1567727</v>
      </c>
      <c r="J139" s="386">
        <f>INDEX('CTR1 Data Previous Year'!$E:$E,MATCH($D139,'CTR1 Data Previous Year'!$A:$A,0),1)</f>
        <v>76600832</v>
      </c>
      <c r="K139" s="386">
        <f>INDEX('CTR1 Data Previous Year'!$F:$F,MATCH($D139,'CTR1 Data Previous Year'!$A:$A,0),1)</f>
        <v>21347000</v>
      </c>
      <c r="L139" s="465">
        <f>INDEX('CTR1 Data Previous Year'!$G:$G,MATCH($D139,'CTR1 Data Previous Year'!$A:$A,0),1)</f>
        <v>40654.36</v>
      </c>
      <c r="M139" s="455">
        <f>INDEX('CTR1 Data Previous Year'!$H:$H,MATCH($D139,'CTR1 Data Previous Year'!$A:$A,0),1)</f>
        <v>0.97499999999999998</v>
      </c>
      <c r="N139" s="465">
        <f>INDEX('CTR1 Data Previous Year'!$I:$I,MATCH($D139,'CTR1 Data Previous Year'!$A:$A,0),1)</f>
        <v>0</v>
      </c>
      <c r="O139" s="160" t="s">
        <v>129</v>
      </c>
      <c r="P139" s="817"/>
      <c r="Q139" s="820" t="s">
        <v>927</v>
      </c>
      <c r="R139" s="817" t="s">
        <v>928</v>
      </c>
      <c r="S139" s="821" t="s">
        <v>929</v>
      </c>
      <c r="T139" s="817" t="s">
        <v>930</v>
      </c>
      <c r="U139" s="822" t="s">
        <v>834</v>
      </c>
      <c r="V139" s="817" t="s">
        <v>835</v>
      </c>
      <c r="W139" s="465">
        <f>INDEX('CTR1 Data Previous Year'!$J:$J,MATCH($D139,'CTR1 Data Previous Year'!$A:$A,0),1)</f>
        <v>39638</v>
      </c>
      <c r="X139" s="465">
        <f>INDEX('CTR1 Data Previous Year'!$K:$K,MATCH($D139,'CTR1 Data Previous Year'!$A:$A,0),1)</f>
        <v>1972.06</v>
      </c>
      <c r="Y139" s="465">
        <f>INDEX('CTR1 Data Previous Year'!$L:$L,MATCH($D139,'CTR1 Data Previous Year'!$A:$A,0),1)</f>
        <v>1932.51</v>
      </c>
      <c r="Z139" s="836" t="str">
        <f t="shared" si="25"/>
        <v>N</v>
      </c>
      <c r="AA139" s="837" t="str">
        <f t="shared" si="26"/>
        <v>N</v>
      </c>
      <c r="AB139" s="838">
        <f t="shared" si="27"/>
        <v>1932.51</v>
      </c>
      <c r="AC139" s="868">
        <f t="shared" si="28"/>
        <v>0</v>
      </c>
      <c r="AD139" s="876">
        <f t="shared" si="29"/>
        <v>0</v>
      </c>
      <c r="AE139" s="838">
        <f t="shared" si="30"/>
        <v>2029.1355000000001</v>
      </c>
      <c r="AF139" s="838">
        <f t="shared" si="31"/>
        <v>1932.51</v>
      </c>
      <c r="AG139" s="839">
        <f t="shared" si="33"/>
        <v>0</v>
      </c>
      <c r="AH139" s="839">
        <f t="shared" si="34"/>
        <v>2029.14</v>
      </c>
      <c r="AI139" s="840">
        <f t="shared" si="32"/>
        <v>38.65</v>
      </c>
      <c r="AJ139" s="841">
        <f t="shared" si="35"/>
        <v>1.9999896507650671E-2</v>
      </c>
      <c r="AK139" s="446"/>
      <c r="AL139" s="446"/>
      <c r="AM139" s="446"/>
      <c r="AN139" s="446"/>
    </row>
    <row r="140" spans="1:40" ht="15" customHeight="1" x14ac:dyDescent="0.25">
      <c r="A140" s="370">
        <v>135</v>
      </c>
      <c r="B140" s="371" t="s">
        <v>931</v>
      </c>
      <c r="C140" s="370" t="s">
        <v>932</v>
      </c>
      <c r="D140" s="370" t="s">
        <v>933</v>
      </c>
      <c r="E140" s="370" t="s">
        <v>343</v>
      </c>
      <c r="F140" s="370" t="s">
        <v>378</v>
      </c>
      <c r="G140" s="386">
        <f>INDEX('CTR1 Data Previous Year'!$B:$B,MATCH($D140,'CTR1 Data Previous Year'!$A:$A,0),1)</f>
        <v>173175159</v>
      </c>
      <c r="H140" s="386">
        <f>INDEX('CTR1 Data Previous Year'!$C:$C,MATCH($D140,'CTR1 Data Previous Year'!$A:$A,0),1)</f>
        <v>0</v>
      </c>
      <c r="I140" s="386">
        <f>INDEX('CTR1 Data Previous Year'!$D:$D,MATCH($D140,'CTR1 Data Previous Year'!$A:$A,0),1)</f>
        <v>0</v>
      </c>
      <c r="J140" s="386">
        <f>INDEX('CTR1 Data Previous Year'!$E:$E,MATCH($D140,'CTR1 Data Previous Year'!$A:$A,0),1)</f>
        <v>173175159</v>
      </c>
      <c r="K140" s="386">
        <f>INDEX('CTR1 Data Previous Year'!$F:$F,MATCH($D140,'CTR1 Data Previous Year'!$A:$A,0),1)</f>
        <v>3342793</v>
      </c>
      <c r="L140" s="465">
        <f>INDEX('CTR1 Data Previous Year'!$G:$G,MATCH($D140,'CTR1 Data Previous Year'!$A:$A,0),1)</f>
        <v>122615.35</v>
      </c>
      <c r="M140" s="455">
        <f>INDEX('CTR1 Data Previous Year'!$H:$H,MATCH($D140,'CTR1 Data Previous Year'!$A:$A,0),1)</f>
        <v>0.96499999999999997</v>
      </c>
      <c r="N140" s="465">
        <f>INDEX('CTR1 Data Previous Year'!$I:$I,MATCH($D140,'CTR1 Data Previous Year'!$A:$A,0),1)</f>
        <v>0</v>
      </c>
      <c r="O140" s="160" t="s">
        <v>379</v>
      </c>
      <c r="P140" s="862" t="s">
        <v>380</v>
      </c>
      <c r="Q140" s="820"/>
      <c r="R140" s="817"/>
      <c r="S140" s="821" t="s">
        <v>129</v>
      </c>
      <c r="T140" s="817"/>
      <c r="U140" s="160"/>
      <c r="V140" s="817"/>
      <c r="W140" s="465">
        <f>INDEX('CTR1 Data Previous Year'!$J:$J,MATCH($D140,'CTR1 Data Previous Year'!$A:$A,0),1)</f>
        <v>118323.81</v>
      </c>
      <c r="X140" s="465">
        <f>INDEX('CTR1 Data Previous Year'!$K:$K,MATCH($D140,'CTR1 Data Previous Year'!$A:$A,0),1)</f>
        <v>1463.57</v>
      </c>
      <c r="Y140" s="465">
        <f>INDEX('CTR1 Data Previous Year'!$L:$L,MATCH($D140,'CTR1 Data Previous Year'!$A:$A,0),1)</f>
        <v>1463.57</v>
      </c>
      <c r="Z140" s="836" t="str">
        <f t="shared" si="25"/>
        <v>N</v>
      </c>
      <c r="AA140" s="837" t="str">
        <f t="shared" si="26"/>
        <v>N</v>
      </c>
      <c r="AB140" s="838">
        <f t="shared" si="27"/>
        <v>1463.57</v>
      </c>
      <c r="AC140" s="868">
        <f t="shared" si="28"/>
        <v>0</v>
      </c>
      <c r="AD140" s="876">
        <f t="shared" si="29"/>
        <v>0</v>
      </c>
      <c r="AE140" s="838">
        <f t="shared" si="30"/>
        <v>1536.7484999999999</v>
      </c>
      <c r="AF140" s="838">
        <f t="shared" si="31"/>
        <v>1463.57</v>
      </c>
      <c r="AG140" s="839">
        <f t="shared" si="33"/>
        <v>0</v>
      </c>
      <c r="AH140" s="839">
        <f t="shared" si="34"/>
        <v>1536.75</v>
      </c>
      <c r="AI140" s="840">
        <f t="shared" si="32"/>
        <v>29.27</v>
      </c>
      <c r="AJ140" s="841">
        <f t="shared" si="35"/>
        <v>1.9999043434888664E-2</v>
      </c>
      <c r="AK140" s="446"/>
      <c r="AL140" s="446"/>
      <c r="AM140" s="446"/>
      <c r="AN140" s="446"/>
    </row>
    <row r="141" spans="1:40" ht="15" customHeight="1" x14ac:dyDescent="0.25">
      <c r="A141" s="370">
        <v>136</v>
      </c>
      <c r="B141" s="371" t="s">
        <v>934</v>
      </c>
      <c r="C141" s="370" t="s">
        <v>935</v>
      </c>
      <c r="D141" s="370" t="s">
        <v>936</v>
      </c>
      <c r="E141" s="370" t="s">
        <v>321</v>
      </c>
      <c r="F141" s="370" t="s">
        <v>463</v>
      </c>
      <c r="G141" s="386">
        <f>INDEX('CTR1 Data Previous Year'!$B:$B,MATCH($D141,'CTR1 Data Previous Year'!$A:$A,0),1)</f>
        <v>13310545.619999999</v>
      </c>
      <c r="H141" s="386">
        <f>INDEX('CTR1 Data Previous Year'!$C:$C,MATCH($D141,'CTR1 Data Previous Year'!$A:$A,0),1)</f>
        <v>0</v>
      </c>
      <c r="I141" s="386">
        <f>INDEX('CTR1 Data Previous Year'!$D:$D,MATCH($D141,'CTR1 Data Previous Year'!$A:$A,0),1)</f>
        <v>1760016</v>
      </c>
      <c r="J141" s="386">
        <f>INDEX('CTR1 Data Previous Year'!$E:$E,MATCH($D141,'CTR1 Data Previous Year'!$A:$A,0),1)</f>
        <v>11550529.619999999</v>
      </c>
      <c r="K141" s="386">
        <f>INDEX('CTR1 Data Previous Year'!$F:$F,MATCH($D141,'CTR1 Data Previous Year'!$A:$A,0),1)</f>
        <v>0</v>
      </c>
      <c r="L141" s="465">
        <f>INDEX('CTR1 Data Previous Year'!$G:$G,MATCH($D141,'CTR1 Data Previous Year'!$A:$A,0),1)</f>
        <v>44287.93</v>
      </c>
      <c r="M141" s="455">
        <f>INDEX('CTR1 Data Previous Year'!$H:$H,MATCH($D141,'CTR1 Data Previous Year'!$A:$A,0),1)</f>
        <v>0.98677000000000004</v>
      </c>
      <c r="N141" s="465">
        <f>INDEX('CTR1 Data Previous Year'!$I:$I,MATCH($D141,'CTR1 Data Previous Year'!$A:$A,0),1)</f>
        <v>0</v>
      </c>
      <c r="O141" s="160" t="s">
        <v>572</v>
      </c>
      <c r="P141" s="817" t="s">
        <v>573</v>
      </c>
      <c r="Q141" s="820" t="s">
        <v>464</v>
      </c>
      <c r="R141" s="817" t="s">
        <v>465</v>
      </c>
      <c r="S141" s="821" t="s">
        <v>466</v>
      </c>
      <c r="T141" s="817" t="s">
        <v>467</v>
      </c>
      <c r="U141" s="160"/>
      <c r="V141" s="817"/>
      <c r="W141" s="465">
        <f>INDEX('CTR1 Data Previous Year'!$J:$J,MATCH($D141,'CTR1 Data Previous Year'!$A:$A,0),1)</f>
        <v>43702</v>
      </c>
      <c r="X141" s="465">
        <f>INDEX('CTR1 Data Previous Year'!$K:$K,MATCH($D141,'CTR1 Data Previous Year'!$A:$A,0),1)</f>
        <v>304.58</v>
      </c>
      <c r="Y141" s="465">
        <f>INDEX('CTR1 Data Previous Year'!$L:$L,MATCH($D141,'CTR1 Data Previous Year'!$A:$A,0),1)</f>
        <v>264.3</v>
      </c>
      <c r="Z141" s="836" t="str">
        <f t="shared" si="25"/>
        <v>N</v>
      </c>
      <c r="AA141" s="837" t="str">
        <f t="shared" si="26"/>
        <v>N</v>
      </c>
      <c r="AB141" s="838">
        <f t="shared" si="27"/>
        <v>264.3</v>
      </c>
      <c r="AC141" s="868">
        <f t="shared" si="28"/>
        <v>0</v>
      </c>
      <c r="AD141" s="876">
        <f t="shared" si="29"/>
        <v>0</v>
      </c>
      <c r="AE141" s="838">
        <f t="shared" si="30"/>
        <v>272.22900000000004</v>
      </c>
      <c r="AF141" s="838">
        <f t="shared" si="31"/>
        <v>269.3</v>
      </c>
      <c r="AG141" s="839">
        <f t="shared" si="33"/>
        <v>0</v>
      </c>
      <c r="AH141" s="839">
        <f t="shared" si="34"/>
        <v>272.23</v>
      </c>
      <c r="AI141" s="840">
        <f t="shared" si="32"/>
        <v>0</v>
      </c>
      <c r="AJ141" s="841">
        <f t="shared" si="35"/>
        <v>0</v>
      </c>
      <c r="AK141" s="446"/>
      <c r="AL141" s="446"/>
      <c r="AM141" s="446"/>
      <c r="AN141" s="446"/>
    </row>
    <row r="142" spans="1:40" ht="15" customHeight="1" x14ac:dyDescent="0.25">
      <c r="A142" s="370">
        <v>137</v>
      </c>
      <c r="B142" s="371" t="s">
        <v>937</v>
      </c>
      <c r="C142" s="370" t="s">
        <v>938</v>
      </c>
      <c r="D142" s="370" t="s">
        <v>939</v>
      </c>
      <c r="E142" s="370" t="s">
        <v>353</v>
      </c>
      <c r="F142" s="370" t="s">
        <v>391</v>
      </c>
      <c r="G142" s="386">
        <f>INDEX('CTR1 Data Previous Year'!$B:$B,MATCH($D142,'CTR1 Data Previous Year'!$A:$A,0),1)</f>
        <v>445161164</v>
      </c>
      <c r="H142" s="386">
        <f>INDEX('CTR1 Data Previous Year'!$C:$C,MATCH($D142,'CTR1 Data Previous Year'!$A:$A,0),1)</f>
        <v>0</v>
      </c>
      <c r="I142" s="386">
        <f>INDEX('CTR1 Data Previous Year'!$D:$D,MATCH($D142,'CTR1 Data Previous Year'!$A:$A,0),1)</f>
        <v>2803313</v>
      </c>
      <c r="J142" s="386">
        <f>INDEX('CTR1 Data Previous Year'!$E:$E,MATCH($D142,'CTR1 Data Previous Year'!$A:$A,0),1)</f>
        <v>442357851</v>
      </c>
      <c r="K142" s="386">
        <f>INDEX('CTR1 Data Previous Year'!$F:$F,MATCH($D142,'CTR1 Data Previous Year'!$A:$A,0),1)</f>
        <v>38895123</v>
      </c>
      <c r="L142" s="465">
        <f>INDEX('CTR1 Data Previous Year'!$G:$G,MATCH($D142,'CTR1 Data Previous Year'!$A:$A,0),1)</f>
        <v>247688.2</v>
      </c>
      <c r="M142" s="455">
        <f>INDEX('CTR1 Data Previous Year'!$H:$H,MATCH($D142,'CTR1 Data Previous Year'!$A:$A,0),1)</f>
        <v>0.98499999999999999</v>
      </c>
      <c r="N142" s="465">
        <f>INDEX('CTR1 Data Previous Year'!$I:$I,MATCH($D142,'CTR1 Data Previous Year'!$A:$A,0),1)</f>
        <v>1.22</v>
      </c>
      <c r="O142" s="160" t="s">
        <v>129</v>
      </c>
      <c r="P142" s="817"/>
      <c r="Q142" s="820" t="s">
        <v>507</v>
      </c>
      <c r="R142" s="817" t="s">
        <v>508</v>
      </c>
      <c r="S142" s="821" t="s">
        <v>509</v>
      </c>
      <c r="T142" s="817" t="s">
        <v>510</v>
      </c>
      <c r="U142" s="822" t="s">
        <v>511</v>
      </c>
      <c r="V142" s="817" t="s">
        <v>508</v>
      </c>
      <c r="W142" s="465">
        <f>INDEX('CTR1 Data Previous Year'!$J:$J,MATCH($D142,'CTR1 Data Previous Year'!$A:$A,0),1)</f>
        <v>243974.1</v>
      </c>
      <c r="X142" s="465">
        <f>INDEX('CTR1 Data Previous Year'!$K:$K,MATCH($D142,'CTR1 Data Previous Year'!$A:$A,0),1)</f>
        <v>1824.62</v>
      </c>
      <c r="Y142" s="465">
        <f>INDEX('CTR1 Data Previous Year'!$L:$L,MATCH($D142,'CTR1 Data Previous Year'!$A:$A,0),1)</f>
        <v>1813.13</v>
      </c>
      <c r="Z142" s="836" t="str">
        <f t="shared" si="25"/>
        <v>N</v>
      </c>
      <c r="AA142" s="837" t="str">
        <f t="shared" si="26"/>
        <v>N</v>
      </c>
      <c r="AB142" s="838">
        <f t="shared" si="27"/>
        <v>1813.13</v>
      </c>
      <c r="AC142" s="868">
        <f t="shared" si="28"/>
        <v>0</v>
      </c>
      <c r="AD142" s="876">
        <f t="shared" si="29"/>
        <v>0</v>
      </c>
      <c r="AE142" s="838">
        <f t="shared" si="30"/>
        <v>1903.7865000000002</v>
      </c>
      <c r="AF142" s="838">
        <f t="shared" si="31"/>
        <v>1813.13</v>
      </c>
      <c r="AG142" s="839">
        <f t="shared" si="33"/>
        <v>0</v>
      </c>
      <c r="AH142" s="839">
        <f t="shared" si="34"/>
        <v>1903.79</v>
      </c>
      <c r="AI142" s="840">
        <f t="shared" si="32"/>
        <v>36.26</v>
      </c>
      <c r="AJ142" s="841">
        <f t="shared" si="35"/>
        <v>1.9998566015674551E-2</v>
      </c>
      <c r="AK142" s="446"/>
      <c r="AL142" s="446"/>
      <c r="AM142" s="446"/>
      <c r="AN142" s="446"/>
    </row>
    <row r="143" spans="1:40" ht="15" customHeight="1" x14ac:dyDescent="0.25">
      <c r="A143" s="370">
        <v>138</v>
      </c>
      <c r="B143" s="371" t="s">
        <v>940</v>
      </c>
      <c r="C143" s="370" t="s">
        <v>941</v>
      </c>
      <c r="D143" s="370" t="s">
        <v>942</v>
      </c>
      <c r="E143" s="370" t="s">
        <v>339</v>
      </c>
      <c r="F143" s="370" t="s">
        <v>330</v>
      </c>
      <c r="G143" s="386">
        <f>INDEX('CTR1 Data Previous Year'!$B:$B,MATCH($D143,'CTR1 Data Previous Year'!$A:$A,0),1)</f>
        <v>166976104</v>
      </c>
      <c r="H143" s="386">
        <f>INDEX('CTR1 Data Previous Year'!$C:$C,MATCH($D143,'CTR1 Data Previous Year'!$A:$A,0),1)</f>
        <v>0</v>
      </c>
      <c r="I143" s="386">
        <f>INDEX('CTR1 Data Previous Year'!$D:$D,MATCH($D143,'CTR1 Data Previous Year'!$A:$A,0),1)</f>
        <v>0</v>
      </c>
      <c r="J143" s="386">
        <f>INDEX('CTR1 Data Previous Year'!$E:$E,MATCH($D143,'CTR1 Data Previous Year'!$A:$A,0),1)</f>
        <v>166976104</v>
      </c>
      <c r="K143" s="386">
        <f>INDEX('CTR1 Data Previous Year'!$F:$F,MATCH($D143,'CTR1 Data Previous Year'!$A:$A,0),1)</f>
        <v>99463</v>
      </c>
      <c r="L143" s="465">
        <f>INDEX('CTR1 Data Previous Year'!$G:$G,MATCH($D143,'CTR1 Data Previous Year'!$A:$A,0),1)</f>
        <v>84528.9</v>
      </c>
      <c r="M143" s="455">
        <f>INDEX('CTR1 Data Previous Year'!$H:$H,MATCH($D143,'CTR1 Data Previous Year'!$A:$A,0),1)</f>
        <v>0.97750000000000004</v>
      </c>
      <c r="N143" s="465">
        <f>INDEX('CTR1 Data Previous Year'!$I:$I,MATCH($D143,'CTR1 Data Previous Year'!$A:$A,0),1)</f>
        <v>0</v>
      </c>
      <c r="O143" s="160" t="s">
        <v>129</v>
      </c>
      <c r="P143" s="817"/>
      <c r="Q143" s="820" t="s">
        <v>456</v>
      </c>
      <c r="R143" s="817" t="s">
        <v>457</v>
      </c>
      <c r="S143" s="821" t="s">
        <v>458</v>
      </c>
      <c r="T143" s="817" t="s">
        <v>459</v>
      </c>
      <c r="U143" s="160"/>
      <c r="V143" s="817"/>
      <c r="W143" s="465">
        <f>INDEX('CTR1 Data Previous Year'!$J:$J,MATCH($D143,'CTR1 Data Previous Year'!$A:$A,0),1)</f>
        <v>82627</v>
      </c>
      <c r="X143" s="465">
        <f>INDEX('CTR1 Data Previous Year'!$K:$K,MATCH($D143,'CTR1 Data Previous Year'!$A:$A,0),1)</f>
        <v>2020.84</v>
      </c>
      <c r="Y143" s="465">
        <f>INDEX('CTR1 Data Previous Year'!$L:$L,MATCH($D143,'CTR1 Data Previous Year'!$A:$A,0),1)</f>
        <v>2020.84</v>
      </c>
      <c r="Z143" s="836" t="str">
        <f t="shared" si="25"/>
        <v>N</v>
      </c>
      <c r="AA143" s="837" t="str">
        <f t="shared" si="26"/>
        <v>N</v>
      </c>
      <c r="AB143" s="838">
        <f t="shared" si="27"/>
        <v>2020.84</v>
      </c>
      <c r="AC143" s="868">
        <f t="shared" si="28"/>
        <v>0</v>
      </c>
      <c r="AD143" s="876">
        <f t="shared" si="29"/>
        <v>0</v>
      </c>
      <c r="AE143" s="838">
        <f t="shared" si="30"/>
        <v>2121.8820000000001</v>
      </c>
      <c r="AF143" s="838">
        <f t="shared" si="31"/>
        <v>2020.84</v>
      </c>
      <c r="AG143" s="839">
        <f t="shared" si="33"/>
        <v>0</v>
      </c>
      <c r="AH143" s="839">
        <f t="shared" si="34"/>
        <v>2121.88</v>
      </c>
      <c r="AI143" s="840">
        <f t="shared" si="32"/>
        <v>40.42</v>
      </c>
      <c r="AJ143" s="841">
        <f t="shared" si="35"/>
        <v>2.0001583499930725E-2</v>
      </c>
      <c r="AK143" s="446"/>
      <c r="AL143" s="446"/>
      <c r="AM143" s="446"/>
      <c r="AN143" s="446"/>
    </row>
    <row r="144" spans="1:40" ht="15" customHeight="1" x14ac:dyDescent="0.25">
      <c r="A144" s="370">
        <v>139</v>
      </c>
      <c r="B144" s="371" t="s">
        <v>943</v>
      </c>
      <c r="C144" s="370" t="s">
        <v>944</v>
      </c>
      <c r="D144" s="370" t="s">
        <v>945</v>
      </c>
      <c r="E144" s="370" t="s">
        <v>321</v>
      </c>
      <c r="F144" s="370" t="s">
        <v>322</v>
      </c>
      <c r="G144" s="386">
        <f>INDEX('CTR1 Data Previous Year'!$B:$B,MATCH($D144,'CTR1 Data Previous Year'!$A:$A,0),1)</f>
        <v>14839425</v>
      </c>
      <c r="H144" s="386">
        <f>INDEX('CTR1 Data Previous Year'!$C:$C,MATCH($D144,'CTR1 Data Previous Year'!$A:$A,0),1)</f>
        <v>732478</v>
      </c>
      <c r="I144" s="386">
        <f>INDEX('CTR1 Data Previous Year'!$D:$D,MATCH($D144,'CTR1 Data Previous Year'!$A:$A,0),1)</f>
        <v>5685413</v>
      </c>
      <c r="J144" s="386">
        <f>INDEX('CTR1 Data Previous Year'!$E:$E,MATCH($D144,'CTR1 Data Previous Year'!$A:$A,0),1)</f>
        <v>9154012</v>
      </c>
      <c r="K144" s="386">
        <f>INDEX('CTR1 Data Previous Year'!$F:$F,MATCH($D144,'CTR1 Data Previous Year'!$A:$A,0),1)</f>
        <v>0</v>
      </c>
      <c r="L144" s="465">
        <f>INDEX('CTR1 Data Previous Year'!$G:$G,MATCH($D144,'CTR1 Data Previous Year'!$A:$A,0),1)</f>
        <v>39749.910000000003</v>
      </c>
      <c r="M144" s="455">
        <f>INDEX('CTR1 Data Previous Year'!$H:$H,MATCH($D144,'CTR1 Data Previous Year'!$A:$A,0),1)</f>
        <v>0.98</v>
      </c>
      <c r="N144" s="465">
        <f>INDEX('CTR1 Data Previous Year'!$I:$I,MATCH($D144,'CTR1 Data Previous Year'!$A:$A,0),1)</f>
        <v>0</v>
      </c>
      <c r="O144" s="160" t="s">
        <v>758</v>
      </c>
      <c r="P144" s="817" t="s">
        <v>759</v>
      </c>
      <c r="Q144" s="820" t="s">
        <v>325</v>
      </c>
      <c r="R144" s="817" t="s">
        <v>326</v>
      </c>
      <c r="S144" s="821" t="s">
        <v>534</v>
      </c>
      <c r="T144" s="817" t="s">
        <v>535</v>
      </c>
      <c r="U144" s="160"/>
      <c r="V144" s="817"/>
      <c r="W144" s="465">
        <f>INDEX('CTR1 Data Previous Year'!$J:$J,MATCH($D144,'CTR1 Data Previous Year'!$A:$A,0),1)</f>
        <v>38954.910000000003</v>
      </c>
      <c r="X144" s="465">
        <f>INDEX('CTR1 Data Previous Year'!$K:$K,MATCH($D144,'CTR1 Data Previous Year'!$A:$A,0),1)</f>
        <v>380.94</v>
      </c>
      <c r="Y144" s="465">
        <f>INDEX('CTR1 Data Previous Year'!$L:$L,MATCH($D144,'CTR1 Data Previous Year'!$A:$A,0),1)</f>
        <v>234.99</v>
      </c>
      <c r="Z144" s="836" t="str">
        <f t="shared" si="25"/>
        <v>N</v>
      </c>
      <c r="AA144" s="837" t="str">
        <f t="shared" si="26"/>
        <v>N</v>
      </c>
      <c r="AB144" s="838">
        <f t="shared" si="27"/>
        <v>234.99</v>
      </c>
      <c r="AC144" s="868">
        <f t="shared" si="28"/>
        <v>0</v>
      </c>
      <c r="AD144" s="876">
        <f t="shared" si="29"/>
        <v>0</v>
      </c>
      <c r="AE144" s="838">
        <f t="shared" si="30"/>
        <v>242.03970000000001</v>
      </c>
      <c r="AF144" s="838">
        <f t="shared" si="31"/>
        <v>239.99</v>
      </c>
      <c r="AG144" s="839">
        <f t="shared" si="33"/>
        <v>0</v>
      </c>
      <c r="AH144" s="839">
        <f t="shared" si="34"/>
        <v>242.04</v>
      </c>
      <c r="AI144" s="840">
        <f t="shared" si="32"/>
        <v>0</v>
      </c>
      <c r="AJ144" s="841">
        <f t="shared" si="35"/>
        <v>0</v>
      </c>
      <c r="AK144" s="446"/>
      <c r="AL144" s="446"/>
      <c r="AM144" s="446"/>
      <c r="AN144" s="446"/>
    </row>
    <row r="145" spans="1:40" ht="15" customHeight="1" x14ac:dyDescent="0.25">
      <c r="A145" s="370">
        <v>140</v>
      </c>
      <c r="B145" s="371" t="s">
        <v>946</v>
      </c>
      <c r="C145" s="370" t="s">
        <v>947</v>
      </c>
      <c r="D145" s="370" t="s">
        <v>948</v>
      </c>
      <c r="E145" s="370" t="s">
        <v>343</v>
      </c>
      <c r="F145" s="370" t="s">
        <v>378</v>
      </c>
      <c r="G145" s="386">
        <f>INDEX('CTR1 Data Previous Year'!$B:$B,MATCH($D145,'CTR1 Data Previous Year'!$A:$A,0),1)</f>
        <v>152279672</v>
      </c>
      <c r="H145" s="386">
        <f>INDEX('CTR1 Data Previous Year'!$C:$C,MATCH($D145,'CTR1 Data Previous Year'!$A:$A,0),1)</f>
        <v>0</v>
      </c>
      <c r="I145" s="386">
        <f>INDEX('CTR1 Data Previous Year'!$D:$D,MATCH($D145,'CTR1 Data Previous Year'!$A:$A,0),1)</f>
        <v>0</v>
      </c>
      <c r="J145" s="386">
        <f>INDEX('CTR1 Data Previous Year'!$E:$E,MATCH($D145,'CTR1 Data Previous Year'!$A:$A,0),1)</f>
        <v>152279672</v>
      </c>
      <c r="K145" s="386">
        <f>INDEX('CTR1 Data Previous Year'!$F:$F,MATCH($D145,'CTR1 Data Previous Year'!$A:$A,0),1)</f>
        <v>2900697</v>
      </c>
      <c r="L145" s="465">
        <f>INDEX('CTR1 Data Previous Year'!$G:$G,MATCH($D145,'CTR1 Data Previous Year'!$A:$A,0),1)</f>
        <v>96443.02</v>
      </c>
      <c r="M145" s="455">
        <f>INDEX('CTR1 Data Previous Year'!$H:$H,MATCH($D145,'CTR1 Data Previous Year'!$A:$A,0),1)</f>
        <v>0.96</v>
      </c>
      <c r="N145" s="465">
        <f>INDEX('CTR1 Data Previous Year'!$I:$I,MATCH($D145,'CTR1 Data Previous Year'!$A:$A,0),1)</f>
        <v>0</v>
      </c>
      <c r="O145" s="160" t="s">
        <v>379</v>
      </c>
      <c r="P145" s="862" t="s">
        <v>380</v>
      </c>
      <c r="Q145" s="820"/>
      <c r="R145" s="817"/>
      <c r="S145" s="821" t="s">
        <v>129</v>
      </c>
      <c r="T145" s="817"/>
      <c r="U145" s="160"/>
      <c r="V145" s="817"/>
      <c r="W145" s="465">
        <f>INDEX('CTR1 Data Previous Year'!$J:$J,MATCH($D145,'CTR1 Data Previous Year'!$A:$A,0),1)</f>
        <v>92585.3</v>
      </c>
      <c r="X145" s="465">
        <f>INDEX('CTR1 Data Previous Year'!$K:$K,MATCH($D145,'CTR1 Data Previous Year'!$A:$A,0),1)</f>
        <v>1644.75</v>
      </c>
      <c r="Y145" s="465">
        <f>INDEX('CTR1 Data Previous Year'!$L:$L,MATCH($D145,'CTR1 Data Previous Year'!$A:$A,0),1)</f>
        <v>1644.75</v>
      </c>
      <c r="Z145" s="836" t="str">
        <f t="shared" si="25"/>
        <v>N</v>
      </c>
      <c r="AA145" s="837" t="str">
        <f t="shared" si="26"/>
        <v>N</v>
      </c>
      <c r="AB145" s="838">
        <f t="shared" si="27"/>
        <v>1644.75</v>
      </c>
      <c r="AC145" s="868">
        <f t="shared" si="28"/>
        <v>0</v>
      </c>
      <c r="AD145" s="876">
        <f t="shared" si="29"/>
        <v>0</v>
      </c>
      <c r="AE145" s="838">
        <f t="shared" si="30"/>
        <v>1726.9875000000002</v>
      </c>
      <c r="AF145" s="838">
        <f t="shared" si="31"/>
        <v>1644.75</v>
      </c>
      <c r="AG145" s="839">
        <f t="shared" si="33"/>
        <v>0</v>
      </c>
      <c r="AH145" s="839">
        <f t="shared" si="34"/>
        <v>1726.99</v>
      </c>
      <c r="AI145" s="840">
        <f t="shared" si="32"/>
        <v>32.9</v>
      </c>
      <c r="AJ145" s="841">
        <f t="shared" si="35"/>
        <v>2.0003039975680193E-2</v>
      </c>
      <c r="AK145" s="446"/>
      <c r="AL145" s="446"/>
      <c r="AM145" s="446"/>
      <c r="AN145" s="446"/>
    </row>
    <row r="146" spans="1:40" ht="15" customHeight="1" x14ac:dyDescent="0.25">
      <c r="A146" s="370">
        <v>141</v>
      </c>
      <c r="B146" s="371" t="s">
        <v>949</v>
      </c>
      <c r="C146" s="370" t="s">
        <v>950</v>
      </c>
      <c r="D146" s="370" t="s">
        <v>951</v>
      </c>
      <c r="E146" s="370" t="s">
        <v>321</v>
      </c>
      <c r="F146" s="370" t="s">
        <v>444</v>
      </c>
      <c r="G146" s="386">
        <f>INDEX('CTR1 Data Previous Year'!$B:$B,MATCH($D146,'CTR1 Data Previous Year'!$A:$A,0),1)</f>
        <v>10719338</v>
      </c>
      <c r="H146" s="386">
        <f>INDEX('CTR1 Data Previous Year'!$C:$C,MATCH($D146,'CTR1 Data Previous Year'!$A:$A,0),1)</f>
        <v>0</v>
      </c>
      <c r="I146" s="386">
        <f>INDEX('CTR1 Data Previous Year'!$D:$D,MATCH($D146,'CTR1 Data Previous Year'!$A:$A,0),1)</f>
        <v>2504072</v>
      </c>
      <c r="J146" s="386">
        <f>INDEX('CTR1 Data Previous Year'!$E:$E,MATCH($D146,'CTR1 Data Previous Year'!$A:$A,0),1)</f>
        <v>8215266</v>
      </c>
      <c r="K146" s="386">
        <f>INDEX('CTR1 Data Previous Year'!$F:$F,MATCH($D146,'CTR1 Data Previous Year'!$A:$A,0),1)</f>
        <v>0</v>
      </c>
      <c r="L146" s="465">
        <f>INDEX('CTR1 Data Previous Year'!$G:$G,MATCH($D146,'CTR1 Data Previous Year'!$A:$A,0),1)</f>
        <v>41782.726970000003</v>
      </c>
      <c r="M146" s="455">
        <f>INDEX('CTR1 Data Previous Year'!$H:$H,MATCH($D146,'CTR1 Data Previous Year'!$A:$A,0),1)</f>
        <v>0.99</v>
      </c>
      <c r="N146" s="465">
        <f>INDEX('CTR1 Data Previous Year'!$I:$I,MATCH($D146,'CTR1 Data Previous Year'!$A:$A,0),1)</f>
        <v>157.80000000000001</v>
      </c>
      <c r="O146" s="160" t="s">
        <v>597</v>
      </c>
      <c r="P146" s="817" t="s">
        <v>598</v>
      </c>
      <c r="Q146" s="820" t="s">
        <v>599</v>
      </c>
      <c r="R146" s="817" t="s">
        <v>600</v>
      </c>
      <c r="S146" s="821" t="s">
        <v>601</v>
      </c>
      <c r="T146" s="817" t="s">
        <v>602</v>
      </c>
      <c r="U146" s="160"/>
      <c r="V146" s="817"/>
      <c r="W146" s="465">
        <f>INDEX('CTR1 Data Previous Year'!$J:$J,MATCH($D146,'CTR1 Data Previous Year'!$A:$A,0),1)</f>
        <v>41522.699999999997</v>
      </c>
      <c r="X146" s="465">
        <f>INDEX('CTR1 Data Previous Year'!$K:$K,MATCH($D146,'CTR1 Data Previous Year'!$A:$A,0),1)</f>
        <v>258.16000000000003</v>
      </c>
      <c r="Y146" s="465">
        <f>INDEX('CTR1 Data Previous Year'!$L:$L,MATCH($D146,'CTR1 Data Previous Year'!$A:$A,0),1)</f>
        <v>197.85</v>
      </c>
      <c r="Z146" s="836" t="str">
        <f t="shared" si="25"/>
        <v>N</v>
      </c>
      <c r="AA146" s="837" t="str">
        <f t="shared" si="26"/>
        <v>N</v>
      </c>
      <c r="AB146" s="838">
        <f t="shared" si="27"/>
        <v>197.85</v>
      </c>
      <c r="AC146" s="868">
        <f t="shared" si="28"/>
        <v>0</v>
      </c>
      <c r="AD146" s="876">
        <f t="shared" si="29"/>
        <v>0</v>
      </c>
      <c r="AE146" s="838">
        <f t="shared" si="30"/>
        <v>203.78550000000001</v>
      </c>
      <c r="AF146" s="838">
        <f t="shared" si="31"/>
        <v>202.85</v>
      </c>
      <c r="AG146" s="839">
        <f t="shared" si="33"/>
        <v>0</v>
      </c>
      <c r="AH146" s="839">
        <f t="shared" si="34"/>
        <v>203.79</v>
      </c>
      <c r="AI146" s="840">
        <f t="shared" si="32"/>
        <v>0</v>
      </c>
      <c r="AJ146" s="841">
        <f t="shared" si="35"/>
        <v>0</v>
      </c>
      <c r="AK146" s="446"/>
      <c r="AL146" s="446"/>
      <c r="AM146" s="446"/>
      <c r="AN146" s="446"/>
    </row>
    <row r="147" spans="1:40" ht="15" customHeight="1" x14ac:dyDescent="0.25">
      <c r="A147" s="370">
        <v>142</v>
      </c>
      <c r="B147" s="371" t="s">
        <v>952</v>
      </c>
      <c r="C147" s="370" t="s">
        <v>953</v>
      </c>
      <c r="D147" s="370" t="s">
        <v>954</v>
      </c>
      <c r="E147" s="370" t="s">
        <v>321</v>
      </c>
      <c r="F147" s="370" t="s">
        <v>330</v>
      </c>
      <c r="G147" s="386">
        <f>INDEX('CTR1 Data Previous Year'!$B:$B,MATCH($D147,'CTR1 Data Previous Year'!$A:$A,0),1)</f>
        <v>8166750</v>
      </c>
      <c r="H147" s="386">
        <f>INDEX('CTR1 Data Previous Year'!$C:$C,MATCH($D147,'CTR1 Data Previous Year'!$A:$A,0),1)</f>
        <v>0</v>
      </c>
      <c r="I147" s="386">
        <f>INDEX('CTR1 Data Previous Year'!$D:$D,MATCH($D147,'CTR1 Data Previous Year'!$A:$A,0),1)</f>
        <v>0</v>
      </c>
      <c r="J147" s="386">
        <f>INDEX('CTR1 Data Previous Year'!$E:$E,MATCH($D147,'CTR1 Data Previous Year'!$A:$A,0),1)</f>
        <v>8166750</v>
      </c>
      <c r="K147" s="386">
        <f>INDEX('CTR1 Data Previous Year'!$F:$F,MATCH($D147,'CTR1 Data Previous Year'!$A:$A,0),1)</f>
        <v>1326700</v>
      </c>
      <c r="L147" s="465">
        <f>INDEX('CTR1 Data Previous Year'!$G:$G,MATCH($D147,'CTR1 Data Previous Year'!$A:$A,0),1)</f>
        <v>26161.52</v>
      </c>
      <c r="M147" s="455">
        <f>INDEX('CTR1 Data Previous Year'!$H:$H,MATCH($D147,'CTR1 Data Previous Year'!$A:$A,0),1)</f>
        <v>0.98250000000000004</v>
      </c>
      <c r="N147" s="465">
        <f>INDEX('CTR1 Data Previous Year'!$I:$I,MATCH($D147,'CTR1 Data Previous Year'!$A:$A,0),1)</f>
        <v>60.56</v>
      </c>
      <c r="O147" s="160" t="s">
        <v>483</v>
      </c>
      <c r="P147" s="817" t="s">
        <v>484</v>
      </c>
      <c r="Q147" s="820" t="s">
        <v>485</v>
      </c>
      <c r="R147" s="817" t="s">
        <v>486</v>
      </c>
      <c r="S147" s="821" t="s">
        <v>129</v>
      </c>
      <c r="T147" s="817"/>
      <c r="U147" s="866" t="s">
        <v>487</v>
      </c>
      <c r="V147" s="867" t="s">
        <v>488</v>
      </c>
      <c r="W147" s="465">
        <f>INDEX('CTR1 Data Previous Year'!$J:$J,MATCH($D147,'CTR1 Data Previous Year'!$A:$A,0),1)</f>
        <v>25764.25</v>
      </c>
      <c r="X147" s="465">
        <f>INDEX('CTR1 Data Previous Year'!$K:$K,MATCH($D147,'CTR1 Data Previous Year'!$A:$A,0),1)</f>
        <v>316.98</v>
      </c>
      <c r="Y147" s="465">
        <f>INDEX('CTR1 Data Previous Year'!$L:$L,MATCH($D147,'CTR1 Data Previous Year'!$A:$A,0),1)</f>
        <v>316.98</v>
      </c>
      <c r="Z147" s="836" t="str">
        <f t="shared" si="25"/>
        <v>N</v>
      </c>
      <c r="AA147" s="837" t="str">
        <f t="shared" si="26"/>
        <v>N</v>
      </c>
      <c r="AB147" s="838">
        <f t="shared" si="27"/>
        <v>316.98</v>
      </c>
      <c r="AC147" s="868">
        <f t="shared" si="28"/>
        <v>0</v>
      </c>
      <c r="AD147" s="876">
        <f t="shared" si="29"/>
        <v>0</v>
      </c>
      <c r="AE147" s="838">
        <f t="shared" si="30"/>
        <v>326.48940000000005</v>
      </c>
      <c r="AF147" s="838">
        <f t="shared" si="31"/>
        <v>321.98</v>
      </c>
      <c r="AG147" s="839">
        <f t="shared" si="33"/>
        <v>0</v>
      </c>
      <c r="AH147" s="839">
        <f t="shared" si="34"/>
        <v>326.49</v>
      </c>
      <c r="AI147" s="840">
        <f t="shared" si="32"/>
        <v>0</v>
      </c>
      <c r="AJ147" s="841">
        <f t="shared" si="35"/>
        <v>0</v>
      </c>
      <c r="AK147" s="446"/>
      <c r="AL147" s="446"/>
      <c r="AM147" s="446"/>
      <c r="AN147" s="446"/>
    </row>
    <row r="148" spans="1:40" ht="15" customHeight="1" x14ac:dyDescent="0.25">
      <c r="A148" s="370">
        <v>143</v>
      </c>
      <c r="B148" s="371" t="s">
        <v>955</v>
      </c>
      <c r="C148" s="370" t="s">
        <v>956</v>
      </c>
      <c r="D148" s="370" t="s">
        <v>957</v>
      </c>
      <c r="E148" s="370" t="s">
        <v>353</v>
      </c>
      <c r="F148" s="370" t="s">
        <v>463</v>
      </c>
      <c r="G148" s="386">
        <f>INDEX('CTR1 Data Previous Year'!$B:$B,MATCH($D148,'CTR1 Data Previous Year'!$A:$A,0),1)</f>
        <v>258220676</v>
      </c>
      <c r="H148" s="386">
        <f>INDEX('CTR1 Data Previous Year'!$C:$C,MATCH($D148,'CTR1 Data Previous Year'!$A:$A,0),1)</f>
        <v>0</v>
      </c>
      <c r="I148" s="386">
        <f>INDEX('CTR1 Data Previous Year'!$D:$D,MATCH($D148,'CTR1 Data Previous Year'!$A:$A,0),1)</f>
        <v>0</v>
      </c>
      <c r="J148" s="386">
        <f>INDEX('CTR1 Data Previous Year'!$E:$E,MATCH($D148,'CTR1 Data Previous Year'!$A:$A,0),1)</f>
        <v>258220676</v>
      </c>
      <c r="K148" s="386">
        <f>INDEX('CTR1 Data Previous Year'!$F:$F,MATCH($D148,'CTR1 Data Previous Year'!$A:$A,0),1)</f>
        <v>66743517</v>
      </c>
      <c r="L148" s="465">
        <f>INDEX('CTR1 Data Previous Year'!$G:$G,MATCH($D148,'CTR1 Data Previous Year'!$A:$A,0),1)</f>
        <v>127933.55</v>
      </c>
      <c r="M148" s="455">
        <f>INDEX('CTR1 Data Previous Year'!$H:$H,MATCH($D148,'CTR1 Data Previous Year'!$A:$A,0),1)</f>
        <v>0.94</v>
      </c>
      <c r="N148" s="465">
        <f>INDEX('CTR1 Data Previous Year'!$I:$I,MATCH($D148,'CTR1 Data Previous Year'!$A:$A,0),1)</f>
        <v>0</v>
      </c>
      <c r="O148" s="160" t="s">
        <v>129</v>
      </c>
      <c r="P148" s="817"/>
      <c r="Q148" s="820" t="s">
        <v>927</v>
      </c>
      <c r="R148" s="817" t="s">
        <v>928</v>
      </c>
      <c r="S148" s="821" t="s">
        <v>929</v>
      </c>
      <c r="T148" s="817" t="s">
        <v>930</v>
      </c>
      <c r="U148" s="822" t="s">
        <v>834</v>
      </c>
      <c r="V148" s="817" t="s">
        <v>835</v>
      </c>
      <c r="W148" s="465">
        <f>INDEX('CTR1 Data Previous Year'!$J:$J,MATCH($D148,'CTR1 Data Previous Year'!$A:$A,0),1)</f>
        <v>120257.54</v>
      </c>
      <c r="X148" s="465">
        <f>INDEX('CTR1 Data Previous Year'!$K:$K,MATCH($D148,'CTR1 Data Previous Year'!$A:$A,0),1)</f>
        <v>2147.23</v>
      </c>
      <c r="Y148" s="465">
        <f>INDEX('CTR1 Data Previous Year'!$L:$L,MATCH($D148,'CTR1 Data Previous Year'!$A:$A,0),1)</f>
        <v>2147.23</v>
      </c>
      <c r="Z148" s="836" t="str">
        <f t="shared" si="25"/>
        <v>N</v>
      </c>
      <c r="AA148" s="837" t="str">
        <f t="shared" si="26"/>
        <v>N</v>
      </c>
      <c r="AB148" s="838">
        <f t="shared" si="27"/>
        <v>2147.23</v>
      </c>
      <c r="AC148" s="868">
        <f t="shared" si="28"/>
        <v>0</v>
      </c>
      <c r="AD148" s="876">
        <f t="shared" si="29"/>
        <v>0</v>
      </c>
      <c r="AE148" s="838">
        <f t="shared" si="30"/>
        <v>2254.5915</v>
      </c>
      <c r="AF148" s="838">
        <f t="shared" si="31"/>
        <v>2147.23</v>
      </c>
      <c r="AG148" s="839">
        <f t="shared" si="33"/>
        <v>0</v>
      </c>
      <c r="AH148" s="839">
        <f t="shared" si="34"/>
        <v>2254.59</v>
      </c>
      <c r="AI148" s="840">
        <f t="shared" si="32"/>
        <v>42.94</v>
      </c>
      <c r="AJ148" s="841">
        <f t="shared" si="35"/>
        <v>1.999785770504324E-2</v>
      </c>
      <c r="AK148" s="446"/>
      <c r="AL148" s="446"/>
      <c r="AM148" s="446"/>
      <c r="AN148" s="446"/>
    </row>
    <row r="149" spans="1:40" ht="15" customHeight="1" x14ac:dyDescent="0.25">
      <c r="A149" s="370">
        <v>144</v>
      </c>
      <c r="B149" s="371" t="s">
        <v>958</v>
      </c>
      <c r="C149" s="370" t="s">
        <v>959</v>
      </c>
      <c r="D149" s="370" t="s">
        <v>960</v>
      </c>
      <c r="E149" s="370" t="s">
        <v>339</v>
      </c>
      <c r="F149" s="370" t="s">
        <v>368</v>
      </c>
      <c r="G149" s="386">
        <f>INDEX('CTR1 Data Previous Year'!$B:$B,MATCH($D149,'CTR1 Data Previous Year'!$A:$A,0),1)</f>
        <v>110317683</v>
      </c>
      <c r="H149" s="386">
        <f>INDEX('CTR1 Data Previous Year'!$C:$C,MATCH($D149,'CTR1 Data Previous Year'!$A:$A,0),1)</f>
        <v>0</v>
      </c>
      <c r="I149" s="386">
        <f>INDEX('CTR1 Data Previous Year'!$D:$D,MATCH($D149,'CTR1 Data Previous Year'!$A:$A,0),1)</f>
        <v>0</v>
      </c>
      <c r="J149" s="386">
        <f>INDEX('CTR1 Data Previous Year'!$E:$E,MATCH($D149,'CTR1 Data Previous Year'!$A:$A,0),1)</f>
        <v>110317683</v>
      </c>
      <c r="K149" s="386">
        <f>INDEX('CTR1 Data Previous Year'!$F:$F,MATCH($D149,'CTR1 Data Previous Year'!$A:$A,0),1)</f>
        <v>137035</v>
      </c>
      <c r="L149" s="465">
        <f>INDEX('CTR1 Data Previous Year'!$G:$G,MATCH($D149,'CTR1 Data Previous Year'!$A:$A,0),1)</f>
        <v>59429.01</v>
      </c>
      <c r="M149" s="455">
        <f>INDEX('CTR1 Data Previous Year'!$H:$H,MATCH($D149,'CTR1 Data Previous Year'!$A:$A,0),1)</f>
        <v>0.96499999999999997</v>
      </c>
      <c r="N149" s="465">
        <f>INDEX('CTR1 Data Previous Year'!$I:$I,MATCH($D149,'CTR1 Data Previous Year'!$A:$A,0),1)</f>
        <v>0</v>
      </c>
      <c r="O149" s="160" t="s">
        <v>129</v>
      </c>
      <c r="P149" s="817"/>
      <c r="Q149" s="820" t="s">
        <v>434</v>
      </c>
      <c r="R149" s="817" t="s">
        <v>435</v>
      </c>
      <c r="S149" s="821" t="s">
        <v>436</v>
      </c>
      <c r="T149" s="817" t="s">
        <v>437</v>
      </c>
      <c r="U149" s="160"/>
      <c r="V149" s="817"/>
      <c r="W149" s="465">
        <f>INDEX('CTR1 Data Previous Year'!$J:$J,MATCH($D149,'CTR1 Data Previous Year'!$A:$A,0),1)</f>
        <v>57348.99</v>
      </c>
      <c r="X149" s="465">
        <f>INDEX('CTR1 Data Previous Year'!$K:$K,MATCH($D149,'CTR1 Data Previous Year'!$A:$A,0),1)</f>
        <v>1923.62</v>
      </c>
      <c r="Y149" s="465">
        <f>INDEX('CTR1 Data Previous Year'!$L:$L,MATCH($D149,'CTR1 Data Previous Year'!$A:$A,0),1)</f>
        <v>1923.62</v>
      </c>
      <c r="Z149" s="836" t="str">
        <f t="shared" si="25"/>
        <v>N</v>
      </c>
      <c r="AA149" s="837" t="str">
        <f t="shared" si="26"/>
        <v>N</v>
      </c>
      <c r="AB149" s="838">
        <f t="shared" si="27"/>
        <v>1923.62</v>
      </c>
      <c r="AC149" s="868">
        <f t="shared" si="28"/>
        <v>0</v>
      </c>
      <c r="AD149" s="876">
        <f t="shared" si="29"/>
        <v>0</v>
      </c>
      <c r="AE149" s="838">
        <f t="shared" si="30"/>
        <v>2019.8009999999999</v>
      </c>
      <c r="AF149" s="838">
        <f t="shared" si="31"/>
        <v>1923.62</v>
      </c>
      <c r="AG149" s="839">
        <f t="shared" si="33"/>
        <v>0</v>
      </c>
      <c r="AH149" s="839">
        <f t="shared" si="34"/>
        <v>2019.8</v>
      </c>
      <c r="AI149" s="840">
        <f t="shared" si="32"/>
        <v>38.47</v>
      </c>
      <c r="AJ149" s="841">
        <f t="shared" si="35"/>
        <v>1.99987523523357E-2</v>
      </c>
      <c r="AK149" s="446"/>
      <c r="AL149" s="446"/>
      <c r="AM149" s="446"/>
      <c r="AN149" s="446"/>
    </row>
    <row r="150" spans="1:40" ht="15" customHeight="1" x14ac:dyDescent="0.25">
      <c r="A150" s="370">
        <v>145</v>
      </c>
      <c r="B150" s="371" t="s">
        <v>961</v>
      </c>
      <c r="C150" s="370" t="s">
        <v>962</v>
      </c>
      <c r="D150" s="370" t="s">
        <v>963</v>
      </c>
      <c r="E150" s="370" t="s">
        <v>321</v>
      </c>
      <c r="F150" s="370" t="s">
        <v>322</v>
      </c>
      <c r="G150" s="386">
        <f>INDEX('CTR1 Data Previous Year'!$B:$B,MATCH($D150,'CTR1 Data Previous Year'!$A:$A,0),1)</f>
        <v>23665143</v>
      </c>
      <c r="H150" s="386">
        <f>INDEX('CTR1 Data Previous Year'!$C:$C,MATCH($D150,'CTR1 Data Previous Year'!$A:$A,0),1)</f>
        <v>0</v>
      </c>
      <c r="I150" s="386">
        <f>INDEX('CTR1 Data Previous Year'!$D:$D,MATCH($D150,'CTR1 Data Previous Year'!$A:$A,0),1)</f>
        <v>3125109</v>
      </c>
      <c r="J150" s="386">
        <f>INDEX('CTR1 Data Previous Year'!$E:$E,MATCH($D150,'CTR1 Data Previous Year'!$A:$A,0),1)</f>
        <v>20540034</v>
      </c>
      <c r="K150" s="386">
        <f>INDEX('CTR1 Data Previous Year'!$F:$F,MATCH($D150,'CTR1 Data Previous Year'!$A:$A,0),1)</f>
        <v>142574</v>
      </c>
      <c r="L150" s="465">
        <f>INDEX('CTR1 Data Previous Year'!$G:$G,MATCH($D150,'CTR1 Data Previous Year'!$A:$A,0),1)</f>
        <v>69652.41</v>
      </c>
      <c r="M150" s="455">
        <f>INDEX('CTR1 Data Previous Year'!$H:$H,MATCH($D150,'CTR1 Data Previous Year'!$A:$A,0),1)</f>
        <v>0.97499999999999998</v>
      </c>
      <c r="N150" s="465">
        <f>INDEX('CTR1 Data Previous Year'!$I:$I,MATCH($D150,'CTR1 Data Previous Year'!$A:$A,0),1)</f>
        <v>174.4</v>
      </c>
      <c r="O150" s="160" t="s">
        <v>358</v>
      </c>
      <c r="P150" s="817" t="s">
        <v>359</v>
      </c>
      <c r="Q150" s="820" t="s">
        <v>360</v>
      </c>
      <c r="R150" s="817" t="s">
        <v>361</v>
      </c>
      <c r="S150" s="821" t="s">
        <v>362</v>
      </c>
      <c r="T150" s="817" t="s">
        <v>363</v>
      </c>
      <c r="U150" s="160"/>
      <c r="V150" s="817"/>
      <c r="W150" s="465">
        <f>INDEX('CTR1 Data Previous Year'!$J:$J,MATCH($D150,'CTR1 Data Previous Year'!$A:$A,0),1)</f>
        <v>68085.5</v>
      </c>
      <c r="X150" s="465">
        <f>INDEX('CTR1 Data Previous Year'!$K:$K,MATCH($D150,'CTR1 Data Previous Year'!$A:$A,0),1)</f>
        <v>347.58</v>
      </c>
      <c r="Y150" s="465">
        <f>INDEX('CTR1 Data Previous Year'!$L:$L,MATCH($D150,'CTR1 Data Previous Year'!$A:$A,0),1)</f>
        <v>301.68</v>
      </c>
      <c r="Z150" s="836" t="str">
        <f t="shared" si="25"/>
        <v>N</v>
      </c>
      <c r="AA150" s="837" t="str">
        <f t="shared" si="26"/>
        <v>N</v>
      </c>
      <c r="AB150" s="838">
        <f t="shared" si="27"/>
        <v>301.68</v>
      </c>
      <c r="AC150" s="868">
        <f t="shared" si="28"/>
        <v>0</v>
      </c>
      <c r="AD150" s="876">
        <f t="shared" si="29"/>
        <v>0</v>
      </c>
      <c r="AE150" s="838">
        <f t="shared" si="30"/>
        <v>310.73040000000003</v>
      </c>
      <c r="AF150" s="838">
        <f t="shared" si="31"/>
        <v>306.68</v>
      </c>
      <c r="AG150" s="839">
        <f t="shared" si="33"/>
        <v>0</v>
      </c>
      <c r="AH150" s="839">
        <f t="shared" si="34"/>
        <v>310.73</v>
      </c>
      <c r="AI150" s="840">
        <f t="shared" si="32"/>
        <v>0</v>
      </c>
      <c r="AJ150" s="841">
        <f t="shared" si="35"/>
        <v>0</v>
      </c>
      <c r="AK150" s="446"/>
      <c r="AL150" s="446"/>
      <c r="AM150" s="446"/>
      <c r="AN150" s="446"/>
    </row>
    <row r="151" spans="1:40" ht="15" customHeight="1" x14ac:dyDescent="0.25">
      <c r="A151" s="370">
        <v>146</v>
      </c>
      <c r="B151" s="371" t="s">
        <v>964</v>
      </c>
      <c r="C151" s="370" t="s">
        <v>965</v>
      </c>
      <c r="D151" s="370" t="s">
        <v>966</v>
      </c>
      <c r="E151" s="370" t="s">
        <v>321</v>
      </c>
      <c r="F151" s="370" t="s">
        <v>368</v>
      </c>
      <c r="G151" s="386">
        <f>INDEX('CTR1 Data Previous Year'!$B:$B,MATCH($D151,'CTR1 Data Previous Year'!$A:$A,0),1)</f>
        <v>8198545</v>
      </c>
      <c r="H151" s="386">
        <f>INDEX('CTR1 Data Previous Year'!$C:$C,MATCH($D151,'CTR1 Data Previous Year'!$A:$A,0),1)</f>
        <v>0</v>
      </c>
      <c r="I151" s="386">
        <f>INDEX('CTR1 Data Previous Year'!$D:$D,MATCH($D151,'CTR1 Data Previous Year'!$A:$A,0),1)</f>
        <v>1968056</v>
      </c>
      <c r="J151" s="386">
        <f>INDEX('CTR1 Data Previous Year'!$E:$E,MATCH($D151,'CTR1 Data Previous Year'!$A:$A,0),1)</f>
        <v>6230489</v>
      </c>
      <c r="K151" s="386">
        <f>INDEX('CTR1 Data Previous Year'!$F:$F,MATCH($D151,'CTR1 Data Previous Year'!$A:$A,0),1)</f>
        <v>0</v>
      </c>
      <c r="L151" s="465">
        <f>INDEX('CTR1 Data Previous Year'!$G:$G,MATCH($D151,'CTR1 Data Previous Year'!$A:$A,0),1)</f>
        <v>27486.6</v>
      </c>
      <c r="M151" s="455">
        <f>INDEX('CTR1 Data Previous Year'!$H:$H,MATCH($D151,'CTR1 Data Previous Year'!$A:$A,0),1)</f>
        <v>0.97699999999999998</v>
      </c>
      <c r="N151" s="465">
        <f>INDEX('CTR1 Data Previous Year'!$I:$I,MATCH($D151,'CTR1 Data Previous Year'!$A:$A,0),1)</f>
        <v>0</v>
      </c>
      <c r="O151" s="160" t="s">
        <v>401</v>
      </c>
      <c r="P151" s="817" t="s">
        <v>402</v>
      </c>
      <c r="Q151" s="820" t="s">
        <v>403</v>
      </c>
      <c r="R151" s="817" t="s">
        <v>404</v>
      </c>
      <c r="S151" s="821" t="s">
        <v>405</v>
      </c>
      <c r="T151" s="817" t="s">
        <v>406</v>
      </c>
      <c r="U151" s="822"/>
      <c r="V151" s="817"/>
      <c r="W151" s="465">
        <f>INDEX('CTR1 Data Previous Year'!$J:$J,MATCH($D151,'CTR1 Data Previous Year'!$A:$A,0),1)</f>
        <v>26854.41</v>
      </c>
      <c r="X151" s="465">
        <f>INDEX('CTR1 Data Previous Year'!$K:$K,MATCH($D151,'CTR1 Data Previous Year'!$A:$A,0),1)</f>
        <v>305.3</v>
      </c>
      <c r="Y151" s="465">
        <f>INDEX('CTR1 Data Previous Year'!$L:$L,MATCH($D151,'CTR1 Data Previous Year'!$A:$A,0),1)</f>
        <v>232.01</v>
      </c>
      <c r="Z151" s="836" t="str">
        <f t="shared" si="25"/>
        <v>N</v>
      </c>
      <c r="AA151" s="837" t="str">
        <f t="shared" si="26"/>
        <v>N</v>
      </c>
      <c r="AB151" s="838">
        <f t="shared" si="27"/>
        <v>232.01</v>
      </c>
      <c r="AC151" s="868">
        <f t="shared" si="28"/>
        <v>0</v>
      </c>
      <c r="AD151" s="876">
        <f t="shared" si="29"/>
        <v>0</v>
      </c>
      <c r="AE151" s="838">
        <f t="shared" si="30"/>
        <v>238.97030000000001</v>
      </c>
      <c r="AF151" s="838">
        <f t="shared" si="31"/>
        <v>237.01</v>
      </c>
      <c r="AG151" s="839">
        <f t="shared" si="33"/>
        <v>0</v>
      </c>
      <c r="AH151" s="839">
        <f t="shared" si="34"/>
        <v>238.97</v>
      </c>
      <c r="AI151" s="840">
        <f t="shared" si="32"/>
        <v>0</v>
      </c>
      <c r="AJ151" s="841">
        <f t="shared" si="35"/>
        <v>0</v>
      </c>
      <c r="AK151" s="446"/>
      <c r="AL151" s="446"/>
      <c r="AM151" s="446"/>
      <c r="AN151" s="446"/>
    </row>
    <row r="152" spans="1:40" ht="15" customHeight="1" x14ac:dyDescent="0.25">
      <c r="A152" s="370">
        <v>147</v>
      </c>
      <c r="B152" s="371" t="s">
        <v>967</v>
      </c>
      <c r="C152" s="370" t="s">
        <v>968</v>
      </c>
      <c r="D152" s="370" t="s">
        <v>969</v>
      </c>
      <c r="E152" s="370" t="s">
        <v>321</v>
      </c>
      <c r="F152" s="370" t="s">
        <v>444</v>
      </c>
      <c r="G152" s="386">
        <f>INDEX('CTR1 Data Previous Year'!$B:$B,MATCH($D152,'CTR1 Data Previous Year'!$A:$A,0),1)</f>
        <v>9107308</v>
      </c>
      <c r="H152" s="386">
        <f>INDEX('CTR1 Data Previous Year'!$C:$C,MATCH($D152,'CTR1 Data Previous Year'!$A:$A,0),1)</f>
        <v>0</v>
      </c>
      <c r="I152" s="386">
        <f>INDEX('CTR1 Data Previous Year'!$D:$D,MATCH($D152,'CTR1 Data Previous Year'!$A:$A,0),1)</f>
        <v>2979639</v>
      </c>
      <c r="J152" s="386">
        <f>INDEX('CTR1 Data Previous Year'!$E:$E,MATCH($D152,'CTR1 Data Previous Year'!$A:$A,0),1)</f>
        <v>6127669</v>
      </c>
      <c r="K152" s="386">
        <f>INDEX('CTR1 Data Previous Year'!$F:$F,MATCH($D152,'CTR1 Data Previous Year'!$A:$A,0),1)</f>
        <v>0</v>
      </c>
      <c r="L152" s="465">
        <f>INDEX('CTR1 Data Previous Year'!$G:$G,MATCH($D152,'CTR1 Data Previous Year'!$A:$A,0),1)</f>
        <v>33726.639999999999</v>
      </c>
      <c r="M152" s="455">
        <f>INDEX('CTR1 Data Previous Year'!$H:$H,MATCH($D152,'CTR1 Data Previous Year'!$A:$A,0),1)</f>
        <v>0.995</v>
      </c>
      <c r="N152" s="465">
        <f>INDEX('CTR1 Data Previous Year'!$I:$I,MATCH($D152,'CTR1 Data Previous Year'!$A:$A,0),1)</f>
        <v>0</v>
      </c>
      <c r="O152" s="160" t="s">
        <v>548</v>
      </c>
      <c r="P152" s="817" t="s">
        <v>549</v>
      </c>
      <c r="Q152" s="820" t="s">
        <v>550</v>
      </c>
      <c r="R152" s="817" t="s">
        <v>551</v>
      </c>
      <c r="S152" s="821" t="s">
        <v>552</v>
      </c>
      <c r="T152" s="817" t="s">
        <v>553</v>
      </c>
      <c r="U152" s="160"/>
      <c r="V152" s="817"/>
      <c r="W152" s="465">
        <f>INDEX('CTR1 Data Previous Year'!$J:$J,MATCH($D152,'CTR1 Data Previous Year'!$A:$A,0),1)</f>
        <v>33558.01</v>
      </c>
      <c r="X152" s="465">
        <f>INDEX('CTR1 Data Previous Year'!$K:$K,MATCH($D152,'CTR1 Data Previous Year'!$A:$A,0),1)</f>
        <v>271.39</v>
      </c>
      <c r="Y152" s="465">
        <f>INDEX('CTR1 Data Previous Year'!$L:$L,MATCH($D152,'CTR1 Data Previous Year'!$A:$A,0),1)</f>
        <v>182.6</v>
      </c>
      <c r="Z152" s="836" t="str">
        <f t="shared" si="25"/>
        <v>N</v>
      </c>
      <c r="AA152" s="837" t="str">
        <f t="shared" si="26"/>
        <v>N</v>
      </c>
      <c r="AB152" s="838">
        <f t="shared" si="27"/>
        <v>182.6</v>
      </c>
      <c r="AC152" s="868">
        <f t="shared" si="28"/>
        <v>0</v>
      </c>
      <c r="AD152" s="876">
        <f t="shared" si="29"/>
        <v>0</v>
      </c>
      <c r="AE152" s="838">
        <f t="shared" si="30"/>
        <v>188.078</v>
      </c>
      <c r="AF152" s="838">
        <f t="shared" si="31"/>
        <v>187.6</v>
      </c>
      <c r="AG152" s="839">
        <f t="shared" si="33"/>
        <v>0</v>
      </c>
      <c r="AH152" s="839">
        <f t="shared" si="34"/>
        <v>188.08</v>
      </c>
      <c r="AI152" s="840">
        <f t="shared" si="32"/>
        <v>0</v>
      </c>
      <c r="AJ152" s="841">
        <f t="shared" si="35"/>
        <v>0</v>
      </c>
      <c r="AK152" s="446"/>
      <c r="AL152" s="446"/>
      <c r="AM152" s="446"/>
      <c r="AN152" s="446"/>
    </row>
    <row r="153" spans="1:40" ht="15" customHeight="1" x14ac:dyDescent="0.25">
      <c r="A153" s="370">
        <v>148</v>
      </c>
      <c r="B153" s="371" t="s">
        <v>970</v>
      </c>
      <c r="C153" s="370" t="s">
        <v>971</v>
      </c>
      <c r="D153" s="370" t="s">
        <v>972</v>
      </c>
      <c r="E153" s="370" t="s">
        <v>353</v>
      </c>
      <c r="F153" s="370" t="s">
        <v>463</v>
      </c>
      <c r="G153" s="386">
        <f>INDEX('CTR1 Data Previous Year'!$B:$B,MATCH($D153,'CTR1 Data Previous Year'!$A:$A,0),1)</f>
        <v>251235424</v>
      </c>
      <c r="H153" s="386">
        <f>INDEX('CTR1 Data Previous Year'!$C:$C,MATCH($D153,'CTR1 Data Previous Year'!$A:$A,0),1)</f>
        <v>0</v>
      </c>
      <c r="I153" s="386">
        <f>INDEX('CTR1 Data Previous Year'!$D:$D,MATCH($D153,'CTR1 Data Previous Year'!$A:$A,0),1)</f>
        <v>0</v>
      </c>
      <c r="J153" s="386">
        <f>INDEX('CTR1 Data Previous Year'!$E:$E,MATCH($D153,'CTR1 Data Previous Year'!$A:$A,0),1)</f>
        <v>251235424</v>
      </c>
      <c r="K153" s="386">
        <f>INDEX('CTR1 Data Previous Year'!$F:$F,MATCH($D153,'CTR1 Data Previous Year'!$A:$A,0),1)</f>
        <v>74741173</v>
      </c>
      <c r="L153" s="465">
        <f>INDEX('CTR1 Data Previous Year'!$G:$G,MATCH($D153,'CTR1 Data Previous Year'!$A:$A,0),1)</f>
        <v>145952.75</v>
      </c>
      <c r="M153" s="455">
        <f>INDEX('CTR1 Data Previous Year'!$H:$H,MATCH($D153,'CTR1 Data Previous Year'!$A:$A,0),1)</f>
        <v>0.96499999999999997</v>
      </c>
      <c r="N153" s="465">
        <f>INDEX('CTR1 Data Previous Year'!$I:$I,MATCH($D153,'CTR1 Data Previous Year'!$A:$A,0),1)</f>
        <v>0</v>
      </c>
      <c r="O153" s="160" t="s">
        <v>129</v>
      </c>
      <c r="P153" s="817"/>
      <c r="Q153" s="820" t="s">
        <v>477</v>
      </c>
      <c r="R153" s="817" t="s">
        <v>478</v>
      </c>
      <c r="S153" s="821"/>
      <c r="T153" s="817"/>
      <c r="U153" s="822" t="s">
        <v>479</v>
      </c>
      <c r="V153" s="817" t="s">
        <v>478</v>
      </c>
      <c r="W153" s="465">
        <f>INDEX('CTR1 Data Previous Year'!$J:$J,MATCH($D153,'CTR1 Data Previous Year'!$A:$A,0),1)</f>
        <v>140844.4</v>
      </c>
      <c r="X153" s="465">
        <f>INDEX('CTR1 Data Previous Year'!$K:$K,MATCH($D153,'CTR1 Data Previous Year'!$A:$A,0),1)</f>
        <v>1783.78</v>
      </c>
      <c r="Y153" s="465">
        <f>INDEX('CTR1 Data Previous Year'!$L:$L,MATCH($D153,'CTR1 Data Previous Year'!$A:$A,0),1)</f>
        <v>1783.78</v>
      </c>
      <c r="Z153" s="836" t="str">
        <f t="shared" si="25"/>
        <v>N</v>
      </c>
      <c r="AA153" s="837" t="str">
        <f t="shared" si="26"/>
        <v>N</v>
      </c>
      <c r="AB153" s="838">
        <f t="shared" si="27"/>
        <v>1783.78</v>
      </c>
      <c r="AC153" s="868">
        <f t="shared" si="28"/>
        <v>0</v>
      </c>
      <c r="AD153" s="876">
        <f t="shared" si="29"/>
        <v>0</v>
      </c>
      <c r="AE153" s="838">
        <f t="shared" si="30"/>
        <v>1872.9690000000001</v>
      </c>
      <c r="AF153" s="838">
        <f t="shared" si="31"/>
        <v>1783.78</v>
      </c>
      <c r="AG153" s="839">
        <f t="shared" si="33"/>
        <v>0</v>
      </c>
      <c r="AH153" s="839">
        <f t="shared" si="34"/>
        <v>1872.97</v>
      </c>
      <c r="AI153" s="840">
        <f t="shared" si="32"/>
        <v>35.68</v>
      </c>
      <c r="AJ153" s="841">
        <f t="shared" si="35"/>
        <v>2.0002466671899002E-2</v>
      </c>
      <c r="AK153" s="446"/>
      <c r="AL153" s="446"/>
      <c r="AM153" s="446"/>
      <c r="AN153" s="446"/>
    </row>
    <row r="154" spans="1:40" ht="15" customHeight="1" x14ac:dyDescent="0.25">
      <c r="A154" s="370">
        <v>149</v>
      </c>
      <c r="B154" s="371" t="s">
        <v>973</v>
      </c>
      <c r="C154" s="370" t="s">
        <v>974</v>
      </c>
      <c r="D154" s="370" t="s">
        <v>975</v>
      </c>
      <c r="E154" s="370" t="s">
        <v>321</v>
      </c>
      <c r="F154" s="370" t="s">
        <v>330</v>
      </c>
      <c r="G154" s="386">
        <f>INDEX('CTR1 Data Previous Year'!$B:$B,MATCH($D154,'CTR1 Data Previous Year'!$A:$A,0),1)</f>
        <v>6588240</v>
      </c>
      <c r="H154" s="386">
        <f>INDEX('CTR1 Data Previous Year'!$C:$C,MATCH($D154,'CTR1 Data Previous Year'!$A:$A,0),1)</f>
        <v>0</v>
      </c>
      <c r="I154" s="386">
        <f>INDEX('CTR1 Data Previous Year'!$D:$D,MATCH($D154,'CTR1 Data Previous Year'!$A:$A,0),1)</f>
        <v>125593</v>
      </c>
      <c r="J154" s="386">
        <f>INDEX('CTR1 Data Previous Year'!$E:$E,MATCH($D154,'CTR1 Data Previous Year'!$A:$A,0),1)</f>
        <v>6462647</v>
      </c>
      <c r="K154" s="386">
        <f>INDEX('CTR1 Data Previous Year'!$F:$F,MATCH($D154,'CTR1 Data Previous Year'!$A:$A,0),1)</f>
        <v>0</v>
      </c>
      <c r="L154" s="465">
        <f>INDEX('CTR1 Data Previous Year'!$G:$G,MATCH($D154,'CTR1 Data Previous Year'!$A:$A,0),1)</f>
        <v>31766.799999999999</v>
      </c>
      <c r="M154" s="455">
        <f>INDEX('CTR1 Data Previous Year'!$H:$H,MATCH($D154,'CTR1 Data Previous Year'!$A:$A,0),1)</f>
        <v>0.98499999999999999</v>
      </c>
      <c r="N154" s="465">
        <f>INDEX('CTR1 Data Previous Year'!$I:$I,MATCH($D154,'CTR1 Data Previous Year'!$A:$A,0),1)</f>
        <v>0</v>
      </c>
      <c r="O154" s="160" t="s">
        <v>347</v>
      </c>
      <c r="P154" s="817" t="s">
        <v>348</v>
      </c>
      <c r="Q154" s="820" t="s">
        <v>349</v>
      </c>
      <c r="R154" s="817" t="s">
        <v>350</v>
      </c>
      <c r="S154" s="821" t="s">
        <v>351</v>
      </c>
      <c r="T154" s="817" t="s">
        <v>352</v>
      </c>
      <c r="U154" s="822" t="s">
        <v>337</v>
      </c>
      <c r="V154" s="817" t="s">
        <v>338</v>
      </c>
      <c r="W154" s="465">
        <f>INDEX('CTR1 Data Previous Year'!$J:$J,MATCH($D154,'CTR1 Data Previous Year'!$A:$A,0),1)</f>
        <v>31290.3</v>
      </c>
      <c r="X154" s="465">
        <f>INDEX('CTR1 Data Previous Year'!$K:$K,MATCH($D154,'CTR1 Data Previous Year'!$A:$A,0),1)</f>
        <v>210.55</v>
      </c>
      <c r="Y154" s="465">
        <f>INDEX('CTR1 Data Previous Year'!$L:$L,MATCH($D154,'CTR1 Data Previous Year'!$A:$A,0),1)</f>
        <v>206.54</v>
      </c>
      <c r="Z154" s="836" t="str">
        <f t="shared" si="25"/>
        <v>N</v>
      </c>
      <c r="AA154" s="837" t="str">
        <f t="shared" si="26"/>
        <v>N</v>
      </c>
      <c r="AB154" s="838">
        <f t="shared" si="27"/>
        <v>206.54</v>
      </c>
      <c r="AC154" s="868">
        <f t="shared" si="28"/>
        <v>0</v>
      </c>
      <c r="AD154" s="876">
        <f t="shared" si="29"/>
        <v>0</v>
      </c>
      <c r="AE154" s="838">
        <f t="shared" si="30"/>
        <v>212.7362</v>
      </c>
      <c r="AF154" s="838">
        <f t="shared" si="31"/>
        <v>211.54</v>
      </c>
      <c r="AG154" s="839">
        <f t="shared" si="33"/>
        <v>0</v>
      </c>
      <c r="AH154" s="839">
        <f t="shared" si="34"/>
        <v>212.74</v>
      </c>
      <c r="AI154" s="840">
        <f t="shared" si="32"/>
        <v>0</v>
      </c>
      <c r="AJ154" s="841">
        <f t="shared" si="35"/>
        <v>0</v>
      </c>
      <c r="AK154" s="446"/>
      <c r="AL154" s="446"/>
      <c r="AM154" s="446"/>
      <c r="AN154" s="446"/>
    </row>
    <row r="155" spans="1:40" ht="15" customHeight="1" x14ac:dyDescent="0.25">
      <c r="A155" s="370">
        <v>150</v>
      </c>
      <c r="B155" s="371" t="s">
        <v>976</v>
      </c>
      <c r="C155" s="370" t="s">
        <v>977</v>
      </c>
      <c r="D155" s="370" t="s">
        <v>978</v>
      </c>
      <c r="E155" s="370" t="s">
        <v>339</v>
      </c>
      <c r="F155" s="370" t="s">
        <v>322</v>
      </c>
      <c r="G155" s="386">
        <f>INDEX('CTR1 Data Previous Year'!$B:$B,MATCH($D155,'CTR1 Data Previous Year'!$A:$A,0),1)</f>
        <v>169678040</v>
      </c>
      <c r="H155" s="386">
        <f>INDEX('CTR1 Data Previous Year'!$C:$C,MATCH($D155,'CTR1 Data Previous Year'!$A:$A,0),1)</f>
        <v>0</v>
      </c>
      <c r="I155" s="386">
        <f>INDEX('CTR1 Data Previous Year'!$D:$D,MATCH($D155,'CTR1 Data Previous Year'!$A:$A,0),1)</f>
        <v>740954</v>
      </c>
      <c r="J155" s="386">
        <f>INDEX('CTR1 Data Previous Year'!$E:$E,MATCH($D155,'CTR1 Data Previous Year'!$A:$A,0),1)</f>
        <v>168937086</v>
      </c>
      <c r="K155" s="386">
        <f>INDEX('CTR1 Data Previous Year'!$F:$F,MATCH($D155,'CTR1 Data Previous Year'!$A:$A,0),1)</f>
        <v>0</v>
      </c>
      <c r="L155" s="465">
        <f>INDEX('CTR1 Data Previous Year'!$G:$G,MATCH($D155,'CTR1 Data Previous Year'!$A:$A,0),1)</f>
        <v>94361.48</v>
      </c>
      <c r="M155" s="455">
        <f>INDEX('CTR1 Data Previous Year'!$H:$H,MATCH($D155,'CTR1 Data Previous Year'!$A:$A,0),1)</f>
        <v>0.97350000000000003</v>
      </c>
      <c r="N155" s="465">
        <f>INDEX('CTR1 Data Previous Year'!$I:$I,MATCH($D155,'CTR1 Data Previous Year'!$A:$A,0),1)</f>
        <v>239.3</v>
      </c>
      <c r="O155" s="160" t="s">
        <v>129</v>
      </c>
      <c r="P155" s="817"/>
      <c r="Q155" s="820" t="s">
        <v>360</v>
      </c>
      <c r="R155" s="817" t="s">
        <v>361</v>
      </c>
      <c r="S155" s="821" t="s">
        <v>362</v>
      </c>
      <c r="T155" s="817" t="s">
        <v>363</v>
      </c>
      <c r="U155" s="160"/>
      <c r="V155" s="817"/>
      <c r="W155" s="465">
        <f>INDEX('CTR1 Data Previous Year'!$J:$J,MATCH($D155,'CTR1 Data Previous Year'!$A:$A,0),1)</f>
        <v>92100.2</v>
      </c>
      <c r="X155" s="465">
        <f>INDEX('CTR1 Data Previous Year'!$K:$K,MATCH($D155,'CTR1 Data Previous Year'!$A:$A,0),1)</f>
        <v>1842.32</v>
      </c>
      <c r="Y155" s="465">
        <f>INDEX('CTR1 Data Previous Year'!$L:$L,MATCH($D155,'CTR1 Data Previous Year'!$A:$A,0),1)</f>
        <v>1834.27</v>
      </c>
      <c r="Z155" s="836" t="str">
        <f t="shared" si="25"/>
        <v>N</v>
      </c>
      <c r="AA155" s="837" t="str">
        <f t="shared" si="26"/>
        <v>N</v>
      </c>
      <c r="AB155" s="838">
        <f t="shared" si="27"/>
        <v>1834.27</v>
      </c>
      <c r="AC155" s="868">
        <f t="shared" si="28"/>
        <v>0</v>
      </c>
      <c r="AD155" s="876">
        <f t="shared" si="29"/>
        <v>0</v>
      </c>
      <c r="AE155" s="838">
        <f t="shared" si="30"/>
        <v>1925.9835</v>
      </c>
      <c r="AF155" s="838">
        <f t="shared" si="31"/>
        <v>1834.27</v>
      </c>
      <c r="AG155" s="839">
        <f t="shared" si="33"/>
        <v>0</v>
      </c>
      <c r="AH155" s="839">
        <f t="shared" si="34"/>
        <v>1925.98</v>
      </c>
      <c r="AI155" s="840">
        <f t="shared" si="32"/>
        <v>36.69</v>
      </c>
      <c r="AJ155" s="841">
        <f t="shared" si="35"/>
        <v>2.0002507809646342E-2</v>
      </c>
      <c r="AK155" s="446"/>
      <c r="AL155" s="446"/>
      <c r="AM155" s="446"/>
      <c r="AN155" s="446"/>
    </row>
    <row r="156" spans="1:40" ht="15" customHeight="1" x14ac:dyDescent="0.25">
      <c r="A156" s="370">
        <v>151</v>
      </c>
      <c r="B156" s="371" t="s">
        <v>979</v>
      </c>
      <c r="C156" s="370" t="s">
        <v>980</v>
      </c>
      <c r="D156" s="370" t="s">
        <v>981</v>
      </c>
      <c r="E156" s="370" t="s">
        <v>321</v>
      </c>
      <c r="F156" s="370" t="s">
        <v>330</v>
      </c>
      <c r="G156" s="386">
        <f>INDEX('CTR1 Data Previous Year'!$B:$B,MATCH($D156,'CTR1 Data Previous Year'!$A:$A,0),1)</f>
        <v>5775625</v>
      </c>
      <c r="H156" s="386">
        <f>INDEX('CTR1 Data Previous Year'!$C:$C,MATCH($D156,'CTR1 Data Previous Year'!$A:$A,0),1)</f>
        <v>606669</v>
      </c>
      <c r="I156" s="386">
        <f>INDEX('CTR1 Data Previous Year'!$D:$D,MATCH($D156,'CTR1 Data Previous Year'!$A:$A,0),1)</f>
        <v>911270</v>
      </c>
      <c r="J156" s="386">
        <f>INDEX('CTR1 Data Previous Year'!$E:$E,MATCH($D156,'CTR1 Data Previous Year'!$A:$A,0),1)</f>
        <v>4864355</v>
      </c>
      <c r="K156" s="386">
        <f>INDEX('CTR1 Data Previous Year'!$F:$F,MATCH($D156,'CTR1 Data Previous Year'!$A:$A,0),1)</f>
        <v>29964</v>
      </c>
      <c r="L156" s="465">
        <f>INDEX('CTR1 Data Previous Year'!$G:$G,MATCH($D156,'CTR1 Data Previous Year'!$A:$A,0),1)</f>
        <v>20597.330000000002</v>
      </c>
      <c r="M156" s="455">
        <f>INDEX('CTR1 Data Previous Year'!$H:$H,MATCH($D156,'CTR1 Data Previous Year'!$A:$A,0),1)</f>
        <v>0.99099999999999999</v>
      </c>
      <c r="N156" s="465">
        <f>INDEX('CTR1 Data Previous Year'!$I:$I,MATCH($D156,'CTR1 Data Previous Year'!$A:$A,0),1)</f>
        <v>47.1</v>
      </c>
      <c r="O156" s="160" t="s">
        <v>454</v>
      </c>
      <c r="P156" s="817" t="s">
        <v>455</v>
      </c>
      <c r="Q156" s="820" t="s">
        <v>456</v>
      </c>
      <c r="R156" s="817" t="s">
        <v>457</v>
      </c>
      <c r="S156" s="821" t="s">
        <v>458</v>
      </c>
      <c r="T156" s="817" t="s">
        <v>459</v>
      </c>
      <c r="U156" s="160"/>
      <c r="V156" s="817"/>
      <c r="W156" s="465">
        <f>INDEX('CTR1 Data Previous Year'!$J:$J,MATCH($D156,'CTR1 Data Previous Year'!$A:$A,0),1)</f>
        <v>20459.05</v>
      </c>
      <c r="X156" s="465">
        <f>INDEX('CTR1 Data Previous Year'!$K:$K,MATCH($D156,'CTR1 Data Previous Year'!$A:$A,0),1)</f>
        <v>282.3</v>
      </c>
      <c r="Y156" s="465">
        <f>INDEX('CTR1 Data Previous Year'!$L:$L,MATCH($D156,'CTR1 Data Previous Year'!$A:$A,0),1)</f>
        <v>237.76</v>
      </c>
      <c r="Z156" s="836" t="str">
        <f t="shared" si="25"/>
        <v>N</v>
      </c>
      <c r="AA156" s="837" t="str">
        <f t="shared" si="26"/>
        <v>N</v>
      </c>
      <c r="AB156" s="838">
        <f t="shared" si="27"/>
        <v>237.76</v>
      </c>
      <c r="AC156" s="868">
        <f t="shared" si="28"/>
        <v>0</v>
      </c>
      <c r="AD156" s="876">
        <f t="shared" si="29"/>
        <v>0</v>
      </c>
      <c r="AE156" s="838">
        <f t="shared" si="30"/>
        <v>244.89279999999999</v>
      </c>
      <c r="AF156" s="838">
        <f t="shared" si="31"/>
        <v>242.76</v>
      </c>
      <c r="AG156" s="839">
        <f t="shared" si="33"/>
        <v>0</v>
      </c>
      <c r="AH156" s="839">
        <f t="shared" si="34"/>
        <v>244.89</v>
      </c>
      <c r="AI156" s="840">
        <f t="shared" si="32"/>
        <v>0</v>
      </c>
      <c r="AJ156" s="841">
        <f t="shared" si="35"/>
        <v>0</v>
      </c>
      <c r="AK156" s="446"/>
      <c r="AL156" s="446"/>
      <c r="AM156" s="446"/>
      <c r="AN156" s="446"/>
    </row>
    <row r="157" spans="1:40" ht="15" customHeight="1" x14ac:dyDescent="0.25">
      <c r="A157" s="370">
        <v>152</v>
      </c>
      <c r="B157" s="371" t="s">
        <v>982</v>
      </c>
      <c r="C157" s="370" t="s">
        <v>983</v>
      </c>
      <c r="D157" s="370" t="s">
        <v>984</v>
      </c>
      <c r="E157" s="370" t="s">
        <v>343</v>
      </c>
      <c r="F157" s="370" t="s">
        <v>378</v>
      </c>
      <c r="G157" s="386">
        <f>INDEX('CTR1 Data Previous Year'!$B:$B,MATCH($D157,'CTR1 Data Previous Year'!$A:$A,0),1)</f>
        <v>126771000</v>
      </c>
      <c r="H157" s="386">
        <f>INDEX('CTR1 Data Previous Year'!$C:$C,MATCH($D157,'CTR1 Data Previous Year'!$A:$A,0),1)</f>
        <v>0</v>
      </c>
      <c r="I157" s="386">
        <f>INDEX('CTR1 Data Previous Year'!$D:$D,MATCH($D157,'CTR1 Data Previous Year'!$A:$A,0),1)</f>
        <v>0</v>
      </c>
      <c r="J157" s="386">
        <f>INDEX('CTR1 Data Previous Year'!$E:$E,MATCH($D157,'CTR1 Data Previous Year'!$A:$A,0),1)</f>
        <v>126771000</v>
      </c>
      <c r="K157" s="386">
        <f>INDEX('CTR1 Data Previous Year'!$F:$F,MATCH($D157,'CTR1 Data Previous Year'!$A:$A,0),1)</f>
        <v>893587</v>
      </c>
      <c r="L157" s="465">
        <f>INDEX('CTR1 Data Previous Year'!$G:$G,MATCH($D157,'CTR1 Data Previous Year'!$A:$A,0),1)</f>
        <v>80026.84</v>
      </c>
      <c r="M157" s="455">
        <f>INDEX('CTR1 Data Previous Year'!$H:$H,MATCH($D157,'CTR1 Data Previous Year'!$A:$A,0),1)</f>
        <v>0.98750000000000004</v>
      </c>
      <c r="N157" s="465">
        <f>INDEX('CTR1 Data Previous Year'!$I:$I,MATCH($D157,'CTR1 Data Previous Year'!$A:$A,0),1)</f>
        <v>5.3</v>
      </c>
      <c r="O157" s="160" t="s">
        <v>379</v>
      </c>
      <c r="P157" s="862" t="s">
        <v>380</v>
      </c>
      <c r="Q157" s="820"/>
      <c r="R157" s="817"/>
      <c r="S157" s="821" t="s">
        <v>129</v>
      </c>
      <c r="T157" s="817"/>
      <c r="U157" s="160"/>
      <c r="V157" s="817"/>
      <c r="W157" s="465">
        <f>INDEX('CTR1 Data Previous Year'!$J:$J,MATCH($D157,'CTR1 Data Previous Year'!$A:$A,0),1)</f>
        <v>79031.8</v>
      </c>
      <c r="X157" s="465">
        <f>INDEX('CTR1 Data Previous Year'!$K:$K,MATCH($D157,'CTR1 Data Previous Year'!$A:$A,0),1)</f>
        <v>1604.05</v>
      </c>
      <c r="Y157" s="465">
        <f>INDEX('CTR1 Data Previous Year'!$L:$L,MATCH($D157,'CTR1 Data Previous Year'!$A:$A,0),1)</f>
        <v>1604.05</v>
      </c>
      <c r="Z157" s="836" t="str">
        <f t="shared" si="25"/>
        <v>N</v>
      </c>
      <c r="AA157" s="837" t="str">
        <f t="shared" si="26"/>
        <v>N</v>
      </c>
      <c r="AB157" s="838">
        <f t="shared" si="27"/>
        <v>1604.05</v>
      </c>
      <c r="AC157" s="868">
        <f t="shared" si="28"/>
        <v>0</v>
      </c>
      <c r="AD157" s="876">
        <f t="shared" si="29"/>
        <v>0</v>
      </c>
      <c r="AE157" s="838">
        <f t="shared" si="30"/>
        <v>1684.2525000000001</v>
      </c>
      <c r="AF157" s="838">
        <f t="shared" si="31"/>
        <v>1604.05</v>
      </c>
      <c r="AG157" s="839">
        <f t="shared" si="33"/>
        <v>0</v>
      </c>
      <c r="AH157" s="839">
        <f t="shared" si="34"/>
        <v>1684.25</v>
      </c>
      <c r="AI157" s="840">
        <f t="shared" si="32"/>
        <v>32.08</v>
      </c>
      <c r="AJ157" s="841">
        <f t="shared" si="35"/>
        <v>1.9999376578036843E-2</v>
      </c>
      <c r="AK157" s="446"/>
      <c r="AL157" s="446"/>
      <c r="AM157" s="446"/>
      <c r="AN157" s="446"/>
    </row>
    <row r="158" spans="1:40" ht="15" customHeight="1" x14ac:dyDescent="0.25">
      <c r="A158" s="370">
        <v>153</v>
      </c>
      <c r="B158" s="371" t="s">
        <v>985</v>
      </c>
      <c r="C158" s="370" t="s">
        <v>986</v>
      </c>
      <c r="D158" s="370" t="s">
        <v>987</v>
      </c>
      <c r="E158" s="370" t="s">
        <v>321</v>
      </c>
      <c r="F158" s="370" t="s">
        <v>425</v>
      </c>
      <c r="G158" s="386">
        <f>INDEX('CTR1 Data Previous Year'!$B:$B,MATCH($D158,'CTR1 Data Previous Year'!$A:$A,0),1)</f>
        <v>10050700.560000001</v>
      </c>
      <c r="H158" s="386">
        <f>INDEX('CTR1 Data Previous Year'!$C:$C,MATCH($D158,'CTR1 Data Previous Year'!$A:$A,0),1)</f>
        <v>0</v>
      </c>
      <c r="I158" s="386">
        <f>INDEX('CTR1 Data Previous Year'!$D:$D,MATCH($D158,'CTR1 Data Previous Year'!$A:$A,0),1)</f>
        <v>2701848</v>
      </c>
      <c r="J158" s="386">
        <f>INDEX('CTR1 Data Previous Year'!$E:$E,MATCH($D158,'CTR1 Data Previous Year'!$A:$A,0),1)</f>
        <v>7348852.5599999996</v>
      </c>
      <c r="K158" s="386">
        <f>INDEX('CTR1 Data Previous Year'!$F:$F,MATCH($D158,'CTR1 Data Previous Year'!$A:$A,0),1)</f>
        <v>0</v>
      </c>
      <c r="L158" s="465">
        <f>INDEX('CTR1 Data Previous Year'!$G:$G,MATCH($D158,'CTR1 Data Previous Year'!$A:$A,0),1)</f>
        <v>31520.91</v>
      </c>
      <c r="M158" s="455">
        <f>INDEX('CTR1 Data Previous Year'!$H:$H,MATCH($D158,'CTR1 Data Previous Year'!$A:$A,0),1)</f>
        <v>0.9750008</v>
      </c>
      <c r="N158" s="465">
        <f>INDEX('CTR1 Data Previous Year'!$I:$I,MATCH($D158,'CTR1 Data Previous Year'!$A:$A,0),1)</f>
        <v>0</v>
      </c>
      <c r="O158" s="160" t="s">
        <v>727</v>
      </c>
      <c r="P158" s="817" t="s">
        <v>728</v>
      </c>
      <c r="Q158" s="820" t="s">
        <v>658</v>
      </c>
      <c r="R158" s="817" t="s">
        <v>659</v>
      </c>
      <c r="S158" s="821" t="s">
        <v>729</v>
      </c>
      <c r="T158" s="817" t="s">
        <v>730</v>
      </c>
      <c r="U158" s="160"/>
      <c r="V158" s="817"/>
      <c r="W158" s="465">
        <f>INDEX('CTR1 Data Previous Year'!$J:$J,MATCH($D158,'CTR1 Data Previous Year'!$A:$A,0),1)</f>
        <v>30732.91</v>
      </c>
      <c r="X158" s="465">
        <f>INDEX('CTR1 Data Previous Year'!$K:$K,MATCH($D158,'CTR1 Data Previous Year'!$A:$A,0),1)</f>
        <v>327.02999999999997</v>
      </c>
      <c r="Y158" s="465">
        <f>INDEX('CTR1 Data Previous Year'!$L:$L,MATCH($D158,'CTR1 Data Previous Year'!$A:$A,0),1)</f>
        <v>239.12</v>
      </c>
      <c r="Z158" s="836" t="str">
        <f t="shared" si="25"/>
        <v>N</v>
      </c>
      <c r="AA158" s="837" t="str">
        <f t="shared" si="26"/>
        <v>N</v>
      </c>
      <c r="AB158" s="838">
        <f t="shared" si="27"/>
        <v>239.12</v>
      </c>
      <c r="AC158" s="868">
        <f t="shared" si="28"/>
        <v>0</v>
      </c>
      <c r="AD158" s="876">
        <f t="shared" si="29"/>
        <v>0</v>
      </c>
      <c r="AE158" s="838">
        <f t="shared" si="30"/>
        <v>246.2936</v>
      </c>
      <c r="AF158" s="838">
        <f t="shared" si="31"/>
        <v>244.12</v>
      </c>
      <c r="AG158" s="839">
        <f t="shared" si="33"/>
        <v>0</v>
      </c>
      <c r="AH158" s="839">
        <f t="shared" si="34"/>
        <v>246.29</v>
      </c>
      <c r="AI158" s="840">
        <f t="shared" si="32"/>
        <v>0</v>
      </c>
      <c r="AJ158" s="841">
        <f t="shared" si="35"/>
        <v>0</v>
      </c>
      <c r="AK158" s="446"/>
      <c r="AL158" s="446"/>
      <c r="AM158" s="446"/>
      <c r="AN158" s="446"/>
    </row>
    <row r="159" spans="1:40" ht="15" customHeight="1" x14ac:dyDescent="0.25">
      <c r="A159" s="370">
        <v>154</v>
      </c>
      <c r="B159" s="371" t="s">
        <v>988</v>
      </c>
      <c r="C159" s="370" t="s">
        <v>989</v>
      </c>
      <c r="D159" s="370" t="s">
        <v>990</v>
      </c>
      <c r="E159" s="370" t="s">
        <v>321</v>
      </c>
      <c r="F159" s="370" t="s">
        <v>368</v>
      </c>
      <c r="G159" s="386">
        <f>INDEX('CTR1 Data Previous Year'!$B:$B,MATCH($D159,'CTR1 Data Previous Year'!$A:$A,0),1)</f>
        <v>11531003</v>
      </c>
      <c r="H159" s="386">
        <f>INDEX('CTR1 Data Previous Year'!$C:$C,MATCH($D159,'CTR1 Data Previous Year'!$A:$A,0),1)</f>
        <v>0</v>
      </c>
      <c r="I159" s="386">
        <f>INDEX('CTR1 Data Previous Year'!$D:$D,MATCH($D159,'CTR1 Data Previous Year'!$A:$A,0),1)</f>
        <v>4041481</v>
      </c>
      <c r="J159" s="386">
        <f>INDEX('CTR1 Data Previous Year'!$E:$E,MATCH($D159,'CTR1 Data Previous Year'!$A:$A,0),1)</f>
        <v>7489522</v>
      </c>
      <c r="K159" s="386">
        <f>INDEX('CTR1 Data Previous Year'!$F:$F,MATCH($D159,'CTR1 Data Previous Year'!$A:$A,0),1)</f>
        <v>0</v>
      </c>
      <c r="L159" s="465">
        <f>INDEX('CTR1 Data Previous Year'!$G:$G,MATCH($D159,'CTR1 Data Previous Year'!$A:$A,0),1)</f>
        <v>43026.92</v>
      </c>
      <c r="M159" s="455">
        <f>INDEX('CTR1 Data Previous Year'!$H:$H,MATCH($D159,'CTR1 Data Previous Year'!$A:$A,0),1)</f>
        <v>0.99</v>
      </c>
      <c r="N159" s="465">
        <f>INDEX('CTR1 Data Previous Year'!$I:$I,MATCH($D159,'CTR1 Data Previous Year'!$A:$A,0),1)</f>
        <v>194.4</v>
      </c>
      <c r="O159" s="160" t="s">
        <v>369</v>
      </c>
      <c r="P159" s="817" t="s">
        <v>370</v>
      </c>
      <c r="Q159" s="820" t="s">
        <v>371</v>
      </c>
      <c r="R159" s="817" t="s">
        <v>372</v>
      </c>
      <c r="S159" s="821" t="s">
        <v>129</v>
      </c>
      <c r="T159" s="817"/>
      <c r="U159" s="160"/>
      <c r="V159" s="817"/>
      <c r="W159" s="465">
        <f>INDEX('CTR1 Data Previous Year'!$J:$J,MATCH($D159,'CTR1 Data Previous Year'!$A:$A,0),1)</f>
        <v>42791.05</v>
      </c>
      <c r="X159" s="465">
        <f>INDEX('CTR1 Data Previous Year'!$K:$K,MATCH($D159,'CTR1 Data Previous Year'!$A:$A,0),1)</f>
        <v>269.47000000000003</v>
      </c>
      <c r="Y159" s="465">
        <f>INDEX('CTR1 Data Previous Year'!$L:$L,MATCH($D159,'CTR1 Data Previous Year'!$A:$A,0),1)</f>
        <v>175.03</v>
      </c>
      <c r="Z159" s="836" t="str">
        <f t="shared" si="25"/>
        <v>N</v>
      </c>
      <c r="AA159" s="837" t="str">
        <f t="shared" si="26"/>
        <v>N</v>
      </c>
      <c r="AB159" s="838">
        <f t="shared" si="27"/>
        <v>175.03</v>
      </c>
      <c r="AC159" s="868">
        <f t="shared" si="28"/>
        <v>0</v>
      </c>
      <c r="AD159" s="876">
        <f t="shared" si="29"/>
        <v>0</v>
      </c>
      <c r="AE159" s="838">
        <f t="shared" si="30"/>
        <v>180.2809</v>
      </c>
      <c r="AF159" s="838">
        <f t="shared" si="31"/>
        <v>180.03</v>
      </c>
      <c r="AG159" s="839">
        <f t="shared" si="33"/>
        <v>0</v>
      </c>
      <c r="AH159" s="839">
        <f t="shared" si="34"/>
        <v>180.28</v>
      </c>
      <c r="AI159" s="840">
        <f t="shared" si="32"/>
        <v>0</v>
      </c>
      <c r="AJ159" s="841">
        <f t="shared" si="35"/>
        <v>0</v>
      </c>
      <c r="AK159" s="446"/>
      <c r="AL159" s="446"/>
      <c r="AM159" s="446"/>
      <c r="AN159" s="446"/>
    </row>
    <row r="160" spans="1:40" ht="15" customHeight="1" x14ac:dyDescent="0.25">
      <c r="A160" s="370">
        <v>155</v>
      </c>
      <c r="B160" s="371" t="s">
        <v>991</v>
      </c>
      <c r="C160" s="370" t="s">
        <v>992</v>
      </c>
      <c r="D160" s="370" t="s">
        <v>993</v>
      </c>
      <c r="E160" s="370" t="s">
        <v>321</v>
      </c>
      <c r="F160" s="370" t="s">
        <v>322</v>
      </c>
      <c r="G160" s="386">
        <f>INDEX('CTR1 Data Previous Year'!$B:$B,MATCH($D160,'CTR1 Data Previous Year'!$A:$A,0),1)</f>
        <v>19306799</v>
      </c>
      <c r="H160" s="386">
        <f>INDEX('CTR1 Data Previous Year'!$C:$C,MATCH($D160,'CTR1 Data Previous Year'!$A:$A,0),1)</f>
        <v>0</v>
      </c>
      <c r="I160" s="386">
        <f>INDEX('CTR1 Data Previous Year'!$D:$D,MATCH($D160,'CTR1 Data Previous Year'!$A:$A,0),1)</f>
        <v>6185825</v>
      </c>
      <c r="J160" s="386">
        <f>INDEX('CTR1 Data Previous Year'!$E:$E,MATCH($D160,'CTR1 Data Previous Year'!$A:$A,0),1)</f>
        <v>13120974</v>
      </c>
      <c r="K160" s="386">
        <f>INDEX('CTR1 Data Previous Year'!$F:$F,MATCH($D160,'CTR1 Data Previous Year'!$A:$A,0),1)</f>
        <v>1149.77</v>
      </c>
      <c r="L160" s="465">
        <f>INDEX('CTR1 Data Previous Year'!$G:$G,MATCH($D160,'CTR1 Data Previous Year'!$A:$A,0),1)</f>
        <v>67200.413329999996</v>
      </c>
      <c r="M160" s="455">
        <f>INDEX('CTR1 Data Previous Year'!$H:$H,MATCH($D160,'CTR1 Data Previous Year'!$A:$A,0),1)</f>
        <v>0.99399999999999999</v>
      </c>
      <c r="N160" s="465">
        <f>INDEX('CTR1 Data Previous Year'!$I:$I,MATCH($D160,'CTR1 Data Previous Year'!$A:$A,0),1)</f>
        <v>0</v>
      </c>
      <c r="O160" s="160" t="s">
        <v>323</v>
      </c>
      <c r="P160" s="817" t="s">
        <v>324</v>
      </c>
      <c r="Q160" s="820" t="s">
        <v>325</v>
      </c>
      <c r="R160" s="817" t="s">
        <v>326</v>
      </c>
      <c r="S160" s="821" t="s">
        <v>129</v>
      </c>
      <c r="T160" s="817"/>
      <c r="U160" s="160"/>
      <c r="V160" s="817"/>
      <c r="W160" s="465">
        <f>INDEX('CTR1 Data Previous Year'!$J:$J,MATCH($D160,'CTR1 Data Previous Year'!$A:$A,0),1)</f>
        <v>66797.210000000006</v>
      </c>
      <c r="X160" s="465">
        <f>INDEX('CTR1 Data Previous Year'!$K:$K,MATCH($D160,'CTR1 Data Previous Year'!$A:$A,0),1)</f>
        <v>289.04000000000002</v>
      </c>
      <c r="Y160" s="465">
        <f>INDEX('CTR1 Data Previous Year'!$L:$L,MATCH($D160,'CTR1 Data Previous Year'!$A:$A,0),1)</f>
        <v>196.43</v>
      </c>
      <c r="Z160" s="836" t="str">
        <f t="shared" si="25"/>
        <v>N</v>
      </c>
      <c r="AA160" s="837" t="str">
        <f t="shared" si="26"/>
        <v>N</v>
      </c>
      <c r="AB160" s="838">
        <f t="shared" si="27"/>
        <v>196.43</v>
      </c>
      <c r="AC160" s="868">
        <f t="shared" si="28"/>
        <v>0</v>
      </c>
      <c r="AD160" s="876">
        <f t="shared" si="29"/>
        <v>0</v>
      </c>
      <c r="AE160" s="838">
        <f t="shared" si="30"/>
        <v>202.3229</v>
      </c>
      <c r="AF160" s="838">
        <f t="shared" si="31"/>
        <v>201.43</v>
      </c>
      <c r="AG160" s="839">
        <f t="shared" si="33"/>
        <v>0</v>
      </c>
      <c r="AH160" s="839">
        <f t="shared" si="34"/>
        <v>202.32</v>
      </c>
      <c r="AI160" s="840">
        <f t="shared" si="32"/>
        <v>0</v>
      </c>
      <c r="AJ160" s="841">
        <f t="shared" si="35"/>
        <v>0</v>
      </c>
      <c r="AK160" s="446"/>
      <c r="AL160" s="446"/>
      <c r="AM160" s="446"/>
      <c r="AN160" s="446"/>
    </row>
    <row r="161" spans="1:51" ht="15" customHeight="1" x14ac:dyDescent="0.25">
      <c r="A161" s="370">
        <v>156</v>
      </c>
      <c r="B161" s="371" t="s">
        <v>994</v>
      </c>
      <c r="C161" s="370" t="s">
        <v>995</v>
      </c>
      <c r="D161" s="370" t="s">
        <v>996</v>
      </c>
      <c r="E161" s="370" t="s">
        <v>339</v>
      </c>
      <c r="F161" s="370" t="s">
        <v>685</v>
      </c>
      <c r="G161" s="386">
        <f>INDEX('CTR1 Data Previous Year'!$B:$B,MATCH($D161,'CTR1 Data Previous Year'!$A:$A,0),1)</f>
        <v>75783139</v>
      </c>
      <c r="H161" s="386">
        <f>INDEX('CTR1 Data Previous Year'!$C:$C,MATCH($D161,'CTR1 Data Previous Year'!$A:$A,0),1)</f>
        <v>0</v>
      </c>
      <c r="I161" s="386">
        <f>INDEX('CTR1 Data Previous Year'!$D:$D,MATCH($D161,'CTR1 Data Previous Year'!$A:$A,0),1)</f>
        <v>40881</v>
      </c>
      <c r="J161" s="386">
        <f>INDEX('CTR1 Data Previous Year'!$E:$E,MATCH($D161,'CTR1 Data Previous Year'!$A:$A,0),1)</f>
        <v>75742258</v>
      </c>
      <c r="K161" s="386">
        <f>INDEX('CTR1 Data Previous Year'!$F:$F,MATCH($D161,'CTR1 Data Previous Year'!$A:$A,0),1)</f>
        <v>131798</v>
      </c>
      <c r="L161" s="465">
        <f>INDEX('CTR1 Data Previous Year'!$G:$G,MATCH($D161,'CTR1 Data Previous Year'!$A:$A,0),1)</f>
        <v>37145.370000000003</v>
      </c>
      <c r="M161" s="455">
        <f>INDEX('CTR1 Data Previous Year'!$H:$H,MATCH($D161,'CTR1 Data Previous Year'!$A:$A,0),1)</f>
        <v>0.98299999999999998</v>
      </c>
      <c r="N161" s="465">
        <f>INDEX('CTR1 Data Previous Year'!$I:$I,MATCH($D161,'CTR1 Data Previous Year'!$A:$A,0),1)</f>
        <v>0</v>
      </c>
      <c r="O161" s="160" t="s">
        <v>129</v>
      </c>
      <c r="P161" s="817"/>
      <c r="Q161" s="820" t="s">
        <v>857</v>
      </c>
      <c r="R161" s="817" t="s">
        <v>858</v>
      </c>
      <c r="S161" s="821" t="s">
        <v>859</v>
      </c>
      <c r="T161" s="817" t="s">
        <v>860</v>
      </c>
      <c r="U161" s="822" t="s">
        <v>690</v>
      </c>
      <c r="V161" s="817" t="s">
        <v>691</v>
      </c>
      <c r="W161" s="465">
        <f>INDEX('CTR1 Data Previous Year'!$J:$J,MATCH($D161,'CTR1 Data Previous Year'!$A:$A,0),1)</f>
        <v>36513.9</v>
      </c>
      <c r="X161" s="465">
        <f>INDEX('CTR1 Data Previous Year'!$K:$K,MATCH($D161,'CTR1 Data Previous Year'!$A:$A,0),1)</f>
        <v>2075.46</v>
      </c>
      <c r="Y161" s="465">
        <f>INDEX('CTR1 Data Previous Year'!$L:$L,MATCH($D161,'CTR1 Data Previous Year'!$A:$A,0),1)</f>
        <v>2074.34</v>
      </c>
      <c r="Z161" s="836" t="str">
        <f t="shared" si="25"/>
        <v>N</v>
      </c>
      <c r="AA161" s="837" t="str">
        <f t="shared" si="26"/>
        <v>N</v>
      </c>
      <c r="AB161" s="838">
        <f t="shared" si="27"/>
        <v>2074.34</v>
      </c>
      <c r="AC161" s="868">
        <f t="shared" si="28"/>
        <v>0</v>
      </c>
      <c r="AD161" s="876">
        <f t="shared" si="29"/>
        <v>0</v>
      </c>
      <c r="AE161" s="838">
        <f t="shared" si="30"/>
        <v>2178.0570000000002</v>
      </c>
      <c r="AF161" s="838">
        <f t="shared" si="31"/>
        <v>2074.34</v>
      </c>
      <c r="AG161" s="839">
        <f t="shared" si="33"/>
        <v>0</v>
      </c>
      <c r="AH161" s="839">
        <f t="shared" si="34"/>
        <v>2178.06</v>
      </c>
      <c r="AI161" s="840">
        <f t="shared" si="32"/>
        <v>41.49</v>
      </c>
      <c r="AJ161" s="841">
        <f t="shared" si="35"/>
        <v>2.000154265935189E-2</v>
      </c>
      <c r="AK161" s="446"/>
      <c r="AL161" s="446"/>
      <c r="AM161" s="446"/>
      <c r="AN161" s="446"/>
    </row>
    <row r="162" spans="1:51" ht="15" customHeight="1" x14ac:dyDescent="0.25">
      <c r="A162" s="370">
        <v>157</v>
      </c>
      <c r="B162" s="371" t="s">
        <v>997</v>
      </c>
      <c r="C162" s="370" t="s">
        <v>998</v>
      </c>
      <c r="D162" s="370" t="s">
        <v>999</v>
      </c>
      <c r="E162" s="370" t="s">
        <v>339</v>
      </c>
      <c r="F162" s="370" t="s">
        <v>322</v>
      </c>
      <c r="G162" s="386">
        <f>INDEX('CTR1 Data Previous Year'!$B:$B,MATCH($D162,'CTR1 Data Previous Year'!$A:$A,0),1)</f>
        <v>188333151</v>
      </c>
      <c r="H162" s="386">
        <f>INDEX('CTR1 Data Previous Year'!$C:$C,MATCH($D162,'CTR1 Data Previous Year'!$A:$A,0),1)</f>
        <v>0</v>
      </c>
      <c r="I162" s="386">
        <f>INDEX('CTR1 Data Previous Year'!$D:$D,MATCH($D162,'CTR1 Data Previous Year'!$A:$A,0),1)</f>
        <v>13003889</v>
      </c>
      <c r="J162" s="386">
        <f>INDEX('CTR1 Data Previous Year'!$E:$E,MATCH($D162,'CTR1 Data Previous Year'!$A:$A,0),1)</f>
        <v>175329262</v>
      </c>
      <c r="K162" s="386">
        <f>INDEX('CTR1 Data Previous Year'!$F:$F,MATCH($D162,'CTR1 Data Previous Year'!$A:$A,0),1)</f>
        <v>598308</v>
      </c>
      <c r="L162" s="465">
        <f>INDEX('CTR1 Data Previous Year'!$G:$G,MATCH($D162,'CTR1 Data Previous Year'!$A:$A,0),1)</f>
        <v>100438.26</v>
      </c>
      <c r="M162" s="455">
        <f>INDEX('CTR1 Data Previous Year'!$H:$H,MATCH($D162,'CTR1 Data Previous Year'!$A:$A,0),1)</f>
        <v>0.99199999999999999</v>
      </c>
      <c r="N162" s="465">
        <f>INDEX('CTR1 Data Previous Year'!$I:$I,MATCH($D162,'CTR1 Data Previous Year'!$A:$A,0),1)</f>
        <v>0</v>
      </c>
      <c r="O162" s="160" t="s">
        <v>129</v>
      </c>
      <c r="P162" s="817"/>
      <c r="Q162" s="820" t="s">
        <v>500</v>
      </c>
      <c r="R162" s="817" t="s">
        <v>501</v>
      </c>
      <c r="S162" s="821" t="s">
        <v>567</v>
      </c>
      <c r="T162" s="817" t="s">
        <v>568</v>
      </c>
      <c r="U162" s="160"/>
      <c r="V162" s="817"/>
      <c r="W162" s="465">
        <f>INDEX('CTR1 Data Previous Year'!$J:$J,MATCH($D162,'CTR1 Data Previous Year'!$A:$A,0),1)</f>
        <v>99634.75</v>
      </c>
      <c r="X162" s="465">
        <f>INDEX('CTR1 Data Previous Year'!$K:$K,MATCH($D162,'CTR1 Data Previous Year'!$A:$A,0),1)</f>
        <v>1890.24</v>
      </c>
      <c r="Y162" s="465">
        <f>INDEX('CTR1 Data Previous Year'!$L:$L,MATCH($D162,'CTR1 Data Previous Year'!$A:$A,0),1)</f>
        <v>1759.72</v>
      </c>
      <c r="Z162" s="836" t="str">
        <f t="shared" si="25"/>
        <v>N</v>
      </c>
      <c r="AA162" s="837" t="str">
        <f t="shared" si="26"/>
        <v>N</v>
      </c>
      <c r="AB162" s="838">
        <f t="shared" si="27"/>
        <v>1759.72</v>
      </c>
      <c r="AC162" s="868">
        <f t="shared" si="28"/>
        <v>0</v>
      </c>
      <c r="AD162" s="876">
        <f t="shared" si="29"/>
        <v>0</v>
      </c>
      <c r="AE162" s="838">
        <f t="shared" si="30"/>
        <v>1847.7060000000001</v>
      </c>
      <c r="AF162" s="838">
        <f t="shared" si="31"/>
        <v>1759.72</v>
      </c>
      <c r="AG162" s="839">
        <f t="shared" si="33"/>
        <v>0</v>
      </c>
      <c r="AH162" s="839">
        <f t="shared" si="34"/>
        <v>1847.71</v>
      </c>
      <c r="AI162" s="840">
        <f t="shared" si="32"/>
        <v>35.19</v>
      </c>
      <c r="AJ162" s="841">
        <f t="shared" si="35"/>
        <v>1.999749960220944E-2</v>
      </c>
      <c r="AK162" s="446"/>
      <c r="AL162" s="446"/>
      <c r="AM162" s="446"/>
      <c r="AN162" s="446"/>
    </row>
    <row r="163" spans="1:51" ht="15" customHeight="1" x14ac:dyDescent="0.25">
      <c r="A163" s="370">
        <v>158</v>
      </c>
      <c r="B163" s="371" t="s">
        <v>1000</v>
      </c>
      <c r="C163" s="370" t="s">
        <v>1001</v>
      </c>
      <c r="D163" s="370" t="s">
        <v>1002</v>
      </c>
      <c r="E163" s="370" t="s">
        <v>321</v>
      </c>
      <c r="F163" s="370" t="s">
        <v>322</v>
      </c>
      <c r="G163" s="386">
        <f>INDEX('CTR1 Data Previous Year'!$B:$B,MATCH($D163,'CTR1 Data Previous Year'!$A:$A,0),1)</f>
        <v>9402724</v>
      </c>
      <c r="H163" s="386">
        <f>INDEX('CTR1 Data Previous Year'!$C:$C,MATCH($D163,'CTR1 Data Previous Year'!$A:$A,0),1)</f>
        <v>0</v>
      </c>
      <c r="I163" s="386">
        <f>INDEX('CTR1 Data Previous Year'!$D:$D,MATCH($D163,'CTR1 Data Previous Year'!$A:$A,0),1)</f>
        <v>447220</v>
      </c>
      <c r="J163" s="386">
        <f>INDEX('CTR1 Data Previous Year'!$E:$E,MATCH($D163,'CTR1 Data Previous Year'!$A:$A,0),1)</f>
        <v>8955504</v>
      </c>
      <c r="K163" s="386">
        <f>INDEX('CTR1 Data Previous Year'!$F:$F,MATCH($D163,'CTR1 Data Previous Year'!$A:$A,0),1)</f>
        <v>0</v>
      </c>
      <c r="L163" s="465">
        <f>INDEX('CTR1 Data Previous Year'!$G:$G,MATCH($D163,'CTR1 Data Previous Year'!$A:$A,0),1)</f>
        <v>42815</v>
      </c>
      <c r="M163" s="455">
        <f>INDEX('CTR1 Data Previous Year'!$H:$H,MATCH($D163,'CTR1 Data Previous Year'!$A:$A,0),1)</f>
        <v>0.99</v>
      </c>
      <c r="N163" s="465">
        <f>INDEX('CTR1 Data Previous Year'!$I:$I,MATCH($D163,'CTR1 Data Previous Year'!$A:$A,0),1)</f>
        <v>0</v>
      </c>
      <c r="O163" s="160" t="s">
        <v>766</v>
      </c>
      <c r="P163" s="817" t="s">
        <v>767</v>
      </c>
      <c r="Q163" s="820" t="s">
        <v>768</v>
      </c>
      <c r="R163" s="817" t="s">
        <v>769</v>
      </c>
      <c r="S163" s="821" t="s">
        <v>129</v>
      </c>
      <c r="T163" s="817"/>
      <c r="U163" s="160"/>
      <c r="V163" s="817"/>
      <c r="W163" s="465">
        <f>INDEX('CTR1 Data Previous Year'!$J:$J,MATCH($D163,'CTR1 Data Previous Year'!$A:$A,0),1)</f>
        <v>42386.85</v>
      </c>
      <c r="X163" s="465">
        <f>INDEX('CTR1 Data Previous Year'!$K:$K,MATCH($D163,'CTR1 Data Previous Year'!$A:$A,0),1)</f>
        <v>221.83</v>
      </c>
      <c r="Y163" s="465">
        <f>INDEX('CTR1 Data Previous Year'!$L:$L,MATCH($D163,'CTR1 Data Previous Year'!$A:$A,0),1)</f>
        <v>211.28</v>
      </c>
      <c r="Z163" s="836" t="str">
        <f t="shared" si="25"/>
        <v>N</v>
      </c>
      <c r="AA163" s="837" t="str">
        <f t="shared" si="26"/>
        <v>N</v>
      </c>
      <c r="AB163" s="838">
        <f t="shared" si="27"/>
        <v>211.28</v>
      </c>
      <c r="AC163" s="868">
        <f t="shared" si="28"/>
        <v>0</v>
      </c>
      <c r="AD163" s="876">
        <f t="shared" si="29"/>
        <v>0</v>
      </c>
      <c r="AE163" s="838">
        <f t="shared" si="30"/>
        <v>217.61840000000001</v>
      </c>
      <c r="AF163" s="838">
        <f t="shared" si="31"/>
        <v>216.28</v>
      </c>
      <c r="AG163" s="839">
        <f t="shared" si="33"/>
        <v>0</v>
      </c>
      <c r="AH163" s="839">
        <f t="shared" si="34"/>
        <v>217.62</v>
      </c>
      <c r="AI163" s="840">
        <f t="shared" si="32"/>
        <v>0</v>
      </c>
      <c r="AJ163" s="841">
        <f t="shared" si="35"/>
        <v>0</v>
      </c>
      <c r="AK163" s="446"/>
      <c r="AL163" s="446"/>
      <c r="AM163" s="446"/>
      <c r="AN163" s="446"/>
    </row>
    <row r="164" spans="1:51" ht="15" customHeight="1" x14ac:dyDescent="0.25">
      <c r="A164" s="370">
        <v>159</v>
      </c>
      <c r="B164" s="371" t="s">
        <v>1003</v>
      </c>
      <c r="C164" s="370" t="s">
        <v>1004</v>
      </c>
      <c r="D164" s="370" t="s">
        <v>1005</v>
      </c>
      <c r="E164" s="370" t="s">
        <v>321</v>
      </c>
      <c r="F164" s="370" t="s">
        <v>322</v>
      </c>
      <c r="G164" s="386">
        <f>INDEX('CTR1 Data Previous Year'!$B:$B,MATCH($D164,'CTR1 Data Previous Year'!$A:$A,0),1)</f>
        <v>24224876</v>
      </c>
      <c r="H164" s="386">
        <f>INDEX('CTR1 Data Previous Year'!$C:$C,MATCH($D164,'CTR1 Data Previous Year'!$A:$A,0),1)</f>
        <v>0</v>
      </c>
      <c r="I164" s="386">
        <f>INDEX('CTR1 Data Previous Year'!$D:$D,MATCH($D164,'CTR1 Data Previous Year'!$A:$A,0),1)</f>
        <v>9130576</v>
      </c>
      <c r="J164" s="386">
        <f>INDEX('CTR1 Data Previous Year'!$E:$E,MATCH($D164,'CTR1 Data Previous Year'!$A:$A,0),1)</f>
        <v>15094300</v>
      </c>
      <c r="K164" s="386">
        <f>INDEX('CTR1 Data Previous Year'!$F:$F,MATCH($D164,'CTR1 Data Previous Year'!$A:$A,0),1)</f>
        <v>0</v>
      </c>
      <c r="L164" s="465">
        <f>INDEX('CTR1 Data Previous Year'!$G:$G,MATCH($D164,'CTR1 Data Previous Year'!$A:$A,0),1)</f>
        <v>74249.95</v>
      </c>
      <c r="M164" s="455">
        <f>INDEX('CTR1 Data Previous Year'!$H:$H,MATCH($D164,'CTR1 Data Previous Year'!$A:$A,0),1)</f>
        <v>0.98499999999999999</v>
      </c>
      <c r="N164" s="465">
        <f>INDEX('CTR1 Data Previous Year'!$I:$I,MATCH($D164,'CTR1 Data Previous Year'!$A:$A,0),1)</f>
        <v>218.8</v>
      </c>
      <c r="O164" s="160" t="s">
        <v>411</v>
      </c>
      <c r="P164" s="817" t="s">
        <v>412</v>
      </c>
      <c r="Q164" s="820" t="s">
        <v>413</v>
      </c>
      <c r="R164" s="817" t="s">
        <v>414</v>
      </c>
      <c r="S164" s="821" t="s">
        <v>415</v>
      </c>
      <c r="T164" s="817" t="s">
        <v>416</v>
      </c>
      <c r="U164" s="160"/>
      <c r="V164" s="817"/>
      <c r="W164" s="465">
        <f>INDEX('CTR1 Data Previous Year'!$J:$J,MATCH($D164,'CTR1 Data Previous Year'!$A:$A,0),1)</f>
        <v>73355</v>
      </c>
      <c r="X164" s="465">
        <f>INDEX('CTR1 Data Previous Year'!$K:$K,MATCH($D164,'CTR1 Data Previous Year'!$A:$A,0),1)</f>
        <v>330.24</v>
      </c>
      <c r="Y164" s="465">
        <f>INDEX('CTR1 Data Previous Year'!$L:$L,MATCH($D164,'CTR1 Data Previous Year'!$A:$A,0),1)</f>
        <v>205.77</v>
      </c>
      <c r="Z164" s="836" t="str">
        <f t="shared" si="25"/>
        <v>N</v>
      </c>
      <c r="AA164" s="837" t="str">
        <f t="shared" si="26"/>
        <v>N</v>
      </c>
      <c r="AB164" s="838">
        <f t="shared" si="27"/>
        <v>205.77</v>
      </c>
      <c r="AC164" s="868">
        <f t="shared" si="28"/>
        <v>0</v>
      </c>
      <c r="AD164" s="876">
        <f t="shared" si="29"/>
        <v>0</v>
      </c>
      <c r="AE164" s="838">
        <f t="shared" si="30"/>
        <v>211.94310000000002</v>
      </c>
      <c r="AF164" s="838">
        <f t="shared" si="31"/>
        <v>210.77</v>
      </c>
      <c r="AG164" s="839">
        <f t="shared" si="33"/>
        <v>0</v>
      </c>
      <c r="AH164" s="839">
        <f t="shared" si="34"/>
        <v>211.94</v>
      </c>
      <c r="AI164" s="840">
        <f t="shared" si="32"/>
        <v>0</v>
      </c>
      <c r="AJ164" s="841">
        <f t="shared" si="35"/>
        <v>0</v>
      </c>
      <c r="AK164" s="446"/>
      <c r="AL164" s="446"/>
      <c r="AM164" s="446"/>
      <c r="AN164" s="446"/>
    </row>
    <row r="165" spans="1:51" ht="15" customHeight="1" x14ac:dyDescent="0.25">
      <c r="A165" s="370">
        <v>160</v>
      </c>
      <c r="B165" s="371" t="s">
        <v>1006</v>
      </c>
      <c r="C165" s="370" t="s">
        <v>1007</v>
      </c>
      <c r="D165" s="370" t="s">
        <v>1008</v>
      </c>
      <c r="E165" s="370" t="s">
        <v>321</v>
      </c>
      <c r="F165" s="370" t="s">
        <v>330</v>
      </c>
      <c r="G165" s="386">
        <f>INDEX('CTR1 Data Previous Year'!$B:$B,MATCH($D165,'CTR1 Data Previous Year'!$A:$A,0),1)</f>
        <v>12575542</v>
      </c>
      <c r="H165" s="386">
        <f>INDEX('CTR1 Data Previous Year'!$C:$C,MATCH($D165,'CTR1 Data Previous Year'!$A:$A,0),1)</f>
        <v>0</v>
      </c>
      <c r="I165" s="386">
        <f>INDEX('CTR1 Data Previous Year'!$D:$D,MATCH($D165,'CTR1 Data Previous Year'!$A:$A,0),1)</f>
        <v>4091219</v>
      </c>
      <c r="J165" s="386">
        <f>INDEX('CTR1 Data Previous Year'!$E:$E,MATCH($D165,'CTR1 Data Previous Year'!$A:$A,0),1)</f>
        <v>8484323</v>
      </c>
      <c r="K165" s="386">
        <f>INDEX('CTR1 Data Previous Year'!$F:$F,MATCH($D165,'CTR1 Data Previous Year'!$A:$A,0),1)</f>
        <v>952467</v>
      </c>
      <c r="L165" s="465">
        <f>INDEX('CTR1 Data Previous Year'!$G:$G,MATCH($D165,'CTR1 Data Previous Year'!$A:$A,0),1)</f>
        <v>43021.81</v>
      </c>
      <c r="M165" s="455">
        <f>INDEX('CTR1 Data Previous Year'!$H:$H,MATCH($D165,'CTR1 Data Previous Year'!$A:$A,0),1)</f>
        <v>0.99299999999999999</v>
      </c>
      <c r="N165" s="465">
        <f>INDEX('CTR1 Data Previous Year'!$I:$I,MATCH($D165,'CTR1 Data Previous Year'!$A:$A,0),1)</f>
        <v>0</v>
      </c>
      <c r="O165" s="160" t="s">
        <v>347</v>
      </c>
      <c r="P165" s="817" t="s">
        <v>348</v>
      </c>
      <c r="Q165" s="820" t="s">
        <v>349</v>
      </c>
      <c r="R165" s="817" t="s">
        <v>350</v>
      </c>
      <c r="S165" s="821" t="s">
        <v>351</v>
      </c>
      <c r="T165" s="817" t="s">
        <v>352</v>
      </c>
      <c r="U165" s="822" t="s">
        <v>337</v>
      </c>
      <c r="V165" s="817" t="s">
        <v>338</v>
      </c>
      <c r="W165" s="465">
        <f>INDEX('CTR1 Data Previous Year'!$J:$J,MATCH($D165,'CTR1 Data Previous Year'!$A:$A,0),1)</f>
        <v>42720.66</v>
      </c>
      <c r="X165" s="465">
        <f>INDEX('CTR1 Data Previous Year'!$K:$K,MATCH($D165,'CTR1 Data Previous Year'!$A:$A,0),1)</f>
        <v>294.37</v>
      </c>
      <c r="Y165" s="465">
        <f>INDEX('CTR1 Data Previous Year'!$L:$L,MATCH($D165,'CTR1 Data Previous Year'!$A:$A,0),1)</f>
        <v>198.6</v>
      </c>
      <c r="Z165" s="836" t="str">
        <f t="shared" si="25"/>
        <v>N</v>
      </c>
      <c r="AA165" s="837" t="str">
        <f t="shared" si="26"/>
        <v>N</v>
      </c>
      <c r="AB165" s="838">
        <f t="shared" si="27"/>
        <v>198.6</v>
      </c>
      <c r="AC165" s="868">
        <f t="shared" si="28"/>
        <v>0</v>
      </c>
      <c r="AD165" s="876">
        <f t="shared" si="29"/>
        <v>0</v>
      </c>
      <c r="AE165" s="838">
        <f t="shared" si="30"/>
        <v>204.55799999999999</v>
      </c>
      <c r="AF165" s="838">
        <f t="shared" si="31"/>
        <v>203.6</v>
      </c>
      <c r="AG165" s="839">
        <f t="shared" si="33"/>
        <v>0</v>
      </c>
      <c r="AH165" s="839">
        <f t="shared" si="34"/>
        <v>204.56</v>
      </c>
      <c r="AI165" s="840">
        <f t="shared" si="32"/>
        <v>0</v>
      </c>
      <c r="AJ165" s="841">
        <f t="shared" si="35"/>
        <v>0</v>
      </c>
      <c r="AK165" s="446"/>
      <c r="AL165" s="446"/>
      <c r="AM165" s="446"/>
      <c r="AN165" s="446"/>
    </row>
    <row r="166" spans="1:51" ht="15" customHeight="1" x14ac:dyDescent="0.25">
      <c r="A166" s="370">
        <v>161</v>
      </c>
      <c r="B166" s="371" t="s">
        <v>1009</v>
      </c>
      <c r="C166" s="370" t="s">
        <v>1010</v>
      </c>
      <c r="D166" s="370" t="s">
        <v>1011</v>
      </c>
      <c r="E166" s="370" t="s">
        <v>353</v>
      </c>
      <c r="F166" s="370" t="s">
        <v>685</v>
      </c>
      <c r="G166" s="386">
        <f>INDEX('CTR1 Data Previous Year'!$B:$B,MATCH($D166,'CTR1 Data Previous Year'!$A:$A,0),1)</f>
        <v>149791797</v>
      </c>
      <c r="H166" s="386">
        <f>INDEX('CTR1 Data Previous Year'!$C:$C,MATCH($D166,'CTR1 Data Previous Year'!$A:$A,0),1)</f>
        <v>0</v>
      </c>
      <c r="I166" s="386">
        <f>INDEX('CTR1 Data Previous Year'!$D:$D,MATCH($D166,'CTR1 Data Previous Year'!$A:$A,0),1)</f>
        <v>110267</v>
      </c>
      <c r="J166" s="386">
        <f>INDEX('CTR1 Data Previous Year'!$E:$E,MATCH($D166,'CTR1 Data Previous Year'!$A:$A,0),1)</f>
        <v>149681530</v>
      </c>
      <c r="K166" s="386">
        <f>INDEX('CTR1 Data Previous Year'!$F:$F,MATCH($D166,'CTR1 Data Previous Year'!$A:$A,0),1)</f>
        <v>19844064</v>
      </c>
      <c r="L166" s="465">
        <f>INDEX('CTR1 Data Previous Year'!$G:$G,MATCH($D166,'CTR1 Data Previous Year'!$A:$A,0),1)</f>
        <v>72152</v>
      </c>
      <c r="M166" s="455">
        <f>INDEX('CTR1 Data Previous Year'!$H:$H,MATCH($D166,'CTR1 Data Previous Year'!$A:$A,0),1)</f>
        <v>0.98</v>
      </c>
      <c r="N166" s="465">
        <f>INDEX('CTR1 Data Previous Year'!$I:$I,MATCH($D166,'CTR1 Data Previous Year'!$A:$A,0),1)</f>
        <v>40.9</v>
      </c>
      <c r="O166" s="160" t="s">
        <v>129</v>
      </c>
      <c r="P166" s="817"/>
      <c r="Q166" s="820" t="s">
        <v>803</v>
      </c>
      <c r="R166" s="817" t="s">
        <v>804</v>
      </c>
      <c r="S166" s="821" t="s">
        <v>805</v>
      </c>
      <c r="T166" s="817" t="s">
        <v>806</v>
      </c>
      <c r="U166" s="160" t="s">
        <v>716</v>
      </c>
      <c r="V166" s="817" t="s">
        <v>717</v>
      </c>
      <c r="W166" s="465">
        <f>INDEX('CTR1 Data Previous Year'!$J:$J,MATCH($D166,'CTR1 Data Previous Year'!$A:$A,0),1)</f>
        <v>70749.86</v>
      </c>
      <c r="X166" s="465">
        <f>INDEX('CTR1 Data Previous Year'!$K:$K,MATCH($D166,'CTR1 Data Previous Year'!$A:$A,0),1)</f>
        <v>2117.1999999999998</v>
      </c>
      <c r="Y166" s="465">
        <f>INDEX('CTR1 Data Previous Year'!$L:$L,MATCH($D166,'CTR1 Data Previous Year'!$A:$A,0),1)</f>
        <v>2115.64</v>
      </c>
      <c r="Z166" s="836" t="str">
        <f t="shared" si="25"/>
        <v>N</v>
      </c>
      <c r="AA166" s="837" t="str">
        <f t="shared" si="26"/>
        <v>N</v>
      </c>
      <c r="AB166" s="838">
        <f t="shared" si="27"/>
        <v>2115.64</v>
      </c>
      <c r="AC166" s="868">
        <f t="shared" si="28"/>
        <v>0</v>
      </c>
      <c r="AD166" s="876">
        <f t="shared" si="29"/>
        <v>0</v>
      </c>
      <c r="AE166" s="838">
        <f t="shared" si="30"/>
        <v>2221.422</v>
      </c>
      <c r="AF166" s="838">
        <f t="shared" si="31"/>
        <v>2115.64</v>
      </c>
      <c r="AG166" s="839">
        <f t="shared" si="33"/>
        <v>0</v>
      </c>
      <c r="AH166" s="839">
        <f t="shared" si="34"/>
        <v>2221.42</v>
      </c>
      <c r="AI166" s="840">
        <f t="shared" si="32"/>
        <v>42.31</v>
      </c>
      <c r="AJ166" s="841">
        <f t="shared" si="35"/>
        <v>1.9998676523416085E-2</v>
      </c>
      <c r="AK166" s="446"/>
      <c r="AL166" s="446"/>
      <c r="AM166" s="446"/>
      <c r="AN166" s="446"/>
    </row>
    <row r="167" spans="1:51" ht="15" customHeight="1" x14ac:dyDescent="0.25">
      <c r="A167" s="370">
        <v>162</v>
      </c>
      <c r="B167" s="371" t="s">
        <v>1012</v>
      </c>
      <c r="C167" s="370" t="s">
        <v>1013</v>
      </c>
      <c r="D167" s="370" t="s">
        <v>1014</v>
      </c>
      <c r="E167" s="370" t="s">
        <v>321</v>
      </c>
      <c r="F167" s="370" t="s">
        <v>444</v>
      </c>
      <c r="G167" s="386">
        <f>INDEX('CTR1 Data Previous Year'!$B:$B,MATCH($D167,'CTR1 Data Previous Year'!$A:$A,0),1)</f>
        <v>9704960</v>
      </c>
      <c r="H167" s="386">
        <f>INDEX('CTR1 Data Previous Year'!$C:$C,MATCH($D167,'CTR1 Data Previous Year'!$A:$A,0),1)</f>
        <v>0</v>
      </c>
      <c r="I167" s="386">
        <f>INDEX('CTR1 Data Previous Year'!$D:$D,MATCH($D167,'CTR1 Data Previous Year'!$A:$A,0),1)</f>
        <v>826410</v>
      </c>
      <c r="J167" s="386">
        <f>INDEX('CTR1 Data Previous Year'!$E:$E,MATCH($D167,'CTR1 Data Previous Year'!$A:$A,0),1)</f>
        <v>8878550</v>
      </c>
      <c r="K167" s="386">
        <f>INDEX('CTR1 Data Previous Year'!$F:$F,MATCH($D167,'CTR1 Data Previous Year'!$A:$A,0),1)</f>
        <v>0</v>
      </c>
      <c r="L167" s="465">
        <f>INDEX('CTR1 Data Previous Year'!$G:$G,MATCH($D167,'CTR1 Data Previous Year'!$A:$A,0),1)</f>
        <v>40619.39</v>
      </c>
      <c r="M167" s="455">
        <f>INDEX('CTR1 Data Previous Year'!$H:$H,MATCH($D167,'CTR1 Data Previous Year'!$A:$A,0),1)</f>
        <v>0.98</v>
      </c>
      <c r="N167" s="465">
        <f>INDEX('CTR1 Data Previous Year'!$I:$I,MATCH($D167,'CTR1 Data Previous Year'!$A:$A,0),1)</f>
        <v>0</v>
      </c>
      <c r="O167" s="160" t="s">
        <v>597</v>
      </c>
      <c r="P167" s="817" t="s">
        <v>598</v>
      </c>
      <c r="Q167" s="820" t="s">
        <v>599</v>
      </c>
      <c r="R167" s="817" t="s">
        <v>600</v>
      </c>
      <c r="S167" s="821" t="s">
        <v>601</v>
      </c>
      <c r="T167" s="817" t="s">
        <v>602</v>
      </c>
      <c r="U167" s="160"/>
      <c r="V167" s="817"/>
      <c r="W167" s="465">
        <f>INDEX('CTR1 Data Previous Year'!$J:$J,MATCH($D167,'CTR1 Data Previous Year'!$A:$A,0),1)</f>
        <v>39807</v>
      </c>
      <c r="X167" s="465">
        <f>INDEX('CTR1 Data Previous Year'!$K:$K,MATCH($D167,'CTR1 Data Previous Year'!$A:$A,0),1)</f>
        <v>243.8</v>
      </c>
      <c r="Y167" s="465">
        <f>INDEX('CTR1 Data Previous Year'!$L:$L,MATCH($D167,'CTR1 Data Previous Year'!$A:$A,0),1)</f>
        <v>223.04</v>
      </c>
      <c r="Z167" s="836" t="str">
        <f t="shared" si="25"/>
        <v>N</v>
      </c>
      <c r="AA167" s="837" t="str">
        <f t="shared" si="26"/>
        <v>N</v>
      </c>
      <c r="AB167" s="838">
        <f t="shared" si="27"/>
        <v>223.04</v>
      </c>
      <c r="AC167" s="868">
        <f t="shared" si="28"/>
        <v>0</v>
      </c>
      <c r="AD167" s="876">
        <f t="shared" si="29"/>
        <v>0</v>
      </c>
      <c r="AE167" s="838">
        <f t="shared" si="30"/>
        <v>229.7312</v>
      </c>
      <c r="AF167" s="838">
        <f t="shared" si="31"/>
        <v>228.04</v>
      </c>
      <c r="AG167" s="839">
        <f t="shared" si="33"/>
        <v>0</v>
      </c>
      <c r="AH167" s="839">
        <f t="shared" si="34"/>
        <v>229.73</v>
      </c>
      <c r="AI167" s="840">
        <f t="shared" si="32"/>
        <v>0</v>
      </c>
      <c r="AJ167" s="841">
        <f t="shared" si="35"/>
        <v>0</v>
      </c>
      <c r="AK167" s="446"/>
      <c r="AL167" s="446"/>
      <c r="AM167" s="446"/>
      <c r="AN167" s="446"/>
    </row>
    <row r="168" spans="1:51" ht="15" customHeight="1" x14ac:dyDescent="0.25">
      <c r="A168" s="370">
        <v>163</v>
      </c>
      <c r="B168" s="371" t="s">
        <v>1015</v>
      </c>
      <c r="C168" s="370" t="s">
        <v>1016</v>
      </c>
      <c r="D168" s="370" t="s">
        <v>1017</v>
      </c>
      <c r="E168" s="370" t="s">
        <v>343</v>
      </c>
      <c r="F168" s="370" t="s">
        <v>378</v>
      </c>
      <c r="G168" s="386">
        <f>INDEX('CTR1 Data Previous Year'!$B:$B,MATCH($D168,'CTR1 Data Previous Year'!$A:$A,0),1)</f>
        <v>126437960</v>
      </c>
      <c r="H168" s="386">
        <f>INDEX('CTR1 Data Previous Year'!$C:$C,MATCH($D168,'CTR1 Data Previous Year'!$A:$A,0),1)</f>
        <v>0</v>
      </c>
      <c r="I168" s="386">
        <f>INDEX('CTR1 Data Previous Year'!$D:$D,MATCH($D168,'CTR1 Data Previous Year'!$A:$A,0),1)</f>
        <v>0</v>
      </c>
      <c r="J168" s="386">
        <f>INDEX('CTR1 Data Previous Year'!$E:$E,MATCH($D168,'CTR1 Data Previous Year'!$A:$A,0),1)</f>
        <v>126437960</v>
      </c>
      <c r="K168" s="386">
        <f>INDEX('CTR1 Data Previous Year'!$F:$F,MATCH($D168,'CTR1 Data Previous Year'!$A:$A,0),1)</f>
        <v>24514862</v>
      </c>
      <c r="L168" s="465">
        <f>INDEX('CTR1 Data Previous Year'!$G:$G,MATCH($D168,'CTR1 Data Previous Year'!$A:$A,0),1)</f>
        <v>97462.32</v>
      </c>
      <c r="M168" s="455">
        <f>INDEX('CTR1 Data Previous Year'!$H:$H,MATCH($D168,'CTR1 Data Previous Year'!$A:$A,0),1)</f>
        <v>0.95</v>
      </c>
      <c r="N168" s="465">
        <f>INDEX('CTR1 Data Previous Year'!$I:$I,MATCH($D168,'CTR1 Data Previous Year'!$A:$A,0),1)</f>
        <v>0</v>
      </c>
      <c r="O168" s="160" t="s">
        <v>379</v>
      </c>
      <c r="P168" s="862" t="s">
        <v>380</v>
      </c>
      <c r="Q168" s="820"/>
      <c r="R168" s="817"/>
      <c r="S168" s="821" t="s">
        <v>129</v>
      </c>
      <c r="T168" s="817"/>
      <c r="U168" s="160"/>
      <c r="V168" s="817"/>
      <c r="W168" s="465">
        <f>INDEX('CTR1 Data Previous Year'!$J:$J,MATCH($D168,'CTR1 Data Previous Year'!$A:$A,0),1)</f>
        <v>92589.2</v>
      </c>
      <c r="X168" s="465">
        <f>INDEX('CTR1 Data Previous Year'!$K:$K,MATCH($D168,'CTR1 Data Previous Year'!$A:$A,0),1)</f>
        <v>1365.58</v>
      </c>
      <c r="Y168" s="465">
        <f>INDEX('CTR1 Data Previous Year'!$L:$L,MATCH($D168,'CTR1 Data Previous Year'!$A:$A,0),1)</f>
        <v>1365.58</v>
      </c>
      <c r="Z168" s="836" t="str">
        <f t="shared" si="25"/>
        <v>N</v>
      </c>
      <c r="AA168" s="837" t="str">
        <f t="shared" si="26"/>
        <v>N</v>
      </c>
      <c r="AB168" s="838">
        <f t="shared" si="27"/>
        <v>1365.58</v>
      </c>
      <c r="AC168" s="868">
        <f t="shared" si="28"/>
        <v>0</v>
      </c>
      <c r="AD168" s="876">
        <f t="shared" si="29"/>
        <v>0</v>
      </c>
      <c r="AE168" s="838">
        <f t="shared" si="30"/>
        <v>1433.8589999999999</v>
      </c>
      <c r="AF168" s="838">
        <f t="shared" si="31"/>
        <v>1365.58</v>
      </c>
      <c r="AG168" s="839">
        <f t="shared" si="33"/>
        <v>0</v>
      </c>
      <c r="AH168" s="839">
        <f t="shared" si="34"/>
        <v>1433.86</v>
      </c>
      <c r="AI168" s="840">
        <f t="shared" si="32"/>
        <v>27.31</v>
      </c>
      <c r="AJ168" s="841">
        <f t="shared" si="35"/>
        <v>1.9998828336677456E-2</v>
      </c>
      <c r="AK168" s="446"/>
      <c r="AL168" s="446"/>
      <c r="AM168" s="446"/>
      <c r="AN168" s="446"/>
      <c r="AY168" s="444"/>
    </row>
    <row r="169" spans="1:51" ht="15" customHeight="1" x14ac:dyDescent="0.25">
      <c r="A169" s="370">
        <v>164</v>
      </c>
      <c r="B169" s="371" t="s">
        <v>1018</v>
      </c>
      <c r="C169" s="370" t="s">
        <v>1019</v>
      </c>
      <c r="D169" s="370" t="s">
        <v>1020</v>
      </c>
      <c r="E169" s="370" t="s">
        <v>321</v>
      </c>
      <c r="F169" s="370" t="s">
        <v>425</v>
      </c>
      <c r="G169" s="386">
        <f>INDEX('CTR1 Data Previous Year'!$B:$B,MATCH($D169,'CTR1 Data Previous Year'!$A:$A,0),1)</f>
        <v>12074232</v>
      </c>
      <c r="H169" s="386">
        <f>INDEX('CTR1 Data Previous Year'!$C:$C,MATCH($D169,'CTR1 Data Previous Year'!$A:$A,0),1)</f>
        <v>0</v>
      </c>
      <c r="I169" s="386">
        <f>INDEX('CTR1 Data Previous Year'!$D:$D,MATCH($D169,'CTR1 Data Previous Year'!$A:$A,0),1)</f>
        <v>3911802</v>
      </c>
      <c r="J169" s="386">
        <f>INDEX('CTR1 Data Previous Year'!$E:$E,MATCH($D169,'CTR1 Data Previous Year'!$A:$A,0),1)</f>
        <v>8162430</v>
      </c>
      <c r="K169" s="386">
        <f>INDEX('CTR1 Data Previous Year'!$F:$F,MATCH($D169,'CTR1 Data Previous Year'!$A:$A,0),1)</f>
        <v>0</v>
      </c>
      <c r="L169" s="465">
        <f>INDEX('CTR1 Data Previous Year'!$G:$G,MATCH($D169,'CTR1 Data Previous Year'!$A:$A,0),1)</f>
        <v>38636.339999999997</v>
      </c>
      <c r="M169" s="455">
        <f>INDEX('CTR1 Data Previous Year'!$H:$H,MATCH($D169,'CTR1 Data Previous Year'!$A:$A,0),1)</f>
        <v>0.97499999999999998</v>
      </c>
      <c r="N169" s="465">
        <f>INDEX('CTR1 Data Previous Year'!$I:$I,MATCH($D169,'CTR1 Data Previous Year'!$A:$A,0),1)</f>
        <v>0</v>
      </c>
      <c r="O169" s="160" t="s">
        <v>727</v>
      </c>
      <c r="P169" s="817" t="s">
        <v>728</v>
      </c>
      <c r="Q169" s="820" t="s">
        <v>658</v>
      </c>
      <c r="R169" s="817" t="s">
        <v>659</v>
      </c>
      <c r="S169" s="821" t="s">
        <v>729</v>
      </c>
      <c r="T169" s="817" t="s">
        <v>730</v>
      </c>
      <c r="U169" s="160"/>
      <c r="V169" s="817"/>
      <c r="W169" s="465">
        <f>INDEX('CTR1 Data Previous Year'!$J:$J,MATCH($D169,'CTR1 Data Previous Year'!$A:$A,0),1)</f>
        <v>37670.43</v>
      </c>
      <c r="X169" s="465">
        <f>INDEX('CTR1 Data Previous Year'!$K:$K,MATCH($D169,'CTR1 Data Previous Year'!$A:$A,0),1)</f>
        <v>320.52</v>
      </c>
      <c r="Y169" s="465">
        <f>INDEX('CTR1 Data Previous Year'!$L:$L,MATCH($D169,'CTR1 Data Previous Year'!$A:$A,0),1)</f>
        <v>216.68</v>
      </c>
      <c r="Z169" s="836" t="str">
        <f t="shared" si="25"/>
        <v>N</v>
      </c>
      <c r="AA169" s="837" t="str">
        <f t="shared" si="26"/>
        <v>N</v>
      </c>
      <c r="AB169" s="838">
        <f t="shared" si="27"/>
        <v>216.68</v>
      </c>
      <c r="AC169" s="868">
        <f t="shared" si="28"/>
        <v>0</v>
      </c>
      <c r="AD169" s="876">
        <f t="shared" si="29"/>
        <v>0</v>
      </c>
      <c r="AE169" s="838">
        <f t="shared" si="30"/>
        <v>223.18040000000002</v>
      </c>
      <c r="AF169" s="838">
        <f t="shared" si="31"/>
        <v>221.68</v>
      </c>
      <c r="AG169" s="839">
        <f t="shared" si="33"/>
        <v>0</v>
      </c>
      <c r="AH169" s="839">
        <f t="shared" si="34"/>
        <v>223.18</v>
      </c>
      <c r="AI169" s="840">
        <f t="shared" si="32"/>
        <v>0</v>
      </c>
      <c r="AJ169" s="841">
        <f t="shared" si="35"/>
        <v>0</v>
      </c>
      <c r="AK169" s="446"/>
      <c r="AL169" s="446"/>
      <c r="AM169" s="446"/>
      <c r="AN169" s="446"/>
    </row>
    <row r="170" spans="1:51" ht="15" customHeight="1" x14ac:dyDescent="0.25">
      <c r="A170" s="370">
        <v>165</v>
      </c>
      <c r="B170" s="371" t="s">
        <v>1021</v>
      </c>
      <c r="C170" s="370" t="s">
        <v>1022</v>
      </c>
      <c r="D170" s="370" t="s">
        <v>1023</v>
      </c>
      <c r="E170" s="370" t="s">
        <v>321</v>
      </c>
      <c r="F170" s="370" t="s">
        <v>330</v>
      </c>
      <c r="G170" s="386">
        <f>INDEX('CTR1 Data Previous Year'!$B:$B,MATCH($D170,'CTR1 Data Previous Year'!$A:$A,0),1)</f>
        <v>11331005</v>
      </c>
      <c r="H170" s="386">
        <f>INDEX('CTR1 Data Previous Year'!$C:$C,MATCH($D170,'CTR1 Data Previous Year'!$A:$A,0),1)</f>
        <v>0</v>
      </c>
      <c r="I170" s="386">
        <f>INDEX('CTR1 Data Previous Year'!$D:$D,MATCH($D170,'CTR1 Data Previous Year'!$A:$A,0),1)</f>
        <v>4083784</v>
      </c>
      <c r="J170" s="386">
        <f>INDEX('CTR1 Data Previous Year'!$E:$E,MATCH($D170,'CTR1 Data Previous Year'!$A:$A,0),1)</f>
        <v>7247221</v>
      </c>
      <c r="K170" s="386">
        <f>INDEX('CTR1 Data Previous Year'!$F:$F,MATCH($D170,'CTR1 Data Previous Year'!$A:$A,0),1)</f>
        <v>0</v>
      </c>
      <c r="L170" s="465">
        <f>INDEX('CTR1 Data Previous Year'!$G:$G,MATCH($D170,'CTR1 Data Previous Year'!$A:$A,0),1)</f>
        <v>34131.129999999997</v>
      </c>
      <c r="M170" s="455">
        <f>INDEX('CTR1 Data Previous Year'!$H:$H,MATCH($D170,'CTR1 Data Previous Year'!$A:$A,0),1)</f>
        <v>0.98</v>
      </c>
      <c r="N170" s="465">
        <f>INDEX('CTR1 Data Previous Year'!$I:$I,MATCH($D170,'CTR1 Data Previous Year'!$A:$A,0),1)</f>
        <v>0</v>
      </c>
      <c r="O170" s="160" t="s">
        <v>331</v>
      </c>
      <c r="P170" s="817" t="s">
        <v>332</v>
      </c>
      <c r="Q170" s="820" t="s">
        <v>333</v>
      </c>
      <c r="R170" s="817" t="s">
        <v>334</v>
      </c>
      <c r="S170" s="821" t="s">
        <v>335</v>
      </c>
      <c r="T170" s="817" t="s">
        <v>336</v>
      </c>
      <c r="U170" s="822" t="s">
        <v>337</v>
      </c>
      <c r="V170" s="817" t="s">
        <v>338</v>
      </c>
      <c r="W170" s="465">
        <f>INDEX('CTR1 Data Previous Year'!$J:$J,MATCH($D170,'CTR1 Data Previous Year'!$A:$A,0),1)</f>
        <v>33448.51</v>
      </c>
      <c r="X170" s="465">
        <f>INDEX('CTR1 Data Previous Year'!$K:$K,MATCH($D170,'CTR1 Data Previous Year'!$A:$A,0),1)</f>
        <v>338.76</v>
      </c>
      <c r="Y170" s="465">
        <f>INDEX('CTR1 Data Previous Year'!$L:$L,MATCH($D170,'CTR1 Data Previous Year'!$A:$A,0),1)</f>
        <v>216.67</v>
      </c>
      <c r="Z170" s="836" t="str">
        <f t="shared" si="25"/>
        <v>N</v>
      </c>
      <c r="AA170" s="837" t="str">
        <f t="shared" si="26"/>
        <v>N</v>
      </c>
      <c r="AB170" s="838">
        <f t="shared" si="27"/>
        <v>216.67</v>
      </c>
      <c r="AC170" s="868">
        <f t="shared" si="28"/>
        <v>0</v>
      </c>
      <c r="AD170" s="876">
        <f t="shared" si="29"/>
        <v>0</v>
      </c>
      <c r="AE170" s="838">
        <f t="shared" si="30"/>
        <v>223.17009999999999</v>
      </c>
      <c r="AF170" s="838">
        <f t="shared" si="31"/>
        <v>221.67</v>
      </c>
      <c r="AG170" s="839">
        <f t="shared" si="33"/>
        <v>0</v>
      </c>
      <c r="AH170" s="839">
        <f t="shared" si="34"/>
        <v>223.17</v>
      </c>
      <c r="AI170" s="840">
        <f t="shared" si="32"/>
        <v>0</v>
      </c>
      <c r="AJ170" s="841">
        <f t="shared" si="35"/>
        <v>0</v>
      </c>
      <c r="AK170" s="446"/>
      <c r="AL170" s="446"/>
      <c r="AM170" s="446"/>
      <c r="AN170" s="446"/>
    </row>
    <row r="171" spans="1:51" ht="15" customHeight="1" x14ac:dyDescent="0.25">
      <c r="A171" s="370">
        <v>166</v>
      </c>
      <c r="B171" s="371" t="s">
        <v>1024</v>
      </c>
      <c r="C171" s="370" t="s">
        <v>1025</v>
      </c>
      <c r="D171" s="370" t="s">
        <v>1026</v>
      </c>
      <c r="E171" s="370" t="s">
        <v>339</v>
      </c>
      <c r="F171" s="370" t="s">
        <v>391</v>
      </c>
      <c r="G171" s="386">
        <f>INDEX('CTR1 Data Previous Year'!$B:$B,MATCH($D171,'CTR1 Data Previous Year'!$A:$A,0),1)</f>
        <v>93131985</v>
      </c>
      <c r="H171" s="386">
        <f>INDEX('CTR1 Data Previous Year'!$C:$C,MATCH($D171,'CTR1 Data Previous Year'!$A:$A,0),1)</f>
        <v>50509.84</v>
      </c>
      <c r="I171" s="386">
        <f>INDEX('CTR1 Data Previous Year'!$D:$D,MATCH($D171,'CTR1 Data Previous Year'!$A:$A,0),1)</f>
        <v>985036</v>
      </c>
      <c r="J171" s="386">
        <f>INDEX('CTR1 Data Previous Year'!$E:$E,MATCH($D171,'CTR1 Data Previous Year'!$A:$A,0),1)</f>
        <v>92146949</v>
      </c>
      <c r="K171" s="386">
        <f>INDEX('CTR1 Data Previous Year'!$F:$F,MATCH($D171,'CTR1 Data Previous Year'!$A:$A,0),1)</f>
        <v>978000</v>
      </c>
      <c r="L171" s="465">
        <f>INDEX('CTR1 Data Previous Year'!$G:$G,MATCH($D171,'CTR1 Data Previous Year'!$A:$A,0),1)</f>
        <v>48070.73</v>
      </c>
      <c r="M171" s="455">
        <f>INDEX('CTR1 Data Previous Year'!$H:$H,MATCH($D171,'CTR1 Data Previous Year'!$A:$A,0),1)</f>
        <v>0.98199999999999998</v>
      </c>
      <c r="N171" s="465">
        <f>INDEX('CTR1 Data Previous Year'!$I:$I,MATCH($D171,'CTR1 Data Previous Year'!$A:$A,0),1)</f>
        <v>0</v>
      </c>
      <c r="O171" s="160" t="s">
        <v>129</v>
      </c>
      <c r="P171" s="817"/>
      <c r="Q171" s="820" t="s">
        <v>743</v>
      </c>
      <c r="R171" s="817" t="s">
        <v>744</v>
      </c>
      <c r="S171" s="821" t="s">
        <v>745</v>
      </c>
      <c r="T171" s="817" t="s">
        <v>746</v>
      </c>
      <c r="U171" s="866" t="s">
        <v>487</v>
      </c>
      <c r="V171" s="867" t="s">
        <v>488</v>
      </c>
      <c r="W171" s="465">
        <f>INDEX('CTR1 Data Previous Year'!$J:$J,MATCH($D171,'CTR1 Data Previous Year'!$A:$A,0),1)</f>
        <v>47205.46</v>
      </c>
      <c r="X171" s="465">
        <f>INDEX('CTR1 Data Previous Year'!$K:$K,MATCH($D171,'CTR1 Data Previous Year'!$A:$A,0),1)</f>
        <v>1972.91</v>
      </c>
      <c r="Y171" s="465">
        <f>INDEX('CTR1 Data Previous Year'!$L:$L,MATCH($D171,'CTR1 Data Previous Year'!$A:$A,0),1)</f>
        <v>1952.04</v>
      </c>
      <c r="Z171" s="836" t="str">
        <f t="shared" si="25"/>
        <v>N</v>
      </c>
      <c r="AA171" s="837" t="str">
        <f t="shared" si="26"/>
        <v>N</v>
      </c>
      <c r="AB171" s="838">
        <f t="shared" si="27"/>
        <v>1952.04</v>
      </c>
      <c r="AC171" s="868">
        <f t="shared" si="28"/>
        <v>0</v>
      </c>
      <c r="AD171" s="876">
        <f t="shared" si="29"/>
        <v>0</v>
      </c>
      <c r="AE171" s="838">
        <f t="shared" si="30"/>
        <v>2049.6419999999998</v>
      </c>
      <c r="AF171" s="838">
        <f t="shared" si="31"/>
        <v>1952.04</v>
      </c>
      <c r="AG171" s="839">
        <f t="shared" si="33"/>
        <v>0</v>
      </c>
      <c r="AH171" s="839">
        <f t="shared" si="34"/>
        <v>2049.64</v>
      </c>
      <c r="AI171" s="840">
        <f t="shared" si="32"/>
        <v>39.04</v>
      </c>
      <c r="AJ171" s="841">
        <f t="shared" si="35"/>
        <v>1.9999590172332535E-2</v>
      </c>
      <c r="AK171" s="446"/>
      <c r="AL171" s="446"/>
      <c r="AM171" s="446"/>
      <c r="AN171" s="446"/>
    </row>
    <row r="172" spans="1:51" ht="15" customHeight="1" x14ac:dyDescent="0.25">
      <c r="A172" s="370">
        <v>167</v>
      </c>
      <c r="B172" s="371" t="s">
        <v>1027</v>
      </c>
      <c r="C172" s="370" t="s">
        <v>1028</v>
      </c>
      <c r="D172" s="370" t="s">
        <v>1029</v>
      </c>
      <c r="E172" s="370" t="s">
        <v>321</v>
      </c>
      <c r="F172" s="370" t="s">
        <v>368</v>
      </c>
      <c r="G172" s="386">
        <f>INDEX('CTR1 Data Previous Year'!$B:$B,MATCH($D172,'CTR1 Data Previous Year'!$A:$A,0),1)</f>
        <v>15135792</v>
      </c>
      <c r="H172" s="386">
        <f>INDEX('CTR1 Data Previous Year'!$C:$C,MATCH($D172,'CTR1 Data Previous Year'!$A:$A,0),1)</f>
        <v>0</v>
      </c>
      <c r="I172" s="386">
        <f>INDEX('CTR1 Data Previous Year'!$D:$D,MATCH($D172,'CTR1 Data Previous Year'!$A:$A,0),1)</f>
        <v>1522848</v>
      </c>
      <c r="J172" s="386">
        <f>INDEX('CTR1 Data Previous Year'!$E:$E,MATCH($D172,'CTR1 Data Previous Year'!$A:$A,0),1)</f>
        <v>13612944</v>
      </c>
      <c r="K172" s="386">
        <f>INDEX('CTR1 Data Previous Year'!$F:$F,MATCH($D172,'CTR1 Data Previous Year'!$A:$A,0),1)</f>
        <v>10150</v>
      </c>
      <c r="L172" s="465">
        <f>INDEX('CTR1 Data Previous Year'!$G:$G,MATCH($D172,'CTR1 Data Previous Year'!$A:$A,0),1)</f>
        <v>51349.8</v>
      </c>
      <c r="M172" s="455">
        <f>INDEX('CTR1 Data Previous Year'!$H:$H,MATCH($D172,'CTR1 Data Previous Year'!$A:$A,0),1)</f>
        <v>0.99</v>
      </c>
      <c r="N172" s="465">
        <f>INDEX('CTR1 Data Previous Year'!$I:$I,MATCH($D172,'CTR1 Data Previous Year'!$A:$A,0),1)</f>
        <v>0</v>
      </c>
      <c r="O172" s="160" t="s">
        <v>557</v>
      </c>
      <c r="P172" s="817" t="s">
        <v>558</v>
      </c>
      <c r="Q172" s="820" t="s">
        <v>559</v>
      </c>
      <c r="R172" s="817" t="s">
        <v>560</v>
      </c>
      <c r="S172" s="821" t="s">
        <v>129</v>
      </c>
      <c r="T172" s="817"/>
      <c r="U172" s="160"/>
      <c r="V172" s="817"/>
      <c r="W172" s="465">
        <f>INDEX('CTR1 Data Previous Year'!$J:$J,MATCH($D172,'CTR1 Data Previous Year'!$A:$A,0),1)</f>
        <v>50836.3</v>
      </c>
      <c r="X172" s="465">
        <f>INDEX('CTR1 Data Previous Year'!$K:$K,MATCH($D172,'CTR1 Data Previous Year'!$A:$A,0),1)</f>
        <v>297.74</v>
      </c>
      <c r="Y172" s="465">
        <f>INDEX('CTR1 Data Previous Year'!$L:$L,MATCH($D172,'CTR1 Data Previous Year'!$A:$A,0),1)</f>
        <v>267.77999999999997</v>
      </c>
      <c r="Z172" s="836" t="str">
        <f t="shared" si="25"/>
        <v>N</v>
      </c>
      <c r="AA172" s="837" t="str">
        <f t="shared" si="26"/>
        <v>N</v>
      </c>
      <c r="AB172" s="838">
        <f t="shared" si="27"/>
        <v>267.77999999999997</v>
      </c>
      <c r="AC172" s="868">
        <f t="shared" si="28"/>
        <v>0</v>
      </c>
      <c r="AD172" s="876">
        <f t="shared" si="29"/>
        <v>0</v>
      </c>
      <c r="AE172" s="838">
        <f t="shared" si="30"/>
        <v>275.8134</v>
      </c>
      <c r="AF172" s="838">
        <f t="shared" si="31"/>
        <v>272.77999999999997</v>
      </c>
      <c r="AG172" s="839">
        <f t="shared" si="33"/>
        <v>0</v>
      </c>
      <c r="AH172" s="839">
        <f t="shared" si="34"/>
        <v>275.81</v>
      </c>
      <c r="AI172" s="840">
        <f t="shared" si="32"/>
        <v>0</v>
      </c>
      <c r="AJ172" s="841">
        <f t="shared" si="35"/>
        <v>0</v>
      </c>
      <c r="AK172" s="446"/>
      <c r="AL172" s="446"/>
      <c r="AM172" s="446"/>
      <c r="AN172" s="446"/>
    </row>
    <row r="173" spans="1:51" ht="15" customHeight="1" x14ac:dyDescent="0.25">
      <c r="A173" s="370">
        <v>168</v>
      </c>
      <c r="B173" s="371" t="s">
        <v>1030</v>
      </c>
      <c r="C173" s="370" t="s">
        <v>1031</v>
      </c>
      <c r="D173" s="370" t="s">
        <v>1032</v>
      </c>
      <c r="E173" s="370" t="s">
        <v>321</v>
      </c>
      <c r="F173" s="370" t="s">
        <v>330</v>
      </c>
      <c r="G173" s="386">
        <f>INDEX('CTR1 Data Previous Year'!$B:$B,MATCH($D173,'CTR1 Data Previous Year'!$A:$A,0),1)</f>
        <v>12682500</v>
      </c>
      <c r="H173" s="386">
        <f>INDEX('CTR1 Data Previous Year'!$C:$C,MATCH($D173,'CTR1 Data Previous Year'!$A:$A,0),1)</f>
        <v>0</v>
      </c>
      <c r="I173" s="386">
        <f>INDEX('CTR1 Data Previous Year'!$D:$D,MATCH($D173,'CTR1 Data Previous Year'!$A:$A,0),1)</f>
        <v>4906522</v>
      </c>
      <c r="J173" s="386">
        <f>INDEX('CTR1 Data Previous Year'!$E:$E,MATCH($D173,'CTR1 Data Previous Year'!$A:$A,0),1)</f>
        <v>7775978</v>
      </c>
      <c r="K173" s="386">
        <f>INDEX('CTR1 Data Previous Year'!$F:$F,MATCH($D173,'CTR1 Data Previous Year'!$A:$A,0),1)</f>
        <v>1034700</v>
      </c>
      <c r="L173" s="465">
        <f>INDEX('CTR1 Data Previous Year'!$G:$G,MATCH($D173,'CTR1 Data Previous Year'!$A:$A,0),1)</f>
        <v>39787.760000000002</v>
      </c>
      <c r="M173" s="455">
        <f>INDEX('CTR1 Data Previous Year'!$H:$H,MATCH($D173,'CTR1 Data Previous Year'!$A:$A,0),1)</f>
        <v>0.98499999999999999</v>
      </c>
      <c r="N173" s="465">
        <f>INDEX('CTR1 Data Previous Year'!$I:$I,MATCH($D173,'CTR1 Data Previous Year'!$A:$A,0),1)</f>
        <v>809.06</v>
      </c>
      <c r="O173" s="160" t="s">
        <v>483</v>
      </c>
      <c r="P173" s="817" t="s">
        <v>484</v>
      </c>
      <c r="Q173" s="820" t="s">
        <v>485</v>
      </c>
      <c r="R173" s="817" t="s">
        <v>486</v>
      </c>
      <c r="S173" s="821" t="s">
        <v>129</v>
      </c>
      <c r="T173" s="817"/>
      <c r="U173" s="866" t="s">
        <v>487</v>
      </c>
      <c r="V173" s="867" t="s">
        <v>488</v>
      </c>
      <c r="W173" s="465">
        <f>INDEX('CTR1 Data Previous Year'!$J:$J,MATCH($D173,'CTR1 Data Previous Year'!$A:$A,0),1)</f>
        <v>40000</v>
      </c>
      <c r="X173" s="465">
        <f>INDEX('CTR1 Data Previous Year'!$K:$K,MATCH($D173,'CTR1 Data Previous Year'!$A:$A,0),1)</f>
        <v>317.06</v>
      </c>
      <c r="Y173" s="465">
        <f>INDEX('CTR1 Data Previous Year'!$L:$L,MATCH($D173,'CTR1 Data Previous Year'!$A:$A,0),1)</f>
        <v>194.4</v>
      </c>
      <c r="Z173" s="836" t="str">
        <f t="shared" si="25"/>
        <v>N</v>
      </c>
      <c r="AA173" s="837" t="str">
        <f t="shared" si="26"/>
        <v>N</v>
      </c>
      <c r="AB173" s="838">
        <f t="shared" si="27"/>
        <v>194.4</v>
      </c>
      <c r="AC173" s="868">
        <f t="shared" si="28"/>
        <v>0</v>
      </c>
      <c r="AD173" s="876">
        <f t="shared" si="29"/>
        <v>0</v>
      </c>
      <c r="AE173" s="838">
        <f t="shared" si="30"/>
        <v>200.232</v>
      </c>
      <c r="AF173" s="838">
        <f t="shared" si="31"/>
        <v>199.4</v>
      </c>
      <c r="AG173" s="839">
        <f t="shared" si="33"/>
        <v>0</v>
      </c>
      <c r="AH173" s="839">
        <f t="shared" si="34"/>
        <v>200.23</v>
      </c>
      <c r="AI173" s="840">
        <f t="shared" si="32"/>
        <v>0</v>
      </c>
      <c r="AJ173" s="841">
        <f t="shared" si="35"/>
        <v>0</v>
      </c>
      <c r="AK173" s="446"/>
      <c r="AL173" s="446"/>
      <c r="AM173" s="446"/>
      <c r="AN173" s="446"/>
    </row>
    <row r="174" spans="1:51" ht="15" customHeight="1" x14ac:dyDescent="0.25">
      <c r="A174" s="370">
        <v>169</v>
      </c>
      <c r="B174" s="371" t="s">
        <v>1033</v>
      </c>
      <c r="C174" s="370" t="s">
        <v>1034</v>
      </c>
      <c r="D174" s="370" t="s">
        <v>1035</v>
      </c>
      <c r="E174" s="370" t="s">
        <v>339</v>
      </c>
      <c r="F174" s="370" t="s">
        <v>391</v>
      </c>
      <c r="G174" s="386">
        <f>INDEX('CTR1 Data Previous Year'!$B:$B,MATCH($D174,'CTR1 Data Previous Year'!$A:$A,0),1)</f>
        <v>95989174.469999999</v>
      </c>
      <c r="H174" s="386">
        <f>INDEX('CTR1 Data Previous Year'!$C:$C,MATCH($D174,'CTR1 Data Previous Year'!$A:$A,0),1)</f>
        <v>651456.80000000005</v>
      </c>
      <c r="I174" s="386">
        <f>INDEX('CTR1 Data Previous Year'!$D:$D,MATCH($D174,'CTR1 Data Previous Year'!$A:$A,0),1)</f>
        <v>2067757.94</v>
      </c>
      <c r="J174" s="386">
        <f>INDEX('CTR1 Data Previous Year'!$E:$E,MATCH($D174,'CTR1 Data Previous Year'!$A:$A,0),1)</f>
        <v>93921416.530000001</v>
      </c>
      <c r="K174" s="386">
        <f>INDEX('CTR1 Data Previous Year'!$F:$F,MATCH($D174,'CTR1 Data Previous Year'!$A:$A,0),1)</f>
        <v>2172744.1</v>
      </c>
      <c r="L174" s="465">
        <f>INDEX('CTR1 Data Previous Year'!$G:$G,MATCH($D174,'CTR1 Data Previous Year'!$A:$A,0),1)</f>
        <v>53231.12</v>
      </c>
      <c r="M174" s="455">
        <f>INDEX('CTR1 Data Previous Year'!$H:$H,MATCH($D174,'CTR1 Data Previous Year'!$A:$A,0),1)</f>
        <v>0.98</v>
      </c>
      <c r="N174" s="465">
        <f>INDEX('CTR1 Data Previous Year'!$I:$I,MATCH($D174,'CTR1 Data Previous Year'!$A:$A,0),1)</f>
        <v>1.7</v>
      </c>
      <c r="O174" s="160" t="s">
        <v>129</v>
      </c>
      <c r="P174" s="817"/>
      <c r="Q174" s="820" t="s">
        <v>743</v>
      </c>
      <c r="R174" s="817" t="s">
        <v>744</v>
      </c>
      <c r="S174" s="821" t="s">
        <v>745</v>
      </c>
      <c r="T174" s="817" t="s">
        <v>746</v>
      </c>
      <c r="U174" s="866" t="s">
        <v>487</v>
      </c>
      <c r="V174" s="867" t="s">
        <v>488</v>
      </c>
      <c r="W174" s="465">
        <f>INDEX('CTR1 Data Previous Year'!$J:$J,MATCH($D174,'CTR1 Data Previous Year'!$A:$A,0),1)</f>
        <v>52168.2</v>
      </c>
      <c r="X174" s="465">
        <f>INDEX('CTR1 Data Previous Year'!$K:$K,MATCH($D174,'CTR1 Data Previous Year'!$A:$A,0),1)</f>
        <v>1839.99</v>
      </c>
      <c r="Y174" s="465">
        <f>INDEX('CTR1 Data Previous Year'!$L:$L,MATCH($D174,'CTR1 Data Previous Year'!$A:$A,0),1)</f>
        <v>1800.36</v>
      </c>
      <c r="Z174" s="836" t="str">
        <f t="shared" si="25"/>
        <v>N</v>
      </c>
      <c r="AA174" s="837" t="str">
        <f t="shared" si="26"/>
        <v>N</v>
      </c>
      <c r="AB174" s="838">
        <f t="shared" si="27"/>
        <v>1800.36</v>
      </c>
      <c r="AC174" s="868">
        <f t="shared" si="28"/>
        <v>0</v>
      </c>
      <c r="AD174" s="876">
        <f t="shared" si="29"/>
        <v>0</v>
      </c>
      <c r="AE174" s="838">
        <f t="shared" si="30"/>
        <v>1890.3779999999999</v>
      </c>
      <c r="AF174" s="838">
        <f t="shared" si="31"/>
        <v>1800.36</v>
      </c>
      <c r="AG174" s="839">
        <f t="shared" si="33"/>
        <v>0</v>
      </c>
      <c r="AH174" s="839">
        <f t="shared" si="34"/>
        <v>1890.38</v>
      </c>
      <c r="AI174" s="840">
        <f t="shared" si="32"/>
        <v>36.01</v>
      </c>
      <c r="AJ174" s="841">
        <f t="shared" si="35"/>
        <v>2.0001555244506655E-2</v>
      </c>
      <c r="AK174" s="446"/>
      <c r="AL174" s="446"/>
      <c r="AM174" s="446"/>
      <c r="AN174" s="446"/>
    </row>
    <row r="175" spans="1:51" ht="15" customHeight="1" x14ac:dyDescent="0.25">
      <c r="A175" s="370">
        <v>170</v>
      </c>
      <c r="B175" s="371" t="s">
        <v>1036</v>
      </c>
      <c r="C175" s="370" t="s">
        <v>1037</v>
      </c>
      <c r="D175" s="370" t="s">
        <v>1038</v>
      </c>
      <c r="E175" s="370" t="s">
        <v>321</v>
      </c>
      <c r="F175" s="370" t="s">
        <v>368</v>
      </c>
      <c r="G175" s="386">
        <f>INDEX('CTR1 Data Previous Year'!$B:$B,MATCH($D175,'CTR1 Data Previous Year'!$A:$A,0),1)</f>
        <v>11510437</v>
      </c>
      <c r="H175" s="386">
        <f>INDEX('CTR1 Data Previous Year'!$C:$C,MATCH($D175,'CTR1 Data Previous Year'!$A:$A,0),1)</f>
        <v>0</v>
      </c>
      <c r="I175" s="386">
        <f>INDEX('CTR1 Data Previous Year'!$D:$D,MATCH($D175,'CTR1 Data Previous Year'!$A:$A,0),1)</f>
        <v>3697853</v>
      </c>
      <c r="J175" s="386">
        <f>INDEX('CTR1 Data Previous Year'!$E:$E,MATCH($D175,'CTR1 Data Previous Year'!$A:$A,0),1)</f>
        <v>7812584</v>
      </c>
      <c r="K175" s="386">
        <f>INDEX('CTR1 Data Previous Year'!$F:$F,MATCH($D175,'CTR1 Data Previous Year'!$A:$A,0),1)</f>
        <v>0</v>
      </c>
      <c r="L175" s="465">
        <f>INDEX('CTR1 Data Previous Year'!$G:$G,MATCH($D175,'CTR1 Data Previous Year'!$A:$A,0),1)</f>
        <v>45849.39</v>
      </c>
      <c r="M175" s="455">
        <f>INDEX('CTR1 Data Previous Year'!$H:$H,MATCH($D175,'CTR1 Data Previous Year'!$A:$A,0),1)</f>
        <v>0.98199999999999998</v>
      </c>
      <c r="N175" s="465">
        <f>INDEX('CTR1 Data Previous Year'!$I:$I,MATCH($D175,'CTR1 Data Previous Year'!$A:$A,0),1)</f>
        <v>0</v>
      </c>
      <c r="O175" s="160" t="s">
        <v>520</v>
      </c>
      <c r="P175" s="817" t="s">
        <v>521</v>
      </c>
      <c r="Q175" s="820" t="s">
        <v>522</v>
      </c>
      <c r="R175" s="817" t="s">
        <v>523</v>
      </c>
      <c r="S175" s="821" t="s">
        <v>129</v>
      </c>
      <c r="T175" s="817"/>
      <c r="U175" s="160"/>
      <c r="V175" s="817"/>
      <c r="W175" s="465">
        <f>INDEX('CTR1 Data Previous Year'!$J:$J,MATCH($D175,'CTR1 Data Previous Year'!$A:$A,0),1)</f>
        <v>45024.1</v>
      </c>
      <c r="X175" s="465">
        <f>INDEX('CTR1 Data Previous Year'!$K:$K,MATCH($D175,'CTR1 Data Previous Year'!$A:$A,0),1)</f>
        <v>255.65</v>
      </c>
      <c r="Y175" s="465">
        <f>INDEX('CTR1 Data Previous Year'!$L:$L,MATCH($D175,'CTR1 Data Previous Year'!$A:$A,0),1)</f>
        <v>173.52</v>
      </c>
      <c r="Z175" s="836" t="str">
        <f t="shared" si="25"/>
        <v>N</v>
      </c>
      <c r="AA175" s="837" t="str">
        <f t="shared" si="26"/>
        <v>N</v>
      </c>
      <c r="AB175" s="838">
        <f t="shared" si="27"/>
        <v>173.52</v>
      </c>
      <c r="AC175" s="868">
        <f t="shared" si="28"/>
        <v>0</v>
      </c>
      <c r="AD175" s="876">
        <f t="shared" si="29"/>
        <v>0</v>
      </c>
      <c r="AE175" s="838">
        <f t="shared" si="30"/>
        <v>178.72560000000001</v>
      </c>
      <c r="AF175" s="838">
        <f t="shared" si="31"/>
        <v>178.52</v>
      </c>
      <c r="AG175" s="839">
        <f t="shared" si="33"/>
        <v>0</v>
      </c>
      <c r="AH175" s="839">
        <f t="shared" si="34"/>
        <v>178.73</v>
      </c>
      <c r="AI175" s="840">
        <f t="shared" si="32"/>
        <v>0</v>
      </c>
      <c r="AJ175" s="841">
        <f t="shared" si="35"/>
        <v>0</v>
      </c>
      <c r="AK175" s="446"/>
      <c r="AL175" s="446"/>
      <c r="AM175" s="446"/>
      <c r="AN175" s="446"/>
    </row>
    <row r="176" spans="1:51" ht="15" customHeight="1" x14ac:dyDescent="0.25">
      <c r="A176" s="370">
        <v>171</v>
      </c>
      <c r="B176" s="371" t="s">
        <v>1039</v>
      </c>
      <c r="C176" s="370" t="s">
        <v>1040</v>
      </c>
      <c r="D176" s="370" t="s">
        <v>1041</v>
      </c>
      <c r="E176" s="370" t="s">
        <v>339</v>
      </c>
      <c r="F176" s="370" t="s">
        <v>330</v>
      </c>
      <c r="G176" s="386">
        <f>INDEX('CTR1 Data Previous Year'!$B:$B,MATCH($D176,'CTR1 Data Previous Year'!$A:$A,0),1)</f>
        <v>223587317</v>
      </c>
      <c r="H176" s="386">
        <f>INDEX('CTR1 Data Previous Year'!$C:$C,MATCH($D176,'CTR1 Data Previous Year'!$A:$A,0),1)</f>
        <v>0</v>
      </c>
      <c r="I176" s="386">
        <f>INDEX('CTR1 Data Previous Year'!$D:$D,MATCH($D176,'CTR1 Data Previous Year'!$A:$A,0),1)</f>
        <v>8752317</v>
      </c>
      <c r="J176" s="386">
        <f>INDEX('CTR1 Data Previous Year'!$E:$E,MATCH($D176,'CTR1 Data Previous Year'!$A:$A,0),1)</f>
        <v>214835000</v>
      </c>
      <c r="K176" s="386">
        <f>INDEX('CTR1 Data Previous Year'!$F:$F,MATCH($D176,'CTR1 Data Previous Year'!$A:$A,0),1)</f>
        <v>0</v>
      </c>
      <c r="L176" s="465">
        <f>INDEX('CTR1 Data Previous Year'!$G:$G,MATCH($D176,'CTR1 Data Previous Year'!$A:$A,0),1)</f>
        <v>119375.63</v>
      </c>
      <c r="M176" s="455">
        <f>INDEX('CTR1 Data Previous Year'!$H:$H,MATCH($D176,'CTR1 Data Previous Year'!$A:$A,0),1)</f>
        <v>0.98499999999999999</v>
      </c>
      <c r="N176" s="465">
        <f>INDEX('CTR1 Data Previous Year'!$I:$I,MATCH($D176,'CTR1 Data Previous Year'!$A:$A,0),1)</f>
        <v>0</v>
      </c>
      <c r="O176" s="160"/>
      <c r="P176" s="817"/>
      <c r="Q176" s="820" t="s">
        <v>1042</v>
      </c>
      <c r="R176" s="817" t="s">
        <v>1043</v>
      </c>
      <c r="S176" s="821" t="s">
        <v>1044</v>
      </c>
      <c r="T176" s="817" t="s">
        <v>1045</v>
      </c>
      <c r="U176" s="160"/>
      <c r="V176" s="817"/>
      <c r="W176" s="465">
        <f>INDEX('CTR1 Data Previous Year'!$J:$J,MATCH($D176,'CTR1 Data Previous Year'!$A:$A,0),1)</f>
        <v>117585</v>
      </c>
      <c r="X176" s="465">
        <f>INDEX('CTR1 Data Previous Year'!$K:$K,MATCH($D176,'CTR1 Data Previous Year'!$A:$A,0),1)</f>
        <v>1901.5</v>
      </c>
      <c r="Y176" s="465">
        <f>INDEX('CTR1 Data Previous Year'!$L:$L,MATCH($D176,'CTR1 Data Previous Year'!$A:$A,0),1)</f>
        <v>1827.06</v>
      </c>
      <c r="Z176" s="836" t="str">
        <f t="shared" si="25"/>
        <v>N</v>
      </c>
      <c r="AA176" s="837" t="str">
        <f t="shared" si="26"/>
        <v>N</v>
      </c>
      <c r="AB176" s="838">
        <f t="shared" si="27"/>
        <v>1827.06</v>
      </c>
      <c r="AC176" s="868">
        <f t="shared" si="28"/>
        <v>0</v>
      </c>
      <c r="AD176" s="876">
        <f t="shared" si="29"/>
        <v>0</v>
      </c>
      <c r="AE176" s="838">
        <f t="shared" si="30"/>
        <v>1918.413</v>
      </c>
      <c r="AF176" s="838">
        <f t="shared" si="31"/>
        <v>1827.06</v>
      </c>
      <c r="AG176" s="839">
        <f t="shared" si="33"/>
        <v>0</v>
      </c>
      <c r="AH176" s="839">
        <f t="shared" si="34"/>
        <v>1918.41</v>
      </c>
      <c r="AI176" s="840">
        <f t="shared" si="32"/>
        <v>36.54</v>
      </c>
      <c r="AJ176" s="841">
        <f t="shared" si="35"/>
        <v>1.9999343207119633E-2</v>
      </c>
      <c r="AK176" s="446"/>
      <c r="AL176" s="446"/>
      <c r="AM176" s="446"/>
      <c r="AN176" s="446"/>
    </row>
    <row r="177" spans="1:40" ht="15" customHeight="1" x14ac:dyDescent="0.25">
      <c r="A177" s="370">
        <v>172</v>
      </c>
      <c r="B177" s="371" t="s">
        <v>421</v>
      </c>
      <c r="C177" s="370" t="s">
        <v>1046</v>
      </c>
      <c r="D177" s="370" t="s">
        <v>1047</v>
      </c>
      <c r="E177" s="370" t="s">
        <v>339</v>
      </c>
      <c r="F177" s="370" t="s">
        <v>425</v>
      </c>
      <c r="G177" s="386">
        <f>INDEX('CTR1 Data Previous Year'!$B:$B,MATCH($D177,'CTR1 Data Previous Year'!$A:$A,0),1)</f>
        <v>158181363</v>
      </c>
      <c r="H177" s="386">
        <f>INDEX('CTR1 Data Previous Year'!$C:$C,MATCH($D177,'CTR1 Data Previous Year'!$A:$A,0),1)</f>
        <v>69410</v>
      </c>
      <c r="I177" s="386">
        <f>INDEX('CTR1 Data Previous Year'!$D:$D,MATCH($D177,'CTR1 Data Previous Year'!$A:$A,0),1)</f>
        <v>9729178</v>
      </c>
      <c r="J177" s="386">
        <f>INDEX('CTR1 Data Previous Year'!$E:$E,MATCH($D177,'CTR1 Data Previous Year'!$A:$A,0),1)</f>
        <v>148452185</v>
      </c>
      <c r="K177" s="386">
        <f>INDEX('CTR1 Data Previous Year'!$F:$F,MATCH($D177,'CTR1 Data Previous Year'!$A:$A,0),1)</f>
        <v>1012471</v>
      </c>
      <c r="L177" s="465">
        <f>INDEX('CTR1 Data Previous Year'!$G:$G,MATCH($D177,'CTR1 Data Previous Year'!$A:$A,0),1)</f>
        <v>83808.210000000006</v>
      </c>
      <c r="M177" s="455">
        <f>INDEX('CTR1 Data Previous Year'!$H:$H,MATCH($D177,'CTR1 Data Previous Year'!$A:$A,0),1)</f>
        <v>0.98699999999999999</v>
      </c>
      <c r="N177" s="465">
        <f>INDEX('CTR1 Data Previous Year'!$I:$I,MATCH($D177,'CTR1 Data Previous Year'!$A:$A,0),1)</f>
        <v>42.1</v>
      </c>
      <c r="O177" s="160" t="s">
        <v>129</v>
      </c>
      <c r="P177" s="817"/>
      <c r="Q177" s="820" t="s">
        <v>426</v>
      </c>
      <c r="R177" s="817" t="s">
        <v>427</v>
      </c>
      <c r="S177" s="821" t="s">
        <v>428</v>
      </c>
      <c r="T177" s="817" t="s">
        <v>429</v>
      </c>
      <c r="U177" s="160"/>
      <c r="V177" s="817"/>
      <c r="W177" s="465">
        <f>INDEX('CTR1 Data Previous Year'!$J:$J,MATCH($D177,'CTR1 Data Previous Year'!$A:$A,0),1)</f>
        <v>82760.800000000003</v>
      </c>
      <c r="X177" s="465">
        <f>INDEX('CTR1 Data Previous Year'!$K:$K,MATCH($D177,'CTR1 Data Previous Year'!$A:$A,0),1)</f>
        <v>1911.31</v>
      </c>
      <c r="Y177" s="465">
        <f>INDEX('CTR1 Data Previous Year'!$L:$L,MATCH($D177,'CTR1 Data Previous Year'!$A:$A,0),1)</f>
        <v>1793.75</v>
      </c>
      <c r="Z177" s="836" t="str">
        <f t="shared" si="25"/>
        <v>Y</v>
      </c>
      <c r="AA177" s="837" t="str">
        <f t="shared" si="26"/>
        <v>N</v>
      </c>
      <c r="AB177" s="838">
        <f t="shared" si="27"/>
        <v>1793.75</v>
      </c>
      <c r="AC177" s="868">
        <f t="shared" si="28"/>
        <v>9.0000000000000011E-2</v>
      </c>
      <c r="AD177" s="876">
        <f t="shared" si="29"/>
        <v>0</v>
      </c>
      <c r="AE177" s="838">
        <f t="shared" si="30"/>
        <v>1883.4375</v>
      </c>
      <c r="AF177" s="838">
        <f t="shared" si="31"/>
        <v>1793.75</v>
      </c>
      <c r="AG177" s="839">
        <f t="shared" si="33"/>
        <v>1955.1875000000002</v>
      </c>
      <c r="AH177" s="839">
        <f t="shared" si="34"/>
        <v>1955.19</v>
      </c>
      <c r="AI177" s="840">
        <f t="shared" si="32"/>
        <v>35.880000000000003</v>
      </c>
      <c r="AJ177" s="841">
        <f t="shared" si="35"/>
        <v>2.0002787456445993E-2</v>
      </c>
      <c r="AK177" s="446"/>
      <c r="AL177" s="446"/>
      <c r="AM177" s="446"/>
      <c r="AN177" s="446"/>
    </row>
    <row r="178" spans="1:40" ht="15" customHeight="1" x14ac:dyDescent="0.25">
      <c r="A178" s="370">
        <v>173</v>
      </c>
      <c r="B178" s="371" t="s">
        <v>1048</v>
      </c>
      <c r="C178" s="370" t="s">
        <v>1049</v>
      </c>
      <c r="D178" s="370" t="s">
        <v>1050</v>
      </c>
      <c r="E178" s="370" t="s">
        <v>353</v>
      </c>
      <c r="F178" s="370" t="s">
        <v>685</v>
      </c>
      <c r="G178" s="386">
        <f>INDEX('CTR1 Data Previous Year'!$B:$B,MATCH($D178,'CTR1 Data Previous Year'!$A:$A,0),1)</f>
        <v>132529761</v>
      </c>
      <c r="H178" s="386">
        <f>INDEX('CTR1 Data Previous Year'!$C:$C,MATCH($D178,'CTR1 Data Previous Year'!$A:$A,0),1)</f>
        <v>0</v>
      </c>
      <c r="I178" s="386">
        <f>INDEX('CTR1 Data Previous Year'!$D:$D,MATCH($D178,'CTR1 Data Previous Year'!$A:$A,0),1)</f>
        <v>0</v>
      </c>
      <c r="J178" s="386">
        <f>INDEX('CTR1 Data Previous Year'!$E:$E,MATCH($D178,'CTR1 Data Previous Year'!$A:$A,0),1)</f>
        <v>132529761</v>
      </c>
      <c r="K178" s="386">
        <f>INDEX('CTR1 Data Previous Year'!$F:$F,MATCH($D178,'CTR1 Data Previous Year'!$A:$A,0),1)</f>
        <v>13531439</v>
      </c>
      <c r="L178" s="465">
        <f>INDEX('CTR1 Data Previous Year'!$G:$G,MATCH($D178,'CTR1 Data Previous Year'!$A:$A,0),1)</f>
        <v>65893</v>
      </c>
      <c r="M178" s="455">
        <f>INDEX('CTR1 Data Previous Year'!$H:$H,MATCH($D178,'CTR1 Data Previous Year'!$A:$A,0),1)</f>
        <v>0.98499999999999999</v>
      </c>
      <c r="N178" s="465">
        <f>INDEX('CTR1 Data Previous Year'!$I:$I,MATCH($D178,'CTR1 Data Previous Year'!$A:$A,0),1)</f>
        <v>45.11</v>
      </c>
      <c r="O178" s="160" t="s">
        <v>129</v>
      </c>
      <c r="P178" s="817"/>
      <c r="Q178" s="820" t="s">
        <v>803</v>
      </c>
      <c r="R178" s="817" t="s">
        <v>804</v>
      </c>
      <c r="S178" s="821" t="s">
        <v>805</v>
      </c>
      <c r="T178" s="817" t="s">
        <v>806</v>
      </c>
      <c r="U178" s="160" t="s">
        <v>716</v>
      </c>
      <c r="V178" s="817" t="s">
        <v>717</v>
      </c>
      <c r="W178" s="465">
        <f>INDEX('CTR1 Data Previous Year'!$J:$J,MATCH($D178,'CTR1 Data Previous Year'!$A:$A,0),1)</f>
        <v>64949.72</v>
      </c>
      <c r="X178" s="465">
        <f>INDEX('CTR1 Data Previous Year'!$K:$K,MATCH($D178,'CTR1 Data Previous Year'!$A:$A,0),1)</f>
        <v>2040.5</v>
      </c>
      <c r="Y178" s="465">
        <f>INDEX('CTR1 Data Previous Year'!$L:$L,MATCH($D178,'CTR1 Data Previous Year'!$A:$A,0),1)</f>
        <v>2040.5</v>
      </c>
      <c r="Z178" s="836" t="str">
        <f t="shared" si="25"/>
        <v>N</v>
      </c>
      <c r="AA178" s="837" t="str">
        <f t="shared" si="26"/>
        <v>N</v>
      </c>
      <c r="AB178" s="838">
        <f t="shared" si="27"/>
        <v>2040.5</v>
      </c>
      <c r="AC178" s="868">
        <f t="shared" si="28"/>
        <v>0</v>
      </c>
      <c r="AD178" s="876">
        <f t="shared" si="29"/>
        <v>0</v>
      </c>
      <c r="AE178" s="838">
        <f t="shared" si="30"/>
        <v>2142.5250000000001</v>
      </c>
      <c r="AF178" s="838">
        <f t="shared" si="31"/>
        <v>2040.5</v>
      </c>
      <c r="AG178" s="839">
        <f t="shared" si="33"/>
        <v>0</v>
      </c>
      <c r="AH178" s="839">
        <f t="shared" si="34"/>
        <v>2142.5300000000002</v>
      </c>
      <c r="AI178" s="840">
        <f t="shared" si="32"/>
        <v>40.81</v>
      </c>
      <c r="AJ178" s="841">
        <f t="shared" si="35"/>
        <v>0.02</v>
      </c>
      <c r="AK178" s="446"/>
      <c r="AL178" s="446"/>
      <c r="AM178" s="446"/>
      <c r="AN178" s="446"/>
    </row>
    <row r="179" spans="1:40" ht="15" customHeight="1" x14ac:dyDescent="0.25">
      <c r="A179" s="370">
        <v>174</v>
      </c>
      <c r="B179" s="371" t="s">
        <v>1051</v>
      </c>
      <c r="C179" s="370" t="s">
        <v>1052</v>
      </c>
      <c r="D179" s="370" t="s">
        <v>1053</v>
      </c>
      <c r="E179" s="370" t="s">
        <v>321</v>
      </c>
      <c r="F179" s="370" t="s">
        <v>444</v>
      </c>
      <c r="G179" s="386">
        <f>INDEX('CTR1 Data Previous Year'!$B:$B,MATCH($D179,'CTR1 Data Previous Year'!$A:$A,0),1)</f>
        <v>6685229</v>
      </c>
      <c r="H179" s="386">
        <f>INDEX('CTR1 Data Previous Year'!$C:$C,MATCH($D179,'CTR1 Data Previous Year'!$A:$A,0),1)</f>
        <v>0</v>
      </c>
      <c r="I179" s="386">
        <f>INDEX('CTR1 Data Previous Year'!$D:$D,MATCH($D179,'CTR1 Data Previous Year'!$A:$A,0),1)</f>
        <v>1366599</v>
      </c>
      <c r="J179" s="386">
        <f>INDEX('CTR1 Data Previous Year'!$E:$E,MATCH($D179,'CTR1 Data Previous Year'!$A:$A,0),1)</f>
        <v>5318630</v>
      </c>
      <c r="K179" s="386">
        <f>INDEX('CTR1 Data Previous Year'!$F:$F,MATCH($D179,'CTR1 Data Previous Year'!$A:$A,0),1)</f>
        <v>0</v>
      </c>
      <c r="L179" s="465">
        <f>INDEX('CTR1 Data Previous Year'!$G:$G,MATCH($D179,'CTR1 Data Previous Year'!$A:$A,0),1)</f>
        <v>22357.040000000001</v>
      </c>
      <c r="M179" s="455">
        <f>INDEX('CTR1 Data Previous Year'!$H:$H,MATCH($D179,'CTR1 Data Previous Year'!$A:$A,0),1)</f>
        <v>0.98</v>
      </c>
      <c r="N179" s="465">
        <f>INDEX('CTR1 Data Previous Year'!$I:$I,MATCH($D179,'CTR1 Data Previous Year'!$A:$A,0),1)</f>
        <v>0</v>
      </c>
      <c r="O179" s="160" t="s">
        <v>1054</v>
      </c>
      <c r="P179" s="817" t="s">
        <v>1055</v>
      </c>
      <c r="Q179" s="820" t="s">
        <v>1056</v>
      </c>
      <c r="R179" s="817" t="s">
        <v>1057</v>
      </c>
      <c r="S179" s="821" t="s">
        <v>129</v>
      </c>
      <c r="T179" s="817"/>
      <c r="U179" s="160"/>
      <c r="V179" s="817"/>
      <c r="W179" s="465">
        <f>INDEX('CTR1 Data Previous Year'!$J:$J,MATCH($D179,'CTR1 Data Previous Year'!$A:$A,0),1)</f>
        <v>21909.9</v>
      </c>
      <c r="X179" s="465">
        <f>INDEX('CTR1 Data Previous Year'!$K:$K,MATCH($D179,'CTR1 Data Previous Year'!$A:$A,0),1)</f>
        <v>305.12</v>
      </c>
      <c r="Y179" s="465">
        <f>INDEX('CTR1 Data Previous Year'!$L:$L,MATCH($D179,'CTR1 Data Previous Year'!$A:$A,0),1)</f>
        <v>242.75</v>
      </c>
      <c r="Z179" s="836" t="str">
        <f t="shared" si="25"/>
        <v>N</v>
      </c>
      <c r="AA179" s="837" t="str">
        <f t="shared" si="26"/>
        <v>N</v>
      </c>
      <c r="AB179" s="838">
        <f t="shared" si="27"/>
        <v>242.75</v>
      </c>
      <c r="AC179" s="868">
        <f t="shared" si="28"/>
        <v>0</v>
      </c>
      <c r="AD179" s="876">
        <f t="shared" si="29"/>
        <v>0</v>
      </c>
      <c r="AE179" s="838">
        <f t="shared" si="30"/>
        <v>250.0325</v>
      </c>
      <c r="AF179" s="838">
        <f t="shared" si="31"/>
        <v>247.75</v>
      </c>
      <c r="AG179" s="839">
        <f t="shared" si="33"/>
        <v>0</v>
      </c>
      <c r="AH179" s="839">
        <f t="shared" si="34"/>
        <v>250.03</v>
      </c>
      <c r="AI179" s="840">
        <f t="shared" si="32"/>
        <v>0</v>
      </c>
      <c r="AJ179" s="841">
        <f t="shared" si="35"/>
        <v>0</v>
      </c>
      <c r="AK179" s="446"/>
      <c r="AL179" s="446"/>
      <c r="AM179" s="446"/>
      <c r="AN179" s="446"/>
    </row>
    <row r="180" spans="1:40" ht="15" customHeight="1" x14ac:dyDescent="0.25">
      <c r="A180" s="370">
        <v>175</v>
      </c>
      <c r="B180" s="371" t="s">
        <v>1058</v>
      </c>
      <c r="C180" s="370" t="s">
        <v>1059</v>
      </c>
      <c r="D180" s="370" t="s">
        <v>1060</v>
      </c>
      <c r="E180" s="370" t="s">
        <v>321</v>
      </c>
      <c r="F180" s="370" t="s">
        <v>330</v>
      </c>
      <c r="G180" s="386">
        <f>INDEX('CTR1 Data Previous Year'!$B:$B,MATCH($D180,'CTR1 Data Previous Year'!$A:$A,0),1)</f>
        <v>10122989</v>
      </c>
      <c r="H180" s="386">
        <f>INDEX('CTR1 Data Previous Year'!$C:$C,MATCH($D180,'CTR1 Data Previous Year'!$A:$A,0),1)</f>
        <v>0</v>
      </c>
      <c r="I180" s="386">
        <f>INDEX('CTR1 Data Previous Year'!$D:$D,MATCH($D180,'CTR1 Data Previous Year'!$A:$A,0),1)</f>
        <v>3215826</v>
      </c>
      <c r="J180" s="386">
        <f>INDEX('CTR1 Data Previous Year'!$E:$E,MATCH($D180,'CTR1 Data Previous Year'!$A:$A,0),1)</f>
        <v>6907163</v>
      </c>
      <c r="K180" s="386">
        <f>INDEX('CTR1 Data Previous Year'!$F:$F,MATCH($D180,'CTR1 Data Previous Year'!$A:$A,0),1)</f>
        <v>638942</v>
      </c>
      <c r="L180" s="465">
        <f>INDEX('CTR1 Data Previous Year'!$G:$G,MATCH($D180,'CTR1 Data Previous Year'!$A:$A,0),1)</f>
        <v>38494.36</v>
      </c>
      <c r="M180" s="455">
        <f>INDEX('CTR1 Data Previous Year'!$H:$H,MATCH($D180,'CTR1 Data Previous Year'!$A:$A,0),1)</f>
        <v>0.97499999999999998</v>
      </c>
      <c r="N180" s="465">
        <f>INDEX('CTR1 Data Previous Year'!$I:$I,MATCH($D180,'CTR1 Data Previous Year'!$A:$A,0),1)</f>
        <v>0</v>
      </c>
      <c r="O180" s="160" t="s">
        <v>454</v>
      </c>
      <c r="P180" s="817" t="s">
        <v>455</v>
      </c>
      <c r="Q180" s="820" t="s">
        <v>456</v>
      </c>
      <c r="R180" s="817" t="s">
        <v>457</v>
      </c>
      <c r="S180" s="821" t="s">
        <v>458</v>
      </c>
      <c r="T180" s="817" t="s">
        <v>459</v>
      </c>
      <c r="U180" s="160"/>
      <c r="V180" s="817"/>
      <c r="W180" s="465">
        <f>INDEX('CTR1 Data Previous Year'!$J:$J,MATCH($D180,'CTR1 Data Previous Year'!$A:$A,0),1)</f>
        <v>37532</v>
      </c>
      <c r="X180" s="465">
        <f>INDEX('CTR1 Data Previous Year'!$K:$K,MATCH($D180,'CTR1 Data Previous Year'!$A:$A,0),1)</f>
        <v>269.72000000000003</v>
      </c>
      <c r="Y180" s="465">
        <f>INDEX('CTR1 Data Previous Year'!$L:$L,MATCH($D180,'CTR1 Data Previous Year'!$A:$A,0),1)</f>
        <v>184.03</v>
      </c>
      <c r="Z180" s="836" t="str">
        <f t="shared" si="25"/>
        <v>N</v>
      </c>
      <c r="AA180" s="837" t="str">
        <f t="shared" si="26"/>
        <v>N</v>
      </c>
      <c r="AB180" s="838">
        <f t="shared" si="27"/>
        <v>184.03</v>
      </c>
      <c r="AC180" s="868">
        <f t="shared" si="28"/>
        <v>0</v>
      </c>
      <c r="AD180" s="876">
        <f t="shared" si="29"/>
        <v>0</v>
      </c>
      <c r="AE180" s="838">
        <f t="shared" si="30"/>
        <v>189.55090000000001</v>
      </c>
      <c r="AF180" s="838">
        <f t="shared" si="31"/>
        <v>189.03</v>
      </c>
      <c r="AG180" s="839">
        <f t="shared" si="33"/>
        <v>0</v>
      </c>
      <c r="AH180" s="839">
        <f t="shared" si="34"/>
        <v>189.55</v>
      </c>
      <c r="AI180" s="840">
        <f t="shared" si="32"/>
        <v>0</v>
      </c>
      <c r="AJ180" s="841">
        <f t="shared" si="35"/>
        <v>0</v>
      </c>
      <c r="AK180" s="446"/>
      <c r="AL180" s="446"/>
      <c r="AM180" s="446"/>
      <c r="AN180" s="446"/>
    </row>
    <row r="181" spans="1:40" s="177" customFormat="1" ht="15" customHeight="1" x14ac:dyDescent="0.25">
      <c r="A181" s="370">
        <v>176</v>
      </c>
      <c r="B181" s="383" t="s">
        <v>1061</v>
      </c>
      <c r="C181" s="382" t="s">
        <v>1062</v>
      </c>
      <c r="D181" s="382" t="s">
        <v>1063</v>
      </c>
      <c r="E181" s="370" t="s">
        <v>339</v>
      </c>
      <c r="F181" s="370" t="s">
        <v>391</v>
      </c>
      <c r="G181" s="386">
        <f>INDEX('CTR1 Data Previous Year'!$B:$B,MATCH($D181,'CTR1 Data Previous Year'!$A:$A,0),1)</f>
        <v>507158495.56999999</v>
      </c>
      <c r="H181" s="386">
        <f>INDEX('CTR1 Data Previous Year'!$C:$C,MATCH($D181,'CTR1 Data Previous Year'!$A:$A,0),1)</f>
        <v>0</v>
      </c>
      <c r="I181" s="386">
        <f>INDEX('CTR1 Data Previous Year'!$D:$D,MATCH($D181,'CTR1 Data Previous Year'!$A:$A,0),1)</f>
        <v>12953288.24</v>
      </c>
      <c r="J181" s="386">
        <f>INDEX('CTR1 Data Previous Year'!$E:$E,MATCH($D181,'CTR1 Data Previous Year'!$A:$A,0),1)</f>
        <v>494205207.32999998</v>
      </c>
      <c r="K181" s="386">
        <f>INDEX('CTR1 Data Previous Year'!$F:$F,MATCH($D181,'CTR1 Data Previous Year'!$A:$A,0),1)</f>
        <v>3616800</v>
      </c>
      <c r="L181" s="465">
        <f>INDEX('CTR1 Data Previous Year'!$G:$G,MATCH($D181,'CTR1 Data Previous Year'!$A:$A,0),1)</f>
        <v>256068.9</v>
      </c>
      <c r="M181" s="455">
        <f>INDEX('CTR1 Data Previous Year'!$H:$H,MATCH($D181,'CTR1 Data Previous Year'!$A:$A,0),1)</f>
        <v>0.98488129999999996</v>
      </c>
      <c r="N181" s="465">
        <f>INDEX('CTR1 Data Previous Year'!$I:$I,MATCH($D181,'CTR1 Data Previous Year'!$A:$A,0),1)</f>
        <v>2607.91</v>
      </c>
      <c r="O181" s="160"/>
      <c r="P181" s="817"/>
      <c r="Q181" s="820" t="s">
        <v>1064</v>
      </c>
      <c r="R181" s="817" t="s">
        <v>1065</v>
      </c>
      <c r="S181"/>
      <c r="T181" s="817"/>
      <c r="U181" s="820" t="s">
        <v>1066</v>
      </c>
      <c r="V181" s="817" t="s">
        <v>1065</v>
      </c>
      <c r="W181" s="465">
        <f>INDEX('CTR1 Data Previous Year'!$J:$J,MATCH($D181,'CTR1 Data Previous Year'!$A:$A,0),1)</f>
        <v>254805.37</v>
      </c>
      <c r="X181" s="465">
        <f>INDEX('CTR1 Data Previous Year'!$K:$K,MATCH($D181,'CTR1 Data Previous Year'!$A:$A,0),1)</f>
        <v>1990.38</v>
      </c>
      <c r="Y181" s="465">
        <f>INDEX('CTR1 Data Previous Year'!$L:$L,MATCH($D181,'CTR1 Data Previous Year'!$A:$A,0),1)</f>
        <v>1939.54</v>
      </c>
      <c r="Z181" s="836" t="str">
        <f t="shared" si="25"/>
        <v>N</v>
      </c>
      <c r="AA181" s="837" t="str">
        <f t="shared" si="26"/>
        <v>N</v>
      </c>
      <c r="AB181" s="838">
        <f t="shared" si="27"/>
        <v>1939.54</v>
      </c>
      <c r="AC181" s="868">
        <f t="shared" si="28"/>
        <v>0</v>
      </c>
      <c r="AD181" s="876">
        <f t="shared" si="29"/>
        <v>0</v>
      </c>
      <c r="AE181" s="838">
        <f t="shared" si="30"/>
        <v>2036.5170000000001</v>
      </c>
      <c r="AF181" s="838">
        <f t="shared" si="31"/>
        <v>1939.54</v>
      </c>
      <c r="AG181" s="839">
        <f t="shared" si="33"/>
        <v>0</v>
      </c>
      <c r="AH181" s="839">
        <f t="shared" si="34"/>
        <v>2036.52</v>
      </c>
      <c r="AI181" s="840">
        <f t="shared" si="32"/>
        <v>38.79</v>
      </c>
      <c r="AJ181" s="841">
        <f t="shared" si="35"/>
        <v>1.9999587531064067E-2</v>
      </c>
      <c r="AK181" s="446"/>
      <c r="AL181" s="446"/>
      <c r="AM181" s="446"/>
      <c r="AN181" s="446"/>
    </row>
    <row r="182" spans="1:40" ht="15" customHeight="1" x14ac:dyDescent="0.25">
      <c r="A182" s="370">
        <v>177</v>
      </c>
      <c r="B182" s="371" t="s">
        <v>1067</v>
      </c>
      <c r="C182" s="370" t="s">
        <v>1068</v>
      </c>
      <c r="D182" s="370" t="s">
        <v>1069</v>
      </c>
      <c r="E182" s="370" t="s">
        <v>339</v>
      </c>
      <c r="F182" s="370" t="s">
        <v>685</v>
      </c>
      <c r="G182" s="386">
        <f>INDEX('CTR1 Data Previous Year'!$B:$B,MATCH($D182,'CTR1 Data Previous Year'!$A:$A,0),1)</f>
        <v>265447283</v>
      </c>
      <c r="H182" s="386">
        <f>INDEX('CTR1 Data Previous Year'!$C:$C,MATCH($D182,'CTR1 Data Previous Year'!$A:$A,0),1)</f>
        <v>3957</v>
      </c>
      <c r="I182" s="386">
        <f>INDEX('CTR1 Data Previous Year'!$D:$D,MATCH($D182,'CTR1 Data Previous Year'!$A:$A,0),1)</f>
        <v>11436912</v>
      </c>
      <c r="J182" s="386">
        <f>INDEX('CTR1 Data Previous Year'!$E:$E,MATCH($D182,'CTR1 Data Previous Year'!$A:$A,0),1)</f>
        <v>254010371</v>
      </c>
      <c r="K182" s="386">
        <f>INDEX('CTR1 Data Previous Year'!$F:$F,MATCH($D182,'CTR1 Data Previous Year'!$A:$A,0),1)</f>
        <v>7475208</v>
      </c>
      <c r="L182" s="465">
        <f>INDEX('CTR1 Data Previous Year'!$G:$G,MATCH($D182,'CTR1 Data Previous Year'!$A:$A,0),1)</f>
        <v>118175.97</v>
      </c>
      <c r="M182" s="455">
        <f>INDEX('CTR1 Data Previous Year'!$H:$H,MATCH($D182,'CTR1 Data Previous Year'!$A:$A,0),1)</f>
        <v>0.99004669999999995</v>
      </c>
      <c r="N182" s="465">
        <f>INDEX('CTR1 Data Previous Year'!$I:$I,MATCH($D182,'CTR1 Data Previous Year'!$A:$A,0),1)</f>
        <v>0</v>
      </c>
      <c r="O182" s="160" t="s">
        <v>129</v>
      </c>
      <c r="P182" s="817"/>
      <c r="Q182" s="820" t="s">
        <v>803</v>
      </c>
      <c r="R182" s="817" t="s">
        <v>804</v>
      </c>
      <c r="S182" s="821" t="s">
        <v>129</v>
      </c>
      <c r="T182" s="817"/>
      <c r="U182" s="160" t="s">
        <v>716</v>
      </c>
      <c r="V182" s="817" t="s">
        <v>717</v>
      </c>
      <c r="W182" s="465">
        <f>INDEX('CTR1 Data Previous Year'!$J:$J,MATCH($D182,'CTR1 Data Previous Year'!$A:$A,0),1)</f>
        <v>116999.73</v>
      </c>
      <c r="X182" s="465">
        <f>INDEX('CTR1 Data Previous Year'!$K:$K,MATCH($D182,'CTR1 Data Previous Year'!$A:$A,0),1)</f>
        <v>2268.79</v>
      </c>
      <c r="Y182" s="465">
        <f>INDEX('CTR1 Data Previous Year'!$L:$L,MATCH($D182,'CTR1 Data Previous Year'!$A:$A,0),1)</f>
        <v>2171.0300000000002</v>
      </c>
      <c r="Z182" s="836" t="str">
        <f t="shared" si="25"/>
        <v>N</v>
      </c>
      <c r="AA182" s="837" t="str">
        <f t="shared" si="26"/>
        <v>N</v>
      </c>
      <c r="AB182" s="838">
        <f t="shared" si="27"/>
        <v>2171.0300000000002</v>
      </c>
      <c r="AC182" s="868">
        <f t="shared" si="28"/>
        <v>0</v>
      </c>
      <c r="AD182" s="876">
        <f t="shared" si="29"/>
        <v>0</v>
      </c>
      <c r="AE182" s="838">
        <f t="shared" si="30"/>
        <v>2279.5815000000002</v>
      </c>
      <c r="AF182" s="838">
        <f t="shared" si="31"/>
        <v>2171.0300000000002</v>
      </c>
      <c r="AG182" s="839">
        <f t="shared" si="33"/>
        <v>0</v>
      </c>
      <c r="AH182" s="839">
        <f t="shared" si="34"/>
        <v>2279.58</v>
      </c>
      <c r="AI182" s="840">
        <f t="shared" si="32"/>
        <v>43.42</v>
      </c>
      <c r="AJ182" s="841">
        <f t="shared" si="35"/>
        <v>1.9999723633482725E-2</v>
      </c>
      <c r="AK182" s="446"/>
      <c r="AL182" s="446"/>
      <c r="AM182" s="446"/>
      <c r="AN182" s="446"/>
    </row>
    <row r="183" spans="1:40" ht="15" customHeight="1" x14ac:dyDescent="0.25">
      <c r="A183" s="370">
        <v>178</v>
      </c>
      <c r="B183" s="371" t="s">
        <v>1070</v>
      </c>
      <c r="C183" s="370" t="s">
        <v>1071</v>
      </c>
      <c r="D183" s="370" t="s">
        <v>1072</v>
      </c>
      <c r="E183" s="370" t="s">
        <v>321</v>
      </c>
      <c r="F183" s="370" t="s">
        <v>368</v>
      </c>
      <c r="G183" s="386">
        <f>INDEX('CTR1 Data Previous Year'!$B:$B,MATCH($D183,'CTR1 Data Previous Year'!$A:$A,0),1)</f>
        <v>11989104</v>
      </c>
      <c r="H183" s="386">
        <f>INDEX('CTR1 Data Previous Year'!$C:$C,MATCH($D183,'CTR1 Data Previous Year'!$A:$A,0),1)</f>
        <v>0</v>
      </c>
      <c r="I183" s="386">
        <f>INDEX('CTR1 Data Previous Year'!$D:$D,MATCH($D183,'CTR1 Data Previous Year'!$A:$A,0),1)</f>
        <v>0</v>
      </c>
      <c r="J183" s="386">
        <f>INDEX('CTR1 Data Previous Year'!$E:$E,MATCH($D183,'CTR1 Data Previous Year'!$A:$A,0),1)</f>
        <v>11989104</v>
      </c>
      <c r="K183" s="386">
        <f>INDEX('CTR1 Data Previous Year'!$F:$F,MATCH($D183,'CTR1 Data Previous Year'!$A:$A,0),1)</f>
        <v>0</v>
      </c>
      <c r="L183" s="465">
        <f>INDEX('CTR1 Data Previous Year'!$G:$G,MATCH($D183,'CTR1 Data Previous Year'!$A:$A,0),1)</f>
        <v>39965.31</v>
      </c>
      <c r="M183" s="455">
        <f>INDEX('CTR1 Data Previous Year'!$H:$H,MATCH($D183,'CTR1 Data Previous Year'!$A:$A,0),1)</f>
        <v>0.98</v>
      </c>
      <c r="N183" s="465">
        <f>INDEX('CTR1 Data Previous Year'!$I:$I,MATCH($D183,'CTR1 Data Previous Year'!$A:$A,0),1)</f>
        <v>0</v>
      </c>
      <c r="O183" s="160" t="s">
        <v>520</v>
      </c>
      <c r="P183" s="817" t="s">
        <v>521</v>
      </c>
      <c r="Q183" s="820" t="s">
        <v>522</v>
      </c>
      <c r="R183" s="817" t="s">
        <v>523</v>
      </c>
      <c r="S183" s="821" t="s">
        <v>129</v>
      </c>
      <c r="T183" s="817"/>
      <c r="U183" s="160"/>
      <c r="V183" s="817"/>
      <c r="W183" s="465">
        <f>INDEX('CTR1 Data Previous Year'!$J:$J,MATCH($D183,'CTR1 Data Previous Year'!$A:$A,0),1)</f>
        <v>39166</v>
      </c>
      <c r="X183" s="465">
        <f>INDEX('CTR1 Data Previous Year'!$K:$K,MATCH($D183,'CTR1 Data Previous Year'!$A:$A,0),1)</f>
        <v>306.11</v>
      </c>
      <c r="Y183" s="465">
        <f>INDEX('CTR1 Data Previous Year'!$L:$L,MATCH($D183,'CTR1 Data Previous Year'!$A:$A,0),1)</f>
        <v>306.11</v>
      </c>
      <c r="Z183" s="836" t="str">
        <f t="shared" si="25"/>
        <v>N</v>
      </c>
      <c r="AA183" s="837" t="str">
        <f t="shared" si="26"/>
        <v>N</v>
      </c>
      <c r="AB183" s="838">
        <f t="shared" si="27"/>
        <v>306.11</v>
      </c>
      <c r="AC183" s="868">
        <f t="shared" si="28"/>
        <v>0</v>
      </c>
      <c r="AD183" s="876">
        <f t="shared" si="29"/>
        <v>0</v>
      </c>
      <c r="AE183" s="838">
        <f t="shared" si="30"/>
        <v>315.29330000000004</v>
      </c>
      <c r="AF183" s="838">
        <f t="shared" si="31"/>
        <v>311.11</v>
      </c>
      <c r="AG183" s="839">
        <f t="shared" si="33"/>
        <v>0</v>
      </c>
      <c r="AH183" s="839">
        <f t="shared" si="34"/>
        <v>315.29000000000002</v>
      </c>
      <c r="AI183" s="840">
        <f t="shared" si="32"/>
        <v>0</v>
      </c>
      <c r="AJ183" s="841">
        <f t="shared" si="35"/>
        <v>0</v>
      </c>
      <c r="AK183" s="446"/>
      <c r="AL183" s="446"/>
      <c r="AM183" s="446"/>
      <c r="AN183" s="446"/>
    </row>
    <row r="184" spans="1:40" ht="15" customHeight="1" x14ac:dyDescent="0.25">
      <c r="A184" s="370">
        <v>179</v>
      </c>
      <c r="B184" s="371" t="s">
        <v>1073</v>
      </c>
      <c r="C184" s="370" t="s">
        <v>1074</v>
      </c>
      <c r="D184" s="370" t="s">
        <v>1075</v>
      </c>
      <c r="E184" s="370" t="s">
        <v>339</v>
      </c>
      <c r="F184" s="370" t="s">
        <v>330</v>
      </c>
      <c r="G184" s="386">
        <f>INDEX('CTR1 Data Previous Year'!$B:$B,MATCH($D184,'CTR1 Data Previous Year'!$A:$A,0),1)</f>
        <v>160804779</v>
      </c>
      <c r="H184" s="386">
        <f>INDEX('CTR1 Data Previous Year'!$C:$C,MATCH($D184,'CTR1 Data Previous Year'!$A:$A,0),1)</f>
        <v>0</v>
      </c>
      <c r="I184" s="386">
        <f>INDEX('CTR1 Data Previous Year'!$D:$D,MATCH($D184,'CTR1 Data Previous Year'!$A:$A,0),1)</f>
        <v>0</v>
      </c>
      <c r="J184" s="386">
        <f>INDEX('CTR1 Data Previous Year'!$E:$E,MATCH($D184,'CTR1 Data Previous Year'!$A:$A,0),1)</f>
        <v>160804779</v>
      </c>
      <c r="K184" s="386">
        <f>INDEX('CTR1 Data Previous Year'!$F:$F,MATCH($D184,'CTR1 Data Previous Year'!$A:$A,0),1)</f>
        <v>85584</v>
      </c>
      <c r="L184" s="465">
        <f>INDEX('CTR1 Data Previous Year'!$G:$G,MATCH($D184,'CTR1 Data Previous Year'!$A:$A,0),1)</f>
        <v>72884.100000000006</v>
      </c>
      <c r="M184" s="455">
        <f>INDEX('CTR1 Data Previous Year'!$H:$H,MATCH($D184,'CTR1 Data Previous Year'!$A:$A,0),1)</f>
        <v>0.97499999999999998</v>
      </c>
      <c r="N184" s="465">
        <f>INDEX('CTR1 Data Previous Year'!$I:$I,MATCH($D184,'CTR1 Data Previous Year'!$A:$A,0),1)</f>
        <v>0</v>
      </c>
      <c r="O184" s="160" t="s">
        <v>129</v>
      </c>
      <c r="P184" s="817"/>
      <c r="Q184" s="820" t="s">
        <v>349</v>
      </c>
      <c r="R184" s="817" t="s">
        <v>350</v>
      </c>
      <c r="S184" s="821" t="s">
        <v>351</v>
      </c>
      <c r="T184" s="817" t="s">
        <v>352</v>
      </c>
      <c r="U184" s="822" t="s">
        <v>337</v>
      </c>
      <c r="V184" s="817" t="s">
        <v>338</v>
      </c>
      <c r="W184" s="465">
        <f>INDEX('CTR1 Data Previous Year'!$J:$J,MATCH($D184,'CTR1 Data Previous Year'!$A:$A,0),1)</f>
        <v>71062</v>
      </c>
      <c r="X184" s="465">
        <f>INDEX('CTR1 Data Previous Year'!$K:$K,MATCH($D184,'CTR1 Data Previous Year'!$A:$A,0),1)</f>
        <v>2262.88</v>
      </c>
      <c r="Y184" s="465">
        <f>INDEX('CTR1 Data Previous Year'!$L:$L,MATCH($D184,'CTR1 Data Previous Year'!$A:$A,0),1)</f>
        <v>2262.88</v>
      </c>
      <c r="Z184" s="836" t="str">
        <f t="shared" si="25"/>
        <v>N</v>
      </c>
      <c r="AA184" s="837" t="str">
        <f t="shared" si="26"/>
        <v>N</v>
      </c>
      <c r="AB184" s="838">
        <f t="shared" si="27"/>
        <v>2262.88</v>
      </c>
      <c r="AC184" s="868">
        <f t="shared" si="28"/>
        <v>0</v>
      </c>
      <c r="AD184" s="876">
        <f t="shared" si="29"/>
        <v>0</v>
      </c>
      <c r="AE184" s="838">
        <f t="shared" si="30"/>
        <v>2376.0240000000003</v>
      </c>
      <c r="AF184" s="838">
        <f t="shared" si="31"/>
        <v>2262.88</v>
      </c>
      <c r="AG184" s="839">
        <f t="shared" si="33"/>
        <v>0</v>
      </c>
      <c r="AH184" s="839">
        <f t="shared" si="34"/>
        <v>2376.02</v>
      </c>
      <c r="AI184" s="840">
        <f t="shared" si="32"/>
        <v>45.26</v>
      </c>
      <c r="AJ184" s="841">
        <f t="shared" si="35"/>
        <v>2.0001060595347519E-2</v>
      </c>
      <c r="AK184" s="446"/>
      <c r="AL184" s="446"/>
      <c r="AM184" s="446"/>
      <c r="AN184" s="446"/>
    </row>
    <row r="185" spans="1:40" ht="15" customHeight="1" x14ac:dyDescent="0.25">
      <c r="A185" s="370">
        <v>180</v>
      </c>
      <c r="B185" s="371" t="s">
        <v>1076</v>
      </c>
      <c r="C185" s="370" t="s">
        <v>1077</v>
      </c>
      <c r="D185" s="370" t="s">
        <v>1078</v>
      </c>
      <c r="E185" s="370" t="s">
        <v>321</v>
      </c>
      <c r="F185" s="370" t="s">
        <v>444</v>
      </c>
      <c r="G185" s="386">
        <f>INDEX('CTR1 Data Previous Year'!$B:$B,MATCH($D185,'CTR1 Data Previous Year'!$A:$A,0),1)</f>
        <v>11078501</v>
      </c>
      <c r="H185" s="386">
        <f>INDEX('CTR1 Data Previous Year'!$C:$C,MATCH($D185,'CTR1 Data Previous Year'!$A:$A,0),1)</f>
        <v>0</v>
      </c>
      <c r="I185" s="386">
        <f>INDEX('CTR1 Data Previous Year'!$D:$D,MATCH($D185,'CTR1 Data Previous Year'!$A:$A,0),1)</f>
        <v>0</v>
      </c>
      <c r="J185" s="386">
        <f>INDEX('CTR1 Data Previous Year'!$E:$E,MATCH($D185,'CTR1 Data Previous Year'!$A:$A,0),1)</f>
        <v>11078501</v>
      </c>
      <c r="K185" s="386">
        <f>INDEX('CTR1 Data Previous Year'!$F:$F,MATCH($D185,'CTR1 Data Previous Year'!$A:$A,0),1)</f>
        <v>0</v>
      </c>
      <c r="L185" s="465">
        <f>INDEX('CTR1 Data Previous Year'!$G:$G,MATCH($D185,'CTR1 Data Previous Year'!$A:$A,0),1)</f>
        <v>42046.080000000002</v>
      </c>
      <c r="M185" s="455">
        <f>INDEX('CTR1 Data Previous Year'!$H:$H,MATCH($D185,'CTR1 Data Previous Year'!$A:$A,0),1)</f>
        <v>0.97</v>
      </c>
      <c r="N185" s="465">
        <f>INDEX('CTR1 Data Previous Year'!$I:$I,MATCH($D185,'CTR1 Data Previous Year'!$A:$A,0),1)</f>
        <v>24.6</v>
      </c>
      <c r="O185" s="160" t="s">
        <v>1054</v>
      </c>
      <c r="P185" s="817" t="s">
        <v>1055</v>
      </c>
      <c r="Q185" s="820" t="s">
        <v>1056</v>
      </c>
      <c r="R185" s="817" t="s">
        <v>1057</v>
      </c>
      <c r="S185" s="821" t="s">
        <v>129</v>
      </c>
      <c r="T185" s="817"/>
      <c r="U185" s="160"/>
      <c r="V185" s="817"/>
      <c r="W185" s="465">
        <f>INDEX('CTR1 Data Previous Year'!$J:$J,MATCH($D185,'CTR1 Data Previous Year'!$A:$A,0),1)</f>
        <v>40809.300000000003</v>
      </c>
      <c r="X185" s="465">
        <f>INDEX('CTR1 Data Previous Year'!$K:$K,MATCH($D185,'CTR1 Data Previous Year'!$A:$A,0),1)</f>
        <v>271.47000000000003</v>
      </c>
      <c r="Y185" s="465">
        <f>INDEX('CTR1 Data Previous Year'!$L:$L,MATCH($D185,'CTR1 Data Previous Year'!$A:$A,0),1)</f>
        <v>271.47000000000003</v>
      </c>
      <c r="Z185" s="836" t="str">
        <f t="shared" si="25"/>
        <v>N</v>
      </c>
      <c r="AA185" s="837" t="str">
        <f t="shared" si="26"/>
        <v>N</v>
      </c>
      <c r="AB185" s="838">
        <f t="shared" si="27"/>
        <v>271.47000000000003</v>
      </c>
      <c r="AC185" s="868">
        <f t="shared" si="28"/>
        <v>0</v>
      </c>
      <c r="AD185" s="876">
        <f t="shared" si="29"/>
        <v>0</v>
      </c>
      <c r="AE185" s="838">
        <f t="shared" si="30"/>
        <v>279.61410000000001</v>
      </c>
      <c r="AF185" s="838">
        <f t="shared" si="31"/>
        <v>276.47000000000003</v>
      </c>
      <c r="AG185" s="839">
        <f t="shared" si="33"/>
        <v>0</v>
      </c>
      <c r="AH185" s="839">
        <f t="shared" si="34"/>
        <v>279.61</v>
      </c>
      <c r="AI185" s="840">
        <f t="shared" si="32"/>
        <v>0</v>
      </c>
      <c r="AJ185" s="841">
        <f t="shared" si="35"/>
        <v>0</v>
      </c>
      <c r="AK185" s="446"/>
      <c r="AL185" s="446"/>
      <c r="AM185" s="446"/>
      <c r="AN185" s="446"/>
    </row>
    <row r="186" spans="1:40" ht="15" customHeight="1" x14ac:dyDescent="0.25">
      <c r="A186" s="370">
        <v>181</v>
      </c>
      <c r="B186" s="371" t="s">
        <v>1079</v>
      </c>
      <c r="C186" s="370" t="s">
        <v>1080</v>
      </c>
      <c r="D186" s="370" t="s">
        <v>1081</v>
      </c>
      <c r="E186" s="370" t="s">
        <v>321</v>
      </c>
      <c r="F186" s="370" t="s">
        <v>330</v>
      </c>
      <c r="G186" s="386">
        <f>INDEX('CTR1 Data Previous Year'!$B:$B,MATCH($D186,'CTR1 Data Previous Year'!$A:$A,0),1)</f>
        <v>4864982</v>
      </c>
      <c r="H186" s="386">
        <f>INDEX('CTR1 Data Previous Year'!$C:$C,MATCH($D186,'CTR1 Data Previous Year'!$A:$A,0),1)</f>
        <v>0</v>
      </c>
      <c r="I186" s="386">
        <f>INDEX('CTR1 Data Previous Year'!$D:$D,MATCH($D186,'CTR1 Data Previous Year'!$A:$A,0),1)</f>
        <v>0</v>
      </c>
      <c r="J186" s="386">
        <f>INDEX('CTR1 Data Previous Year'!$E:$E,MATCH($D186,'CTR1 Data Previous Year'!$A:$A,0),1)</f>
        <v>4864982</v>
      </c>
      <c r="K186" s="386">
        <f>INDEX('CTR1 Data Previous Year'!$F:$F,MATCH($D186,'CTR1 Data Previous Year'!$A:$A,0),1)</f>
        <v>0</v>
      </c>
      <c r="L186" s="465">
        <f>INDEX('CTR1 Data Previous Year'!$G:$G,MATCH($D186,'CTR1 Data Previous Year'!$A:$A,0),1)</f>
        <v>18877.349999999999</v>
      </c>
      <c r="M186" s="455">
        <f>INDEX('CTR1 Data Previous Year'!$H:$H,MATCH($D186,'CTR1 Data Previous Year'!$A:$A,0),1)</f>
        <v>0.98499999999999999</v>
      </c>
      <c r="N186" s="465">
        <f>INDEX('CTR1 Data Previous Year'!$I:$I,MATCH($D186,'CTR1 Data Previous Year'!$A:$A,0),1)</f>
        <v>0</v>
      </c>
      <c r="O186" s="160" t="s">
        <v>454</v>
      </c>
      <c r="P186" s="817" t="s">
        <v>455</v>
      </c>
      <c r="Q186" s="820" t="s">
        <v>456</v>
      </c>
      <c r="R186" s="817" t="s">
        <v>457</v>
      </c>
      <c r="S186" s="821" t="s">
        <v>458</v>
      </c>
      <c r="T186" s="817" t="s">
        <v>459</v>
      </c>
      <c r="U186" s="160"/>
      <c r="V186" s="817"/>
      <c r="W186" s="465">
        <f>INDEX('CTR1 Data Previous Year'!$J:$J,MATCH($D186,'CTR1 Data Previous Year'!$A:$A,0),1)</f>
        <v>18594.189999999999</v>
      </c>
      <c r="X186" s="465">
        <f>INDEX('CTR1 Data Previous Year'!$K:$K,MATCH($D186,'CTR1 Data Previous Year'!$A:$A,0),1)</f>
        <v>261.64</v>
      </c>
      <c r="Y186" s="465">
        <f>INDEX('CTR1 Data Previous Year'!$L:$L,MATCH($D186,'CTR1 Data Previous Year'!$A:$A,0),1)</f>
        <v>261.64</v>
      </c>
      <c r="Z186" s="836" t="str">
        <f t="shared" si="25"/>
        <v>N</v>
      </c>
      <c r="AA186" s="837" t="str">
        <f t="shared" si="26"/>
        <v>N</v>
      </c>
      <c r="AB186" s="838">
        <f t="shared" si="27"/>
        <v>261.64</v>
      </c>
      <c r="AC186" s="868">
        <f t="shared" si="28"/>
        <v>0</v>
      </c>
      <c r="AD186" s="876">
        <f t="shared" si="29"/>
        <v>0</v>
      </c>
      <c r="AE186" s="838">
        <f t="shared" si="30"/>
        <v>269.48919999999998</v>
      </c>
      <c r="AF186" s="838">
        <f t="shared" si="31"/>
        <v>266.64</v>
      </c>
      <c r="AG186" s="839">
        <f t="shared" si="33"/>
        <v>0</v>
      </c>
      <c r="AH186" s="839">
        <f t="shared" si="34"/>
        <v>269.49</v>
      </c>
      <c r="AI186" s="840">
        <f t="shared" si="32"/>
        <v>0</v>
      </c>
      <c r="AJ186" s="841">
        <f t="shared" si="35"/>
        <v>0</v>
      </c>
      <c r="AK186" s="446"/>
      <c r="AL186" s="446"/>
      <c r="AM186" s="446"/>
      <c r="AN186" s="446"/>
    </row>
    <row r="187" spans="1:40" ht="15" customHeight="1" x14ac:dyDescent="0.25">
      <c r="A187" s="370">
        <v>182</v>
      </c>
      <c r="B187" s="371" t="s">
        <v>1082</v>
      </c>
      <c r="C187" s="370" t="s">
        <v>1083</v>
      </c>
      <c r="D187" s="370" t="s">
        <v>1084</v>
      </c>
      <c r="E187" s="370" t="s">
        <v>353</v>
      </c>
      <c r="F187" s="370" t="s">
        <v>463</v>
      </c>
      <c r="G187" s="386">
        <f>INDEX('CTR1 Data Previous Year'!$B:$B,MATCH($D187,'CTR1 Data Previous Year'!$A:$A,0),1)</f>
        <v>122580521</v>
      </c>
      <c r="H187" s="386">
        <f>INDEX('CTR1 Data Previous Year'!$C:$C,MATCH($D187,'CTR1 Data Previous Year'!$A:$A,0),1)</f>
        <v>0</v>
      </c>
      <c r="I187" s="386">
        <f>INDEX('CTR1 Data Previous Year'!$D:$D,MATCH($D187,'CTR1 Data Previous Year'!$A:$A,0),1)</f>
        <v>380937</v>
      </c>
      <c r="J187" s="386">
        <f>INDEX('CTR1 Data Previous Year'!$E:$E,MATCH($D187,'CTR1 Data Previous Year'!$A:$A,0),1)</f>
        <v>122199584</v>
      </c>
      <c r="K187" s="386">
        <f>INDEX('CTR1 Data Previous Year'!$F:$F,MATCH($D187,'CTR1 Data Previous Year'!$A:$A,0),1)</f>
        <v>36932362</v>
      </c>
      <c r="L187" s="465">
        <f>INDEX('CTR1 Data Previous Year'!$G:$G,MATCH($D187,'CTR1 Data Previous Year'!$A:$A,0),1)</f>
        <v>61499.5</v>
      </c>
      <c r="M187" s="455">
        <f>INDEX('CTR1 Data Previous Year'!$H:$H,MATCH($D187,'CTR1 Data Previous Year'!$A:$A,0),1)</f>
        <v>0.96750000000000003</v>
      </c>
      <c r="N187" s="465">
        <f>INDEX('CTR1 Data Previous Year'!$I:$I,MATCH($D187,'CTR1 Data Previous Year'!$A:$A,0),1)</f>
        <v>0</v>
      </c>
      <c r="O187" s="160" t="s">
        <v>129</v>
      </c>
      <c r="P187" s="817"/>
      <c r="Q187" s="820" t="s">
        <v>477</v>
      </c>
      <c r="R187" s="817" t="s">
        <v>478</v>
      </c>
      <c r="S187" s="821"/>
      <c r="T187" s="817"/>
      <c r="U187" s="822" t="s">
        <v>479</v>
      </c>
      <c r="V187" s="817" t="s">
        <v>478</v>
      </c>
      <c r="W187" s="465">
        <f>INDEX('CTR1 Data Previous Year'!$J:$J,MATCH($D187,'CTR1 Data Previous Year'!$A:$A,0),1)</f>
        <v>59500.77</v>
      </c>
      <c r="X187" s="465">
        <f>INDEX('CTR1 Data Previous Year'!$K:$K,MATCH($D187,'CTR1 Data Previous Year'!$A:$A,0),1)</f>
        <v>2060.15</v>
      </c>
      <c r="Y187" s="465">
        <f>INDEX('CTR1 Data Previous Year'!$L:$L,MATCH($D187,'CTR1 Data Previous Year'!$A:$A,0),1)</f>
        <v>2053.75</v>
      </c>
      <c r="Z187" s="836" t="str">
        <f t="shared" si="25"/>
        <v>N</v>
      </c>
      <c r="AA187" s="837" t="str">
        <f t="shared" si="26"/>
        <v>N</v>
      </c>
      <c r="AB187" s="838">
        <f t="shared" si="27"/>
        <v>2053.75</v>
      </c>
      <c r="AC187" s="868">
        <f t="shared" si="28"/>
        <v>0</v>
      </c>
      <c r="AD187" s="876">
        <f t="shared" si="29"/>
        <v>0</v>
      </c>
      <c r="AE187" s="838">
        <f t="shared" si="30"/>
        <v>2156.4375</v>
      </c>
      <c r="AF187" s="838">
        <f t="shared" si="31"/>
        <v>2053.75</v>
      </c>
      <c r="AG187" s="839">
        <f t="shared" si="33"/>
        <v>0</v>
      </c>
      <c r="AH187" s="839">
        <f t="shared" si="34"/>
        <v>2156.44</v>
      </c>
      <c r="AI187" s="840">
        <f t="shared" si="32"/>
        <v>41.08</v>
      </c>
      <c r="AJ187" s="841">
        <f t="shared" si="35"/>
        <v>2.0002434570906877E-2</v>
      </c>
      <c r="AK187" s="446"/>
      <c r="AL187" s="446"/>
      <c r="AM187" s="446"/>
      <c r="AN187" s="446"/>
    </row>
    <row r="188" spans="1:40" ht="15" customHeight="1" x14ac:dyDescent="0.25">
      <c r="A188" s="370">
        <v>183</v>
      </c>
      <c r="B188" s="371" t="s">
        <v>1085</v>
      </c>
      <c r="C188" s="370" t="s">
        <v>1086</v>
      </c>
      <c r="D188" s="370" t="s">
        <v>1087</v>
      </c>
      <c r="E188" s="370" t="s">
        <v>321</v>
      </c>
      <c r="F188" s="370" t="s">
        <v>322</v>
      </c>
      <c r="G188" s="386">
        <f>INDEX('CTR1 Data Previous Year'!$B:$B,MATCH($D188,'CTR1 Data Previous Year'!$A:$A,0),1)</f>
        <v>17266136</v>
      </c>
      <c r="H188" s="386">
        <f>INDEX('CTR1 Data Previous Year'!$C:$C,MATCH($D188,'CTR1 Data Previous Year'!$A:$A,0),1)</f>
        <v>734560</v>
      </c>
      <c r="I188" s="386">
        <f>INDEX('CTR1 Data Previous Year'!$D:$D,MATCH($D188,'CTR1 Data Previous Year'!$A:$A,0),1)</f>
        <v>272848</v>
      </c>
      <c r="J188" s="386">
        <f>INDEX('CTR1 Data Previous Year'!$E:$E,MATCH($D188,'CTR1 Data Previous Year'!$A:$A,0),1)</f>
        <v>16993288</v>
      </c>
      <c r="K188" s="386">
        <f>INDEX('CTR1 Data Previous Year'!$F:$F,MATCH($D188,'CTR1 Data Previous Year'!$A:$A,0),1)</f>
        <v>0</v>
      </c>
      <c r="L188" s="465">
        <f>INDEX('CTR1 Data Previous Year'!$G:$G,MATCH($D188,'CTR1 Data Previous Year'!$A:$A,0),1)</f>
        <v>48610</v>
      </c>
      <c r="M188" s="455">
        <f>INDEX('CTR1 Data Previous Year'!$H:$H,MATCH($D188,'CTR1 Data Previous Year'!$A:$A,0),1)</f>
        <v>0.98</v>
      </c>
      <c r="N188" s="465">
        <f>INDEX('CTR1 Data Previous Year'!$I:$I,MATCH($D188,'CTR1 Data Previous Year'!$A:$A,0),1)</f>
        <v>0</v>
      </c>
      <c r="O188" s="160" t="s">
        <v>628</v>
      </c>
      <c r="P188" s="817" t="s">
        <v>629</v>
      </c>
      <c r="Q188" s="820" t="s">
        <v>500</v>
      </c>
      <c r="R188" s="817" t="s">
        <v>501</v>
      </c>
      <c r="S188" s="821" t="s">
        <v>129</v>
      </c>
      <c r="T188" s="817"/>
      <c r="U188" s="160"/>
      <c r="V188" s="817"/>
      <c r="W188" s="465">
        <f>INDEX('CTR1 Data Previous Year'!$J:$J,MATCH($D188,'CTR1 Data Previous Year'!$A:$A,0),1)</f>
        <v>47637.8</v>
      </c>
      <c r="X188" s="465">
        <f>INDEX('CTR1 Data Previous Year'!$K:$K,MATCH($D188,'CTR1 Data Previous Year'!$A:$A,0),1)</f>
        <v>362.45</v>
      </c>
      <c r="Y188" s="465">
        <f>INDEX('CTR1 Data Previous Year'!$L:$L,MATCH($D188,'CTR1 Data Previous Year'!$A:$A,0),1)</f>
        <v>356.72</v>
      </c>
      <c r="Z188" s="836" t="str">
        <f t="shared" si="25"/>
        <v>N</v>
      </c>
      <c r="AA188" s="837" t="str">
        <f t="shared" si="26"/>
        <v>N</v>
      </c>
      <c r="AB188" s="838">
        <f t="shared" si="27"/>
        <v>356.72</v>
      </c>
      <c r="AC188" s="868">
        <f t="shared" si="28"/>
        <v>0</v>
      </c>
      <c r="AD188" s="876">
        <f t="shared" si="29"/>
        <v>0</v>
      </c>
      <c r="AE188" s="838">
        <f t="shared" si="30"/>
        <v>367.42160000000001</v>
      </c>
      <c r="AF188" s="838">
        <f t="shared" si="31"/>
        <v>361.72</v>
      </c>
      <c r="AG188" s="839">
        <f t="shared" si="33"/>
        <v>0</v>
      </c>
      <c r="AH188" s="839">
        <f t="shared" si="34"/>
        <v>367.42</v>
      </c>
      <c r="AI188" s="840">
        <f t="shared" si="32"/>
        <v>0</v>
      </c>
      <c r="AJ188" s="841">
        <f t="shared" si="35"/>
        <v>0</v>
      </c>
      <c r="AK188" s="446"/>
      <c r="AL188" s="446"/>
      <c r="AM188" s="446"/>
      <c r="AN188" s="446"/>
    </row>
    <row r="189" spans="1:40" ht="15" customHeight="1" x14ac:dyDescent="0.25">
      <c r="A189" s="370">
        <v>184</v>
      </c>
      <c r="B189" s="371" t="s">
        <v>1088</v>
      </c>
      <c r="C189" s="370" t="s">
        <v>1089</v>
      </c>
      <c r="D189" s="370" t="s">
        <v>1090</v>
      </c>
      <c r="E189" s="370" t="s">
        <v>321</v>
      </c>
      <c r="F189" s="370" t="s">
        <v>463</v>
      </c>
      <c r="G189" s="386">
        <f>INDEX('CTR1 Data Previous Year'!$B:$B,MATCH($D189,'CTR1 Data Previous Year'!$A:$A,0),1)</f>
        <v>10857857</v>
      </c>
      <c r="H189" s="386">
        <f>INDEX('CTR1 Data Previous Year'!$C:$C,MATCH($D189,'CTR1 Data Previous Year'!$A:$A,0),1)</f>
        <v>0</v>
      </c>
      <c r="I189" s="386">
        <f>INDEX('CTR1 Data Previous Year'!$D:$D,MATCH($D189,'CTR1 Data Previous Year'!$A:$A,0),1)</f>
        <v>3133569</v>
      </c>
      <c r="J189" s="386">
        <f>INDEX('CTR1 Data Previous Year'!$E:$E,MATCH($D189,'CTR1 Data Previous Year'!$A:$A,0),1)</f>
        <v>7724288</v>
      </c>
      <c r="K189" s="386">
        <f>INDEX('CTR1 Data Previous Year'!$F:$F,MATCH($D189,'CTR1 Data Previous Year'!$A:$A,0),1)</f>
        <v>11375</v>
      </c>
      <c r="L189" s="465">
        <f>INDEX('CTR1 Data Previous Year'!$G:$G,MATCH($D189,'CTR1 Data Previous Year'!$A:$A,0),1)</f>
        <v>26164.6</v>
      </c>
      <c r="M189" s="455">
        <f>INDEX('CTR1 Data Previous Year'!$H:$H,MATCH($D189,'CTR1 Data Previous Year'!$A:$A,0),1)</f>
        <v>0.96</v>
      </c>
      <c r="N189" s="465">
        <f>INDEX('CTR1 Data Previous Year'!$I:$I,MATCH($D189,'CTR1 Data Previous Year'!$A:$A,0),1)</f>
        <v>0</v>
      </c>
      <c r="O189" s="160" t="s">
        <v>572</v>
      </c>
      <c r="P189" s="817" t="s">
        <v>573</v>
      </c>
      <c r="Q189" s="820" t="s">
        <v>464</v>
      </c>
      <c r="R189" s="817" t="s">
        <v>465</v>
      </c>
      <c r="S189" s="821" t="s">
        <v>466</v>
      </c>
      <c r="T189" s="817" t="s">
        <v>467</v>
      </c>
      <c r="U189" s="160"/>
      <c r="V189" s="817"/>
      <c r="W189" s="465">
        <f>INDEX('CTR1 Data Previous Year'!$J:$J,MATCH($D189,'CTR1 Data Previous Year'!$A:$A,0),1)</f>
        <v>25118.02</v>
      </c>
      <c r="X189" s="465">
        <f>INDEX('CTR1 Data Previous Year'!$K:$K,MATCH($D189,'CTR1 Data Previous Year'!$A:$A,0),1)</f>
        <v>432.27</v>
      </c>
      <c r="Y189" s="465">
        <f>INDEX('CTR1 Data Previous Year'!$L:$L,MATCH($D189,'CTR1 Data Previous Year'!$A:$A,0),1)</f>
        <v>307.52</v>
      </c>
      <c r="Z189" s="836" t="str">
        <f t="shared" si="25"/>
        <v>N</v>
      </c>
      <c r="AA189" s="837" t="str">
        <f t="shared" si="26"/>
        <v>N</v>
      </c>
      <c r="AB189" s="838">
        <f t="shared" si="27"/>
        <v>307.52</v>
      </c>
      <c r="AC189" s="868">
        <f t="shared" si="28"/>
        <v>0</v>
      </c>
      <c r="AD189" s="876">
        <f t="shared" si="29"/>
        <v>0</v>
      </c>
      <c r="AE189" s="838">
        <f t="shared" si="30"/>
        <v>316.74559999999997</v>
      </c>
      <c r="AF189" s="838">
        <f t="shared" si="31"/>
        <v>312.52</v>
      </c>
      <c r="AG189" s="839">
        <f t="shared" si="33"/>
        <v>0</v>
      </c>
      <c r="AH189" s="839">
        <f t="shared" si="34"/>
        <v>316.75</v>
      </c>
      <c r="AI189" s="840">
        <f t="shared" si="32"/>
        <v>0</v>
      </c>
      <c r="AJ189" s="841">
        <f t="shared" si="35"/>
        <v>0</v>
      </c>
      <c r="AK189" s="446"/>
      <c r="AL189" s="446"/>
      <c r="AM189" s="446"/>
      <c r="AN189" s="446"/>
    </row>
    <row r="190" spans="1:40" ht="15" customHeight="1" x14ac:dyDescent="0.25">
      <c r="A190" s="370">
        <v>185</v>
      </c>
      <c r="B190" s="371" t="s">
        <v>1091</v>
      </c>
      <c r="C190" s="370" t="s">
        <v>1092</v>
      </c>
      <c r="D190" s="370" t="s">
        <v>1093</v>
      </c>
      <c r="E190" s="370" t="s">
        <v>339</v>
      </c>
      <c r="F190" s="370" t="s">
        <v>368</v>
      </c>
      <c r="G190" s="386">
        <f>INDEX('CTR1 Data Previous Year'!$B:$B,MATCH($D190,'CTR1 Data Previous Year'!$A:$A,0),1)</f>
        <v>111197004</v>
      </c>
      <c r="H190" s="386">
        <f>INDEX('CTR1 Data Previous Year'!$C:$C,MATCH($D190,'CTR1 Data Previous Year'!$A:$A,0),1)</f>
        <v>0</v>
      </c>
      <c r="I190" s="386">
        <f>INDEX('CTR1 Data Previous Year'!$D:$D,MATCH($D190,'CTR1 Data Previous Year'!$A:$A,0),1)</f>
        <v>861802</v>
      </c>
      <c r="J190" s="386">
        <f>INDEX('CTR1 Data Previous Year'!$E:$E,MATCH($D190,'CTR1 Data Previous Year'!$A:$A,0),1)</f>
        <v>110335202</v>
      </c>
      <c r="K190" s="386">
        <f>INDEX('CTR1 Data Previous Year'!$F:$F,MATCH($D190,'CTR1 Data Previous Year'!$A:$A,0),1)</f>
        <v>4576374</v>
      </c>
      <c r="L190" s="465">
        <f>INDEX('CTR1 Data Previous Year'!$G:$G,MATCH($D190,'CTR1 Data Previous Year'!$A:$A,0),1)</f>
        <v>63769.17</v>
      </c>
      <c r="M190" s="455">
        <f>INDEX('CTR1 Data Previous Year'!$H:$H,MATCH($D190,'CTR1 Data Previous Year'!$A:$A,0),1)</f>
        <v>0.98499999999999999</v>
      </c>
      <c r="N190" s="465">
        <f>INDEX('CTR1 Data Previous Year'!$I:$I,MATCH($D190,'CTR1 Data Previous Year'!$A:$A,0),1)</f>
        <v>256.95999999999998</v>
      </c>
      <c r="O190" s="160" t="s">
        <v>129</v>
      </c>
      <c r="P190" s="817"/>
      <c r="Q190" s="820" t="s">
        <v>585</v>
      </c>
      <c r="R190" s="817" t="s">
        <v>586</v>
      </c>
      <c r="S190" s="821" t="s">
        <v>587</v>
      </c>
      <c r="T190" s="817" t="s">
        <v>588</v>
      </c>
      <c r="U190" s="822" t="s">
        <v>589</v>
      </c>
      <c r="V190" s="817" t="s">
        <v>590</v>
      </c>
      <c r="W190" s="465">
        <f>INDEX('CTR1 Data Previous Year'!$J:$J,MATCH($D190,'CTR1 Data Previous Year'!$A:$A,0),1)</f>
        <v>63069.59</v>
      </c>
      <c r="X190" s="465">
        <f>INDEX('CTR1 Data Previous Year'!$K:$K,MATCH($D190,'CTR1 Data Previous Year'!$A:$A,0),1)</f>
        <v>1763.08</v>
      </c>
      <c r="Y190" s="465">
        <f>INDEX('CTR1 Data Previous Year'!$L:$L,MATCH($D190,'CTR1 Data Previous Year'!$A:$A,0),1)</f>
        <v>1749.42</v>
      </c>
      <c r="Z190" s="836" t="str">
        <f t="shared" si="25"/>
        <v>N</v>
      </c>
      <c r="AA190" s="837" t="str">
        <f t="shared" si="26"/>
        <v>N</v>
      </c>
      <c r="AB190" s="838">
        <f t="shared" si="27"/>
        <v>1749.42</v>
      </c>
      <c r="AC190" s="868">
        <f t="shared" si="28"/>
        <v>0</v>
      </c>
      <c r="AD190" s="876">
        <f t="shared" si="29"/>
        <v>0</v>
      </c>
      <c r="AE190" s="838">
        <f t="shared" si="30"/>
        <v>1836.8910000000001</v>
      </c>
      <c r="AF190" s="838">
        <f t="shared" si="31"/>
        <v>1749.42</v>
      </c>
      <c r="AG190" s="839">
        <f t="shared" si="33"/>
        <v>0</v>
      </c>
      <c r="AH190" s="839">
        <f t="shared" si="34"/>
        <v>1836.89</v>
      </c>
      <c r="AI190" s="840">
        <f t="shared" si="32"/>
        <v>34.99</v>
      </c>
      <c r="AJ190" s="841">
        <f t="shared" si="35"/>
        <v>2.0000914588835156E-2</v>
      </c>
      <c r="AK190" s="446"/>
      <c r="AL190" s="446"/>
      <c r="AM190" s="446"/>
      <c r="AN190" s="446"/>
    </row>
    <row r="191" spans="1:40" ht="15" customHeight="1" x14ac:dyDescent="0.25">
      <c r="A191" s="370">
        <v>186</v>
      </c>
      <c r="B191" s="371" t="s">
        <v>1094</v>
      </c>
      <c r="C191" s="370" t="s">
        <v>1095</v>
      </c>
      <c r="D191" s="370" t="s">
        <v>1096</v>
      </c>
      <c r="E191" s="370" t="s">
        <v>339</v>
      </c>
      <c r="F191" s="370" t="s">
        <v>425</v>
      </c>
      <c r="G191" s="386">
        <f>INDEX('CTR1 Data Previous Year'!$B:$B,MATCH($D191,'CTR1 Data Previous Year'!$A:$A,0),1)</f>
        <v>147949465</v>
      </c>
      <c r="H191" s="386">
        <f>INDEX('CTR1 Data Previous Year'!$C:$C,MATCH($D191,'CTR1 Data Previous Year'!$A:$A,0),1)</f>
        <v>0</v>
      </c>
      <c r="I191" s="386">
        <f>INDEX('CTR1 Data Previous Year'!$D:$D,MATCH($D191,'CTR1 Data Previous Year'!$A:$A,0),1)</f>
        <v>0</v>
      </c>
      <c r="J191" s="386">
        <f>INDEX('CTR1 Data Previous Year'!$E:$E,MATCH($D191,'CTR1 Data Previous Year'!$A:$A,0),1)</f>
        <v>147949465</v>
      </c>
      <c r="K191" s="386">
        <f>INDEX('CTR1 Data Previous Year'!$F:$F,MATCH($D191,'CTR1 Data Previous Year'!$A:$A,0),1)</f>
        <v>158468</v>
      </c>
      <c r="L191" s="465">
        <f>INDEX('CTR1 Data Previous Year'!$G:$G,MATCH($D191,'CTR1 Data Previous Year'!$A:$A,0),1)</f>
        <v>77696</v>
      </c>
      <c r="M191" s="455">
        <f>INDEX('CTR1 Data Previous Year'!$H:$H,MATCH($D191,'CTR1 Data Previous Year'!$A:$A,0),1)</f>
        <v>0.97499999999999998</v>
      </c>
      <c r="N191" s="465">
        <f>INDEX('CTR1 Data Previous Year'!$I:$I,MATCH($D191,'CTR1 Data Previous Year'!$A:$A,0),1)</f>
        <v>803.4</v>
      </c>
      <c r="O191" s="160" t="s">
        <v>129</v>
      </c>
      <c r="P191" s="817"/>
      <c r="Q191" s="820" t="s">
        <v>658</v>
      </c>
      <c r="R191" s="817" t="s">
        <v>659</v>
      </c>
      <c r="S191" s="821" t="s">
        <v>729</v>
      </c>
      <c r="T191" s="817" t="s">
        <v>730</v>
      </c>
      <c r="U191" s="160"/>
      <c r="V191" s="817"/>
      <c r="W191" s="465">
        <f>INDEX('CTR1 Data Previous Year'!$J:$J,MATCH($D191,'CTR1 Data Previous Year'!$A:$A,0),1)</f>
        <v>76557</v>
      </c>
      <c r="X191" s="465">
        <f>INDEX('CTR1 Data Previous Year'!$K:$K,MATCH($D191,'CTR1 Data Previous Year'!$A:$A,0),1)</f>
        <v>1932.54</v>
      </c>
      <c r="Y191" s="465">
        <f>INDEX('CTR1 Data Previous Year'!$L:$L,MATCH($D191,'CTR1 Data Previous Year'!$A:$A,0),1)</f>
        <v>1932.54</v>
      </c>
      <c r="Z191" s="836" t="str">
        <f t="shared" si="25"/>
        <v>N</v>
      </c>
      <c r="AA191" s="837" t="str">
        <f t="shared" si="26"/>
        <v>N</v>
      </c>
      <c r="AB191" s="838">
        <f t="shared" si="27"/>
        <v>1932.54</v>
      </c>
      <c r="AC191" s="868">
        <f t="shared" si="28"/>
        <v>0</v>
      </c>
      <c r="AD191" s="876">
        <f t="shared" si="29"/>
        <v>0</v>
      </c>
      <c r="AE191" s="838">
        <f t="shared" si="30"/>
        <v>2029.1670000000001</v>
      </c>
      <c r="AF191" s="838">
        <f t="shared" si="31"/>
        <v>1932.54</v>
      </c>
      <c r="AG191" s="839">
        <f t="shared" si="33"/>
        <v>0</v>
      </c>
      <c r="AH191" s="839">
        <f t="shared" si="34"/>
        <v>2029.17</v>
      </c>
      <c r="AI191" s="840">
        <f t="shared" si="32"/>
        <v>38.65</v>
      </c>
      <c r="AJ191" s="841">
        <f t="shared" si="35"/>
        <v>1.9999586037028987E-2</v>
      </c>
      <c r="AK191" s="446"/>
      <c r="AL191" s="446"/>
      <c r="AM191" s="446"/>
      <c r="AN191" s="446"/>
    </row>
    <row r="192" spans="1:40" ht="15" customHeight="1" x14ac:dyDescent="0.25">
      <c r="A192" s="370">
        <v>187</v>
      </c>
      <c r="B192" s="371" t="s">
        <v>1097</v>
      </c>
      <c r="C192" s="370" t="s">
        <v>1098</v>
      </c>
      <c r="D192" s="370" t="s">
        <v>1099</v>
      </c>
      <c r="E192" s="370" t="s">
        <v>339</v>
      </c>
      <c r="F192" s="370" t="s">
        <v>322</v>
      </c>
      <c r="G192" s="386">
        <f>INDEX('CTR1 Data Previous Year'!$B:$B,MATCH($D192,'CTR1 Data Previous Year'!$A:$A,0),1)</f>
        <v>107857571</v>
      </c>
      <c r="H192" s="386">
        <f>INDEX('CTR1 Data Previous Year'!$C:$C,MATCH($D192,'CTR1 Data Previous Year'!$A:$A,0),1)</f>
        <v>0</v>
      </c>
      <c r="I192" s="386">
        <f>INDEX('CTR1 Data Previous Year'!$D:$D,MATCH($D192,'CTR1 Data Previous Year'!$A:$A,0),1)</f>
        <v>0</v>
      </c>
      <c r="J192" s="386">
        <f>INDEX('CTR1 Data Previous Year'!$E:$E,MATCH($D192,'CTR1 Data Previous Year'!$A:$A,0),1)</f>
        <v>107857571</v>
      </c>
      <c r="K192" s="386">
        <f>INDEX('CTR1 Data Previous Year'!$F:$F,MATCH($D192,'CTR1 Data Previous Year'!$A:$A,0),1)</f>
        <v>95000</v>
      </c>
      <c r="L192" s="465">
        <f>INDEX('CTR1 Data Previous Year'!$G:$G,MATCH($D192,'CTR1 Data Previous Year'!$A:$A,0),1)</f>
        <v>60832.54</v>
      </c>
      <c r="M192" s="455">
        <f>INDEX('CTR1 Data Previous Year'!$H:$H,MATCH($D192,'CTR1 Data Previous Year'!$A:$A,0),1)</f>
        <v>0.96499999999999997</v>
      </c>
      <c r="N192" s="465">
        <f>INDEX('CTR1 Data Previous Year'!$I:$I,MATCH($D192,'CTR1 Data Previous Year'!$A:$A,0),1)</f>
        <v>636.6</v>
      </c>
      <c r="O192" s="160" t="s">
        <v>129</v>
      </c>
      <c r="P192" s="817"/>
      <c r="Q192" s="820" t="s">
        <v>413</v>
      </c>
      <c r="R192" s="817" t="s">
        <v>414</v>
      </c>
      <c r="S192" s="821" t="s">
        <v>415</v>
      </c>
      <c r="T192" s="817" t="s">
        <v>416</v>
      </c>
      <c r="U192" s="160"/>
      <c r="V192" s="817"/>
      <c r="W192" s="465">
        <f>INDEX('CTR1 Data Previous Year'!$J:$J,MATCH($D192,'CTR1 Data Previous Year'!$A:$A,0),1)</f>
        <v>59340</v>
      </c>
      <c r="X192" s="465">
        <f>INDEX('CTR1 Data Previous Year'!$K:$K,MATCH($D192,'CTR1 Data Previous Year'!$A:$A,0),1)</f>
        <v>1817.62</v>
      </c>
      <c r="Y192" s="465">
        <f>INDEX('CTR1 Data Previous Year'!$L:$L,MATCH($D192,'CTR1 Data Previous Year'!$A:$A,0),1)</f>
        <v>1817.62</v>
      </c>
      <c r="Z192" s="836" t="str">
        <f t="shared" si="25"/>
        <v>N</v>
      </c>
      <c r="AA192" s="837" t="str">
        <f t="shared" si="26"/>
        <v>N</v>
      </c>
      <c r="AB192" s="838">
        <f t="shared" si="27"/>
        <v>1817.62</v>
      </c>
      <c r="AC192" s="868">
        <f t="shared" si="28"/>
        <v>0</v>
      </c>
      <c r="AD192" s="876">
        <f t="shared" si="29"/>
        <v>0</v>
      </c>
      <c r="AE192" s="838">
        <f t="shared" si="30"/>
        <v>1908.501</v>
      </c>
      <c r="AF192" s="838">
        <f t="shared" si="31"/>
        <v>1817.62</v>
      </c>
      <c r="AG192" s="839">
        <f t="shared" si="33"/>
        <v>0</v>
      </c>
      <c r="AH192" s="839">
        <f t="shared" si="34"/>
        <v>1908.5</v>
      </c>
      <c r="AI192" s="840">
        <f t="shared" si="32"/>
        <v>36.35</v>
      </c>
      <c r="AJ192" s="841">
        <f t="shared" si="35"/>
        <v>1.9998679591993928E-2</v>
      </c>
      <c r="AK192" s="446"/>
      <c r="AL192" s="446"/>
      <c r="AM192" s="446"/>
      <c r="AN192" s="446"/>
    </row>
    <row r="193" spans="1:40" ht="15" customHeight="1" x14ac:dyDescent="0.25">
      <c r="A193" s="370">
        <v>188</v>
      </c>
      <c r="B193" s="371" t="s">
        <v>1100</v>
      </c>
      <c r="C193" s="370" t="s">
        <v>1101</v>
      </c>
      <c r="D193" s="370" t="s">
        <v>1102</v>
      </c>
      <c r="E193" s="370" t="s">
        <v>321</v>
      </c>
      <c r="F193" s="370" t="s">
        <v>463</v>
      </c>
      <c r="G193" s="386">
        <f>INDEX('CTR1 Data Previous Year'!$B:$B,MATCH($D193,'CTR1 Data Previous Year'!$A:$A,0),1)</f>
        <v>16565323</v>
      </c>
      <c r="H193" s="386">
        <f>INDEX('CTR1 Data Previous Year'!$C:$C,MATCH($D193,'CTR1 Data Previous Year'!$A:$A,0),1)</f>
        <v>0</v>
      </c>
      <c r="I193" s="386">
        <f>INDEX('CTR1 Data Previous Year'!$D:$D,MATCH($D193,'CTR1 Data Previous Year'!$A:$A,0),1)</f>
        <v>463120</v>
      </c>
      <c r="J193" s="386">
        <f>INDEX('CTR1 Data Previous Year'!$E:$E,MATCH($D193,'CTR1 Data Previous Year'!$A:$A,0),1)</f>
        <v>16102203</v>
      </c>
      <c r="K193" s="386">
        <f>INDEX('CTR1 Data Previous Year'!$F:$F,MATCH($D193,'CTR1 Data Previous Year'!$A:$A,0),1)</f>
        <v>0</v>
      </c>
      <c r="L193" s="465">
        <f>INDEX('CTR1 Data Previous Year'!$G:$G,MATCH($D193,'CTR1 Data Previous Year'!$A:$A,0),1)</f>
        <v>45987.360000000001</v>
      </c>
      <c r="M193" s="455">
        <f>INDEX('CTR1 Data Previous Year'!$H:$H,MATCH($D193,'CTR1 Data Previous Year'!$A:$A,0),1)</f>
        <v>0.96</v>
      </c>
      <c r="N193" s="465">
        <f>INDEX('CTR1 Data Previous Year'!$I:$I,MATCH($D193,'CTR1 Data Previous Year'!$A:$A,0),1)</f>
        <v>34.33</v>
      </c>
      <c r="O193" s="160" t="s">
        <v>572</v>
      </c>
      <c r="P193" s="817" t="s">
        <v>573</v>
      </c>
      <c r="Q193" s="820" t="s">
        <v>464</v>
      </c>
      <c r="R193" s="817" t="s">
        <v>465</v>
      </c>
      <c r="S193" s="821" t="s">
        <v>466</v>
      </c>
      <c r="T193" s="817" t="s">
        <v>467</v>
      </c>
      <c r="U193" s="160"/>
      <c r="V193" s="817"/>
      <c r="W193" s="465">
        <f>INDEX('CTR1 Data Previous Year'!$J:$J,MATCH($D193,'CTR1 Data Previous Year'!$A:$A,0),1)</f>
        <v>44182.2</v>
      </c>
      <c r="X193" s="465">
        <f>INDEX('CTR1 Data Previous Year'!$K:$K,MATCH($D193,'CTR1 Data Previous Year'!$A:$A,0),1)</f>
        <v>374.93</v>
      </c>
      <c r="Y193" s="465">
        <f>INDEX('CTR1 Data Previous Year'!$L:$L,MATCH($D193,'CTR1 Data Previous Year'!$A:$A,0),1)</f>
        <v>364.45</v>
      </c>
      <c r="Z193" s="836" t="str">
        <f t="shared" si="25"/>
        <v>N</v>
      </c>
      <c r="AA193" s="837" t="str">
        <f t="shared" si="26"/>
        <v>N</v>
      </c>
      <c r="AB193" s="838">
        <f t="shared" si="27"/>
        <v>364.45</v>
      </c>
      <c r="AC193" s="868">
        <f t="shared" si="28"/>
        <v>0</v>
      </c>
      <c r="AD193" s="876">
        <f t="shared" si="29"/>
        <v>0</v>
      </c>
      <c r="AE193" s="838">
        <f t="shared" si="30"/>
        <v>375.38350000000003</v>
      </c>
      <c r="AF193" s="838">
        <f t="shared" si="31"/>
        <v>369.45</v>
      </c>
      <c r="AG193" s="839">
        <f t="shared" si="33"/>
        <v>0</v>
      </c>
      <c r="AH193" s="839">
        <f t="shared" si="34"/>
        <v>375.38</v>
      </c>
      <c r="AI193" s="840">
        <f t="shared" si="32"/>
        <v>0</v>
      </c>
      <c r="AJ193" s="841">
        <f t="shared" si="35"/>
        <v>0</v>
      </c>
      <c r="AK193" s="446"/>
      <c r="AL193" s="446"/>
      <c r="AM193" s="446"/>
      <c r="AN193" s="446"/>
    </row>
    <row r="194" spans="1:40" ht="15" customHeight="1" x14ac:dyDescent="0.25">
      <c r="A194" s="370">
        <v>189</v>
      </c>
      <c r="B194" s="371" t="s">
        <v>1103</v>
      </c>
      <c r="C194" s="370" t="s">
        <v>1104</v>
      </c>
      <c r="D194" s="370" t="s">
        <v>1105</v>
      </c>
      <c r="E194" s="370" t="s">
        <v>339</v>
      </c>
      <c r="F194" s="370" t="s">
        <v>322</v>
      </c>
      <c r="G194" s="386">
        <f>INDEX('CTR1 Data Previous Year'!$B:$B,MATCH($D194,'CTR1 Data Previous Year'!$A:$A,0),1)</f>
        <v>126134293</v>
      </c>
      <c r="H194" s="386">
        <f>INDEX('CTR1 Data Previous Year'!$C:$C,MATCH($D194,'CTR1 Data Previous Year'!$A:$A,0),1)</f>
        <v>0</v>
      </c>
      <c r="I194" s="386">
        <f>INDEX('CTR1 Data Previous Year'!$D:$D,MATCH($D194,'CTR1 Data Previous Year'!$A:$A,0),1)</f>
        <v>0</v>
      </c>
      <c r="J194" s="386">
        <f>INDEX('CTR1 Data Previous Year'!$E:$E,MATCH($D194,'CTR1 Data Previous Year'!$A:$A,0),1)</f>
        <v>126134293</v>
      </c>
      <c r="K194" s="386">
        <f>INDEX('CTR1 Data Previous Year'!$F:$F,MATCH($D194,'CTR1 Data Previous Year'!$A:$A,0),1)</f>
        <v>142335</v>
      </c>
      <c r="L194" s="465">
        <f>INDEX('CTR1 Data Previous Year'!$G:$G,MATCH($D194,'CTR1 Data Previous Year'!$A:$A,0),1)</f>
        <v>60321</v>
      </c>
      <c r="M194" s="455">
        <f>INDEX('CTR1 Data Previous Year'!$H:$H,MATCH($D194,'CTR1 Data Previous Year'!$A:$A,0),1)</f>
        <v>0.98750000000000004</v>
      </c>
      <c r="N194" s="465">
        <f>INDEX('CTR1 Data Previous Year'!$I:$I,MATCH($D194,'CTR1 Data Previous Year'!$A:$A,0),1)</f>
        <v>0</v>
      </c>
      <c r="O194" s="160" t="s">
        <v>129</v>
      </c>
      <c r="P194" s="817"/>
      <c r="Q194" s="820" t="s">
        <v>500</v>
      </c>
      <c r="R194" s="817" t="s">
        <v>501</v>
      </c>
      <c r="S194" s="821" t="s">
        <v>502</v>
      </c>
      <c r="T194" s="817" t="s">
        <v>503</v>
      </c>
      <c r="U194" s="160"/>
      <c r="V194" s="817"/>
      <c r="W194" s="465">
        <f>INDEX('CTR1 Data Previous Year'!$J:$J,MATCH($D194,'CTR1 Data Previous Year'!$A:$A,0),1)</f>
        <v>59566.99</v>
      </c>
      <c r="X194" s="465">
        <f>INDEX('CTR1 Data Previous Year'!$K:$K,MATCH($D194,'CTR1 Data Previous Year'!$A:$A,0),1)</f>
        <v>2117.52</v>
      </c>
      <c r="Y194" s="465">
        <f>INDEX('CTR1 Data Previous Year'!$L:$L,MATCH($D194,'CTR1 Data Previous Year'!$A:$A,0),1)</f>
        <v>2117.52</v>
      </c>
      <c r="Z194" s="836" t="str">
        <f t="shared" si="25"/>
        <v>N</v>
      </c>
      <c r="AA194" s="837" t="str">
        <f t="shared" si="26"/>
        <v>N</v>
      </c>
      <c r="AB194" s="838">
        <f t="shared" si="27"/>
        <v>2117.52</v>
      </c>
      <c r="AC194" s="868">
        <f t="shared" si="28"/>
        <v>0</v>
      </c>
      <c r="AD194" s="876">
        <f t="shared" si="29"/>
        <v>0</v>
      </c>
      <c r="AE194" s="838">
        <f t="shared" si="30"/>
        <v>2223.3960000000002</v>
      </c>
      <c r="AF194" s="838">
        <f t="shared" si="31"/>
        <v>2117.52</v>
      </c>
      <c r="AG194" s="839">
        <f t="shared" si="33"/>
        <v>0</v>
      </c>
      <c r="AH194" s="839">
        <f t="shared" si="34"/>
        <v>2223.4</v>
      </c>
      <c r="AI194" s="840">
        <f t="shared" si="32"/>
        <v>42.35</v>
      </c>
      <c r="AJ194" s="841">
        <f t="shared" si="35"/>
        <v>1.9999811099777099E-2</v>
      </c>
      <c r="AK194" s="446"/>
      <c r="AL194" s="446"/>
      <c r="AM194" s="446"/>
      <c r="AN194" s="446"/>
    </row>
    <row r="195" spans="1:40" ht="15" customHeight="1" x14ac:dyDescent="0.25">
      <c r="A195" s="370">
        <v>190</v>
      </c>
      <c r="B195" s="371" t="s">
        <v>1106</v>
      </c>
      <c r="C195" s="370" t="s">
        <v>1107</v>
      </c>
      <c r="D195" s="370" t="s">
        <v>1108</v>
      </c>
      <c r="E195" s="370" t="s">
        <v>343</v>
      </c>
      <c r="F195" s="370" t="s">
        <v>378</v>
      </c>
      <c r="G195" s="386">
        <f>INDEX('CTR1 Data Previous Year'!$B:$B,MATCH($D195,'CTR1 Data Previous Year'!$A:$A,0),1)</f>
        <v>158005082</v>
      </c>
      <c r="H195" s="386">
        <f>INDEX('CTR1 Data Previous Year'!$C:$C,MATCH($D195,'CTR1 Data Previous Year'!$A:$A,0),1)</f>
        <v>0</v>
      </c>
      <c r="I195" s="386">
        <f>INDEX('CTR1 Data Previous Year'!$D:$D,MATCH($D195,'CTR1 Data Previous Year'!$A:$A,0),1)</f>
        <v>0</v>
      </c>
      <c r="J195" s="386">
        <f>INDEX('CTR1 Data Previous Year'!$E:$E,MATCH($D195,'CTR1 Data Previous Year'!$A:$A,0),1)</f>
        <v>158005082</v>
      </c>
      <c r="K195" s="386">
        <f>INDEX('CTR1 Data Previous Year'!$F:$F,MATCH($D195,'CTR1 Data Previous Year'!$A:$A,0),1)</f>
        <v>20760000</v>
      </c>
      <c r="L195" s="465">
        <f>INDEX('CTR1 Data Previous Year'!$G:$G,MATCH($D195,'CTR1 Data Previous Year'!$A:$A,0),1)</f>
        <v>94880.8</v>
      </c>
      <c r="M195" s="455">
        <f>INDEX('CTR1 Data Previous Year'!$H:$H,MATCH($D195,'CTR1 Data Previous Year'!$A:$A,0),1)</f>
        <v>0.98</v>
      </c>
      <c r="N195" s="465">
        <f>INDEX('CTR1 Data Previous Year'!$I:$I,MATCH($D195,'CTR1 Data Previous Year'!$A:$A,0),1)</f>
        <v>0</v>
      </c>
      <c r="O195" s="160" t="s">
        <v>379</v>
      </c>
      <c r="P195" s="862" t="s">
        <v>380</v>
      </c>
      <c r="Q195" s="820"/>
      <c r="R195" s="817"/>
      <c r="S195" s="821" t="s">
        <v>129</v>
      </c>
      <c r="T195" s="817"/>
      <c r="U195" s="160"/>
      <c r="V195" s="817"/>
      <c r="W195" s="465">
        <f>INDEX('CTR1 Data Previous Year'!$J:$J,MATCH($D195,'CTR1 Data Previous Year'!$A:$A,0),1)</f>
        <v>92983.18</v>
      </c>
      <c r="X195" s="465">
        <f>INDEX('CTR1 Data Previous Year'!$K:$K,MATCH($D195,'CTR1 Data Previous Year'!$A:$A,0),1)</f>
        <v>1699.29</v>
      </c>
      <c r="Y195" s="465">
        <f>INDEX('CTR1 Data Previous Year'!$L:$L,MATCH($D195,'CTR1 Data Previous Year'!$A:$A,0),1)</f>
        <v>1699.29</v>
      </c>
      <c r="Z195" s="836" t="str">
        <f t="shared" si="25"/>
        <v>N</v>
      </c>
      <c r="AA195" s="837" t="str">
        <f t="shared" si="26"/>
        <v>N</v>
      </c>
      <c r="AB195" s="838">
        <f t="shared" si="27"/>
        <v>1699.29</v>
      </c>
      <c r="AC195" s="868">
        <f t="shared" si="28"/>
        <v>0</v>
      </c>
      <c r="AD195" s="876">
        <f t="shared" si="29"/>
        <v>0</v>
      </c>
      <c r="AE195" s="838">
        <f t="shared" si="30"/>
        <v>1784.2545</v>
      </c>
      <c r="AF195" s="838">
        <f t="shared" si="31"/>
        <v>1699.29</v>
      </c>
      <c r="AG195" s="839">
        <f t="shared" si="33"/>
        <v>0</v>
      </c>
      <c r="AH195" s="839">
        <f t="shared" si="34"/>
        <v>1784.25</v>
      </c>
      <c r="AI195" s="840">
        <f t="shared" si="32"/>
        <v>33.99</v>
      </c>
      <c r="AJ195" s="841">
        <f t="shared" si="35"/>
        <v>2.0002471620500329E-2</v>
      </c>
      <c r="AK195" s="446"/>
      <c r="AL195" s="446"/>
      <c r="AM195" s="446"/>
      <c r="AN195" s="446"/>
    </row>
    <row r="196" spans="1:40" ht="15" customHeight="1" x14ac:dyDescent="0.25">
      <c r="A196" s="370">
        <v>191</v>
      </c>
      <c r="B196" s="371" t="s">
        <v>1109</v>
      </c>
      <c r="C196" s="370" t="s">
        <v>1110</v>
      </c>
      <c r="D196" s="370" t="s">
        <v>1111</v>
      </c>
      <c r="E196" s="370" t="s">
        <v>339</v>
      </c>
      <c r="F196" s="370" t="s">
        <v>685</v>
      </c>
      <c r="G196" s="386">
        <f>INDEX('CTR1 Data Previous Year'!$B:$B,MATCH($D196,'CTR1 Data Previous Year'!$A:$A,0),1)</f>
        <v>83942254</v>
      </c>
      <c r="H196" s="386">
        <f>INDEX('CTR1 Data Previous Year'!$C:$C,MATCH($D196,'CTR1 Data Previous Year'!$A:$A,0),1)</f>
        <v>0</v>
      </c>
      <c r="I196" s="386">
        <f>INDEX('CTR1 Data Previous Year'!$D:$D,MATCH($D196,'CTR1 Data Previous Year'!$A:$A,0),1)</f>
        <v>742303</v>
      </c>
      <c r="J196" s="386">
        <f>INDEX('CTR1 Data Previous Year'!$E:$E,MATCH($D196,'CTR1 Data Previous Year'!$A:$A,0),1)</f>
        <v>83199951</v>
      </c>
      <c r="K196" s="386">
        <f>INDEX('CTR1 Data Previous Year'!$F:$F,MATCH($D196,'CTR1 Data Previous Year'!$A:$A,0),1)</f>
        <v>276425</v>
      </c>
      <c r="L196" s="465">
        <f>INDEX('CTR1 Data Previous Year'!$G:$G,MATCH($D196,'CTR1 Data Previous Year'!$A:$A,0),1)</f>
        <v>42242.94</v>
      </c>
      <c r="M196" s="455">
        <f>INDEX('CTR1 Data Previous Year'!$H:$H,MATCH($D196,'CTR1 Data Previous Year'!$A:$A,0),1)</f>
        <v>0.98750000000000004</v>
      </c>
      <c r="N196" s="465">
        <f>INDEX('CTR1 Data Previous Year'!$I:$I,MATCH($D196,'CTR1 Data Previous Year'!$A:$A,0),1)</f>
        <v>0</v>
      </c>
      <c r="O196" s="160" t="s">
        <v>129</v>
      </c>
      <c r="P196" s="817"/>
      <c r="Q196" s="820" t="s">
        <v>857</v>
      </c>
      <c r="R196" s="817" t="s">
        <v>858</v>
      </c>
      <c r="S196" s="821" t="s">
        <v>859</v>
      </c>
      <c r="T196" s="817" t="s">
        <v>860</v>
      </c>
      <c r="U196" s="822" t="s">
        <v>690</v>
      </c>
      <c r="V196" s="817" t="s">
        <v>691</v>
      </c>
      <c r="W196" s="465">
        <f>INDEX('CTR1 Data Previous Year'!$J:$J,MATCH($D196,'CTR1 Data Previous Year'!$A:$A,0),1)</f>
        <v>41714.9</v>
      </c>
      <c r="X196" s="465">
        <f>INDEX('CTR1 Data Previous Year'!$K:$K,MATCH($D196,'CTR1 Data Previous Year'!$A:$A,0),1)</f>
        <v>2012.28</v>
      </c>
      <c r="Y196" s="465">
        <f>INDEX('CTR1 Data Previous Year'!$L:$L,MATCH($D196,'CTR1 Data Previous Year'!$A:$A,0),1)</f>
        <v>1994.49</v>
      </c>
      <c r="Z196" s="836" t="str">
        <f t="shared" si="25"/>
        <v>N</v>
      </c>
      <c r="AA196" s="837" t="str">
        <f t="shared" si="26"/>
        <v>N</v>
      </c>
      <c r="AB196" s="838">
        <f t="shared" si="27"/>
        <v>1994.49</v>
      </c>
      <c r="AC196" s="868">
        <f t="shared" si="28"/>
        <v>0</v>
      </c>
      <c r="AD196" s="876">
        <f t="shared" si="29"/>
        <v>0</v>
      </c>
      <c r="AE196" s="838">
        <f t="shared" si="30"/>
        <v>2094.2145</v>
      </c>
      <c r="AF196" s="838">
        <f t="shared" si="31"/>
        <v>1994.49</v>
      </c>
      <c r="AG196" s="839">
        <f t="shared" si="33"/>
        <v>0</v>
      </c>
      <c r="AH196" s="839">
        <f t="shared" si="34"/>
        <v>2094.21</v>
      </c>
      <c r="AI196" s="840">
        <f t="shared" si="32"/>
        <v>39.89</v>
      </c>
      <c r="AJ196" s="841">
        <f t="shared" si="35"/>
        <v>2.0000100276261101E-2</v>
      </c>
      <c r="AK196" s="446"/>
      <c r="AL196" s="446"/>
      <c r="AM196" s="446"/>
      <c r="AN196" s="446"/>
    </row>
    <row r="197" spans="1:40" ht="15" customHeight="1" x14ac:dyDescent="0.25">
      <c r="A197" s="370">
        <v>192</v>
      </c>
      <c r="B197" s="371" t="s">
        <v>1112</v>
      </c>
      <c r="C197" s="370" t="s">
        <v>1113</v>
      </c>
      <c r="D197" s="370" t="s">
        <v>1114</v>
      </c>
      <c r="E197" s="370" t="s">
        <v>321</v>
      </c>
      <c r="F197" s="370" t="s">
        <v>444</v>
      </c>
      <c r="G197" s="386">
        <f>INDEX('CTR1 Data Previous Year'!$B:$B,MATCH($D197,'CTR1 Data Previous Year'!$A:$A,0),1)</f>
        <v>7405117</v>
      </c>
      <c r="H197" s="386">
        <f>INDEX('CTR1 Data Previous Year'!$C:$C,MATCH($D197,'CTR1 Data Previous Year'!$A:$A,0),1)</f>
        <v>0</v>
      </c>
      <c r="I197" s="386">
        <f>INDEX('CTR1 Data Previous Year'!$D:$D,MATCH($D197,'CTR1 Data Previous Year'!$A:$A,0),1)</f>
        <v>60000</v>
      </c>
      <c r="J197" s="386">
        <f>INDEX('CTR1 Data Previous Year'!$E:$E,MATCH($D197,'CTR1 Data Previous Year'!$A:$A,0),1)</f>
        <v>7345117</v>
      </c>
      <c r="K197" s="386">
        <f>INDEX('CTR1 Data Previous Year'!$F:$F,MATCH($D197,'CTR1 Data Previous Year'!$A:$A,0),1)</f>
        <v>0</v>
      </c>
      <c r="L197" s="465">
        <f>INDEX('CTR1 Data Previous Year'!$G:$G,MATCH($D197,'CTR1 Data Previous Year'!$A:$A,0),1)</f>
        <v>26995.51</v>
      </c>
      <c r="M197" s="455">
        <f>INDEX('CTR1 Data Previous Year'!$H:$H,MATCH($D197,'CTR1 Data Previous Year'!$A:$A,0),1)</f>
        <v>0.98</v>
      </c>
      <c r="N197" s="465">
        <f>INDEX('CTR1 Data Previous Year'!$I:$I,MATCH($D197,'CTR1 Data Previous Year'!$A:$A,0),1)</f>
        <v>0</v>
      </c>
      <c r="O197" s="160" t="s">
        <v>548</v>
      </c>
      <c r="P197" s="817" t="s">
        <v>549</v>
      </c>
      <c r="Q197" s="820" t="s">
        <v>550</v>
      </c>
      <c r="R197" s="817" t="s">
        <v>551</v>
      </c>
      <c r="S197" s="821" t="s">
        <v>552</v>
      </c>
      <c r="T197" s="817" t="s">
        <v>553</v>
      </c>
      <c r="U197" s="160"/>
      <c r="V197" s="817"/>
      <c r="W197" s="465">
        <f>INDEX('CTR1 Data Previous Year'!$J:$J,MATCH($D197,'CTR1 Data Previous Year'!$A:$A,0),1)</f>
        <v>26455.599999999999</v>
      </c>
      <c r="X197" s="465">
        <f>INDEX('CTR1 Data Previous Year'!$K:$K,MATCH($D197,'CTR1 Data Previous Year'!$A:$A,0),1)</f>
        <v>279.91000000000003</v>
      </c>
      <c r="Y197" s="465">
        <f>INDEX('CTR1 Data Previous Year'!$L:$L,MATCH($D197,'CTR1 Data Previous Year'!$A:$A,0),1)</f>
        <v>277.64</v>
      </c>
      <c r="Z197" s="836" t="str">
        <f t="shared" si="25"/>
        <v>N</v>
      </c>
      <c r="AA197" s="837" t="str">
        <f t="shared" si="26"/>
        <v>N</v>
      </c>
      <c r="AB197" s="838">
        <f t="shared" si="27"/>
        <v>277.64</v>
      </c>
      <c r="AC197" s="868">
        <f t="shared" si="28"/>
        <v>0</v>
      </c>
      <c r="AD197" s="876">
        <f t="shared" si="29"/>
        <v>0</v>
      </c>
      <c r="AE197" s="838">
        <f t="shared" si="30"/>
        <v>285.9692</v>
      </c>
      <c r="AF197" s="838">
        <f t="shared" si="31"/>
        <v>282.64</v>
      </c>
      <c r="AG197" s="839">
        <f t="shared" si="33"/>
        <v>0</v>
      </c>
      <c r="AH197" s="839">
        <f t="shared" si="34"/>
        <v>285.97000000000003</v>
      </c>
      <c r="AI197" s="840">
        <f t="shared" si="32"/>
        <v>0</v>
      </c>
      <c r="AJ197" s="841">
        <f t="shared" si="35"/>
        <v>0</v>
      </c>
      <c r="AK197" s="446"/>
      <c r="AL197" s="446"/>
      <c r="AM197" s="446"/>
      <c r="AN197" s="446"/>
    </row>
    <row r="198" spans="1:40" ht="15" customHeight="1" x14ac:dyDescent="0.25">
      <c r="A198" s="370">
        <v>193</v>
      </c>
      <c r="B198" s="371" t="s">
        <v>1115</v>
      </c>
      <c r="C198" s="370" t="s">
        <v>1116</v>
      </c>
      <c r="D198" s="370" t="s">
        <v>1117</v>
      </c>
      <c r="E198" s="370" t="s">
        <v>321</v>
      </c>
      <c r="F198" s="370" t="s">
        <v>322</v>
      </c>
      <c r="G198" s="386">
        <f>INDEX('CTR1 Data Previous Year'!$B:$B,MATCH($D198,'CTR1 Data Previous Year'!$A:$A,0),1)</f>
        <v>17773291</v>
      </c>
      <c r="H198" s="386">
        <f>INDEX('CTR1 Data Previous Year'!$C:$C,MATCH($D198,'CTR1 Data Previous Year'!$A:$A,0),1)</f>
        <v>0</v>
      </c>
      <c r="I198" s="386">
        <f>INDEX('CTR1 Data Previous Year'!$D:$D,MATCH($D198,'CTR1 Data Previous Year'!$A:$A,0),1)</f>
        <v>672145</v>
      </c>
      <c r="J198" s="386">
        <f>INDEX('CTR1 Data Previous Year'!$E:$E,MATCH($D198,'CTR1 Data Previous Year'!$A:$A,0),1)</f>
        <v>17101146</v>
      </c>
      <c r="K198" s="386">
        <f>INDEX('CTR1 Data Previous Year'!$F:$F,MATCH($D198,'CTR1 Data Previous Year'!$A:$A,0),1)</f>
        <v>0</v>
      </c>
      <c r="L198" s="465">
        <f>INDEX('CTR1 Data Previous Year'!$G:$G,MATCH($D198,'CTR1 Data Previous Year'!$A:$A,0),1)</f>
        <v>64745.599999999999</v>
      </c>
      <c r="M198" s="455">
        <f>INDEX('CTR1 Data Previous Year'!$H:$H,MATCH($D198,'CTR1 Data Previous Year'!$A:$A,0),1)</f>
        <v>0.99719999999999998</v>
      </c>
      <c r="N198" s="465">
        <f>INDEX('CTR1 Data Previous Year'!$I:$I,MATCH($D198,'CTR1 Data Previous Year'!$A:$A,0),1)</f>
        <v>0</v>
      </c>
      <c r="O198" s="160" t="s">
        <v>766</v>
      </c>
      <c r="P198" s="817" t="s">
        <v>767</v>
      </c>
      <c r="Q198" s="820" t="s">
        <v>768</v>
      </c>
      <c r="R198" s="817" t="s">
        <v>769</v>
      </c>
      <c r="S198" s="821" t="s">
        <v>129</v>
      </c>
      <c r="T198" s="817"/>
      <c r="U198" s="160"/>
      <c r="V198" s="817"/>
      <c r="W198" s="465">
        <f>INDEX('CTR1 Data Previous Year'!$J:$J,MATCH($D198,'CTR1 Data Previous Year'!$A:$A,0),1)</f>
        <v>64564.31</v>
      </c>
      <c r="X198" s="465">
        <f>INDEX('CTR1 Data Previous Year'!$K:$K,MATCH($D198,'CTR1 Data Previous Year'!$A:$A,0),1)</f>
        <v>275.27999999999997</v>
      </c>
      <c r="Y198" s="465">
        <f>INDEX('CTR1 Data Previous Year'!$L:$L,MATCH($D198,'CTR1 Data Previous Year'!$A:$A,0),1)</f>
        <v>264.87</v>
      </c>
      <c r="Z198" s="836" t="str">
        <f t="shared" ref="Z198:Z261" si="36">IF(IFERROR(VLOOKUP($C198,$AL$13:$AL$33,1,0),"N")="N","N","Y")</f>
        <v>N</v>
      </c>
      <c r="AA198" s="837" t="str">
        <f t="shared" ref="AA198:AA261" si="37">IF(IFERROR(VLOOKUP($C198,$AL$36:$AL$56,1,0),"N")="N","N","Y")</f>
        <v>N</v>
      </c>
      <c r="AB198" s="838">
        <f t="shared" ref="AB198:AB261" si="38">IF($AA198="N",$Y198,VLOOKUP($C198,$AL$36:$AM$56,2,0))</f>
        <v>264.87</v>
      </c>
      <c r="AC198" s="868">
        <f t="shared" ref="AC198:AC261" si="39">IF($Z198="Y",VLOOKUP($C198,$AL$13:$AN$33,2,0),0)</f>
        <v>0</v>
      </c>
      <c r="AD198" s="876">
        <f t="shared" ref="AD198:AD261" si="40">IF($Z198="Y",VLOOKUP($C198,$AL$13:$AN$33,3,0),0)</f>
        <v>0</v>
      </c>
      <c r="AE198" s="838">
        <f t="shared" ref="AE198:AE261" si="41">$AB198*(1+(VLOOKUP($E198,$AK$6:$AN$9,3,0)+VLOOKUP($E198,$AK$6:$AN$9,2,0)))</f>
        <v>272.81610000000001</v>
      </c>
      <c r="AF198" s="838">
        <f t="shared" ref="AF198:AF261" si="42">$AB198+VLOOKUP($E198,$AK$6:$AN$9,4,0)</f>
        <v>269.87</v>
      </c>
      <c r="AG198" s="839">
        <f t="shared" si="33"/>
        <v>0</v>
      </c>
      <c r="AH198" s="839">
        <f t="shared" si="34"/>
        <v>272.82</v>
      </c>
      <c r="AI198" s="840">
        <f t="shared" ref="AI198:AI261" si="43">ROUND($AB198*VLOOKUP($E198,$AK$6:$AN$9,2,0),2)</f>
        <v>0</v>
      </c>
      <c r="AJ198" s="841">
        <f t="shared" si="35"/>
        <v>0</v>
      </c>
      <c r="AK198" s="446"/>
      <c r="AL198" s="446"/>
      <c r="AM198" s="446"/>
      <c r="AN198" s="446"/>
    </row>
    <row r="199" spans="1:40" ht="15" customHeight="1" x14ac:dyDescent="0.25">
      <c r="A199" s="370">
        <v>194</v>
      </c>
      <c r="B199" s="371" t="s">
        <v>1118</v>
      </c>
      <c r="C199" s="370" t="s">
        <v>1119</v>
      </c>
      <c r="D199" s="370" t="s">
        <v>1120</v>
      </c>
      <c r="E199" s="370" t="s">
        <v>321</v>
      </c>
      <c r="F199" s="370" t="s">
        <v>463</v>
      </c>
      <c r="G199" s="386">
        <f>INDEX('CTR1 Data Previous Year'!$B:$B,MATCH($D199,'CTR1 Data Previous Year'!$A:$A,0),1)</f>
        <v>5044193</v>
      </c>
      <c r="H199" s="386">
        <f>INDEX('CTR1 Data Previous Year'!$C:$C,MATCH($D199,'CTR1 Data Previous Year'!$A:$A,0),1)</f>
        <v>0</v>
      </c>
      <c r="I199" s="386">
        <f>INDEX('CTR1 Data Previous Year'!$D:$D,MATCH($D199,'CTR1 Data Previous Year'!$A:$A,0),1)</f>
        <v>666166</v>
      </c>
      <c r="J199" s="386">
        <f>INDEX('CTR1 Data Previous Year'!$E:$E,MATCH($D199,'CTR1 Data Previous Year'!$A:$A,0),1)</f>
        <v>4378027</v>
      </c>
      <c r="K199" s="386">
        <f>INDEX('CTR1 Data Previous Year'!$F:$F,MATCH($D199,'CTR1 Data Previous Year'!$A:$A,0),1)</f>
        <v>0</v>
      </c>
      <c r="L199" s="465">
        <f>INDEX('CTR1 Data Previous Year'!$G:$G,MATCH($D199,'CTR1 Data Previous Year'!$A:$A,0),1)</f>
        <v>25842.82</v>
      </c>
      <c r="M199" s="455">
        <f>INDEX('CTR1 Data Previous Year'!$H:$H,MATCH($D199,'CTR1 Data Previous Year'!$A:$A,0),1)</f>
        <v>0.99250000000000005</v>
      </c>
      <c r="N199" s="465">
        <f>INDEX('CTR1 Data Previous Year'!$I:$I,MATCH($D199,'CTR1 Data Previous Year'!$A:$A,0),1)</f>
        <v>0</v>
      </c>
      <c r="O199" s="160" t="s">
        <v>572</v>
      </c>
      <c r="P199" s="817" t="s">
        <v>573</v>
      </c>
      <c r="Q199" s="820" t="s">
        <v>464</v>
      </c>
      <c r="R199" s="817" t="s">
        <v>465</v>
      </c>
      <c r="S199" s="821" t="s">
        <v>466</v>
      </c>
      <c r="T199" s="817" t="s">
        <v>467</v>
      </c>
      <c r="U199" s="160"/>
      <c r="V199" s="817"/>
      <c r="W199" s="465">
        <f>INDEX('CTR1 Data Previous Year'!$J:$J,MATCH($D199,'CTR1 Data Previous Year'!$A:$A,0),1)</f>
        <v>25649</v>
      </c>
      <c r="X199" s="465">
        <f>INDEX('CTR1 Data Previous Year'!$K:$K,MATCH($D199,'CTR1 Data Previous Year'!$A:$A,0),1)</f>
        <v>196.66</v>
      </c>
      <c r="Y199" s="465">
        <f>INDEX('CTR1 Data Previous Year'!$L:$L,MATCH($D199,'CTR1 Data Previous Year'!$A:$A,0),1)</f>
        <v>170.69</v>
      </c>
      <c r="Z199" s="836" t="str">
        <f t="shared" si="36"/>
        <v>N</v>
      </c>
      <c r="AA199" s="837" t="str">
        <f t="shared" si="37"/>
        <v>N</v>
      </c>
      <c r="AB199" s="838">
        <f t="shared" si="38"/>
        <v>170.69</v>
      </c>
      <c r="AC199" s="868">
        <f t="shared" si="39"/>
        <v>0</v>
      </c>
      <c r="AD199" s="876">
        <f t="shared" si="40"/>
        <v>0</v>
      </c>
      <c r="AE199" s="838">
        <f t="shared" si="41"/>
        <v>175.8107</v>
      </c>
      <c r="AF199" s="838">
        <f t="shared" si="42"/>
        <v>175.69</v>
      </c>
      <c r="AG199" s="839">
        <f t="shared" ref="AG199:AG262" si="44">IF(AND($Z199="Y",$AC199&gt;0),$AB199*(1+$AC199),IF(AND($Z199="Y",$AD199&gt;0),$AB199+$AD199,0))</f>
        <v>0</v>
      </c>
      <c r="AH199" s="839">
        <f t="shared" ref="AH199:AH262" si="45">ROUND(MAX($AE199:$AG199),2)</f>
        <v>175.81</v>
      </c>
      <c r="AI199" s="840">
        <f t="shared" si="43"/>
        <v>0</v>
      </c>
      <c r="AJ199" s="841">
        <f t="shared" ref="AJ199:AJ262" si="46">$AI199/$Y199</f>
        <v>0</v>
      </c>
      <c r="AK199" s="446"/>
      <c r="AL199" s="446"/>
      <c r="AM199" s="446"/>
      <c r="AN199" s="446"/>
    </row>
    <row r="200" spans="1:40" ht="15" customHeight="1" x14ac:dyDescent="0.25">
      <c r="A200" s="370">
        <v>195</v>
      </c>
      <c r="B200" s="371" t="s">
        <v>1121</v>
      </c>
      <c r="C200" s="370" t="s">
        <v>1122</v>
      </c>
      <c r="D200" s="370" t="s">
        <v>1123</v>
      </c>
      <c r="E200" s="370" t="s">
        <v>343</v>
      </c>
      <c r="F200" s="370" t="s">
        <v>378</v>
      </c>
      <c r="G200" s="386">
        <f>INDEX('CTR1 Data Previous Year'!$B:$B,MATCH($D200,'CTR1 Data Previous Year'!$A:$A,0),1)</f>
        <v>169617436</v>
      </c>
      <c r="H200" s="386">
        <f>INDEX('CTR1 Data Previous Year'!$C:$C,MATCH($D200,'CTR1 Data Previous Year'!$A:$A,0),1)</f>
        <v>0</v>
      </c>
      <c r="I200" s="386">
        <f>INDEX('CTR1 Data Previous Year'!$D:$D,MATCH($D200,'CTR1 Data Previous Year'!$A:$A,0),1)</f>
        <v>0</v>
      </c>
      <c r="J200" s="386">
        <f>INDEX('CTR1 Data Previous Year'!$E:$E,MATCH($D200,'CTR1 Data Previous Year'!$A:$A,0),1)</f>
        <v>169617436</v>
      </c>
      <c r="K200" s="386">
        <f>INDEX('CTR1 Data Previous Year'!$F:$F,MATCH($D200,'CTR1 Data Previous Year'!$A:$A,0),1)</f>
        <v>2913595</v>
      </c>
      <c r="L200" s="465">
        <f>INDEX('CTR1 Data Previous Year'!$G:$G,MATCH($D200,'CTR1 Data Previous Year'!$A:$A,0),1)</f>
        <v>91488.43</v>
      </c>
      <c r="M200" s="455">
        <f>INDEX('CTR1 Data Previous Year'!$H:$H,MATCH($D200,'CTR1 Data Previous Year'!$A:$A,0),1)</f>
        <v>0.98499999999999999</v>
      </c>
      <c r="N200" s="465">
        <f>INDEX('CTR1 Data Previous Year'!$I:$I,MATCH($D200,'CTR1 Data Previous Year'!$A:$A,0),1)</f>
        <v>24.67</v>
      </c>
      <c r="O200" s="160" t="s">
        <v>379</v>
      </c>
      <c r="P200" s="862" t="s">
        <v>380</v>
      </c>
      <c r="Q200" s="820"/>
      <c r="R200" s="817"/>
      <c r="S200" s="821" t="s">
        <v>129</v>
      </c>
      <c r="T200" s="817"/>
      <c r="U200" s="160"/>
      <c r="V200" s="817"/>
      <c r="W200" s="465">
        <f>INDEX('CTR1 Data Previous Year'!$J:$J,MATCH($D200,'CTR1 Data Previous Year'!$A:$A,0),1)</f>
        <v>90140.77</v>
      </c>
      <c r="X200" s="465">
        <f>INDEX('CTR1 Data Previous Year'!$K:$K,MATCH($D200,'CTR1 Data Previous Year'!$A:$A,0),1)</f>
        <v>1881.69</v>
      </c>
      <c r="Y200" s="465">
        <f>INDEX('CTR1 Data Previous Year'!$L:$L,MATCH($D200,'CTR1 Data Previous Year'!$A:$A,0),1)</f>
        <v>1881.69</v>
      </c>
      <c r="Z200" s="836" t="str">
        <f t="shared" si="36"/>
        <v>N</v>
      </c>
      <c r="AA200" s="837" t="str">
        <f t="shared" si="37"/>
        <v>N</v>
      </c>
      <c r="AB200" s="838">
        <f t="shared" si="38"/>
        <v>1881.69</v>
      </c>
      <c r="AC200" s="868">
        <f t="shared" si="39"/>
        <v>0</v>
      </c>
      <c r="AD200" s="876">
        <f t="shared" si="40"/>
        <v>0</v>
      </c>
      <c r="AE200" s="838">
        <f t="shared" si="41"/>
        <v>1975.7745000000002</v>
      </c>
      <c r="AF200" s="838">
        <f t="shared" si="42"/>
        <v>1881.69</v>
      </c>
      <c r="AG200" s="839">
        <f t="shared" si="44"/>
        <v>0</v>
      </c>
      <c r="AH200" s="839">
        <f t="shared" si="45"/>
        <v>1975.77</v>
      </c>
      <c r="AI200" s="840">
        <f t="shared" si="43"/>
        <v>37.630000000000003</v>
      </c>
      <c r="AJ200" s="841">
        <f t="shared" si="46"/>
        <v>1.9997980538770999E-2</v>
      </c>
      <c r="AK200" s="446"/>
      <c r="AL200" s="446"/>
      <c r="AM200" s="446"/>
      <c r="AN200" s="446"/>
    </row>
    <row r="201" spans="1:40" ht="15" customHeight="1" x14ac:dyDescent="0.25">
      <c r="A201" s="370">
        <v>196</v>
      </c>
      <c r="B201" s="371" t="s">
        <v>1124</v>
      </c>
      <c r="C201" s="370" t="s">
        <v>1125</v>
      </c>
      <c r="D201" s="370" t="s">
        <v>1126</v>
      </c>
      <c r="E201" s="370" t="s">
        <v>353</v>
      </c>
      <c r="F201" s="370" t="s">
        <v>463</v>
      </c>
      <c r="G201" s="386">
        <f>INDEX('CTR1 Data Previous Year'!$B:$B,MATCH($D201,'CTR1 Data Previous Year'!$A:$A,0),1)</f>
        <v>123170103</v>
      </c>
      <c r="H201" s="386">
        <f>INDEX('CTR1 Data Previous Year'!$C:$C,MATCH($D201,'CTR1 Data Previous Year'!$A:$A,0),1)</f>
        <v>0</v>
      </c>
      <c r="I201" s="386">
        <f>INDEX('CTR1 Data Previous Year'!$D:$D,MATCH($D201,'CTR1 Data Previous Year'!$A:$A,0),1)</f>
        <v>0</v>
      </c>
      <c r="J201" s="386">
        <f>INDEX('CTR1 Data Previous Year'!$E:$E,MATCH($D201,'CTR1 Data Previous Year'!$A:$A,0),1)</f>
        <v>123170103</v>
      </c>
      <c r="K201" s="386">
        <f>INDEX('CTR1 Data Previous Year'!$F:$F,MATCH($D201,'CTR1 Data Previous Year'!$A:$A,0),1)</f>
        <v>33180280</v>
      </c>
      <c r="L201" s="465">
        <f>INDEX('CTR1 Data Previous Year'!$G:$G,MATCH($D201,'CTR1 Data Previous Year'!$A:$A,0),1)</f>
        <v>61046</v>
      </c>
      <c r="M201" s="455">
        <f>INDEX('CTR1 Data Previous Year'!$H:$H,MATCH($D201,'CTR1 Data Previous Year'!$A:$A,0),1)</f>
        <v>0.98</v>
      </c>
      <c r="N201" s="465">
        <f>INDEX('CTR1 Data Previous Year'!$I:$I,MATCH($D201,'CTR1 Data Previous Year'!$A:$A,0),1)</f>
        <v>0</v>
      </c>
      <c r="O201" s="160" t="s">
        <v>129</v>
      </c>
      <c r="P201" s="817"/>
      <c r="Q201" s="820" t="s">
        <v>477</v>
      </c>
      <c r="R201" s="817" t="s">
        <v>478</v>
      </c>
      <c r="S201" s="821"/>
      <c r="T201" s="817"/>
      <c r="U201" s="822" t="s">
        <v>479</v>
      </c>
      <c r="V201" s="817" t="s">
        <v>478</v>
      </c>
      <c r="W201" s="465">
        <f>INDEX('CTR1 Data Previous Year'!$J:$J,MATCH($D201,'CTR1 Data Previous Year'!$A:$A,0),1)</f>
        <v>59825.08</v>
      </c>
      <c r="X201" s="465">
        <f>INDEX('CTR1 Data Previous Year'!$K:$K,MATCH($D201,'CTR1 Data Previous Year'!$A:$A,0),1)</f>
        <v>2058.84</v>
      </c>
      <c r="Y201" s="465">
        <f>INDEX('CTR1 Data Previous Year'!$L:$L,MATCH($D201,'CTR1 Data Previous Year'!$A:$A,0),1)</f>
        <v>2058.84</v>
      </c>
      <c r="Z201" s="836" t="str">
        <f t="shared" si="36"/>
        <v>N</v>
      </c>
      <c r="AA201" s="837" t="str">
        <f t="shared" si="37"/>
        <v>N</v>
      </c>
      <c r="AB201" s="838">
        <f t="shared" si="38"/>
        <v>2058.84</v>
      </c>
      <c r="AC201" s="868">
        <f t="shared" si="39"/>
        <v>0</v>
      </c>
      <c r="AD201" s="876">
        <f t="shared" si="40"/>
        <v>0</v>
      </c>
      <c r="AE201" s="838">
        <f t="shared" si="41"/>
        <v>2161.7820000000002</v>
      </c>
      <c r="AF201" s="838">
        <f t="shared" si="42"/>
        <v>2058.84</v>
      </c>
      <c r="AG201" s="839">
        <f t="shared" si="44"/>
        <v>0</v>
      </c>
      <c r="AH201" s="839">
        <f t="shared" si="45"/>
        <v>2161.7800000000002</v>
      </c>
      <c r="AI201" s="840">
        <f t="shared" si="43"/>
        <v>41.18</v>
      </c>
      <c r="AJ201" s="841">
        <f t="shared" si="46"/>
        <v>2.0001554273280098E-2</v>
      </c>
      <c r="AK201" s="446"/>
      <c r="AL201" s="446"/>
      <c r="AM201" s="446"/>
      <c r="AN201" s="446"/>
    </row>
    <row r="202" spans="1:40" ht="15" customHeight="1" x14ac:dyDescent="0.25">
      <c r="A202" s="370">
        <v>197</v>
      </c>
      <c r="B202" s="371" t="s">
        <v>1127</v>
      </c>
      <c r="C202" s="370" t="s">
        <v>1128</v>
      </c>
      <c r="D202" s="370" t="s">
        <v>1129</v>
      </c>
      <c r="E202" s="370" t="s">
        <v>321</v>
      </c>
      <c r="F202" s="370" t="s">
        <v>368</v>
      </c>
      <c r="G202" s="386">
        <f>INDEX('CTR1 Data Previous Year'!$B:$B,MATCH($D202,'CTR1 Data Previous Year'!$A:$A,0),1)</f>
        <v>11433706</v>
      </c>
      <c r="H202" s="386">
        <f>INDEX('CTR1 Data Previous Year'!$C:$C,MATCH($D202,'CTR1 Data Previous Year'!$A:$A,0),1)</f>
        <v>0</v>
      </c>
      <c r="I202" s="386">
        <f>INDEX('CTR1 Data Previous Year'!$D:$D,MATCH($D202,'CTR1 Data Previous Year'!$A:$A,0),1)</f>
        <v>2445046</v>
      </c>
      <c r="J202" s="386">
        <f>INDEX('CTR1 Data Previous Year'!$E:$E,MATCH($D202,'CTR1 Data Previous Year'!$A:$A,0),1)</f>
        <v>8988660</v>
      </c>
      <c r="K202" s="386">
        <f>INDEX('CTR1 Data Previous Year'!$F:$F,MATCH($D202,'CTR1 Data Previous Year'!$A:$A,0),1)</f>
        <v>0</v>
      </c>
      <c r="L202" s="465">
        <f>INDEX('CTR1 Data Previous Year'!$G:$G,MATCH($D202,'CTR1 Data Previous Year'!$A:$A,0),1)</f>
        <v>34093.4</v>
      </c>
      <c r="M202" s="455">
        <f>INDEX('CTR1 Data Previous Year'!$H:$H,MATCH($D202,'CTR1 Data Previous Year'!$A:$A,0),1)</f>
        <v>0.98499999999999999</v>
      </c>
      <c r="N202" s="465">
        <f>INDEX('CTR1 Data Previous Year'!$I:$I,MATCH($D202,'CTR1 Data Previous Year'!$A:$A,0),1)</f>
        <v>0</v>
      </c>
      <c r="O202" s="160" t="s">
        <v>401</v>
      </c>
      <c r="P202" s="817" t="s">
        <v>402</v>
      </c>
      <c r="Q202" s="820" t="s">
        <v>403</v>
      </c>
      <c r="R202" s="817" t="s">
        <v>404</v>
      </c>
      <c r="S202" s="821" t="s">
        <v>405</v>
      </c>
      <c r="T202" s="817" t="s">
        <v>406</v>
      </c>
      <c r="U202" s="822"/>
      <c r="V202" s="817"/>
      <c r="W202" s="465">
        <f>INDEX('CTR1 Data Previous Year'!$J:$J,MATCH($D202,'CTR1 Data Previous Year'!$A:$A,0),1)</f>
        <v>33582</v>
      </c>
      <c r="X202" s="465">
        <f>INDEX('CTR1 Data Previous Year'!$K:$K,MATCH($D202,'CTR1 Data Previous Year'!$A:$A,0),1)</f>
        <v>340.47</v>
      </c>
      <c r="Y202" s="465">
        <f>INDEX('CTR1 Data Previous Year'!$L:$L,MATCH($D202,'CTR1 Data Previous Year'!$A:$A,0),1)</f>
        <v>267.66000000000003</v>
      </c>
      <c r="Z202" s="836" t="str">
        <f t="shared" si="36"/>
        <v>N</v>
      </c>
      <c r="AA202" s="837" t="str">
        <f t="shared" si="37"/>
        <v>N</v>
      </c>
      <c r="AB202" s="838">
        <f t="shared" si="38"/>
        <v>267.66000000000003</v>
      </c>
      <c r="AC202" s="868">
        <f t="shared" si="39"/>
        <v>0</v>
      </c>
      <c r="AD202" s="876">
        <f t="shared" si="40"/>
        <v>0</v>
      </c>
      <c r="AE202" s="838">
        <f t="shared" si="41"/>
        <v>275.68980000000005</v>
      </c>
      <c r="AF202" s="838">
        <f t="shared" si="42"/>
        <v>272.66000000000003</v>
      </c>
      <c r="AG202" s="839">
        <f t="shared" si="44"/>
        <v>0</v>
      </c>
      <c r="AH202" s="839">
        <f t="shared" si="45"/>
        <v>275.69</v>
      </c>
      <c r="AI202" s="840">
        <f t="shared" si="43"/>
        <v>0</v>
      </c>
      <c r="AJ202" s="841">
        <f t="shared" si="46"/>
        <v>0</v>
      </c>
      <c r="AK202" s="446"/>
      <c r="AL202" s="446"/>
      <c r="AM202" s="446"/>
      <c r="AN202" s="446"/>
    </row>
    <row r="203" spans="1:40" ht="15" customHeight="1" x14ac:dyDescent="0.25">
      <c r="A203" s="370">
        <v>198</v>
      </c>
      <c r="B203" s="371" t="s">
        <v>1130</v>
      </c>
      <c r="C203" s="370" t="s">
        <v>1131</v>
      </c>
      <c r="D203" s="370" t="s">
        <v>1132</v>
      </c>
      <c r="E203" s="370" t="s">
        <v>321</v>
      </c>
      <c r="F203" s="370" t="s">
        <v>463</v>
      </c>
      <c r="G203" s="386">
        <f>INDEX('CTR1 Data Previous Year'!$B:$B,MATCH($D203,'CTR1 Data Previous Year'!$A:$A,0),1)</f>
        <v>6799223</v>
      </c>
      <c r="H203" s="386">
        <f>INDEX('CTR1 Data Previous Year'!$C:$C,MATCH($D203,'CTR1 Data Previous Year'!$A:$A,0),1)</f>
        <v>0</v>
      </c>
      <c r="I203" s="386">
        <f>INDEX('CTR1 Data Previous Year'!$D:$D,MATCH($D203,'CTR1 Data Previous Year'!$A:$A,0),1)</f>
        <v>80079</v>
      </c>
      <c r="J203" s="386">
        <f>INDEX('CTR1 Data Previous Year'!$E:$E,MATCH($D203,'CTR1 Data Previous Year'!$A:$A,0),1)</f>
        <v>6719144</v>
      </c>
      <c r="K203" s="386">
        <f>INDEX('CTR1 Data Previous Year'!$F:$F,MATCH($D203,'CTR1 Data Previous Year'!$A:$A,0),1)</f>
        <v>0</v>
      </c>
      <c r="L203" s="465">
        <f>INDEX('CTR1 Data Previous Year'!$G:$G,MATCH($D203,'CTR1 Data Previous Year'!$A:$A,0),1)</f>
        <v>22033.33</v>
      </c>
      <c r="M203" s="455">
        <f>INDEX('CTR1 Data Previous Year'!$H:$H,MATCH($D203,'CTR1 Data Previous Year'!$A:$A,0),1)</f>
        <v>0.96</v>
      </c>
      <c r="N203" s="465">
        <f>INDEX('CTR1 Data Previous Year'!$I:$I,MATCH($D203,'CTR1 Data Previous Year'!$A:$A,0),1)</f>
        <v>0</v>
      </c>
      <c r="O203" s="160" t="s">
        <v>572</v>
      </c>
      <c r="P203" s="817" t="s">
        <v>573</v>
      </c>
      <c r="Q203" s="820" t="s">
        <v>464</v>
      </c>
      <c r="R203" s="817" t="s">
        <v>465</v>
      </c>
      <c r="S203" s="821" t="s">
        <v>466</v>
      </c>
      <c r="T203" s="817" t="s">
        <v>467</v>
      </c>
      <c r="U203" s="160"/>
      <c r="V203" s="817"/>
      <c r="W203" s="465">
        <f>INDEX('CTR1 Data Previous Year'!$J:$J,MATCH($D203,'CTR1 Data Previous Year'!$A:$A,0),1)</f>
        <v>21152</v>
      </c>
      <c r="X203" s="465">
        <f>INDEX('CTR1 Data Previous Year'!$K:$K,MATCH($D203,'CTR1 Data Previous Year'!$A:$A,0),1)</f>
        <v>321.45</v>
      </c>
      <c r="Y203" s="465">
        <f>INDEX('CTR1 Data Previous Year'!$L:$L,MATCH($D203,'CTR1 Data Previous Year'!$A:$A,0),1)</f>
        <v>317.66000000000003</v>
      </c>
      <c r="Z203" s="836" t="str">
        <f t="shared" si="36"/>
        <v>N</v>
      </c>
      <c r="AA203" s="837" t="str">
        <f t="shared" si="37"/>
        <v>N</v>
      </c>
      <c r="AB203" s="838">
        <f t="shared" si="38"/>
        <v>317.66000000000003</v>
      </c>
      <c r="AC203" s="868">
        <f t="shared" si="39"/>
        <v>0</v>
      </c>
      <c r="AD203" s="876">
        <f t="shared" si="40"/>
        <v>0</v>
      </c>
      <c r="AE203" s="838">
        <f t="shared" si="41"/>
        <v>327.18980000000005</v>
      </c>
      <c r="AF203" s="838">
        <f t="shared" si="42"/>
        <v>322.66000000000003</v>
      </c>
      <c r="AG203" s="839">
        <f t="shared" si="44"/>
        <v>0</v>
      </c>
      <c r="AH203" s="839">
        <f t="shared" si="45"/>
        <v>327.19</v>
      </c>
      <c r="AI203" s="840">
        <f t="shared" si="43"/>
        <v>0</v>
      </c>
      <c r="AJ203" s="841">
        <f t="shared" si="46"/>
        <v>0</v>
      </c>
      <c r="AK203" s="446"/>
      <c r="AL203" s="446"/>
      <c r="AM203" s="446"/>
      <c r="AN203" s="446"/>
    </row>
    <row r="204" spans="1:40" ht="15" customHeight="1" x14ac:dyDescent="0.25">
      <c r="A204" s="370">
        <v>199</v>
      </c>
      <c r="B204" s="371" t="s">
        <v>1133</v>
      </c>
      <c r="C204" s="370" t="s">
        <v>1134</v>
      </c>
      <c r="D204" s="370" t="s">
        <v>1135</v>
      </c>
      <c r="E204" s="370" t="s">
        <v>321</v>
      </c>
      <c r="F204" s="370" t="s">
        <v>322</v>
      </c>
      <c r="G204" s="386">
        <f>INDEX('CTR1 Data Previous Year'!$B:$B,MATCH($D204,'CTR1 Data Previous Year'!$A:$A,0),1)</f>
        <v>12494878</v>
      </c>
      <c r="H204" s="386">
        <f>INDEX('CTR1 Data Previous Year'!$C:$C,MATCH($D204,'CTR1 Data Previous Year'!$A:$A,0),1)</f>
        <v>811745</v>
      </c>
      <c r="I204" s="386">
        <f>INDEX('CTR1 Data Previous Year'!$D:$D,MATCH($D204,'CTR1 Data Previous Year'!$A:$A,0),1)</f>
        <v>3323298</v>
      </c>
      <c r="J204" s="386">
        <f>INDEX('CTR1 Data Previous Year'!$E:$E,MATCH($D204,'CTR1 Data Previous Year'!$A:$A,0),1)</f>
        <v>9171580</v>
      </c>
      <c r="K204" s="386">
        <f>INDEX('CTR1 Data Previous Year'!$F:$F,MATCH($D204,'CTR1 Data Previous Year'!$A:$A,0),1)</f>
        <v>0</v>
      </c>
      <c r="L204" s="465">
        <f>INDEX('CTR1 Data Previous Year'!$G:$G,MATCH($D204,'CTR1 Data Previous Year'!$A:$A,0),1)</f>
        <v>40372.230000000003</v>
      </c>
      <c r="M204" s="455">
        <f>INDEX('CTR1 Data Previous Year'!$H:$H,MATCH($D204,'CTR1 Data Previous Year'!$A:$A,0),1)</f>
        <v>0.98299999999999998</v>
      </c>
      <c r="N204" s="465">
        <f>INDEX('CTR1 Data Previous Year'!$I:$I,MATCH($D204,'CTR1 Data Previous Year'!$A:$A,0),1)</f>
        <v>0</v>
      </c>
      <c r="O204" s="160" t="s">
        <v>758</v>
      </c>
      <c r="P204" s="817" t="s">
        <v>759</v>
      </c>
      <c r="Q204" s="820" t="s">
        <v>325</v>
      </c>
      <c r="R204" s="817" t="s">
        <v>326</v>
      </c>
      <c r="S204" s="821" t="s">
        <v>534</v>
      </c>
      <c r="T204" s="817" t="s">
        <v>535</v>
      </c>
      <c r="U204" s="160"/>
      <c r="V204" s="817"/>
      <c r="W204" s="465">
        <f>INDEX('CTR1 Data Previous Year'!$J:$J,MATCH($D204,'CTR1 Data Previous Year'!$A:$A,0),1)</f>
        <v>39685.9</v>
      </c>
      <c r="X204" s="465">
        <f>INDEX('CTR1 Data Previous Year'!$K:$K,MATCH($D204,'CTR1 Data Previous Year'!$A:$A,0),1)</f>
        <v>314.83999999999997</v>
      </c>
      <c r="Y204" s="465">
        <f>INDEX('CTR1 Data Previous Year'!$L:$L,MATCH($D204,'CTR1 Data Previous Year'!$A:$A,0),1)</f>
        <v>231.1</v>
      </c>
      <c r="Z204" s="836" t="str">
        <f t="shared" si="36"/>
        <v>N</v>
      </c>
      <c r="AA204" s="837" t="str">
        <f t="shared" si="37"/>
        <v>N</v>
      </c>
      <c r="AB204" s="838">
        <f t="shared" si="38"/>
        <v>231.1</v>
      </c>
      <c r="AC204" s="868">
        <f t="shared" si="39"/>
        <v>0</v>
      </c>
      <c r="AD204" s="876">
        <f t="shared" si="40"/>
        <v>0</v>
      </c>
      <c r="AE204" s="838">
        <f t="shared" si="41"/>
        <v>238.03299999999999</v>
      </c>
      <c r="AF204" s="838">
        <f t="shared" si="42"/>
        <v>236.1</v>
      </c>
      <c r="AG204" s="839">
        <f t="shared" si="44"/>
        <v>0</v>
      </c>
      <c r="AH204" s="839">
        <f t="shared" si="45"/>
        <v>238.03</v>
      </c>
      <c r="AI204" s="840">
        <f t="shared" si="43"/>
        <v>0</v>
      </c>
      <c r="AJ204" s="841">
        <f t="shared" si="46"/>
        <v>0</v>
      </c>
      <c r="AK204" s="446"/>
      <c r="AL204" s="446"/>
      <c r="AM204" s="446"/>
      <c r="AN204" s="446"/>
    </row>
    <row r="205" spans="1:40" ht="15" customHeight="1" x14ac:dyDescent="0.25">
      <c r="A205" s="370">
        <v>200</v>
      </c>
      <c r="B205" s="371" t="s">
        <v>1136</v>
      </c>
      <c r="C205" s="370" t="s">
        <v>1137</v>
      </c>
      <c r="D205" s="370" t="s">
        <v>1138</v>
      </c>
      <c r="E205" s="370" t="s">
        <v>353</v>
      </c>
      <c r="F205" s="370" t="s">
        <v>391</v>
      </c>
      <c r="G205" s="386">
        <f>INDEX('CTR1 Data Previous Year'!$B:$B,MATCH($D205,'CTR1 Data Previous Year'!$A:$A,0),1)</f>
        <v>141917373</v>
      </c>
      <c r="H205" s="386">
        <f>INDEX('CTR1 Data Previous Year'!$C:$C,MATCH($D205,'CTR1 Data Previous Year'!$A:$A,0),1)</f>
        <v>0</v>
      </c>
      <c r="I205" s="386">
        <f>INDEX('CTR1 Data Previous Year'!$D:$D,MATCH($D205,'CTR1 Data Previous Year'!$A:$A,0),1)</f>
        <v>4235135</v>
      </c>
      <c r="J205" s="386">
        <f>INDEX('CTR1 Data Previous Year'!$E:$E,MATCH($D205,'CTR1 Data Previous Year'!$A:$A,0),1)</f>
        <v>137682238</v>
      </c>
      <c r="K205" s="386">
        <f>INDEX('CTR1 Data Previous Year'!$F:$F,MATCH($D205,'CTR1 Data Previous Year'!$A:$A,0),1)</f>
        <v>12225781</v>
      </c>
      <c r="L205" s="465">
        <f>INDEX('CTR1 Data Previous Year'!$G:$G,MATCH($D205,'CTR1 Data Previous Year'!$A:$A,0),1)</f>
        <v>76668.820000000007</v>
      </c>
      <c r="M205" s="455">
        <f>INDEX('CTR1 Data Previous Year'!$H:$H,MATCH($D205,'CTR1 Data Previous Year'!$A:$A,0),1)</f>
        <v>0.96</v>
      </c>
      <c r="N205" s="465">
        <f>INDEX('CTR1 Data Previous Year'!$I:$I,MATCH($D205,'CTR1 Data Previous Year'!$A:$A,0),1)</f>
        <v>0</v>
      </c>
      <c r="O205" s="160" t="s">
        <v>129</v>
      </c>
      <c r="P205" s="817"/>
      <c r="Q205" s="820" t="s">
        <v>392</v>
      </c>
      <c r="R205" s="862" t="s">
        <v>393</v>
      </c>
      <c r="S205" s="821" t="s">
        <v>394</v>
      </c>
      <c r="T205" s="817" t="s">
        <v>395</v>
      </c>
      <c r="U205" s="822" t="s">
        <v>396</v>
      </c>
      <c r="V205" s="817" t="s">
        <v>393</v>
      </c>
      <c r="W205" s="465">
        <f>INDEX('CTR1 Data Previous Year'!$J:$J,MATCH($D205,'CTR1 Data Previous Year'!$A:$A,0),1)</f>
        <v>73602.070000000007</v>
      </c>
      <c r="X205" s="465">
        <f>INDEX('CTR1 Data Previous Year'!$K:$K,MATCH($D205,'CTR1 Data Previous Year'!$A:$A,0),1)</f>
        <v>1928.17</v>
      </c>
      <c r="Y205" s="465">
        <f>INDEX('CTR1 Data Previous Year'!$L:$L,MATCH($D205,'CTR1 Data Previous Year'!$A:$A,0),1)</f>
        <v>1870.63</v>
      </c>
      <c r="Z205" s="836" t="str">
        <f t="shared" si="36"/>
        <v>N</v>
      </c>
      <c r="AA205" s="837" t="str">
        <f t="shared" si="37"/>
        <v>N</v>
      </c>
      <c r="AB205" s="838">
        <f t="shared" si="38"/>
        <v>1870.63</v>
      </c>
      <c r="AC205" s="868">
        <f t="shared" si="39"/>
        <v>0</v>
      </c>
      <c r="AD205" s="876">
        <f t="shared" si="40"/>
        <v>0</v>
      </c>
      <c r="AE205" s="838">
        <f t="shared" si="41"/>
        <v>1964.1615000000002</v>
      </c>
      <c r="AF205" s="838">
        <f t="shared" si="42"/>
        <v>1870.63</v>
      </c>
      <c r="AG205" s="839">
        <f t="shared" si="44"/>
        <v>0</v>
      </c>
      <c r="AH205" s="839">
        <f t="shared" si="45"/>
        <v>1964.16</v>
      </c>
      <c r="AI205" s="840">
        <f t="shared" si="43"/>
        <v>37.409999999999997</v>
      </c>
      <c r="AJ205" s="841">
        <f t="shared" si="46"/>
        <v>1.9998610093925572E-2</v>
      </c>
      <c r="AK205" s="446"/>
      <c r="AL205" s="446"/>
      <c r="AM205" s="446"/>
      <c r="AN205" s="446"/>
    </row>
    <row r="206" spans="1:40" ht="15" customHeight="1" x14ac:dyDescent="0.25">
      <c r="A206" s="370">
        <v>201</v>
      </c>
      <c r="B206" s="371" t="s">
        <v>1139</v>
      </c>
      <c r="C206" s="370" t="s">
        <v>1140</v>
      </c>
      <c r="D206" s="370" t="s">
        <v>1141</v>
      </c>
      <c r="E206" s="370" t="s">
        <v>321</v>
      </c>
      <c r="F206" s="370" t="s">
        <v>444</v>
      </c>
      <c r="G206" s="386">
        <f>INDEX('CTR1 Data Previous Year'!$B:$B,MATCH($D206,'CTR1 Data Previous Year'!$A:$A,0),1)</f>
        <v>10454747</v>
      </c>
      <c r="H206" s="386">
        <f>INDEX('CTR1 Data Previous Year'!$C:$C,MATCH($D206,'CTR1 Data Previous Year'!$A:$A,0),1)</f>
        <v>2296374</v>
      </c>
      <c r="I206" s="386">
        <f>INDEX('CTR1 Data Previous Year'!$D:$D,MATCH($D206,'CTR1 Data Previous Year'!$A:$A,0),1)</f>
        <v>1155503</v>
      </c>
      <c r="J206" s="386">
        <f>INDEX('CTR1 Data Previous Year'!$E:$E,MATCH($D206,'CTR1 Data Previous Year'!$A:$A,0),1)</f>
        <v>9299244</v>
      </c>
      <c r="K206" s="386">
        <f>INDEX('CTR1 Data Previous Year'!$F:$F,MATCH($D206,'CTR1 Data Previous Year'!$A:$A,0),1)</f>
        <v>0</v>
      </c>
      <c r="L206" s="465">
        <f>INDEX('CTR1 Data Previous Year'!$G:$G,MATCH($D206,'CTR1 Data Previous Year'!$A:$A,0),1)</f>
        <v>42031.12</v>
      </c>
      <c r="M206" s="455">
        <f>INDEX('CTR1 Data Previous Year'!$H:$H,MATCH($D206,'CTR1 Data Previous Year'!$A:$A,0),1)</f>
        <v>0.98599999999999999</v>
      </c>
      <c r="N206" s="465">
        <f>INDEX('CTR1 Data Previous Year'!$I:$I,MATCH($D206,'CTR1 Data Previous Year'!$A:$A,0),1)</f>
        <v>140.4</v>
      </c>
      <c r="O206" s="160" t="s">
        <v>1054</v>
      </c>
      <c r="P206" s="817" t="s">
        <v>1055</v>
      </c>
      <c r="Q206" s="820" t="s">
        <v>1056</v>
      </c>
      <c r="R206" s="817" t="s">
        <v>1057</v>
      </c>
      <c r="S206" s="821" t="s">
        <v>129</v>
      </c>
      <c r="T206" s="817"/>
      <c r="U206" s="160"/>
      <c r="V206" s="817"/>
      <c r="W206" s="465">
        <f>INDEX('CTR1 Data Previous Year'!$J:$J,MATCH($D206,'CTR1 Data Previous Year'!$A:$A,0),1)</f>
        <v>41583.08</v>
      </c>
      <c r="X206" s="465">
        <f>INDEX('CTR1 Data Previous Year'!$K:$K,MATCH($D206,'CTR1 Data Previous Year'!$A:$A,0),1)</f>
        <v>251.42</v>
      </c>
      <c r="Y206" s="465">
        <f>INDEX('CTR1 Data Previous Year'!$L:$L,MATCH($D206,'CTR1 Data Previous Year'!$A:$A,0),1)</f>
        <v>223.63</v>
      </c>
      <c r="Z206" s="836" t="str">
        <f t="shared" si="36"/>
        <v>N</v>
      </c>
      <c r="AA206" s="837" t="str">
        <f t="shared" si="37"/>
        <v>N</v>
      </c>
      <c r="AB206" s="838">
        <f t="shared" si="38"/>
        <v>223.63</v>
      </c>
      <c r="AC206" s="868">
        <f t="shared" si="39"/>
        <v>0</v>
      </c>
      <c r="AD206" s="876">
        <f t="shared" si="40"/>
        <v>0</v>
      </c>
      <c r="AE206" s="838">
        <f t="shared" si="41"/>
        <v>230.3389</v>
      </c>
      <c r="AF206" s="838">
        <f t="shared" si="42"/>
        <v>228.63</v>
      </c>
      <c r="AG206" s="839">
        <f t="shared" si="44"/>
        <v>0</v>
      </c>
      <c r="AH206" s="839">
        <f t="shared" si="45"/>
        <v>230.34</v>
      </c>
      <c r="AI206" s="840">
        <f t="shared" si="43"/>
        <v>0</v>
      </c>
      <c r="AJ206" s="841">
        <f t="shared" si="46"/>
        <v>0</v>
      </c>
      <c r="AK206" s="446"/>
      <c r="AL206" s="446"/>
      <c r="AM206" s="446"/>
      <c r="AN206" s="446"/>
    </row>
    <row r="207" spans="1:40" ht="15" customHeight="1" x14ac:dyDescent="0.25">
      <c r="A207" s="370">
        <v>202</v>
      </c>
      <c r="B207" s="371" t="s">
        <v>1142</v>
      </c>
      <c r="C207" s="370" t="s">
        <v>1143</v>
      </c>
      <c r="D207" s="370" t="s">
        <v>1144</v>
      </c>
      <c r="E207" s="370" t="s">
        <v>321</v>
      </c>
      <c r="F207" s="370" t="s">
        <v>322</v>
      </c>
      <c r="G207" s="386">
        <f>INDEX('CTR1 Data Previous Year'!$B:$B,MATCH($D207,'CTR1 Data Previous Year'!$A:$A,0),1)</f>
        <v>7024636</v>
      </c>
      <c r="H207" s="386">
        <f>INDEX('CTR1 Data Previous Year'!$C:$C,MATCH($D207,'CTR1 Data Previous Year'!$A:$A,0),1)</f>
        <v>0</v>
      </c>
      <c r="I207" s="386">
        <f>INDEX('CTR1 Data Previous Year'!$D:$D,MATCH($D207,'CTR1 Data Previous Year'!$A:$A,0),1)</f>
        <v>0</v>
      </c>
      <c r="J207" s="386">
        <f>INDEX('CTR1 Data Previous Year'!$E:$E,MATCH($D207,'CTR1 Data Previous Year'!$A:$A,0),1)</f>
        <v>7024636</v>
      </c>
      <c r="K207" s="386">
        <f>INDEX('CTR1 Data Previous Year'!$F:$F,MATCH($D207,'CTR1 Data Previous Year'!$A:$A,0),1)</f>
        <v>0</v>
      </c>
      <c r="L207" s="465">
        <f>INDEX('CTR1 Data Previous Year'!$G:$G,MATCH($D207,'CTR1 Data Previous Year'!$A:$A,0),1)</f>
        <v>36687.379999999997</v>
      </c>
      <c r="M207" s="455">
        <f>INDEX('CTR1 Data Previous Year'!$H:$H,MATCH($D207,'CTR1 Data Previous Year'!$A:$A,0),1)</f>
        <v>0.97499999999999998</v>
      </c>
      <c r="N207" s="465">
        <f>INDEX('CTR1 Data Previous Year'!$I:$I,MATCH($D207,'CTR1 Data Previous Year'!$A:$A,0),1)</f>
        <v>44.2</v>
      </c>
      <c r="O207" s="160" t="s">
        <v>766</v>
      </c>
      <c r="P207" s="817" t="s">
        <v>767</v>
      </c>
      <c r="Q207" s="820" t="s">
        <v>768</v>
      </c>
      <c r="R207" s="817" t="s">
        <v>769</v>
      </c>
      <c r="S207" s="821" t="s">
        <v>129</v>
      </c>
      <c r="T207" s="817"/>
      <c r="U207" s="160"/>
      <c r="V207" s="817"/>
      <c r="W207" s="465">
        <f>INDEX('CTR1 Data Previous Year'!$J:$J,MATCH($D207,'CTR1 Data Previous Year'!$A:$A,0),1)</f>
        <v>35814.400000000001</v>
      </c>
      <c r="X207" s="465">
        <f>INDEX('CTR1 Data Previous Year'!$K:$K,MATCH($D207,'CTR1 Data Previous Year'!$A:$A,0),1)</f>
        <v>196.14</v>
      </c>
      <c r="Y207" s="465">
        <f>INDEX('CTR1 Data Previous Year'!$L:$L,MATCH($D207,'CTR1 Data Previous Year'!$A:$A,0),1)</f>
        <v>196.14</v>
      </c>
      <c r="Z207" s="836" t="str">
        <f t="shared" si="36"/>
        <v>N</v>
      </c>
      <c r="AA207" s="837" t="str">
        <f t="shared" si="37"/>
        <v>N</v>
      </c>
      <c r="AB207" s="838">
        <f t="shared" si="38"/>
        <v>196.14</v>
      </c>
      <c r="AC207" s="868">
        <f t="shared" si="39"/>
        <v>0</v>
      </c>
      <c r="AD207" s="876">
        <f t="shared" si="40"/>
        <v>0</v>
      </c>
      <c r="AE207" s="838">
        <f t="shared" si="41"/>
        <v>202.02419999999998</v>
      </c>
      <c r="AF207" s="838">
        <f t="shared" si="42"/>
        <v>201.14</v>
      </c>
      <c r="AG207" s="839">
        <f t="shared" si="44"/>
        <v>0</v>
      </c>
      <c r="AH207" s="839">
        <f t="shared" si="45"/>
        <v>202.02</v>
      </c>
      <c r="AI207" s="840">
        <f t="shared" si="43"/>
        <v>0</v>
      </c>
      <c r="AJ207" s="841">
        <f t="shared" si="46"/>
        <v>0</v>
      </c>
      <c r="AK207" s="446"/>
      <c r="AL207" s="446"/>
      <c r="AM207" s="446"/>
      <c r="AN207" s="446"/>
    </row>
    <row r="208" spans="1:40" ht="15" customHeight="1" x14ac:dyDescent="0.25">
      <c r="A208" s="370">
        <v>203</v>
      </c>
      <c r="B208" s="371" t="s">
        <v>1145</v>
      </c>
      <c r="C208" s="370" t="s">
        <v>1146</v>
      </c>
      <c r="D208" s="370" t="s">
        <v>1147</v>
      </c>
      <c r="E208" s="370" t="s">
        <v>321</v>
      </c>
      <c r="F208" s="370" t="s">
        <v>330</v>
      </c>
      <c r="G208" s="386">
        <f>INDEX('CTR1 Data Previous Year'!$B:$B,MATCH($D208,'CTR1 Data Previous Year'!$A:$A,0),1)</f>
        <v>11639164</v>
      </c>
      <c r="H208" s="386">
        <f>INDEX('CTR1 Data Previous Year'!$C:$C,MATCH($D208,'CTR1 Data Previous Year'!$A:$A,0),1)</f>
        <v>1011600</v>
      </c>
      <c r="I208" s="386">
        <f>INDEX('CTR1 Data Previous Year'!$D:$D,MATCH($D208,'CTR1 Data Previous Year'!$A:$A,0),1)</f>
        <v>2900064</v>
      </c>
      <c r="J208" s="386">
        <f>INDEX('CTR1 Data Previous Year'!$E:$E,MATCH($D208,'CTR1 Data Previous Year'!$A:$A,0),1)</f>
        <v>8739100</v>
      </c>
      <c r="K208" s="386">
        <f>INDEX('CTR1 Data Previous Year'!$F:$F,MATCH($D208,'CTR1 Data Previous Year'!$A:$A,0),1)</f>
        <v>446836</v>
      </c>
      <c r="L208" s="465">
        <f>INDEX('CTR1 Data Previous Year'!$G:$G,MATCH($D208,'CTR1 Data Previous Year'!$A:$A,0),1)</f>
        <v>48252.32</v>
      </c>
      <c r="M208" s="455">
        <f>INDEX('CTR1 Data Previous Year'!$H:$H,MATCH($D208,'CTR1 Data Previous Year'!$A:$A,0),1)</f>
        <v>0.99</v>
      </c>
      <c r="N208" s="465">
        <f>INDEX('CTR1 Data Previous Year'!$I:$I,MATCH($D208,'CTR1 Data Previous Year'!$A:$A,0),1)</f>
        <v>0</v>
      </c>
      <c r="O208" s="160" t="s">
        <v>347</v>
      </c>
      <c r="P208" s="817" t="s">
        <v>348</v>
      </c>
      <c r="Q208" s="820" t="s">
        <v>349</v>
      </c>
      <c r="R208" s="817" t="s">
        <v>350</v>
      </c>
      <c r="S208" s="821" t="s">
        <v>351</v>
      </c>
      <c r="T208" s="817" t="s">
        <v>352</v>
      </c>
      <c r="U208" s="822" t="s">
        <v>337</v>
      </c>
      <c r="V208" s="817" t="s">
        <v>338</v>
      </c>
      <c r="W208" s="465">
        <f>INDEX('CTR1 Data Previous Year'!$J:$J,MATCH($D208,'CTR1 Data Previous Year'!$A:$A,0),1)</f>
        <v>47769.8</v>
      </c>
      <c r="X208" s="465">
        <f>INDEX('CTR1 Data Previous Year'!$K:$K,MATCH($D208,'CTR1 Data Previous Year'!$A:$A,0),1)</f>
        <v>243.65</v>
      </c>
      <c r="Y208" s="465">
        <f>INDEX('CTR1 Data Previous Year'!$L:$L,MATCH($D208,'CTR1 Data Previous Year'!$A:$A,0),1)</f>
        <v>182.94</v>
      </c>
      <c r="Z208" s="836" t="str">
        <f t="shared" si="36"/>
        <v>N</v>
      </c>
      <c r="AA208" s="837" t="str">
        <f t="shared" si="37"/>
        <v>N</v>
      </c>
      <c r="AB208" s="838">
        <f t="shared" si="38"/>
        <v>182.94</v>
      </c>
      <c r="AC208" s="868">
        <f t="shared" si="39"/>
        <v>0</v>
      </c>
      <c r="AD208" s="876">
        <f t="shared" si="40"/>
        <v>0</v>
      </c>
      <c r="AE208" s="838">
        <f t="shared" si="41"/>
        <v>188.4282</v>
      </c>
      <c r="AF208" s="838">
        <f t="shared" si="42"/>
        <v>187.94</v>
      </c>
      <c r="AG208" s="839">
        <f t="shared" si="44"/>
        <v>0</v>
      </c>
      <c r="AH208" s="839">
        <f t="shared" si="45"/>
        <v>188.43</v>
      </c>
      <c r="AI208" s="840">
        <f t="shared" si="43"/>
        <v>0</v>
      </c>
      <c r="AJ208" s="841">
        <f t="shared" si="46"/>
        <v>0</v>
      </c>
      <c r="AK208" s="446"/>
      <c r="AL208" s="446"/>
      <c r="AM208" s="446"/>
      <c r="AN208" s="446"/>
    </row>
    <row r="209" spans="1:52" ht="15" customHeight="1" x14ac:dyDescent="0.25">
      <c r="A209" s="370">
        <v>204</v>
      </c>
      <c r="B209" s="371" t="s">
        <v>1148</v>
      </c>
      <c r="C209" s="370" t="s">
        <v>1149</v>
      </c>
      <c r="D209" s="370" t="s">
        <v>1150</v>
      </c>
      <c r="E209" s="370" t="s">
        <v>321</v>
      </c>
      <c r="F209" s="370" t="s">
        <v>322</v>
      </c>
      <c r="G209" s="386">
        <f>INDEX('CTR1 Data Previous Year'!$B:$B,MATCH($D209,'CTR1 Data Previous Year'!$A:$A,0),1)</f>
        <v>8008154</v>
      </c>
      <c r="H209" s="386">
        <f>INDEX('CTR1 Data Previous Year'!$C:$C,MATCH($D209,'CTR1 Data Previous Year'!$A:$A,0),1)</f>
        <v>0</v>
      </c>
      <c r="I209" s="386">
        <f>INDEX('CTR1 Data Previous Year'!$D:$D,MATCH($D209,'CTR1 Data Previous Year'!$A:$A,0),1)</f>
        <v>0</v>
      </c>
      <c r="J209" s="386">
        <f>INDEX('CTR1 Data Previous Year'!$E:$E,MATCH($D209,'CTR1 Data Previous Year'!$A:$A,0),1)</f>
        <v>8008154</v>
      </c>
      <c r="K209" s="386">
        <f>INDEX('CTR1 Data Previous Year'!$F:$F,MATCH($D209,'CTR1 Data Previous Year'!$A:$A,0),1)</f>
        <v>0</v>
      </c>
      <c r="L209" s="465">
        <f>INDEX('CTR1 Data Previous Year'!$G:$G,MATCH($D209,'CTR1 Data Previous Year'!$A:$A,0),1)</f>
        <v>32200.58</v>
      </c>
      <c r="M209" s="455">
        <f>INDEX('CTR1 Data Previous Year'!$H:$H,MATCH($D209,'CTR1 Data Previous Year'!$A:$A,0),1)</f>
        <v>0.98</v>
      </c>
      <c r="N209" s="465">
        <f>INDEX('CTR1 Data Previous Year'!$I:$I,MATCH($D209,'CTR1 Data Previous Year'!$A:$A,0),1)</f>
        <v>1854</v>
      </c>
      <c r="O209" s="160" t="s">
        <v>411</v>
      </c>
      <c r="P209" s="817" t="s">
        <v>412</v>
      </c>
      <c r="Q209" s="820" t="s">
        <v>413</v>
      </c>
      <c r="R209" s="817" t="s">
        <v>414</v>
      </c>
      <c r="S209" s="821" t="s">
        <v>415</v>
      </c>
      <c r="T209" s="817" t="s">
        <v>416</v>
      </c>
      <c r="U209" s="160"/>
      <c r="V209" s="817"/>
      <c r="W209" s="465">
        <f>INDEX('CTR1 Data Previous Year'!$J:$J,MATCH($D209,'CTR1 Data Previous Year'!$A:$A,0),1)</f>
        <v>33410.57</v>
      </c>
      <c r="X209" s="465">
        <f>INDEX('CTR1 Data Previous Year'!$K:$K,MATCH($D209,'CTR1 Data Previous Year'!$A:$A,0),1)</f>
        <v>239.69</v>
      </c>
      <c r="Y209" s="465">
        <f>INDEX('CTR1 Data Previous Year'!$L:$L,MATCH($D209,'CTR1 Data Previous Year'!$A:$A,0),1)</f>
        <v>239.69</v>
      </c>
      <c r="Z209" s="836" t="str">
        <f t="shared" si="36"/>
        <v>N</v>
      </c>
      <c r="AA209" s="837" t="str">
        <f t="shared" si="37"/>
        <v>N</v>
      </c>
      <c r="AB209" s="838">
        <f t="shared" si="38"/>
        <v>239.69</v>
      </c>
      <c r="AC209" s="868">
        <f t="shared" si="39"/>
        <v>0</v>
      </c>
      <c r="AD209" s="876">
        <f t="shared" si="40"/>
        <v>0</v>
      </c>
      <c r="AE209" s="838">
        <f t="shared" si="41"/>
        <v>246.88069999999999</v>
      </c>
      <c r="AF209" s="838">
        <f t="shared" si="42"/>
        <v>244.69</v>
      </c>
      <c r="AG209" s="839">
        <f t="shared" si="44"/>
        <v>0</v>
      </c>
      <c r="AH209" s="839">
        <f t="shared" si="45"/>
        <v>246.88</v>
      </c>
      <c r="AI209" s="840">
        <f t="shared" si="43"/>
        <v>0</v>
      </c>
      <c r="AJ209" s="841">
        <f t="shared" si="46"/>
        <v>0</v>
      </c>
      <c r="AK209" s="446"/>
      <c r="AL209" s="446"/>
      <c r="AM209" s="446"/>
      <c r="AN209" s="446"/>
    </row>
    <row r="210" spans="1:52" ht="15" customHeight="1" x14ac:dyDescent="0.25">
      <c r="A210" s="370">
        <v>205</v>
      </c>
      <c r="B210" s="371" t="s">
        <v>1151</v>
      </c>
      <c r="C210" s="370" t="s">
        <v>1152</v>
      </c>
      <c r="D210" s="370" t="s">
        <v>1153</v>
      </c>
      <c r="E210" s="370" t="s">
        <v>339</v>
      </c>
      <c r="F210" s="370" t="s">
        <v>330</v>
      </c>
      <c r="G210" s="386">
        <f>INDEX('CTR1 Data Previous Year'!$B:$B,MATCH($D210,'CTR1 Data Previous Year'!$A:$A,0),1)</f>
        <v>37215711</v>
      </c>
      <c r="H210" s="386">
        <f>INDEX('CTR1 Data Previous Year'!$C:$C,MATCH($D210,'CTR1 Data Previous Year'!$A:$A,0),1)</f>
        <v>0</v>
      </c>
      <c r="I210" s="386">
        <f>INDEX('CTR1 Data Previous Year'!$D:$D,MATCH($D210,'CTR1 Data Previous Year'!$A:$A,0),1)</f>
        <v>1062004</v>
      </c>
      <c r="J210" s="386">
        <f>INDEX('CTR1 Data Previous Year'!$E:$E,MATCH($D210,'CTR1 Data Previous Year'!$A:$A,0),1)</f>
        <v>36153707</v>
      </c>
      <c r="K210" s="386">
        <f>INDEX('CTR1 Data Previous Year'!$F:$F,MATCH($D210,'CTR1 Data Previous Year'!$A:$A,0),1)</f>
        <v>0</v>
      </c>
      <c r="L210" s="465">
        <f>INDEX('CTR1 Data Previous Year'!$G:$G,MATCH($D210,'CTR1 Data Previous Year'!$A:$A,0),1)</f>
        <v>16082.43</v>
      </c>
      <c r="M210" s="455">
        <f>INDEX('CTR1 Data Previous Year'!$H:$H,MATCH($D210,'CTR1 Data Previous Year'!$A:$A,0),1)</f>
        <v>0.99</v>
      </c>
      <c r="N210" s="465">
        <f>INDEX('CTR1 Data Previous Year'!$I:$I,MATCH($D210,'CTR1 Data Previous Year'!$A:$A,0),1)</f>
        <v>371.56</v>
      </c>
      <c r="O210" s="160" t="s">
        <v>129</v>
      </c>
      <c r="P210" s="817"/>
      <c r="Q210" s="820" t="s">
        <v>456</v>
      </c>
      <c r="R210" s="817" t="s">
        <v>457</v>
      </c>
      <c r="S210" s="821" t="s">
        <v>458</v>
      </c>
      <c r="T210" s="817" t="s">
        <v>459</v>
      </c>
      <c r="U210" s="160"/>
      <c r="V210" s="817"/>
      <c r="W210" s="465">
        <f>INDEX('CTR1 Data Previous Year'!$J:$J,MATCH($D210,'CTR1 Data Previous Year'!$A:$A,0),1)</f>
        <v>16293.17</v>
      </c>
      <c r="X210" s="465">
        <f>INDEX('CTR1 Data Previous Year'!$K:$K,MATCH($D210,'CTR1 Data Previous Year'!$A:$A,0),1)</f>
        <v>2284.13</v>
      </c>
      <c r="Y210" s="465">
        <f>INDEX('CTR1 Data Previous Year'!$L:$L,MATCH($D210,'CTR1 Data Previous Year'!$A:$A,0),1)</f>
        <v>2218.9499999999998</v>
      </c>
      <c r="Z210" s="836" t="str">
        <f t="shared" si="36"/>
        <v>N</v>
      </c>
      <c r="AA210" s="837" t="str">
        <f t="shared" si="37"/>
        <v>N</v>
      </c>
      <c r="AB210" s="838">
        <f t="shared" si="38"/>
        <v>2218.9499999999998</v>
      </c>
      <c r="AC210" s="868">
        <f t="shared" si="39"/>
        <v>0</v>
      </c>
      <c r="AD210" s="876">
        <f t="shared" si="40"/>
        <v>0</v>
      </c>
      <c r="AE210" s="838">
        <f t="shared" si="41"/>
        <v>2329.8975</v>
      </c>
      <c r="AF210" s="838">
        <f t="shared" si="42"/>
        <v>2218.9499999999998</v>
      </c>
      <c r="AG210" s="839">
        <f t="shared" si="44"/>
        <v>0</v>
      </c>
      <c r="AH210" s="839">
        <f t="shared" si="45"/>
        <v>2329.9</v>
      </c>
      <c r="AI210" s="840">
        <f t="shared" si="43"/>
        <v>44.38</v>
      </c>
      <c r="AJ210" s="841">
        <f t="shared" si="46"/>
        <v>2.0000450663602155E-2</v>
      </c>
      <c r="AK210" s="446"/>
      <c r="AL210" s="446"/>
      <c r="AM210" s="446"/>
      <c r="AN210" s="446"/>
    </row>
    <row r="211" spans="1:52" ht="15" customHeight="1" x14ac:dyDescent="0.25">
      <c r="A211" s="370">
        <v>206</v>
      </c>
      <c r="B211" s="371" t="s">
        <v>1154</v>
      </c>
      <c r="C211" s="370" t="s">
        <v>1155</v>
      </c>
      <c r="D211" s="370" t="s">
        <v>1156</v>
      </c>
      <c r="E211" s="370" t="s">
        <v>353</v>
      </c>
      <c r="F211" s="370" t="s">
        <v>463</v>
      </c>
      <c r="G211" s="386">
        <f>INDEX('CTR1 Data Previous Year'!$B:$B,MATCH($D211,'CTR1 Data Previous Year'!$A:$A,0),1)</f>
        <v>161401094</v>
      </c>
      <c r="H211" s="386">
        <f>INDEX('CTR1 Data Previous Year'!$C:$C,MATCH($D211,'CTR1 Data Previous Year'!$A:$A,0),1)</f>
        <v>0</v>
      </c>
      <c r="I211" s="386">
        <f>INDEX('CTR1 Data Previous Year'!$D:$D,MATCH($D211,'CTR1 Data Previous Year'!$A:$A,0),1)</f>
        <v>0</v>
      </c>
      <c r="J211" s="386">
        <f>INDEX('CTR1 Data Previous Year'!$E:$E,MATCH($D211,'CTR1 Data Previous Year'!$A:$A,0),1)</f>
        <v>161401094</v>
      </c>
      <c r="K211" s="386">
        <f>INDEX('CTR1 Data Previous Year'!$F:$F,MATCH($D211,'CTR1 Data Previous Year'!$A:$A,0),1)</f>
        <v>41845081</v>
      </c>
      <c r="L211" s="465">
        <f>INDEX('CTR1 Data Previous Year'!$G:$G,MATCH($D211,'CTR1 Data Previous Year'!$A:$A,0),1)</f>
        <v>82330.89</v>
      </c>
      <c r="M211" s="455">
        <f>INDEX('CTR1 Data Previous Year'!$H:$H,MATCH($D211,'CTR1 Data Previous Year'!$A:$A,0),1)</f>
        <v>0.95499999999999996</v>
      </c>
      <c r="N211" s="465">
        <f>INDEX('CTR1 Data Previous Year'!$I:$I,MATCH($D211,'CTR1 Data Previous Year'!$A:$A,0),1)</f>
        <v>0</v>
      </c>
      <c r="O211" s="160" t="s">
        <v>129</v>
      </c>
      <c r="P211" s="817"/>
      <c r="Q211" s="820" t="s">
        <v>477</v>
      </c>
      <c r="R211" s="817" t="s">
        <v>478</v>
      </c>
      <c r="S211" s="821"/>
      <c r="T211" s="817"/>
      <c r="U211" s="822" t="s">
        <v>479</v>
      </c>
      <c r="V211" s="817" t="s">
        <v>478</v>
      </c>
      <c r="W211" s="465">
        <f>INDEX('CTR1 Data Previous Year'!$J:$J,MATCH($D211,'CTR1 Data Previous Year'!$A:$A,0),1)</f>
        <v>78626</v>
      </c>
      <c r="X211" s="465">
        <f>INDEX('CTR1 Data Previous Year'!$K:$K,MATCH($D211,'CTR1 Data Previous Year'!$A:$A,0),1)</f>
        <v>2052.77</v>
      </c>
      <c r="Y211" s="465">
        <f>INDEX('CTR1 Data Previous Year'!$L:$L,MATCH($D211,'CTR1 Data Previous Year'!$A:$A,0),1)</f>
        <v>2052.77</v>
      </c>
      <c r="Z211" s="836" t="str">
        <f t="shared" si="36"/>
        <v>N</v>
      </c>
      <c r="AA211" s="837" t="str">
        <f t="shared" si="37"/>
        <v>N</v>
      </c>
      <c r="AB211" s="838">
        <f t="shared" si="38"/>
        <v>2052.77</v>
      </c>
      <c r="AC211" s="868">
        <f t="shared" si="39"/>
        <v>0</v>
      </c>
      <c r="AD211" s="876">
        <f t="shared" si="40"/>
        <v>0</v>
      </c>
      <c r="AE211" s="838">
        <f t="shared" si="41"/>
        <v>2155.4085</v>
      </c>
      <c r="AF211" s="838">
        <f t="shared" si="42"/>
        <v>2052.77</v>
      </c>
      <c r="AG211" s="839">
        <f t="shared" si="44"/>
        <v>0</v>
      </c>
      <c r="AH211" s="839">
        <f t="shared" si="45"/>
        <v>2155.41</v>
      </c>
      <c r="AI211" s="840">
        <f t="shared" si="43"/>
        <v>41.06</v>
      </c>
      <c r="AJ211" s="841">
        <f t="shared" si="46"/>
        <v>2.0002240874525644E-2</v>
      </c>
      <c r="AK211" s="446"/>
      <c r="AL211" s="446"/>
      <c r="AM211" s="446"/>
      <c r="AN211" s="446"/>
    </row>
    <row r="212" spans="1:52" ht="15" customHeight="1" x14ac:dyDescent="0.25">
      <c r="A212" s="370">
        <v>207</v>
      </c>
      <c r="B212" s="371" t="s">
        <v>1157</v>
      </c>
      <c r="C212" s="370" t="s">
        <v>1158</v>
      </c>
      <c r="D212" s="370" t="s">
        <v>1159</v>
      </c>
      <c r="E212" s="370" t="s">
        <v>353</v>
      </c>
      <c r="F212" s="370" t="s">
        <v>444</v>
      </c>
      <c r="G212" s="386">
        <f>INDEX('CTR1 Data Previous Year'!$B:$B,MATCH($D212,'CTR1 Data Previous Year'!$A:$A,0),1)</f>
        <v>146565196</v>
      </c>
      <c r="H212" s="386">
        <f>INDEX('CTR1 Data Previous Year'!$C:$C,MATCH($D212,'CTR1 Data Previous Year'!$A:$A,0),1)</f>
        <v>0</v>
      </c>
      <c r="I212" s="386">
        <f>INDEX('CTR1 Data Previous Year'!$D:$D,MATCH($D212,'CTR1 Data Previous Year'!$A:$A,0),1)</f>
        <v>0</v>
      </c>
      <c r="J212" s="386">
        <f>INDEX('CTR1 Data Previous Year'!$E:$E,MATCH($D212,'CTR1 Data Previous Year'!$A:$A,0),1)</f>
        <v>146565196</v>
      </c>
      <c r="K212" s="386">
        <f>INDEX('CTR1 Data Previous Year'!$F:$F,MATCH($D212,'CTR1 Data Previous Year'!$A:$A,0),1)</f>
        <v>14430208</v>
      </c>
      <c r="L212" s="465">
        <f>INDEX('CTR1 Data Previous Year'!$G:$G,MATCH($D212,'CTR1 Data Previous Year'!$A:$A,0),1)</f>
        <v>82088.149999999994</v>
      </c>
      <c r="M212" s="455">
        <f>INDEX('CTR1 Data Previous Year'!$H:$H,MATCH($D212,'CTR1 Data Previous Year'!$A:$A,0),1)</f>
        <v>0.97899999999999998</v>
      </c>
      <c r="N212" s="465">
        <f>INDEX('CTR1 Data Previous Year'!$I:$I,MATCH($D212,'CTR1 Data Previous Year'!$A:$A,0),1)</f>
        <v>0</v>
      </c>
      <c r="O212" s="160" t="s">
        <v>129</v>
      </c>
      <c r="P212" s="817"/>
      <c r="Q212" s="820" t="s">
        <v>445</v>
      </c>
      <c r="R212" s="817" t="s">
        <v>446</v>
      </c>
      <c r="S212" s="821" t="s">
        <v>447</v>
      </c>
      <c r="T212" s="817" t="s">
        <v>448</v>
      </c>
      <c r="U212" s="822" t="s">
        <v>449</v>
      </c>
      <c r="V212" s="817" t="s">
        <v>450</v>
      </c>
      <c r="W212" s="465">
        <f>INDEX('CTR1 Data Previous Year'!$J:$J,MATCH($D212,'CTR1 Data Previous Year'!$A:$A,0),1)</f>
        <v>80364.3</v>
      </c>
      <c r="X212" s="465">
        <f>INDEX('CTR1 Data Previous Year'!$K:$K,MATCH($D212,'CTR1 Data Previous Year'!$A:$A,0),1)</f>
        <v>1823.76</v>
      </c>
      <c r="Y212" s="465">
        <f>INDEX('CTR1 Data Previous Year'!$L:$L,MATCH($D212,'CTR1 Data Previous Year'!$A:$A,0),1)</f>
        <v>1823.76</v>
      </c>
      <c r="Z212" s="836" t="str">
        <f t="shared" si="36"/>
        <v>N</v>
      </c>
      <c r="AA212" s="837" t="str">
        <f t="shared" si="37"/>
        <v>N</v>
      </c>
      <c r="AB212" s="838">
        <f t="shared" si="38"/>
        <v>1823.76</v>
      </c>
      <c r="AC212" s="868">
        <f t="shared" si="39"/>
        <v>0</v>
      </c>
      <c r="AD212" s="876">
        <f t="shared" si="40"/>
        <v>0</v>
      </c>
      <c r="AE212" s="838">
        <f t="shared" si="41"/>
        <v>1914.9480000000001</v>
      </c>
      <c r="AF212" s="838">
        <f t="shared" si="42"/>
        <v>1823.76</v>
      </c>
      <c r="AG212" s="839">
        <f t="shared" si="44"/>
        <v>0</v>
      </c>
      <c r="AH212" s="839">
        <f t="shared" si="45"/>
        <v>1914.95</v>
      </c>
      <c r="AI212" s="840">
        <f t="shared" si="43"/>
        <v>36.479999999999997</v>
      </c>
      <c r="AJ212" s="841">
        <f t="shared" si="46"/>
        <v>2.0002631925253322E-2</v>
      </c>
      <c r="AK212" s="446"/>
      <c r="AL212" s="446"/>
      <c r="AM212" s="446"/>
      <c r="AN212" s="446"/>
    </row>
    <row r="213" spans="1:52" ht="15" customHeight="1" x14ac:dyDescent="0.25">
      <c r="A213" s="370">
        <v>208</v>
      </c>
      <c r="B213" s="371" t="s">
        <v>1160</v>
      </c>
      <c r="C213" s="370" t="s">
        <v>1161</v>
      </c>
      <c r="D213" s="370" t="s">
        <v>1162</v>
      </c>
      <c r="E213" s="370" t="s">
        <v>353</v>
      </c>
      <c r="F213" s="370" t="s">
        <v>463</v>
      </c>
      <c r="G213" s="386">
        <f>INDEX('CTR1 Data Previous Year'!$B:$B,MATCH($D213,'CTR1 Data Previous Year'!$A:$A,0),1)</f>
        <v>180125737</v>
      </c>
      <c r="H213" s="386">
        <f>INDEX('CTR1 Data Previous Year'!$C:$C,MATCH($D213,'CTR1 Data Previous Year'!$A:$A,0),1)</f>
        <v>0</v>
      </c>
      <c r="I213" s="386">
        <f>INDEX('CTR1 Data Previous Year'!$D:$D,MATCH($D213,'CTR1 Data Previous Year'!$A:$A,0),1)</f>
        <v>1586347</v>
      </c>
      <c r="J213" s="386">
        <f>INDEX('CTR1 Data Previous Year'!$E:$E,MATCH($D213,'CTR1 Data Previous Year'!$A:$A,0),1)</f>
        <v>178539390</v>
      </c>
      <c r="K213" s="386">
        <f>INDEX('CTR1 Data Previous Year'!$F:$F,MATCH($D213,'CTR1 Data Previous Year'!$A:$A,0),1)</f>
        <v>37749824</v>
      </c>
      <c r="L213" s="465">
        <f>INDEX('CTR1 Data Previous Year'!$G:$G,MATCH($D213,'CTR1 Data Previous Year'!$A:$A,0),1)</f>
        <v>89922.5</v>
      </c>
      <c r="M213" s="455">
        <f>INDEX('CTR1 Data Previous Year'!$H:$H,MATCH($D213,'CTR1 Data Previous Year'!$A:$A,0),1)</f>
        <v>0.97150000000000003</v>
      </c>
      <c r="N213" s="465">
        <f>INDEX('CTR1 Data Previous Year'!$I:$I,MATCH($D213,'CTR1 Data Previous Year'!$A:$A,0),1)</f>
        <v>7.99</v>
      </c>
      <c r="O213" s="160" t="s">
        <v>129</v>
      </c>
      <c r="P213" s="817"/>
      <c r="Q213" s="820" t="s">
        <v>927</v>
      </c>
      <c r="R213" s="817" t="s">
        <v>928</v>
      </c>
      <c r="S213" s="821" t="s">
        <v>929</v>
      </c>
      <c r="T213" s="817" t="s">
        <v>930</v>
      </c>
      <c r="U213" s="822" t="s">
        <v>834</v>
      </c>
      <c r="V213" s="817" t="s">
        <v>835</v>
      </c>
      <c r="W213" s="465">
        <f>INDEX('CTR1 Data Previous Year'!$J:$J,MATCH($D213,'CTR1 Data Previous Year'!$A:$A,0),1)</f>
        <v>87367.7</v>
      </c>
      <c r="X213" s="465">
        <f>INDEX('CTR1 Data Previous Year'!$K:$K,MATCH($D213,'CTR1 Data Previous Year'!$A:$A,0),1)</f>
        <v>2061.6999999999998</v>
      </c>
      <c r="Y213" s="465">
        <f>INDEX('CTR1 Data Previous Year'!$L:$L,MATCH($D213,'CTR1 Data Previous Year'!$A:$A,0),1)</f>
        <v>2043.54</v>
      </c>
      <c r="Z213" s="836" t="str">
        <f t="shared" si="36"/>
        <v>N</v>
      </c>
      <c r="AA213" s="837" t="str">
        <f t="shared" si="37"/>
        <v>N</v>
      </c>
      <c r="AB213" s="838">
        <f t="shared" si="38"/>
        <v>2043.54</v>
      </c>
      <c r="AC213" s="868">
        <f t="shared" si="39"/>
        <v>0</v>
      </c>
      <c r="AD213" s="876">
        <f t="shared" si="40"/>
        <v>0</v>
      </c>
      <c r="AE213" s="838">
        <f t="shared" si="41"/>
        <v>2145.7170000000001</v>
      </c>
      <c r="AF213" s="838">
        <f t="shared" si="42"/>
        <v>2043.54</v>
      </c>
      <c r="AG213" s="839">
        <f t="shared" si="44"/>
        <v>0</v>
      </c>
      <c r="AH213" s="839">
        <f t="shared" si="45"/>
        <v>2145.7199999999998</v>
      </c>
      <c r="AI213" s="840">
        <f t="shared" si="43"/>
        <v>40.869999999999997</v>
      </c>
      <c r="AJ213" s="841">
        <f t="shared" si="46"/>
        <v>1.9999608522465916E-2</v>
      </c>
      <c r="AK213" s="446"/>
      <c r="AL213" s="446"/>
      <c r="AM213" s="446"/>
      <c r="AN213" s="446"/>
    </row>
    <row r="214" spans="1:52" ht="15" customHeight="1" x14ac:dyDescent="0.25">
      <c r="A214" s="370">
        <v>209</v>
      </c>
      <c r="B214" s="371" t="s">
        <v>1163</v>
      </c>
      <c r="C214" s="370" t="s">
        <v>1164</v>
      </c>
      <c r="D214" s="370" t="s">
        <v>1165</v>
      </c>
      <c r="E214" s="370" t="s">
        <v>321</v>
      </c>
      <c r="F214" s="370" t="s">
        <v>322</v>
      </c>
      <c r="G214" s="386">
        <f>INDEX('CTR1 Data Previous Year'!$B:$B,MATCH($D214,'CTR1 Data Previous Year'!$A:$A,0),1)</f>
        <v>19254898</v>
      </c>
      <c r="H214" s="386">
        <f>INDEX('CTR1 Data Previous Year'!$C:$C,MATCH($D214,'CTR1 Data Previous Year'!$A:$A,0),1)</f>
        <v>0</v>
      </c>
      <c r="I214" s="386">
        <f>INDEX('CTR1 Data Previous Year'!$D:$D,MATCH($D214,'CTR1 Data Previous Year'!$A:$A,0),1)</f>
        <v>5949277</v>
      </c>
      <c r="J214" s="386">
        <f>INDEX('CTR1 Data Previous Year'!$E:$E,MATCH($D214,'CTR1 Data Previous Year'!$A:$A,0),1)</f>
        <v>13305621</v>
      </c>
      <c r="K214" s="386">
        <f>INDEX('CTR1 Data Previous Year'!$F:$F,MATCH($D214,'CTR1 Data Previous Year'!$A:$A,0),1)</f>
        <v>20310</v>
      </c>
      <c r="L214" s="465">
        <f>INDEX('CTR1 Data Previous Year'!$G:$G,MATCH($D214,'CTR1 Data Previous Year'!$A:$A,0),1)</f>
        <v>53318.239999999998</v>
      </c>
      <c r="M214" s="455">
        <f>INDEX('CTR1 Data Previous Year'!$H:$H,MATCH($D214,'CTR1 Data Previous Year'!$A:$A,0),1)</f>
        <v>0.99399999999999999</v>
      </c>
      <c r="N214" s="465">
        <f>INDEX('CTR1 Data Previous Year'!$I:$I,MATCH($D214,'CTR1 Data Previous Year'!$A:$A,0),1)</f>
        <v>10</v>
      </c>
      <c r="O214" s="160" t="s">
        <v>358</v>
      </c>
      <c r="P214" s="817" t="s">
        <v>359</v>
      </c>
      <c r="Q214" s="820" t="s">
        <v>360</v>
      </c>
      <c r="R214" s="817" t="s">
        <v>361</v>
      </c>
      <c r="S214" s="821" t="s">
        <v>362</v>
      </c>
      <c r="T214" s="817" t="s">
        <v>363</v>
      </c>
      <c r="U214" s="160"/>
      <c r="V214" s="817"/>
      <c r="W214" s="465">
        <f>INDEX('CTR1 Data Previous Year'!$J:$J,MATCH($D214,'CTR1 Data Previous Year'!$A:$A,0),1)</f>
        <v>53008.33</v>
      </c>
      <c r="X214" s="465">
        <f>INDEX('CTR1 Data Previous Year'!$K:$K,MATCH($D214,'CTR1 Data Previous Year'!$A:$A,0),1)</f>
        <v>363.24</v>
      </c>
      <c r="Y214" s="465">
        <f>INDEX('CTR1 Data Previous Year'!$L:$L,MATCH($D214,'CTR1 Data Previous Year'!$A:$A,0),1)</f>
        <v>251.01</v>
      </c>
      <c r="Z214" s="836" t="str">
        <f t="shared" si="36"/>
        <v>N</v>
      </c>
      <c r="AA214" s="837" t="str">
        <f t="shared" si="37"/>
        <v>N</v>
      </c>
      <c r="AB214" s="838">
        <f t="shared" si="38"/>
        <v>251.01</v>
      </c>
      <c r="AC214" s="868">
        <f t="shared" si="39"/>
        <v>0</v>
      </c>
      <c r="AD214" s="876">
        <f t="shared" si="40"/>
        <v>0</v>
      </c>
      <c r="AE214" s="838">
        <f t="shared" si="41"/>
        <v>258.5403</v>
      </c>
      <c r="AF214" s="838">
        <f t="shared" si="42"/>
        <v>256.01</v>
      </c>
      <c r="AG214" s="839">
        <f t="shared" si="44"/>
        <v>0</v>
      </c>
      <c r="AH214" s="839">
        <f t="shared" si="45"/>
        <v>258.54000000000002</v>
      </c>
      <c r="AI214" s="840">
        <f t="shared" si="43"/>
        <v>0</v>
      </c>
      <c r="AJ214" s="841">
        <f t="shared" si="46"/>
        <v>0</v>
      </c>
      <c r="AK214" s="446"/>
      <c r="AL214" s="446"/>
      <c r="AM214" s="446"/>
      <c r="AN214" s="446"/>
    </row>
    <row r="215" spans="1:52" ht="15" customHeight="1" x14ac:dyDescent="0.25">
      <c r="A215" s="370">
        <v>210</v>
      </c>
      <c r="B215" s="371" t="s">
        <v>1166</v>
      </c>
      <c r="C215" s="370" t="s">
        <v>1167</v>
      </c>
      <c r="D215" s="382" t="s">
        <v>1168</v>
      </c>
      <c r="E215" s="370" t="s">
        <v>353</v>
      </c>
      <c r="F215" s="370" t="s">
        <v>391</v>
      </c>
      <c r="G215" s="386">
        <f>INDEX('CTR1 Data Previous Year'!$B:$B,MATCH($D215,'CTR1 Data Previous Year'!$A:$A,0),1)</f>
        <v>301950562</v>
      </c>
      <c r="H215" s="386">
        <f>INDEX('CTR1 Data Previous Year'!$C:$C,MATCH($D215,'CTR1 Data Previous Year'!$A:$A,0),1)</f>
        <v>0</v>
      </c>
      <c r="I215" s="386">
        <f>INDEX('CTR1 Data Previous Year'!$D:$D,MATCH($D215,'CTR1 Data Previous Year'!$A:$A,0),1)</f>
        <v>694640</v>
      </c>
      <c r="J215" s="386">
        <f>INDEX('CTR1 Data Previous Year'!$E:$E,MATCH($D215,'CTR1 Data Previous Year'!$A:$A,0),1)</f>
        <v>301255922</v>
      </c>
      <c r="K215" s="386">
        <f>INDEX('CTR1 Data Previous Year'!$F:$F,MATCH($D215,'CTR1 Data Previous Year'!$A:$A,0),1)</f>
        <v>24417870</v>
      </c>
      <c r="L215" s="465">
        <f>INDEX('CTR1 Data Previous Year'!$G:$G,MATCH($D215,'CTR1 Data Previous Year'!$A:$A,0),1)</f>
        <v>155469.93</v>
      </c>
      <c r="M215" s="455">
        <f>INDEX('CTR1 Data Previous Year'!$H:$H,MATCH($D215,'CTR1 Data Previous Year'!$A:$A,0),1)</f>
        <v>0.95499999999999996</v>
      </c>
      <c r="N215" s="465">
        <f>INDEX('CTR1 Data Previous Year'!$I:$I,MATCH($D215,'CTR1 Data Previous Year'!$A:$A,0),1)</f>
        <v>2</v>
      </c>
      <c r="O215" s="160" t="s">
        <v>129</v>
      </c>
      <c r="P215" s="817"/>
      <c r="Q215" s="820" t="s">
        <v>392</v>
      </c>
      <c r="R215" s="862" t="s">
        <v>393</v>
      </c>
      <c r="S215" s="821" t="s">
        <v>394</v>
      </c>
      <c r="T215" s="817" t="s">
        <v>395</v>
      </c>
      <c r="U215" s="822" t="s">
        <v>396</v>
      </c>
      <c r="V215" s="817" t="s">
        <v>393</v>
      </c>
      <c r="W215" s="465">
        <f>INDEX('CTR1 Data Previous Year'!$J:$J,MATCH($D215,'CTR1 Data Previous Year'!$A:$A,0),1)</f>
        <v>148475.78</v>
      </c>
      <c r="X215" s="465">
        <f>INDEX('CTR1 Data Previous Year'!$K:$K,MATCH($D215,'CTR1 Data Previous Year'!$A:$A,0),1)</f>
        <v>2033.67</v>
      </c>
      <c r="Y215" s="465">
        <f>INDEX('CTR1 Data Previous Year'!$L:$L,MATCH($D215,'CTR1 Data Previous Year'!$A:$A,0),1)</f>
        <v>2028.99</v>
      </c>
      <c r="Z215" s="836" t="str">
        <f t="shared" si="36"/>
        <v>N</v>
      </c>
      <c r="AA215" s="837" t="str">
        <f t="shared" si="37"/>
        <v>N</v>
      </c>
      <c r="AB215" s="838">
        <f t="shared" si="38"/>
        <v>2028.99</v>
      </c>
      <c r="AC215" s="868">
        <f t="shared" si="39"/>
        <v>0</v>
      </c>
      <c r="AD215" s="876">
        <f t="shared" si="40"/>
        <v>0</v>
      </c>
      <c r="AE215" s="838">
        <f t="shared" si="41"/>
        <v>2130.4395</v>
      </c>
      <c r="AF215" s="838">
        <f t="shared" si="42"/>
        <v>2028.99</v>
      </c>
      <c r="AG215" s="839">
        <f t="shared" si="44"/>
        <v>0</v>
      </c>
      <c r="AH215" s="839">
        <f t="shared" si="45"/>
        <v>2130.44</v>
      </c>
      <c r="AI215" s="840">
        <f t="shared" si="43"/>
        <v>40.58</v>
      </c>
      <c r="AJ215" s="841">
        <f t="shared" si="46"/>
        <v>2.0000098571210306E-2</v>
      </c>
      <c r="AK215" s="446"/>
      <c r="AL215" s="446"/>
      <c r="AM215" s="446"/>
      <c r="AN215" s="446"/>
    </row>
    <row r="216" spans="1:52" ht="15" customHeight="1" x14ac:dyDescent="0.25">
      <c r="A216" s="370">
        <v>211</v>
      </c>
      <c r="B216" s="371" t="s">
        <v>430</v>
      </c>
      <c r="C216" s="370" t="s">
        <v>1169</v>
      </c>
      <c r="D216" s="370" t="s">
        <v>1170</v>
      </c>
      <c r="E216" s="370" t="s">
        <v>339</v>
      </c>
      <c r="F216" s="370" t="s">
        <v>444</v>
      </c>
      <c r="G216" s="386">
        <f>INDEX('CTR1 Data Previous Year'!$B:$B,MATCH($D216,'CTR1 Data Previous Year'!$A:$A,0),1)</f>
        <v>231563519</v>
      </c>
      <c r="H216" s="386">
        <f>INDEX('CTR1 Data Previous Year'!$C:$C,MATCH($D216,'CTR1 Data Previous Year'!$A:$A,0),1)</f>
        <v>0</v>
      </c>
      <c r="I216" s="386">
        <f>INDEX('CTR1 Data Previous Year'!$D:$D,MATCH($D216,'CTR1 Data Previous Year'!$A:$A,0),1)</f>
        <v>12280682</v>
      </c>
      <c r="J216" s="386">
        <f>INDEX('CTR1 Data Previous Year'!$E:$E,MATCH($D216,'CTR1 Data Previous Year'!$A:$A,0),1)</f>
        <v>219282837</v>
      </c>
      <c r="K216" s="386">
        <f>INDEX('CTR1 Data Previous Year'!$F:$F,MATCH($D216,'CTR1 Data Previous Year'!$A:$A,0),1)</f>
        <v>0</v>
      </c>
      <c r="L216" s="465">
        <f>INDEX('CTR1 Data Previous Year'!$G:$G,MATCH($D216,'CTR1 Data Previous Year'!$A:$A,0),1)</f>
        <v>123007.19</v>
      </c>
      <c r="M216" s="455">
        <f>INDEX('CTR1 Data Previous Year'!$H:$H,MATCH($D216,'CTR1 Data Previous Year'!$A:$A,0),1)</f>
        <v>0.98199999999999998</v>
      </c>
      <c r="N216" s="465">
        <f>INDEX('CTR1 Data Previous Year'!$I:$I,MATCH($D216,'CTR1 Data Previous Year'!$A:$A,0),1)</f>
        <v>580.98</v>
      </c>
      <c r="O216" s="160" t="s">
        <v>129</v>
      </c>
      <c r="P216" s="817"/>
      <c r="Q216" s="820" t="s">
        <v>550</v>
      </c>
      <c r="R216" s="817" t="s">
        <v>551</v>
      </c>
      <c r="S216" s="821" t="s">
        <v>1171</v>
      </c>
      <c r="T216" s="817" t="s">
        <v>1172</v>
      </c>
      <c r="U216" s="160"/>
      <c r="V216" s="817"/>
      <c r="W216" s="465">
        <f>INDEX('CTR1 Data Previous Year'!$J:$J,MATCH($D216,'CTR1 Data Previous Year'!$A:$A,0),1)</f>
        <v>121374.04</v>
      </c>
      <c r="X216" s="465">
        <f>INDEX('CTR1 Data Previous Year'!$K:$K,MATCH($D216,'CTR1 Data Previous Year'!$A:$A,0),1)</f>
        <v>1907.85</v>
      </c>
      <c r="Y216" s="465">
        <f>INDEX('CTR1 Data Previous Year'!$L:$L,MATCH($D216,'CTR1 Data Previous Year'!$A:$A,0),1)</f>
        <v>1806.67</v>
      </c>
      <c r="Z216" s="836" t="str">
        <f t="shared" si="36"/>
        <v>Y</v>
      </c>
      <c r="AA216" s="837" t="str">
        <f t="shared" si="37"/>
        <v>N</v>
      </c>
      <c r="AB216" s="838">
        <f t="shared" si="38"/>
        <v>1806.67</v>
      </c>
      <c r="AC216" s="868">
        <f t="shared" si="39"/>
        <v>9.0000000000000011E-2</v>
      </c>
      <c r="AD216" s="876">
        <f t="shared" si="40"/>
        <v>0</v>
      </c>
      <c r="AE216" s="838">
        <f t="shared" si="41"/>
        <v>1897.0035000000003</v>
      </c>
      <c r="AF216" s="838">
        <f t="shared" si="42"/>
        <v>1806.67</v>
      </c>
      <c r="AG216" s="839">
        <f t="shared" si="44"/>
        <v>1969.2703000000001</v>
      </c>
      <c r="AH216" s="839">
        <f t="shared" si="45"/>
        <v>1969.27</v>
      </c>
      <c r="AI216" s="840">
        <f t="shared" si="43"/>
        <v>36.130000000000003</v>
      </c>
      <c r="AJ216" s="841">
        <f t="shared" si="46"/>
        <v>1.9998118084652981E-2</v>
      </c>
      <c r="AK216" s="446"/>
      <c r="AL216" s="446"/>
      <c r="AM216" s="446"/>
      <c r="AN216" s="446"/>
    </row>
    <row r="217" spans="1:52" ht="15" customHeight="1" x14ac:dyDescent="0.25">
      <c r="A217" s="370">
        <v>212</v>
      </c>
      <c r="B217" s="371" t="s">
        <v>1173</v>
      </c>
      <c r="C217" s="370" t="s">
        <v>1174</v>
      </c>
      <c r="D217" s="370" t="s">
        <v>1175</v>
      </c>
      <c r="E217" s="370" t="s">
        <v>339</v>
      </c>
      <c r="F217" s="370" t="s">
        <v>322</v>
      </c>
      <c r="G217" s="386">
        <f>INDEX('CTR1 Data Previous Year'!$B:$B,MATCH($D217,'CTR1 Data Previous Year'!$A:$A,0),1)</f>
        <v>86754680</v>
      </c>
      <c r="H217" s="386">
        <f>INDEX('CTR1 Data Previous Year'!$C:$C,MATCH($D217,'CTR1 Data Previous Year'!$A:$A,0),1)</f>
        <v>0</v>
      </c>
      <c r="I217" s="386">
        <f>INDEX('CTR1 Data Previous Year'!$D:$D,MATCH($D217,'CTR1 Data Previous Year'!$A:$A,0),1)</f>
        <v>263801</v>
      </c>
      <c r="J217" s="386">
        <f>INDEX('CTR1 Data Previous Year'!$E:$E,MATCH($D217,'CTR1 Data Previous Year'!$A:$A,0),1)</f>
        <v>86490879</v>
      </c>
      <c r="K217" s="386">
        <f>INDEX('CTR1 Data Previous Year'!$F:$F,MATCH($D217,'CTR1 Data Previous Year'!$A:$A,0),1)</f>
        <v>0</v>
      </c>
      <c r="L217" s="465">
        <f>INDEX('CTR1 Data Previous Year'!$G:$G,MATCH($D217,'CTR1 Data Previous Year'!$A:$A,0),1)</f>
        <v>45776</v>
      </c>
      <c r="M217" s="455">
        <f>INDEX('CTR1 Data Previous Year'!$H:$H,MATCH($D217,'CTR1 Data Previous Year'!$A:$A,0),1)</f>
        <v>0.98250000000000004</v>
      </c>
      <c r="N217" s="465">
        <f>INDEX('CTR1 Data Previous Year'!$I:$I,MATCH($D217,'CTR1 Data Previous Year'!$A:$A,0),1)</f>
        <v>0</v>
      </c>
      <c r="O217" s="160" t="s">
        <v>129</v>
      </c>
      <c r="P217" s="817"/>
      <c r="Q217" s="820" t="s">
        <v>500</v>
      </c>
      <c r="R217" s="817" t="s">
        <v>501</v>
      </c>
      <c r="S217" s="821" t="s">
        <v>502</v>
      </c>
      <c r="T217" s="817" t="s">
        <v>503</v>
      </c>
      <c r="U217" s="160"/>
      <c r="V217" s="817"/>
      <c r="W217" s="465">
        <f>INDEX('CTR1 Data Previous Year'!$J:$J,MATCH($D217,'CTR1 Data Previous Year'!$A:$A,0),1)</f>
        <v>44974.92</v>
      </c>
      <c r="X217" s="465">
        <f>INDEX('CTR1 Data Previous Year'!$K:$K,MATCH($D217,'CTR1 Data Previous Year'!$A:$A,0),1)</f>
        <v>1928.96</v>
      </c>
      <c r="Y217" s="465">
        <f>INDEX('CTR1 Data Previous Year'!$L:$L,MATCH($D217,'CTR1 Data Previous Year'!$A:$A,0),1)</f>
        <v>1923.09</v>
      </c>
      <c r="Z217" s="836" t="str">
        <f t="shared" si="36"/>
        <v>N</v>
      </c>
      <c r="AA217" s="837" t="str">
        <f t="shared" si="37"/>
        <v>N</v>
      </c>
      <c r="AB217" s="838">
        <f t="shared" si="38"/>
        <v>1923.09</v>
      </c>
      <c r="AC217" s="868">
        <f t="shared" si="39"/>
        <v>0</v>
      </c>
      <c r="AD217" s="876">
        <f t="shared" si="40"/>
        <v>0</v>
      </c>
      <c r="AE217" s="838">
        <f t="shared" si="41"/>
        <v>2019.2445</v>
      </c>
      <c r="AF217" s="838">
        <f t="shared" si="42"/>
        <v>1923.09</v>
      </c>
      <c r="AG217" s="839">
        <f t="shared" si="44"/>
        <v>0</v>
      </c>
      <c r="AH217" s="839">
        <f t="shared" si="45"/>
        <v>2019.24</v>
      </c>
      <c r="AI217" s="840">
        <f t="shared" si="43"/>
        <v>38.46</v>
      </c>
      <c r="AJ217" s="841">
        <f t="shared" si="46"/>
        <v>1.9999064006364756E-2</v>
      </c>
      <c r="AK217" s="446"/>
      <c r="AL217" s="446"/>
      <c r="AM217" s="446"/>
      <c r="AN217" s="446"/>
    </row>
    <row r="218" spans="1:52" ht="15" customHeight="1" x14ac:dyDescent="0.25">
      <c r="A218" s="370">
        <v>213</v>
      </c>
      <c r="B218" s="371" t="s">
        <v>1176</v>
      </c>
      <c r="C218" s="370" t="s">
        <v>1177</v>
      </c>
      <c r="D218" s="370" t="s">
        <v>1178</v>
      </c>
      <c r="E218" s="370" t="s">
        <v>353</v>
      </c>
      <c r="F218" s="370" t="s">
        <v>444</v>
      </c>
      <c r="G218" s="386">
        <f>INDEX('CTR1 Data Previous Year'!$B:$B,MATCH($D218,'CTR1 Data Previous Year'!$A:$A,0),1)</f>
        <v>143371760</v>
      </c>
      <c r="H218" s="386">
        <f>INDEX('CTR1 Data Previous Year'!$C:$C,MATCH($D218,'CTR1 Data Previous Year'!$A:$A,0),1)</f>
        <v>0</v>
      </c>
      <c r="I218" s="386">
        <f>INDEX('CTR1 Data Previous Year'!$D:$D,MATCH($D218,'CTR1 Data Previous Year'!$A:$A,0),1)</f>
        <v>1811140.19</v>
      </c>
      <c r="J218" s="386">
        <f>INDEX('CTR1 Data Previous Year'!$E:$E,MATCH($D218,'CTR1 Data Previous Year'!$A:$A,0),1)</f>
        <v>141560619.81</v>
      </c>
      <c r="K218" s="386">
        <f>INDEX('CTR1 Data Previous Year'!$F:$F,MATCH($D218,'CTR1 Data Previous Year'!$A:$A,0),1)</f>
        <v>9120283</v>
      </c>
      <c r="L218" s="465">
        <f>INDEX('CTR1 Data Previous Year'!$G:$G,MATCH($D218,'CTR1 Data Previous Year'!$A:$A,0),1)</f>
        <v>81602.06</v>
      </c>
      <c r="M218" s="455">
        <f>INDEX('CTR1 Data Previous Year'!$H:$H,MATCH($D218,'CTR1 Data Previous Year'!$A:$A,0),1)</f>
        <v>0.98809999999999998</v>
      </c>
      <c r="N218" s="465">
        <f>INDEX('CTR1 Data Previous Year'!$I:$I,MATCH($D218,'CTR1 Data Previous Year'!$A:$A,0),1)</f>
        <v>0</v>
      </c>
      <c r="O218" s="160" t="s">
        <v>129</v>
      </c>
      <c r="P218" s="817"/>
      <c r="Q218" s="820" t="s">
        <v>445</v>
      </c>
      <c r="R218" s="817" t="s">
        <v>446</v>
      </c>
      <c r="S218" s="821" t="s">
        <v>447</v>
      </c>
      <c r="T218" s="817" t="s">
        <v>448</v>
      </c>
      <c r="U218" s="822" t="s">
        <v>449</v>
      </c>
      <c r="V218" s="817" t="s">
        <v>450</v>
      </c>
      <c r="W218" s="465">
        <f>INDEX('CTR1 Data Previous Year'!$J:$J,MATCH($D218,'CTR1 Data Previous Year'!$A:$A,0),1)</f>
        <v>80631</v>
      </c>
      <c r="X218" s="465">
        <f>INDEX('CTR1 Data Previous Year'!$K:$K,MATCH($D218,'CTR1 Data Previous Year'!$A:$A,0),1)</f>
        <v>1778.12</v>
      </c>
      <c r="Y218" s="465">
        <f>INDEX('CTR1 Data Previous Year'!$L:$L,MATCH($D218,'CTR1 Data Previous Year'!$A:$A,0),1)</f>
        <v>1755.66</v>
      </c>
      <c r="Z218" s="836" t="str">
        <f t="shared" si="36"/>
        <v>N</v>
      </c>
      <c r="AA218" s="837" t="str">
        <f t="shared" si="37"/>
        <v>N</v>
      </c>
      <c r="AB218" s="838">
        <f t="shared" si="38"/>
        <v>1755.66</v>
      </c>
      <c r="AC218" s="868">
        <f t="shared" si="39"/>
        <v>0</v>
      </c>
      <c r="AD218" s="876">
        <f t="shared" si="40"/>
        <v>0</v>
      </c>
      <c r="AE218" s="838">
        <f t="shared" si="41"/>
        <v>1843.4430000000002</v>
      </c>
      <c r="AF218" s="838">
        <f t="shared" si="42"/>
        <v>1755.66</v>
      </c>
      <c r="AG218" s="839">
        <f t="shared" si="44"/>
        <v>0</v>
      </c>
      <c r="AH218" s="839">
        <f t="shared" si="45"/>
        <v>1843.44</v>
      </c>
      <c r="AI218" s="840">
        <f t="shared" si="43"/>
        <v>35.11</v>
      </c>
      <c r="AJ218" s="841">
        <f t="shared" si="46"/>
        <v>1.9998177323627582E-2</v>
      </c>
      <c r="AK218" s="446"/>
      <c r="AL218" s="446"/>
      <c r="AM218" s="446"/>
      <c r="AN218" s="446"/>
    </row>
    <row r="219" spans="1:52" s="177" customFormat="1" ht="15" customHeight="1" x14ac:dyDescent="0.25">
      <c r="A219" s="370">
        <v>214</v>
      </c>
      <c r="B219" s="383" t="s">
        <v>1179</v>
      </c>
      <c r="C219" s="382" t="s">
        <v>1180</v>
      </c>
      <c r="D219" s="382" t="s">
        <v>1181</v>
      </c>
      <c r="E219" s="370" t="s">
        <v>339</v>
      </c>
      <c r="F219" s="370" t="s">
        <v>425</v>
      </c>
      <c r="G219" s="386">
        <f>INDEX('CTR1 Data Previous Year'!$B:$B,MATCH($D219,'CTR1 Data Previous Year'!$A:$A,0),1)</f>
        <v>433625094</v>
      </c>
      <c r="H219" s="386">
        <f>INDEX('CTR1 Data Previous Year'!$C:$C,MATCH($D219,'CTR1 Data Previous Year'!$A:$A,0),1)</f>
        <v>151509</v>
      </c>
      <c r="I219" s="386">
        <f>INDEX('CTR1 Data Previous Year'!$D:$D,MATCH($D219,'CTR1 Data Previous Year'!$A:$A,0),1)</f>
        <v>38761591</v>
      </c>
      <c r="J219" s="386">
        <f>INDEX('CTR1 Data Previous Year'!$E:$E,MATCH($D219,'CTR1 Data Previous Year'!$A:$A,0),1)</f>
        <v>394863503</v>
      </c>
      <c r="K219" s="386">
        <f>INDEX('CTR1 Data Previous Year'!$F:$F,MATCH($D219,'CTR1 Data Previous Year'!$A:$A,0),1)</f>
        <v>3369371</v>
      </c>
      <c r="L219" s="465">
        <f>INDEX('CTR1 Data Previous Year'!$G:$G,MATCH($D219,'CTR1 Data Previous Year'!$A:$A,0),1)</f>
        <v>216261.39</v>
      </c>
      <c r="M219" s="455">
        <f>INDEX('CTR1 Data Previous Year'!$H:$H,MATCH($D219,'CTR1 Data Previous Year'!$A:$A,0),1)</f>
        <v>0.98</v>
      </c>
      <c r="N219" s="465">
        <f>INDEX('CTR1 Data Previous Year'!$I:$I,MATCH($D219,'CTR1 Data Previous Year'!$A:$A,0),1)</f>
        <v>547.62</v>
      </c>
      <c r="O219" s="160"/>
      <c r="P219" s="817"/>
      <c r="Q219" t="s">
        <v>426</v>
      </c>
      <c r="R219" s="817" t="s">
        <v>427</v>
      </c>
      <c r="S219" s="26" t="s">
        <v>729</v>
      </c>
      <c r="T219" s="817" t="s">
        <v>730</v>
      </c>
      <c r="U219" s="160"/>
      <c r="V219" s="817"/>
      <c r="W219" s="465">
        <f>INDEX('CTR1 Data Previous Year'!$J:$J,MATCH($D219,'CTR1 Data Previous Year'!$A:$A,0),1)</f>
        <v>212483.78</v>
      </c>
      <c r="X219" s="465">
        <f>INDEX('CTR1 Data Previous Year'!$K:$K,MATCH($D219,'CTR1 Data Previous Year'!$A:$A,0),1)</f>
        <v>2040.74</v>
      </c>
      <c r="Y219" s="465">
        <f>INDEX('CTR1 Data Previous Year'!$L:$L,MATCH($D219,'CTR1 Data Previous Year'!$A:$A,0),1)</f>
        <v>1858.32</v>
      </c>
      <c r="Z219" s="836" t="str">
        <f t="shared" si="36"/>
        <v>N</v>
      </c>
      <c r="AA219" s="837" t="str">
        <f t="shared" si="37"/>
        <v>N</v>
      </c>
      <c r="AB219" s="838">
        <f t="shared" si="38"/>
        <v>1858.32</v>
      </c>
      <c r="AC219" s="868">
        <f t="shared" si="39"/>
        <v>0</v>
      </c>
      <c r="AD219" s="876">
        <f t="shared" si="40"/>
        <v>0</v>
      </c>
      <c r="AE219" s="838">
        <f t="shared" si="41"/>
        <v>1951.2360000000001</v>
      </c>
      <c r="AF219" s="838">
        <f t="shared" si="42"/>
        <v>1858.32</v>
      </c>
      <c r="AG219" s="839">
        <f t="shared" si="44"/>
        <v>0</v>
      </c>
      <c r="AH219" s="839">
        <f t="shared" si="45"/>
        <v>1951.24</v>
      </c>
      <c r="AI219" s="840">
        <f t="shared" si="43"/>
        <v>37.17</v>
      </c>
      <c r="AJ219" s="841">
        <f t="shared" si="46"/>
        <v>2.0001937233630376E-2</v>
      </c>
      <c r="AK219" s="446"/>
      <c r="AL219" s="446"/>
      <c r="AM219" s="446"/>
      <c r="AN219" s="446"/>
      <c r="AY219" s="444"/>
      <c r="AZ219"/>
    </row>
    <row r="220" spans="1:52" ht="15" customHeight="1" x14ac:dyDescent="0.25">
      <c r="A220" s="370">
        <v>215</v>
      </c>
      <c r="B220" s="371" t="s">
        <v>1182</v>
      </c>
      <c r="C220" s="370" t="s">
        <v>1183</v>
      </c>
      <c r="D220" s="370" t="s">
        <v>1184</v>
      </c>
      <c r="E220" s="370" t="s">
        <v>321</v>
      </c>
      <c r="F220" s="370" t="s">
        <v>368</v>
      </c>
      <c r="G220" s="386">
        <f>INDEX('CTR1 Data Previous Year'!$B:$B,MATCH($D220,'CTR1 Data Previous Year'!$A:$A,0),1)</f>
        <v>20349474</v>
      </c>
      <c r="H220" s="386">
        <f>INDEX('CTR1 Data Previous Year'!$C:$C,MATCH($D220,'CTR1 Data Previous Year'!$A:$A,0),1)</f>
        <v>0</v>
      </c>
      <c r="I220" s="386">
        <f>INDEX('CTR1 Data Previous Year'!$D:$D,MATCH($D220,'CTR1 Data Previous Year'!$A:$A,0),1)</f>
        <v>8094136</v>
      </c>
      <c r="J220" s="386">
        <f>INDEX('CTR1 Data Previous Year'!$E:$E,MATCH($D220,'CTR1 Data Previous Year'!$A:$A,0),1)</f>
        <v>12255338</v>
      </c>
      <c r="K220" s="386">
        <f>INDEX('CTR1 Data Previous Year'!$F:$F,MATCH($D220,'CTR1 Data Previous Year'!$A:$A,0),1)</f>
        <v>279070</v>
      </c>
      <c r="L220" s="465">
        <f>INDEX('CTR1 Data Previous Year'!$G:$G,MATCH($D220,'CTR1 Data Previous Year'!$A:$A,0),1)</f>
        <v>70163.88</v>
      </c>
      <c r="M220" s="455">
        <f>INDEX('CTR1 Data Previous Year'!$H:$H,MATCH($D220,'CTR1 Data Previous Year'!$A:$A,0),1)</f>
        <v>0.99399999999999999</v>
      </c>
      <c r="N220" s="465">
        <f>INDEX('CTR1 Data Previous Year'!$I:$I,MATCH($D220,'CTR1 Data Previous Year'!$A:$A,0),1)</f>
        <v>127.9</v>
      </c>
      <c r="O220" s="160" t="s">
        <v>583</v>
      </c>
      <c r="P220" s="817" t="s">
        <v>584</v>
      </c>
      <c r="Q220" s="820" t="s">
        <v>585</v>
      </c>
      <c r="R220" s="817" t="s">
        <v>586</v>
      </c>
      <c r="S220" s="821" t="s">
        <v>587</v>
      </c>
      <c r="T220" s="817" t="s">
        <v>588</v>
      </c>
      <c r="U220" s="822" t="s">
        <v>589</v>
      </c>
      <c r="V220" s="817" t="s">
        <v>590</v>
      </c>
      <c r="W220" s="465">
        <f>INDEX('CTR1 Data Previous Year'!$J:$J,MATCH($D220,'CTR1 Data Previous Year'!$A:$A,0),1)</f>
        <v>69870.8</v>
      </c>
      <c r="X220" s="465">
        <f>INDEX('CTR1 Data Previous Year'!$K:$K,MATCH($D220,'CTR1 Data Previous Year'!$A:$A,0),1)</f>
        <v>291.24</v>
      </c>
      <c r="Y220" s="465">
        <f>INDEX('CTR1 Data Previous Year'!$L:$L,MATCH($D220,'CTR1 Data Previous Year'!$A:$A,0),1)</f>
        <v>175.4</v>
      </c>
      <c r="Z220" s="836" t="str">
        <f t="shared" si="36"/>
        <v>N</v>
      </c>
      <c r="AA220" s="837" t="str">
        <f t="shared" si="37"/>
        <v>N</v>
      </c>
      <c r="AB220" s="838">
        <f t="shared" si="38"/>
        <v>175.4</v>
      </c>
      <c r="AC220" s="868">
        <f t="shared" si="39"/>
        <v>0</v>
      </c>
      <c r="AD220" s="876">
        <f t="shared" si="40"/>
        <v>0</v>
      </c>
      <c r="AE220" s="838">
        <f t="shared" si="41"/>
        <v>180.66200000000001</v>
      </c>
      <c r="AF220" s="838">
        <f t="shared" si="42"/>
        <v>180.4</v>
      </c>
      <c r="AG220" s="839">
        <f t="shared" si="44"/>
        <v>0</v>
      </c>
      <c r="AH220" s="839">
        <f t="shared" si="45"/>
        <v>180.66</v>
      </c>
      <c r="AI220" s="840">
        <f t="shared" si="43"/>
        <v>0</v>
      </c>
      <c r="AJ220" s="841">
        <f t="shared" si="46"/>
        <v>0</v>
      </c>
      <c r="AK220" s="446"/>
      <c r="AL220" s="446"/>
      <c r="AM220" s="446"/>
      <c r="AN220" s="446"/>
    </row>
    <row r="221" spans="1:52" ht="15" customHeight="1" x14ac:dyDescent="0.25">
      <c r="A221" s="370">
        <v>216</v>
      </c>
      <c r="B221" s="371" t="s">
        <v>1185</v>
      </c>
      <c r="C221" s="370" t="s">
        <v>1186</v>
      </c>
      <c r="D221" s="370" t="s">
        <v>1187</v>
      </c>
      <c r="E221" s="370" t="s">
        <v>321</v>
      </c>
      <c r="F221" s="370" t="s">
        <v>330</v>
      </c>
      <c r="G221" s="386">
        <f>INDEX('CTR1 Data Previous Year'!$B:$B,MATCH($D221,'CTR1 Data Previous Year'!$A:$A,0),1)</f>
        <v>8580953</v>
      </c>
      <c r="H221" s="386">
        <f>INDEX('CTR1 Data Previous Year'!$C:$C,MATCH($D221,'CTR1 Data Previous Year'!$A:$A,0),1)</f>
        <v>0</v>
      </c>
      <c r="I221" s="386">
        <f>INDEX('CTR1 Data Previous Year'!$D:$D,MATCH($D221,'CTR1 Data Previous Year'!$A:$A,0),1)</f>
        <v>1211365</v>
      </c>
      <c r="J221" s="386">
        <f>INDEX('CTR1 Data Previous Year'!$E:$E,MATCH($D221,'CTR1 Data Previous Year'!$A:$A,0),1)</f>
        <v>7369588</v>
      </c>
      <c r="K221" s="386">
        <f>INDEX('CTR1 Data Previous Year'!$F:$F,MATCH($D221,'CTR1 Data Previous Year'!$A:$A,0),1)</f>
        <v>0</v>
      </c>
      <c r="L221" s="465">
        <f>INDEX('CTR1 Data Previous Year'!$G:$G,MATCH($D221,'CTR1 Data Previous Year'!$A:$A,0),1)</f>
        <v>40185.86</v>
      </c>
      <c r="M221" s="455">
        <f>INDEX('CTR1 Data Previous Year'!$H:$H,MATCH($D221,'CTR1 Data Previous Year'!$A:$A,0),1)</f>
        <v>0.99</v>
      </c>
      <c r="N221" s="465">
        <f>INDEX('CTR1 Data Previous Year'!$I:$I,MATCH($D221,'CTR1 Data Previous Year'!$A:$A,0),1)</f>
        <v>0</v>
      </c>
      <c r="O221" s="160" t="s">
        <v>331</v>
      </c>
      <c r="P221" s="817" t="s">
        <v>332</v>
      </c>
      <c r="Q221" s="820" t="s">
        <v>333</v>
      </c>
      <c r="R221" s="817" t="s">
        <v>334</v>
      </c>
      <c r="S221" s="821" t="s">
        <v>335</v>
      </c>
      <c r="T221" s="817" t="s">
        <v>336</v>
      </c>
      <c r="U221" s="822" t="s">
        <v>337</v>
      </c>
      <c r="V221" s="817" t="s">
        <v>338</v>
      </c>
      <c r="W221" s="465">
        <f>INDEX('CTR1 Data Previous Year'!$J:$J,MATCH($D221,'CTR1 Data Previous Year'!$A:$A,0),1)</f>
        <v>39784</v>
      </c>
      <c r="X221" s="465">
        <f>INDEX('CTR1 Data Previous Year'!$K:$K,MATCH($D221,'CTR1 Data Previous Year'!$A:$A,0),1)</f>
        <v>215.69</v>
      </c>
      <c r="Y221" s="465">
        <f>INDEX('CTR1 Data Previous Year'!$L:$L,MATCH($D221,'CTR1 Data Previous Year'!$A:$A,0),1)</f>
        <v>185.24</v>
      </c>
      <c r="Z221" s="836" t="str">
        <f t="shared" si="36"/>
        <v>N</v>
      </c>
      <c r="AA221" s="837" t="str">
        <f t="shared" si="37"/>
        <v>N</v>
      </c>
      <c r="AB221" s="838">
        <f t="shared" si="38"/>
        <v>185.24</v>
      </c>
      <c r="AC221" s="868">
        <f t="shared" si="39"/>
        <v>0</v>
      </c>
      <c r="AD221" s="876">
        <f t="shared" si="40"/>
        <v>0</v>
      </c>
      <c r="AE221" s="838">
        <f t="shared" si="41"/>
        <v>190.7972</v>
      </c>
      <c r="AF221" s="838">
        <f t="shared" si="42"/>
        <v>190.24</v>
      </c>
      <c r="AG221" s="839">
        <f t="shared" si="44"/>
        <v>0</v>
      </c>
      <c r="AH221" s="839">
        <f t="shared" si="45"/>
        <v>190.8</v>
      </c>
      <c r="AI221" s="840">
        <f t="shared" si="43"/>
        <v>0</v>
      </c>
      <c r="AJ221" s="841">
        <f t="shared" si="46"/>
        <v>0</v>
      </c>
      <c r="AK221" s="446"/>
      <c r="AL221" s="446"/>
      <c r="AM221" s="446"/>
      <c r="AN221" s="446"/>
    </row>
    <row r="222" spans="1:52" ht="15" customHeight="1" x14ac:dyDescent="0.25">
      <c r="A222" s="370">
        <v>217</v>
      </c>
      <c r="B222" s="371" t="s">
        <v>1188</v>
      </c>
      <c r="C222" s="370" t="s">
        <v>1189</v>
      </c>
      <c r="D222" s="370" t="s">
        <v>1190</v>
      </c>
      <c r="E222" s="370" t="s">
        <v>339</v>
      </c>
      <c r="F222" s="370" t="s">
        <v>425</v>
      </c>
      <c r="G222" s="386">
        <f>INDEX('CTR1 Data Previous Year'!$B:$B,MATCH($D222,'CTR1 Data Previous Year'!$A:$A,0),1)</f>
        <v>211850196</v>
      </c>
      <c r="H222" s="386">
        <f>INDEX('CTR1 Data Previous Year'!$C:$C,MATCH($D222,'CTR1 Data Previous Year'!$A:$A,0),1)</f>
        <v>2737814</v>
      </c>
      <c r="I222" s="386">
        <f>INDEX('CTR1 Data Previous Year'!$D:$D,MATCH($D222,'CTR1 Data Previous Year'!$A:$A,0),1)</f>
        <v>11704085</v>
      </c>
      <c r="J222" s="386">
        <f>INDEX('CTR1 Data Previous Year'!$E:$E,MATCH($D222,'CTR1 Data Previous Year'!$A:$A,0),1)</f>
        <v>200146111</v>
      </c>
      <c r="K222" s="386">
        <f>INDEX('CTR1 Data Previous Year'!$F:$F,MATCH($D222,'CTR1 Data Previous Year'!$A:$A,0),1)</f>
        <v>826683</v>
      </c>
      <c r="L222" s="465">
        <f>INDEX('CTR1 Data Previous Year'!$G:$G,MATCH($D222,'CTR1 Data Previous Year'!$A:$A,0),1)</f>
        <v>104906.44</v>
      </c>
      <c r="M222" s="455">
        <f>INDEX('CTR1 Data Previous Year'!$H:$H,MATCH($D222,'CTR1 Data Previous Year'!$A:$A,0),1)</f>
        <v>0.98499999999999999</v>
      </c>
      <c r="N222" s="465">
        <f>INDEX('CTR1 Data Previous Year'!$I:$I,MATCH($D222,'CTR1 Data Previous Year'!$A:$A,0),1)</f>
        <v>298.2</v>
      </c>
      <c r="O222" s="160" t="s">
        <v>129</v>
      </c>
      <c r="P222" s="817"/>
      <c r="Q222" s="820" t="s">
        <v>426</v>
      </c>
      <c r="R222" s="817" t="s">
        <v>427</v>
      </c>
      <c r="S222" s="821" t="s">
        <v>428</v>
      </c>
      <c r="T222" s="817" t="s">
        <v>429</v>
      </c>
      <c r="U222" s="160"/>
      <c r="V222" s="817"/>
      <c r="W222" s="465">
        <f>INDEX('CTR1 Data Previous Year'!$J:$J,MATCH($D222,'CTR1 Data Previous Year'!$A:$A,0),1)</f>
        <v>103631.03999999999</v>
      </c>
      <c r="X222" s="465">
        <f>INDEX('CTR1 Data Previous Year'!$K:$K,MATCH($D222,'CTR1 Data Previous Year'!$A:$A,0),1)</f>
        <v>2044.27</v>
      </c>
      <c r="Y222" s="465">
        <f>INDEX('CTR1 Data Previous Year'!$L:$L,MATCH($D222,'CTR1 Data Previous Year'!$A:$A,0),1)</f>
        <v>1931.33</v>
      </c>
      <c r="Z222" s="836" t="str">
        <f t="shared" si="36"/>
        <v>N</v>
      </c>
      <c r="AA222" s="837" t="str">
        <f t="shared" si="37"/>
        <v>N</v>
      </c>
      <c r="AB222" s="838">
        <f t="shared" si="38"/>
        <v>1931.33</v>
      </c>
      <c r="AC222" s="868">
        <f t="shared" si="39"/>
        <v>0</v>
      </c>
      <c r="AD222" s="876">
        <f t="shared" si="40"/>
        <v>0</v>
      </c>
      <c r="AE222" s="838">
        <f t="shared" si="41"/>
        <v>2027.8965000000001</v>
      </c>
      <c r="AF222" s="838">
        <f t="shared" si="42"/>
        <v>1931.33</v>
      </c>
      <c r="AG222" s="839">
        <f t="shared" si="44"/>
        <v>0</v>
      </c>
      <c r="AH222" s="839">
        <f t="shared" si="45"/>
        <v>2027.9</v>
      </c>
      <c r="AI222" s="840">
        <f t="shared" si="43"/>
        <v>38.630000000000003</v>
      </c>
      <c r="AJ222" s="841">
        <f t="shared" si="46"/>
        <v>2.0001760444874776E-2</v>
      </c>
      <c r="AK222" s="446"/>
      <c r="AL222" s="446"/>
      <c r="AM222" s="446"/>
      <c r="AN222" s="446"/>
    </row>
    <row r="223" spans="1:52" ht="15" customHeight="1" x14ac:dyDescent="0.25">
      <c r="A223" s="370">
        <v>218</v>
      </c>
      <c r="B223" s="371" t="s">
        <v>1191</v>
      </c>
      <c r="C223" s="370" t="s">
        <v>1192</v>
      </c>
      <c r="D223" s="370" t="s">
        <v>1193</v>
      </c>
      <c r="E223" s="370" t="s">
        <v>321</v>
      </c>
      <c r="F223" s="370" t="s">
        <v>425</v>
      </c>
      <c r="G223" s="386">
        <f>INDEX('CTR1 Data Previous Year'!$B:$B,MATCH($D223,'CTR1 Data Previous Year'!$A:$A,0),1)</f>
        <v>13192323</v>
      </c>
      <c r="H223" s="386">
        <f>INDEX('CTR1 Data Previous Year'!$C:$C,MATCH($D223,'CTR1 Data Previous Year'!$A:$A,0),1)</f>
        <v>0</v>
      </c>
      <c r="I223" s="386">
        <f>INDEX('CTR1 Data Previous Year'!$D:$D,MATCH($D223,'CTR1 Data Previous Year'!$A:$A,0),1)</f>
        <v>4474918</v>
      </c>
      <c r="J223" s="386">
        <f>INDEX('CTR1 Data Previous Year'!$E:$E,MATCH($D223,'CTR1 Data Previous Year'!$A:$A,0),1)</f>
        <v>8717405</v>
      </c>
      <c r="K223" s="386">
        <f>INDEX('CTR1 Data Previous Year'!$F:$F,MATCH($D223,'CTR1 Data Previous Year'!$A:$A,0),1)</f>
        <v>0</v>
      </c>
      <c r="L223" s="465">
        <f>INDEX('CTR1 Data Previous Year'!$G:$G,MATCH($D223,'CTR1 Data Previous Year'!$A:$A,0),1)</f>
        <v>45017.29</v>
      </c>
      <c r="M223" s="455">
        <f>INDEX('CTR1 Data Previous Year'!$H:$H,MATCH($D223,'CTR1 Data Previous Year'!$A:$A,0),1)</f>
        <v>0.98250000000000004</v>
      </c>
      <c r="N223" s="465">
        <f>INDEX('CTR1 Data Previous Year'!$I:$I,MATCH($D223,'CTR1 Data Previous Year'!$A:$A,0),1)</f>
        <v>97.8</v>
      </c>
      <c r="O223" s="160" t="s">
        <v>727</v>
      </c>
      <c r="P223" s="817" t="s">
        <v>728</v>
      </c>
      <c r="Q223" s="820" t="s">
        <v>658</v>
      </c>
      <c r="R223" s="817" t="s">
        <v>659</v>
      </c>
      <c r="S223" s="821" t="s">
        <v>729</v>
      </c>
      <c r="T223" s="817" t="s">
        <v>730</v>
      </c>
      <c r="U223" s="160"/>
      <c r="V223" s="817"/>
      <c r="W223" s="465">
        <f>INDEX('CTR1 Data Previous Year'!$J:$J,MATCH($D223,'CTR1 Data Previous Year'!$A:$A,0),1)</f>
        <v>44327.29</v>
      </c>
      <c r="X223" s="465">
        <f>INDEX('CTR1 Data Previous Year'!$K:$K,MATCH($D223,'CTR1 Data Previous Year'!$A:$A,0),1)</f>
        <v>297.61</v>
      </c>
      <c r="Y223" s="465">
        <f>INDEX('CTR1 Data Previous Year'!$L:$L,MATCH($D223,'CTR1 Data Previous Year'!$A:$A,0),1)</f>
        <v>196.66</v>
      </c>
      <c r="Z223" s="836" t="str">
        <f t="shared" si="36"/>
        <v>N</v>
      </c>
      <c r="AA223" s="837" t="str">
        <f t="shared" si="37"/>
        <v>N</v>
      </c>
      <c r="AB223" s="838">
        <f t="shared" si="38"/>
        <v>196.66</v>
      </c>
      <c r="AC223" s="868">
        <f t="shared" si="39"/>
        <v>0</v>
      </c>
      <c r="AD223" s="876">
        <f t="shared" si="40"/>
        <v>0</v>
      </c>
      <c r="AE223" s="838">
        <f t="shared" si="41"/>
        <v>202.5598</v>
      </c>
      <c r="AF223" s="838">
        <f t="shared" si="42"/>
        <v>201.66</v>
      </c>
      <c r="AG223" s="839">
        <f t="shared" si="44"/>
        <v>0</v>
      </c>
      <c r="AH223" s="839">
        <f t="shared" si="45"/>
        <v>202.56</v>
      </c>
      <c r="AI223" s="840">
        <f t="shared" si="43"/>
        <v>0</v>
      </c>
      <c r="AJ223" s="841">
        <f t="shared" si="46"/>
        <v>0</v>
      </c>
      <c r="AK223" s="446"/>
      <c r="AL223" s="446"/>
      <c r="AM223" s="446"/>
      <c r="AN223" s="446"/>
    </row>
    <row r="224" spans="1:52" ht="15" customHeight="1" x14ac:dyDescent="0.25">
      <c r="A224" s="370">
        <v>219</v>
      </c>
      <c r="B224" s="371" t="s">
        <v>1194</v>
      </c>
      <c r="C224" s="370" t="s">
        <v>1195</v>
      </c>
      <c r="D224" s="370" t="s">
        <v>1196</v>
      </c>
      <c r="E224" s="370" t="s">
        <v>321</v>
      </c>
      <c r="F224" s="370" t="s">
        <v>330</v>
      </c>
      <c r="G224" s="386">
        <f>INDEX('CTR1 Data Previous Year'!$B:$B,MATCH($D224,'CTR1 Data Previous Year'!$A:$A,0),1)</f>
        <v>8071966</v>
      </c>
      <c r="H224" s="386">
        <f>INDEX('CTR1 Data Previous Year'!$C:$C,MATCH($D224,'CTR1 Data Previous Year'!$A:$A,0),1)</f>
        <v>223459</v>
      </c>
      <c r="I224" s="386">
        <f>INDEX('CTR1 Data Previous Year'!$D:$D,MATCH($D224,'CTR1 Data Previous Year'!$A:$A,0),1)</f>
        <v>1407016</v>
      </c>
      <c r="J224" s="386">
        <f>INDEX('CTR1 Data Previous Year'!$E:$E,MATCH($D224,'CTR1 Data Previous Year'!$A:$A,0),1)</f>
        <v>6664950</v>
      </c>
      <c r="K224" s="386">
        <f>INDEX('CTR1 Data Previous Year'!$F:$F,MATCH($D224,'CTR1 Data Previous Year'!$A:$A,0),1)</f>
        <v>3570565</v>
      </c>
      <c r="L224" s="465">
        <f>INDEX('CTR1 Data Previous Year'!$G:$G,MATCH($D224,'CTR1 Data Previous Year'!$A:$A,0),1)</f>
        <v>31293.69</v>
      </c>
      <c r="M224" s="455">
        <f>INDEX('CTR1 Data Previous Year'!$H:$H,MATCH($D224,'CTR1 Data Previous Year'!$A:$A,0),1)</f>
        <v>0.98709999999999998</v>
      </c>
      <c r="N224" s="465">
        <f>INDEX('CTR1 Data Previous Year'!$I:$I,MATCH($D224,'CTR1 Data Previous Year'!$A:$A,0),1)</f>
        <v>0</v>
      </c>
      <c r="O224" s="160" t="s">
        <v>483</v>
      </c>
      <c r="P224" s="817" t="s">
        <v>484</v>
      </c>
      <c r="Q224" s="820" t="s">
        <v>485</v>
      </c>
      <c r="R224" s="817" t="s">
        <v>486</v>
      </c>
      <c r="S224" s="821" t="s">
        <v>129</v>
      </c>
      <c r="T224" s="817"/>
      <c r="U224" s="866" t="s">
        <v>487</v>
      </c>
      <c r="V224" s="867" t="s">
        <v>488</v>
      </c>
      <c r="W224" s="465">
        <f>INDEX('CTR1 Data Previous Year'!$J:$J,MATCH($D224,'CTR1 Data Previous Year'!$A:$A,0),1)</f>
        <v>30890</v>
      </c>
      <c r="X224" s="465">
        <f>INDEX('CTR1 Data Previous Year'!$K:$K,MATCH($D224,'CTR1 Data Previous Year'!$A:$A,0),1)</f>
        <v>261.31</v>
      </c>
      <c r="Y224" s="465">
        <f>INDEX('CTR1 Data Previous Year'!$L:$L,MATCH($D224,'CTR1 Data Previous Year'!$A:$A,0),1)</f>
        <v>215.76</v>
      </c>
      <c r="Z224" s="836" t="str">
        <f t="shared" si="36"/>
        <v>N</v>
      </c>
      <c r="AA224" s="837" t="str">
        <f t="shared" si="37"/>
        <v>N</v>
      </c>
      <c r="AB224" s="838">
        <f t="shared" si="38"/>
        <v>215.76</v>
      </c>
      <c r="AC224" s="868">
        <f t="shared" si="39"/>
        <v>0</v>
      </c>
      <c r="AD224" s="876">
        <f t="shared" si="40"/>
        <v>0</v>
      </c>
      <c r="AE224" s="838">
        <f t="shared" si="41"/>
        <v>222.2328</v>
      </c>
      <c r="AF224" s="838">
        <f t="shared" si="42"/>
        <v>220.76</v>
      </c>
      <c r="AG224" s="839">
        <f t="shared" si="44"/>
        <v>0</v>
      </c>
      <c r="AH224" s="839">
        <f t="shared" si="45"/>
        <v>222.23</v>
      </c>
      <c r="AI224" s="840">
        <f t="shared" si="43"/>
        <v>0</v>
      </c>
      <c r="AJ224" s="841">
        <f t="shared" si="46"/>
        <v>0</v>
      </c>
      <c r="AK224" s="446"/>
      <c r="AL224" s="446"/>
      <c r="AM224" s="446"/>
      <c r="AN224" s="446"/>
    </row>
    <row r="225" spans="1:40" ht="15" customHeight="1" x14ac:dyDescent="0.25">
      <c r="A225" s="370">
        <v>220</v>
      </c>
      <c r="B225" s="371" t="s">
        <v>1197</v>
      </c>
      <c r="C225" s="370" t="s">
        <v>1198</v>
      </c>
      <c r="D225" s="370" t="s">
        <v>1199</v>
      </c>
      <c r="E225" s="370" t="s">
        <v>321</v>
      </c>
      <c r="F225" s="370" t="s">
        <v>330</v>
      </c>
      <c r="G225" s="386">
        <f>INDEX('CTR1 Data Previous Year'!$B:$B,MATCH($D225,'CTR1 Data Previous Year'!$A:$A,0),1)</f>
        <v>12181791</v>
      </c>
      <c r="H225" s="386">
        <f>INDEX('CTR1 Data Previous Year'!$C:$C,MATCH($D225,'CTR1 Data Previous Year'!$A:$A,0),1)</f>
        <v>605391</v>
      </c>
      <c r="I225" s="386">
        <f>INDEX('CTR1 Data Previous Year'!$D:$D,MATCH($D225,'CTR1 Data Previous Year'!$A:$A,0),1)</f>
        <v>2686489</v>
      </c>
      <c r="J225" s="386">
        <f>INDEX('CTR1 Data Previous Year'!$E:$E,MATCH($D225,'CTR1 Data Previous Year'!$A:$A,0),1)</f>
        <v>9495302</v>
      </c>
      <c r="K225" s="386">
        <f>INDEX('CTR1 Data Previous Year'!$F:$F,MATCH($D225,'CTR1 Data Previous Year'!$A:$A,0),1)</f>
        <v>1014012</v>
      </c>
      <c r="L225" s="465">
        <f>INDEX('CTR1 Data Previous Year'!$G:$G,MATCH($D225,'CTR1 Data Previous Year'!$A:$A,0),1)</f>
        <v>50070.2</v>
      </c>
      <c r="M225" s="455">
        <f>INDEX('CTR1 Data Previous Year'!$H:$H,MATCH($D225,'CTR1 Data Previous Year'!$A:$A,0),1)</f>
        <v>1</v>
      </c>
      <c r="N225" s="465">
        <f>INDEX('CTR1 Data Previous Year'!$I:$I,MATCH($D225,'CTR1 Data Previous Year'!$A:$A,0),1)</f>
        <v>70.3</v>
      </c>
      <c r="O225" s="160" t="s">
        <v>483</v>
      </c>
      <c r="P225" s="817" t="s">
        <v>484</v>
      </c>
      <c r="Q225" s="820" t="s">
        <v>485</v>
      </c>
      <c r="R225" s="817" t="s">
        <v>486</v>
      </c>
      <c r="S225" s="821" t="s">
        <v>129</v>
      </c>
      <c r="T225" s="817"/>
      <c r="U225" s="866" t="s">
        <v>487</v>
      </c>
      <c r="V225" s="867" t="s">
        <v>488</v>
      </c>
      <c r="W225" s="465">
        <f>INDEX('CTR1 Data Previous Year'!$J:$J,MATCH($D225,'CTR1 Data Previous Year'!$A:$A,0),1)</f>
        <v>50140.5</v>
      </c>
      <c r="X225" s="465">
        <f>INDEX('CTR1 Data Previous Year'!$K:$K,MATCH($D225,'CTR1 Data Previous Year'!$A:$A,0),1)</f>
        <v>242.95</v>
      </c>
      <c r="Y225" s="465">
        <f>INDEX('CTR1 Data Previous Year'!$L:$L,MATCH($D225,'CTR1 Data Previous Year'!$A:$A,0),1)</f>
        <v>189.37</v>
      </c>
      <c r="Z225" s="836" t="str">
        <f t="shared" si="36"/>
        <v>N</v>
      </c>
      <c r="AA225" s="837" t="str">
        <f t="shared" si="37"/>
        <v>N</v>
      </c>
      <c r="AB225" s="838">
        <f t="shared" si="38"/>
        <v>189.37</v>
      </c>
      <c r="AC225" s="868">
        <f t="shared" si="39"/>
        <v>0</v>
      </c>
      <c r="AD225" s="876">
        <f t="shared" si="40"/>
        <v>0</v>
      </c>
      <c r="AE225" s="838">
        <f t="shared" si="41"/>
        <v>195.05110000000002</v>
      </c>
      <c r="AF225" s="838">
        <f t="shared" si="42"/>
        <v>194.37</v>
      </c>
      <c r="AG225" s="839">
        <f t="shared" si="44"/>
        <v>0</v>
      </c>
      <c r="AH225" s="839">
        <f t="shared" si="45"/>
        <v>195.05</v>
      </c>
      <c r="AI225" s="840">
        <f t="shared" si="43"/>
        <v>0</v>
      </c>
      <c r="AJ225" s="841">
        <f t="shared" si="46"/>
        <v>0</v>
      </c>
      <c r="AK225" s="446"/>
      <c r="AL225" s="446"/>
      <c r="AM225" s="446"/>
      <c r="AN225" s="446"/>
    </row>
    <row r="226" spans="1:40" ht="15" customHeight="1" x14ac:dyDescent="0.25">
      <c r="A226" s="370">
        <v>221</v>
      </c>
      <c r="B226" s="371" t="s">
        <v>1200</v>
      </c>
      <c r="C226" s="370" t="s">
        <v>1201</v>
      </c>
      <c r="D226" s="370" t="s">
        <v>1202</v>
      </c>
      <c r="E226" s="370" t="s">
        <v>321</v>
      </c>
      <c r="F226" s="370" t="s">
        <v>368</v>
      </c>
      <c r="G226" s="386">
        <f>INDEX('CTR1 Data Previous Year'!$B:$B,MATCH($D226,'CTR1 Data Previous Year'!$A:$A,0),1)</f>
        <v>15277695</v>
      </c>
      <c r="H226" s="386">
        <f>INDEX('CTR1 Data Previous Year'!$C:$C,MATCH($D226,'CTR1 Data Previous Year'!$A:$A,0),1)</f>
        <v>7540</v>
      </c>
      <c r="I226" s="386">
        <f>INDEX('CTR1 Data Previous Year'!$D:$D,MATCH($D226,'CTR1 Data Previous Year'!$A:$A,0),1)</f>
        <v>5803180</v>
      </c>
      <c r="J226" s="386">
        <f>INDEX('CTR1 Data Previous Year'!$E:$E,MATCH($D226,'CTR1 Data Previous Year'!$A:$A,0),1)</f>
        <v>9474515</v>
      </c>
      <c r="K226" s="386">
        <f>INDEX('CTR1 Data Previous Year'!$F:$F,MATCH($D226,'CTR1 Data Previous Year'!$A:$A,0),1)</f>
        <v>249311</v>
      </c>
      <c r="L226" s="465">
        <f>INDEX('CTR1 Data Previous Year'!$G:$G,MATCH($D226,'CTR1 Data Previous Year'!$A:$A,0),1)</f>
        <v>54505.864999999998</v>
      </c>
      <c r="M226" s="455">
        <f>INDEX('CTR1 Data Previous Year'!$H:$H,MATCH($D226,'CTR1 Data Previous Year'!$A:$A,0),1)</f>
        <v>0.99250000000000005</v>
      </c>
      <c r="N226" s="465">
        <f>INDEX('CTR1 Data Previous Year'!$I:$I,MATCH($D226,'CTR1 Data Previous Year'!$A:$A,0),1)</f>
        <v>0</v>
      </c>
      <c r="O226" s="160" t="s">
        <v>520</v>
      </c>
      <c r="P226" s="817" t="s">
        <v>521</v>
      </c>
      <c r="Q226" s="820" t="s">
        <v>522</v>
      </c>
      <c r="R226" s="817" t="s">
        <v>523</v>
      </c>
      <c r="S226" s="821" t="s">
        <v>129</v>
      </c>
      <c r="T226" s="817"/>
      <c r="U226" s="160"/>
      <c r="V226" s="817"/>
      <c r="W226" s="465">
        <f>INDEX('CTR1 Data Previous Year'!$J:$J,MATCH($D226,'CTR1 Data Previous Year'!$A:$A,0),1)</f>
        <v>54097.07</v>
      </c>
      <c r="X226" s="465">
        <f>INDEX('CTR1 Data Previous Year'!$K:$K,MATCH($D226,'CTR1 Data Previous Year'!$A:$A,0),1)</f>
        <v>282.41000000000003</v>
      </c>
      <c r="Y226" s="465">
        <f>INDEX('CTR1 Data Previous Year'!$L:$L,MATCH($D226,'CTR1 Data Previous Year'!$A:$A,0),1)</f>
        <v>175.14</v>
      </c>
      <c r="Z226" s="836" t="str">
        <f t="shared" si="36"/>
        <v>N</v>
      </c>
      <c r="AA226" s="837" t="str">
        <f t="shared" si="37"/>
        <v>N</v>
      </c>
      <c r="AB226" s="838">
        <f t="shared" si="38"/>
        <v>175.14</v>
      </c>
      <c r="AC226" s="868">
        <f t="shared" si="39"/>
        <v>0</v>
      </c>
      <c r="AD226" s="876">
        <f t="shared" si="40"/>
        <v>0</v>
      </c>
      <c r="AE226" s="838">
        <f t="shared" si="41"/>
        <v>180.39419999999998</v>
      </c>
      <c r="AF226" s="838">
        <f t="shared" si="42"/>
        <v>180.14</v>
      </c>
      <c r="AG226" s="839">
        <f t="shared" si="44"/>
        <v>0</v>
      </c>
      <c r="AH226" s="839">
        <f t="shared" si="45"/>
        <v>180.39</v>
      </c>
      <c r="AI226" s="840">
        <f t="shared" si="43"/>
        <v>0</v>
      </c>
      <c r="AJ226" s="841">
        <f t="shared" si="46"/>
        <v>0</v>
      </c>
      <c r="AK226" s="446"/>
      <c r="AL226" s="446"/>
      <c r="AM226" s="446"/>
      <c r="AN226" s="446"/>
    </row>
    <row r="227" spans="1:40" ht="15" customHeight="1" x14ac:dyDescent="0.25">
      <c r="A227" s="370">
        <v>222</v>
      </c>
      <c r="B227" s="371" t="s">
        <v>1203</v>
      </c>
      <c r="C227" s="370" t="s">
        <v>1204</v>
      </c>
      <c r="D227" s="370" t="s">
        <v>1205</v>
      </c>
      <c r="E227" s="370" t="s">
        <v>321</v>
      </c>
      <c r="F227" s="370" t="s">
        <v>322</v>
      </c>
      <c r="G227" s="386">
        <f>INDEX('CTR1 Data Previous Year'!$B:$B,MATCH($D227,'CTR1 Data Previous Year'!$A:$A,0),1)</f>
        <v>17803715</v>
      </c>
      <c r="H227" s="386">
        <f>INDEX('CTR1 Data Previous Year'!$C:$C,MATCH($D227,'CTR1 Data Previous Year'!$A:$A,0),1)</f>
        <v>0</v>
      </c>
      <c r="I227" s="386">
        <f>INDEX('CTR1 Data Previous Year'!$D:$D,MATCH($D227,'CTR1 Data Previous Year'!$A:$A,0),1)</f>
        <v>8178817</v>
      </c>
      <c r="J227" s="386">
        <f>INDEX('CTR1 Data Previous Year'!$E:$E,MATCH($D227,'CTR1 Data Previous Year'!$A:$A,0),1)</f>
        <v>9624898</v>
      </c>
      <c r="K227" s="386">
        <f>INDEX('CTR1 Data Previous Year'!$F:$F,MATCH($D227,'CTR1 Data Previous Year'!$A:$A,0),1)</f>
        <v>0</v>
      </c>
      <c r="L227" s="465">
        <f>INDEX('CTR1 Data Previous Year'!$G:$G,MATCH($D227,'CTR1 Data Previous Year'!$A:$A,0),1)</f>
        <v>63947.41</v>
      </c>
      <c r="M227" s="455">
        <f>INDEX('CTR1 Data Previous Year'!$H:$H,MATCH($D227,'CTR1 Data Previous Year'!$A:$A,0),1)</f>
        <v>0.98499999999999999</v>
      </c>
      <c r="N227" s="465">
        <f>INDEX('CTR1 Data Previous Year'!$I:$I,MATCH($D227,'CTR1 Data Previous Year'!$A:$A,0),1)</f>
        <v>651.70000000000005</v>
      </c>
      <c r="O227" s="160" t="s">
        <v>628</v>
      </c>
      <c r="P227" s="817" t="s">
        <v>629</v>
      </c>
      <c r="Q227" s="820" t="s">
        <v>500</v>
      </c>
      <c r="R227" s="817" t="s">
        <v>501</v>
      </c>
      <c r="S227" s="821" t="s">
        <v>129</v>
      </c>
      <c r="T227" s="817"/>
      <c r="U227" s="160"/>
      <c r="V227" s="817"/>
      <c r="W227" s="465">
        <f>INDEX('CTR1 Data Previous Year'!$J:$J,MATCH($D227,'CTR1 Data Previous Year'!$A:$A,0),1)</f>
        <v>63639.9</v>
      </c>
      <c r="X227" s="465">
        <f>INDEX('CTR1 Data Previous Year'!$K:$K,MATCH($D227,'CTR1 Data Previous Year'!$A:$A,0),1)</f>
        <v>279.76</v>
      </c>
      <c r="Y227" s="465">
        <f>INDEX('CTR1 Data Previous Year'!$L:$L,MATCH($D227,'CTR1 Data Previous Year'!$A:$A,0),1)</f>
        <v>151.24</v>
      </c>
      <c r="Z227" s="836" t="str">
        <f t="shared" si="36"/>
        <v>N</v>
      </c>
      <c r="AA227" s="837" t="str">
        <f t="shared" si="37"/>
        <v>N</v>
      </c>
      <c r="AB227" s="838">
        <f t="shared" si="38"/>
        <v>151.24</v>
      </c>
      <c r="AC227" s="868">
        <f t="shared" si="39"/>
        <v>0</v>
      </c>
      <c r="AD227" s="876">
        <f t="shared" si="40"/>
        <v>0</v>
      </c>
      <c r="AE227" s="838">
        <f t="shared" si="41"/>
        <v>155.77720000000002</v>
      </c>
      <c r="AF227" s="838">
        <f t="shared" si="42"/>
        <v>156.24</v>
      </c>
      <c r="AG227" s="839">
        <f t="shared" si="44"/>
        <v>0</v>
      </c>
      <c r="AH227" s="839">
        <f t="shared" si="45"/>
        <v>156.24</v>
      </c>
      <c r="AI227" s="840">
        <f t="shared" si="43"/>
        <v>0</v>
      </c>
      <c r="AJ227" s="841">
        <f t="shared" si="46"/>
        <v>0</v>
      </c>
      <c r="AK227" s="446"/>
      <c r="AL227" s="446"/>
      <c r="AM227" s="446"/>
      <c r="AN227" s="446"/>
    </row>
    <row r="228" spans="1:40" ht="15" customHeight="1" x14ac:dyDescent="0.25">
      <c r="A228" s="370">
        <v>223</v>
      </c>
      <c r="B228" s="371" t="s">
        <v>1206</v>
      </c>
      <c r="C228" s="370" t="s">
        <v>1207</v>
      </c>
      <c r="D228" s="370" t="s">
        <v>1208</v>
      </c>
      <c r="E228" s="370" t="s">
        <v>321</v>
      </c>
      <c r="F228" s="370" t="s">
        <v>463</v>
      </c>
      <c r="G228" s="386">
        <f>INDEX('CTR1 Data Previous Year'!$B:$B,MATCH($D228,'CTR1 Data Previous Year'!$A:$A,0),1)</f>
        <v>9527700</v>
      </c>
      <c r="H228" s="386">
        <f>INDEX('CTR1 Data Previous Year'!$C:$C,MATCH($D228,'CTR1 Data Previous Year'!$A:$A,0),1)</f>
        <v>0</v>
      </c>
      <c r="I228" s="386">
        <f>INDEX('CTR1 Data Previous Year'!$D:$D,MATCH($D228,'CTR1 Data Previous Year'!$A:$A,0),1)</f>
        <v>474845</v>
      </c>
      <c r="J228" s="386">
        <f>INDEX('CTR1 Data Previous Year'!$E:$E,MATCH($D228,'CTR1 Data Previous Year'!$A:$A,0),1)</f>
        <v>9052855</v>
      </c>
      <c r="K228" s="386">
        <f>INDEX('CTR1 Data Previous Year'!$F:$F,MATCH($D228,'CTR1 Data Previous Year'!$A:$A,0),1)</f>
        <v>0</v>
      </c>
      <c r="L228" s="465">
        <f>INDEX('CTR1 Data Previous Year'!$G:$G,MATCH($D228,'CTR1 Data Previous Year'!$A:$A,0),1)</f>
        <v>39013.519999999997</v>
      </c>
      <c r="M228" s="455">
        <f>INDEX('CTR1 Data Previous Year'!$H:$H,MATCH($D228,'CTR1 Data Previous Year'!$A:$A,0),1)</f>
        <v>0.98</v>
      </c>
      <c r="N228" s="465">
        <f>INDEX('CTR1 Data Previous Year'!$I:$I,MATCH($D228,'CTR1 Data Previous Year'!$A:$A,0),1)</f>
        <v>0</v>
      </c>
      <c r="O228" s="160" t="s">
        <v>572</v>
      </c>
      <c r="P228" s="817" t="s">
        <v>573</v>
      </c>
      <c r="Q228" s="820" t="s">
        <v>464</v>
      </c>
      <c r="R228" s="817" t="s">
        <v>465</v>
      </c>
      <c r="S228" s="821" t="s">
        <v>466</v>
      </c>
      <c r="T228" s="817" t="s">
        <v>467</v>
      </c>
      <c r="U228" s="160"/>
      <c r="V228" s="817"/>
      <c r="W228" s="465">
        <f>INDEX('CTR1 Data Previous Year'!$J:$J,MATCH($D228,'CTR1 Data Previous Year'!$A:$A,0),1)</f>
        <v>38233.25</v>
      </c>
      <c r="X228" s="465">
        <f>INDEX('CTR1 Data Previous Year'!$K:$K,MATCH($D228,'CTR1 Data Previous Year'!$A:$A,0),1)</f>
        <v>249.2</v>
      </c>
      <c r="Y228" s="465">
        <f>INDEX('CTR1 Data Previous Year'!$L:$L,MATCH($D228,'CTR1 Data Previous Year'!$A:$A,0),1)</f>
        <v>236.78</v>
      </c>
      <c r="Z228" s="836" t="str">
        <f t="shared" si="36"/>
        <v>N</v>
      </c>
      <c r="AA228" s="837" t="str">
        <f t="shared" si="37"/>
        <v>N</v>
      </c>
      <c r="AB228" s="838">
        <f t="shared" si="38"/>
        <v>236.78</v>
      </c>
      <c r="AC228" s="868">
        <f t="shared" si="39"/>
        <v>0</v>
      </c>
      <c r="AD228" s="876">
        <f t="shared" si="40"/>
        <v>0</v>
      </c>
      <c r="AE228" s="838">
        <f t="shared" si="41"/>
        <v>243.88339999999999</v>
      </c>
      <c r="AF228" s="838">
        <f t="shared" si="42"/>
        <v>241.78</v>
      </c>
      <c r="AG228" s="839">
        <f t="shared" si="44"/>
        <v>0</v>
      </c>
      <c r="AH228" s="839">
        <f t="shared" si="45"/>
        <v>243.88</v>
      </c>
      <c r="AI228" s="840">
        <f t="shared" si="43"/>
        <v>0</v>
      </c>
      <c r="AJ228" s="841">
        <f t="shared" si="46"/>
        <v>0</v>
      </c>
      <c r="AK228" s="446"/>
      <c r="AL228" s="446"/>
      <c r="AM228" s="446"/>
      <c r="AN228" s="446"/>
    </row>
    <row r="229" spans="1:40" ht="15" customHeight="1" x14ac:dyDescent="0.25">
      <c r="A229" s="370">
        <v>224</v>
      </c>
      <c r="B229" s="371" t="s">
        <v>1209</v>
      </c>
      <c r="C229" s="370" t="s">
        <v>1210</v>
      </c>
      <c r="D229" s="370" t="s">
        <v>1211</v>
      </c>
      <c r="E229" s="370" t="s">
        <v>321</v>
      </c>
      <c r="F229" s="370" t="s">
        <v>444</v>
      </c>
      <c r="G229" s="386">
        <f>INDEX('CTR1 Data Previous Year'!$B:$B,MATCH($D229,'CTR1 Data Previous Year'!$A:$A,0),1)</f>
        <v>8785991</v>
      </c>
      <c r="H229" s="386">
        <f>INDEX('CTR1 Data Previous Year'!$C:$C,MATCH($D229,'CTR1 Data Previous Year'!$A:$A,0),1)</f>
        <v>0</v>
      </c>
      <c r="I229" s="386">
        <f>INDEX('CTR1 Data Previous Year'!$D:$D,MATCH($D229,'CTR1 Data Previous Year'!$A:$A,0),1)</f>
        <v>2944631</v>
      </c>
      <c r="J229" s="386">
        <f>INDEX('CTR1 Data Previous Year'!$E:$E,MATCH($D229,'CTR1 Data Previous Year'!$A:$A,0),1)</f>
        <v>5841360</v>
      </c>
      <c r="K229" s="386">
        <f>INDEX('CTR1 Data Previous Year'!$F:$F,MATCH($D229,'CTR1 Data Previous Year'!$A:$A,0),1)</f>
        <v>0</v>
      </c>
      <c r="L229" s="465">
        <f>INDEX('CTR1 Data Previous Year'!$G:$G,MATCH($D229,'CTR1 Data Previous Year'!$A:$A,0),1)</f>
        <v>40597</v>
      </c>
      <c r="M229" s="455">
        <f>INDEX('CTR1 Data Previous Year'!$H:$H,MATCH($D229,'CTR1 Data Previous Year'!$A:$A,0),1)</f>
        <v>0.99</v>
      </c>
      <c r="N229" s="465">
        <f>INDEX('CTR1 Data Previous Year'!$I:$I,MATCH($D229,'CTR1 Data Previous Year'!$A:$A,0),1)</f>
        <v>0</v>
      </c>
      <c r="O229" s="160" t="s">
        <v>597</v>
      </c>
      <c r="P229" s="817" t="s">
        <v>598</v>
      </c>
      <c r="Q229" s="820" t="s">
        <v>599</v>
      </c>
      <c r="R229" s="817" t="s">
        <v>600</v>
      </c>
      <c r="S229" s="821" t="s">
        <v>601</v>
      </c>
      <c r="T229" s="817" t="s">
        <v>602</v>
      </c>
      <c r="U229" s="160"/>
      <c r="V229" s="817"/>
      <c r="W229" s="465">
        <f>INDEX('CTR1 Data Previous Year'!$J:$J,MATCH($D229,'CTR1 Data Previous Year'!$A:$A,0),1)</f>
        <v>40191.03</v>
      </c>
      <c r="X229" s="465">
        <f>INDEX('CTR1 Data Previous Year'!$K:$K,MATCH($D229,'CTR1 Data Previous Year'!$A:$A,0),1)</f>
        <v>218.61</v>
      </c>
      <c r="Y229" s="465">
        <f>INDEX('CTR1 Data Previous Year'!$L:$L,MATCH($D229,'CTR1 Data Previous Year'!$A:$A,0),1)</f>
        <v>145.34</v>
      </c>
      <c r="Z229" s="836" t="str">
        <f t="shared" si="36"/>
        <v>N</v>
      </c>
      <c r="AA229" s="837" t="str">
        <f t="shared" si="37"/>
        <v>N</v>
      </c>
      <c r="AB229" s="838">
        <f t="shared" si="38"/>
        <v>145.34</v>
      </c>
      <c r="AC229" s="868">
        <f t="shared" si="39"/>
        <v>0</v>
      </c>
      <c r="AD229" s="876">
        <f t="shared" si="40"/>
        <v>0</v>
      </c>
      <c r="AE229" s="838">
        <f t="shared" si="41"/>
        <v>149.7002</v>
      </c>
      <c r="AF229" s="838">
        <f t="shared" si="42"/>
        <v>150.34</v>
      </c>
      <c r="AG229" s="839">
        <f t="shared" si="44"/>
        <v>0</v>
      </c>
      <c r="AH229" s="839">
        <f t="shared" si="45"/>
        <v>150.34</v>
      </c>
      <c r="AI229" s="840">
        <f t="shared" si="43"/>
        <v>0</v>
      </c>
      <c r="AJ229" s="841">
        <f t="shared" si="46"/>
        <v>0</v>
      </c>
      <c r="AK229" s="446"/>
      <c r="AL229" s="446"/>
      <c r="AM229" s="446"/>
      <c r="AN229" s="446"/>
    </row>
    <row r="230" spans="1:40" ht="15" customHeight="1" x14ac:dyDescent="0.25">
      <c r="A230" s="370">
        <v>225</v>
      </c>
      <c r="B230" s="371" t="s">
        <v>1212</v>
      </c>
      <c r="C230" s="370" t="s">
        <v>1213</v>
      </c>
      <c r="D230" s="370" t="s">
        <v>1214</v>
      </c>
      <c r="E230" s="370" t="s">
        <v>353</v>
      </c>
      <c r="F230" s="370" t="s">
        <v>685</v>
      </c>
      <c r="G230" s="386">
        <f>INDEX('CTR1 Data Previous Year'!$B:$B,MATCH($D230,'CTR1 Data Previous Year'!$A:$A,0),1)</f>
        <v>79919387</v>
      </c>
      <c r="H230" s="386">
        <f>INDEX('CTR1 Data Previous Year'!$C:$C,MATCH($D230,'CTR1 Data Previous Year'!$A:$A,0),1)</f>
        <v>0</v>
      </c>
      <c r="I230" s="386">
        <f>INDEX('CTR1 Data Previous Year'!$D:$D,MATCH($D230,'CTR1 Data Previous Year'!$A:$A,0),1)</f>
        <v>0</v>
      </c>
      <c r="J230" s="386">
        <f>INDEX('CTR1 Data Previous Year'!$E:$E,MATCH($D230,'CTR1 Data Previous Year'!$A:$A,0),1)</f>
        <v>79919387</v>
      </c>
      <c r="K230" s="386">
        <f>INDEX('CTR1 Data Previous Year'!$F:$F,MATCH($D230,'CTR1 Data Previous Year'!$A:$A,0),1)</f>
        <v>9478445</v>
      </c>
      <c r="L230" s="465">
        <f>INDEX('CTR1 Data Previous Year'!$G:$G,MATCH($D230,'CTR1 Data Previous Year'!$A:$A,0),1)</f>
        <v>40674.559999999998</v>
      </c>
      <c r="M230" s="455">
        <f>INDEX('CTR1 Data Previous Year'!$H:$H,MATCH($D230,'CTR1 Data Previous Year'!$A:$A,0),1)</f>
        <v>0.97499999999999998</v>
      </c>
      <c r="N230" s="465">
        <f>INDEX('CTR1 Data Previous Year'!$I:$I,MATCH($D230,'CTR1 Data Previous Year'!$A:$A,0),1)</f>
        <v>0</v>
      </c>
      <c r="O230" s="160" t="s">
        <v>129</v>
      </c>
      <c r="P230" s="817"/>
      <c r="Q230" s="820" t="s">
        <v>803</v>
      </c>
      <c r="R230" s="817" t="s">
        <v>804</v>
      </c>
      <c r="S230" s="821" t="s">
        <v>805</v>
      </c>
      <c r="T230" s="817" t="s">
        <v>806</v>
      </c>
      <c r="U230" s="160" t="s">
        <v>716</v>
      </c>
      <c r="V230" s="817" t="s">
        <v>717</v>
      </c>
      <c r="W230" s="465">
        <f>INDEX('CTR1 Data Previous Year'!$J:$J,MATCH($D230,'CTR1 Data Previous Year'!$A:$A,0),1)</f>
        <v>39657.699999999997</v>
      </c>
      <c r="X230" s="465">
        <f>INDEX('CTR1 Data Previous Year'!$K:$K,MATCH($D230,'CTR1 Data Previous Year'!$A:$A,0),1)</f>
        <v>2015.23</v>
      </c>
      <c r="Y230" s="465">
        <f>INDEX('CTR1 Data Previous Year'!$L:$L,MATCH($D230,'CTR1 Data Previous Year'!$A:$A,0),1)</f>
        <v>2015.23</v>
      </c>
      <c r="Z230" s="836" t="str">
        <f t="shared" si="36"/>
        <v>N</v>
      </c>
      <c r="AA230" s="837" t="str">
        <f t="shared" si="37"/>
        <v>N</v>
      </c>
      <c r="AB230" s="838">
        <f t="shared" si="38"/>
        <v>2015.23</v>
      </c>
      <c r="AC230" s="868">
        <f t="shared" si="39"/>
        <v>0</v>
      </c>
      <c r="AD230" s="876">
        <f t="shared" si="40"/>
        <v>0</v>
      </c>
      <c r="AE230" s="838">
        <f t="shared" si="41"/>
        <v>2115.9915000000001</v>
      </c>
      <c r="AF230" s="838">
        <f t="shared" si="42"/>
        <v>2015.23</v>
      </c>
      <c r="AG230" s="839">
        <f t="shared" si="44"/>
        <v>0</v>
      </c>
      <c r="AH230" s="839">
        <f t="shared" si="45"/>
        <v>2115.9899999999998</v>
      </c>
      <c r="AI230" s="840">
        <f t="shared" si="43"/>
        <v>40.299999999999997</v>
      </c>
      <c r="AJ230" s="841">
        <f t="shared" si="46"/>
        <v>1.9997717382135041E-2</v>
      </c>
      <c r="AK230" s="446"/>
      <c r="AL230" s="446"/>
      <c r="AM230" s="446"/>
      <c r="AN230" s="446"/>
    </row>
    <row r="231" spans="1:40" ht="15" customHeight="1" x14ac:dyDescent="0.25">
      <c r="A231" s="370">
        <v>226</v>
      </c>
      <c r="B231" s="371" t="s">
        <v>1215</v>
      </c>
      <c r="C231" s="370" t="s">
        <v>1216</v>
      </c>
      <c r="D231" s="370" t="s">
        <v>1217</v>
      </c>
      <c r="E231" s="370" t="s">
        <v>339</v>
      </c>
      <c r="F231" s="370" t="s">
        <v>322</v>
      </c>
      <c r="G231" s="386">
        <f>INDEX('CTR1 Data Previous Year'!$B:$B,MATCH($D231,'CTR1 Data Previous Year'!$A:$A,0),1)</f>
        <v>128166963</v>
      </c>
      <c r="H231" s="386">
        <f>INDEX('CTR1 Data Previous Year'!$C:$C,MATCH($D231,'CTR1 Data Previous Year'!$A:$A,0),1)</f>
        <v>0</v>
      </c>
      <c r="I231" s="386">
        <f>INDEX('CTR1 Data Previous Year'!$D:$D,MATCH($D231,'CTR1 Data Previous Year'!$A:$A,0),1)</f>
        <v>0</v>
      </c>
      <c r="J231" s="386">
        <f>INDEX('CTR1 Data Previous Year'!$E:$E,MATCH($D231,'CTR1 Data Previous Year'!$A:$A,0),1)</f>
        <v>128166963</v>
      </c>
      <c r="K231" s="386">
        <f>INDEX('CTR1 Data Previous Year'!$F:$F,MATCH($D231,'CTR1 Data Previous Year'!$A:$A,0),1)</f>
        <v>96757</v>
      </c>
      <c r="L231" s="465">
        <f>INDEX('CTR1 Data Previous Year'!$G:$G,MATCH($D231,'CTR1 Data Previous Year'!$A:$A,0),1)</f>
        <v>68544.53</v>
      </c>
      <c r="M231" s="455">
        <f>INDEX('CTR1 Data Previous Year'!$H:$H,MATCH($D231,'CTR1 Data Previous Year'!$A:$A,0),1)</f>
        <v>0.98250000000000004</v>
      </c>
      <c r="N231" s="465">
        <f>INDEX('CTR1 Data Previous Year'!$I:$I,MATCH($D231,'CTR1 Data Previous Year'!$A:$A,0),1)</f>
        <v>0</v>
      </c>
      <c r="O231" s="160" t="s">
        <v>129</v>
      </c>
      <c r="P231" s="817"/>
      <c r="Q231" s="820" t="s">
        <v>413</v>
      </c>
      <c r="R231" s="817" t="s">
        <v>414</v>
      </c>
      <c r="S231" s="821" t="s">
        <v>415</v>
      </c>
      <c r="T231" s="817" t="s">
        <v>416</v>
      </c>
      <c r="U231" s="160"/>
      <c r="V231" s="817"/>
      <c r="W231" s="465">
        <f>INDEX('CTR1 Data Previous Year'!$J:$J,MATCH($D231,'CTR1 Data Previous Year'!$A:$A,0),1)</f>
        <v>67345</v>
      </c>
      <c r="X231" s="465">
        <f>INDEX('CTR1 Data Previous Year'!$K:$K,MATCH($D231,'CTR1 Data Previous Year'!$A:$A,0),1)</f>
        <v>1903.14</v>
      </c>
      <c r="Y231" s="465">
        <f>INDEX('CTR1 Data Previous Year'!$L:$L,MATCH($D231,'CTR1 Data Previous Year'!$A:$A,0),1)</f>
        <v>1903.14</v>
      </c>
      <c r="Z231" s="836" t="str">
        <f t="shared" si="36"/>
        <v>N</v>
      </c>
      <c r="AA231" s="837" t="str">
        <f t="shared" si="37"/>
        <v>N</v>
      </c>
      <c r="AB231" s="838">
        <f t="shared" si="38"/>
        <v>1903.14</v>
      </c>
      <c r="AC231" s="868">
        <f t="shared" si="39"/>
        <v>0</v>
      </c>
      <c r="AD231" s="876">
        <f t="shared" si="40"/>
        <v>0</v>
      </c>
      <c r="AE231" s="838">
        <f t="shared" si="41"/>
        <v>1998.2970000000003</v>
      </c>
      <c r="AF231" s="838">
        <f t="shared" si="42"/>
        <v>1903.14</v>
      </c>
      <c r="AG231" s="839">
        <f t="shared" si="44"/>
        <v>0</v>
      </c>
      <c r="AH231" s="839">
        <f t="shared" si="45"/>
        <v>1998.3</v>
      </c>
      <c r="AI231" s="840">
        <f t="shared" si="43"/>
        <v>38.06</v>
      </c>
      <c r="AJ231" s="841">
        <f t="shared" si="46"/>
        <v>1.9998528747228263E-2</v>
      </c>
      <c r="AK231" s="446"/>
      <c r="AL231" s="446"/>
      <c r="AM231" s="446"/>
      <c r="AN231" s="446"/>
    </row>
    <row r="232" spans="1:40" ht="15" customHeight="1" x14ac:dyDescent="0.25">
      <c r="A232" s="370">
        <v>227</v>
      </c>
      <c r="B232" s="371" t="s">
        <v>1218</v>
      </c>
      <c r="C232" s="370" t="s">
        <v>1219</v>
      </c>
      <c r="D232" s="370" t="s">
        <v>1220</v>
      </c>
      <c r="E232" s="370" t="s">
        <v>339</v>
      </c>
      <c r="F232" s="370" t="s">
        <v>368</v>
      </c>
      <c r="G232" s="386">
        <f>INDEX('CTR1 Data Previous Year'!$B:$B,MATCH($D232,'CTR1 Data Previous Year'!$A:$A,0),1)</f>
        <v>109957240</v>
      </c>
      <c r="H232" s="386">
        <f>INDEX('CTR1 Data Previous Year'!$C:$C,MATCH($D232,'CTR1 Data Previous Year'!$A:$A,0),1)</f>
        <v>0</v>
      </c>
      <c r="I232" s="386">
        <f>INDEX('CTR1 Data Previous Year'!$D:$D,MATCH($D232,'CTR1 Data Previous Year'!$A:$A,0),1)</f>
        <v>484790</v>
      </c>
      <c r="J232" s="386">
        <f>INDEX('CTR1 Data Previous Year'!$E:$E,MATCH($D232,'CTR1 Data Previous Year'!$A:$A,0),1)</f>
        <v>109472450</v>
      </c>
      <c r="K232" s="386">
        <f>INDEX('CTR1 Data Previous Year'!$F:$F,MATCH($D232,'CTR1 Data Previous Year'!$A:$A,0),1)</f>
        <v>0</v>
      </c>
      <c r="L232" s="465">
        <f>INDEX('CTR1 Data Previous Year'!$G:$G,MATCH($D232,'CTR1 Data Previous Year'!$A:$A,0),1)</f>
        <v>62742.92</v>
      </c>
      <c r="M232" s="455">
        <f>INDEX('CTR1 Data Previous Year'!$H:$H,MATCH($D232,'CTR1 Data Previous Year'!$A:$A,0),1)</f>
        <v>0.97</v>
      </c>
      <c r="N232" s="465">
        <f>INDEX('CTR1 Data Previous Year'!$I:$I,MATCH($D232,'CTR1 Data Previous Year'!$A:$A,0),1)</f>
        <v>0</v>
      </c>
      <c r="O232" s="160" t="s">
        <v>129</v>
      </c>
      <c r="P232" s="817"/>
      <c r="Q232" s="820" t="s">
        <v>403</v>
      </c>
      <c r="R232" s="817" t="s">
        <v>404</v>
      </c>
      <c r="S232" s="821" t="s">
        <v>405</v>
      </c>
      <c r="T232" s="817" t="s">
        <v>406</v>
      </c>
      <c r="U232" s="822"/>
      <c r="V232" s="817"/>
      <c r="W232" s="465">
        <f>INDEX('CTR1 Data Previous Year'!$J:$J,MATCH($D232,'CTR1 Data Previous Year'!$A:$A,0),1)</f>
        <v>60860.63</v>
      </c>
      <c r="X232" s="465">
        <f>INDEX('CTR1 Data Previous Year'!$K:$K,MATCH($D232,'CTR1 Data Previous Year'!$A:$A,0),1)</f>
        <v>1806.71</v>
      </c>
      <c r="Y232" s="465">
        <f>INDEX('CTR1 Data Previous Year'!$L:$L,MATCH($D232,'CTR1 Data Previous Year'!$A:$A,0),1)</f>
        <v>1798.74</v>
      </c>
      <c r="Z232" s="836" t="str">
        <f t="shared" si="36"/>
        <v>N</v>
      </c>
      <c r="AA232" s="837" t="str">
        <f t="shared" si="37"/>
        <v>N</v>
      </c>
      <c r="AB232" s="838">
        <f t="shared" si="38"/>
        <v>1798.74</v>
      </c>
      <c r="AC232" s="868">
        <f t="shared" si="39"/>
        <v>0</v>
      </c>
      <c r="AD232" s="876">
        <f t="shared" si="40"/>
        <v>0</v>
      </c>
      <c r="AE232" s="838">
        <f t="shared" si="41"/>
        <v>1888.6770000000001</v>
      </c>
      <c r="AF232" s="838">
        <f t="shared" si="42"/>
        <v>1798.74</v>
      </c>
      <c r="AG232" s="839">
        <f t="shared" si="44"/>
        <v>0</v>
      </c>
      <c r="AH232" s="839">
        <f t="shared" si="45"/>
        <v>1888.68</v>
      </c>
      <c r="AI232" s="840">
        <f t="shared" si="43"/>
        <v>35.97</v>
      </c>
      <c r="AJ232" s="841">
        <f t="shared" si="46"/>
        <v>1.9997331465359085E-2</v>
      </c>
      <c r="AK232" s="446"/>
      <c r="AL232" s="446"/>
      <c r="AM232" s="446"/>
      <c r="AN232" s="446"/>
    </row>
    <row r="233" spans="1:40" ht="15" customHeight="1" x14ac:dyDescent="0.25">
      <c r="A233" s="370">
        <v>228</v>
      </c>
      <c r="B233" s="371" t="s">
        <v>1221</v>
      </c>
      <c r="C233" s="370" t="s">
        <v>1222</v>
      </c>
      <c r="D233" s="370" t="s">
        <v>1223</v>
      </c>
      <c r="E233" s="370" t="s">
        <v>343</v>
      </c>
      <c r="F233" s="370" t="s">
        <v>378</v>
      </c>
      <c r="G233" s="386">
        <f>INDEX('CTR1 Data Previous Year'!$B:$B,MATCH($D233,'CTR1 Data Previous Year'!$A:$A,0),1)</f>
        <v>155897585</v>
      </c>
      <c r="H233" s="386">
        <f>INDEX('CTR1 Data Previous Year'!$C:$C,MATCH($D233,'CTR1 Data Previous Year'!$A:$A,0),1)</f>
        <v>0</v>
      </c>
      <c r="I233" s="386">
        <f>INDEX('CTR1 Data Previous Year'!$D:$D,MATCH($D233,'CTR1 Data Previous Year'!$A:$A,0),1)</f>
        <v>0</v>
      </c>
      <c r="J233" s="386">
        <f>INDEX('CTR1 Data Previous Year'!$E:$E,MATCH($D233,'CTR1 Data Previous Year'!$A:$A,0),1)</f>
        <v>155897585</v>
      </c>
      <c r="K233" s="386">
        <f>INDEX('CTR1 Data Previous Year'!$F:$F,MATCH($D233,'CTR1 Data Previous Year'!$A:$A,0),1)</f>
        <v>2084944</v>
      </c>
      <c r="L233" s="465">
        <f>INDEX('CTR1 Data Previous Year'!$G:$G,MATCH($D233,'CTR1 Data Previous Year'!$A:$A,0),1)</f>
        <v>116432</v>
      </c>
      <c r="M233" s="455">
        <f>INDEX('CTR1 Data Previous Year'!$H:$H,MATCH($D233,'CTR1 Data Previous Year'!$A:$A,0),1)</f>
        <v>0.96499999999999997</v>
      </c>
      <c r="N233" s="465">
        <f>INDEX('CTR1 Data Previous Year'!$I:$I,MATCH($D233,'CTR1 Data Previous Year'!$A:$A,0),1)</f>
        <v>0</v>
      </c>
      <c r="O233" s="160" t="s">
        <v>379</v>
      </c>
      <c r="P233" s="862" t="s">
        <v>380</v>
      </c>
      <c r="Q233" s="820"/>
      <c r="R233" s="817"/>
      <c r="S233" s="821" t="s">
        <v>129</v>
      </c>
      <c r="T233" s="817"/>
      <c r="U233" s="160"/>
      <c r="V233" s="817"/>
      <c r="W233" s="465">
        <f>INDEX('CTR1 Data Previous Year'!$J:$J,MATCH($D233,'CTR1 Data Previous Year'!$A:$A,0),1)</f>
        <v>112356.88</v>
      </c>
      <c r="X233" s="465">
        <f>INDEX('CTR1 Data Previous Year'!$K:$K,MATCH($D233,'CTR1 Data Previous Year'!$A:$A,0),1)</f>
        <v>1387.52</v>
      </c>
      <c r="Y233" s="465">
        <f>INDEX('CTR1 Data Previous Year'!$L:$L,MATCH($D233,'CTR1 Data Previous Year'!$A:$A,0),1)</f>
        <v>1387.52</v>
      </c>
      <c r="Z233" s="836" t="str">
        <f t="shared" si="36"/>
        <v>N</v>
      </c>
      <c r="AA233" s="837" t="str">
        <f t="shared" si="37"/>
        <v>N</v>
      </c>
      <c r="AB233" s="838">
        <f t="shared" si="38"/>
        <v>1387.52</v>
      </c>
      <c r="AC233" s="868">
        <f t="shared" si="39"/>
        <v>0</v>
      </c>
      <c r="AD233" s="876">
        <f t="shared" si="40"/>
        <v>0</v>
      </c>
      <c r="AE233" s="838">
        <f t="shared" si="41"/>
        <v>1456.896</v>
      </c>
      <c r="AF233" s="838">
        <f t="shared" si="42"/>
        <v>1387.52</v>
      </c>
      <c r="AG233" s="839">
        <f t="shared" si="44"/>
        <v>0</v>
      </c>
      <c r="AH233" s="839">
        <f t="shared" si="45"/>
        <v>1456.9</v>
      </c>
      <c r="AI233" s="840">
        <f t="shared" si="43"/>
        <v>27.75</v>
      </c>
      <c r="AJ233" s="841">
        <f t="shared" si="46"/>
        <v>1.9999711715867161E-2</v>
      </c>
      <c r="AK233" s="446"/>
      <c r="AL233" s="446"/>
      <c r="AM233" s="446"/>
      <c r="AN233" s="446"/>
    </row>
    <row r="234" spans="1:40" ht="15" customHeight="1" x14ac:dyDescent="0.25">
      <c r="A234" s="370">
        <v>229</v>
      </c>
      <c r="B234" s="371" t="s">
        <v>1224</v>
      </c>
      <c r="C234" s="370" t="s">
        <v>1225</v>
      </c>
      <c r="D234" s="370" t="s">
        <v>1226</v>
      </c>
      <c r="E234" s="370" t="s">
        <v>321</v>
      </c>
      <c r="F234" s="370" t="s">
        <v>322</v>
      </c>
      <c r="G234" s="386">
        <f>INDEX('CTR1 Data Previous Year'!$B:$B,MATCH($D234,'CTR1 Data Previous Year'!$A:$A,0),1)</f>
        <v>9296300</v>
      </c>
      <c r="H234" s="386">
        <f>INDEX('CTR1 Data Previous Year'!$C:$C,MATCH($D234,'CTR1 Data Previous Year'!$A:$A,0),1)</f>
        <v>0</v>
      </c>
      <c r="I234" s="386">
        <f>INDEX('CTR1 Data Previous Year'!$D:$D,MATCH($D234,'CTR1 Data Previous Year'!$A:$A,0),1)</f>
        <v>0</v>
      </c>
      <c r="J234" s="386">
        <f>INDEX('CTR1 Data Previous Year'!$E:$E,MATCH($D234,'CTR1 Data Previous Year'!$A:$A,0),1)</f>
        <v>9296300</v>
      </c>
      <c r="K234" s="386">
        <f>INDEX('CTR1 Data Previous Year'!$F:$F,MATCH($D234,'CTR1 Data Previous Year'!$A:$A,0),1)</f>
        <v>0</v>
      </c>
      <c r="L234" s="465">
        <f>INDEX('CTR1 Data Previous Year'!$G:$G,MATCH($D234,'CTR1 Data Previous Year'!$A:$A,0),1)</f>
        <v>41851.54</v>
      </c>
      <c r="M234" s="455">
        <f>INDEX('CTR1 Data Previous Year'!$H:$H,MATCH($D234,'CTR1 Data Previous Year'!$A:$A,0),1)</f>
        <v>0.97</v>
      </c>
      <c r="N234" s="465">
        <f>INDEX('CTR1 Data Previous Year'!$I:$I,MATCH($D234,'CTR1 Data Previous Year'!$A:$A,0),1)</f>
        <v>24</v>
      </c>
      <c r="O234" s="160" t="s">
        <v>766</v>
      </c>
      <c r="P234" s="817" t="s">
        <v>767</v>
      </c>
      <c r="Q234" s="820" t="s">
        <v>768</v>
      </c>
      <c r="R234" s="817" t="s">
        <v>769</v>
      </c>
      <c r="S234" s="821" t="s">
        <v>129</v>
      </c>
      <c r="T234" s="817"/>
      <c r="U234" s="160"/>
      <c r="V234" s="817"/>
      <c r="W234" s="465">
        <f>INDEX('CTR1 Data Previous Year'!$J:$J,MATCH($D234,'CTR1 Data Previous Year'!$A:$A,0),1)</f>
        <v>40619.99</v>
      </c>
      <c r="X234" s="465">
        <f>INDEX('CTR1 Data Previous Year'!$K:$K,MATCH($D234,'CTR1 Data Previous Year'!$A:$A,0),1)</f>
        <v>228.86</v>
      </c>
      <c r="Y234" s="465">
        <f>INDEX('CTR1 Data Previous Year'!$L:$L,MATCH($D234,'CTR1 Data Previous Year'!$A:$A,0),1)</f>
        <v>228.86</v>
      </c>
      <c r="Z234" s="836" t="str">
        <f t="shared" si="36"/>
        <v>N</v>
      </c>
      <c r="AA234" s="837" t="str">
        <f t="shared" si="37"/>
        <v>N</v>
      </c>
      <c r="AB234" s="838">
        <f t="shared" si="38"/>
        <v>228.86</v>
      </c>
      <c r="AC234" s="868">
        <f t="shared" si="39"/>
        <v>0</v>
      </c>
      <c r="AD234" s="876">
        <f t="shared" si="40"/>
        <v>0</v>
      </c>
      <c r="AE234" s="838">
        <f t="shared" si="41"/>
        <v>235.72580000000002</v>
      </c>
      <c r="AF234" s="838">
        <f t="shared" si="42"/>
        <v>233.86</v>
      </c>
      <c r="AG234" s="839">
        <f t="shared" si="44"/>
        <v>0</v>
      </c>
      <c r="AH234" s="839">
        <f t="shared" si="45"/>
        <v>235.73</v>
      </c>
      <c r="AI234" s="840">
        <f t="shared" si="43"/>
        <v>0</v>
      </c>
      <c r="AJ234" s="841">
        <f t="shared" si="46"/>
        <v>0</v>
      </c>
      <c r="AK234" s="446"/>
      <c r="AL234" s="446"/>
      <c r="AM234" s="446"/>
      <c r="AN234" s="446"/>
    </row>
    <row r="235" spans="1:40" ht="15" customHeight="1" x14ac:dyDescent="0.25">
      <c r="A235" s="370">
        <v>230</v>
      </c>
      <c r="B235" s="371" t="s">
        <v>1227</v>
      </c>
      <c r="C235" s="370" t="s">
        <v>1228</v>
      </c>
      <c r="D235" s="370" t="s">
        <v>1229</v>
      </c>
      <c r="E235" s="370" t="s">
        <v>321</v>
      </c>
      <c r="F235" s="370" t="s">
        <v>368</v>
      </c>
      <c r="G235" s="386">
        <f>INDEX('CTR1 Data Previous Year'!$B:$B,MATCH($D235,'CTR1 Data Previous Year'!$A:$A,0),1)</f>
        <v>17520730</v>
      </c>
      <c r="H235" s="386">
        <f>INDEX('CTR1 Data Previous Year'!$C:$C,MATCH($D235,'CTR1 Data Previous Year'!$A:$A,0),1)</f>
        <v>1271855</v>
      </c>
      <c r="I235" s="386">
        <f>INDEX('CTR1 Data Previous Year'!$D:$D,MATCH($D235,'CTR1 Data Previous Year'!$A:$A,0),1)</f>
        <v>4077243</v>
      </c>
      <c r="J235" s="386">
        <f>INDEX('CTR1 Data Previous Year'!$E:$E,MATCH($D235,'CTR1 Data Previous Year'!$A:$A,0),1)</f>
        <v>13443487</v>
      </c>
      <c r="K235" s="386">
        <f>INDEX('CTR1 Data Previous Year'!$F:$F,MATCH($D235,'CTR1 Data Previous Year'!$A:$A,0),1)</f>
        <v>0</v>
      </c>
      <c r="L235" s="465">
        <f>INDEX('CTR1 Data Previous Year'!$G:$G,MATCH($D235,'CTR1 Data Previous Year'!$A:$A,0),1)</f>
        <v>65616.399999999994</v>
      </c>
      <c r="M235" s="455">
        <f>INDEX('CTR1 Data Previous Year'!$H:$H,MATCH($D235,'CTR1 Data Previous Year'!$A:$A,0),1)</f>
        <v>0.98499999999999999</v>
      </c>
      <c r="N235" s="465">
        <f>INDEX('CTR1 Data Previous Year'!$I:$I,MATCH($D235,'CTR1 Data Previous Year'!$A:$A,0),1)</f>
        <v>0</v>
      </c>
      <c r="O235" s="160" t="s">
        <v>557</v>
      </c>
      <c r="P235" s="817" t="s">
        <v>558</v>
      </c>
      <c r="Q235" s="820" t="s">
        <v>559</v>
      </c>
      <c r="R235" s="817" t="s">
        <v>560</v>
      </c>
      <c r="S235" s="821" t="s">
        <v>129</v>
      </c>
      <c r="T235" s="817"/>
      <c r="U235" s="160"/>
      <c r="V235" s="817"/>
      <c r="W235" s="465">
        <f>INDEX('CTR1 Data Previous Year'!$J:$J,MATCH($D235,'CTR1 Data Previous Year'!$A:$A,0),1)</f>
        <v>64632.15</v>
      </c>
      <c r="X235" s="465">
        <f>INDEX('CTR1 Data Previous Year'!$K:$K,MATCH($D235,'CTR1 Data Previous Year'!$A:$A,0),1)</f>
        <v>271.08</v>
      </c>
      <c r="Y235" s="465">
        <f>INDEX('CTR1 Data Previous Year'!$L:$L,MATCH($D235,'CTR1 Data Previous Year'!$A:$A,0),1)</f>
        <v>208</v>
      </c>
      <c r="Z235" s="836" t="str">
        <f t="shared" si="36"/>
        <v>N</v>
      </c>
      <c r="AA235" s="837" t="str">
        <f t="shared" si="37"/>
        <v>N</v>
      </c>
      <c r="AB235" s="838">
        <f t="shared" si="38"/>
        <v>208</v>
      </c>
      <c r="AC235" s="868">
        <f t="shared" si="39"/>
        <v>0</v>
      </c>
      <c r="AD235" s="876">
        <f t="shared" si="40"/>
        <v>0</v>
      </c>
      <c r="AE235" s="838">
        <f t="shared" si="41"/>
        <v>214.24</v>
      </c>
      <c r="AF235" s="838">
        <f t="shared" si="42"/>
        <v>213</v>
      </c>
      <c r="AG235" s="839">
        <f t="shared" si="44"/>
        <v>0</v>
      </c>
      <c r="AH235" s="839">
        <f t="shared" si="45"/>
        <v>214.24</v>
      </c>
      <c r="AI235" s="840">
        <f t="shared" si="43"/>
        <v>0</v>
      </c>
      <c r="AJ235" s="841">
        <f t="shared" si="46"/>
        <v>0</v>
      </c>
      <c r="AK235" s="446"/>
      <c r="AL235" s="446"/>
      <c r="AM235" s="446"/>
      <c r="AN235" s="446"/>
    </row>
    <row r="236" spans="1:40" ht="15" customHeight="1" x14ac:dyDescent="0.25">
      <c r="A236" s="370">
        <v>231</v>
      </c>
      <c r="B236" s="371" t="s">
        <v>1230</v>
      </c>
      <c r="C236" s="370" t="s">
        <v>1231</v>
      </c>
      <c r="D236" s="370" t="s">
        <v>1232</v>
      </c>
      <c r="E236" s="370" t="s">
        <v>353</v>
      </c>
      <c r="F236" s="370" t="s">
        <v>463</v>
      </c>
      <c r="G236" s="386">
        <f>INDEX('CTR1 Data Previous Year'!$B:$B,MATCH($D236,'CTR1 Data Previous Year'!$A:$A,0),1)</f>
        <v>101456183</v>
      </c>
      <c r="H236" s="386">
        <f>INDEX('CTR1 Data Previous Year'!$C:$C,MATCH($D236,'CTR1 Data Previous Year'!$A:$A,0),1)</f>
        <v>0</v>
      </c>
      <c r="I236" s="386">
        <f>INDEX('CTR1 Data Previous Year'!$D:$D,MATCH($D236,'CTR1 Data Previous Year'!$A:$A,0),1)</f>
        <v>406208</v>
      </c>
      <c r="J236" s="386">
        <f>INDEX('CTR1 Data Previous Year'!$E:$E,MATCH($D236,'CTR1 Data Previous Year'!$A:$A,0),1)</f>
        <v>101049975</v>
      </c>
      <c r="K236" s="386">
        <f>INDEX('CTR1 Data Previous Year'!$F:$F,MATCH($D236,'CTR1 Data Previous Year'!$A:$A,0),1)</f>
        <v>23804105</v>
      </c>
      <c r="L236" s="465">
        <f>INDEX('CTR1 Data Previous Year'!$G:$G,MATCH($D236,'CTR1 Data Previous Year'!$A:$A,0),1)</f>
        <v>55190.13</v>
      </c>
      <c r="M236" s="455">
        <f>INDEX('CTR1 Data Previous Year'!$H:$H,MATCH($D236,'CTR1 Data Previous Year'!$A:$A,0),1)</f>
        <v>0.97299999999999998</v>
      </c>
      <c r="N236" s="465">
        <f>INDEX('CTR1 Data Previous Year'!$I:$I,MATCH($D236,'CTR1 Data Previous Year'!$A:$A,0),1)</f>
        <v>0</v>
      </c>
      <c r="O236" s="160" t="s">
        <v>129</v>
      </c>
      <c r="P236" s="817"/>
      <c r="Q236" s="820" t="s">
        <v>927</v>
      </c>
      <c r="R236" s="817" t="s">
        <v>928</v>
      </c>
      <c r="S236" s="821" t="s">
        <v>929</v>
      </c>
      <c r="T236" s="817" t="s">
        <v>930</v>
      </c>
      <c r="U236" s="822" t="s">
        <v>834</v>
      </c>
      <c r="V236" s="817" t="s">
        <v>835</v>
      </c>
      <c r="W236" s="465">
        <f>INDEX('CTR1 Data Previous Year'!$J:$J,MATCH($D236,'CTR1 Data Previous Year'!$A:$A,0),1)</f>
        <v>53700</v>
      </c>
      <c r="X236" s="465">
        <f>INDEX('CTR1 Data Previous Year'!$K:$K,MATCH($D236,'CTR1 Data Previous Year'!$A:$A,0),1)</f>
        <v>1889.31</v>
      </c>
      <c r="Y236" s="465">
        <f>INDEX('CTR1 Data Previous Year'!$L:$L,MATCH($D236,'CTR1 Data Previous Year'!$A:$A,0),1)</f>
        <v>1881.75</v>
      </c>
      <c r="Z236" s="836" t="str">
        <f t="shared" si="36"/>
        <v>N</v>
      </c>
      <c r="AA236" s="837" t="str">
        <f t="shared" si="37"/>
        <v>N</v>
      </c>
      <c r="AB236" s="838">
        <f t="shared" si="38"/>
        <v>1881.75</v>
      </c>
      <c r="AC236" s="868">
        <f t="shared" si="39"/>
        <v>0</v>
      </c>
      <c r="AD236" s="876">
        <f t="shared" si="40"/>
        <v>0</v>
      </c>
      <c r="AE236" s="838">
        <f t="shared" si="41"/>
        <v>1975.8375000000001</v>
      </c>
      <c r="AF236" s="838">
        <f t="shared" si="42"/>
        <v>1881.75</v>
      </c>
      <c r="AG236" s="839">
        <f t="shared" si="44"/>
        <v>0</v>
      </c>
      <c r="AH236" s="839">
        <f t="shared" si="45"/>
        <v>1975.84</v>
      </c>
      <c r="AI236" s="840">
        <f t="shared" si="43"/>
        <v>37.64</v>
      </c>
      <c r="AJ236" s="841">
        <f t="shared" si="46"/>
        <v>2.0002657101102696E-2</v>
      </c>
      <c r="AK236" s="446"/>
      <c r="AL236" s="446"/>
      <c r="AM236" s="446"/>
      <c r="AN236" s="446"/>
    </row>
    <row r="237" spans="1:40" ht="15" customHeight="1" x14ac:dyDescent="0.25">
      <c r="A237" s="370">
        <v>232</v>
      </c>
      <c r="B237" s="371" t="s">
        <v>1233</v>
      </c>
      <c r="C237" s="370" t="s">
        <v>1234</v>
      </c>
      <c r="D237" s="370" t="s">
        <v>1235</v>
      </c>
      <c r="E237" s="370" t="s">
        <v>321</v>
      </c>
      <c r="F237" s="370" t="s">
        <v>444</v>
      </c>
      <c r="G237" s="386">
        <f>INDEX('CTR1 Data Previous Year'!$B:$B,MATCH($D237,'CTR1 Data Previous Year'!$A:$A,0),1)</f>
        <v>10409588</v>
      </c>
      <c r="H237" s="386">
        <f>INDEX('CTR1 Data Previous Year'!$C:$C,MATCH($D237,'CTR1 Data Previous Year'!$A:$A,0),1)</f>
        <v>0</v>
      </c>
      <c r="I237" s="386">
        <f>INDEX('CTR1 Data Previous Year'!$D:$D,MATCH($D237,'CTR1 Data Previous Year'!$A:$A,0),1)</f>
        <v>1537484</v>
      </c>
      <c r="J237" s="386">
        <f>INDEX('CTR1 Data Previous Year'!$E:$E,MATCH($D237,'CTR1 Data Previous Year'!$A:$A,0),1)</f>
        <v>8872104</v>
      </c>
      <c r="K237" s="386">
        <f>INDEX('CTR1 Data Previous Year'!$F:$F,MATCH($D237,'CTR1 Data Previous Year'!$A:$A,0),1)</f>
        <v>0</v>
      </c>
      <c r="L237" s="465">
        <f>INDEX('CTR1 Data Previous Year'!$G:$G,MATCH($D237,'CTR1 Data Previous Year'!$A:$A,0),1)</f>
        <v>50361.62</v>
      </c>
      <c r="M237" s="455">
        <f>INDEX('CTR1 Data Previous Year'!$H:$H,MATCH($D237,'CTR1 Data Previous Year'!$A:$A,0),1)</f>
        <v>0.97629999999999995</v>
      </c>
      <c r="N237" s="465">
        <f>INDEX('CTR1 Data Previous Year'!$I:$I,MATCH($D237,'CTR1 Data Previous Year'!$A:$A,0),1)</f>
        <v>466.1</v>
      </c>
      <c r="O237" s="160" t="s">
        <v>597</v>
      </c>
      <c r="P237" s="817" t="s">
        <v>598</v>
      </c>
      <c r="Q237" s="820" t="s">
        <v>599</v>
      </c>
      <c r="R237" s="817" t="s">
        <v>600</v>
      </c>
      <c r="S237" s="821" t="s">
        <v>601</v>
      </c>
      <c r="T237" s="817" t="s">
        <v>602</v>
      </c>
      <c r="U237" s="160"/>
      <c r="V237" s="817"/>
      <c r="W237" s="465">
        <f>INDEX('CTR1 Data Previous Year'!$J:$J,MATCH($D237,'CTR1 Data Previous Year'!$A:$A,0),1)</f>
        <v>49634.15</v>
      </c>
      <c r="X237" s="465">
        <f>INDEX('CTR1 Data Previous Year'!$K:$K,MATCH($D237,'CTR1 Data Previous Year'!$A:$A,0),1)</f>
        <v>209.73</v>
      </c>
      <c r="Y237" s="465">
        <f>INDEX('CTR1 Data Previous Year'!$L:$L,MATCH($D237,'CTR1 Data Previous Year'!$A:$A,0),1)</f>
        <v>178.75</v>
      </c>
      <c r="Z237" s="836" t="str">
        <f t="shared" si="36"/>
        <v>N</v>
      </c>
      <c r="AA237" s="837" t="str">
        <f t="shared" si="37"/>
        <v>N</v>
      </c>
      <c r="AB237" s="838">
        <f t="shared" si="38"/>
        <v>178.75</v>
      </c>
      <c r="AC237" s="868">
        <f t="shared" si="39"/>
        <v>0</v>
      </c>
      <c r="AD237" s="876">
        <f t="shared" si="40"/>
        <v>0</v>
      </c>
      <c r="AE237" s="838">
        <f t="shared" si="41"/>
        <v>184.11250000000001</v>
      </c>
      <c r="AF237" s="838">
        <f t="shared" si="42"/>
        <v>183.75</v>
      </c>
      <c r="AG237" s="839">
        <f t="shared" si="44"/>
        <v>0</v>
      </c>
      <c r="AH237" s="839">
        <f t="shared" si="45"/>
        <v>184.11</v>
      </c>
      <c r="AI237" s="840">
        <f t="shared" si="43"/>
        <v>0</v>
      </c>
      <c r="AJ237" s="841">
        <f t="shared" si="46"/>
        <v>0</v>
      </c>
      <c r="AK237" s="446"/>
      <c r="AL237" s="446"/>
      <c r="AM237" s="446"/>
      <c r="AN237" s="446"/>
    </row>
    <row r="238" spans="1:40" ht="15" customHeight="1" x14ac:dyDescent="0.25">
      <c r="A238" s="370">
        <v>233</v>
      </c>
      <c r="B238" s="371" t="s">
        <v>1236</v>
      </c>
      <c r="C238" s="370" t="s">
        <v>1237</v>
      </c>
      <c r="D238" s="370" t="s">
        <v>1238</v>
      </c>
      <c r="E238" s="370" t="s">
        <v>321</v>
      </c>
      <c r="F238" s="370" t="s">
        <v>444</v>
      </c>
      <c r="G238" s="386">
        <f>INDEX('CTR1 Data Previous Year'!$B:$B,MATCH($D238,'CTR1 Data Previous Year'!$A:$A,0),1)</f>
        <v>8230289</v>
      </c>
      <c r="H238" s="386">
        <f>INDEX('CTR1 Data Previous Year'!$C:$C,MATCH($D238,'CTR1 Data Previous Year'!$A:$A,0),1)</f>
        <v>0</v>
      </c>
      <c r="I238" s="386">
        <f>INDEX('CTR1 Data Previous Year'!$D:$D,MATCH($D238,'CTR1 Data Previous Year'!$A:$A,0),1)</f>
        <v>1836749</v>
      </c>
      <c r="J238" s="386">
        <f>INDEX('CTR1 Data Previous Year'!$E:$E,MATCH($D238,'CTR1 Data Previous Year'!$A:$A,0),1)</f>
        <v>6393540</v>
      </c>
      <c r="K238" s="386">
        <f>INDEX('CTR1 Data Previous Year'!$F:$F,MATCH($D238,'CTR1 Data Previous Year'!$A:$A,0),1)</f>
        <v>444080</v>
      </c>
      <c r="L238" s="465">
        <f>INDEX('CTR1 Data Previous Year'!$G:$G,MATCH($D238,'CTR1 Data Previous Year'!$A:$A,0),1)</f>
        <v>34729.29</v>
      </c>
      <c r="M238" s="455">
        <f>INDEX('CTR1 Data Previous Year'!$H:$H,MATCH($D238,'CTR1 Data Previous Year'!$A:$A,0),1)</f>
        <v>0.99</v>
      </c>
      <c r="N238" s="465">
        <f>INDEX('CTR1 Data Previous Year'!$I:$I,MATCH($D238,'CTR1 Data Previous Year'!$A:$A,0),1)</f>
        <v>0</v>
      </c>
      <c r="O238" s="160" t="s">
        <v>597</v>
      </c>
      <c r="P238" s="817" t="s">
        <v>598</v>
      </c>
      <c r="Q238" s="820" t="s">
        <v>599</v>
      </c>
      <c r="R238" s="817" t="s">
        <v>600</v>
      </c>
      <c r="S238" s="821" t="s">
        <v>601</v>
      </c>
      <c r="T238" s="817" t="s">
        <v>602</v>
      </c>
      <c r="U238" s="160"/>
      <c r="V238" s="817"/>
      <c r="W238" s="465">
        <f>INDEX('CTR1 Data Previous Year'!$J:$J,MATCH($D238,'CTR1 Data Previous Year'!$A:$A,0),1)</f>
        <v>34382</v>
      </c>
      <c r="X238" s="465">
        <f>INDEX('CTR1 Data Previous Year'!$K:$K,MATCH($D238,'CTR1 Data Previous Year'!$A:$A,0),1)</f>
        <v>239.38</v>
      </c>
      <c r="Y238" s="465">
        <f>INDEX('CTR1 Data Previous Year'!$L:$L,MATCH($D238,'CTR1 Data Previous Year'!$A:$A,0),1)</f>
        <v>185.96</v>
      </c>
      <c r="Z238" s="836" t="str">
        <f t="shared" si="36"/>
        <v>N</v>
      </c>
      <c r="AA238" s="837" t="str">
        <f t="shared" si="37"/>
        <v>N</v>
      </c>
      <c r="AB238" s="838">
        <f t="shared" si="38"/>
        <v>185.96</v>
      </c>
      <c r="AC238" s="868">
        <f t="shared" si="39"/>
        <v>0</v>
      </c>
      <c r="AD238" s="876">
        <f t="shared" si="40"/>
        <v>0</v>
      </c>
      <c r="AE238" s="838">
        <f t="shared" si="41"/>
        <v>191.53880000000001</v>
      </c>
      <c r="AF238" s="838">
        <f t="shared" si="42"/>
        <v>190.96</v>
      </c>
      <c r="AG238" s="839">
        <f t="shared" si="44"/>
        <v>0</v>
      </c>
      <c r="AH238" s="839">
        <f t="shared" si="45"/>
        <v>191.54</v>
      </c>
      <c r="AI238" s="840">
        <f t="shared" si="43"/>
        <v>0</v>
      </c>
      <c r="AJ238" s="841">
        <f t="shared" si="46"/>
        <v>0</v>
      </c>
      <c r="AK238" s="446"/>
      <c r="AL238" s="446"/>
      <c r="AM238" s="446"/>
      <c r="AN238" s="446"/>
    </row>
    <row r="239" spans="1:40" ht="15" customHeight="1" x14ac:dyDescent="0.25">
      <c r="A239" s="370">
        <v>234</v>
      </c>
      <c r="B239" s="371" t="s">
        <v>1239</v>
      </c>
      <c r="C239" s="370" t="s">
        <v>1240</v>
      </c>
      <c r="D239" s="370" t="s">
        <v>1241</v>
      </c>
      <c r="E239" s="370" t="s">
        <v>321</v>
      </c>
      <c r="F239" s="370" t="s">
        <v>368</v>
      </c>
      <c r="G239" s="386">
        <f>INDEX('CTR1 Data Previous Year'!$B:$B,MATCH($D239,'CTR1 Data Previous Year'!$A:$A,0),1)</f>
        <v>7040510</v>
      </c>
      <c r="H239" s="386">
        <f>INDEX('CTR1 Data Previous Year'!$C:$C,MATCH($D239,'CTR1 Data Previous Year'!$A:$A,0),1)</f>
        <v>0</v>
      </c>
      <c r="I239" s="386">
        <f>INDEX('CTR1 Data Previous Year'!$D:$D,MATCH($D239,'CTR1 Data Previous Year'!$A:$A,0),1)</f>
        <v>0</v>
      </c>
      <c r="J239" s="386">
        <f>INDEX('CTR1 Data Previous Year'!$E:$E,MATCH($D239,'CTR1 Data Previous Year'!$A:$A,0),1)</f>
        <v>7040510</v>
      </c>
      <c r="K239" s="386">
        <f>INDEX('CTR1 Data Previous Year'!$F:$F,MATCH($D239,'CTR1 Data Previous Year'!$A:$A,0),1)</f>
        <v>0</v>
      </c>
      <c r="L239" s="465">
        <f>INDEX('CTR1 Data Previous Year'!$G:$G,MATCH($D239,'CTR1 Data Previous Year'!$A:$A,0),1)</f>
        <v>29154.9</v>
      </c>
      <c r="M239" s="455">
        <f>INDEX('CTR1 Data Previous Year'!$H:$H,MATCH($D239,'CTR1 Data Previous Year'!$A:$A,0),1)</f>
        <v>0.98</v>
      </c>
      <c r="N239" s="465">
        <f>INDEX('CTR1 Data Previous Year'!$I:$I,MATCH($D239,'CTR1 Data Previous Year'!$A:$A,0),1)</f>
        <v>0</v>
      </c>
      <c r="O239" s="160" t="s">
        <v>557</v>
      </c>
      <c r="P239" s="817" t="s">
        <v>558</v>
      </c>
      <c r="Q239" s="820" t="s">
        <v>559</v>
      </c>
      <c r="R239" s="817" t="s">
        <v>560</v>
      </c>
      <c r="S239" s="821" t="s">
        <v>129</v>
      </c>
      <c r="T239" s="817"/>
      <c r="U239" s="160"/>
      <c r="V239" s="817"/>
      <c r="W239" s="465">
        <f>INDEX('CTR1 Data Previous Year'!$J:$J,MATCH($D239,'CTR1 Data Previous Year'!$A:$A,0),1)</f>
        <v>28571.8</v>
      </c>
      <c r="X239" s="465">
        <f>INDEX('CTR1 Data Previous Year'!$K:$K,MATCH($D239,'CTR1 Data Previous Year'!$A:$A,0),1)</f>
        <v>246.41</v>
      </c>
      <c r="Y239" s="465">
        <f>INDEX('CTR1 Data Previous Year'!$L:$L,MATCH($D239,'CTR1 Data Previous Year'!$A:$A,0),1)</f>
        <v>246.41</v>
      </c>
      <c r="Z239" s="836" t="str">
        <f t="shared" si="36"/>
        <v>N</v>
      </c>
      <c r="AA239" s="837" t="str">
        <f t="shared" si="37"/>
        <v>N</v>
      </c>
      <c r="AB239" s="838">
        <f t="shared" si="38"/>
        <v>246.41</v>
      </c>
      <c r="AC239" s="868">
        <f t="shared" si="39"/>
        <v>0</v>
      </c>
      <c r="AD239" s="876">
        <f t="shared" si="40"/>
        <v>0</v>
      </c>
      <c r="AE239" s="838">
        <f t="shared" si="41"/>
        <v>253.8023</v>
      </c>
      <c r="AF239" s="838">
        <f t="shared" si="42"/>
        <v>251.41</v>
      </c>
      <c r="AG239" s="839">
        <f t="shared" si="44"/>
        <v>0</v>
      </c>
      <c r="AH239" s="839">
        <f t="shared" si="45"/>
        <v>253.8</v>
      </c>
      <c r="AI239" s="840">
        <f t="shared" si="43"/>
        <v>0</v>
      </c>
      <c r="AJ239" s="841">
        <f t="shared" si="46"/>
        <v>0</v>
      </c>
      <c r="AK239" s="446"/>
      <c r="AL239" s="446"/>
      <c r="AM239" s="446"/>
      <c r="AN239" s="446"/>
    </row>
    <row r="240" spans="1:40" ht="15" customHeight="1" x14ac:dyDescent="0.25">
      <c r="A240" s="370">
        <v>235</v>
      </c>
      <c r="B240" s="371" t="s">
        <v>1242</v>
      </c>
      <c r="C240" s="370" t="s">
        <v>1243</v>
      </c>
      <c r="D240" s="370" t="s">
        <v>1244</v>
      </c>
      <c r="E240" s="370" t="s">
        <v>353</v>
      </c>
      <c r="F240" s="370" t="s">
        <v>463</v>
      </c>
      <c r="G240" s="386">
        <f>INDEX('CTR1 Data Previous Year'!$B:$B,MATCH($D240,'CTR1 Data Previous Year'!$A:$A,0),1)</f>
        <v>206234970</v>
      </c>
      <c r="H240" s="386">
        <f>INDEX('CTR1 Data Previous Year'!$C:$C,MATCH($D240,'CTR1 Data Previous Year'!$A:$A,0),1)</f>
        <v>0</v>
      </c>
      <c r="I240" s="386">
        <f>INDEX('CTR1 Data Previous Year'!$D:$D,MATCH($D240,'CTR1 Data Previous Year'!$A:$A,0),1)</f>
        <v>0</v>
      </c>
      <c r="J240" s="386">
        <f>INDEX('CTR1 Data Previous Year'!$E:$E,MATCH($D240,'CTR1 Data Previous Year'!$A:$A,0),1)</f>
        <v>206234970</v>
      </c>
      <c r="K240" s="386">
        <f>INDEX('CTR1 Data Previous Year'!$F:$F,MATCH($D240,'CTR1 Data Previous Year'!$A:$A,0),1)</f>
        <v>43954726</v>
      </c>
      <c r="L240" s="465">
        <f>INDEX('CTR1 Data Previous Year'!$G:$G,MATCH($D240,'CTR1 Data Previous Year'!$A:$A,0),1)</f>
        <v>100546.15</v>
      </c>
      <c r="M240" s="455">
        <f>INDEX('CTR1 Data Previous Year'!$H:$H,MATCH($D240,'CTR1 Data Previous Year'!$A:$A,0),1)</f>
        <v>0.98799999999999999</v>
      </c>
      <c r="N240" s="465">
        <f>INDEX('CTR1 Data Previous Year'!$I:$I,MATCH($D240,'CTR1 Data Previous Year'!$A:$A,0),1)</f>
        <v>0</v>
      </c>
      <c r="O240" s="160" t="s">
        <v>129</v>
      </c>
      <c r="P240" s="817"/>
      <c r="Q240" s="820" t="s">
        <v>477</v>
      </c>
      <c r="R240" s="817" t="s">
        <v>478</v>
      </c>
      <c r="S240" s="821"/>
      <c r="T240" s="817"/>
      <c r="U240" s="822" t="s">
        <v>479</v>
      </c>
      <c r="V240" s="817" t="s">
        <v>478</v>
      </c>
      <c r="W240" s="465">
        <f>INDEX('CTR1 Data Previous Year'!$J:$J,MATCH($D240,'CTR1 Data Previous Year'!$A:$A,0),1)</f>
        <v>99339.6</v>
      </c>
      <c r="X240" s="465">
        <f>INDEX('CTR1 Data Previous Year'!$K:$K,MATCH($D240,'CTR1 Data Previous Year'!$A:$A,0),1)</f>
        <v>2076.06</v>
      </c>
      <c r="Y240" s="465">
        <f>INDEX('CTR1 Data Previous Year'!$L:$L,MATCH($D240,'CTR1 Data Previous Year'!$A:$A,0),1)</f>
        <v>2076.06</v>
      </c>
      <c r="Z240" s="836" t="str">
        <f t="shared" si="36"/>
        <v>N</v>
      </c>
      <c r="AA240" s="837" t="str">
        <f t="shared" si="37"/>
        <v>N</v>
      </c>
      <c r="AB240" s="838">
        <f t="shared" si="38"/>
        <v>2076.06</v>
      </c>
      <c r="AC240" s="868">
        <f t="shared" si="39"/>
        <v>0</v>
      </c>
      <c r="AD240" s="876">
        <f t="shared" si="40"/>
        <v>0</v>
      </c>
      <c r="AE240" s="838">
        <f t="shared" si="41"/>
        <v>2179.8629999999998</v>
      </c>
      <c r="AF240" s="838">
        <f t="shared" si="42"/>
        <v>2076.06</v>
      </c>
      <c r="AG240" s="839">
        <f t="shared" si="44"/>
        <v>0</v>
      </c>
      <c r="AH240" s="839">
        <f t="shared" si="45"/>
        <v>2179.86</v>
      </c>
      <c r="AI240" s="840">
        <f t="shared" si="43"/>
        <v>41.52</v>
      </c>
      <c r="AJ240" s="841">
        <f t="shared" si="46"/>
        <v>1.9999421982023643E-2</v>
      </c>
      <c r="AK240" s="446"/>
      <c r="AL240" s="446"/>
      <c r="AM240" s="446"/>
      <c r="AN240" s="446"/>
    </row>
    <row r="241" spans="1:40" ht="15" customHeight="1" x14ac:dyDescent="0.25">
      <c r="A241" s="370">
        <v>236</v>
      </c>
      <c r="B241" s="371" t="s">
        <v>1245</v>
      </c>
      <c r="C241" s="370" t="s">
        <v>1246</v>
      </c>
      <c r="D241" s="370" t="s">
        <v>1247</v>
      </c>
      <c r="E241" s="370" t="s">
        <v>339</v>
      </c>
      <c r="F241" s="370" t="s">
        <v>685</v>
      </c>
      <c r="G241" s="386">
        <f>INDEX('CTR1 Data Previous Year'!$B:$B,MATCH($D241,'CTR1 Data Previous Year'!$A:$A,0),1)</f>
        <v>125612202</v>
      </c>
      <c r="H241" s="386">
        <f>INDEX('CTR1 Data Previous Year'!$C:$C,MATCH($D241,'CTR1 Data Previous Year'!$A:$A,0),1)</f>
        <v>0</v>
      </c>
      <c r="I241" s="386">
        <f>INDEX('CTR1 Data Previous Year'!$D:$D,MATCH($D241,'CTR1 Data Previous Year'!$A:$A,0),1)</f>
        <v>1073343</v>
      </c>
      <c r="J241" s="386">
        <f>INDEX('CTR1 Data Previous Year'!$E:$E,MATCH($D241,'CTR1 Data Previous Year'!$A:$A,0),1)</f>
        <v>124538859</v>
      </c>
      <c r="K241" s="386">
        <f>INDEX('CTR1 Data Previous Year'!$F:$F,MATCH($D241,'CTR1 Data Previous Year'!$A:$A,0),1)</f>
        <v>271000</v>
      </c>
      <c r="L241" s="465">
        <f>INDEX('CTR1 Data Previous Year'!$G:$G,MATCH($D241,'CTR1 Data Previous Year'!$A:$A,0),1)</f>
        <v>62166.95</v>
      </c>
      <c r="M241" s="455">
        <f>INDEX('CTR1 Data Previous Year'!$H:$H,MATCH($D241,'CTR1 Data Previous Year'!$A:$A,0),1)</f>
        <v>0.98250000000000004</v>
      </c>
      <c r="N241" s="465">
        <f>INDEX('CTR1 Data Previous Year'!$I:$I,MATCH($D241,'CTR1 Data Previous Year'!$A:$A,0),1)</f>
        <v>0</v>
      </c>
      <c r="O241" s="160" t="s">
        <v>129</v>
      </c>
      <c r="P241" s="817"/>
      <c r="Q241" s="820" t="s">
        <v>857</v>
      </c>
      <c r="R241" s="817" t="s">
        <v>858</v>
      </c>
      <c r="S241" s="821" t="s">
        <v>859</v>
      </c>
      <c r="T241" s="817" t="s">
        <v>860</v>
      </c>
      <c r="U241" s="822" t="s">
        <v>690</v>
      </c>
      <c r="V241" s="817" t="s">
        <v>691</v>
      </c>
      <c r="W241" s="465">
        <f>INDEX('CTR1 Data Previous Year'!$J:$J,MATCH($D241,'CTR1 Data Previous Year'!$A:$A,0),1)</f>
        <v>61079.03</v>
      </c>
      <c r="X241" s="465">
        <f>INDEX('CTR1 Data Previous Year'!$K:$K,MATCH($D241,'CTR1 Data Previous Year'!$A:$A,0),1)</f>
        <v>2056.5500000000002</v>
      </c>
      <c r="Y241" s="465">
        <f>INDEX('CTR1 Data Previous Year'!$L:$L,MATCH($D241,'CTR1 Data Previous Year'!$A:$A,0),1)</f>
        <v>2038.98</v>
      </c>
      <c r="Z241" s="836" t="str">
        <f t="shared" si="36"/>
        <v>N</v>
      </c>
      <c r="AA241" s="837" t="str">
        <f t="shared" si="37"/>
        <v>N</v>
      </c>
      <c r="AB241" s="838">
        <f t="shared" si="38"/>
        <v>2038.98</v>
      </c>
      <c r="AC241" s="868">
        <f t="shared" si="39"/>
        <v>0</v>
      </c>
      <c r="AD241" s="876">
        <f t="shared" si="40"/>
        <v>0</v>
      </c>
      <c r="AE241" s="838">
        <f t="shared" si="41"/>
        <v>2140.9290000000001</v>
      </c>
      <c r="AF241" s="838">
        <f t="shared" si="42"/>
        <v>2038.98</v>
      </c>
      <c r="AG241" s="839">
        <f t="shared" si="44"/>
        <v>0</v>
      </c>
      <c r="AH241" s="839">
        <f t="shared" si="45"/>
        <v>2140.9299999999998</v>
      </c>
      <c r="AI241" s="840">
        <f t="shared" si="43"/>
        <v>40.78</v>
      </c>
      <c r="AJ241" s="841">
        <f t="shared" si="46"/>
        <v>2.0000196176519634E-2</v>
      </c>
      <c r="AK241" s="446"/>
      <c r="AL241" s="446"/>
      <c r="AM241" s="446"/>
      <c r="AN241" s="446"/>
    </row>
    <row r="242" spans="1:40" ht="15" customHeight="1" x14ac:dyDescent="0.25">
      <c r="A242" s="370">
        <v>237</v>
      </c>
      <c r="B242" s="371" t="s">
        <v>1248</v>
      </c>
      <c r="C242" s="370" t="s">
        <v>1249</v>
      </c>
      <c r="D242" s="370" t="s">
        <v>1250</v>
      </c>
      <c r="E242" s="370" t="s">
        <v>339</v>
      </c>
      <c r="F242" s="370" t="s">
        <v>444</v>
      </c>
      <c r="G242" s="386">
        <f>INDEX('CTR1 Data Previous Year'!$B:$B,MATCH($D242,'CTR1 Data Previous Year'!$A:$A,0),1)</f>
        <v>116977509</v>
      </c>
      <c r="H242" s="386">
        <f>INDEX('CTR1 Data Previous Year'!$C:$C,MATCH($D242,'CTR1 Data Previous Year'!$A:$A,0),1)</f>
        <v>0</v>
      </c>
      <c r="I242" s="386">
        <f>INDEX('CTR1 Data Previous Year'!$D:$D,MATCH($D242,'CTR1 Data Previous Year'!$A:$A,0),1)</f>
        <v>0</v>
      </c>
      <c r="J242" s="386">
        <f>INDEX('CTR1 Data Previous Year'!$E:$E,MATCH($D242,'CTR1 Data Previous Year'!$A:$A,0),1)</f>
        <v>116977509</v>
      </c>
      <c r="K242" s="386">
        <f>INDEX('CTR1 Data Previous Year'!$F:$F,MATCH($D242,'CTR1 Data Previous Year'!$A:$A,0),1)</f>
        <v>82880</v>
      </c>
      <c r="L242" s="465">
        <f>INDEX('CTR1 Data Previous Year'!$G:$G,MATCH($D242,'CTR1 Data Previous Year'!$A:$A,0),1)</f>
        <v>69546.3</v>
      </c>
      <c r="M242" s="455">
        <f>INDEX('CTR1 Data Previous Year'!$H:$H,MATCH($D242,'CTR1 Data Previous Year'!$A:$A,0),1)</f>
        <v>0.99</v>
      </c>
      <c r="N242" s="465">
        <f>INDEX('CTR1 Data Previous Year'!$I:$I,MATCH($D242,'CTR1 Data Previous Year'!$A:$A,0),1)</f>
        <v>0</v>
      </c>
      <c r="O242" s="160" t="s">
        <v>129</v>
      </c>
      <c r="P242" s="817"/>
      <c r="Q242" s="820" t="s">
        <v>599</v>
      </c>
      <c r="R242" s="817" t="s">
        <v>600</v>
      </c>
      <c r="S242" s="821" t="s">
        <v>601</v>
      </c>
      <c r="T242" s="817" t="s">
        <v>602</v>
      </c>
      <c r="U242" s="160"/>
      <c r="V242" s="817"/>
      <c r="W242" s="465">
        <f>INDEX('CTR1 Data Previous Year'!$J:$J,MATCH($D242,'CTR1 Data Previous Year'!$A:$A,0),1)</f>
        <v>68850.84</v>
      </c>
      <c r="X242" s="465">
        <f>INDEX('CTR1 Data Previous Year'!$K:$K,MATCH($D242,'CTR1 Data Previous Year'!$A:$A,0),1)</f>
        <v>1699</v>
      </c>
      <c r="Y242" s="465">
        <f>INDEX('CTR1 Data Previous Year'!$L:$L,MATCH($D242,'CTR1 Data Previous Year'!$A:$A,0),1)</f>
        <v>1699</v>
      </c>
      <c r="Z242" s="836" t="str">
        <f t="shared" si="36"/>
        <v>N</v>
      </c>
      <c r="AA242" s="837" t="str">
        <f t="shared" si="37"/>
        <v>N</v>
      </c>
      <c r="AB242" s="838">
        <f t="shared" si="38"/>
        <v>1699</v>
      </c>
      <c r="AC242" s="868">
        <f t="shared" si="39"/>
        <v>0</v>
      </c>
      <c r="AD242" s="876">
        <f t="shared" si="40"/>
        <v>0</v>
      </c>
      <c r="AE242" s="838">
        <f t="shared" si="41"/>
        <v>1783.95</v>
      </c>
      <c r="AF242" s="838">
        <f t="shared" si="42"/>
        <v>1699</v>
      </c>
      <c r="AG242" s="839">
        <f t="shared" si="44"/>
        <v>0</v>
      </c>
      <c r="AH242" s="839">
        <f t="shared" si="45"/>
        <v>1783.95</v>
      </c>
      <c r="AI242" s="840">
        <f t="shared" si="43"/>
        <v>33.979999999999997</v>
      </c>
      <c r="AJ242" s="841">
        <f t="shared" si="46"/>
        <v>1.9999999999999997E-2</v>
      </c>
      <c r="AK242" s="446"/>
      <c r="AL242" s="446"/>
      <c r="AM242" s="446"/>
      <c r="AN242" s="446"/>
    </row>
    <row r="243" spans="1:40" ht="15" customHeight="1" x14ac:dyDescent="0.25">
      <c r="A243" s="370">
        <v>238</v>
      </c>
      <c r="B243" s="371" t="s">
        <v>1251</v>
      </c>
      <c r="C243" s="370" t="s">
        <v>1252</v>
      </c>
      <c r="D243" s="370" t="s">
        <v>1253</v>
      </c>
      <c r="E243" s="370" t="s">
        <v>321</v>
      </c>
      <c r="F243" s="370" t="s">
        <v>444</v>
      </c>
      <c r="G243" s="386">
        <f>INDEX('CTR1 Data Previous Year'!$B:$B,MATCH($D243,'CTR1 Data Previous Year'!$A:$A,0),1)</f>
        <v>15873540</v>
      </c>
      <c r="H243" s="386">
        <f>INDEX('CTR1 Data Previous Year'!$C:$C,MATCH($D243,'CTR1 Data Previous Year'!$A:$A,0),1)</f>
        <v>0</v>
      </c>
      <c r="I243" s="386">
        <f>INDEX('CTR1 Data Previous Year'!$D:$D,MATCH($D243,'CTR1 Data Previous Year'!$A:$A,0),1)</f>
        <v>5273220</v>
      </c>
      <c r="J243" s="386">
        <f>INDEX('CTR1 Data Previous Year'!$E:$E,MATCH($D243,'CTR1 Data Previous Year'!$A:$A,0),1)</f>
        <v>10600320</v>
      </c>
      <c r="K243" s="386">
        <f>INDEX('CTR1 Data Previous Year'!$F:$F,MATCH($D243,'CTR1 Data Previous Year'!$A:$A,0),1)</f>
        <v>0</v>
      </c>
      <c r="L243" s="465">
        <f>INDEX('CTR1 Data Previous Year'!$G:$G,MATCH($D243,'CTR1 Data Previous Year'!$A:$A,0),1)</f>
        <v>62849.99</v>
      </c>
      <c r="M243" s="455">
        <f>INDEX('CTR1 Data Previous Year'!$H:$H,MATCH($D243,'CTR1 Data Previous Year'!$A:$A,0),1)</f>
        <v>0.99601110000000004</v>
      </c>
      <c r="N243" s="465">
        <f>INDEX('CTR1 Data Previous Year'!$I:$I,MATCH($D243,'CTR1 Data Previous Year'!$A:$A,0),1)</f>
        <v>80</v>
      </c>
      <c r="O243" s="160" t="s">
        <v>1054</v>
      </c>
      <c r="P243" s="817" t="s">
        <v>1055</v>
      </c>
      <c r="Q243" s="820" t="s">
        <v>1056</v>
      </c>
      <c r="R243" s="817" t="s">
        <v>1057</v>
      </c>
      <c r="S243" s="821" t="s">
        <v>129</v>
      </c>
      <c r="T243" s="817"/>
      <c r="U243" s="160"/>
      <c r="V243" s="817"/>
      <c r="W243" s="465">
        <f>INDEX('CTR1 Data Previous Year'!$J:$J,MATCH($D243,'CTR1 Data Previous Year'!$A:$A,0),1)</f>
        <v>62679.29</v>
      </c>
      <c r="X243" s="465">
        <f>INDEX('CTR1 Data Previous Year'!$K:$K,MATCH($D243,'CTR1 Data Previous Year'!$A:$A,0),1)</f>
        <v>253.25</v>
      </c>
      <c r="Y243" s="465">
        <f>INDEX('CTR1 Data Previous Year'!$L:$L,MATCH($D243,'CTR1 Data Previous Year'!$A:$A,0),1)</f>
        <v>169.12</v>
      </c>
      <c r="Z243" s="836" t="str">
        <f t="shared" si="36"/>
        <v>N</v>
      </c>
      <c r="AA243" s="837" t="str">
        <f t="shared" si="37"/>
        <v>N</v>
      </c>
      <c r="AB243" s="838">
        <f t="shared" si="38"/>
        <v>169.12</v>
      </c>
      <c r="AC243" s="868">
        <f t="shared" si="39"/>
        <v>0</v>
      </c>
      <c r="AD243" s="876">
        <f t="shared" si="40"/>
        <v>0</v>
      </c>
      <c r="AE243" s="838">
        <f t="shared" si="41"/>
        <v>174.1936</v>
      </c>
      <c r="AF243" s="838">
        <f t="shared" si="42"/>
        <v>174.12</v>
      </c>
      <c r="AG243" s="839">
        <f t="shared" si="44"/>
        <v>0</v>
      </c>
      <c r="AH243" s="839">
        <f t="shared" si="45"/>
        <v>174.19</v>
      </c>
      <c r="AI243" s="840">
        <f t="shared" si="43"/>
        <v>0</v>
      </c>
      <c r="AJ243" s="841">
        <f t="shared" si="46"/>
        <v>0</v>
      </c>
      <c r="AK243" s="446"/>
      <c r="AL243" s="446"/>
      <c r="AM243" s="446"/>
      <c r="AN243" s="446"/>
    </row>
    <row r="244" spans="1:40" ht="15" customHeight="1" x14ac:dyDescent="0.25">
      <c r="A244" s="370">
        <v>239</v>
      </c>
      <c r="B244" s="371" t="s">
        <v>1254</v>
      </c>
      <c r="C244" s="370" t="s">
        <v>1255</v>
      </c>
      <c r="D244" s="370" t="s">
        <v>1256</v>
      </c>
      <c r="E244" s="370" t="s">
        <v>321</v>
      </c>
      <c r="F244" s="370" t="s">
        <v>425</v>
      </c>
      <c r="G244" s="386">
        <f>INDEX('CTR1 Data Previous Year'!$B:$B,MATCH($D244,'CTR1 Data Previous Year'!$A:$A,0),1)</f>
        <v>17559278</v>
      </c>
      <c r="H244" s="386">
        <f>INDEX('CTR1 Data Previous Year'!$C:$C,MATCH($D244,'CTR1 Data Previous Year'!$A:$A,0),1)</f>
        <v>0</v>
      </c>
      <c r="I244" s="386">
        <f>INDEX('CTR1 Data Previous Year'!$D:$D,MATCH($D244,'CTR1 Data Previous Year'!$A:$A,0),1)</f>
        <v>5949332</v>
      </c>
      <c r="J244" s="386">
        <f>INDEX('CTR1 Data Previous Year'!$E:$E,MATCH($D244,'CTR1 Data Previous Year'!$A:$A,0),1)</f>
        <v>11609946</v>
      </c>
      <c r="K244" s="386">
        <f>INDEX('CTR1 Data Previous Year'!$F:$F,MATCH($D244,'CTR1 Data Previous Year'!$A:$A,0),1)</f>
        <v>0</v>
      </c>
      <c r="L244" s="465">
        <f>INDEX('CTR1 Data Previous Year'!$G:$G,MATCH($D244,'CTR1 Data Previous Year'!$A:$A,0),1)</f>
        <v>48736.71</v>
      </c>
      <c r="M244" s="455">
        <f>INDEX('CTR1 Data Previous Year'!$H:$H,MATCH($D244,'CTR1 Data Previous Year'!$A:$A,0),1)</f>
        <v>0.98</v>
      </c>
      <c r="N244" s="465">
        <f>INDEX('CTR1 Data Previous Year'!$I:$I,MATCH($D244,'CTR1 Data Previous Year'!$A:$A,0),1)</f>
        <v>0</v>
      </c>
      <c r="O244" s="160" t="s">
        <v>621</v>
      </c>
      <c r="P244" s="817" t="s">
        <v>622</v>
      </c>
      <c r="Q244" s="820" t="s">
        <v>623</v>
      </c>
      <c r="R244" s="817" t="s">
        <v>624</v>
      </c>
      <c r="S244" s="821" t="s">
        <v>129</v>
      </c>
      <c r="T244" s="817"/>
      <c r="U244" s="160"/>
      <c r="V244" s="817"/>
      <c r="W244" s="465">
        <f>INDEX('CTR1 Data Previous Year'!$J:$J,MATCH($D244,'CTR1 Data Previous Year'!$A:$A,0),1)</f>
        <v>47761.98</v>
      </c>
      <c r="X244" s="465">
        <f>INDEX('CTR1 Data Previous Year'!$K:$K,MATCH($D244,'CTR1 Data Previous Year'!$A:$A,0),1)</f>
        <v>367.64</v>
      </c>
      <c r="Y244" s="465">
        <f>INDEX('CTR1 Data Previous Year'!$L:$L,MATCH($D244,'CTR1 Data Previous Year'!$A:$A,0),1)</f>
        <v>243.08</v>
      </c>
      <c r="Z244" s="836" t="str">
        <f t="shared" si="36"/>
        <v>N</v>
      </c>
      <c r="AA244" s="837" t="str">
        <f t="shared" si="37"/>
        <v>N</v>
      </c>
      <c r="AB244" s="838">
        <f t="shared" si="38"/>
        <v>243.08</v>
      </c>
      <c r="AC244" s="868">
        <f t="shared" si="39"/>
        <v>0</v>
      </c>
      <c r="AD244" s="876">
        <f t="shared" si="40"/>
        <v>0</v>
      </c>
      <c r="AE244" s="838">
        <f t="shared" si="41"/>
        <v>250.37240000000003</v>
      </c>
      <c r="AF244" s="838">
        <f t="shared" si="42"/>
        <v>248.08</v>
      </c>
      <c r="AG244" s="839">
        <f t="shared" si="44"/>
        <v>0</v>
      </c>
      <c r="AH244" s="839">
        <f t="shared" si="45"/>
        <v>250.37</v>
      </c>
      <c r="AI244" s="840">
        <f t="shared" si="43"/>
        <v>0</v>
      </c>
      <c r="AJ244" s="841">
        <f t="shared" si="46"/>
        <v>0</v>
      </c>
      <c r="AK244" s="446"/>
      <c r="AL244" s="446"/>
      <c r="AM244" s="446"/>
      <c r="AN244" s="446"/>
    </row>
    <row r="245" spans="1:40" ht="15" customHeight="1" x14ac:dyDescent="0.25">
      <c r="A245" s="370">
        <v>240</v>
      </c>
      <c r="B245" s="371" t="s">
        <v>1257</v>
      </c>
      <c r="C245" s="370" t="s">
        <v>1258</v>
      </c>
      <c r="D245" s="370" t="s">
        <v>1259</v>
      </c>
      <c r="E245" s="370" t="s">
        <v>353</v>
      </c>
      <c r="F245" s="370" t="s">
        <v>685</v>
      </c>
      <c r="G245" s="386">
        <f>INDEX('CTR1 Data Previous Year'!$B:$B,MATCH($D245,'CTR1 Data Previous Year'!$A:$A,0),1)</f>
        <v>137359128</v>
      </c>
      <c r="H245" s="386">
        <f>INDEX('CTR1 Data Previous Year'!$C:$C,MATCH($D245,'CTR1 Data Previous Year'!$A:$A,0),1)</f>
        <v>0</v>
      </c>
      <c r="I245" s="386">
        <f>INDEX('CTR1 Data Previous Year'!$D:$D,MATCH($D245,'CTR1 Data Previous Year'!$A:$A,0),1)</f>
        <v>65437</v>
      </c>
      <c r="J245" s="386">
        <f>INDEX('CTR1 Data Previous Year'!$E:$E,MATCH($D245,'CTR1 Data Previous Year'!$A:$A,0),1)</f>
        <v>137293691</v>
      </c>
      <c r="K245" s="386">
        <f>INDEX('CTR1 Data Previous Year'!$F:$F,MATCH($D245,'CTR1 Data Previous Year'!$A:$A,0),1)</f>
        <v>17979989</v>
      </c>
      <c r="L245" s="465">
        <f>INDEX('CTR1 Data Previous Year'!$G:$G,MATCH($D245,'CTR1 Data Previous Year'!$A:$A,0),1)</f>
        <v>78005.100000000006</v>
      </c>
      <c r="M245" s="455">
        <f>INDEX('CTR1 Data Previous Year'!$H:$H,MATCH($D245,'CTR1 Data Previous Year'!$A:$A,0),1)</f>
        <v>0.98</v>
      </c>
      <c r="N245" s="465">
        <f>INDEX('CTR1 Data Previous Year'!$I:$I,MATCH($D245,'CTR1 Data Previous Year'!$A:$A,0),1)</f>
        <v>0</v>
      </c>
      <c r="O245" s="160" t="s">
        <v>129</v>
      </c>
      <c r="P245" s="817"/>
      <c r="Q245" s="820" t="s">
        <v>803</v>
      </c>
      <c r="R245" s="817" t="s">
        <v>804</v>
      </c>
      <c r="S245" s="821" t="s">
        <v>805</v>
      </c>
      <c r="T245" s="817" t="s">
        <v>806</v>
      </c>
      <c r="U245" s="160" t="s">
        <v>716</v>
      </c>
      <c r="V245" s="817" t="s">
        <v>717</v>
      </c>
      <c r="W245" s="465">
        <f>INDEX('CTR1 Data Previous Year'!$J:$J,MATCH($D245,'CTR1 Data Previous Year'!$A:$A,0),1)</f>
        <v>76445</v>
      </c>
      <c r="X245" s="465">
        <f>INDEX('CTR1 Data Previous Year'!$K:$K,MATCH($D245,'CTR1 Data Previous Year'!$A:$A,0),1)</f>
        <v>1796.84</v>
      </c>
      <c r="Y245" s="465">
        <f>INDEX('CTR1 Data Previous Year'!$L:$L,MATCH($D245,'CTR1 Data Previous Year'!$A:$A,0),1)</f>
        <v>1795.98</v>
      </c>
      <c r="Z245" s="836" t="str">
        <f t="shared" si="36"/>
        <v>N</v>
      </c>
      <c r="AA245" s="837" t="str">
        <f t="shared" si="37"/>
        <v>N</v>
      </c>
      <c r="AB245" s="838">
        <f t="shared" si="38"/>
        <v>1795.98</v>
      </c>
      <c r="AC245" s="868">
        <f t="shared" si="39"/>
        <v>0</v>
      </c>
      <c r="AD245" s="876">
        <f t="shared" si="40"/>
        <v>0</v>
      </c>
      <c r="AE245" s="838">
        <f t="shared" si="41"/>
        <v>1885.779</v>
      </c>
      <c r="AF245" s="838">
        <f t="shared" si="42"/>
        <v>1795.98</v>
      </c>
      <c r="AG245" s="839">
        <f t="shared" si="44"/>
        <v>0</v>
      </c>
      <c r="AH245" s="839">
        <f t="shared" si="45"/>
        <v>1885.78</v>
      </c>
      <c r="AI245" s="840">
        <f t="shared" si="43"/>
        <v>35.92</v>
      </c>
      <c r="AJ245" s="841">
        <f t="shared" si="46"/>
        <v>2.0000222719629396E-2</v>
      </c>
      <c r="AK245" s="446"/>
      <c r="AL245" s="446"/>
      <c r="AM245" s="446"/>
      <c r="AN245" s="446"/>
    </row>
    <row r="246" spans="1:40" ht="15" customHeight="1" x14ac:dyDescent="0.25">
      <c r="A246" s="370">
        <v>241</v>
      </c>
      <c r="B246" s="371" t="s">
        <v>1260</v>
      </c>
      <c r="C246" s="370" t="s">
        <v>1261</v>
      </c>
      <c r="D246" s="370" t="s">
        <v>1262</v>
      </c>
      <c r="E246" s="370" t="s">
        <v>321</v>
      </c>
      <c r="F246" s="370" t="s">
        <v>322</v>
      </c>
      <c r="G246" s="386">
        <f>INDEX('CTR1 Data Previous Year'!$B:$B,MATCH($D246,'CTR1 Data Previous Year'!$A:$A,0),1)</f>
        <v>11371525</v>
      </c>
      <c r="H246" s="386">
        <f>INDEX('CTR1 Data Previous Year'!$C:$C,MATCH($D246,'CTR1 Data Previous Year'!$A:$A,0),1)</f>
        <v>0</v>
      </c>
      <c r="I246" s="386">
        <f>INDEX('CTR1 Data Previous Year'!$D:$D,MATCH($D246,'CTR1 Data Previous Year'!$A:$A,0),1)</f>
        <v>945783</v>
      </c>
      <c r="J246" s="386">
        <f>INDEX('CTR1 Data Previous Year'!$E:$E,MATCH($D246,'CTR1 Data Previous Year'!$A:$A,0),1)</f>
        <v>10425742</v>
      </c>
      <c r="K246" s="386">
        <f>INDEX('CTR1 Data Previous Year'!$F:$F,MATCH($D246,'CTR1 Data Previous Year'!$A:$A,0),1)</f>
        <v>202005</v>
      </c>
      <c r="L246" s="465">
        <f>INDEX('CTR1 Data Previous Year'!$G:$G,MATCH($D246,'CTR1 Data Previous Year'!$A:$A,0),1)</f>
        <v>40364.370000000003</v>
      </c>
      <c r="M246" s="455">
        <f>INDEX('CTR1 Data Previous Year'!$H:$H,MATCH($D246,'CTR1 Data Previous Year'!$A:$A,0),1)</f>
        <v>0.98499999999999999</v>
      </c>
      <c r="N246" s="465">
        <f>INDEX('CTR1 Data Previous Year'!$I:$I,MATCH($D246,'CTR1 Data Previous Year'!$A:$A,0),1)</f>
        <v>290</v>
      </c>
      <c r="O246" s="160" t="s">
        <v>766</v>
      </c>
      <c r="P246" s="817" t="s">
        <v>767</v>
      </c>
      <c r="Q246" s="820" t="s">
        <v>768</v>
      </c>
      <c r="R246" s="817" t="s">
        <v>769</v>
      </c>
      <c r="S246" s="821" t="s">
        <v>129</v>
      </c>
      <c r="T246" s="817"/>
      <c r="U246" s="160"/>
      <c r="V246" s="817"/>
      <c r="W246" s="465">
        <f>INDEX('CTR1 Data Previous Year'!$J:$J,MATCH($D246,'CTR1 Data Previous Year'!$A:$A,0),1)</f>
        <v>40048.9</v>
      </c>
      <c r="X246" s="465">
        <f>INDEX('CTR1 Data Previous Year'!$K:$K,MATCH($D246,'CTR1 Data Previous Year'!$A:$A,0),1)</f>
        <v>283.94</v>
      </c>
      <c r="Y246" s="465">
        <f>INDEX('CTR1 Data Previous Year'!$L:$L,MATCH($D246,'CTR1 Data Previous Year'!$A:$A,0),1)</f>
        <v>260.33</v>
      </c>
      <c r="Z246" s="836" t="str">
        <f t="shared" si="36"/>
        <v>N</v>
      </c>
      <c r="AA246" s="837" t="str">
        <f t="shared" si="37"/>
        <v>N</v>
      </c>
      <c r="AB246" s="838">
        <f t="shared" si="38"/>
        <v>260.33</v>
      </c>
      <c r="AC246" s="868">
        <f t="shared" si="39"/>
        <v>0</v>
      </c>
      <c r="AD246" s="876">
        <f t="shared" si="40"/>
        <v>0</v>
      </c>
      <c r="AE246" s="838">
        <f t="shared" si="41"/>
        <v>268.13990000000001</v>
      </c>
      <c r="AF246" s="838">
        <f t="shared" si="42"/>
        <v>265.33</v>
      </c>
      <c r="AG246" s="839">
        <f t="shared" si="44"/>
        <v>0</v>
      </c>
      <c r="AH246" s="839">
        <f t="shared" si="45"/>
        <v>268.14</v>
      </c>
      <c r="AI246" s="840">
        <f t="shared" si="43"/>
        <v>0</v>
      </c>
      <c r="AJ246" s="841">
        <f t="shared" si="46"/>
        <v>0</v>
      </c>
      <c r="AK246" s="446"/>
      <c r="AL246" s="446"/>
      <c r="AM246" s="446"/>
      <c r="AN246" s="446"/>
    </row>
    <row r="247" spans="1:40" ht="15" customHeight="1" x14ac:dyDescent="0.25">
      <c r="A247" s="370">
        <v>242</v>
      </c>
      <c r="B247" s="371" t="s">
        <v>1263</v>
      </c>
      <c r="C247" s="370" t="s">
        <v>1264</v>
      </c>
      <c r="D247" s="370" t="s">
        <v>1265</v>
      </c>
      <c r="E247" s="370" t="s">
        <v>343</v>
      </c>
      <c r="F247" s="370" t="s">
        <v>378</v>
      </c>
      <c r="G247" s="386">
        <f>INDEX('CTR1 Data Previous Year'!$B:$B,MATCH($D247,'CTR1 Data Previous Year'!$A:$A,0),1)</f>
        <v>134885182</v>
      </c>
      <c r="H247" s="386">
        <f>INDEX('CTR1 Data Previous Year'!$C:$C,MATCH($D247,'CTR1 Data Previous Year'!$A:$A,0),1)</f>
        <v>0</v>
      </c>
      <c r="I247" s="386">
        <f>INDEX('CTR1 Data Previous Year'!$D:$D,MATCH($D247,'CTR1 Data Previous Year'!$A:$A,0),1)</f>
        <v>0</v>
      </c>
      <c r="J247" s="386">
        <f>INDEX('CTR1 Data Previous Year'!$E:$E,MATCH($D247,'CTR1 Data Previous Year'!$A:$A,0),1)</f>
        <v>134885182</v>
      </c>
      <c r="K247" s="386">
        <f>INDEX('CTR1 Data Previous Year'!$F:$F,MATCH($D247,'CTR1 Data Previous Year'!$A:$A,0),1)</f>
        <v>618000</v>
      </c>
      <c r="L247" s="465">
        <f>INDEX('CTR1 Data Previous Year'!$G:$G,MATCH($D247,'CTR1 Data Previous Year'!$A:$A,0),1)</f>
        <v>76618.5</v>
      </c>
      <c r="M247" s="455">
        <f>INDEX('CTR1 Data Previous Year'!$H:$H,MATCH($D247,'CTR1 Data Previous Year'!$A:$A,0),1)</f>
        <v>0.98939999999999995</v>
      </c>
      <c r="N247" s="465">
        <f>INDEX('CTR1 Data Previous Year'!$I:$I,MATCH($D247,'CTR1 Data Previous Year'!$A:$A,0),1)</f>
        <v>0</v>
      </c>
      <c r="O247" s="160" t="s">
        <v>379</v>
      </c>
      <c r="P247" s="862" t="s">
        <v>380</v>
      </c>
      <c r="Q247" s="820"/>
      <c r="R247" s="817"/>
      <c r="S247" s="821" t="s">
        <v>129</v>
      </c>
      <c r="T247" s="817"/>
      <c r="U247" s="160"/>
      <c r="V247" s="817"/>
      <c r="W247" s="465">
        <f>INDEX('CTR1 Data Previous Year'!$J:$J,MATCH($D247,'CTR1 Data Previous Year'!$A:$A,0),1)</f>
        <v>75806.34</v>
      </c>
      <c r="X247" s="465">
        <f>INDEX('CTR1 Data Previous Year'!$K:$K,MATCH($D247,'CTR1 Data Previous Year'!$A:$A,0),1)</f>
        <v>1779.34</v>
      </c>
      <c r="Y247" s="465">
        <f>INDEX('CTR1 Data Previous Year'!$L:$L,MATCH($D247,'CTR1 Data Previous Year'!$A:$A,0),1)</f>
        <v>1779.34</v>
      </c>
      <c r="Z247" s="836" t="str">
        <f t="shared" si="36"/>
        <v>N</v>
      </c>
      <c r="AA247" s="837" t="str">
        <f t="shared" si="37"/>
        <v>N</v>
      </c>
      <c r="AB247" s="838">
        <f t="shared" si="38"/>
        <v>1779.34</v>
      </c>
      <c r="AC247" s="868">
        <f t="shared" si="39"/>
        <v>0</v>
      </c>
      <c r="AD247" s="876">
        <f t="shared" si="40"/>
        <v>0</v>
      </c>
      <c r="AE247" s="838">
        <f t="shared" si="41"/>
        <v>1868.307</v>
      </c>
      <c r="AF247" s="838">
        <f t="shared" si="42"/>
        <v>1779.34</v>
      </c>
      <c r="AG247" s="839">
        <f t="shared" si="44"/>
        <v>0</v>
      </c>
      <c r="AH247" s="839">
        <f t="shared" si="45"/>
        <v>1868.31</v>
      </c>
      <c r="AI247" s="840">
        <f t="shared" si="43"/>
        <v>35.590000000000003</v>
      </c>
      <c r="AJ247" s="841">
        <f t="shared" si="46"/>
        <v>2.0001798419638745E-2</v>
      </c>
      <c r="AK247" s="446"/>
      <c r="AL247" s="446"/>
      <c r="AM247" s="446"/>
      <c r="AN247" s="446"/>
    </row>
    <row r="248" spans="1:40" ht="15" customHeight="1" x14ac:dyDescent="0.25">
      <c r="A248" s="370">
        <v>243</v>
      </c>
      <c r="B248" s="371" t="s">
        <v>1266</v>
      </c>
      <c r="C248" s="370" t="s">
        <v>1267</v>
      </c>
      <c r="D248" s="370" t="s">
        <v>1268</v>
      </c>
      <c r="E248" s="370" t="s">
        <v>321</v>
      </c>
      <c r="F248" s="370" t="s">
        <v>322</v>
      </c>
      <c r="G248" s="386">
        <f>INDEX('CTR1 Data Previous Year'!$B:$B,MATCH($D248,'CTR1 Data Previous Year'!$A:$A,0),1)</f>
        <v>12605434</v>
      </c>
      <c r="H248" s="386">
        <f>INDEX('CTR1 Data Previous Year'!$C:$C,MATCH($D248,'CTR1 Data Previous Year'!$A:$A,0),1)</f>
        <v>0</v>
      </c>
      <c r="I248" s="386">
        <f>INDEX('CTR1 Data Previous Year'!$D:$D,MATCH($D248,'CTR1 Data Previous Year'!$A:$A,0),1)</f>
        <v>2166353</v>
      </c>
      <c r="J248" s="386">
        <f>INDEX('CTR1 Data Previous Year'!$E:$E,MATCH($D248,'CTR1 Data Previous Year'!$A:$A,0),1)</f>
        <v>10439081</v>
      </c>
      <c r="K248" s="386">
        <f>INDEX('CTR1 Data Previous Year'!$F:$F,MATCH($D248,'CTR1 Data Previous Year'!$A:$A,0),1)</f>
        <v>1000079</v>
      </c>
      <c r="L248" s="465">
        <f>INDEX('CTR1 Data Previous Year'!$G:$G,MATCH($D248,'CTR1 Data Previous Year'!$A:$A,0),1)</f>
        <v>51707.48</v>
      </c>
      <c r="M248" s="455">
        <f>INDEX('CTR1 Data Previous Year'!$H:$H,MATCH($D248,'CTR1 Data Previous Year'!$A:$A,0),1)</f>
        <v>0.97699999999999998</v>
      </c>
      <c r="N248" s="465">
        <f>INDEX('CTR1 Data Previous Year'!$I:$I,MATCH($D248,'CTR1 Data Previous Year'!$A:$A,0),1)</f>
        <v>0</v>
      </c>
      <c r="O248" s="160" t="s">
        <v>358</v>
      </c>
      <c r="P248" s="817" t="s">
        <v>359</v>
      </c>
      <c r="Q248" s="820" t="s">
        <v>360</v>
      </c>
      <c r="R248" s="817" t="s">
        <v>361</v>
      </c>
      <c r="S248" s="821" t="s">
        <v>362</v>
      </c>
      <c r="T248" s="817" t="s">
        <v>363</v>
      </c>
      <c r="U248" s="160"/>
      <c r="V248" s="817"/>
      <c r="W248" s="465">
        <f>INDEX('CTR1 Data Previous Year'!$J:$J,MATCH($D248,'CTR1 Data Previous Year'!$A:$A,0),1)</f>
        <v>50518.21</v>
      </c>
      <c r="X248" s="465">
        <f>INDEX('CTR1 Data Previous Year'!$K:$K,MATCH($D248,'CTR1 Data Previous Year'!$A:$A,0),1)</f>
        <v>249.52</v>
      </c>
      <c r="Y248" s="465">
        <f>INDEX('CTR1 Data Previous Year'!$L:$L,MATCH($D248,'CTR1 Data Previous Year'!$A:$A,0),1)</f>
        <v>206.64</v>
      </c>
      <c r="Z248" s="836" t="str">
        <f t="shared" si="36"/>
        <v>N</v>
      </c>
      <c r="AA248" s="837" t="str">
        <f t="shared" si="37"/>
        <v>N</v>
      </c>
      <c r="AB248" s="838">
        <f t="shared" si="38"/>
        <v>206.64</v>
      </c>
      <c r="AC248" s="868">
        <f t="shared" si="39"/>
        <v>0</v>
      </c>
      <c r="AD248" s="876">
        <f t="shared" si="40"/>
        <v>0</v>
      </c>
      <c r="AE248" s="838">
        <f t="shared" si="41"/>
        <v>212.83920000000001</v>
      </c>
      <c r="AF248" s="838">
        <f t="shared" si="42"/>
        <v>211.64</v>
      </c>
      <c r="AG248" s="839">
        <f t="shared" si="44"/>
        <v>0</v>
      </c>
      <c r="AH248" s="839">
        <f t="shared" si="45"/>
        <v>212.84</v>
      </c>
      <c r="AI248" s="840">
        <f t="shared" si="43"/>
        <v>0</v>
      </c>
      <c r="AJ248" s="841">
        <f t="shared" si="46"/>
        <v>0</v>
      </c>
      <c r="AK248" s="446"/>
      <c r="AL248" s="446"/>
      <c r="AM248" s="446"/>
      <c r="AN248" s="446"/>
    </row>
    <row r="249" spans="1:40" ht="15" customHeight="1" x14ac:dyDescent="0.25">
      <c r="A249" s="370">
        <v>244</v>
      </c>
      <c r="B249" s="371" t="s">
        <v>1269</v>
      </c>
      <c r="C249" s="370" t="s">
        <v>1270</v>
      </c>
      <c r="D249" s="370" t="s">
        <v>1271</v>
      </c>
      <c r="E249" s="370" t="s">
        <v>339</v>
      </c>
      <c r="F249" s="370" t="s">
        <v>425</v>
      </c>
      <c r="G249" s="386">
        <f>INDEX('CTR1 Data Previous Year'!$B:$B,MATCH($D249,'CTR1 Data Previous Year'!$A:$A,0),1)</f>
        <v>152706273</v>
      </c>
      <c r="H249" s="386">
        <f>INDEX('CTR1 Data Previous Year'!$C:$C,MATCH($D249,'CTR1 Data Previous Year'!$A:$A,0),1)</f>
        <v>0</v>
      </c>
      <c r="I249" s="386">
        <f>INDEX('CTR1 Data Previous Year'!$D:$D,MATCH($D249,'CTR1 Data Previous Year'!$A:$A,0),1)</f>
        <v>12942721</v>
      </c>
      <c r="J249" s="386">
        <f>INDEX('CTR1 Data Previous Year'!$E:$E,MATCH($D249,'CTR1 Data Previous Year'!$A:$A,0),1)</f>
        <v>139763552</v>
      </c>
      <c r="K249" s="386">
        <f>INDEX('CTR1 Data Previous Year'!$F:$F,MATCH($D249,'CTR1 Data Previous Year'!$A:$A,0),1)</f>
        <v>187855</v>
      </c>
      <c r="L249" s="465">
        <f>INDEX('CTR1 Data Previous Year'!$G:$G,MATCH($D249,'CTR1 Data Previous Year'!$A:$A,0),1)</f>
        <v>79473.279999999999</v>
      </c>
      <c r="M249" s="455">
        <f>INDEX('CTR1 Data Previous Year'!$H:$H,MATCH($D249,'CTR1 Data Previous Year'!$A:$A,0),1)</f>
        <v>0.98799999999999999</v>
      </c>
      <c r="N249" s="465">
        <f>INDEX('CTR1 Data Previous Year'!$I:$I,MATCH($D249,'CTR1 Data Previous Year'!$A:$A,0),1)</f>
        <v>97.3</v>
      </c>
      <c r="O249" s="160" t="s">
        <v>129</v>
      </c>
      <c r="P249" s="817"/>
      <c r="Q249" s="820" t="s">
        <v>1272</v>
      </c>
      <c r="R249" s="817" t="s">
        <v>1273</v>
      </c>
      <c r="S249" s="821" t="s">
        <v>494</v>
      </c>
      <c r="T249" s="817" t="s">
        <v>495</v>
      </c>
      <c r="U249" s="822"/>
      <c r="V249" s="817"/>
      <c r="W249" s="465">
        <f>INDEX('CTR1 Data Previous Year'!$J:$J,MATCH($D249,'CTR1 Data Previous Year'!$A:$A,0),1)</f>
        <v>78616.899999999994</v>
      </c>
      <c r="X249" s="465">
        <f>INDEX('CTR1 Data Previous Year'!$K:$K,MATCH($D249,'CTR1 Data Previous Year'!$A:$A,0),1)</f>
        <v>1942.41</v>
      </c>
      <c r="Y249" s="465">
        <f>INDEX('CTR1 Data Previous Year'!$L:$L,MATCH($D249,'CTR1 Data Previous Year'!$A:$A,0),1)</f>
        <v>1777.78</v>
      </c>
      <c r="Z249" s="836" t="str">
        <f t="shared" si="36"/>
        <v>N</v>
      </c>
      <c r="AA249" s="837" t="str">
        <f t="shared" si="37"/>
        <v>N</v>
      </c>
      <c r="AB249" s="838">
        <f t="shared" si="38"/>
        <v>1777.78</v>
      </c>
      <c r="AC249" s="868">
        <f t="shared" si="39"/>
        <v>0</v>
      </c>
      <c r="AD249" s="876">
        <f t="shared" si="40"/>
        <v>0</v>
      </c>
      <c r="AE249" s="838">
        <f t="shared" si="41"/>
        <v>1866.6690000000001</v>
      </c>
      <c r="AF249" s="838">
        <f t="shared" si="42"/>
        <v>1777.78</v>
      </c>
      <c r="AG249" s="839">
        <f t="shared" si="44"/>
        <v>0</v>
      </c>
      <c r="AH249" s="839">
        <f t="shared" si="45"/>
        <v>1866.67</v>
      </c>
      <c r="AI249" s="840">
        <f t="shared" si="43"/>
        <v>35.56</v>
      </c>
      <c r="AJ249" s="841">
        <f t="shared" si="46"/>
        <v>2.0002474996906255E-2</v>
      </c>
      <c r="AK249" s="446"/>
      <c r="AL249" s="446"/>
      <c r="AM249" s="446"/>
      <c r="AN249" s="446"/>
    </row>
    <row r="250" spans="1:40" ht="15" customHeight="1" x14ac:dyDescent="0.25">
      <c r="A250" s="370">
        <v>245</v>
      </c>
      <c r="B250" s="371" t="s">
        <v>1274</v>
      </c>
      <c r="C250" s="370" t="s">
        <v>1275</v>
      </c>
      <c r="D250" s="370" t="s">
        <v>1276</v>
      </c>
      <c r="E250" s="370" t="s">
        <v>353</v>
      </c>
      <c r="F250" s="370" t="s">
        <v>463</v>
      </c>
      <c r="G250" s="386">
        <f>INDEX('CTR1 Data Previous Year'!$B:$B,MATCH($D250,'CTR1 Data Previous Year'!$A:$A,0),1)</f>
        <v>124513402</v>
      </c>
      <c r="H250" s="386">
        <f>INDEX('CTR1 Data Previous Year'!$C:$C,MATCH($D250,'CTR1 Data Previous Year'!$A:$A,0),1)</f>
        <v>0</v>
      </c>
      <c r="I250" s="386">
        <f>INDEX('CTR1 Data Previous Year'!$D:$D,MATCH($D250,'CTR1 Data Previous Year'!$A:$A,0),1)</f>
        <v>36500</v>
      </c>
      <c r="J250" s="386">
        <f>INDEX('CTR1 Data Previous Year'!$E:$E,MATCH($D250,'CTR1 Data Previous Year'!$A:$A,0),1)</f>
        <v>124476902</v>
      </c>
      <c r="K250" s="386">
        <f>INDEX('CTR1 Data Previous Year'!$F:$F,MATCH($D250,'CTR1 Data Previous Year'!$A:$A,0),1)</f>
        <v>33795000</v>
      </c>
      <c r="L250" s="465">
        <f>INDEX('CTR1 Data Previous Year'!$G:$G,MATCH($D250,'CTR1 Data Previous Year'!$A:$A,0),1)</f>
        <v>66772.639999999999</v>
      </c>
      <c r="M250" s="455">
        <f>INDEX('CTR1 Data Previous Year'!$H:$H,MATCH($D250,'CTR1 Data Previous Year'!$A:$A,0),1)</f>
        <v>0.97499999999999998</v>
      </c>
      <c r="N250" s="465">
        <f>INDEX('CTR1 Data Previous Year'!$I:$I,MATCH($D250,'CTR1 Data Previous Year'!$A:$A,0),1)</f>
        <v>0</v>
      </c>
      <c r="O250" s="160" t="s">
        <v>129</v>
      </c>
      <c r="P250" s="817"/>
      <c r="Q250" s="820" t="s">
        <v>477</v>
      </c>
      <c r="R250" s="817" t="s">
        <v>478</v>
      </c>
      <c r="S250" s="821"/>
      <c r="T250" s="817"/>
      <c r="U250" s="822" t="s">
        <v>479</v>
      </c>
      <c r="V250" s="817" t="s">
        <v>478</v>
      </c>
      <c r="W250" s="465">
        <f>INDEX('CTR1 Data Previous Year'!$J:$J,MATCH($D250,'CTR1 Data Previous Year'!$A:$A,0),1)</f>
        <v>65103.32</v>
      </c>
      <c r="X250" s="465">
        <f>INDEX('CTR1 Data Previous Year'!$K:$K,MATCH($D250,'CTR1 Data Previous Year'!$A:$A,0),1)</f>
        <v>1912.55</v>
      </c>
      <c r="Y250" s="465">
        <f>INDEX('CTR1 Data Previous Year'!$L:$L,MATCH($D250,'CTR1 Data Previous Year'!$A:$A,0),1)</f>
        <v>1911.99</v>
      </c>
      <c r="Z250" s="836" t="str">
        <f t="shared" si="36"/>
        <v>N</v>
      </c>
      <c r="AA250" s="837" t="str">
        <f t="shared" si="37"/>
        <v>N</v>
      </c>
      <c r="AB250" s="838">
        <f t="shared" si="38"/>
        <v>1911.99</v>
      </c>
      <c r="AC250" s="868">
        <f t="shared" si="39"/>
        <v>0</v>
      </c>
      <c r="AD250" s="876">
        <f t="shared" si="40"/>
        <v>0</v>
      </c>
      <c r="AE250" s="838">
        <f t="shared" si="41"/>
        <v>2007.5895</v>
      </c>
      <c r="AF250" s="838">
        <f t="shared" si="42"/>
        <v>1911.99</v>
      </c>
      <c r="AG250" s="839">
        <f t="shared" si="44"/>
        <v>0</v>
      </c>
      <c r="AH250" s="839">
        <f t="shared" si="45"/>
        <v>2007.59</v>
      </c>
      <c r="AI250" s="840">
        <f t="shared" si="43"/>
        <v>38.24</v>
      </c>
      <c r="AJ250" s="841">
        <f t="shared" si="46"/>
        <v>2.000010460305755E-2</v>
      </c>
      <c r="AK250" s="446"/>
      <c r="AL250" s="446"/>
      <c r="AM250" s="446"/>
      <c r="AN250" s="446"/>
    </row>
    <row r="251" spans="1:40" ht="15" customHeight="1" x14ac:dyDescent="0.25">
      <c r="A251" s="370">
        <v>246</v>
      </c>
      <c r="B251" s="371" t="s">
        <v>1277</v>
      </c>
      <c r="C251" s="370" t="s">
        <v>1278</v>
      </c>
      <c r="D251" s="370" t="s">
        <v>1279</v>
      </c>
      <c r="E251" s="370" t="s">
        <v>321</v>
      </c>
      <c r="F251" s="370" t="s">
        <v>444</v>
      </c>
      <c r="G251" s="386">
        <f>INDEX('CTR1 Data Previous Year'!$B:$B,MATCH($D251,'CTR1 Data Previous Year'!$A:$A,0),1)</f>
        <v>4925901</v>
      </c>
      <c r="H251" s="386">
        <f>INDEX('CTR1 Data Previous Year'!$C:$C,MATCH($D251,'CTR1 Data Previous Year'!$A:$A,0),1)</f>
        <v>0</v>
      </c>
      <c r="I251" s="386">
        <f>INDEX('CTR1 Data Previous Year'!$D:$D,MATCH($D251,'CTR1 Data Previous Year'!$A:$A,0),1)</f>
        <v>0</v>
      </c>
      <c r="J251" s="386">
        <f>INDEX('CTR1 Data Previous Year'!$E:$E,MATCH($D251,'CTR1 Data Previous Year'!$A:$A,0),1)</f>
        <v>4925901</v>
      </c>
      <c r="K251" s="386">
        <f>INDEX('CTR1 Data Previous Year'!$F:$F,MATCH($D251,'CTR1 Data Previous Year'!$A:$A,0),1)</f>
        <v>0</v>
      </c>
      <c r="L251" s="465">
        <f>INDEX('CTR1 Data Previous Year'!$G:$G,MATCH($D251,'CTR1 Data Previous Year'!$A:$A,0),1)</f>
        <v>23858.44</v>
      </c>
      <c r="M251" s="455">
        <f>INDEX('CTR1 Data Previous Year'!$H:$H,MATCH($D251,'CTR1 Data Previous Year'!$A:$A,0),1)</f>
        <v>0.98899999999999999</v>
      </c>
      <c r="N251" s="465">
        <f>INDEX('CTR1 Data Previous Year'!$I:$I,MATCH($D251,'CTR1 Data Previous Year'!$A:$A,0),1)</f>
        <v>0</v>
      </c>
      <c r="O251" s="160" t="s">
        <v>597</v>
      </c>
      <c r="P251" s="817" t="s">
        <v>598</v>
      </c>
      <c r="Q251" s="820" t="s">
        <v>599</v>
      </c>
      <c r="R251" s="817" t="s">
        <v>600</v>
      </c>
      <c r="S251" s="821" t="s">
        <v>601</v>
      </c>
      <c r="T251" s="817" t="s">
        <v>602</v>
      </c>
      <c r="U251" s="160"/>
      <c r="V251" s="817"/>
      <c r="W251" s="465">
        <f>INDEX('CTR1 Data Previous Year'!$J:$J,MATCH($D251,'CTR1 Data Previous Year'!$A:$A,0),1)</f>
        <v>23596</v>
      </c>
      <c r="X251" s="465">
        <f>INDEX('CTR1 Data Previous Year'!$K:$K,MATCH($D251,'CTR1 Data Previous Year'!$A:$A,0),1)</f>
        <v>208.76</v>
      </c>
      <c r="Y251" s="465">
        <f>INDEX('CTR1 Data Previous Year'!$L:$L,MATCH($D251,'CTR1 Data Previous Year'!$A:$A,0),1)</f>
        <v>208.76</v>
      </c>
      <c r="Z251" s="836" t="str">
        <f t="shared" si="36"/>
        <v>N</v>
      </c>
      <c r="AA251" s="837" t="str">
        <f t="shared" si="37"/>
        <v>N</v>
      </c>
      <c r="AB251" s="838">
        <f t="shared" si="38"/>
        <v>208.76</v>
      </c>
      <c r="AC251" s="868">
        <f t="shared" si="39"/>
        <v>0</v>
      </c>
      <c r="AD251" s="876">
        <f t="shared" si="40"/>
        <v>0</v>
      </c>
      <c r="AE251" s="838">
        <f t="shared" si="41"/>
        <v>215.02279999999999</v>
      </c>
      <c r="AF251" s="838">
        <f t="shared" si="42"/>
        <v>213.76</v>
      </c>
      <c r="AG251" s="839">
        <f t="shared" si="44"/>
        <v>0</v>
      </c>
      <c r="AH251" s="839">
        <f t="shared" si="45"/>
        <v>215.02</v>
      </c>
      <c r="AI251" s="840">
        <f t="shared" si="43"/>
        <v>0</v>
      </c>
      <c r="AJ251" s="841">
        <f t="shared" si="46"/>
        <v>0</v>
      </c>
      <c r="AK251" s="446"/>
      <c r="AL251" s="446"/>
      <c r="AM251" s="446"/>
      <c r="AN251" s="446"/>
    </row>
    <row r="252" spans="1:40" ht="15" customHeight="1" x14ac:dyDescent="0.25">
      <c r="A252" s="370">
        <v>247</v>
      </c>
      <c r="B252" s="371" t="s">
        <v>1280</v>
      </c>
      <c r="C252" s="370" t="s">
        <v>1281</v>
      </c>
      <c r="D252" s="370" t="s">
        <v>1282</v>
      </c>
      <c r="E252" s="370" t="s">
        <v>321</v>
      </c>
      <c r="F252" s="370" t="s">
        <v>322</v>
      </c>
      <c r="G252" s="386">
        <f>INDEX('CTR1 Data Previous Year'!$B:$B,MATCH($D252,'CTR1 Data Previous Year'!$A:$A,0),1)</f>
        <v>11351812</v>
      </c>
      <c r="H252" s="386">
        <f>INDEX('CTR1 Data Previous Year'!$C:$C,MATCH($D252,'CTR1 Data Previous Year'!$A:$A,0),1)</f>
        <v>0</v>
      </c>
      <c r="I252" s="386">
        <f>INDEX('CTR1 Data Previous Year'!$D:$D,MATCH($D252,'CTR1 Data Previous Year'!$A:$A,0),1)</f>
        <v>1395845</v>
      </c>
      <c r="J252" s="386">
        <f>INDEX('CTR1 Data Previous Year'!$E:$E,MATCH($D252,'CTR1 Data Previous Year'!$A:$A,0),1)</f>
        <v>9955967</v>
      </c>
      <c r="K252" s="386">
        <f>INDEX('CTR1 Data Previous Year'!$F:$F,MATCH($D252,'CTR1 Data Previous Year'!$A:$A,0),1)</f>
        <v>0</v>
      </c>
      <c r="L252" s="465">
        <f>INDEX('CTR1 Data Previous Year'!$G:$G,MATCH($D252,'CTR1 Data Previous Year'!$A:$A,0),1)</f>
        <v>39936.94</v>
      </c>
      <c r="M252" s="455">
        <f>INDEX('CTR1 Data Previous Year'!$H:$H,MATCH($D252,'CTR1 Data Previous Year'!$A:$A,0),1)</f>
        <v>0.98799999999999999</v>
      </c>
      <c r="N252" s="465">
        <f>INDEX('CTR1 Data Previous Year'!$I:$I,MATCH($D252,'CTR1 Data Previous Year'!$A:$A,0),1)</f>
        <v>0</v>
      </c>
      <c r="O252" s="160" t="s">
        <v>766</v>
      </c>
      <c r="P252" s="817" t="s">
        <v>767</v>
      </c>
      <c r="Q252" s="820" t="s">
        <v>768</v>
      </c>
      <c r="R252" s="817" t="s">
        <v>769</v>
      </c>
      <c r="S252" s="821" t="s">
        <v>129</v>
      </c>
      <c r="T252" s="817"/>
      <c r="U252" s="160"/>
      <c r="V252" s="817"/>
      <c r="W252" s="465">
        <f>INDEX('CTR1 Data Previous Year'!$J:$J,MATCH($D252,'CTR1 Data Previous Year'!$A:$A,0),1)</f>
        <v>39457.699999999997</v>
      </c>
      <c r="X252" s="465">
        <f>INDEX('CTR1 Data Previous Year'!$K:$K,MATCH($D252,'CTR1 Data Previous Year'!$A:$A,0),1)</f>
        <v>287.7</v>
      </c>
      <c r="Y252" s="465">
        <f>INDEX('CTR1 Data Previous Year'!$L:$L,MATCH($D252,'CTR1 Data Previous Year'!$A:$A,0),1)</f>
        <v>252.32</v>
      </c>
      <c r="Z252" s="836" t="str">
        <f t="shared" si="36"/>
        <v>N</v>
      </c>
      <c r="AA252" s="837" t="str">
        <f t="shared" si="37"/>
        <v>N</v>
      </c>
      <c r="AB252" s="838">
        <f t="shared" si="38"/>
        <v>252.32</v>
      </c>
      <c r="AC252" s="868">
        <f t="shared" si="39"/>
        <v>0</v>
      </c>
      <c r="AD252" s="876">
        <f t="shared" si="40"/>
        <v>0</v>
      </c>
      <c r="AE252" s="838">
        <f t="shared" si="41"/>
        <v>259.88959999999997</v>
      </c>
      <c r="AF252" s="838">
        <f t="shared" si="42"/>
        <v>257.32</v>
      </c>
      <c r="AG252" s="839">
        <f t="shared" si="44"/>
        <v>0</v>
      </c>
      <c r="AH252" s="839">
        <f t="shared" si="45"/>
        <v>259.89</v>
      </c>
      <c r="AI252" s="840">
        <f t="shared" si="43"/>
        <v>0</v>
      </c>
      <c r="AJ252" s="841">
        <f t="shared" si="46"/>
        <v>0</v>
      </c>
      <c r="AK252" s="446"/>
      <c r="AL252" s="446"/>
      <c r="AM252" s="446"/>
      <c r="AN252" s="446"/>
    </row>
    <row r="253" spans="1:40" ht="15" customHeight="1" x14ac:dyDescent="0.25">
      <c r="A253" s="370">
        <v>248</v>
      </c>
      <c r="B253" s="371" t="s">
        <v>1283</v>
      </c>
      <c r="C253" s="370" t="s">
        <v>1284</v>
      </c>
      <c r="D253" s="370" t="s">
        <v>1285</v>
      </c>
      <c r="E253" s="370" t="s">
        <v>321</v>
      </c>
      <c r="F253" s="370" t="s">
        <v>425</v>
      </c>
      <c r="G253" s="386">
        <f>INDEX('CTR1 Data Previous Year'!$B:$B,MATCH($D253,'CTR1 Data Previous Year'!$A:$A,0),1)</f>
        <v>16432368</v>
      </c>
      <c r="H253" s="386">
        <f>INDEX('CTR1 Data Previous Year'!$C:$C,MATCH($D253,'CTR1 Data Previous Year'!$A:$A,0),1)</f>
        <v>0</v>
      </c>
      <c r="I253" s="386">
        <f>INDEX('CTR1 Data Previous Year'!$D:$D,MATCH($D253,'CTR1 Data Previous Year'!$A:$A,0),1)</f>
        <v>6002408</v>
      </c>
      <c r="J253" s="386">
        <f>INDEX('CTR1 Data Previous Year'!$E:$E,MATCH($D253,'CTR1 Data Previous Year'!$A:$A,0),1)</f>
        <v>10429960</v>
      </c>
      <c r="K253" s="386">
        <f>INDEX('CTR1 Data Previous Year'!$F:$F,MATCH($D253,'CTR1 Data Previous Year'!$A:$A,0),1)</f>
        <v>0</v>
      </c>
      <c r="L253" s="465">
        <f>INDEX('CTR1 Data Previous Year'!$G:$G,MATCH($D253,'CTR1 Data Previous Year'!$A:$A,0),1)</f>
        <v>52668.03</v>
      </c>
      <c r="M253" s="455">
        <f>INDEX('CTR1 Data Previous Year'!$H:$H,MATCH($D253,'CTR1 Data Previous Year'!$A:$A,0),1)</f>
        <v>0.97899999999999998</v>
      </c>
      <c r="N253" s="465">
        <f>INDEX('CTR1 Data Previous Year'!$I:$I,MATCH($D253,'CTR1 Data Previous Year'!$A:$A,0),1)</f>
        <v>0</v>
      </c>
      <c r="O253" s="160" t="s">
        <v>727</v>
      </c>
      <c r="P253" s="817" t="s">
        <v>728</v>
      </c>
      <c r="Q253" s="820" t="s">
        <v>658</v>
      </c>
      <c r="R253" s="817" t="s">
        <v>659</v>
      </c>
      <c r="S253" s="821" t="s">
        <v>729</v>
      </c>
      <c r="T253" s="817" t="s">
        <v>730</v>
      </c>
      <c r="U253" s="160"/>
      <c r="V253" s="817"/>
      <c r="W253" s="465">
        <f>INDEX('CTR1 Data Previous Year'!$J:$J,MATCH($D253,'CTR1 Data Previous Year'!$A:$A,0),1)</f>
        <v>51562</v>
      </c>
      <c r="X253" s="465">
        <f>INDEX('CTR1 Data Previous Year'!$K:$K,MATCH($D253,'CTR1 Data Previous Year'!$A:$A,0),1)</f>
        <v>318.69</v>
      </c>
      <c r="Y253" s="465">
        <f>INDEX('CTR1 Data Previous Year'!$L:$L,MATCH($D253,'CTR1 Data Previous Year'!$A:$A,0),1)</f>
        <v>202.28</v>
      </c>
      <c r="Z253" s="836" t="str">
        <f t="shared" si="36"/>
        <v>N</v>
      </c>
      <c r="AA253" s="837" t="str">
        <f t="shared" si="37"/>
        <v>N</v>
      </c>
      <c r="AB253" s="838">
        <f t="shared" si="38"/>
        <v>202.28</v>
      </c>
      <c r="AC253" s="868">
        <f t="shared" si="39"/>
        <v>0</v>
      </c>
      <c r="AD253" s="876">
        <f t="shared" si="40"/>
        <v>0</v>
      </c>
      <c r="AE253" s="838">
        <f t="shared" si="41"/>
        <v>208.3484</v>
      </c>
      <c r="AF253" s="838">
        <f t="shared" si="42"/>
        <v>207.28</v>
      </c>
      <c r="AG253" s="839">
        <f t="shared" si="44"/>
        <v>0</v>
      </c>
      <c r="AH253" s="839">
        <f t="shared" si="45"/>
        <v>208.35</v>
      </c>
      <c r="AI253" s="840">
        <f t="shared" si="43"/>
        <v>0</v>
      </c>
      <c r="AJ253" s="841">
        <f t="shared" si="46"/>
        <v>0</v>
      </c>
      <c r="AK253" s="446"/>
      <c r="AL253" s="446"/>
      <c r="AM253" s="446"/>
      <c r="AN253" s="446"/>
    </row>
    <row r="254" spans="1:40" ht="15" customHeight="1" x14ac:dyDescent="0.25">
      <c r="A254" s="370">
        <v>249</v>
      </c>
      <c r="B254" s="371" t="s">
        <v>1286</v>
      </c>
      <c r="C254" s="370" t="s">
        <v>1287</v>
      </c>
      <c r="D254" s="370" t="s">
        <v>1288</v>
      </c>
      <c r="E254" s="370" t="s">
        <v>339</v>
      </c>
      <c r="F254" s="370" t="s">
        <v>444</v>
      </c>
      <c r="G254" s="386">
        <f>INDEX('CTR1 Data Previous Year'!$B:$B,MATCH($D254,'CTR1 Data Previous Year'!$A:$A,0),1)</f>
        <v>100929516</v>
      </c>
      <c r="H254" s="386">
        <f>INDEX('CTR1 Data Previous Year'!$C:$C,MATCH($D254,'CTR1 Data Previous Year'!$A:$A,0),1)</f>
        <v>853041</v>
      </c>
      <c r="I254" s="386">
        <f>INDEX('CTR1 Data Previous Year'!$D:$D,MATCH($D254,'CTR1 Data Previous Year'!$A:$A,0),1)</f>
        <v>7070960</v>
      </c>
      <c r="J254" s="386">
        <f>INDEX('CTR1 Data Previous Year'!$E:$E,MATCH($D254,'CTR1 Data Previous Year'!$A:$A,0),1)</f>
        <v>93858556</v>
      </c>
      <c r="K254" s="386">
        <f>INDEX('CTR1 Data Previous Year'!$F:$F,MATCH($D254,'CTR1 Data Previous Year'!$A:$A,0),1)</f>
        <v>71819</v>
      </c>
      <c r="L254" s="465">
        <f>INDEX('CTR1 Data Previous Year'!$G:$G,MATCH($D254,'CTR1 Data Previous Year'!$A:$A,0),1)</f>
        <v>58454.81</v>
      </c>
      <c r="M254" s="455">
        <f>INDEX('CTR1 Data Previous Year'!$H:$H,MATCH($D254,'CTR1 Data Previous Year'!$A:$A,0),1)</f>
        <v>0.99250000000000005</v>
      </c>
      <c r="N254" s="465">
        <f>INDEX('CTR1 Data Previous Year'!$I:$I,MATCH($D254,'CTR1 Data Previous Year'!$A:$A,0),1)</f>
        <v>148.30000000000001</v>
      </c>
      <c r="O254" s="160" t="s">
        <v>129</v>
      </c>
      <c r="P254" s="817"/>
      <c r="Q254" s="820" t="s">
        <v>550</v>
      </c>
      <c r="R254" s="817" t="s">
        <v>551</v>
      </c>
      <c r="S254" s="821" t="s">
        <v>1171</v>
      </c>
      <c r="T254" s="817" t="s">
        <v>1172</v>
      </c>
      <c r="U254" s="160"/>
      <c r="V254" s="817"/>
      <c r="W254" s="465">
        <f>INDEX('CTR1 Data Previous Year'!$J:$J,MATCH($D254,'CTR1 Data Previous Year'!$A:$A,0),1)</f>
        <v>58164.7</v>
      </c>
      <c r="X254" s="465">
        <f>INDEX('CTR1 Data Previous Year'!$K:$K,MATCH($D254,'CTR1 Data Previous Year'!$A:$A,0),1)</f>
        <v>1735.24</v>
      </c>
      <c r="Y254" s="465">
        <f>INDEX('CTR1 Data Previous Year'!$L:$L,MATCH($D254,'CTR1 Data Previous Year'!$A:$A,0),1)</f>
        <v>1613.67</v>
      </c>
      <c r="Z254" s="836" t="str">
        <f t="shared" si="36"/>
        <v>N</v>
      </c>
      <c r="AA254" s="837" t="str">
        <f t="shared" si="37"/>
        <v>N</v>
      </c>
      <c r="AB254" s="838">
        <f t="shared" si="38"/>
        <v>1613.67</v>
      </c>
      <c r="AC254" s="868">
        <f t="shared" si="39"/>
        <v>0</v>
      </c>
      <c r="AD254" s="876">
        <f t="shared" si="40"/>
        <v>0</v>
      </c>
      <c r="AE254" s="838">
        <f t="shared" si="41"/>
        <v>1694.3535000000002</v>
      </c>
      <c r="AF254" s="838">
        <f t="shared" si="42"/>
        <v>1613.67</v>
      </c>
      <c r="AG254" s="839">
        <f t="shared" si="44"/>
        <v>0</v>
      </c>
      <c r="AH254" s="839">
        <f t="shared" si="45"/>
        <v>1694.35</v>
      </c>
      <c r="AI254" s="840">
        <f t="shared" si="43"/>
        <v>32.270000000000003</v>
      </c>
      <c r="AJ254" s="841">
        <f t="shared" si="46"/>
        <v>1.999789300166701E-2</v>
      </c>
      <c r="AK254" s="446"/>
      <c r="AL254" s="446"/>
      <c r="AM254" s="446"/>
      <c r="AN254" s="446"/>
    </row>
    <row r="255" spans="1:40" ht="15" customHeight="1" x14ac:dyDescent="0.25">
      <c r="A255" s="370">
        <v>250</v>
      </c>
      <c r="B255" s="371" t="s">
        <v>1289</v>
      </c>
      <c r="C255" s="370" t="s">
        <v>1290</v>
      </c>
      <c r="D255" s="370" t="s">
        <v>1291</v>
      </c>
      <c r="E255" s="370" t="s">
        <v>321</v>
      </c>
      <c r="F255" s="370" t="s">
        <v>368</v>
      </c>
      <c r="G255" s="386">
        <f>INDEX('CTR1 Data Previous Year'!$B:$B,MATCH($D255,'CTR1 Data Previous Year'!$A:$A,0),1)</f>
        <v>13423869</v>
      </c>
      <c r="H255" s="386">
        <f>INDEX('CTR1 Data Previous Year'!$C:$C,MATCH($D255,'CTR1 Data Previous Year'!$A:$A,0),1)</f>
        <v>682999</v>
      </c>
      <c r="I255" s="386">
        <f>INDEX('CTR1 Data Previous Year'!$D:$D,MATCH($D255,'CTR1 Data Previous Year'!$A:$A,0),1)</f>
        <v>2750189</v>
      </c>
      <c r="J255" s="386">
        <f>INDEX('CTR1 Data Previous Year'!$E:$E,MATCH($D255,'CTR1 Data Previous Year'!$A:$A,0),1)</f>
        <v>10673680</v>
      </c>
      <c r="K255" s="386">
        <f>INDEX('CTR1 Data Previous Year'!$F:$F,MATCH($D255,'CTR1 Data Previous Year'!$A:$A,0),1)</f>
        <v>0</v>
      </c>
      <c r="L255" s="465">
        <f>INDEX('CTR1 Data Previous Year'!$G:$G,MATCH($D255,'CTR1 Data Previous Year'!$A:$A,0),1)</f>
        <v>55037.86</v>
      </c>
      <c r="M255" s="455">
        <f>INDEX('CTR1 Data Previous Year'!$H:$H,MATCH($D255,'CTR1 Data Previous Year'!$A:$A,0),1)</f>
        <v>0.97199999999999998</v>
      </c>
      <c r="N255" s="465">
        <f>INDEX('CTR1 Data Previous Year'!$I:$I,MATCH($D255,'CTR1 Data Previous Year'!$A:$A,0),1)</f>
        <v>0</v>
      </c>
      <c r="O255" s="160" t="s">
        <v>401</v>
      </c>
      <c r="P255" s="817" t="s">
        <v>402</v>
      </c>
      <c r="Q255" s="820" t="s">
        <v>403</v>
      </c>
      <c r="R255" s="817" t="s">
        <v>404</v>
      </c>
      <c r="S255" s="821" t="s">
        <v>405</v>
      </c>
      <c r="T255" s="817" t="s">
        <v>406</v>
      </c>
      <c r="U255" s="822"/>
      <c r="V255" s="817"/>
      <c r="W255" s="465">
        <f>INDEX('CTR1 Data Previous Year'!$J:$J,MATCH($D255,'CTR1 Data Previous Year'!$A:$A,0),1)</f>
        <v>53496.800000000003</v>
      </c>
      <c r="X255" s="465">
        <f>INDEX('CTR1 Data Previous Year'!$K:$K,MATCH($D255,'CTR1 Data Previous Year'!$A:$A,0),1)</f>
        <v>250.93</v>
      </c>
      <c r="Y255" s="465">
        <f>INDEX('CTR1 Data Previous Year'!$L:$L,MATCH($D255,'CTR1 Data Previous Year'!$A:$A,0),1)</f>
        <v>199.52</v>
      </c>
      <c r="Z255" s="836" t="str">
        <f t="shared" si="36"/>
        <v>N</v>
      </c>
      <c r="AA255" s="837" t="str">
        <f t="shared" si="37"/>
        <v>N</v>
      </c>
      <c r="AB255" s="838">
        <f t="shared" si="38"/>
        <v>199.52</v>
      </c>
      <c r="AC255" s="868">
        <f t="shared" si="39"/>
        <v>0</v>
      </c>
      <c r="AD255" s="876">
        <f t="shared" si="40"/>
        <v>0</v>
      </c>
      <c r="AE255" s="838">
        <f t="shared" si="41"/>
        <v>205.50560000000002</v>
      </c>
      <c r="AF255" s="838">
        <f t="shared" si="42"/>
        <v>204.52</v>
      </c>
      <c r="AG255" s="839">
        <f t="shared" si="44"/>
        <v>0</v>
      </c>
      <c r="AH255" s="839">
        <f t="shared" si="45"/>
        <v>205.51</v>
      </c>
      <c r="AI255" s="840">
        <f t="shared" si="43"/>
        <v>0</v>
      </c>
      <c r="AJ255" s="841">
        <f t="shared" si="46"/>
        <v>0</v>
      </c>
      <c r="AK255" s="446"/>
      <c r="AL255" s="446"/>
      <c r="AM255" s="446"/>
      <c r="AN255" s="446"/>
    </row>
    <row r="256" spans="1:40" ht="15" customHeight="1" x14ac:dyDescent="0.25">
      <c r="A256" s="370">
        <v>251</v>
      </c>
      <c r="B256" s="371" t="s">
        <v>1292</v>
      </c>
      <c r="C256" s="370" t="s">
        <v>1293</v>
      </c>
      <c r="D256" s="370" t="s">
        <v>1294</v>
      </c>
      <c r="E256" s="370" t="s">
        <v>321</v>
      </c>
      <c r="F256" s="370" t="s">
        <v>322</v>
      </c>
      <c r="G256" s="386">
        <f>INDEX('CTR1 Data Previous Year'!$B:$B,MATCH($D256,'CTR1 Data Previous Year'!$A:$A,0),1)</f>
        <v>11707984</v>
      </c>
      <c r="H256" s="386">
        <f>INDEX('CTR1 Data Previous Year'!$C:$C,MATCH($D256,'CTR1 Data Previous Year'!$A:$A,0),1)</f>
        <v>350692</v>
      </c>
      <c r="I256" s="386">
        <f>INDEX('CTR1 Data Previous Year'!$D:$D,MATCH($D256,'CTR1 Data Previous Year'!$A:$A,0),1)</f>
        <v>2505225</v>
      </c>
      <c r="J256" s="386">
        <f>INDEX('CTR1 Data Previous Year'!$E:$E,MATCH($D256,'CTR1 Data Previous Year'!$A:$A,0),1)</f>
        <v>9202759</v>
      </c>
      <c r="K256" s="386">
        <f>INDEX('CTR1 Data Previous Year'!$F:$F,MATCH($D256,'CTR1 Data Previous Year'!$A:$A,0),1)</f>
        <v>0</v>
      </c>
      <c r="L256" s="465">
        <f>INDEX('CTR1 Data Previous Year'!$G:$G,MATCH($D256,'CTR1 Data Previous Year'!$A:$A,0),1)</f>
        <v>52522.400000000001</v>
      </c>
      <c r="M256" s="455">
        <f>INDEX('CTR1 Data Previous Year'!$H:$H,MATCH($D256,'CTR1 Data Previous Year'!$A:$A,0),1)</f>
        <v>0.98499999999999999</v>
      </c>
      <c r="N256" s="465">
        <f>INDEX('CTR1 Data Previous Year'!$I:$I,MATCH($D256,'CTR1 Data Previous Year'!$A:$A,0),1)</f>
        <v>672.44</v>
      </c>
      <c r="O256" s="160" t="s">
        <v>411</v>
      </c>
      <c r="P256" s="817" t="s">
        <v>412</v>
      </c>
      <c r="Q256" s="820" t="s">
        <v>413</v>
      </c>
      <c r="R256" s="817" t="s">
        <v>414</v>
      </c>
      <c r="S256" s="821" t="s">
        <v>415</v>
      </c>
      <c r="T256" s="817" t="s">
        <v>416</v>
      </c>
      <c r="U256" s="160"/>
      <c r="V256" s="817"/>
      <c r="W256" s="465">
        <f>INDEX('CTR1 Data Previous Year'!$J:$J,MATCH($D256,'CTR1 Data Previous Year'!$A:$A,0),1)</f>
        <v>52407</v>
      </c>
      <c r="X256" s="465">
        <f>INDEX('CTR1 Data Previous Year'!$K:$K,MATCH($D256,'CTR1 Data Previous Year'!$A:$A,0),1)</f>
        <v>223.4</v>
      </c>
      <c r="Y256" s="465">
        <f>INDEX('CTR1 Data Previous Year'!$L:$L,MATCH($D256,'CTR1 Data Previous Year'!$A:$A,0),1)</f>
        <v>175.6</v>
      </c>
      <c r="Z256" s="836" t="str">
        <f t="shared" si="36"/>
        <v>N</v>
      </c>
      <c r="AA256" s="837" t="str">
        <f t="shared" si="37"/>
        <v>N</v>
      </c>
      <c r="AB256" s="838">
        <f t="shared" si="38"/>
        <v>175.6</v>
      </c>
      <c r="AC256" s="868">
        <f t="shared" si="39"/>
        <v>0</v>
      </c>
      <c r="AD256" s="876">
        <f t="shared" si="40"/>
        <v>0</v>
      </c>
      <c r="AE256" s="838">
        <f t="shared" si="41"/>
        <v>180.86799999999999</v>
      </c>
      <c r="AF256" s="838">
        <f t="shared" si="42"/>
        <v>180.6</v>
      </c>
      <c r="AG256" s="839">
        <f t="shared" si="44"/>
        <v>0</v>
      </c>
      <c r="AH256" s="839">
        <f t="shared" si="45"/>
        <v>180.87</v>
      </c>
      <c r="AI256" s="840">
        <f t="shared" si="43"/>
        <v>0</v>
      </c>
      <c r="AJ256" s="841">
        <f t="shared" si="46"/>
        <v>0</v>
      </c>
      <c r="AK256" s="446"/>
      <c r="AL256" s="446"/>
      <c r="AM256" s="446"/>
      <c r="AN256" s="446"/>
    </row>
    <row r="257" spans="1:51" ht="15" customHeight="1" x14ac:dyDescent="0.25">
      <c r="A257" s="370">
        <v>252</v>
      </c>
      <c r="B257" s="371" t="s">
        <v>1295</v>
      </c>
      <c r="C257" s="370" t="s">
        <v>1296</v>
      </c>
      <c r="D257" s="370" t="s">
        <v>1297</v>
      </c>
      <c r="E257" s="370" t="s">
        <v>321</v>
      </c>
      <c r="F257" s="370" t="s">
        <v>425</v>
      </c>
      <c r="G257" s="386">
        <f>INDEX('CTR1 Data Previous Year'!$B:$B,MATCH($D257,'CTR1 Data Previous Year'!$A:$A,0),1)</f>
        <v>8719447.1899999995</v>
      </c>
      <c r="H257" s="386">
        <f>INDEX('CTR1 Data Previous Year'!$C:$C,MATCH($D257,'CTR1 Data Previous Year'!$A:$A,0),1)</f>
        <v>0</v>
      </c>
      <c r="I257" s="386">
        <f>INDEX('CTR1 Data Previous Year'!$D:$D,MATCH($D257,'CTR1 Data Previous Year'!$A:$A,0),1)</f>
        <v>2926539</v>
      </c>
      <c r="J257" s="386">
        <f>INDEX('CTR1 Data Previous Year'!$E:$E,MATCH($D257,'CTR1 Data Previous Year'!$A:$A,0),1)</f>
        <v>5792908.1900000004</v>
      </c>
      <c r="K257" s="386">
        <f>INDEX('CTR1 Data Previous Year'!$F:$F,MATCH($D257,'CTR1 Data Previous Year'!$A:$A,0),1)</f>
        <v>0</v>
      </c>
      <c r="L257" s="465">
        <f>INDEX('CTR1 Data Previous Year'!$G:$G,MATCH($D257,'CTR1 Data Previous Year'!$A:$A,0),1)</f>
        <v>38928.800000000003</v>
      </c>
      <c r="M257" s="455">
        <f>INDEX('CTR1 Data Previous Year'!$H:$H,MATCH($D257,'CTR1 Data Previous Year'!$A:$A,0),1)</f>
        <v>0.98499999999999999</v>
      </c>
      <c r="N257" s="465">
        <f>INDEX('CTR1 Data Previous Year'!$I:$I,MATCH($D257,'CTR1 Data Previous Year'!$A:$A,0),1)</f>
        <v>440</v>
      </c>
      <c r="O257" s="160" t="s">
        <v>621</v>
      </c>
      <c r="P257" s="817" t="s">
        <v>622</v>
      </c>
      <c r="Q257" s="820" t="s">
        <v>623</v>
      </c>
      <c r="R257" s="817" t="s">
        <v>624</v>
      </c>
      <c r="S257" s="821" t="s">
        <v>129</v>
      </c>
      <c r="T257" s="817"/>
      <c r="U257" s="160"/>
      <c r="V257" s="817"/>
      <c r="W257" s="465">
        <f>INDEX('CTR1 Data Previous Year'!$J:$J,MATCH($D257,'CTR1 Data Previous Year'!$A:$A,0),1)</f>
        <v>38784.870000000003</v>
      </c>
      <c r="X257" s="465">
        <f>INDEX('CTR1 Data Previous Year'!$K:$K,MATCH($D257,'CTR1 Data Previous Year'!$A:$A,0),1)</f>
        <v>224.82</v>
      </c>
      <c r="Y257" s="465">
        <f>INDEX('CTR1 Data Previous Year'!$L:$L,MATCH($D257,'CTR1 Data Previous Year'!$A:$A,0),1)</f>
        <v>149.36000000000001</v>
      </c>
      <c r="Z257" s="836" t="str">
        <f t="shared" si="36"/>
        <v>N</v>
      </c>
      <c r="AA257" s="837" t="str">
        <f t="shared" si="37"/>
        <v>N</v>
      </c>
      <c r="AB257" s="838">
        <f t="shared" si="38"/>
        <v>149.36000000000001</v>
      </c>
      <c r="AC257" s="868">
        <f t="shared" si="39"/>
        <v>0</v>
      </c>
      <c r="AD257" s="876">
        <f t="shared" si="40"/>
        <v>0</v>
      </c>
      <c r="AE257" s="838">
        <f t="shared" si="41"/>
        <v>153.84080000000003</v>
      </c>
      <c r="AF257" s="838">
        <f t="shared" si="42"/>
        <v>154.36000000000001</v>
      </c>
      <c r="AG257" s="839">
        <f t="shared" si="44"/>
        <v>0</v>
      </c>
      <c r="AH257" s="839">
        <f t="shared" si="45"/>
        <v>154.36000000000001</v>
      </c>
      <c r="AI257" s="840">
        <f t="shared" si="43"/>
        <v>0</v>
      </c>
      <c r="AJ257" s="841">
        <f t="shared" si="46"/>
        <v>0</v>
      </c>
      <c r="AK257" s="446"/>
      <c r="AL257" s="446"/>
      <c r="AM257" s="446"/>
      <c r="AN257" s="446"/>
    </row>
    <row r="258" spans="1:51" ht="15" customHeight="1" x14ac:dyDescent="0.25">
      <c r="A258" s="370">
        <v>253</v>
      </c>
      <c r="B258" s="371" t="s">
        <v>1298</v>
      </c>
      <c r="C258" s="370" t="s">
        <v>1299</v>
      </c>
      <c r="D258" s="370" t="s">
        <v>1300</v>
      </c>
      <c r="E258" s="370" t="s">
        <v>321</v>
      </c>
      <c r="F258" s="370" t="s">
        <v>322</v>
      </c>
      <c r="G258" s="386">
        <f>INDEX('CTR1 Data Previous Year'!$B:$B,MATCH($D258,'CTR1 Data Previous Year'!$A:$A,0),1)</f>
        <v>16168940</v>
      </c>
      <c r="H258" s="386">
        <f>INDEX('CTR1 Data Previous Year'!$C:$C,MATCH($D258,'CTR1 Data Previous Year'!$A:$A,0),1)</f>
        <v>0</v>
      </c>
      <c r="I258" s="386">
        <f>INDEX('CTR1 Data Previous Year'!$D:$D,MATCH($D258,'CTR1 Data Previous Year'!$A:$A,0),1)</f>
        <v>3087826</v>
      </c>
      <c r="J258" s="386">
        <f>INDEX('CTR1 Data Previous Year'!$E:$E,MATCH($D258,'CTR1 Data Previous Year'!$A:$A,0),1)</f>
        <v>13081114</v>
      </c>
      <c r="K258" s="386">
        <f>INDEX('CTR1 Data Previous Year'!$F:$F,MATCH($D258,'CTR1 Data Previous Year'!$A:$A,0),1)</f>
        <v>115138</v>
      </c>
      <c r="L258" s="465">
        <f>INDEX('CTR1 Data Previous Year'!$G:$G,MATCH($D258,'CTR1 Data Previous Year'!$A:$A,0),1)</f>
        <v>49742.77</v>
      </c>
      <c r="M258" s="455">
        <f>INDEX('CTR1 Data Previous Year'!$H:$H,MATCH($D258,'CTR1 Data Previous Year'!$A:$A,0),1)</f>
        <v>0.97</v>
      </c>
      <c r="N258" s="465">
        <f>INDEX('CTR1 Data Previous Year'!$I:$I,MATCH($D258,'CTR1 Data Previous Year'!$A:$A,0),1)</f>
        <v>10.4</v>
      </c>
      <c r="O258" s="160" t="s">
        <v>358</v>
      </c>
      <c r="P258" s="817" t="s">
        <v>359</v>
      </c>
      <c r="Q258" s="820" t="s">
        <v>360</v>
      </c>
      <c r="R258" s="817" t="s">
        <v>361</v>
      </c>
      <c r="S258" s="821" t="s">
        <v>362</v>
      </c>
      <c r="T258" s="817" t="s">
        <v>363</v>
      </c>
      <c r="U258" s="160"/>
      <c r="V258" s="817"/>
      <c r="W258" s="465">
        <f>INDEX('CTR1 Data Previous Year'!$J:$J,MATCH($D258,'CTR1 Data Previous Year'!$A:$A,0),1)</f>
        <v>48260.89</v>
      </c>
      <c r="X258" s="465">
        <f>INDEX('CTR1 Data Previous Year'!$K:$K,MATCH($D258,'CTR1 Data Previous Year'!$A:$A,0),1)</f>
        <v>335.03</v>
      </c>
      <c r="Y258" s="465">
        <f>INDEX('CTR1 Data Previous Year'!$L:$L,MATCH($D258,'CTR1 Data Previous Year'!$A:$A,0),1)</f>
        <v>271.05</v>
      </c>
      <c r="Z258" s="836" t="str">
        <f t="shared" si="36"/>
        <v>N</v>
      </c>
      <c r="AA258" s="837" t="str">
        <f t="shared" si="37"/>
        <v>N</v>
      </c>
      <c r="AB258" s="838">
        <f t="shared" si="38"/>
        <v>271.05</v>
      </c>
      <c r="AC258" s="868">
        <f t="shared" si="39"/>
        <v>0</v>
      </c>
      <c r="AD258" s="876">
        <f t="shared" si="40"/>
        <v>0</v>
      </c>
      <c r="AE258" s="838">
        <f t="shared" si="41"/>
        <v>279.18150000000003</v>
      </c>
      <c r="AF258" s="838">
        <f t="shared" si="42"/>
        <v>276.05</v>
      </c>
      <c r="AG258" s="839">
        <f t="shared" si="44"/>
        <v>0</v>
      </c>
      <c r="AH258" s="839">
        <f t="shared" si="45"/>
        <v>279.18</v>
      </c>
      <c r="AI258" s="840">
        <f t="shared" si="43"/>
        <v>0</v>
      </c>
      <c r="AJ258" s="841">
        <f t="shared" si="46"/>
        <v>0</v>
      </c>
      <c r="AK258" s="446"/>
      <c r="AL258" s="446"/>
      <c r="AM258" s="446"/>
      <c r="AN258" s="446"/>
    </row>
    <row r="259" spans="1:51" ht="15" customHeight="1" x14ac:dyDescent="0.25">
      <c r="A259" s="370">
        <v>254</v>
      </c>
      <c r="B259" s="371" t="s">
        <v>1301</v>
      </c>
      <c r="C259" s="370" t="s">
        <v>1302</v>
      </c>
      <c r="D259" s="370" t="s">
        <v>1303</v>
      </c>
      <c r="E259" s="370" t="s">
        <v>321</v>
      </c>
      <c r="F259" s="370" t="s">
        <v>368</v>
      </c>
      <c r="G259" s="386">
        <f>INDEX('CTR1 Data Previous Year'!$B:$B,MATCH($D259,'CTR1 Data Previous Year'!$A:$A,0),1)</f>
        <v>10874712</v>
      </c>
      <c r="H259" s="386">
        <f>INDEX('CTR1 Data Previous Year'!$C:$C,MATCH($D259,'CTR1 Data Previous Year'!$A:$A,0),1)</f>
        <v>1270434</v>
      </c>
      <c r="I259" s="386">
        <f>INDEX('CTR1 Data Previous Year'!$D:$D,MATCH($D259,'CTR1 Data Previous Year'!$A:$A,0),1)</f>
        <v>2612285</v>
      </c>
      <c r="J259" s="386">
        <f>INDEX('CTR1 Data Previous Year'!$E:$E,MATCH($D259,'CTR1 Data Previous Year'!$A:$A,0),1)</f>
        <v>8262427</v>
      </c>
      <c r="K259" s="386">
        <f>INDEX('CTR1 Data Previous Year'!$F:$F,MATCH($D259,'CTR1 Data Previous Year'!$A:$A,0),1)</f>
        <v>0</v>
      </c>
      <c r="L259" s="465">
        <f>INDEX('CTR1 Data Previous Year'!$G:$G,MATCH($D259,'CTR1 Data Previous Year'!$A:$A,0),1)</f>
        <v>40297.879999999997</v>
      </c>
      <c r="M259" s="455">
        <f>INDEX('CTR1 Data Previous Year'!$H:$H,MATCH($D259,'CTR1 Data Previous Year'!$A:$A,0),1)</f>
        <v>0.99</v>
      </c>
      <c r="N259" s="465">
        <f>INDEX('CTR1 Data Previous Year'!$I:$I,MATCH($D259,'CTR1 Data Previous Year'!$A:$A,0),1)</f>
        <v>144</v>
      </c>
      <c r="O259" s="160" t="s">
        <v>557</v>
      </c>
      <c r="P259" s="817" t="s">
        <v>558</v>
      </c>
      <c r="Q259" s="820" t="s">
        <v>559</v>
      </c>
      <c r="R259" s="817" t="s">
        <v>560</v>
      </c>
      <c r="S259" s="821" t="s">
        <v>129</v>
      </c>
      <c r="T259" s="817"/>
      <c r="U259" s="160"/>
      <c r="V259" s="817"/>
      <c r="W259" s="465">
        <f>INDEX('CTR1 Data Previous Year'!$J:$J,MATCH($D259,'CTR1 Data Previous Year'!$A:$A,0),1)</f>
        <v>40038.9</v>
      </c>
      <c r="X259" s="465">
        <f>INDEX('CTR1 Data Previous Year'!$K:$K,MATCH($D259,'CTR1 Data Previous Year'!$A:$A,0),1)</f>
        <v>271.60000000000002</v>
      </c>
      <c r="Y259" s="465">
        <f>INDEX('CTR1 Data Previous Year'!$L:$L,MATCH($D259,'CTR1 Data Previous Year'!$A:$A,0),1)</f>
        <v>206.36</v>
      </c>
      <c r="Z259" s="836" t="str">
        <f t="shared" si="36"/>
        <v>N</v>
      </c>
      <c r="AA259" s="837" t="str">
        <f t="shared" si="37"/>
        <v>N</v>
      </c>
      <c r="AB259" s="838">
        <f t="shared" si="38"/>
        <v>206.36</v>
      </c>
      <c r="AC259" s="868">
        <f t="shared" si="39"/>
        <v>0</v>
      </c>
      <c r="AD259" s="876">
        <f t="shared" si="40"/>
        <v>0</v>
      </c>
      <c r="AE259" s="838">
        <f t="shared" si="41"/>
        <v>212.55080000000001</v>
      </c>
      <c r="AF259" s="838">
        <f t="shared" si="42"/>
        <v>211.36</v>
      </c>
      <c r="AG259" s="839">
        <f t="shared" si="44"/>
        <v>0</v>
      </c>
      <c r="AH259" s="839">
        <f t="shared" si="45"/>
        <v>212.55</v>
      </c>
      <c r="AI259" s="840">
        <f t="shared" si="43"/>
        <v>0</v>
      </c>
      <c r="AJ259" s="841">
        <f t="shared" si="46"/>
        <v>0</v>
      </c>
      <c r="AK259" s="446"/>
      <c r="AL259" s="446"/>
      <c r="AM259" s="446"/>
      <c r="AN259" s="446"/>
    </row>
    <row r="260" spans="1:51" ht="15" customHeight="1" x14ac:dyDescent="0.25">
      <c r="A260" s="370">
        <v>255</v>
      </c>
      <c r="B260" s="371" t="s">
        <v>1304</v>
      </c>
      <c r="C260" s="370" t="s">
        <v>1305</v>
      </c>
      <c r="D260" s="370" t="s">
        <v>1306</v>
      </c>
      <c r="E260" s="370" t="s">
        <v>339</v>
      </c>
      <c r="F260" s="370" t="s">
        <v>368</v>
      </c>
      <c r="G260" s="386">
        <f>INDEX('CTR1 Data Previous Year'!$B:$B,MATCH($D260,'CTR1 Data Previous Year'!$A:$A,0),1)</f>
        <v>97249352</v>
      </c>
      <c r="H260" s="386">
        <f>INDEX('CTR1 Data Previous Year'!$C:$C,MATCH($D260,'CTR1 Data Previous Year'!$A:$A,0),1)</f>
        <v>0</v>
      </c>
      <c r="I260" s="386">
        <f>INDEX('CTR1 Data Previous Year'!$D:$D,MATCH($D260,'CTR1 Data Previous Year'!$A:$A,0),1)</f>
        <v>0</v>
      </c>
      <c r="J260" s="386">
        <f>INDEX('CTR1 Data Previous Year'!$E:$E,MATCH($D260,'CTR1 Data Previous Year'!$A:$A,0),1)</f>
        <v>97249352</v>
      </c>
      <c r="K260" s="386">
        <f>INDEX('CTR1 Data Previous Year'!$F:$F,MATCH($D260,'CTR1 Data Previous Year'!$A:$A,0),1)</f>
        <v>0</v>
      </c>
      <c r="L260" s="465">
        <f>INDEX('CTR1 Data Previous Year'!$G:$G,MATCH($D260,'CTR1 Data Previous Year'!$A:$A,0),1)</f>
        <v>54771.26</v>
      </c>
      <c r="M260" s="455">
        <f>INDEX('CTR1 Data Previous Year'!$H:$H,MATCH($D260,'CTR1 Data Previous Year'!$A:$A,0),1)</f>
        <v>0.98799999999999999</v>
      </c>
      <c r="N260" s="465">
        <f>INDEX('CTR1 Data Previous Year'!$I:$I,MATCH($D260,'CTR1 Data Previous Year'!$A:$A,0),1)</f>
        <v>0</v>
      </c>
      <c r="O260" s="160" t="s">
        <v>129</v>
      </c>
      <c r="P260" s="817"/>
      <c r="Q260" s="820" t="s">
        <v>403</v>
      </c>
      <c r="R260" s="817" t="s">
        <v>404</v>
      </c>
      <c r="S260" s="821" t="s">
        <v>405</v>
      </c>
      <c r="T260" s="817" t="s">
        <v>406</v>
      </c>
      <c r="U260" s="822"/>
      <c r="V260" s="817"/>
      <c r="W260" s="465">
        <f>INDEX('CTR1 Data Previous Year'!$J:$J,MATCH($D260,'CTR1 Data Previous Year'!$A:$A,0),1)</f>
        <v>54114</v>
      </c>
      <c r="X260" s="465">
        <f>INDEX('CTR1 Data Previous Year'!$K:$K,MATCH($D260,'CTR1 Data Previous Year'!$A:$A,0),1)</f>
        <v>1797.12</v>
      </c>
      <c r="Y260" s="465">
        <f>INDEX('CTR1 Data Previous Year'!$L:$L,MATCH($D260,'CTR1 Data Previous Year'!$A:$A,0),1)</f>
        <v>1797.12</v>
      </c>
      <c r="Z260" s="836" t="str">
        <f t="shared" si="36"/>
        <v>N</v>
      </c>
      <c r="AA260" s="837" t="str">
        <f t="shared" si="37"/>
        <v>N</v>
      </c>
      <c r="AB260" s="838">
        <f t="shared" si="38"/>
        <v>1797.12</v>
      </c>
      <c r="AC260" s="868">
        <f t="shared" si="39"/>
        <v>0</v>
      </c>
      <c r="AD260" s="876">
        <f t="shared" si="40"/>
        <v>0</v>
      </c>
      <c r="AE260" s="838">
        <f t="shared" si="41"/>
        <v>1886.9759999999999</v>
      </c>
      <c r="AF260" s="838">
        <f t="shared" si="42"/>
        <v>1797.12</v>
      </c>
      <c r="AG260" s="839">
        <f t="shared" si="44"/>
        <v>0</v>
      </c>
      <c r="AH260" s="839">
        <f t="shared" si="45"/>
        <v>1886.98</v>
      </c>
      <c r="AI260" s="840">
        <f t="shared" si="43"/>
        <v>35.94</v>
      </c>
      <c r="AJ260" s="841">
        <f t="shared" si="46"/>
        <v>1.9998664529914528E-2</v>
      </c>
      <c r="AK260" s="446"/>
      <c r="AL260" s="446"/>
      <c r="AM260" s="446"/>
      <c r="AN260" s="446"/>
    </row>
    <row r="261" spans="1:51" ht="15" customHeight="1" x14ac:dyDescent="0.25">
      <c r="A261" s="370">
        <v>256</v>
      </c>
      <c r="B261" s="371" t="s">
        <v>1307</v>
      </c>
      <c r="C261" s="370" t="s">
        <v>1308</v>
      </c>
      <c r="D261" s="370" t="s">
        <v>1309</v>
      </c>
      <c r="E261" s="370" t="s">
        <v>321</v>
      </c>
      <c r="F261" s="370" t="s">
        <v>322</v>
      </c>
      <c r="G261" s="386">
        <f>INDEX('CTR1 Data Previous Year'!$B:$B,MATCH($D261,'CTR1 Data Previous Year'!$A:$A,0),1)</f>
        <v>17154967</v>
      </c>
      <c r="H261" s="386">
        <f>INDEX('CTR1 Data Previous Year'!$C:$C,MATCH($D261,'CTR1 Data Previous Year'!$A:$A,0),1)</f>
        <v>1237295</v>
      </c>
      <c r="I261" s="386">
        <f>INDEX('CTR1 Data Previous Year'!$D:$D,MATCH($D261,'CTR1 Data Previous Year'!$A:$A,0),1)</f>
        <v>3945607</v>
      </c>
      <c r="J261" s="386">
        <f>INDEX('CTR1 Data Previous Year'!$E:$E,MATCH($D261,'CTR1 Data Previous Year'!$A:$A,0),1)</f>
        <v>13209360</v>
      </c>
      <c r="K261" s="386">
        <f>INDEX('CTR1 Data Previous Year'!$F:$F,MATCH($D261,'CTR1 Data Previous Year'!$A:$A,0),1)</f>
        <v>518250</v>
      </c>
      <c r="L261" s="465">
        <f>INDEX('CTR1 Data Previous Year'!$G:$G,MATCH($D261,'CTR1 Data Previous Year'!$A:$A,0),1)</f>
        <v>55061.15</v>
      </c>
      <c r="M261" s="455">
        <f>INDEX('CTR1 Data Previous Year'!$H:$H,MATCH($D261,'CTR1 Data Previous Year'!$A:$A,0),1)</f>
        <v>0.97799999999999998</v>
      </c>
      <c r="N261" s="465">
        <f>INDEX('CTR1 Data Previous Year'!$I:$I,MATCH($D261,'CTR1 Data Previous Year'!$A:$A,0),1)</f>
        <v>0</v>
      </c>
      <c r="O261" s="160" t="s">
        <v>358</v>
      </c>
      <c r="P261" s="817" t="s">
        <v>359</v>
      </c>
      <c r="Q261" s="820" t="s">
        <v>360</v>
      </c>
      <c r="R261" s="817" t="s">
        <v>361</v>
      </c>
      <c r="S261" s="821" t="s">
        <v>362</v>
      </c>
      <c r="T261" s="817" t="s">
        <v>363</v>
      </c>
      <c r="U261" s="160"/>
      <c r="V261" s="817"/>
      <c r="W261" s="465">
        <f>INDEX('CTR1 Data Previous Year'!$J:$J,MATCH($D261,'CTR1 Data Previous Year'!$A:$A,0),1)</f>
        <v>53849.8</v>
      </c>
      <c r="X261" s="465">
        <f>INDEX('CTR1 Data Previous Year'!$K:$K,MATCH($D261,'CTR1 Data Previous Year'!$A:$A,0),1)</f>
        <v>318.57</v>
      </c>
      <c r="Y261" s="465">
        <f>INDEX('CTR1 Data Previous Year'!$L:$L,MATCH($D261,'CTR1 Data Previous Year'!$A:$A,0),1)</f>
        <v>245.3</v>
      </c>
      <c r="Z261" s="836" t="str">
        <f t="shared" si="36"/>
        <v>N</v>
      </c>
      <c r="AA261" s="837" t="str">
        <f t="shared" si="37"/>
        <v>N</v>
      </c>
      <c r="AB261" s="838">
        <f t="shared" si="38"/>
        <v>245.3</v>
      </c>
      <c r="AC261" s="868">
        <f t="shared" si="39"/>
        <v>0</v>
      </c>
      <c r="AD261" s="876">
        <f t="shared" si="40"/>
        <v>0</v>
      </c>
      <c r="AE261" s="838">
        <f t="shared" si="41"/>
        <v>252.65900000000002</v>
      </c>
      <c r="AF261" s="838">
        <f t="shared" si="42"/>
        <v>250.3</v>
      </c>
      <c r="AG261" s="839">
        <f t="shared" si="44"/>
        <v>0</v>
      </c>
      <c r="AH261" s="839">
        <f t="shared" si="45"/>
        <v>252.66</v>
      </c>
      <c r="AI261" s="840">
        <f t="shared" si="43"/>
        <v>0</v>
      </c>
      <c r="AJ261" s="841">
        <f t="shared" si="46"/>
        <v>0</v>
      </c>
      <c r="AK261" s="446"/>
      <c r="AL261" s="446"/>
      <c r="AM261" s="446"/>
      <c r="AN261" s="446"/>
    </row>
    <row r="262" spans="1:51" ht="15" customHeight="1" x14ac:dyDescent="0.25">
      <c r="A262" s="370">
        <v>257</v>
      </c>
      <c r="B262" s="371" t="s">
        <v>1310</v>
      </c>
      <c r="C262" s="370" t="s">
        <v>1311</v>
      </c>
      <c r="D262" s="370" t="s">
        <v>1312</v>
      </c>
      <c r="E262" s="370" t="s">
        <v>339</v>
      </c>
      <c r="F262" s="370" t="s">
        <v>425</v>
      </c>
      <c r="G262" s="386">
        <f>INDEX('CTR1 Data Previous Year'!$B:$B,MATCH($D262,'CTR1 Data Previous Year'!$A:$A,0),1)</f>
        <v>96427935</v>
      </c>
      <c r="H262" s="386">
        <f>INDEX('CTR1 Data Previous Year'!$C:$C,MATCH($D262,'CTR1 Data Previous Year'!$A:$A,0),1)</f>
        <v>0</v>
      </c>
      <c r="I262" s="386">
        <f>INDEX('CTR1 Data Previous Year'!$D:$D,MATCH($D262,'CTR1 Data Previous Year'!$A:$A,0),1)</f>
        <v>531935</v>
      </c>
      <c r="J262" s="386">
        <f>INDEX('CTR1 Data Previous Year'!$E:$E,MATCH($D262,'CTR1 Data Previous Year'!$A:$A,0),1)</f>
        <v>95896000</v>
      </c>
      <c r="K262" s="386">
        <f>INDEX('CTR1 Data Previous Year'!$F:$F,MATCH($D262,'CTR1 Data Previous Year'!$A:$A,0),1)</f>
        <v>129352</v>
      </c>
      <c r="L262" s="465">
        <f>INDEX('CTR1 Data Previous Year'!$G:$G,MATCH($D262,'CTR1 Data Previous Year'!$A:$A,0),1)</f>
        <v>51306.5</v>
      </c>
      <c r="M262" s="455">
        <f>INDEX('CTR1 Data Previous Year'!$H:$H,MATCH($D262,'CTR1 Data Previous Year'!$A:$A,0),1)</f>
        <v>0.96</v>
      </c>
      <c r="N262" s="465">
        <f>INDEX('CTR1 Data Previous Year'!$I:$I,MATCH($D262,'CTR1 Data Previous Year'!$A:$A,0),1)</f>
        <v>0</v>
      </c>
      <c r="O262" s="160" t="s">
        <v>129</v>
      </c>
      <c r="P262" s="817"/>
      <c r="Q262" s="820" t="s">
        <v>658</v>
      </c>
      <c r="R262" s="817" t="s">
        <v>659</v>
      </c>
      <c r="S262" s="821" t="s">
        <v>729</v>
      </c>
      <c r="T262" s="817" t="s">
        <v>730</v>
      </c>
      <c r="U262" s="160"/>
      <c r="V262" s="817"/>
      <c r="W262" s="465">
        <f>INDEX('CTR1 Data Previous Year'!$J:$J,MATCH($D262,'CTR1 Data Previous Year'!$A:$A,0),1)</f>
        <v>49254.239999999998</v>
      </c>
      <c r="X262" s="465">
        <f>INDEX('CTR1 Data Previous Year'!$K:$K,MATCH($D262,'CTR1 Data Previous Year'!$A:$A,0),1)</f>
        <v>1957.76</v>
      </c>
      <c r="Y262" s="465">
        <f>INDEX('CTR1 Data Previous Year'!$L:$L,MATCH($D262,'CTR1 Data Previous Year'!$A:$A,0),1)</f>
        <v>1946.96</v>
      </c>
      <c r="Z262" s="836" t="str">
        <f t="shared" ref="Z262:Z301" si="47">IF(IFERROR(VLOOKUP($C262,$AL$13:$AL$33,1,0),"N")="N","N","Y")</f>
        <v>N</v>
      </c>
      <c r="AA262" s="837" t="str">
        <f t="shared" ref="AA262:AA301" si="48">IF(IFERROR(VLOOKUP($C262,$AL$36:$AL$56,1,0),"N")="N","N","Y")</f>
        <v>N</v>
      </c>
      <c r="AB262" s="838">
        <f t="shared" ref="AB262:AB301" si="49">IF($AA262="N",$Y262,VLOOKUP($C262,$AL$36:$AM$56,2,0))</f>
        <v>1946.96</v>
      </c>
      <c r="AC262" s="868">
        <f t="shared" ref="AC262:AC301" si="50">IF($Z262="Y",VLOOKUP($C262,$AL$13:$AN$33,2,0),0)</f>
        <v>0</v>
      </c>
      <c r="AD262" s="876">
        <f t="shared" ref="AD262:AD301" si="51">IF($Z262="Y",VLOOKUP($C262,$AL$13:$AN$33,3,0),0)</f>
        <v>0</v>
      </c>
      <c r="AE262" s="838">
        <f t="shared" ref="AE262:AE301" si="52">$AB262*(1+(VLOOKUP($E262,$AK$6:$AN$9,3,0)+VLOOKUP($E262,$AK$6:$AN$9,2,0)))</f>
        <v>2044.3080000000002</v>
      </c>
      <c r="AF262" s="838">
        <f t="shared" ref="AF262:AF301" si="53">$AB262+VLOOKUP($E262,$AK$6:$AN$9,4,0)</f>
        <v>1946.96</v>
      </c>
      <c r="AG262" s="839">
        <f t="shared" si="44"/>
        <v>0</v>
      </c>
      <c r="AH262" s="839">
        <f t="shared" si="45"/>
        <v>2044.31</v>
      </c>
      <c r="AI262" s="840">
        <f t="shared" ref="AI262:AI301" si="54">ROUND($AB262*VLOOKUP($E262,$AK$6:$AN$9,2,0),2)</f>
        <v>38.94</v>
      </c>
      <c r="AJ262" s="841">
        <f t="shared" si="46"/>
        <v>2.0000410896988122E-2</v>
      </c>
      <c r="AK262" s="446"/>
      <c r="AL262" s="446"/>
      <c r="AM262" s="446"/>
      <c r="AN262" s="446"/>
    </row>
    <row r="263" spans="1:51" ht="15" customHeight="1" x14ac:dyDescent="0.25">
      <c r="A263" s="370">
        <v>258</v>
      </c>
      <c r="B263" s="371" t="s">
        <v>1313</v>
      </c>
      <c r="C263" s="370" t="s">
        <v>1314</v>
      </c>
      <c r="D263" s="370" t="s">
        <v>1315</v>
      </c>
      <c r="E263" s="370" t="s">
        <v>321</v>
      </c>
      <c r="F263" s="370" t="s">
        <v>425</v>
      </c>
      <c r="G263" s="386">
        <f>INDEX('CTR1 Data Previous Year'!$B:$B,MATCH($D263,'CTR1 Data Previous Year'!$A:$A,0),1)</f>
        <v>7525819</v>
      </c>
      <c r="H263" s="386">
        <f>INDEX('CTR1 Data Previous Year'!$C:$C,MATCH($D263,'CTR1 Data Previous Year'!$A:$A,0),1)</f>
        <v>0</v>
      </c>
      <c r="I263" s="386">
        <f>INDEX('CTR1 Data Previous Year'!$D:$D,MATCH($D263,'CTR1 Data Previous Year'!$A:$A,0),1)</f>
        <v>2371810</v>
      </c>
      <c r="J263" s="386">
        <f>INDEX('CTR1 Data Previous Year'!$E:$E,MATCH($D263,'CTR1 Data Previous Year'!$A:$A,0),1)</f>
        <v>5154009</v>
      </c>
      <c r="K263" s="386">
        <f>INDEX('CTR1 Data Previous Year'!$F:$F,MATCH($D263,'CTR1 Data Previous Year'!$A:$A,0),1)</f>
        <v>0</v>
      </c>
      <c r="L263" s="465">
        <f>INDEX('CTR1 Data Previous Year'!$G:$G,MATCH($D263,'CTR1 Data Previous Year'!$A:$A,0),1)</f>
        <v>27365.599999999999</v>
      </c>
      <c r="M263" s="455">
        <f>INDEX('CTR1 Data Previous Year'!$H:$H,MATCH($D263,'CTR1 Data Previous Year'!$A:$A,0),1)</f>
        <v>0.96499999999999997</v>
      </c>
      <c r="N263" s="465">
        <f>INDEX('CTR1 Data Previous Year'!$I:$I,MATCH($D263,'CTR1 Data Previous Year'!$A:$A,0),1)</f>
        <v>0</v>
      </c>
      <c r="O263" s="160" t="s">
        <v>727</v>
      </c>
      <c r="P263" s="817" t="s">
        <v>728</v>
      </c>
      <c r="Q263" s="820" t="s">
        <v>658</v>
      </c>
      <c r="R263" s="817" t="s">
        <v>659</v>
      </c>
      <c r="S263" s="821" t="s">
        <v>729</v>
      </c>
      <c r="T263" s="817" t="s">
        <v>730</v>
      </c>
      <c r="U263" s="160"/>
      <c r="V263" s="817"/>
      <c r="W263" s="465">
        <f>INDEX('CTR1 Data Previous Year'!$J:$J,MATCH($D263,'CTR1 Data Previous Year'!$A:$A,0),1)</f>
        <v>26407.8</v>
      </c>
      <c r="X263" s="465">
        <f>INDEX('CTR1 Data Previous Year'!$K:$K,MATCH($D263,'CTR1 Data Previous Year'!$A:$A,0),1)</f>
        <v>284.98</v>
      </c>
      <c r="Y263" s="465">
        <f>INDEX('CTR1 Data Previous Year'!$L:$L,MATCH($D263,'CTR1 Data Previous Year'!$A:$A,0),1)</f>
        <v>195.17</v>
      </c>
      <c r="Z263" s="836" t="str">
        <f t="shared" si="47"/>
        <v>N</v>
      </c>
      <c r="AA263" s="837" t="str">
        <f t="shared" si="48"/>
        <v>N</v>
      </c>
      <c r="AB263" s="838">
        <f t="shared" si="49"/>
        <v>195.17</v>
      </c>
      <c r="AC263" s="868">
        <f t="shared" si="50"/>
        <v>0</v>
      </c>
      <c r="AD263" s="876">
        <f t="shared" si="51"/>
        <v>0</v>
      </c>
      <c r="AE263" s="838">
        <f t="shared" si="52"/>
        <v>201.02509999999998</v>
      </c>
      <c r="AF263" s="838">
        <f t="shared" si="53"/>
        <v>200.17</v>
      </c>
      <c r="AG263" s="839">
        <f t="shared" ref="AG263:AG301" si="55">IF(AND($Z263="Y",$AC263&gt;0),$AB263*(1+$AC263),IF(AND($Z263="Y",$AD263&gt;0),$AB263+$AD263,0))</f>
        <v>0</v>
      </c>
      <c r="AH263" s="839">
        <f t="shared" ref="AH263:AH301" si="56">ROUND(MAX($AE263:$AG263),2)</f>
        <v>201.03</v>
      </c>
      <c r="AI263" s="840">
        <f t="shared" si="54"/>
        <v>0</v>
      </c>
      <c r="AJ263" s="841">
        <f t="shared" ref="AJ263:AJ301" si="57">$AI263/$Y263</f>
        <v>0</v>
      </c>
      <c r="AK263" s="446"/>
      <c r="AL263" s="446"/>
      <c r="AM263" s="446"/>
      <c r="AN263" s="446"/>
    </row>
    <row r="264" spans="1:51" ht="15" customHeight="1" x14ac:dyDescent="0.25">
      <c r="A264" s="370">
        <v>259</v>
      </c>
      <c r="B264" s="371" t="s">
        <v>1316</v>
      </c>
      <c r="C264" s="370" t="s">
        <v>1317</v>
      </c>
      <c r="D264" s="370" t="s">
        <v>1318</v>
      </c>
      <c r="E264" s="370" t="s">
        <v>343</v>
      </c>
      <c r="F264" s="370" t="s">
        <v>378</v>
      </c>
      <c r="G264" s="386">
        <f>INDEX('CTR1 Data Previous Year'!$B:$B,MATCH($D264,'CTR1 Data Previous Year'!$A:$A,0),1)</f>
        <v>148077103</v>
      </c>
      <c r="H264" s="386">
        <f>INDEX('CTR1 Data Previous Year'!$C:$C,MATCH($D264,'CTR1 Data Previous Year'!$A:$A,0),1)</f>
        <v>0</v>
      </c>
      <c r="I264" s="386">
        <f>INDEX('CTR1 Data Previous Year'!$D:$D,MATCH($D264,'CTR1 Data Previous Year'!$A:$A,0),1)</f>
        <v>0</v>
      </c>
      <c r="J264" s="386">
        <f>INDEX('CTR1 Data Previous Year'!$E:$E,MATCH($D264,'CTR1 Data Previous Year'!$A:$A,0),1)</f>
        <v>148077103</v>
      </c>
      <c r="K264" s="386">
        <f>INDEX('CTR1 Data Previous Year'!$F:$F,MATCH($D264,'CTR1 Data Previous Year'!$A:$A,0),1)</f>
        <v>1265396</v>
      </c>
      <c r="L264" s="465">
        <f>INDEX('CTR1 Data Previous Year'!$G:$G,MATCH($D264,'CTR1 Data Previous Year'!$A:$A,0),1)</f>
        <v>120135.38</v>
      </c>
      <c r="M264" s="455">
        <f>INDEX('CTR1 Data Previous Year'!$H:$H,MATCH($D264,'CTR1 Data Previous Year'!$A:$A,0),1)</f>
        <v>0.97499999999999998</v>
      </c>
      <c r="N264" s="465">
        <f>INDEX('CTR1 Data Previous Year'!$I:$I,MATCH($D264,'CTR1 Data Previous Year'!$A:$A,0),1)</f>
        <v>0</v>
      </c>
      <c r="O264" s="160" t="s">
        <v>379</v>
      </c>
      <c r="P264" s="862" t="s">
        <v>380</v>
      </c>
      <c r="Q264" s="820"/>
      <c r="R264" s="817"/>
      <c r="S264" s="821" t="s">
        <v>129</v>
      </c>
      <c r="T264" s="817"/>
      <c r="U264" s="160"/>
      <c r="V264" s="817"/>
      <c r="W264" s="465">
        <f>INDEX('CTR1 Data Previous Year'!$J:$J,MATCH($D264,'CTR1 Data Previous Year'!$A:$A,0),1)</f>
        <v>117132</v>
      </c>
      <c r="X264" s="465">
        <f>INDEX('CTR1 Data Previous Year'!$K:$K,MATCH($D264,'CTR1 Data Previous Year'!$A:$A,0),1)</f>
        <v>1264.19</v>
      </c>
      <c r="Y264" s="465">
        <f>INDEX('CTR1 Data Previous Year'!$L:$L,MATCH($D264,'CTR1 Data Previous Year'!$A:$A,0),1)</f>
        <v>1264.19</v>
      </c>
      <c r="Z264" s="836" t="str">
        <f t="shared" si="47"/>
        <v>N</v>
      </c>
      <c r="AA264" s="837" t="str">
        <f t="shared" si="48"/>
        <v>N</v>
      </c>
      <c r="AB264" s="838">
        <f t="shared" si="49"/>
        <v>1264.19</v>
      </c>
      <c r="AC264" s="868">
        <f t="shared" si="50"/>
        <v>0</v>
      </c>
      <c r="AD264" s="876">
        <f t="shared" si="51"/>
        <v>0</v>
      </c>
      <c r="AE264" s="838">
        <f t="shared" si="52"/>
        <v>1327.3995000000002</v>
      </c>
      <c r="AF264" s="838">
        <f t="shared" si="53"/>
        <v>1264.19</v>
      </c>
      <c r="AG264" s="839">
        <f t="shared" si="55"/>
        <v>0</v>
      </c>
      <c r="AH264" s="839">
        <f t="shared" si="56"/>
        <v>1327.4</v>
      </c>
      <c r="AI264" s="840">
        <f t="shared" si="54"/>
        <v>25.28</v>
      </c>
      <c r="AJ264" s="841">
        <f t="shared" si="57"/>
        <v>1.9996994122718895E-2</v>
      </c>
      <c r="AK264" s="446"/>
      <c r="AL264" s="446"/>
      <c r="AM264" s="446"/>
      <c r="AN264" s="446"/>
    </row>
    <row r="265" spans="1:51" ht="15" customHeight="1" x14ac:dyDescent="0.25">
      <c r="A265" s="370">
        <v>260</v>
      </c>
      <c r="B265" s="371" t="s">
        <v>397</v>
      </c>
      <c r="C265" s="370" t="s">
        <v>1319</v>
      </c>
      <c r="D265" s="370" t="s">
        <v>1320</v>
      </c>
      <c r="E265" s="370" t="s">
        <v>353</v>
      </c>
      <c r="F265" s="370" t="s">
        <v>463</v>
      </c>
      <c r="G265" s="386">
        <f>INDEX('CTR1 Data Previous Year'!$B:$B,MATCH($D265,'CTR1 Data Previous Year'!$A:$A,0),1)</f>
        <v>139288250</v>
      </c>
      <c r="H265" s="386">
        <f>INDEX('CTR1 Data Previous Year'!$C:$C,MATCH($D265,'CTR1 Data Previous Year'!$A:$A,0),1)</f>
        <v>0</v>
      </c>
      <c r="I265" s="386">
        <f>INDEX('CTR1 Data Previous Year'!$D:$D,MATCH($D265,'CTR1 Data Previous Year'!$A:$A,0),1)</f>
        <v>137296</v>
      </c>
      <c r="J265" s="386">
        <f>INDEX('CTR1 Data Previous Year'!$E:$E,MATCH($D265,'CTR1 Data Previous Year'!$A:$A,0),1)</f>
        <v>139150954</v>
      </c>
      <c r="K265" s="386">
        <f>INDEX('CTR1 Data Previous Year'!$F:$F,MATCH($D265,'CTR1 Data Previous Year'!$A:$A,0),1)</f>
        <v>33953506</v>
      </c>
      <c r="L265" s="465">
        <f>INDEX('CTR1 Data Previous Year'!$G:$G,MATCH($D265,'CTR1 Data Previous Year'!$A:$A,0),1)</f>
        <v>81602.22</v>
      </c>
      <c r="M265" s="455">
        <f>INDEX('CTR1 Data Previous Year'!$H:$H,MATCH($D265,'CTR1 Data Previous Year'!$A:$A,0),1)</f>
        <v>0.99050000000000005</v>
      </c>
      <c r="N265" s="465">
        <f>INDEX('CTR1 Data Previous Year'!$I:$I,MATCH($D265,'CTR1 Data Previous Year'!$A:$A,0),1)</f>
        <v>0</v>
      </c>
      <c r="O265" s="160" t="s">
        <v>129</v>
      </c>
      <c r="P265" s="817"/>
      <c r="Q265" s="820" t="s">
        <v>477</v>
      </c>
      <c r="R265" s="817" t="s">
        <v>478</v>
      </c>
      <c r="S265" s="821"/>
      <c r="T265" s="817"/>
      <c r="U265" s="822" t="s">
        <v>479</v>
      </c>
      <c r="V265" s="817" t="s">
        <v>478</v>
      </c>
      <c r="W265" s="465">
        <f>INDEX('CTR1 Data Previous Year'!$J:$J,MATCH($D265,'CTR1 Data Previous Year'!$A:$A,0),1)</f>
        <v>80827</v>
      </c>
      <c r="X265" s="465">
        <f>INDEX('CTR1 Data Previous Year'!$K:$K,MATCH($D265,'CTR1 Data Previous Year'!$A:$A,0),1)</f>
        <v>1723.29</v>
      </c>
      <c r="Y265" s="465">
        <f>INDEX('CTR1 Data Previous Year'!$L:$L,MATCH($D265,'CTR1 Data Previous Year'!$A:$A,0),1)</f>
        <v>1721.59</v>
      </c>
      <c r="Z265" s="836" t="str">
        <f t="shared" si="47"/>
        <v>Y</v>
      </c>
      <c r="AA265" s="837" t="str">
        <f t="shared" si="48"/>
        <v>N</v>
      </c>
      <c r="AB265" s="838">
        <f t="shared" si="49"/>
        <v>1721.59</v>
      </c>
      <c r="AC265" s="868">
        <f t="shared" si="50"/>
        <v>7.4999999999999997E-2</v>
      </c>
      <c r="AD265" s="876">
        <f t="shared" si="51"/>
        <v>0</v>
      </c>
      <c r="AE265" s="838">
        <f t="shared" si="52"/>
        <v>1807.6695</v>
      </c>
      <c r="AF265" s="838">
        <f t="shared" si="53"/>
        <v>1721.59</v>
      </c>
      <c r="AG265" s="839">
        <f t="shared" si="55"/>
        <v>1850.7092499999999</v>
      </c>
      <c r="AH265" s="839">
        <f t="shared" si="56"/>
        <v>1850.71</v>
      </c>
      <c r="AI265" s="840">
        <f t="shared" si="54"/>
        <v>34.43</v>
      </c>
      <c r="AJ265" s="841">
        <f t="shared" si="57"/>
        <v>1.9998954454893442E-2</v>
      </c>
      <c r="AK265" s="446"/>
      <c r="AL265" s="446"/>
      <c r="AM265" s="446"/>
      <c r="AN265" s="446"/>
      <c r="AY265" s="444"/>
    </row>
    <row r="266" spans="1:51" ht="15" customHeight="1" x14ac:dyDescent="0.25">
      <c r="A266" s="370">
        <v>261</v>
      </c>
      <c r="B266" s="371" t="s">
        <v>1321</v>
      </c>
      <c r="C266" s="370" t="s">
        <v>1322</v>
      </c>
      <c r="D266" s="370" t="s">
        <v>1323</v>
      </c>
      <c r="E266" s="370" t="s">
        <v>321</v>
      </c>
      <c r="F266" s="370" t="s">
        <v>322</v>
      </c>
      <c r="G266" s="386">
        <f>INDEX('CTR1 Data Previous Year'!$B:$B,MATCH($D266,'CTR1 Data Previous Year'!$A:$A,0),1)</f>
        <v>14298019</v>
      </c>
      <c r="H266" s="386">
        <f>INDEX('CTR1 Data Previous Year'!$C:$C,MATCH($D266,'CTR1 Data Previous Year'!$A:$A,0),1)</f>
        <v>2977570</v>
      </c>
      <c r="I266" s="386">
        <f>INDEX('CTR1 Data Previous Year'!$D:$D,MATCH($D266,'CTR1 Data Previous Year'!$A:$A,0),1)</f>
        <v>3920549</v>
      </c>
      <c r="J266" s="386">
        <f>INDEX('CTR1 Data Previous Year'!$E:$E,MATCH($D266,'CTR1 Data Previous Year'!$A:$A,0),1)</f>
        <v>10377470</v>
      </c>
      <c r="K266" s="386">
        <f>INDEX('CTR1 Data Previous Year'!$F:$F,MATCH($D266,'CTR1 Data Previous Year'!$A:$A,0),1)</f>
        <v>331051</v>
      </c>
      <c r="L266" s="465">
        <f>INDEX('CTR1 Data Previous Year'!$G:$G,MATCH($D266,'CTR1 Data Previous Year'!$A:$A,0),1)</f>
        <v>50137.35</v>
      </c>
      <c r="M266" s="455">
        <f>INDEX('CTR1 Data Previous Year'!$H:$H,MATCH($D266,'CTR1 Data Previous Year'!$A:$A,0),1)</f>
        <v>0.98</v>
      </c>
      <c r="N266" s="465">
        <f>INDEX('CTR1 Data Previous Year'!$I:$I,MATCH($D266,'CTR1 Data Previous Year'!$A:$A,0),1)</f>
        <v>0</v>
      </c>
      <c r="O266" s="160" t="s">
        <v>358</v>
      </c>
      <c r="P266" s="817" t="s">
        <v>359</v>
      </c>
      <c r="Q266" s="820" t="s">
        <v>360</v>
      </c>
      <c r="R266" s="817" t="s">
        <v>361</v>
      </c>
      <c r="S266" s="821" t="s">
        <v>362</v>
      </c>
      <c r="T266" s="817" t="s">
        <v>363</v>
      </c>
      <c r="U266" s="160"/>
      <c r="V266" s="817"/>
      <c r="W266" s="465">
        <f>INDEX('CTR1 Data Previous Year'!$J:$J,MATCH($D266,'CTR1 Data Previous Year'!$A:$A,0),1)</f>
        <v>49134.6</v>
      </c>
      <c r="X266" s="465">
        <f>INDEX('CTR1 Data Previous Year'!$K:$K,MATCH($D266,'CTR1 Data Previous Year'!$A:$A,0),1)</f>
        <v>291</v>
      </c>
      <c r="Y266" s="465">
        <f>INDEX('CTR1 Data Previous Year'!$L:$L,MATCH($D266,'CTR1 Data Previous Year'!$A:$A,0),1)</f>
        <v>211.2</v>
      </c>
      <c r="Z266" s="836" t="str">
        <f t="shared" si="47"/>
        <v>N</v>
      </c>
      <c r="AA266" s="837" t="str">
        <f t="shared" si="48"/>
        <v>N</v>
      </c>
      <c r="AB266" s="838">
        <f t="shared" si="49"/>
        <v>211.2</v>
      </c>
      <c r="AC266" s="868">
        <f t="shared" si="50"/>
        <v>0</v>
      </c>
      <c r="AD266" s="876">
        <f t="shared" si="51"/>
        <v>0</v>
      </c>
      <c r="AE266" s="838">
        <f t="shared" si="52"/>
        <v>217.536</v>
      </c>
      <c r="AF266" s="838">
        <f t="shared" si="53"/>
        <v>216.2</v>
      </c>
      <c r="AG266" s="839">
        <f t="shared" si="55"/>
        <v>0</v>
      </c>
      <c r="AH266" s="839">
        <f t="shared" si="56"/>
        <v>217.54</v>
      </c>
      <c r="AI266" s="840">
        <f t="shared" si="54"/>
        <v>0</v>
      </c>
      <c r="AJ266" s="841">
        <f t="shared" si="57"/>
        <v>0</v>
      </c>
      <c r="AK266" s="446"/>
      <c r="AL266" s="446"/>
      <c r="AM266" s="446"/>
      <c r="AN266" s="446"/>
    </row>
    <row r="267" spans="1:51" ht="15" customHeight="1" x14ac:dyDescent="0.25">
      <c r="A267" s="370">
        <v>262</v>
      </c>
      <c r="B267" s="371" t="s">
        <v>1324</v>
      </c>
      <c r="C267" s="370" t="s">
        <v>1325</v>
      </c>
      <c r="D267" s="370" t="s">
        <v>1326</v>
      </c>
      <c r="E267" s="370" t="s">
        <v>321</v>
      </c>
      <c r="F267" s="370" t="s">
        <v>368</v>
      </c>
      <c r="G267" s="386">
        <f>INDEX('CTR1 Data Previous Year'!$B:$B,MATCH($D267,'CTR1 Data Previous Year'!$A:$A,0),1)</f>
        <v>12567782</v>
      </c>
      <c r="H267" s="386">
        <f>INDEX('CTR1 Data Previous Year'!$C:$C,MATCH($D267,'CTR1 Data Previous Year'!$A:$A,0),1)</f>
        <v>0</v>
      </c>
      <c r="I267" s="386">
        <f>INDEX('CTR1 Data Previous Year'!$D:$D,MATCH($D267,'CTR1 Data Previous Year'!$A:$A,0),1)</f>
        <v>5186478</v>
      </c>
      <c r="J267" s="386">
        <f>INDEX('CTR1 Data Previous Year'!$E:$E,MATCH($D267,'CTR1 Data Previous Year'!$A:$A,0),1)</f>
        <v>7381304</v>
      </c>
      <c r="K267" s="386">
        <f>INDEX('CTR1 Data Previous Year'!$F:$F,MATCH($D267,'CTR1 Data Previous Year'!$A:$A,0),1)</f>
        <v>0</v>
      </c>
      <c r="L267" s="465">
        <f>INDEX('CTR1 Data Previous Year'!$G:$G,MATCH($D267,'CTR1 Data Previous Year'!$A:$A,0),1)</f>
        <v>40858.85</v>
      </c>
      <c r="M267" s="455">
        <f>INDEX('CTR1 Data Previous Year'!$H:$H,MATCH($D267,'CTR1 Data Previous Year'!$A:$A,0),1)</f>
        <v>0.98599999999999999</v>
      </c>
      <c r="N267" s="465">
        <f>INDEX('CTR1 Data Previous Year'!$I:$I,MATCH($D267,'CTR1 Data Previous Year'!$A:$A,0),1)</f>
        <v>265.33</v>
      </c>
      <c r="O267" s="160" t="s">
        <v>401</v>
      </c>
      <c r="P267" s="817" t="s">
        <v>402</v>
      </c>
      <c r="Q267" s="820" t="s">
        <v>403</v>
      </c>
      <c r="R267" s="817" t="s">
        <v>404</v>
      </c>
      <c r="S267" s="821" t="s">
        <v>405</v>
      </c>
      <c r="T267" s="817" t="s">
        <v>406</v>
      </c>
      <c r="U267" s="822"/>
      <c r="V267" s="817"/>
      <c r="W267" s="465">
        <f>INDEX('CTR1 Data Previous Year'!$J:$J,MATCH($D267,'CTR1 Data Previous Year'!$A:$A,0),1)</f>
        <v>40552.160000000003</v>
      </c>
      <c r="X267" s="465">
        <f>INDEX('CTR1 Data Previous Year'!$K:$K,MATCH($D267,'CTR1 Data Previous Year'!$A:$A,0),1)</f>
        <v>309.92</v>
      </c>
      <c r="Y267" s="465">
        <f>INDEX('CTR1 Data Previous Year'!$L:$L,MATCH($D267,'CTR1 Data Previous Year'!$A:$A,0),1)</f>
        <v>182.02</v>
      </c>
      <c r="Z267" s="836" t="str">
        <f t="shared" si="47"/>
        <v>N</v>
      </c>
      <c r="AA267" s="837" t="str">
        <f t="shared" si="48"/>
        <v>N</v>
      </c>
      <c r="AB267" s="838">
        <f t="shared" si="49"/>
        <v>182.02</v>
      </c>
      <c r="AC267" s="868">
        <f t="shared" si="50"/>
        <v>0</v>
      </c>
      <c r="AD267" s="876">
        <f t="shared" si="51"/>
        <v>0</v>
      </c>
      <c r="AE267" s="838">
        <f t="shared" si="52"/>
        <v>187.48060000000001</v>
      </c>
      <c r="AF267" s="838">
        <f t="shared" si="53"/>
        <v>187.02</v>
      </c>
      <c r="AG267" s="839">
        <f t="shared" si="55"/>
        <v>0</v>
      </c>
      <c r="AH267" s="839">
        <f t="shared" si="56"/>
        <v>187.48</v>
      </c>
      <c r="AI267" s="840">
        <f t="shared" si="54"/>
        <v>0</v>
      </c>
      <c r="AJ267" s="841">
        <f t="shared" si="57"/>
        <v>0</v>
      </c>
      <c r="AK267" s="446"/>
      <c r="AL267" s="446"/>
      <c r="AM267" s="446"/>
      <c r="AN267" s="446"/>
    </row>
    <row r="268" spans="1:51" ht="15" customHeight="1" x14ac:dyDescent="0.25">
      <c r="A268" s="370">
        <v>263</v>
      </c>
      <c r="B268" s="371" t="s">
        <v>1327</v>
      </c>
      <c r="C268" s="370" t="s">
        <v>1328</v>
      </c>
      <c r="D268" s="370" t="s">
        <v>1329</v>
      </c>
      <c r="E268" s="370" t="s">
        <v>321</v>
      </c>
      <c r="F268" s="370" t="s">
        <v>322</v>
      </c>
      <c r="G268" s="386">
        <f>INDEX('CTR1 Data Previous Year'!$B:$B,MATCH($D268,'CTR1 Data Previous Year'!$A:$A,0),1)</f>
        <v>15506024</v>
      </c>
      <c r="H268" s="386">
        <f>INDEX('CTR1 Data Previous Year'!$C:$C,MATCH($D268,'CTR1 Data Previous Year'!$A:$A,0),1)</f>
        <v>0</v>
      </c>
      <c r="I268" s="386">
        <f>INDEX('CTR1 Data Previous Year'!$D:$D,MATCH($D268,'CTR1 Data Previous Year'!$A:$A,0),1)</f>
        <v>5941818</v>
      </c>
      <c r="J268" s="386">
        <f>INDEX('CTR1 Data Previous Year'!$E:$E,MATCH($D268,'CTR1 Data Previous Year'!$A:$A,0),1)</f>
        <v>9564206</v>
      </c>
      <c r="K268" s="386">
        <f>INDEX('CTR1 Data Previous Year'!$F:$F,MATCH($D268,'CTR1 Data Previous Year'!$A:$A,0),1)</f>
        <v>0</v>
      </c>
      <c r="L268" s="465">
        <f>INDEX('CTR1 Data Previous Year'!$G:$G,MATCH($D268,'CTR1 Data Previous Year'!$A:$A,0),1)</f>
        <v>59003.25</v>
      </c>
      <c r="M268" s="455">
        <f>INDEX('CTR1 Data Previous Year'!$H:$H,MATCH($D268,'CTR1 Data Previous Year'!$A:$A,0),1)</f>
        <v>0.98499999999999999</v>
      </c>
      <c r="N268" s="465">
        <f>INDEX('CTR1 Data Previous Year'!$I:$I,MATCH($D268,'CTR1 Data Previous Year'!$A:$A,0),1)</f>
        <v>1033.3</v>
      </c>
      <c r="O268" s="160" t="s">
        <v>628</v>
      </c>
      <c r="P268" s="817" t="s">
        <v>629</v>
      </c>
      <c r="Q268" s="820" t="s">
        <v>500</v>
      </c>
      <c r="R268" s="817" t="s">
        <v>501</v>
      </c>
      <c r="S268" s="821" t="s">
        <v>129</v>
      </c>
      <c r="T268" s="817"/>
      <c r="U268" s="160"/>
      <c r="V268" s="817"/>
      <c r="W268" s="465">
        <f>INDEX('CTR1 Data Previous Year'!$J:$J,MATCH($D268,'CTR1 Data Previous Year'!$A:$A,0),1)</f>
        <v>59151.5</v>
      </c>
      <c r="X268" s="465">
        <f>INDEX('CTR1 Data Previous Year'!$K:$K,MATCH($D268,'CTR1 Data Previous Year'!$A:$A,0),1)</f>
        <v>262.14</v>
      </c>
      <c r="Y268" s="465">
        <f>INDEX('CTR1 Data Previous Year'!$L:$L,MATCH($D268,'CTR1 Data Previous Year'!$A:$A,0),1)</f>
        <v>161.69</v>
      </c>
      <c r="Z268" s="836" t="str">
        <f t="shared" si="47"/>
        <v>N</v>
      </c>
      <c r="AA268" s="837" t="str">
        <f t="shared" si="48"/>
        <v>N</v>
      </c>
      <c r="AB268" s="838">
        <f t="shared" si="49"/>
        <v>161.69</v>
      </c>
      <c r="AC268" s="868">
        <f t="shared" si="50"/>
        <v>0</v>
      </c>
      <c r="AD268" s="876">
        <f t="shared" si="51"/>
        <v>0</v>
      </c>
      <c r="AE268" s="838">
        <f t="shared" si="52"/>
        <v>166.54070000000002</v>
      </c>
      <c r="AF268" s="838">
        <f t="shared" si="53"/>
        <v>166.69</v>
      </c>
      <c r="AG268" s="839">
        <f t="shared" si="55"/>
        <v>0</v>
      </c>
      <c r="AH268" s="839">
        <f t="shared" si="56"/>
        <v>166.69</v>
      </c>
      <c r="AI268" s="840">
        <f t="shared" si="54"/>
        <v>0</v>
      </c>
      <c r="AJ268" s="841">
        <f t="shared" si="57"/>
        <v>0</v>
      </c>
      <c r="AK268" s="446"/>
      <c r="AL268" s="446"/>
      <c r="AM268" s="446"/>
      <c r="AN268" s="446"/>
    </row>
    <row r="269" spans="1:51" ht="15" customHeight="1" x14ac:dyDescent="0.25">
      <c r="A269" s="370">
        <v>264</v>
      </c>
      <c r="B269" s="371" t="s">
        <v>1330</v>
      </c>
      <c r="C269" s="370" t="s">
        <v>1331</v>
      </c>
      <c r="D269" s="370" t="s">
        <v>1332</v>
      </c>
      <c r="E269" s="370" t="s">
        <v>353</v>
      </c>
      <c r="F269" s="370" t="s">
        <v>391</v>
      </c>
      <c r="G269" s="386">
        <f>INDEX('CTR1 Data Previous Year'!$B:$B,MATCH($D269,'CTR1 Data Previous Year'!$A:$A,0),1)</f>
        <v>196113572</v>
      </c>
      <c r="H269" s="386">
        <f>INDEX('CTR1 Data Previous Year'!$C:$C,MATCH($D269,'CTR1 Data Previous Year'!$A:$A,0),1)</f>
        <v>0</v>
      </c>
      <c r="I269" s="386">
        <f>INDEX('CTR1 Data Previous Year'!$D:$D,MATCH($D269,'CTR1 Data Previous Year'!$A:$A,0),1)</f>
        <v>3886998</v>
      </c>
      <c r="J269" s="386">
        <f>INDEX('CTR1 Data Previous Year'!$E:$E,MATCH($D269,'CTR1 Data Previous Year'!$A:$A,0),1)</f>
        <v>192226574</v>
      </c>
      <c r="K269" s="386">
        <f>INDEX('CTR1 Data Previous Year'!$F:$F,MATCH($D269,'CTR1 Data Previous Year'!$A:$A,0),1)</f>
        <v>15668349</v>
      </c>
      <c r="L269" s="465">
        <f>INDEX('CTR1 Data Previous Year'!$G:$G,MATCH($D269,'CTR1 Data Previous Year'!$A:$A,0),1)</f>
        <v>107767.67999999999</v>
      </c>
      <c r="M269" s="455">
        <f>INDEX('CTR1 Data Previous Year'!$H:$H,MATCH($D269,'CTR1 Data Previous Year'!$A:$A,0),1)</f>
        <v>0.99</v>
      </c>
      <c r="N269" s="465">
        <f>INDEX('CTR1 Data Previous Year'!$I:$I,MATCH($D269,'CTR1 Data Previous Year'!$A:$A,0),1)</f>
        <v>0</v>
      </c>
      <c r="O269" s="160" t="s">
        <v>129</v>
      </c>
      <c r="P269" s="817"/>
      <c r="Q269" s="820" t="s">
        <v>507</v>
      </c>
      <c r="R269" s="817" t="s">
        <v>508</v>
      </c>
      <c r="S269" s="821" t="s">
        <v>509</v>
      </c>
      <c r="T269" s="817" t="s">
        <v>510</v>
      </c>
      <c r="U269" s="822" t="s">
        <v>511</v>
      </c>
      <c r="V269" s="817" t="s">
        <v>508</v>
      </c>
      <c r="W269" s="465">
        <f>INDEX('CTR1 Data Previous Year'!$J:$J,MATCH($D269,'CTR1 Data Previous Year'!$A:$A,0),1)</f>
        <v>106690</v>
      </c>
      <c r="X269" s="465">
        <f>INDEX('CTR1 Data Previous Year'!$K:$K,MATCH($D269,'CTR1 Data Previous Year'!$A:$A,0),1)</f>
        <v>1838.16</v>
      </c>
      <c r="Y269" s="465">
        <f>INDEX('CTR1 Data Previous Year'!$L:$L,MATCH($D269,'CTR1 Data Previous Year'!$A:$A,0),1)</f>
        <v>1801.73</v>
      </c>
      <c r="Z269" s="836" t="str">
        <f t="shared" si="47"/>
        <v>N</v>
      </c>
      <c r="AA269" s="837" t="str">
        <f t="shared" si="48"/>
        <v>N</v>
      </c>
      <c r="AB269" s="838">
        <f t="shared" si="49"/>
        <v>1801.73</v>
      </c>
      <c r="AC269" s="868">
        <f t="shared" si="50"/>
        <v>0</v>
      </c>
      <c r="AD269" s="876">
        <f t="shared" si="51"/>
        <v>0</v>
      </c>
      <c r="AE269" s="838">
        <f t="shared" si="52"/>
        <v>1891.8165000000001</v>
      </c>
      <c r="AF269" s="838">
        <f t="shared" si="53"/>
        <v>1801.73</v>
      </c>
      <c r="AG269" s="839">
        <f t="shared" si="55"/>
        <v>0</v>
      </c>
      <c r="AH269" s="839">
        <f t="shared" si="56"/>
        <v>1891.82</v>
      </c>
      <c r="AI269" s="840">
        <f t="shared" si="54"/>
        <v>36.03</v>
      </c>
      <c r="AJ269" s="841">
        <f t="shared" si="57"/>
        <v>1.9997446898258896E-2</v>
      </c>
      <c r="AK269" s="446"/>
      <c r="AL269" s="446"/>
      <c r="AM269" s="446"/>
      <c r="AN269" s="446"/>
    </row>
    <row r="270" spans="1:51" ht="15" customHeight="1" x14ac:dyDescent="0.25">
      <c r="A270" s="370">
        <v>265</v>
      </c>
      <c r="B270" s="371" t="s">
        <v>1333</v>
      </c>
      <c r="C270" s="370" t="s">
        <v>1334</v>
      </c>
      <c r="D270" s="370" t="s">
        <v>1335</v>
      </c>
      <c r="E270" s="370" t="s">
        <v>353</v>
      </c>
      <c r="F270" s="370" t="s">
        <v>444</v>
      </c>
      <c r="G270" s="386">
        <f>INDEX('CTR1 Data Previous Year'!$B:$B,MATCH($D270,'CTR1 Data Previous Year'!$A:$A,0),1)</f>
        <v>162776391</v>
      </c>
      <c r="H270" s="386">
        <f>INDEX('CTR1 Data Previous Year'!$C:$C,MATCH($D270,'CTR1 Data Previous Year'!$A:$A,0),1)</f>
        <v>0</v>
      </c>
      <c r="I270" s="386">
        <f>INDEX('CTR1 Data Previous Year'!$D:$D,MATCH($D270,'CTR1 Data Previous Year'!$A:$A,0),1)</f>
        <v>0</v>
      </c>
      <c r="J270" s="386">
        <f>INDEX('CTR1 Data Previous Year'!$E:$E,MATCH($D270,'CTR1 Data Previous Year'!$A:$A,0),1)</f>
        <v>162776391</v>
      </c>
      <c r="K270" s="386">
        <f>INDEX('CTR1 Data Previous Year'!$F:$F,MATCH($D270,'CTR1 Data Previous Year'!$A:$A,0),1)</f>
        <v>11997222</v>
      </c>
      <c r="L270" s="465">
        <f>INDEX('CTR1 Data Previous Year'!$G:$G,MATCH($D270,'CTR1 Data Previous Year'!$A:$A,0),1)</f>
        <v>75893.22</v>
      </c>
      <c r="M270" s="455">
        <f>INDEX('CTR1 Data Previous Year'!$H:$H,MATCH($D270,'CTR1 Data Previous Year'!$A:$A,0),1)</f>
        <v>0.98</v>
      </c>
      <c r="N270" s="465">
        <f>INDEX('CTR1 Data Previous Year'!$I:$I,MATCH($D270,'CTR1 Data Previous Year'!$A:$A,0),1)</f>
        <v>0</v>
      </c>
      <c r="O270" s="160" t="s">
        <v>129</v>
      </c>
      <c r="P270" s="817"/>
      <c r="Q270" s="820" t="s">
        <v>445</v>
      </c>
      <c r="R270" s="817" t="s">
        <v>446</v>
      </c>
      <c r="S270" s="821" t="s">
        <v>447</v>
      </c>
      <c r="T270" s="817" t="s">
        <v>448</v>
      </c>
      <c r="U270" s="822" t="s">
        <v>449</v>
      </c>
      <c r="V270" s="817" t="s">
        <v>450</v>
      </c>
      <c r="W270" s="465">
        <f>INDEX('CTR1 Data Previous Year'!$J:$J,MATCH($D270,'CTR1 Data Previous Year'!$A:$A,0),1)</f>
        <v>74375.360000000001</v>
      </c>
      <c r="X270" s="465">
        <f>INDEX('CTR1 Data Previous Year'!$K:$K,MATCH($D270,'CTR1 Data Previous Year'!$A:$A,0),1)</f>
        <v>2188.58</v>
      </c>
      <c r="Y270" s="465">
        <f>INDEX('CTR1 Data Previous Year'!$L:$L,MATCH($D270,'CTR1 Data Previous Year'!$A:$A,0),1)</f>
        <v>2188.58</v>
      </c>
      <c r="Z270" s="836" t="str">
        <f t="shared" si="47"/>
        <v>N</v>
      </c>
      <c r="AA270" s="837" t="str">
        <f t="shared" si="48"/>
        <v>N</v>
      </c>
      <c r="AB270" s="838">
        <f t="shared" si="49"/>
        <v>2188.58</v>
      </c>
      <c r="AC270" s="868">
        <f t="shared" si="50"/>
        <v>0</v>
      </c>
      <c r="AD270" s="876">
        <f t="shared" si="51"/>
        <v>0</v>
      </c>
      <c r="AE270" s="838">
        <f t="shared" si="52"/>
        <v>2298.009</v>
      </c>
      <c r="AF270" s="838">
        <f t="shared" si="53"/>
        <v>2188.58</v>
      </c>
      <c r="AG270" s="839">
        <f t="shared" si="55"/>
        <v>0</v>
      </c>
      <c r="AH270" s="839">
        <f t="shared" si="56"/>
        <v>2298.0100000000002</v>
      </c>
      <c r="AI270" s="840">
        <f t="shared" si="54"/>
        <v>43.77</v>
      </c>
      <c r="AJ270" s="841">
        <f t="shared" si="57"/>
        <v>1.9999268932367108E-2</v>
      </c>
      <c r="AK270" s="446"/>
      <c r="AL270" s="446"/>
      <c r="AM270" s="446"/>
      <c r="AN270" s="446"/>
    </row>
    <row r="271" spans="1:51" ht="15" customHeight="1" x14ac:dyDescent="0.25">
      <c r="A271" s="370">
        <v>266</v>
      </c>
      <c r="B271" s="371" t="s">
        <v>1336</v>
      </c>
      <c r="C271" s="370" t="s">
        <v>1337</v>
      </c>
      <c r="D271" s="370" t="s">
        <v>1338</v>
      </c>
      <c r="E271" s="370" t="s">
        <v>343</v>
      </c>
      <c r="F271" s="370" t="s">
        <v>378</v>
      </c>
      <c r="G271" s="386">
        <f>INDEX('CTR1 Data Previous Year'!$B:$B,MATCH($D271,'CTR1 Data Previous Year'!$A:$A,0),1)</f>
        <v>147955600</v>
      </c>
      <c r="H271" s="386">
        <f>INDEX('CTR1 Data Previous Year'!$C:$C,MATCH($D271,'CTR1 Data Previous Year'!$A:$A,0),1)</f>
        <v>0</v>
      </c>
      <c r="I271" s="386">
        <f>INDEX('CTR1 Data Previous Year'!$D:$D,MATCH($D271,'CTR1 Data Previous Year'!$A:$A,0),1)</f>
        <v>0</v>
      </c>
      <c r="J271" s="386">
        <f>INDEX('CTR1 Data Previous Year'!$E:$E,MATCH($D271,'CTR1 Data Previous Year'!$A:$A,0),1)</f>
        <v>147955600</v>
      </c>
      <c r="K271" s="386">
        <f>INDEX('CTR1 Data Previous Year'!$F:$F,MATCH($D271,'CTR1 Data Previous Year'!$A:$A,0),1)</f>
        <v>12199700</v>
      </c>
      <c r="L271" s="465">
        <f>INDEX('CTR1 Data Previous Year'!$G:$G,MATCH($D271,'CTR1 Data Previous Year'!$A:$A,0),1)</f>
        <v>84905.64</v>
      </c>
      <c r="M271" s="455">
        <f>INDEX('CTR1 Data Previous Year'!$H:$H,MATCH($D271,'CTR1 Data Previous Year'!$A:$A,0),1)</f>
        <v>0.97499999999999998</v>
      </c>
      <c r="N271" s="465">
        <f>INDEX('CTR1 Data Previous Year'!$I:$I,MATCH($D271,'CTR1 Data Previous Year'!$A:$A,0),1)</f>
        <v>0</v>
      </c>
      <c r="O271" s="160" t="s">
        <v>379</v>
      </c>
      <c r="P271" s="862" t="s">
        <v>380</v>
      </c>
      <c r="Q271" s="820"/>
      <c r="R271" s="817"/>
      <c r="S271" s="821" t="s">
        <v>129</v>
      </c>
      <c r="T271" s="817"/>
      <c r="U271" s="160"/>
      <c r="V271" s="817"/>
      <c r="W271" s="465">
        <f>INDEX('CTR1 Data Previous Year'!$J:$J,MATCH($D271,'CTR1 Data Previous Year'!$A:$A,0),1)</f>
        <v>82783</v>
      </c>
      <c r="X271" s="465">
        <f>INDEX('CTR1 Data Previous Year'!$K:$K,MATCH($D271,'CTR1 Data Previous Year'!$A:$A,0),1)</f>
        <v>1787.27</v>
      </c>
      <c r="Y271" s="465">
        <f>INDEX('CTR1 Data Previous Year'!$L:$L,MATCH($D271,'CTR1 Data Previous Year'!$A:$A,0),1)</f>
        <v>1787.27</v>
      </c>
      <c r="Z271" s="836" t="str">
        <f t="shared" si="47"/>
        <v>N</v>
      </c>
      <c r="AA271" s="837" t="str">
        <f t="shared" si="48"/>
        <v>N</v>
      </c>
      <c r="AB271" s="838">
        <f t="shared" si="49"/>
        <v>1787.27</v>
      </c>
      <c r="AC271" s="868">
        <f t="shared" si="50"/>
        <v>0</v>
      </c>
      <c r="AD271" s="876">
        <f t="shared" si="51"/>
        <v>0</v>
      </c>
      <c r="AE271" s="838">
        <f t="shared" si="52"/>
        <v>1876.6335000000001</v>
      </c>
      <c r="AF271" s="838">
        <f t="shared" si="53"/>
        <v>1787.27</v>
      </c>
      <c r="AG271" s="839">
        <f t="shared" si="55"/>
        <v>0</v>
      </c>
      <c r="AH271" s="839">
        <f t="shared" si="56"/>
        <v>1876.63</v>
      </c>
      <c r="AI271" s="840">
        <f t="shared" si="54"/>
        <v>35.75</v>
      </c>
      <c r="AJ271" s="841">
        <f t="shared" si="57"/>
        <v>2.0002573757742254E-2</v>
      </c>
      <c r="AK271" s="446"/>
      <c r="AL271" s="446"/>
      <c r="AM271" s="446"/>
      <c r="AN271" s="446"/>
    </row>
    <row r="272" spans="1:51" ht="15" customHeight="1" x14ac:dyDescent="0.25">
      <c r="A272" s="370">
        <v>267</v>
      </c>
      <c r="B272" s="371" t="s">
        <v>1339</v>
      </c>
      <c r="C272" s="370" t="s">
        <v>1340</v>
      </c>
      <c r="D272" s="370" t="s">
        <v>1341</v>
      </c>
      <c r="E272" s="370" t="s">
        <v>343</v>
      </c>
      <c r="F272" s="370" t="s">
        <v>378</v>
      </c>
      <c r="G272" s="386">
        <f>INDEX('CTR1 Data Previous Year'!$B:$B,MATCH($D272,'CTR1 Data Previous Year'!$A:$A,0),1)</f>
        <v>74386970</v>
      </c>
      <c r="H272" s="386">
        <f>INDEX('CTR1 Data Previous Year'!$C:$C,MATCH($D272,'CTR1 Data Previous Year'!$A:$A,0),1)</f>
        <v>0</v>
      </c>
      <c r="I272" s="386">
        <f>INDEX('CTR1 Data Previous Year'!$D:$D,MATCH($D272,'CTR1 Data Previous Year'!$A:$A,0),1)</f>
        <v>0</v>
      </c>
      <c r="J272" s="386">
        <f>INDEX('CTR1 Data Previous Year'!$E:$E,MATCH($D272,'CTR1 Data Previous Year'!$A:$A,0),1)</f>
        <v>74386970</v>
      </c>
      <c r="K272" s="386">
        <f>INDEX('CTR1 Data Previous Year'!$F:$F,MATCH($D272,'CTR1 Data Previous Year'!$A:$A,0),1)</f>
        <v>4152376</v>
      </c>
      <c r="L272" s="465">
        <f>INDEX('CTR1 Data Previous Year'!$G:$G,MATCH($D272,'CTR1 Data Previous Year'!$A:$A,0),1)</f>
        <v>150998.70000000001</v>
      </c>
      <c r="M272" s="455">
        <f>INDEX('CTR1 Data Previous Year'!$H:$H,MATCH($D272,'CTR1 Data Previous Year'!$A:$A,0),1)</f>
        <v>0.97</v>
      </c>
      <c r="N272" s="465">
        <f>INDEX('CTR1 Data Previous Year'!$I:$I,MATCH($D272,'CTR1 Data Previous Year'!$A:$A,0),1)</f>
        <v>144.44</v>
      </c>
      <c r="O272" s="160" t="s">
        <v>379</v>
      </c>
      <c r="P272" s="862" t="s">
        <v>380</v>
      </c>
      <c r="Q272" s="820"/>
      <c r="R272" s="817"/>
      <c r="S272" s="821" t="s">
        <v>129</v>
      </c>
      <c r="T272" s="817"/>
      <c r="U272" s="160"/>
      <c r="V272" s="817"/>
      <c r="W272" s="465">
        <f>INDEX('CTR1 Data Previous Year'!$J:$J,MATCH($D272,'CTR1 Data Previous Year'!$A:$A,0),1)</f>
        <v>146613.18</v>
      </c>
      <c r="X272" s="465">
        <f>INDEX('CTR1 Data Previous Year'!$K:$K,MATCH($D272,'CTR1 Data Previous Year'!$A:$A,0),1)</f>
        <v>507.37</v>
      </c>
      <c r="Y272" s="465">
        <f>INDEX('CTR1 Data Previous Year'!$L:$L,MATCH($D272,'CTR1 Data Previous Year'!$A:$A,0),1)</f>
        <v>507.37</v>
      </c>
      <c r="Z272" s="836" t="str">
        <f t="shared" si="47"/>
        <v>N</v>
      </c>
      <c r="AA272" s="837" t="str">
        <f t="shared" si="48"/>
        <v>N</v>
      </c>
      <c r="AB272" s="838">
        <f t="shared" si="49"/>
        <v>507.37</v>
      </c>
      <c r="AC272" s="868">
        <f t="shared" si="50"/>
        <v>0</v>
      </c>
      <c r="AD272" s="876">
        <f t="shared" si="51"/>
        <v>0</v>
      </c>
      <c r="AE272" s="838">
        <f t="shared" si="52"/>
        <v>532.73850000000004</v>
      </c>
      <c r="AF272" s="838">
        <f t="shared" si="53"/>
        <v>507.37</v>
      </c>
      <c r="AG272" s="839">
        <f t="shared" si="55"/>
        <v>0</v>
      </c>
      <c r="AH272" s="839">
        <f t="shared" si="56"/>
        <v>532.74</v>
      </c>
      <c r="AI272" s="840">
        <f t="shared" si="54"/>
        <v>10.15</v>
      </c>
      <c r="AJ272" s="841">
        <f t="shared" si="57"/>
        <v>2.0005124465380296E-2</v>
      </c>
      <c r="AK272" s="446"/>
      <c r="AL272" s="446"/>
      <c r="AM272" s="446"/>
      <c r="AN272" s="446"/>
    </row>
    <row r="273" spans="1:40" ht="15" customHeight="1" x14ac:dyDescent="0.25">
      <c r="A273" s="370">
        <v>268</v>
      </c>
      <c r="B273" s="371" t="s">
        <v>407</v>
      </c>
      <c r="C273" s="370" t="s">
        <v>1342</v>
      </c>
      <c r="D273" s="370" t="s">
        <v>1343</v>
      </c>
      <c r="E273" s="370" t="s">
        <v>339</v>
      </c>
      <c r="F273" s="370" t="s">
        <v>463</v>
      </c>
      <c r="G273" s="386">
        <f>INDEX('CTR1 Data Previous Year'!$B:$B,MATCH($D273,'CTR1 Data Previous Year'!$A:$A,0),1)</f>
        <v>137974863</v>
      </c>
      <c r="H273" s="386">
        <f>INDEX('CTR1 Data Previous Year'!$C:$C,MATCH($D273,'CTR1 Data Previous Year'!$A:$A,0),1)</f>
        <v>0</v>
      </c>
      <c r="I273" s="386">
        <f>INDEX('CTR1 Data Previous Year'!$D:$D,MATCH($D273,'CTR1 Data Previous Year'!$A:$A,0),1)</f>
        <v>3004357</v>
      </c>
      <c r="J273" s="386">
        <f>INDEX('CTR1 Data Previous Year'!$E:$E,MATCH($D273,'CTR1 Data Previous Year'!$A:$A,0),1)</f>
        <v>134970506</v>
      </c>
      <c r="K273" s="386">
        <f>INDEX('CTR1 Data Previous Year'!$F:$F,MATCH($D273,'CTR1 Data Previous Year'!$A:$A,0),1)</f>
        <v>0</v>
      </c>
      <c r="L273" s="465">
        <f>INDEX('CTR1 Data Previous Year'!$G:$G,MATCH($D273,'CTR1 Data Previous Year'!$A:$A,0),1)</f>
        <v>74496.91</v>
      </c>
      <c r="M273" s="455">
        <f>INDEX('CTR1 Data Previous Year'!$H:$H,MATCH($D273,'CTR1 Data Previous Year'!$A:$A,0),1)</f>
        <v>0.97</v>
      </c>
      <c r="N273" s="465">
        <f>INDEX('CTR1 Data Previous Year'!$I:$I,MATCH($D273,'CTR1 Data Previous Year'!$A:$A,0),1)</f>
        <v>0</v>
      </c>
      <c r="O273" s="160" t="s">
        <v>129</v>
      </c>
      <c r="P273" s="817"/>
      <c r="Q273" s="820" t="s">
        <v>633</v>
      </c>
      <c r="R273" s="817" t="s">
        <v>634</v>
      </c>
      <c r="S273" s="821" t="s">
        <v>635</v>
      </c>
      <c r="T273" s="817" t="s">
        <v>636</v>
      </c>
      <c r="U273" s="160"/>
      <c r="V273" s="817"/>
      <c r="W273" s="465">
        <f>INDEX('CTR1 Data Previous Year'!$J:$J,MATCH($D273,'CTR1 Data Previous Year'!$A:$A,0),1)</f>
        <v>72262</v>
      </c>
      <c r="X273" s="465">
        <f>INDEX('CTR1 Data Previous Year'!$K:$K,MATCH($D273,'CTR1 Data Previous Year'!$A:$A,0),1)</f>
        <v>1909.37</v>
      </c>
      <c r="Y273" s="465">
        <f>INDEX('CTR1 Data Previous Year'!$L:$L,MATCH($D273,'CTR1 Data Previous Year'!$A:$A,0),1)</f>
        <v>1867.79</v>
      </c>
      <c r="Z273" s="836" t="str">
        <f t="shared" si="47"/>
        <v>Y</v>
      </c>
      <c r="AA273" s="837" t="str">
        <f t="shared" si="48"/>
        <v>N</v>
      </c>
      <c r="AB273" s="838">
        <f t="shared" si="49"/>
        <v>1867.79</v>
      </c>
      <c r="AC273" s="868">
        <f t="shared" si="50"/>
        <v>7.4999999999999997E-2</v>
      </c>
      <c r="AD273" s="876">
        <f t="shared" si="51"/>
        <v>0</v>
      </c>
      <c r="AE273" s="838">
        <f t="shared" si="52"/>
        <v>1961.1795</v>
      </c>
      <c r="AF273" s="838">
        <f t="shared" si="53"/>
        <v>1867.79</v>
      </c>
      <c r="AG273" s="839">
        <f t="shared" si="55"/>
        <v>2007.8742499999998</v>
      </c>
      <c r="AH273" s="839">
        <f t="shared" si="56"/>
        <v>2007.87</v>
      </c>
      <c r="AI273" s="840">
        <f t="shared" si="54"/>
        <v>37.36</v>
      </c>
      <c r="AJ273" s="841">
        <f t="shared" si="57"/>
        <v>2.0002248646796481E-2</v>
      </c>
      <c r="AK273" s="446"/>
      <c r="AL273" s="446"/>
      <c r="AM273" s="446"/>
      <c r="AN273" s="446"/>
    </row>
    <row r="274" spans="1:40" ht="15" customHeight="1" x14ac:dyDescent="0.25">
      <c r="A274" s="370">
        <v>269</v>
      </c>
      <c r="B274" s="371" t="s">
        <v>1344</v>
      </c>
      <c r="C274" s="370" t="s">
        <v>1345</v>
      </c>
      <c r="D274" s="370" t="s">
        <v>1346</v>
      </c>
      <c r="E274" s="370" t="s">
        <v>321</v>
      </c>
      <c r="F274" s="370" t="s">
        <v>444</v>
      </c>
      <c r="G274" s="386">
        <f>INDEX('CTR1 Data Previous Year'!$B:$B,MATCH($D274,'CTR1 Data Previous Year'!$A:$A,0),1)</f>
        <v>13727441</v>
      </c>
      <c r="H274" s="386">
        <f>INDEX('CTR1 Data Previous Year'!$C:$C,MATCH($D274,'CTR1 Data Previous Year'!$A:$A,0),1)</f>
        <v>0</v>
      </c>
      <c r="I274" s="386">
        <f>INDEX('CTR1 Data Previous Year'!$D:$D,MATCH($D274,'CTR1 Data Previous Year'!$A:$A,0),1)</f>
        <v>2524061</v>
      </c>
      <c r="J274" s="386">
        <f>INDEX('CTR1 Data Previous Year'!$E:$E,MATCH($D274,'CTR1 Data Previous Year'!$A:$A,0),1)</f>
        <v>11203380</v>
      </c>
      <c r="K274" s="386">
        <f>INDEX('CTR1 Data Previous Year'!$F:$F,MATCH($D274,'CTR1 Data Previous Year'!$A:$A,0),1)</f>
        <v>0</v>
      </c>
      <c r="L274" s="465">
        <f>INDEX('CTR1 Data Previous Year'!$G:$G,MATCH($D274,'CTR1 Data Previous Year'!$A:$A,0),1)</f>
        <v>60019.61</v>
      </c>
      <c r="M274" s="455">
        <f>INDEX('CTR1 Data Previous Year'!$H:$H,MATCH($D274,'CTR1 Data Previous Year'!$A:$A,0),1)</f>
        <v>0.995</v>
      </c>
      <c r="N274" s="465">
        <f>INDEX('CTR1 Data Previous Year'!$I:$I,MATCH($D274,'CTR1 Data Previous Year'!$A:$A,0),1)</f>
        <v>0</v>
      </c>
      <c r="O274" s="160" t="s">
        <v>1054</v>
      </c>
      <c r="P274" s="817" t="s">
        <v>1055</v>
      </c>
      <c r="Q274" s="820" t="s">
        <v>1056</v>
      </c>
      <c r="R274" s="817" t="s">
        <v>1057</v>
      </c>
      <c r="S274" s="821" t="s">
        <v>129</v>
      </c>
      <c r="T274" s="817"/>
      <c r="U274" s="160"/>
      <c r="V274" s="817"/>
      <c r="W274" s="465">
        <f>INDEX('CTR1 Data Previous Year'!$J:$J,MATCH($D274,'CTR1 Data Previous Year'!$A:$A,0),1)</f>
        <v>59719.51</v>
      </c>
      <c r="X274" s="465">
        <f>INDEX('CTR1 Data Previous Year'!$K:$K,MATCH($D274,'CTR1 Data Previous Year'!$A:$A,0),1)</f>
        <v>229.87</v>
      </c>
      <c r="Y274" s="465">
        <f>INDEX('CTR1 Data Previous Year'!$L:$L,MATCH($D274,'CTR1 Data Previous Year'!$A:$A,0),1)</f>
        <v>187.6</v>
      </c>
      <c r="Z274" s="836" t="str">
        <f t="shared" si="47"/>
        <v>N</v>
      </c>
      <c r="AA274" s="837" t="str">
        <f t="shared" si="48"/>
        <v>N</v>
      </c>
      <c r="AB274" s="838">
        <f t="shared" si="49"/>
        <v>187.6</v>
      </c>
      <c r="AC274" s="868">
        <f t="shared" si="50"/>
        <v>0</v>
      </c>
      <c r="AD274" s="876">
        <f t="shared" si="51"/>
        <v>0</v>
      </c>
      <c r="AE274" s="838">
        <f t="shared" si="52"/>
        <v>193.22800000000001</v>
      </c>
      <c r="AF274" s="838">
        <f t="shared" si="53"/>
        <v>192.6</v>
      </c>
      <c r="AG274" s="839">
        <f t="shared" si="55"/>
        <v>0</v>
      </c>
      <c r="AH274" s="839">
        <f t="shared" si="56"/>
        <v>193.23</v>
      </c>
      <c r="AI274" s="840">
        <f t="shared" si="54"/>
        <v>0</v>
      </c>
      <c r="AJ274" s="841">
        <f t="shared" si="57"/>
        <v>0</v>
      </c>
      <c r="AK274" s="446"/>
      <c r="AL274" s="446"/>
      <c r="AM274" s="446"/>
      <c r="AN274" s="446"/>
    </row>
    <row r="275" spans="1:40" ht="15" customHeight="1" x14ac:dyDescent="0.25">
      <c r="A275" s="370">
        <v>270</v>
      </c>
      <c r="B275" s="371" t="s">
        <v>1347</v>
      </c>
      <c r="C275" s="370" t="s">
        <v>1348</v>
      </c>
      <c r="D275" s="370" t="s">
        <v>1349</v>
      </c>
      <c r="E275" s="370" t="s">
        <v>321</v>
      </c>
      <c r="F275" s="370" t="s">
        <v>368</v>
      </c>
      <c r="G275" s="386">
        <f>INDEX('CTR1 Data Previous Year'!$B:$B,MATCH($D275,'CTR1 Data Previous Year'!$A:$A,0),1)</f>
        <v>10997857</v>
      </c>
      <c r="H275" s="386">
        <f>INDEX('CTR1 Data Previous Year'!$C:$C,MATCH($D275,'CTR1 Data Previous Year'!$A:$A,0),1)</f>
        <v>0</v>
      </c>
      <c r="I275" s="386">
        <f>INDEX('CTR1 Data Previous Year'!$D:$D,MATCH($D275,'CTR1 Data Previous Year'!$A:$A,0),1)</f>
        <v>0</v>
      </c>
      <c r="J275" s="386">
        <f>INDEX('CTR1 Data Previous Year'!$E:$E,MATCH($D275,'CTR1 Data Previous Year'!$A:$A,0),1)</f>
        <v>10997857</v>
      </c>
      <c r="K275" s="386">
        <f>INDEX('CTR1 Data Previous Year'!$F:$F,MATCH($D275,'CTR1 Data Previous Year'!$A:$A,0),1)</f>
        <v>0</v>
      </c>
      <c r="L275" s="465">
        <f>INDEX('CTR1 Data Previous Year'!$G:$G,MATCH($D275,'CTR1 Data Previous Year'!$A:$A,0),1)</f>
        <v>36750.82</v>
      </c>
      <c r="M275" s="455">
        <f>INDEX('CTR1 Data Previous Year'!$H:$H,MATCH($D275,'CTR1 Data Previous Year'!$A:$A,0),1)</f>
        <v>0.97</v>
      </c>
      <c r="N275" s="465">
        <f>INDEX('CTR1 Data Previous Year'!$I:$I,MATCH($D275,'CTR1 Data Previous Year'!$A:$A,0),1)</f>
        <v>0</v>
      </c>
      <c r="O275" s="822" t="s">
        <v>557</v>
      </c>
      <c r="P275" s="817" t="s">
        <v>558</v>
      </c>
      <c r="Q275" s="820" t="s">
        <v>559</v>
      </c>
      <c r="R275" s="817" t="s">
        <v>560</v>
      </c>
      <c r="S275" s="821" t="s">
        <v>129</v>
      </c>
      <c r="T275" s="817"/>
      <c r="U275" s="160"/>
      <c r="V275" s="817"/>
      <c r="W275" s="465">
        <f>INDEX('CTR1 Data Previous Year'!$J:$J,MATCH($D275,'CTR1 Data Previous Year'!$A:$A,0),1)</f>
        <v>35648.300000000003</v>
      </c>
      <c r="X275" s="465">
        <f>INDEX('CTR1 Data Previous Year'!$K:$K,MATCH($D275,'CTR1 Data Previous Year'!$A:$A,0),1)</f>
        <v>308.51</v>
      </c>
      <c r="Y275" s="465">
        <f>INDEX('CTR1 Data Previous Year'!$L:$L,MATCH($D275,'CTR1 Data Previous Year'!$A:$A,0),1)</f>
        <v>308.51</v>
      </c>
      <c r="Z275" s="836" t="str">
        <f t="shared" si="47"/>
        <v>N</v>
      </c>
      <c r="AA275" s="837" t="str">
        <f t="shared" si="48"/>
        <v>N</v>
      </c>
      <c r="AB275" s="838">
        <f t="shared" si="49"/>
        <v>308.51</v>
      </c>
      <c r="AC275" s="868">
        <f t="shared" si="50"/>
        <v>0</v>
      </c>
      <c r="AD275" s="876">
        <f t="shared" si="51"/>
        <v>0</v>
      </c>
      <c r="AE275" s="838">
        <f t="shared" si="52"/>
        <v>317.76530000000002</v>
      </c>
      <c r="AF275" s="838">
        <f t="shared" si="53"/>
        <v>313.51</v>
      </c>
      <c r="AG275" s="839">
        <f t="shared" si="55"/>
        <v>0</v>
      </c>
      <c r="AH275" s="839">
        <f t="shared" si="56"/>
        <v>317.77</v>
      </c>
      <c r="AI275" s="840">
        <f t="shared" si="54"/>
        <v>0</v>
      </c>
      <c r="AJ275" s="841">
        <f t="shared" si="57"/>
        <v>0</v>
      </c>
      <c r="AK275" s="446"/>
      <c r="AL275" s="446"/>
      <c r="AM275" s="446"/>
      <c r="AN275" s="446"/>
    </row>
    <row r="276" spans="1:40" ht="15" customHeight="1" x14ac:dyDescent="0.25">
      <c r="A276" s="370">
        <v>271</v>
      </c>
      <c r="B276" s="371" t="s">
        <v>1350</v>
      </c>
      <c r="C276" s="370" t="s">
        <v>1351</v>
      </c>
      <c r="D276" s="370" t="s">
        <v>1352</v>
      </c>
      <c r="E276" s="370" t="s">
        <v>321</v>
      </c>
      <c r="F276" s="370" t="s">
        <v>322</v>
      </c>
      <c r="G276" s="386">
        <f>INDEX('CTR1 Data Previous Year'!$B:$B,MATCH($D276,'CTR1 Data Previous Year'!$A:$A,0),1)</f>
        <v>17724947</v>
      </c>
      <c r="H276" s="386">
        <f>INDEX('CTR1 Data Previous Year'!$C:$C,MATCH($D276,'CTR1 Data Previous Year'!$A:$A,0),1)</f>
        <v>0</v>
      </c>
      <c r="I276" s="386">
        <f>INDEX('CTR1 Data Previous Year'!$D:$D,MATCH($D276,'CTR1 Data Previous Year'!$A:$A,0),1)</f>
        <v>5086527</v>
      </c>
      <c r="J276" s="386">
        <f>INDEX('CTR1 Data Previous Year'!$E:$E,MATCH($D276,'CTR1 Data Previous Year'!$A:$A,0),1)</f>
        <v>12638420</v>
      </c>
      <c r="K276" s="386">
        <f>INDEX('CTR1 Data Previous Year'!$F:$F,MATCH($D276,'CTR1 Data Previous Year'!$A:$A,0),1)</f>
        <v>0</v>
      </c>
      <c r="L276" s="465">
        <f>INDEX('CTR1 Data Previous Year'!$G:$G,MATCH($D276,'CTR1 Data Previous Year'!$A:$A,0),1)</f>
        <v>59985.48</v>
      </c>
      <c r="M276" s="455">
        <f>INDEX('CTR1 Data Previous Year'!$H:$H,MATCH($D276,'CTR1 Data Previous Year'!$A:$A,0),1)</f>
        <v>0.98499999999999999</v>
      </c>
      <c r="N276" s="465">
        <f>INDEX('CTR1 Data Previous Year'!$I:$I,MATCH($D276,'CTR1 Data Previous Year'!$A:$A,0),1)</f>
        <v>11</v>
      </c>
      <c r="O276" s="160" t="s">
        <v>766</v>
      </c>
      <c r="P276" s="817" t="s">
        <v>767</v>
      </c>
      <c r="Q276" s="820" t="s">
        <v>768</v>
      </c>
      <c r="R276" s="817" t="s">
        <v>769</v>
      </c>
      <c r="S276" s="821" t="s">
        <v>129</v>
      </c>
      <c r="T276" s="817"/>
      <c r="U276" s="160"/>
      <c r="V276" s="817"/>
      <c r="W276" s="465">
        <f>INDEX('CTR1 Data Previous Year'!$J:$J,MATCH($D276,'CTR1 Data Previous Year'!$A:$A,0),1)</f>
        <v>59096.7</v>
      </c>
      <c r="X276" s="465">
        <f>INDEX('CTR1 Data Previous Year'!$K:$K,MATCH($D276,'CTR1 Data Previous Year'!$A:$A,0),1)</f>
        <v>299.93</v>
      </c>
      <c r="Y276" s="465">
        <f>INDEX('CTR1 Data Previous Year'!$L:$L,MATCH($D276,'CTR1 Data Previous Year'!$A:$A,0),1)</f>
        <v>213.86</v>
      </c>
      <c r="Z276" s="836" t="str">
        <f t="shared" si="47"/>
        <v>N</v>
      </c>
      <c r="AA276" s="837" t="str">
        <f t="shared" si="48"/>
        <v>N</v>
      </c>
      <c r="AB276" s="838">
        <f t="shared" si="49"/>
        <v>213.86</v>
      </c>
      <c r="AC276" s="868">
        <f t="shared" si="50"/>
        <v>0</v>
      </c>
      <c r="AD276" s="876">
        <f t="shared" si="51"/>
        <v>0</v>
      </c>
      <c r="AE276" s="838">
        <f t="shared" si="52"/>
        <v>220.27580000000003</v>
      </c>
      <c r="AF276" s="838">
        <f t="shared" si="53"/>
        <v>218.86</v>
      </c>
      <c r="AG276" s="839">
        <f t="shared" si="55"/>
        <v>0</v>
      </c>
      <c r="AH276" s="839">
        <f t="shared" si="56"/>
        <v>220.28</v>
      </c>
      <c r="AI276" s="840">
        <f t="shared" si="54"/>
        <v>0</v>
      </c>
      <c r="AJ276" s="841">
        <f t="shared" si="57"/>
        <v>0</v>
      </c>
      <c r="AK276" s="446"/>
      <c r="AL276" s="446"/>
      <c r="AM276" s="446"/>
      <c r="AN276" s="446"/>
    </row>
    <row r="277" spans="1:40" ht="15" customHeight="1" x14ac:dyDescent="0.25">
      <c r="A277" s="370">
        <v>272</v>
      </c>
      <c r="B277" s="371" t="s">
        <v>1353</v>
      </c>
      <c r="C277" s="370" t="s">
        <v>1354</v>
      </c>
      <c r="D277" s="370" t="s">
        <v>1355</v>
      </c>
      <c r="E277" s="370" t="s">
        <v>321</v>
      </c>
      <c r="F277" s="370" t="s">
        <v>322</v>
      </c>
      <c r="G277" s="386">
        <f>INDEX('CTR1 Data Previous Year'!$B:$B,MATCH($D277,'CTR1 Data Previous Year'!$A:$A,0),1)</f>
        <v>25103213</v>
      </c>
      <c r="H277" s="386">
        <f>INDEX('CTR1 Data Previous Year'!$C:$C,MATCH($D277,'CTR1 Data Previous Year'!$A:$A,0),1)</f>
        <v>0</v>
      </c>
      <c r="I277" s="386">
        <f>INDEX('CTR1 Data Previous Year'!$D:$D,MATCH($D277,'CTR1 Data Previous Year'!$A:$A,0),1)</f>
        <v>9767433</v>
      </c>
      <c r="J277" s="386">
        <f>INDEX('CTR1 Data Previous Year'!$E:$E,MATCH($D277,'CTR1 Data Previous Year'!$A:$A,0),1)</f>
        <v>15335780</v>
      </c>
      <c r="K277" s="386">
        <f>INDEX('CTR1 Data Previous Year'!$F:$F,MATCH($D277,'CTR1 Data Previous Year'!$A:$A,0),1)</f>
        <v>95000</v>
      </c>
      <c r="L277" s="465">
        <f>INDEX('CTR1 Data Previous Year'!$G:$G,MATCH($D277,'CTR1 Data Previous Year'!$A:$A,0),1)</f>
        <v>70404.800000000003</v>
      </c>
      <c r="M277" s="455">
        <f>INDEX('CTR1 Data Previous Year'!$H:$H,MATCH($D277,'CTR1 Data Previous Year'!$A:$A,0),1)</f>
        <v>0.98499999999999999</v>
      </c>
      <c r="N277" s="465">
        <f>INDEX('CTR1 Data Previous Year'!$I:$I,MATCH($D277,'CTR1 Data Previous Year'!$A:$A,0),1)</f>
        <v>0</v>
      </c>
      <c r="O277" s="160" t="s">
        <v>758</v>
      </c>
      <c r="P277" s="817" t="s">
        <v>759</v>
      </c>
      <c r="Q277" s="820" t="s">
        <v>325</v>
      </c>
      <c r="R277" s="817" t="s">
        <v>326</v>
      </c>
      <c r="S277" s="821" t="s">
        <v>534</v>
      </c>
      <c r="T277" s="817" t="s">
        <v>535</v>
      </c>
      <c r="U277" s="160"/>
      <c r="V277" s="817"/>
      <c r="W277" s="465">
        <f>INDEX('CTR1 Data Previous Year'!$J:$J,MATCH($D277,'CTR1 Data Previous Year'!$A:$A,0),1)</f>
        <v>69348.73</v>
      </c>
      <c r="X277" s="465">
        <f>INDEX('CTR1 Data Previous Year'!$K:$K,MATCH($D277,'CTR1 Data Previous Year'!$A:$A,0),1)</f>
        <v>361.99</v>
      </c>
      <c r="Y277" s="465">
        <f>INDEX('CTR1 Data Previous Year'!$L:$L,MATCH($D277,'CTR1 Data Previous Year'!$A:$A,0),1)</f>
        <v>221.14</v>
      </c>
      <c r="Z277" s="836" t="str">
        <f t="shared" si="47"/>
        <v>N</v>
      </c>
      <c r="AA277" s="837" t="str">
        <f t="shared" si="48"/>
        <v>N</v>
      </c>
      <c r="AB277" s="838">
        <f t="shared" si="49"/>
        <v>221.14</v>
      </c>
      <c r="AC277" s="868">
        <f t="shared" si="50"/>
        <v>0</v>
      </c>
      <c r="AD277" s="876">
        <f t="shared" si="51"/>
        <v>0</v>
      </c>
      <c r="AE277" s="838">
        <f t="shared" si="52"/>
        <v>227.77419999999998</v>
      </c>
      <c r="AF277" s="838">
        <f t="shared" si="53"/>
        <v>226.14</v>
      </c>
      <c r="AG277" s="839">
        <f t="shared" si="55"/>
        <v>0</v>
      </c>
      <c r="AH277" s="839">
        <f t="shared" si="56"/>
        <v>227.77</v>
      </c>
      <c r="AI277" s="840">
        <f t="shared" si="54"/>
        <v>0</v>
      </c>
      <c r="AJ277" s="841">
        <f t="shared" si="57"/>
        <v>0</v>
      </c>
      <c r="AK277" s="446"/>
      <c r="AL277" s="446"/>
      <c r="AM277" s="446"/>
      <c r="AN277" s="446"/>
    </row>
    <row r="278" spans="1:40" ht="15" customHeight="1" x14ac:dyDescent="0.25">
      <c r="A278" s="370">
        <v>273</v>
      </c>
      <c r="B278" s="371" t="s">
        <v>1356</v>
      </c>
      <c r="C278" s="370" t="s">
        <v>1357</v>
      </c>
      <c r="D278" s="370" t="s">
        <v>1358</v>
      </c>
      <c r="E278" s="370" t="s">
        <v>321</v>
      </c>
      <c r="F278" s="370" t="s">
        <v>368</v>
      </c>
      <c r="G278" s="386">
        <f>INDEX('CTR1 Data Previous Year'!$B:$B,MATCH($D278,'CTR1 Data Previous Year'!$A:$A,0),1)</f>
        <v>13212787</v>
      </c>
      <c r="H278" s="386">
        <f>INDEX('CTR1 Data Previous Year'!$C:$C,MATCH($D278,'CTR1 Data Previous Year'!$A:$A,0),1)</f>
        <v>0</v>
      </c>
      <c r="I278" s="386">
        <f>INDEX('CTR1 Data Previous Year'!$D:$D,MATCH($D278,'CTR1 Data Previous Year'!$A:$A,0),1)</f>
        <v>2384223</v>
      </c>
      <c r="J278" s="386">
        <f>INDEX('CTR1 Data Previous Year'!$E:$E,MATCH($D278,'CTR1 Data Previous Year'!$A:$A,0),1)</f>
        <v>10828564</v>
      </c>
      <c r="K278" s="386">
        <f>INDEX('CTR1 Data Previous Year'!$F:$F,MATCH($D278,'CTR1 Data Previous Year'!$A:$A,0),1)</f>
        <v>0</v>
      </c>
      <c r="L278" s="465">
        <f>INDEX('CTR1 Data Previous Year'!$G:$G,MATCH($D278,'CTR1 Data Previous Year'!$A:$A,0),1)</f>
        <v>44517.5</v>
      </c>
      <c r="M278" s="455">
        <f>INDEX('CTR1 Data Previous Year'!$H:$H,MATCH($D278,'CTR1 Data Previous Year'!$A:$A,0),1)</f>
        <v>0.99399999999999999</v>
      </c>
      <c r="N278" s="465">
        <f>INDEX('CTR1 Data Previous Year'!$I:$I,MATCH($D278,'CTR1 Data Previous Year'!$A:$A,0),1)</f>
        <v>0</v>
      </c>
      <c r="O278" s="160" t="s">
        <v>557</v>
      </c>
      <c r="P278" s="817" t="s">
        <v>558</v>
      </c>
      <c r="Q278" s="820" t="s">
        <v>559</v>
      </c>
      <c r="R278" s="817" t="s">
        <v>560</v>
      </c>
      <c r="S278" s="821" t="s">
        <v>129</v>
      </c>
      <c r="T278" s="817"/>
      <c r="U278" s="160"/>
      <c r="V278" s="817"/>
      <c r="W278" s="465">
        <f>INDEX('CTR1 Data Previous Year'!$J:$J,MATCH($D278,'CTR1 Data Previous Year'!$A:$A,0),1)</f>
        <v>44250.400000000001</v>
      </c>
      <c r="X278" s="465">
        <f>INDEX('CTR1 Data Previous Year'!$K:$K,MATCH($D278,'CTR1 Data Previous Year'!$A:$A,0),1)</f>
        <v>298.58999999999997</v>
      </c>
      <c r="Y278" s="465">
        <f>INDEX('CTR1 Data Previous Year'!$L:$L,MATCH($D278,'CTR1 Data Previous Year'!$A:$A,0),1)</f>
        <v>244.71</v>
      </c>
      <c r="Z278" s="836" t="str">
        <f t="shared" si="47"/>
        <v>N</v>
      </c>
      <c r="AA278" s="837" t="str">
        <f t="shared" si="48"/>
        <v>N</v>
      </c>
      <c r="AB278" s="838">
        <f t="shared" si="49"/>
        <v>244.71</v>
      </c>
      <c r="AC278" s="868">
        <f t="shared" si="50"/>
        <v>0</v>
      </c>
      <c r="AD278" s="876">
        <f t="shared" si="51"/>
        <v>0</v>
      </c>
      <c r="AE278" s="838">
        <f t="shared" si="52"/>
        <v>252.05130000000003</v>
      </c>
      <c r="AF278" s="838">
        <f t="shared" si="53"/>
        <v>249.71</v>
      </c>
      <c r="AG278" s="839">
        <f t="shared" si="55"/>
        <v>0</v>
      </c>
      <c r="AH278" s="839">
        <f t="shared" si="56"/>
        <v>252.05</v>
      </c>
      <c r="AI278" s="840">
        <f t="shared" si="54"/>
        <v>0</v>
      </c>
      <c r="AJ278" s="841">
        <f t="shared" si="57"/>
        <v>0</v>
      </c>
      <c r="AK278" s="446"/>
      <c r="AL278" s="446"/>
      <c r="AM278" s="446"/>
      <c r="AN278" s="446"/>
    </row>
    <row r="279" spans="1:40" ht="15" customHeight="1" x14ac:dyDescent="0.25">
      <c r="A279" s="370">
        <v>274</v>
      </c>
      <c r="B279" s="371" t="s">
        <v>1359</v>
      </c>
      <c r="C279" s="370" t="s">
        <v>1360</v>
      </c>
      <c r="D279" s="370" t="s">
        <v>1361</v>
      </c>
      <c r="E279" s="370" t="s">
        <v>339</v>
      </c>
      <c r="F279" s="370" t="s">
        <v>322</v>
      </c>
      <c r="G279" s="386">
        <f>INDEX('CTR1 Data Previous Year'!$B:$B,MATCH($D279,'CTR1 Data Previous Year'!$A:$A,0),1)</f>
        <v>137930823</v>
      </c>
      <c r="H279" s="386">
        <f>INDEX('CTR1 Data Previous Year'!$C:$C,MATCH($D279,'CTR1 Data Previous Year'!$A:$A,0),1)</f>
        <v>0</v>
      </c>
      <c r="I279" s="386">
        <f>INDEX('CTR1 Data Previous Year'!$D:$D,MATCH($D279,'CTR1 Data Previous Year'!$A:$A,0),1)</f>
        <v>6292469</v>
      </c>
      <c r="J279" s="386">
        <f>INDEX('CTR1 Data Previous Year'!$E:$E,MATCH($D279,'CTR1 Data Previous Year'!$A:$A,0),1)</f>
        <v>131638354</v>
      </c>
      <c r="K279" s="386">
        <f>INDEX('CTR1 Data Previous Year'!$F:$F,MATCH($D279,'CTR1 Data Previous Year'!$A:$A,0),1)</f>
        <v>163707.57999999999</v>
      </c>
      <c r="L279" s="465">
        <f>INDEX('CTR1 Data Previous Year'!$G:$G,MATCH($D279,'CTR1 Data Previous Year'!$A:$A,0),1)</f>
        <v>68547.12</v>
      </c>
      <c r="M279" s="455">
        <f>INDEX('CTR1 Data Previous Year'!$H:$H,MATCH($D279,'CTR1 Data Previous Year'!$A:$A,0),1)</f>
        <v>0.995</v>
      </c>
      <c r="N279" s="465">
        <f>INDEX('CTR1 Data Previous Year'!$I:$I,MATCH($D279,'CTR1 Data Previous Year'!$A:$A,0),1)</f>
        <v>307</v>
      </c>
      <c r="O279" s="160" t="s">
        <v>129</v>
      </c>
      <c r="P279" s="817"/>
      <c r="Q279" s="820" t="s">
        <v>500</v>
      </c>
      <c r="R279" s="817" t="s">
        <v>501</v>
      </c>
      <c r="S279" s="821" t="s">
        <v>502</v>
      </c>
      <c r="T279" s="817" t="s">
        <v>503</v>
      </c>
      <c r="U279" s="160"/>
      <c r="V279" s="817"/>
      <c r="W279" s="465">
        <f>INDEX('CTR1 Data Previous Year'!$J:$J,MATCH($D279,'CTR1 Data Previous Year'!$A:$A,0),1)</f>
        <v>68511.38</v>
      </c>
      <c r="X279" s="465">
        <f>INDEX('CTR1 Data Previous Year'!$K:$K,MATCH($D279,'CTR1 Data Previous Year'!$A:$A,0),1)</f>
        <v>2013.25</v>
      </c>
      <c r="Y279" s="465">
        <f>INDEX('CTR1 Data Previous Year'!$L:$L,MATCH($D279,'CTR1 Data Previous Year'!$A:$A,0),1)</f>
        <v>1921.41</v>
      </c>
      <c r="Z279" s="836" t="str">
        <f t="shared" si="47"/>
        <v>N</v>
      </c>
      <c r="AA279" s="837" t="str">
        <f t="shared" si="48"/>
        <v>N</v>
      </c>
      <c r="AB279" s="838">
        <f t="shared" si="49"/>
        <v>1921.41</v>
      </c>
      <c r="AC279" s="868">
        <f t="shared" si="50"/>
        <v>0</v>
      </c>
      <c r="AD279" s="876">
        <f t="shared" si="51"/>
        <v>0</v>
      </c>
      <c r="AE279" s="838">
        <f t="shared" si="52"/>
        <v>2017.4805000000001</v>
      </c>
      <c r="AF279" s="838">
        <f t="shared" si="53"/>
        <v>1921.41</v>
      </c>
      <c r="AG279" s="839">
        <f t="shared" si="55"/>
        <v>0</v>
      </c>
      <c r="AH279" s="839">
        <f t="shared" si="56"/>
        <v>2017.48</v>
      </c>
      <c r="AI279" s="840">
        <f t="shared" si="54"/>
        <v>38.43</v>
      </c>
      <c r="AJ279" s="841">
        <f t="shared" si="57"/>
        <v>2.0000936812028667E-2</v>
      </c>
      <c r="AK279" s="446"/>
      <c r="AL279" s="446"/>
      <c r="AM279" s="446"/>
      <c r="AN279" s="446"/>
    </row>
    <row r="280" spans="1:40" ht="15" customHeight="1" x14ac:dyDescent="0.25">
      <c r="A280" s="370">
        <v>275</v>
      </c>
      <c r="B280" s="371" t="s">
        <v>1362</v>
      </c>
      <c r="C280" s="370" t="s">
        <v>1363</v>
      </c>
      <c r="D280" s="370" t="s">
        <v>1364</v>
      </c>
      <c r="E280" s="370" t="s">
        <v>321</v>
      </c>
      <c r="F280" s="370" t="s">
        <v>425</v>
      </c>
      <c r="G280" s="386">
        <f>INDEX('CTR1 Data Previous Year'!$B:$B,MATCH($D280,'CTR1 Data Previous Year'!$A:$A,0),1)</f>
        <v>8413556</v>
      </c>
      <c r="H280" s="386">
        <f>INDEX('CTR1 Data Previous Year'!$C:$C,MATCH($D280,'CTR1 Data Previous Year'!$A:$A,0),1)</f>
        <v>0</v>
      </c>
      <c r="I280" s="386">
        <f>INDEX('CTR1 Data Previous Year'!$D:$D,MATCH($D280,'CTR1 Data Previous Year'!$A:$A,0),1)</f>
        <v>2450898</v>
      </c>
      <c r="J280" s="386">
        <f>INDEX('CTR1 Data Previous Year'!$E:$E,MATCH($D280,'CTR1 Data Previous Year'!$A:$A,0),1)</f>
        <v>5962658</v>
      </c>
      <c r="K280" s="386">
        <f>INDEX('CTR1 Data Previous Year'!$F:$F,MATCH($D280,'CTR1 Data Previous Year'!$A:$A,0),1)</f>
        <v>0</v>
      </c>
      <c r="L280" s="465">
        <f>INDEX('CTR1 Data Previous Year'!$G:$G,MATCH($D280,'CTR1 Data Previous Year'!$A:$A,0),1)</f>
        <v>22566.2</v>
      </c>
      <c r="M280" s="455">
        <f>INDEX('CTR1 Data Previous Year'!$H:$H,MATCH($D280,'CTR1 Data Previous Year'!$A:$A,0),1)</f>
        <v>0.98</v>
      </c>
      <c r="N280" s="465">
        <f>INDEX('CTR1 Data Previous Year'!$I:$I,MATCH($D280,'CTR1 Data Previous Year'!$A:$A,0),1)</f>
        <v>17.399999999999999</v>
      </c>
      <c r="O280" s="160" t="s">
        <v>727</v>
      </c>
      <c r="P280" s="817" t="s">
        <v>728</v>
      </c>
      <c r="Q280" s="820" t="s">
        <v>658</v>
      </c>
      <c r="R280" s="817" t="s">
        <v>659</v>
      </c>
      <c r="S280" s="821" t="s">
        <v>729</v>
      </c>
      <c r="T280" s="817" t="s">
        <v>730</v>
      </c>
      <c r="U280" s="160"/>
      <c r="V280" s="817"/>
      <c r="W280" s="465">
        <f>INDEX('CTR1 Data Previous Year'!$J:$J,MATCH($D280,'CTR1 Data Previous Year'!$A:$A,0),1)</f>
        <v>22132.28</v>
      </c>
      <c r="X280" s="465">
        <f>INDEX('CTR1 Data Previous Year'!$K:$K,MATCH($D280,'CTR1 Data Previous Year'!$A:$A,0),1)</f>
        <v>380.15</v>
      </c>
      <c r="Y280" s="465">
        <f>INDEX('CTR1 Data Previous Year'!$L:$L,MATCH($D280,'CTR1 Data Previous Year'!$A:$A,0),1)</f>
        <v>269.41000000000003</v>
      </c>
      <c r="Z280" s="836" t="str">
        <f t="shared" si="47"/>
        <v>N</v>
      </c>
      <c r="AA280" s="837" t="str">
        <f t="shared" si="48"/>
        <v>N</v>
      </c>
      <c r="AB280" s="838">
        <f t="shared" si="49"/>
        <v>269.41000000000003</v>
      </c>
      <c r="AC280" s="868">
        <f t="shared" si="50"/>
        <v>0</v>
      </c>
      <c r="AD280" s="876">
        <f t="shared" si="51"/>
        <v>0</v>
      </c>
      <c r="AE280" s="838">
        <f t="shared" si="52"/>
        <v>277.49230000000006</v>
      </c>
      <c r="AF280" s="838">
        <f t="shared" si="53"/>
        <v>274.41000000000003</v>
      </c>
      <c r="AG280" s="839">
        <f t="shared" si="55"/>
        <v>0</v>
      </c>
      <c r="AH280" s="839">
        <f t="shared" si="56"/>
        <v>277.49</v>
      </c>
      <c r="AI280" s="840">
        <f t="shared" si="54"/>
        <v>0</v>
      </c>
      <c r="AJ280" s="841">
        <f t="shared" si="57"/>
        <v>0</v>
      </c>
      <c r="AK280" s="446"/>
      <c r="AL280" s="446"/>
      <c r="AM280" s="446"/>
      <c r="AN280" s="446"/>
    </row>
    <row r="281" spans="1:40" ht="15" customHeight="1" x14ac:dyDescent="0.25">
      <c r="A281" s="370">
        <v>276</v>
      </c>
      <c r="B281" s="371" t="s">
        <v>1365</v>
      </c>
      <c r="C281" s="370" t="s">
        <v>1366</v>
      </c>
      <c r="D281" s="370" t="s">
        <v>1367</v>
      </c>
      <c r="E281" s="370" t="s">
        <v>321</v>
      </c>
      <c r="F281" s="370" t="s">
        <v>463</v>
      </c>
      <c r="G281" s="386">
        <f>INDEX('CTR1 Data Previous Year'!$B:$B,MATCH($D281,'CTR1 Data Previous Year'!$A:$A,0),1)</f>
        <v>10118581.53228</v>
      </c>
      <c r="H281" s="386">
        <f>INDEX('CTR1 Data Previous Year'!$C:$C,MATCH($D281,'CTR1 Data Previous Year'!$A:$A,0),1)</f>
        <v>0</v>
      </c>
      <c r="I281" s="386">
        <f>INDEX('CTR1 Data Previous Year'!$D:$D,MATCH($D281,'CTR1 Data Previous Year'!$A:$A,0),1)</f>
        <v>805001</v>
      </c>
      <c r="J281" s="386">
        <f>INDEX('CTR1 Data Previous Year'!$E:$E,MATCH($D281,'CTR1 Data Previous Year'!$A:$A,0),1)</f>
        <v>9313580.5322799999</v>
      </c>
      <c r="K281" s="386">
        <f>INDEX('CTR1 Data Previous Year'!$F:$F,MATCH($D281,'CTR1 Data Previous Year'!$A:$A,0),1)</f>
        <v>0</v>
      </c>
      <c r="L281" s="465">
        <f>INDEX('CTR1 Data Previous Year'!$G:$G,MATCH($D281,'CTR1 Data Previous Year'!$A:$A,0),1)</f>
        <v>39834.244899999998</v>
      </c>
      <c r="M281" s="455">
        <f>INDEX('CTR1 Data Previous Year'!$H:$H,MATCH($D281,'CTR1 Data Previous Year'!$A:$A,0),1)</f>
        <v>0.98</v>
      </c>
      <c r="N281" s="465">
        <f>INDEX('CTR1 Data Previous Year'!$I:$I,MATCH($D281,'CTR1 Data Previous Year'!$A:$A,0),1)</f>
        <v>0</v>
      </c>
      <c r="O281" s="160" t="s">
        <v>572</v>
      </c>
      <c r="P281" s="817" t="s">
        <v>573</v>
      </c>
      <c r="Q281" s="820" t="s">
        <v>464</v>
      </c>
      <c r="R281" s="817" t="s">
        <v>465</v>
      </c>
      <c r="S281" s="821" t="s">
        <v>466</v>
      </c>
      <c r="T281" s="817" t="s">
        <v>467</v>
      </c>
      <c r="U281" s="160"/>
      <c r="V281" s="817"/>
      <c r="W281" s="465">
        <f>INDEX('CTR1 Data Previous Year'!$J:$J,MATCH($D281,'CTR1 Data Previous Year'!$A:$A,0),1)</f>
        <v>39037.56</v>
      </c>
      <c r="X281" s="465">
        <f>INDEX('CTR1 Data Previous Year'!$K:$K,MATCH($D281,'CTR1 Data Previous Year'!$A:$A,0),1)</f>
        <v>259.2</v>
      </c>
      <c r="Y281" s="465">
        <f>INDEX('CTR1 Data Previous Year'!$L:$L,MATCH($D281,'CTR1 Data Previous Year'!$A:$A,0),1)</f>
        <v>238.58</v>
      </c>
      <c r="Z281" s="836" t="str">
        <f t="shared" si="47"/>
        <v>N</v>
      </c>
      <c r="AA281" s="837" t="str">
        <f t="shared" si="48"/>
        <v>N</v>
      </c>
      <c r="AB281" s="838">
        <f t="shared" si="49"/>
        <v>238.58</v>
      </c>
      <c r="AC281" s="868">
        <f t="shared" si="50"/>
        <v>0</v>
      </c>
      <c r="AD281" s="876">
        <f t="shared" si="51"/>
        <v>0</v>
      </c>
      <c r="AE281" s="838">
        <f t="shared" si="52"/>
        <v>245.73740000000001</v>
      </c>
      <c r="AF281" s="838">
        <f t="shared" si="53"/>
        <v>243.58</v>
      </c>
      <c r="AG281" s="839">
        <f t="shared" si="55"/>
        <v>0</v>
      </c>
      <c r="AH281" s="839">
        <f t="shared" si="56"/>
        <v>245.74</v>
      </c>
      <c r="AI281" s="840">
        <f t="shared" si="54"/>
        <v>0</v>
      </c>
      <c r="AJ281" s="841">
        <f t="shared" si="57"/>
        <v>0</v>
      </c>
      <c r="AK281" s="446"/>
      <c r="AL281" s="446"/>
      <c r="AM281" s="446"/>
      <c r="AN281" s="446"/>
    </row>
    <row r="282" spans="1:40" ht="15" customHeight="1" x14ac:dyDescent="0.25">
      <c r="A282" s="370">
        <v>277</v>
      </c>
      <c r="B282" s="371" t="s">
        <v>1368</v>
      </c>
      <c r="C282" s="370" t="s">
        <v>1369</v>
      </c>
      <c r="D282" s="370" t="s">
        <v>1370</v>
      </c>
      <c r="E282" s="370" t="s">
        <v>321</v>
      </c>
      <c r="F282" s="370" t="s">
        <v>330</v>
      </c>
      <c r="G282" s="386">
        <f>INDEX('CTR1 Data Previous Year'!$B:$B,MATCH($D282,'CTR1 Data Previous Year'!$A:$A,0),1)</f>
        <v>10998800</v>
      </c>
      <c r="H282" s="386">
        <f>INDEX('CTR1 Data Previous Year'!$C:$C,MATCH($D282,'CTR1 Data Previous Year'!$A:$A,0),1)</f>
        <v>0</v>
      </c>
      <c r="I282" s="386">
        <f>INDEX('CTR1 Data Previous Year'!$D:$D,MATCH($D282,'CTR1 Data Previous Year'!$A:$A,0),1)</f>
        <v>2850190</v>
      </c>
      <c r="J282" s="386">
        <f>INDEX('CTR1 Data Previous Year'!$E:$E,MATCH($D282,'CTR1 Data Previous Year'!$A:$A,0),1)</f>
        <v>8148610</v>
      </c>
      <c r="K282" s="386">
        <f>INDEX('CTR1 Data Previous Year'!$F:$F,MATCH($D282,'CTR1 Data Previous Year'!$A:$A,0),1)</f>
        <v>552590</v>
      </c>
      <c r="L282" s="465">
        <f>INDEX('CTR1 Data Previous Year'!$G:$G,MATCH($D282,'CTR1 Data Previous Year'!$A:$A,0),1)</f>
        <v>33254.28</v>
      </c>
      <c r="M282" s="455">
        <f>INDEX('CTR1 Data Previous Year'!$H:$H,MATCH($D282,'CTR1 Data Previous Year'!$A:$A,0),1)</f>
        <v>0.98299999999999998</v>
      </c>
      <c r="N282" s="465">
        <f>INDEX('CTR1 Data Previous Year'!$I:$I,MATCH($D282,'CTR1 Data Previous Year'!$A:$A,0),1)</f>
        <v>67.790000000000006</v>
      </c>
      <c r="O282" s="160" t="s">
        <v>483</v>
      </c>
      <c r="P282" s="817" t="s">
        <v>484</v>
      </c>
      <c r="Q282" s="820" t="s">
        <v>485</v>
      </c>
      <c r="R282" s="817" t="s">
        <v>486</v>
      </c>
      <c r="S282" s="821" t="s">
        <v>129</v>
      </c>
      <c r="T282" s="817"/>
      <c r="U282" s="866" t="s">
        <v>487</v>
      </c>
      <c r="V282" s="867" t="s">
        <v>488</v>
      </c>
      <c r="W282" s="465">
        <f>INDEX('CTR1 Data Previous Year'!$J:$J,MATCH($D282,'CTR1 Data Previous Year'!$A:$A,0),1)</f>
        <v>32756.75</v>
      </c>
      <c r="X282" s="465">
        <f>INDEX('CTR1 Data Previous Year'!$K:$K,MATCH($D282,'CTR1 Data Previous Year'!$A:$A,0),1)</f>
        <v>335.77</v>
      </c>
      <c r="Y282" s="465">
        <f>INDEX('CTR1 Data Previous Year'!$L:$L,MATCH($D282,'CTR1 Data Previous Year'!$A:$A,0),1)</f>
        <v>248.76</v>
      </c>
      <c r="Z282" s="836" t="str">
        <f t="shared" si="47"/>
        <v>N</v>
      </c>
      <c r="AA282" s="837" t="str">
        <f t="shared" si="48"/>
        <v>N</v>
      </c>
      <c r="AB282" s="838">
        <f t="shared" si="49"/>
        <v>248.76</v>
      </c>
      <c r="AC282" s="868">
        <f t="shared" si="50"/>
        <v>0</v>
      </c>
      <c r="AD282" s="876">
        <f t="shared" si="51"/>
        <v>0</v>
      </c>
      <c r="AE282" s="838">
        <f t="shared" si="52"/>
        <v>256.22280000000001</v>
      </c>
      <c r="AF282" s="838">
        <f t="shared" si="53"/>
        <v>253.76</v>
      </c>
      <c r="AG282" s="839">
        <f t="shared" si="55"/>
        <v>0</v>
      </c>
      <c r="AH282" s="839">
        <f t="shared" si="56"/>
        <v>256.22000000000003</v>
      </c>
      <c r="AI282" s="840">
        <f t="shared" si="54"/>
        <v>0</v>
      </c>
      <c r="AJ282" s="841">
        <f t="shared" si="57"/>
        <v>0</v>
      </c>
      <c r="AK282" s="446"/>
      <c r="AL282" s="446"/>
      <c r="AM282" s="446"/>
      <c r="AN282" s="446"/>
    </row>
    <row r="283" spans="1:40" ht="15" customHeight="1" x14ac:dyDescent="0.25">
      <c r="A283" s="370">
        <v>278</v>
      </c>
      <c r="B283" s="371" t="s">
        <v>1371</v>
      </c>
      <c r="C283" s="370" t="s">
        <v>1372</v>
      </c>
      <c r="D283" s="370" t="s">
        <v>1373</v>
      </c>
      <c r="E283" s="370" t="s">
        <v>339</v>
      </c>
      <c r="F283" s="370" t="s">
        <v>330</v>
      </c>
      <c r="G283" s="386">
        <f>INDEX('CTR1 Data Previous Year'!$B:$B,MATCH($D283,'CTR1 Data Previous Year'!$A:$A,0),1)</f>
        <v>286757863</v>
      </c>
      <c r="H283" s="386">
        <f>INDEX('CTR1 Data Previous Year'!$C:$C,MATCH($D283,'CTR1 Data Previous Year'!$A:$A,0),1)</f>
        <v>703857</v>
      </c>
      <c r="I283" s="386">
        <f>INDEX('CTR1 Data Previous Year'!$D:$D,MATCH($D283,'CTR1 Data Previous Year'!$A:$A,0),1)</f>
        <v>13897588</v>
      </c>
      <c r="J283" s="386">
        <f>INDEX('CTR1 Data Previous Year'!$E:$E,MATCH($D283,'CTR1 Data Previous Year'!$A:$A,0),1)</f>
        <v>272860275</v>
      </c>
      <c r="K283" s="386">
        <f>INDEX('CTR1 Data Previous Year'!$F:$F,MATCH($D283,'CTR1 Data Previous Year'!$A:$A,0),1)</f>
        <v>0</v>
      </c>
      <c r="L283" s="465">
        <f>INDEX('CTR1 Data Previous Year'!$G:$G,MATCH($D283,'CTR1 Data Previous Year'!$A:$A,0),1)</f>
        <v>149132.96</v>
      </c>
      <c r="M283" s="455">
        <f>INDEX('CTR1 Data Previous Year'!$H:$H,MATCH($D283,'CTR1 Data Previous Year'!$A:$A,0),1)</f>
        <v>0.98</v>
      </c>
      <c r="N283" s="465">
        <f>INDEX('CTR1 Data Previous Year'!$I:$I,MATCH($D283,'CTR1 Data Previous Year'!$A:$A,0),1)</f>
        <v>0</v>
      </c>
      <c r="O283" s="160"/>
      <c r="P283" s="817"/>
      <c r="Q283" s="820" t="s">
        <v>1042</v>
      </c>
      <c r="R283" s="817" t="s">
        <v>1043</v>
      </c>
      <c r="S283" s="821" t="s">
        <v>1044</v>
      </c>
      <c r="T283" s="817" t="s">
        <v>1045</v>
      </c>
      <c r="U283" s="160"/>
      <c r="V283" s="817"/>
      <c r="W283" s="465">
        <f>INDEX('CTR1 Data Previous Year'!$J:$J,MATCH($D283,'CTR1 Data Previous Year'!$A:$A,0),1)</f>
        <v>146150.29999999999</v>
      </c>
      <c r="X283" s="465">
        <f>INDEX('CTR1 Data Previous Year'!$K:$K,MATCH($D283,'CTR1 Data Previous Year'!$A:$A,0),1)</f>
        <v>1962.08</v>
      </c>
      <c r="Y283" s="465">
        <f>INDEX('CTR1 Data Previous Year'!$L:$L,MATCH($D283,'CTR1 Data Previous Year'!$A:$A,0),1)</f>
        <v>1866.98</v>
      </c>
      <c r="Z283" s="836" t="str">
        <f t="shared" si="47"/>
        <v>N</v>
      </c>
      <c r="AA283" s="837" t="str">
        <f t="shared" si="48"/>
        <v>N</v>
      </c>
      <c r="AB283" s="838">
        <f t="shared" si="49"/>
        <v>1866.98</v>
      </c>
      <c r="AC283" s="868">
        <f t="shared" si="50"/>
        <v>0</v>
      </c>
      <c r="AD283" s="876">
        <f t="shared" si="51"/>
        <v>0</v>
      </c>
      <c r="AE283" s="838">
        <f t="shared" si="52"/>
        <v>1960.3290000000002</v>
      </c>
      <c r="AF283" s="838">
        <f t="shared" si="53"/>
        <v>1866.98</v>
      </c>
      <c r="AG283" s="839">
        <f t="shared" si="55"/>
        <v>0</v>
      </c>
      <c r="AH283" s="839">
        <f t="shared" si="56"/>
        <v>1960.33</v>
      </c>
      <c r="AI283" s="840">
        <f t="shared" si="54"/>
        <v>37.340000000000003</v>
      </c>
      <c r="AJ283" s="841">
        <f t="shared" si="57"/>
        <v>2.0000214249750937E-2</v>
      </c>
      <c r="AK283" s="446"/>
      <c r="AL283" s="446"/>
      <c r="AM283" s="446"/>
      <c r="AN283" s="446"/>
    </row>
    <row r="284" spans="1:40" ht="15" customHeight="1" x14ac:dyDescent="0.25">
      <c r="A284" s="370">
        <v>279</v>
      </c>
      <c r="B284" s="371" t="s">
        <v>1374</v>
      </c>
      <c r="C284" s="370" t="s">
        <v>1375</v>
      </c>
      <c r="D284" s="370" t="s">
        <v>1376</v>
      </c>
      <c r="E284" s="370" t="s">
        <v>321</v>
      </c>
      <c r="F284" s="370" t="s">
        <v>322</v>
      </c>
      <c r="G284" s="386">
        <f>INDEX('CTR1 Data Previous Year'!$B:$B,MATCH($D284,'CTR1 Data Previous Year'!$A:$A,0),1)</f>
        <v>12146690</v>
      </c>
      <c r="H284" s="386">
        <f>INDEX('CTR1 Data Previous Year'!$C:$C,MATCH($D284,'CTR1 Data Previous Year'!$A:$A,0),1)</f>
        <v>0</v>
      </c>
      <c r="I284" s="386">
        <f>INDEX('CTR1 Data Previous Year'!$D:$D,MATCH($D284,'CTR1 Data Previous Year'!$A:$A,0),1)</f>
        <v>5840407</v>
      </c>
      <c r="J284" s="386">
        <f>INDEX('CTR1 Data Previous Year'!$E:$E,MATCH($D284,'CTR1 Data Previous Year'!$A:$A,0),1)</f>
        <v>6306283</v>
      </c>
      <c r="K284" s="386">
        <f>INDEX('CTR1 Data Previous Year'!$F:$F,MATCH($D284,'CTR1 Data Previous Year'!$A:$A,0),1)</f>
        <v>0</v>
      </c>
      <c r="L284" s="465">
        <f>INDEX('CTR1 Data Previous Year'!$G:$G,MATCH($D284,'CTR1 Data Previous Year'!$A:$A,0),1)</f>
        <v>48346.86</v>
      </c>
      <c r="M284" s="455">
        <f>INDEX('CTR1 Data Previous Year'!$H:$H,MATCH($D284,'CTR1 Data Previous Year'!$A:$A,0),1)</f>
        <v>0.98499999999999999</v>
      </c>
      <c r="N284" s="465">
        <f>INDEX('CTR1 Data Previous Year'!$I:$I,MATCH($D284,'CTR1 Data Previous Year'!$A:$A,0),1)</f>
        <v>1120.67</v>
      </c>
      <c r="O284" s="160" t="s">
        <v>628</v>
      </c>
      <c r="P284" s="817" t="s">
        <v>629</v>
      </c>
      <c r="Q284" s="820" t="s">
        <v>500</v>
      </c>
      <c r="R284" s="817" t="s">
        <v>501</v>
      </c>
      <c r="S284" s="821" t="s">
        <v>129</v>
      </c>
      <c r="T284" s="817"/>
      <c r="U284" s="160"/>
      <c r="V284" s="817"/>
      <c r="W284" s="465">
        <f>INDEX('CTR1 Data Previous Year'!$J:$J,MATCH($D284,'CTR1 Data Previous Year'!$A:$A,0),1)</f>
        <v>48742.33</v>
      </c>
      <c r="X284" s="465">
        <f>INDEX('CTR1 Data Previous Year'!$K:$K,MATCH($D284,'CTR1 Data Previous Year'!$A:$A,0),1)</f>
        <v>249.2</v>
      </c>
      <c r="Y284" s="465">
        <f>INDEX('CTR1 Data Previous Year'!$L:$L,MATCH($D284,'CTR1 Data Previous Year'!$A:$A,0),1)</f>
        <v>129.38</v>
      </c>
      <c r="Z284" s="836" t="str">
        <f t="shared" si="47"/>
        <v>N</v>
      </c>
      <c r="AA284" s="837" t="str">
        <f t="shared" si="48"/>
        <v>N</v>
      </c>
      <c r="AB284" s="838">
        <f t="shared" si="49"/>
        <v>129.38</v>
      </c>
      <c r="AC284" s="868">
        <f t="shared" si="50"/>
        <v>0</v>
      </c>
      <c r="AD284" s="876">
        <f t="shared" si="51"/>
        <v>0</v>
      </c>
      <c r="AE284" s="838">
        <f t="shared" si="52"/>
        <v>133.26140000000001</v>
      </c>
      <c r="AF284" s="838">
        <f t="shared" si="53"/>
        <v>134.38</v>
      </c>
      <c r="AG284" s="839">
        <f t="shared" si="55"/>
        <v>0</v>
      </c>
      <c r="AH284" s="839">
        <f t="shared" si="56"/>
        <v>134.38</v>
      </c>
      <c r="AI284" s="840">
        <f t="shared" si="54"/>
        <v>0</v>
      </c>
      <c r="AJ284" s="841">
        <f t="shared" si="57"/>
        <v>0</v>
      </c>
      <c r="AK284" s="446"/>
      <c r="AL284" s="446"/>
      <c r="AM284" s="446"/>
      <c r="AN284" s="446"/>
    </row>
    <row r="285" spans="1:40" ht="15" customHeight="1" x14ac:dyDescent="0.25">
      <c r="A285" s="370">
        <v>280</v>
      </c>
      <c r="B285" s="371" t="s">
        <v>1377</v>
      </c>
      <c r="C285" s="370" t="s">
        <v>1378</v>
      </c>
      <c r="D285" s="370" t="s">
        <v>1379</v>
      </c>
      <c r="E285" s="370" t="s">
        <v>321</v>
      </c>
      <c r="F285" s="370" t="s">
        <v>368</v>
      </c>
      <c r="G285" s="386">
        <f>INDEX('CTR1 Data Previous Year'!$B:$B,MATCH($D285,'CTR1 Data Previous Year'!$A:$A,0),1)</f>
        <v>18075407</v>
      </c>
      <c r="H285" s="386">
        <f>INDEX('CTR1 Data Previous Year'!$C:$C,MATCH($D285,'CTR1 Data Previous Year'!$A:$A,0),1)</f>
        <v>0</v>
      </c>
      <c r="I285" s="386">
        <f>INDEX('CTR1 Data Previous Year'!$D:$D,MATCH($D285,'CTR1 Data Previous Year'!$A:$A,0),1)</f>
        <v>5967228</v>
      </c>
      <c r="J285" s="386">
        <f>INDEX('CTR1 Data Previous Year'!$E:$E,MATCH($D285,'CTR1 Data Previous Year'!$A:$A,0),1)</f>
        <v>12108179</v>
      </c>
      <c r="K285" s="386">
        <f>INDEX('CTR1 Data Previous Year'!$F:$F,MATCH($D285,'CTR1 Data Previous Year'!$A:$A,0),1)</f>
        <v>0</v>
      </c>
      <c r="L285" s="465">
        <f>INDEX('CTR1 Data Previous Year'!$G:$G,MATCH($D285,'CTR1 Data Previous Year'!$A:$A,0),1)</f>
        <v>60362.23</v>
      </c>
      <c r="M285" s="455">
        <f>INDEX('CTR1 Data Previous Year'!$H:$H,MATCH($D285,'CTR1 Data Previous Year'!$A:$A,0),1)</f>
        <v>0.98</v>
      </c>
      <c r="N285" s="465">
        <f>INDEX('CTR1 Data Previous Year'!$I:$I,MATCH($D285,'CTR1 Data Previous Year'!$A:$A,0),1)</f>
        <v>295</v>
      </c>
      <c r="O285" s="822" t="s">
        <v>369</v>
      </c>
      <c r="P285" s="817" t="s">
        <v>370</v>
      </c>
      <c r="Q285" s="820" t="s">
        <v>371</v>
      </c>
      <c r="R285" s="817" t="s">
        <v>372</v>
      </c>
      <c r="S285" s="821"/>
      <c r="T285" s="817"/>
      <c r="U285" s="160"/>
      <c r="V285" s="817"/>
      <c r="W285" s="465">
        <f>INDEX('CTR1 Data Previous Year'!$J:$J,MATCH($D285,'CTR1 Data Previous Year'!$A:$A,0),1)</f>
        <v>59449.99</v>
      </c>
      <c r="X285" s="465">
        <f>INDEX('CTR1 Data Previous Year'!$K:$K,MATCH($D285,'CTR1 Data Previous Year'!$A:$A,0),1)</f>
        <v>304.04000000000002</v>
      </c>
      <c r="Y285" s="465">
        <f>INDEX('CTR1 Data Previous Year'!$L:$L,MATCH($D285,'CTR1 Data Previous Year'!$A:$A,0),1)</f>
        <v>203.67</v>
      </c>
      <c r="Z285" s="836" t="str">
        <f t="shared" si="47"/>
        <v>N</v>
      </c>
      <c r="AA285" s="837" t="str">
        <f t="shared" si="48"/>
        <v>N</v>
      </c>
      <c r="AB285" s="838">
        <f t="shared" si="49"/>
        <v>203.67</v>
      </c>
      <c r="AC285" s="868">
        <f t="shared" si="50"/>
        <v>0</v>
      </c>
      <c r="AD285" s="876">
        <f t="shared" si="51"/>
        <v>0</v>
      </c>
      <c r="AE285" s="838">
        <f t="shared" si="52"/>
        <v>209.7801</v>
      </c>
      <c r="AF285" s="838">
        <f t="shared" si="53"/>
        <v>208.67</v>
      </c>
      <c r="AG285" s="839">
        <f t="shared" si="55"/>
        <v>0</v>
      </c>
      <c r="AH285" s="839">
        <f t="shared" si="56"/>
        <v>209.78</v>
      </c>
      <c r="AI285" s="840">
        <f t="shared" si="54"/>
        <v>0</v>
      </c>
      <c r="AJ285" s="841">
        <f t="shared" si="57"/>
        <v>0</v>
      </c>
      <c r="AK285" s="446"/>
      <c r="AL285" s="446"/>
      <c r="AM285" s="446"/>
      <c r="AN285" s="446"/>
    </row>
    <row r="286" spans="1:40" ht="15" customHeight="1" x14ac:dyDescent="0.25">
      <c r="A286" s="370">
        <v>281</v>
      </c>
      <c r="B286" s="371" t="s">
        <v>1380</v>
      </c>
      <c r="C286" s="370" t="s">
        <v>1381</v>
      </c>
      <c r="D286" s="370" t="s">
        <v>1382</v>
      </c>
      <c r="E286" s="370" t="s">
        <v>343</v>
      </c>
      <c r="F286" s="370" t="s">
        <v>378</v>
      </c>
      <c r="G286" s="386">
        <f>INDEX('CTR1 Data Previous Year'!$B:$B,MATCH($D286,'CTR1 Data Previous Year'!$A:$A,0),1)</f>
        <v>74837007</v>
      </c>
      <c r="H286" s="386">
        <f>INDEX('CTR1 Data Previous Year'!$C:$C,MATCH($D286,'CTR1 Data Previous Year'!$A:$A,0),1)</f>
        <v>62400</v>
      </c>
      <c r="I286" s="386">
        <f>INDEX('CTR1 Data Previous Year'!$D:$D,MATCH($D286,'CTR1 Data Previous Year'!$A:$A,0),1)</f>
        <v>195621</v>
      </c>
      <c r="J286" s="386">
        <f>INDEX('CTR1 Data Previous Year'!$E:$E,MATCH($D286,'CTR1 Data Previous Year'!$A:$A,0),1)</f>
        <v>74641386</v>
      </c>
      <c r="K286" s="386">
        <f>INDEX('CTR1 Data Previous Year'!$F:$F,MATCH($D286,'CTR1 Data Previous Year'!$A:$A,0),1)</f>
        <v>1529401</v>
      </c>
      <c r="L286" s="465">
        <f>INDEX('CTR1 Data Previous Year'!$G:$G,MATCH($D286,'CTR1 Data Previous Year'!$A:$A,0),1)</f>
        <v>146986.39000000001</v>
      </c>
      <c r="M286" s="455">
        <f>INDEX('CTR1 Data Previous Year'!$H:$H,MATCH($D286,'CTR1 Data Previous Year'!$A:$A,0),1)</f>
        <v>0.96</v>
      </c>
      <c r="N286" s="465">
        <f>INDEX('CTR1 Data Previous Year'!$I:$I,MATCH($D286,'CTR1 Data Previous Year'!$A:$A,0),1)</f>
        <v>462.9</v>
      </c>
      <c r="O286" s="160" t="s">
        <v>379</v>
      </c>
      <c r="P286" s="862" t="s">
        <v>380</v>
      </c>
      <c r="Q286" s="820"/>
      <c r="R286" s="817"/>
      <c r="S286" s="821" t="s">
        <v>129</v>
      </c>
      <c r="T286" s="817"/>
      <c r="U286" s="160"/>
      <c r="V286" s="817"/>
      <c r="W286" s="465">
        <f>INDEX('CTR1 Data Previous Year'!$J:$J,MATCH($D286,'CTR1 Data Previous Year'!$A:$A,0),1)</f>
        <v>141569.82999999999</v>
      </c>
      <c r="X286" s="465">
        <f>INDEX('CTR1 Data Previous Year'!$K:$K,MATCH($D286,'CTR1 Data Previous Year'!$A:$A,0),1)</f>
        <v>528.62</v>
      </c>
      <c r="Y286" s="465">
        <f>INDEX('CTR1 Data Previous Year'!$L:$L,MATCH($D286,'CTR1 Data Previous Year'!$A:$A,0),1)</f>
        <v>527.24</v>
      </c>
      <c r="Z286" s="836" t="str">
        <f t="shared" si="47"/>
        <v>N</v>
      </c>
      <c r="AA286" s="837" t="str">
        <f t="shared" si="48"/>
        <v>N</v>
      </c>
      <c r="AB286" s="838">
        <f t="shared" si="49"/>
        <v>527.24</v>
      </c>
      <c r="AC286" s="868">
        <f t="shared" si="50"/>
        <v>0</v>
      </c>
      <c r="AD286" s="876">
        <f t="shared" si="51"/>
        <v>0</v>
      </c>
      <c r="AE286" s="838">
        <f t="shared" si="52"/>
        <v>553.60200000000009</v>
      </c>
      <c r="AF286" s="838">
        <f t="shared" si="53"/>
        <v>527.24</v>
      </c>
      <c r="AG286" s="839">
        <f t="shared" si="55"/>
        <v>0</v>
      </c>
      <c r="AH286" s="839">
        <f t="shared" si="56"/>
        <v>553.6</v>
      </c>
      <c r="AI286" s="840">
        <f t="shared" si="54"/>
        <v>10.54</v>
      </c>
      <c r="AJ286" s="841">
        <f t="shared" si="57"/>
        <v>1.9990895986647446E-2</v>
      </c>
      <c r="AK286" s="446"/>
      <c r="AL286" s="446"/>
      <c r="AM286" s="446"/>
      <c r="AN286" s="446"/>
    </row>
    <row r="287" spans="1:40" ht="15" customHeight="1" x14ac:dyDescent="0.25">
      <c r="A287" s="370">
        <v>282</v>
      </c>
      <c r="B287" s="383" t="s">
        <v>1383</v>
      </c>
      <c r="C287" s="382" t="s">
        <v>1384</v>
      </c>
      <c r="D287" s="382" t="s">
        <v>1385</v>
      </c>
      <c r="E287" s="370" t="s">
        <v>339</v>
      </c>
      <c r="F287" s="370" t="s">
        <v>463</v>
      </c>
      <c r="G287" s="386">
        <f>INDEX('CTR1 Data Previous Year'!$B:$B,MATCH($D287,'CTR1 Data Previous Year'!$A:$A,0),1)</f>
        <v>189127757</v>
      </c>
      <c r="H287" s="386">
        <f>INDEX('CTR1 Data Previous Year'!$C:$C,MATCH($D287,'CTR1 Data Previous Year'!$A:$A,0),1)</f>
        <v>0</v>
      </c>
      <c r="I287" s="386">
        <f>INDEX('CTR1 Data Previous Year'!$D:$D,MATCH($D287,'CTR1 Data Previous Year'!$A:$A,0),1)</f>
        <v>4599986</v>
      </c>
      <c r="J287" s="386">
        <f>INDEX('CTR1 Data Previous Year'!$E:$E,MATCH($D287,'CTR1 Data Previous Year'!$A:$A,0),1)</f>
        <v>184527771</v>
      </c>
      <c r="K287" s="386">
        <f>INDEX('CTR1 Data Previous Year'!$F:$F,MATCH($D287,'CTR1 Data Previous Year'!$A:$A,0),1)</f>
        <v>0</v>
      </c>
      <c r="L287" s="465">
        <f>INDEX('CTR1 Data Previous Year'!$G:$G,MATCH($D287,'CTR1 Data Previous Year'!$A:$A,0),1)</f>
        <v>97131.11</v>
      </c>
      <c r="M287" s="455">
        <f>INDEX('CTR1 Data Previous Year'!$H:$H,MATCH($D287,'CTR1 Data Previous Year'!$A:$A,0),1)</f>
        <v>0.99</v>
      </c>
      <c r="N287" s="465">
        <f>INDEX('CTR1 Data Previous Year'!$I:$I,MATCH($D287,'CTR1 Data Previous Year'!$A:$A,0),1)</f>
        <v>0</v>
      </c>
      <c r="O287" s="160"/>
      <c r="P287" s="817"/>
      <c r="Q287" s="820" t="s">
        <v>675</v>
      </c>
      <c r="R287" s="817" t="s">
        <v>676</v>
      </c>
      <c r="S287" s="821" t="s">
        <v>677</v>
      </c>
      <c r="T287" s="817" t="s">
        <v>678</v>
      </c>
      <c r="U287" s="160"/>
      <c r="V287" s="817"/>
      <c r="W287" s="465">
        <f>INDEX('CTR1 Data Previous Year'!$J:$J,MATCH($D287,'CTR1 Data Previous Year'!$A:$A,0),1)</f>
        <v>96159.8</v>
      </c>
      <c r="X287" s="465">
        <f>INDEX('CTR1 Data Previous Year'!$K:$K,MATCH($D287,'CTR1 Data Previous Year'!$A:$A,0),1)</f>
        <v>1966.81</v>
      </c>
      <c r="Y287" s="465">
        <f>INDEX('CTR1 Data Previous Year'!$L:$L,MATCH($D287,'CTR1 Data Previous Year'!$A:$A,0),1)</f>
        <v>1918.97</v>
      </c>
      <c r="Z287" s="836" t="str">
        <f t="shared" si="47"/>
        <v>N</v>
      </c>
      <c r="AA287" s="837" t="str">
        <f t="shared" si="48"/>
        <v>N</v>
      </c>
      <c r="AB287" s="838">
        <f t="shared" si="49"/>
        <v>1918.97</v>
      </c>
      <c r="AC287" s="868">
        <f t="shared" si="50"/>
        <v>0</v>
      </c>
      <c r="AD287" s="876">
        <f t="shared" si="51"/>
        <v>0</v>
      </c>
      <c r="AE287" s="838">
        <f t="shared" si="52"/>
        <v>2014.9185000000002</v>
      </c>
      <c r="AF287" s="838">
        <f t="shared" si="53"/>
        <v>1918.97</v>
      </c>
      <c r="AG287" s="839">
        <f t="shared" si="55"/>
        <v>0</v>
      </c>
      <c r="AH287" s="839">
        <f t="shared" si="56"/>
        <v>2014.92</v>
      </c>
      <c r="AI287" s="840">
        <f t="shared" si="54"/>
        <v>38.380000000000003</v>
      </c>
      <c r="AJ287" s="841">
        <f t="shared" si="57"/>
        <v>2.0000312667733212E-2</v>
      </c>
      <c r="AK287" s="446"/>
      <c r="AL287" s="446"/>
      <c r="AM287" s="446"/>
      <c r="AN287" s="446"/>
    </row>
    <row r="288" spans="1:40" ht="15" customHeight="1" x14ac:dyDescent="0.25">
      <c r="A288" s="370">
        <v>283</v>
      </c>
      <c r="B288" s="371" t="s">
        <v>1386</v>
      </c>
      <c r="C288" s="370" t="s">
        <v>1387</v>
      </c>
      <c r="D288" s="370" t="s">
        <v>1388</v>
      </c>
      <c r="E288" s="370" t="s">
        <v>353</v>
      </c>
      <c r="F288" s="370" t="s">
        <v>463</v>
      </c>
      <c r="G288" s="386">
        <f>INDEX('CTR1 Data Previous Year'!$B:$B,MATCH($D288,'CTR1 Data Previous Year'!$A:$A,0),1)</f>
        <v>160917680</v>
      </c>
      <c r="H288" s="386">
        <f>INDEX('CTR1 Data Previous Year'!$C:$C,MATCH($D288,'CTR1 Data Previous Year'!$A:$A,0),1)</f>
        <v>0</v>
      </c>
      <c r="I288" s="386">
        <f>INDEX('CTR1 Data Previous Year'!$D:$D,MATCH($D288,'CTR1 Data Previous Year'!$A:$A,0),1)</f>
        <v>110529</v>
      </c>
      <c r="J288" s="386">
        <f>INDEX('CTR1 Data Previous Year'!$E:$E,MATCH($D288,'CTR1 Data Previous Year'!$A:$A,0),1)</f>
        <v>160807151</v>
      </c>
      <c r="K288" s="386">
        <f>INDEX('CTR1 Data Previous Year'!$F:$F,MATCH($D288,'CTR1 Data Previous Year'!$A:$A,0),1)</f>
        <v>24427000</v>
      </c>
      <c r="L288" s="465">
        <f>INDEX('CTR1 Data Previous Year'!$G:$G,MATCH($D288,'CTR1 Data Previous Year'!$A:$A,0),1)</f>
        <v>99595.96</v>
      </c>
      <c r="M288" s="455">
        <f>INDEX('CTR1 Data Previous Year'!$H:$H,MATCH($D288,'CTR1 Data Previous Year'!$A:$A,0),1)</f>
        <v>0.99</v>
      </c>
      <c r="N288" s="465">
        <f>INDEX('CTR1 Data Previous Year'!$I:$I,MATCH($D288,'CTR1 Data Previous Year'!$A:$A,0),1)</f>
        <v>0</v>
      </c>
      <c r="O288" s="160" t="s">
        <v>129</v>
      </c>
      <c r="P288" s="817"/>
      <c r="Q288" s="820" t="s">
        <v>477</v>
      </c>
      <c r="R288" s="817" t="s">
        <v>478</v>
      </c>
      <c r="S288" s="821"/>
      <c r="T288" s="817"/>
      <c r="U288" s="822" t="s">
        <v>479</v>
      </c>
      <c r="V288" s="817" t="s">
        <v>478</v>
      </c>
      <c r="W288" s="465">
        <f>INDEX('CTR1 Data Previous Year'!$J:$J,MATCH($D288,'CTR1 Data Previous Year'!$A:$A,0),1)</f>
        <v>98600</v>
      </c>
      <c r="X288" s="465">
        <f>INDEX('CTR1 Data Previous Year'!$K:$K,MATCH($D288,'CTR1 Data Previous Year'!$A:$A,0),1)</f>
        <v>1632.03</v>
      </c>
      <c r="Y288" s="465">
        <f>INDEX('CTR1 Data Previous Year'!$L:$L,MATCH($D288,'CTR1 Data Previous Year'!$A:$A,0),1)</f>
        <v>1630.9</v>
      </c>
      <c r="Z288" s="836" t="str">
        <f t="shared" si="47"/>
        <v>N</v>
      </c>
      <c r="AA288" s="837" t="str">
        <f t="shared" si="48"/>
        <v>N</v>
      </c>
      <c r="AB288" s="838">
        <f t="shared" si="49"/>
        <v>1630.9</v>
      </c>
      <c r="AC288" s="868">
        <f t="shared" si="50"/>
        <v>0</v>
      </c>
      <c r="AD288" s="876">
        <f t="shared" si="51"/>
        <v>0</v>
      </c>
      <c r="AE288" s="838">
        <f t="shared" si="52"/>
        <v>1712.4450000000002</v>
      </c>
      <c r="AF288" s="838">
        <f t="shared" si="53"/>
        <v>1630.9</v>
      </c>
      <c r="AG288" s="839">
        <f t="shared" si="55"/>
        <v>0</v>
      </c>
      <c r="AH288" s="839">
        <f t="shared" si="56"/>
        <v>1712.45</v>
      </c>
      <c r="AI288" s="840">
        <f t="shared" si="54"/>
        <v>32.619999999999997</v>
      </c>
      <c r="AJ288" s="841">
        <f t="shared" si="57"/>
        <v>2.0001226316757617E-2</v>
      </c>
      <c r="AK288" s="446"/>
      <c r="AL288" s="446"/>
      <c r="AM288" s="446"/>
      <c r="AN288" s="446"/>
    </row>
    <row r="289" spans="1:51" ht="15" customHeight="1" x14ac:dyDescent="0.25">
      <c r="A289" s="370">
        <v>284</v>
      </c>
      <c r="B289" s="371" t="s">
        <v>1389</v>
      </c>
      <c r="C289" s="370" t="s">
        <v>1390</v>
      </c>
      <c r="D289" s="370" t="s">
        <v>1391</v>
      </c>
      <c r="E289" s="370" t="s">
        <v>339</v>
      </c>
      <c r="F289" s="370" t="s">
        <v>425</v>
      </c>
      <c r="G289" s="386">
        <f>INDEX('CTR1 Data Previous Year'!$B:$B,MATCH($D289,'CTR1 Data Previous Year'!$A:$A,0),1)</f>
        <v>404232661</v>
      </c>
      <c r="H289" s="386">
        <f>INDEX('CTR1 Data Previous Year'!$C:$C,MATCH($D289,'CTR1 Data Previous Year'!$A:$A,0),1)</f>
        <v>0</v>
      </c>
      <c r="I289" s="386">
        <f>INDEX('CTR1 Data Previous Year'!$D:$D,MATCH($D289,'CTR1 Data Previous Year'!$A:$A,0),1)</f>
        <v>35413785</v>
      </c>
      <c r="J289" s="386">
        <f>INDEX('CTR1 Data Previous Year'!$E:$E,MATCH($D289,'CTR1 Data Previous Year'!$A:$A,0),1)</f>
        <v>368818876</v>
      </c>
      <c r="K289" s="386">
        <f>INDEX('CTR1 Data Previous Year'!$F:$F,MATCH($D289,'CTR1 Data Previous Year'!$A:$A,0),1)</f>
        <v>0</v>
      </c>
      <c r="L289" s="465">
        <f>INDEX('CTR1 Data Previous Year'!$G:$G,MATCH($D289,'CTR1 Data Previous Year'!$A:$A,0),1)</f>
        <v>189287.82</v>
      </c>
      <c r="M289" s="455">
        <f>INDEX('CTR1 Data Previous Year'!$H:$H,MATCH($D289,'CTR1 Data Previous Year'!$A:$A,0),1)</f>
        <v>0.998</v>
      </c>
      <c r="N289" s="465">
        <f>INDEX('CTR1 Data Previous Year'!$I:$I,MATCH($D289,'CTR1 Data Previous Year'!$A:$A,0),1)</f>
        <v>6544.3</v>
      </c>
      <c r="O289" s="160" t="s">
        <v>129</v>
      </c>
      <c r="P289" s="817"/>
      <c r="Q289" s="820" t="s">
        <v>1272</v>
      </c>
      <c r="R289" s="817" t="s">
        <v>1273</v>
      </c>
      <c r="S289" s="821" t="s">
        <v>494</v>
      </c>
      <c r="T289" s="817" t="s">
        <v>495</v>
      </c>
      <c r="U289" s="822"/>
      <c r="V289" s="817"/>
      <c r="W289" s="465">
        <f>INDEX('CTR1 Data Previous Year'!$J:$J,MATCH($D289,'CTR1 Data Previous Year'!$A:$A,0),1)</f>
        <v>195453.54</v>
      </c>
      <c r="X289" s="465">
        <f>INDEX('CTR1 Data Previous Year'!$K:$K,MATCH($D289,'CTR1 Data Previous Year'!$A:$A,0),1)</f>
        <v>2068.1799999999998</v>
      </c>
      <c r="Y289" s="465">
        <f>INDEX('CTR1 Data Previous Year'!$L:$L,MATCH($D289,'CTR1 Data Previous Year'!$A:$A,0),1)</f>
        <v>1886.99</v>
      </c>
      <c r="Z289" s="836" t="str">
        <f t="shared" si="47"/>
        <v>N</v>
      </c>
      <c r="AA289" s="837" t="str">
        <f t="shared" si="48"/>
        <v>N</v>
      </c>
      <c r="AB289" s="838">
        <f t="shared" si="49"/>
        <v>1886.99</v>
      </c>
      <c r="AC289" s="868">
        <f t="shared" si="50"/>
        <v>0</v>
      </c>
      <c r="AD289" s="876">
        <f t="shared" si="51"/>
        <v>0</v>
      </c>
      <c r="AE289" s="838">
        <f t="shared" si="52"/>
        <v>1981.3395</v>
      </c>
      <c r="AF289" s="838">
        <f t="shared" si="53"/>
        <v>1886.99</v>
      </c>
      <c r="AG289" s="839">
        <f t="shared" si="55"/>
        <v>0</v>
      </c>
      <c r="AH289" s="839">
        <f t="shared" si="56"/>
        <v>1981.34</v>
      </c>
      <c r="AI289" s="840">
        <f t="shared" si="54"/>
        <v>37.74</v>
      </c>
      <c r="AJ289" s="841">
        <f t="shared" si="57"/>
        <v>2.0000105988902964E-2</v>
      </c>
      <c r="AK289" s="446"/>
      <c r="AL289" s="446"/>
      <c r="AM289" s="446"/>
      <c r="AN289" s="446"/>
    </row>
    <row r="290" spans="1:51" ht="15" customHeight="1" x14ac:dyDescent="0.25">
      <c r="A290" s="370">
        <v>285</v>
      </c>
      <c r="B290" s="371" t="s">
        <v>1392</v>
      </c>
      <c r="C290" s="370" t="s">
        <v>1393</v>
      </c>
      <c r="D290" s="370" t="s">
        <v>1394</v>
      </c>
      <c r="E290" s="370" t="s">
        <v>321</v>
      </c>
      <c r="F290" s="370" t="s">
        <v>322</v>
      </c>
      <c r="G290" s="386">
        <f>INDEX('CTR1 Data Previous Year'!$B:$B,MATCH($D290,'CTR1 Data Previous Year'!$A:$A,0),1)</f>
        <v>15263391</v>
      </c>
      <c r="H290" s="386">
        <f>INDEX('CTR1 Data Previous Year'!$C:$C,MATCH($D290,'CTR1 Data Previous Year'!$A:$A,0),1)</f>
        <v>1364045</v>
      </c>
      <c r="I290" s="386">
        <f>INDEX('CTR1 Data Previous Year'!$D:$D,MATCH($D290,'CTR1 Data Previous Year'!$A:$A,0),1)</f>
        <v>4916621</v>
      </c>
      <c r="J290" s="386">
        <f>INDEX('CTR1 Data Previous Year'!$E:$E,MATCH($D290,'CTR1 Data Previous Year'!$A:$A,0),1)</f>
        <v>10346770</v>
      </c>
      <c r="K290" s="386">
        <f>INDEX('CTR1 Data Previous Year'!$F:$F,MATCH($D290,'CTR1 Data Previous Year'!$A:$A,0),1)</f>
        <v>0</v>
      </c>
      <c r="L290" s="465">
        <f>INDEX('CTR1 Data Previous Year'!$G:$G,MATCH($D290,'CTR1 Data Previous Year'!$A:$A,0),1)</f>
        <v>54820.24</v>
      </c>
      <c r="M290" s="455">
        <f>INDEX('CTR1 Data Previous Year'!$H:$H,MATCH($D290,'CTR1 Data Previous Year'!$A:$A,0),1)</f>
        <v>0.99299999999999999</v>
      </c>
      <c r="N290" s="465">
        <f>INDEX('CTR1 Data Previous Year'!$I:$I,MATCH($D290,'CTR1 Data Previous Year'!$A:$A,0),1)</f>
        <v>450</v>
      </c>
      <c r="O290" s="160" t="s">
        <v>411</v>
      </c>
      <c r="P290" s="817" t="s">
        <v>412</v>
      </c>
      <c r="Q290" s="820" t="s">
        <v>413</v>
      </c>
      <c r="R290" s="817" t="s">
        <v>414</v>
      </c>
      <c r="S290" s="821" t="s">
        <v>415</v>
      </c>
      <c r="T290" s="817" t="s">
        <v>416</v>
      </c>
      <c r="U290" s="160"/>
      <c r="V290" s="817"/>
      <c r="W290" s="465">
        <f>INDEX('CTR1 Data Previous Year'!$J:$J,MATCH($D290,'CTR1 Data Previous Year'!$A:$A,0),1)</f>
        <v>54886.5</v>
      </c>
      <c r="X290" s="465">
        <f>INDEX('CTR1 Data Previous Year'!$K:$K,MATCH($D290,'CTR1 Data Previous Year'!$A:$A,0),1)</f>
        <v>278.08999999999997</v>
      </c>
      <c r="Y290" s="465">
        <f>INDEX('CTR1 Data Previous Year'!$L:$L,MATCH($D290,'CTR1 Data Previous Year'!$A:$A,0),1)</f>
        <v>188.51</v>
      </c>
      <c r="Z290" s="836" t="str">
        <f t="shared" si="47"/>
        <v>N</v>
      </c>
      <c r="AA290" s="837" t="str">
        <f t="shared" si="48"/>
        <v>N</v>
      </c>
      <c r="AB290" s="838">
        <f t="shared" si="49"/>
        <v>188.51</v>
      </c>
      <c r="AC290" s="868">
        <f t="shared" si="50"/>
        <v>0</v>
      </c>
      <c r="AD290" s="876">
        <f t="shared" si="51"/>
        <v>0</v>
      </c>
      <c r="AE290" s="838">
        <f t="shared" si="52"/>
        <v>194.1653</v>
      </c>
      <c r="AF290" s="838">
        <f t="shared" si="53"/>
        <v>193.51</v>
      </c>
      <c r="AG290" s="839">
        <f t="shared" si="55"/>
        <v>0</v>
      </c>
      <c r="AH290" s="839">
        <f t="shared" si="56"/>
        <v>194.17</v>
      </c>
      <c r="AI290" s="840">
        <f t="shared" si="54"/>
        <v>0</v>
      </c>
      <c r="AJ290" s="841">
        <f t="shared" si="57"/>
        <v>0</v>
      </c>
      <c r="AK290" s="446"/>
      <c r="AL290" s="446"/>
      <c r="AM290" s="446"/>
      <c r="AN290" s="446"/>
    </row>
    <row r="291" spans="1:51" ht="15" customHeight="1" x14ac:dyDescent="0.25">
      <c r="A291" s="370">
        <v>286</v>
      </c>
      <c r="B291" s="371" t="s">
        <v>417</v>
      </c>
      <c r="C291" s="370" t="s">
        <v>1395</v>
      </c>
      <c r="D291" s="370" t="s">
        <v>1396</v>
      </c>
      <c r="E291" s="370" t="s">
        <v>339</v>
      </c>
      <c r="F291" s="370" t="s">
        <v>322</v>
      </c>
      <c r="G291" s="386">
        <f>INDEX('CTR1 Data Previous Year'!$B:$B,MATCH($D291,'CTR1 Data Previous Year'!$A:$A,0),1)</f>
        <v>103574820</v>
      </c>
      <c r="H291" s="386">
        <f>INDEX('CTR1 Data Previous Year'!$C:$C,MATCH($D291,'CTR1 Data Previous Year'!$A:$A,0),1)</f>
        <v>1478467</v>
      </c>
      <c r="I291" s="386">
        <f>INDEX('CTR1 Data Previous Year'!$D:$D,MATCH($D291,'CTR1 Data Previous Year'!$A:$A,0),1)</f>
        <v>2391520</v>
      </c>
      <c r="J291" s="386">
        <f>INDEX('CTR1 Data Previous Year'!$E:$E,MATCH($D291,'CTR1 Data Previous Year'!$A:$A,0),1)</f>
        <v>101183300</v>
      </c>
      <c r="K291" s="386">
        <f>INDEX('CTR1 Data Previous Year'!$F:$F,MATCH($D291,'CTR1 Data Previous Year'!$A:$A,0),1)</f>
        <v>166649</v>
      </c>
      <c r="L291" s="465">
        <f>INDEX('CTR1 Data Previous Year'!$G:$G,MATCH($D291,'CTR1 Data Previous Year'!$A:$A,0),1)</f>
        <v>72692.86</v>
      </c>
      <c r="M291" s="455">
        <f>INDEX('CTR1 Data Previous Year'!$H:$H,MATCH($D291,'CTR1 Data Previous Year'!$A:$A,0),1)</f>
        <v>0.98</v>
      </c>
      <c r="N291" s="465">
        <f>INDEX('CTR1 Data Previous Year'!$I:$I,MATCH($D291,'CTR1 Data Previous Year'!$A:$A,0),1)</f>
        <v>0</v>
      </c>
      <c r="O291" s="160" t="s">
        <v>129</v>
      </c>
      <c r="P291" s="817"/>
      <c r="Q291" s="820" t="s">
        <v>500</v>
      </c>
      <c r="R291" s="817" t="s">
        <v>501</v>
      </c>
      <c r="S291" s="821" t="s">
        <v>502</v>
      </c>
      <c r="T291" s="817" t="s">
        <v>503</v>
      </c>
      <c r="U291" s="160"/>
      <c r="V291" s="817"/>
      <c r="W291" s="465">
        <f>INDEX('CTR1 Data Previous Year'!$J:$J,MATCH($D291,'CTR1 Data Previous Year'!$A:$A,0),1)</f>
        <v>71239</v>
      </c>
      <c r="X291" s="465">
        <f>INDEX('CTR1 Data Previous Year'!$K:$K,MATCH($D291,'CTR1 Data Previous Year'!$A:$A,0),1)</f>
        <v>1453.91</v>
      </c>
      <c r="Y291" s="465">
        <f>INDEX('CTR1 Data Previous Year'!$L:$L,MATCH($D291,'CTR1 Data Previous Year'!$A:$A,0),1)</f>
        <v>1420.34</v>
      </c>
      <c r="Z291" s="836" t="str">
        <f t="shared" si="47"/>
        <v>Y</v>
      </c>
      <c r="AA291" s="837" t="str">
        <f t="shared" si="48"/>
        <v>N</v>
      </c>
      <c r="AB291" s="838">
        <f t="shared" si="49"/>
        <v>1420.34</v>
      </c>
      <c r="AC291" s="868">
        <f t="shared" si="50"/>
        <v>7.4999999999999997E-2</v>
      </c>
      <c r="AD291" s="876">
        <f t="shared" si="51"/>
        <v>0</v>
      </c>
      <c r="AE291" s="838">
        <f t="shared" si="52"/>
        <v>1491.357</v>
      </c>
      <c r="AF291" s="838">
        <f t="shared" si="53"/>
        <v>1420.34</v>
      </c>
      <c r="AG291" s="839">
        <f t="shared" si="55"/>
        <v>1526.8654999999999</v>
      </c>
      <c r="AH291" s="839">
        <f t="shared" si="56"/>
        <v>1526.87</v>
      </c>
      <c r="AI291" s="840">
        <f t="shared" si="54"/>
        <v>28.41</v>
      </c>
      <c r="AJ291" s="841">
        <f t="shared" si="57"/>
        <v>2.0002252981680443E-2</v>
      </c>
      <c r="AK291" s="446"/>
      <c r="AL291" s="446"/>
      <c r="AM291" s="446"/>
      <c r="AN291" s="446"/>
      <c r="AY291" s="444"/>
    </row>
    <row r="292" spans="1:51" ht="15" customHeight="1" x14ac:dyDescent="0.25">
      <c r="A292" s="370">
        <v>287</v>
      </c>
      <c r="B292" s="371" t="s">
        <v>1397</v>
      </c>
      <c r="C292" s="370" t="s">
        <v>1398</v>
      </c>
      <c r="D292" s="370" t="s">
        <v>1399</v>
      </c>
      <c r="E292" s="370" t="s">
        <v>353</v>
      </c>
      <c r="F292" s="370" t="s">
        <v>463</v>
      </c>
      <c r="G292" s="386">
        <f>INDEX('CTR1 Data Previous Year'!$B:$B,MATCH($D292,'CTR1 Data Previous Year'!$A:$A,0),1)</f>
        <v>194098639</v>
      </c>
      <c r="H292" s="386">
        <f>INDEX('CTR1 Data Previous Year'!$C:$C,MATCH($D292,'CTR1 Data Previous Year'!$A:$A,0),1)</f>
        <v>0</v>
      </c>
      <c r="I292" s="386">
        <f>INDEX('CTR1 Data Previous Year'!$D:$D,MATCH($D292,'CTR1 Data Previous Year'!$A:$A,0),1)</f>
        <v>0</v>
      </c>
      <c r="J292" s="386">
        <f>INDEX('CTR1 Data Previous Year'!$E:$E,MATCH($D292,'CTR1 Data Previous Year'!$A:$A,0),1)</f>
        <v>194098639</v>
      </c>
      <c r="K292" s="386">
        <f>INDEX('CTR1 Data Previous Year'!$F:$F,MATCH($D292,'CTR1 Data Previous Year'!$A:$A,0),1)</f>
        <v>43180906.136179999</v>
      </c>
      <c r="L292" s="465">
        <f>INDEX('CTR1 Data Previous Year'!$G:$G,MATCH($D292,'CTR1 Data Previous Year'!$A:$A,0),1)</f>
        <v>100937.07</v>
      </c>
      <c r="M292" s="455">
        <f>INDEX('CTR1 Data Previous Year'!$H:$H,MATCH($D292,'CTR1 Data Previous Year'!$A:$A,0),1)</f>
        <v>0.97</v>
      </c>
      <c r="N292" s="465">
        <f>INDEX('CTR1 Data Previous Year'!$I:$I,MATCH($D292,'CTR1 Data Previous Year'!$A:$A,0),1)</f>
        <v>0</v>
      </c>
      <c r="O292" s="160" t="s">
        <v>129</v>
      </c>
      <c r="P292" s="817"/>
      <c r="Q292" s="820" t="s">
        <v>927</v>
      </c>
      <c r="R292" s="817" t="s">
        <v>928</v>
      </c>
      <c r="S292" s="821" t="s">
        <v>929</v>
      </c>
      <c r="T292" s="817" t="s">
        <v>930</v>
      </c>
      <c r="U292" s="822" t="s">
        <v>834</v>
      </c>
      <c r="V292" s="817" t="s">
        <v>835</v>
      </c>
      <c r="W292" s="465">
        <f>INDEX('CTR1 Data Previous Year'!$J:$J,MATCH($D292,'CTR1 Data Previous Year'!$A:$A,0),1)</f>
        <v>97908.96</v>
      </c>
      <c r="X292" s="465">
        <f>INDEX('CTR1 Data Previous Year'!$K:$K,MATCH($D292,'CTR1 Data Previous Year'!$A:$A,0),1)</f>
        <v>1982.44</v>
      </c>
      <c r="Y292" s="465">
        <f>INDEX('CTR1 Data Previous Year'!$L:$L,MATCH($D292,'CTR1 Data Previous Year'!$A:$A,0),1)</f>
        <v>1982.44</v>
      </c>
      <c r="Z292" s="836" t="str">
        <f t="shared" si="47"/>
        <v>N</v>
      </c>
      <c r="AA292" s="837" t="str">
        <f t="shared" si="48"/>
        <v>N</v>
      </c>
      <c r="AB292" s="838">
        <f t="shared" si="49"/>
        <v>1982.44</v>
      </c>
      <c r="AC292" s="868">
        <f t="shared" si="50"/>
        <v>0</v>
      </c>
      <c r="AD292" s="876">
        <f t="shared" si="51"/>
        <v>0</v>
      </c>
      <c r="AE292" s="838">
        <f t="shared" si="52"/>
        <v>2081.5620000000004</v>
      </c>
      <c r="AF292" s="838">
        <f t="shared" si="53"/>
        <v>1982.44</v>
      </c>
      <c r="AG292" s="839">
        <f t="shared" si="55"/>
        <v>0</v>
      </c>
      <c r="AH292" s="839">
        <f t="shared" si="56"/>
        <v>2081.56</v>
      </c>
      <c r="AI292" s="840">
        <f t="shared" si="54"/>
        <v>39.65</v>
      </c>
      <c r="AJ292" s="841">
        <f t="shared" si="57"/>
        <v>2.0000605314662738E-2</v>
      </c>
      <c r="AK292" s="446"/>
      <c r="AL292" s="446"/>
      <c r="AM292" s="446"/>
      <c r="AN292" s="446"/>
    </row>
    <row r="293" spans="1:51" ht="15" customHeight="1" x14ac:dyDescent="0.25">
      <c r="A293" s="370">
        <v>288</v>
      </c>
      <c r="B293" s="371" t="s">
        <v>1400</v>
      </c>
      <c r="C293" s="370" t="s">
        <v>1401</v>
      </c>
      <c r="D293" s="370" t="s">
        <v>1402</v>
      </c>
      <c r="E293" s="370" t="s">
        <v>321</v>
      </c>
      <c r="F293" s="370" t="s">
        <v>322</v>
      </c>
      <c r="G293" s="386">
        <f>INDEX('CTR1 Data Previous Year'!$B:$B,MATCH($D293,'CTR1 Data Previous Year'!$A:$A,0),1)</f>
        <v>12782897</v>
      </c>
      <c r="H293" s="386">
        <f>INDEX('CTR1 Data Previous Year'!$C:$C,MATCH($D293,'CTR1 Data Previous Year'!$A:$A,0),1)</f>
        <v>0</v>
      </c>
      <c r="I293" s="386">
        <f>INDEX('CTR1 Data Previous Year'!$D:$D,MATCH($D293,'CTR1 Data Previous Year'!$A:$A,0),1)</f>
        <v>0</v>
      </c>
      <c r="J293" s="386">
        <f>INDEX('CTR1 Data Previous Year'!$E:$E,MATCH($D293,'CTR1 Data Previous Year'!$A:$A,0),1)</f>
        <v>12782897</v>
      </c>
      <c r="K293" s="386">
        <f>INDEX('CTR1 Data Previous Year'!$F:$F,MATCH($D293,'CTR1 Data Previous Year'!$A:$A,0),1)</f>
        <v>0</v>
      </c>
      <c r="L293" s="465">
        <f>INDEX('CTR1 Data Previous Year'!$G:$G,MATCH($D293,'CTR1 Data Previous Year'!$A:$A,0),1)</f>
        <v>43658</v>
      </c>
      <c r="M293" s="455">
        <f>INDEX('CTR1 Data Previous Year'!$H:$H,MATCH($D293,'CTR1 Data Previous Year'!$A:$A,0),1)</f>
        <v>0.98</v>
      </c>
      <c r="N293" s="465">
        <f>INDEX('CTR1 Data Previous Year'!$I:$I,MATCH($D293,'CTR1 Data Previous Year'!$A:$A,0),1)</f>
        <v>95</v>
      </c>
      <c r="O293" s="160" t="s">
        <v>766</v>
      </c>
      <c r="P293" s="817" t="s">
        <v>767</v>
      </c>
      <c r="Q293" s="820" t="s">
        <v>768</v>
      </c>
      <c r="R293" s="817" t="s">
        <v>769</v>
      </c>
      <c r="S293" s="821" t="s">
        <v>129</v>
      </c>
      <c r="T293" s="817"/>
      <c r="U293" s="160"/>
      <c r="V293" s="817"/>
      <c r="W293" s="465">
        <f>INDEX('CTR1 Data Previous Year'!$J:$J,MATCH($D293,'CTR1 Data Previous Year'!$A:$A,0),1)</f>
        <v>42879.839999999997</v>
      </c>
      <c r="X293" s="465">
        <f>INDEX('CTR1 Data Previous Year'!$K:$K,MATCH($D293,'CTR1 Data Previous Year'!$A:$A,0),1)</f>
        <v>298.11</v>
      </c>
      <c r="Y293" s="465">
        <f>INDEX('CTR1 Data Previous Year'!$L:$L,MATCH($D293,'CTR1 Data Previous Year'!$A:$A,0),1)</f>
        <v>298.11</v>
      </c>
      <c r="Z293" s="836" t="str">
        <f t="shared" si="47"/>
        <v>N</v>
      </c>
      <c r="AA293" s="837" t="str">
        <f t="shared" si="48"/>
        <v>N</v>
      </c>
      <c r="AB293" s="838">
        <f t="shared" si="49"/>
        <v>298.11</v>
      </c>
      <c r="AC293" s="868">
        <f t="shared" si="50"/>
        <v>0</v>
      </c>
      <c r="AD293" s="876">
        <f t="shared" si="51"/>
        <v>0</v>
      </c>
      <c r="AE293" s="838">
        <f t="shared" si="52"/>
        <v>307.05330000000004</v>
      </c>
      <c r="AF293" s="838">
        <f t="shared" si="53"/>
        <v>303.11</v>
      </c>
      <c r="AG293" s="839">
        <f t="shared" si="55"/>
        <v>0</v>
      </c>
      <c r="AH293" s="839">
        <f t="shared" si="56"/>
        <v>307.05</v>
      </c>
      <c r="AI293" s="840">
        <f t="shared" si="54"/>
        <v>0</v>
      </c>
      <c r="AJ293" s="841">
        <f t="shared" si="57"/>
        <v>0</v>
      </c>
      <c r="AK293" s="446"/>
      <c r="AL293" s="446"/>
      <c r="AM293" s="446"/>
      <c r="AN293" s="446"/>
    </row>
    <row r="294" spans="1:51" ht="15" customHeight="1" x14ac:dyDescent="0.25">
      <c r="A294" s="370">
        <v>289</v>
      </c>
      <c r="B294" s="371" t="s">
        <v>1403</v>
      </c>
      <c r="C294" s="370" t="s">
        <v>1404</v>
      </c>
      <c r="D294" s="370" t="s">
        <v>1405</v>
      </c>
      <c r="E294" s="370" t="s">
        <v>339</v>
      </c>
      <c r="F294" s="370" t="s">
        <v>322</v>
      </c>
      <c r="G294" s="386">
        <f>INDEX('CTR1 Data Previous Year'!$B:$B,MATCH($D294,'CTR1 Data Previous Year'!$A:$A,0),1)</f>
        <v>156067026</v>
      </c>
      <c r="H294" s="386">
        <f>INDEX('CTR1 Data Previous Year'!$C:$C,MATCH($D294,'CTR1 Data Previous Year'!$A:$A,0),1)</f>
        <v>0</v>
      </c>
      <c r="I294" s="386">
        <f>INDEX('CTR1 Data Previous Year'!$D:$D,MATCH($D294,'CTR1 Data Previous Year'!$A:$A,0),1)</f>
        <v>5870735</v>
      </c>
      <c r="J294" s="386">
        <f>INDEX('CTR1 Data Previous Year'!$E:$E,MATCH($D294,'CTR1 Data Previous Year'!$A:$A,0),1)</f>
        <v>150196291</v>
      </c>
      <c r="K294" s="386">
        <f>INDEX('CTR1 Data Previous Year'!$F:$F,MATCH($D294,'CTR1 Data Previous Year'!$A:$A,0),1)</f>
        <v>0</v>
      </c>
      <c r="L294" s="465">
        <f>INDEX('CTR1 Data Previous Year'!$G:$G,MATCH($D294,'CTR1 Data Previous Year'!$A:$A,0),1)</f>
        <v>78383.55</v>
      </c>
      <c r="M294" s="455">
        <f>INDEX('CTR1 Data Previous Year'!$H:$H,MATCH($D294,'CTR1 Data Previous Year'!$A:$A,0),1)</f>
        <v>0.99229999999999996</v>
      </c>
      <c r="N294" s="465">
        <f>INDEX('CTR1 Data Previous Year'!$I:$I,MATCH($D294,'CTR1 Data Previous Year'!$A:$A,0),1)</f>
        <v>0</v>
      </c>
      <c r="O294" s="160" t="s">
        <v>129</v>
      </c>
      <c r="P294" s="817"/>
      <c r="Q294" s="820" t="s">
        <v>500</v>
      </c>
      <c r="R294" s="817" t="s">
        <v>501</v>
      </c>
      <c r="S294" s="821" t="s">
        <v>502</v>
      </c>
      <c r="T294" s="817" t="s">
        <v>503</v>
      </c>
      <c r="U294" s="160"/>
      <c r="V294" s="817"/>
      <c r="W294" s="465">
        <f>INDEX('CTR1 Data Previous Year'!$J:$J,MATCH($D294,'CTR1 Data Previous Year'!$A:$A,0),1)</f>
        <v>77780</v>
      </c>
      <c r="X294" s="465">
        <f>INDEX('CTR1 Data Previous Year'!$K:$K,MATCH($D294,'CTR1 Data Previous Year'!$A:$A,0),1)</f>
        <v>2006.52</v>
      </c>
      <c r="Y294" s="465">
        <f>INDEX('CTR1 Data Previous Year'!$L:$L,MATCH($D294,'CTR1 Data Previous Year'!$A:$A,0),1)</f>
        <v>1931.04</v>
      </c>
      <c r="Z294" s="836" t="str">
        <f t="shared" si="47"/>
        <v>N</v>
      </c>
      <c r="AA294" s="837" t="str">
        <f t="shared" si="48"/>
        <v>N</v>
      </c>
      <c r="AB294" s="838">
        <f t="shared" si="49"/>
        <v>1931.04</v>
      </c>
      <c r="AC294" s="868">
        <f t="shared" si="50"/>
        <v>0</v>
      </c>
      <c r="AD294" s="876">
        <f t="shared" si="51"/>
        <v>0</v>
      </c>
      <c r="AE294" s="838">
        <f t="shared" si="52"/>
        <v>2027.5920000000001</v>
      </c>
      <c r="AF294" s="838">
        <f t="shared" si="53"/>
        <v>1931.04</v>
      </c>
      <c r="AG294" s="839">
        <f t="shared" si="55"/>
        <v>0</v>
      </c>
      <c r="AH294" s="839">
        <f t="shared" si="56"/>
        <v>2027.59</v>
      </c>
      <c r="AI294" s="840">
        <f t="shared" si="54"/>
        <v>38.619999999999997</v>
      </c>
      <c r="AJ294" s="841">
        <f t="shared" si="57"/>
        <v>1.9999585715469382E-2</v>
      </c>
      <c r="AK294" s="446"/>
      <c r="AL294" s="446"/>
      <c r="AM294" s="446"/>
      <c r="AN294" s="446"/>
    </row>
    <row r="295" spans="1:51" ht="15" customHeight="1" x14ac:dyDescent="0.25">
      <c r="A295" s="370">
        <v>290</v>
      </c>
      <c r="B295" s="371" t="s">
        <v>1406</v>
      </c>
      <c r="C295" s="370" t="s">
        <v>1407</v>
      </c>
      <c r="D295" s="370" t="s">
        <v>1408</v>
      </c>
      <c r="E295" s="370" t="s">
        <v>353</v>
      </c>
      <c r="F295" s="370" t="s">
        <v>444</v>
      </c>
      <c r="G295" s="386">
        <f>INDEX('CTR1 Data Previous Year'!$B:$B,MATCH($D295,'CTR1 Data Previous Year'!$A:$A,0),1)</f>
        <v>142665685</v>
      </c>
      <c r="H295" s="386">
        <f>INDEX('CTR1 Data Previous Year'!$C:$C,MATCH($D295,'CTR1 Data Previous Year'!$A:$A,0),1)</f>
        <v>0</v>
      </c>
      <c r="I295" s="386">
        <f>INDEX('CTR1 Data Previous Year'!$D:$D,MATCH($D295,'CTR1 Data Previous Year'!$A:$A,0),1)</f>
        <v>0</v>
      </c>
      <c r="J295" s="386">
        <f>INDEX('CTR1 Data Previous Year'!$E:$E,MATCH($D295,'CTR1 Data Previous Year'!$A:$A,0),1)</f>
        <v>142665685</v>
      </c>
      <c r="K295" s="386">
        <f>INDEX('CTR1 Data Previous Year'!$F:$F,MATCH($D295,'CTR1 Data Previous Year'!$A:$A,0),1)</f>
        <v>11317508</v>
      </c>
      <c r="L295" s="465">
        <f>INDEX('CTR1 Data Previous Year'!$G:$G,MATCH($D295,'CTR1 Data Previous Year'!$A:$A,0),1)</f>
        <v>69450.460000000006</v>
      </c>
      <c r="M295" s="455">
        <f>INDEX('CTR1 Data Previous Year'!$H:$H,MATCH($D295,'CTR1 Data Previous Year'!$A:$A,0),1)</f>
        <v>0.97619999999999996</v>
      </c>
      <c r="N295" s="465">
        <f>INDEX('CTR1 Data Previous Year'!$I:$I,MATCH($D295,'CTR1 Data Previous Year'!$A:$A,0),1)</f>
        <v>0</v>
      </c>
      <c r="O295" s="160" t="s">
        <v>129</v>
      </c>
      <c r="P295" s="817"/>
      <c r="Q295" s="820" t="s">
        <v>445</v>
      </c>
      <c r="R295" s="817" t="s">
        <v>446</v>
      </c>
      <c r="S295" s="821" t="s">
        <v>447</v>
      </c>
      <c r="T295" s="817" t="s">
        <v>448</v>
      </c>
      <c r="U295" s="822" t="s">
        <v>449</v>
      </c>
      <c r="V295" s="817" t="s">
        <v>450</v>
      </c>
      <c r="W295" s="465">
        <f>INDEX('CTR1 Data Previous Year'!$J:$J,MATCH($D295,'CTR1 Data Previous Year'!$A:$A,0),1)</f>
        <v>67797.539999999994</v>
      </c>
      <c r="X295" s="465">
        <f>INDEX('CTR1 Data Previous Year'!$K:$K,MATCH($D295,'CTR1 Data Previous Year'!$A:$A,0),1)</f>
        <v>2104.29</v>
      </c>
      <c r="Y295" s="465">
        <f>INDEX('CTR1 Data Previous Year'!$L:$L,MATCH($D295,'CTR1 Data Previous Year'!$A:$A,0),1)</f>
        <v>2104.29</v>
      </c>
      <c r="Z295" s="836" t="str">
        <f t="shared" si="47"/>
        <v>N</v>
      </c>
      <c r="AA295" s="837" t="str">
        <f t="shared" si="48"/>
        <v>N</v>
      </c>
      <c r="AB295" s="838">
        <f t="shared" si="49"/>
        <v>2104.29</v>
      </c>
      <c r="AC295" s="868">
        <f t="shared" si="50"/>
        <v>0</v>
      </c>
      <c r="AD295" s="876">
        <f t="shared" si="51"/>
        <v>0</v>
      </c>
      <c r="AE295" s="838">
        <f t="shared" si="52"/>
        <v>2209.5045</v>
      </c>
      <c r="AF295" s="838">
        <f t="shared" si="53"/>
        <v>2104.29</v>
      </c>
      <c r="AG295" s="839">
        <f t="shared" si="55"/>
        <v>0</v>
      </c>
      <c r="AH295" s="839">
        <f t="shared" si="56"/>
        <v>2209.5</v>
      </c>
      <c r="AI295" s="840">
        <f t="shared" si="54"/>
        <v>42.09</v>
      </c>
      <c r="AJ295" s="841">
        <f t="shared" si="57"/>
        <v>2.0001995922615232E-2</v>
      </c>
      <c r="AK295" s="446"/>
      <c r="AL295" s="446"/>
      <c r="AM295" s="446"/>
      <c r="AN295" s="446"/>
    </row>
    <row r="296" spans="1:51" ht="15" customHeight="1" x14ac:dyDescent="0.25">
      <c r="A296" s="370">
        <v>291</v>
      </c>
      <c r="B296" s="371" t="s">
        <v>1409</v>
      </c>
      <c r="C296" s="370" t="s">
        <v>1410</v>
      </c>
      <c r="D296" s="370" t="s">
        <v>1411</v>
      </c>
      <c r="E296" s="370" t="s">
        <v>321</v>
      </c>
      <c r="F296" s="370" t="s">
        <v>444</v>
      </c>
      <c r="G296" s="386">
        <f>INDEX('CTR1 Data Previous Year'!$B:$B,MATCH($D296,'CTR1 Data Previous Year'!$A:$A,0),1)</f>
        <v>7536868</v>
      </c>
      <c r="H296" s="386">
        <f>INDEX('CTR1 Data Previous Year'!$C:$C,MATCH($D296,'CTR1 Data Previous Year'!$A:$A,0),1)</f>
        <v>0</v>
      </c>
      <c r="I296" s="386">
        <f>INDEX('CTR1 Data Previous Year'!$D:$D,MATCH($D296,'CTR1 Data Previous Year'!$A:$A,0),1)</f>
        <v>169690</v>
      </c>
      <c r="J296" s="386">
        <f>INDEX('CTR1 Data Previous Year'!$E:$E,MATCH($D296,'CTR1 Data Previous Year'!$A:$A,0),1)</f>
        <v>7367178</v>
      </c>
      <c r="K296" s="386">
        <f>INDEX('CTR1 Data Previous Year'!$F:$F,MATCH($D296,'CTR1 Data Previous Year'!$A:$A,0),1)</f>
        <v>0</v>
      </c>
      <c r="L296" s="465">
        <f>INDEX('CTR1 Data Previous Year'!$G:$G,MATCH($D296,'CTR1 Data Previous Year'!$A:$A,0),1)</f>
        <v>33824.79</v>
      </c>
      <c r="M296" s="455">
        <f>INDEX('CTR1 Data Previous Year'!$H:$H,MATCH($D296,'CTR1 Data Previous Year'!$A:$A,0),1)</f>
        <v>0.99250000000000005</v>
      </c>
      <c r="N296" s="465">
        <f>INDEX('CTR1 Data Previous Year'!$I:$I,MATCH($D296,'CTR1 Data Previous Year'!$A:$A,0),1)</f>
        <v>0</v>
      </c>
      <c r="O296" s="160" t="s">
        <v>548</v>
      </c>
      <c r="P296" s="817" t="s">
        <v>549</v>
      </c>
      <c r="Q296" s="820" t="s">
        <v>550</v>
      </c>
      <c r="R296" s="817" t="s">
        <v>551</v>
      </c>
      <c r="S296" s="821" t="s">
        <v>552</v>
      </c>
      <c r="T296" s="817" t="s">
        <v>553</v>
      </c>
      <c r="U296" s="160"/>
      <c r="V296" s="817"/>
      <c r="W296" s="465">
        <f>INDEX('CTR1 Data Previous Year'!$J:$J,MATCH($D296,'CTR1 Data Previous Year'!$A:$A,0),1)</f>
        <v>33571.1</v>
      </c>
      <c r="X296" s="465">
        <f>INDEX('CTR1 Data Previous Year'!$K:$K,MATCH($D296,'CTR1 Data Previous Year'!$A:$A,0),1)</f>
        <v>224.5</v>
      </c>
      <c r="Y296" s="465">
        <f>INDEX('CTR1 Data Previous Year'!$L:$L,MATCH($D296,'CTR1 Data Previous Year'!$A:$A,0),1)</f>
        <v>219.45</v>
      </c>
      <c r="Z296" s="836" t="str">
        <f t="shared" si="47"/>
        <v>N</v>
      </c>
      <c r="AA296" s="837" t="str">
        <f t="shared" si="48"/>
        <v>N</v>
      </c>
      <c r="AB296" s="838">
        <f t="shared" si="49"/>
        <v>219.45</v>
      </c>
      <c r="AC296" s="868">
        <f t="shared" si="50"/>
        <v>0</v>
      </c>
      <c r="AD296" s="876">
        <f t="shared" si="51"/>
        <v>0</v>
      </c>
      <c r="AE296" s="838">
        <f t="shared" si="52"/>
        <v>226.0335</v>
      </c>
      <c r="AF296" s="838">
        <f t="shared" si="53"/>
        <v>224.45</v>
      </c>
      <c r="AG296" s="839">
        <f t="shared" si="55"/>
        <v>0</v>
      </c>
      <c r="AH296" s="839">
        <f t="shared" si="56"/>
        <v>226.03</v>
      </c>
      <c r="AI296" s="840">
        <f t="shared" si="54"/>
        <v>0</v>
      </c>
      <c r="AJ296" s="841">
        <f t="shared" si="57"/>
        <v>0</v>
      </c>
      <c r="AK296" s="446"/>
      <c r="AL296" s="446"/>
      <c r="AM296" s="446"/>
      <c r="AN296" s="446"/>
    </row>
    <row r="297" spans="1:51" ht="15" customHeight="1" x14ac:dyDescent="0.25">
      <c r="A297" s="370">
        <v>292</v>
      </c>
      <c r="B297" s="371" t="s">
        <v>1412</v>
      </c>
      <c r="C297" s="370" t="s">
        <v>1413</v>
      </c>
      <c r="D297" s="370" t="s">
        <v>1414</v>
      </c>
      <c r="E297" s="370" t="s">
        <v>321</v>
      </c>
      <c r="F297" s="370" t="s">
        <v>322</v>
      </c>
      <c r="G297" s="386">
        <f>INDEX('CTR1 Data Previous Year'!$B:$B,MATCH($D297,'CTR1 Data Previous Year'!$A:$A,0),1)</f>
        <v>10879200</v>
      </c>
      <c r="H297" s="386">
        <f>INDEX('CTR1 Data Previous Year'!$C:$C,MATCH($D297,'CTR1 Data Previous Year'!$A:$A,0),1)</f>
        <v>0</v>
      </c>
      <c r="I297" s="386">
        <f>INDEX('CTR1 Data Previous Year'!$D:$D,MATCH($D297,'CTR1 Data Previous Year'!$A:$A,0),1)</f>
        <v>0</v>
      </c>
      <c r="J297" s="386">
        <f>INDEX('CTR1 Data Previous Year'!$E:$E,MATCH($D297,'CTR1 Data Previous Year'!$A:$A,0),1)</f>
        <v>10879200</v>
      </c>
      <c r="K297" s="386">
        <f>INDEX('CTR1 Data Previous Year'!$F:$F,MATCH($D297,'CTR1 Data Previous Year'!$A:$A,0),1)</f>
        <v>0</v>
      </c>
      <c r="L297" s="465">
        <f>INDEX('CTR1 Data Previous Year'!$G:$G,MATCH($D297,'CTR1 Data Previous Year'!$A:$A,0),1)</f>
        <v>40895.96</v>
      </c>
      <c r="M297" s="455">
        <f>INDEX('CTR1 Data Previous Year'!$H:$H,MATCH($D297,'CTR1 Data Previous Year'!$A:$A,0),1)</f>
        <v>0.96499999999999997</v>
      </c>
      <c r="N297" s="465">
        <f>INDEX('CTR1 Data Previous Year'!$I:$I,MATCH($D297,'CTR1 Data Previous Year'!$A:$A,0),1)</f>
        <v>0</v>
      </c>
      <c r="O297" s="160" t="s">
        <v>323</v>
      </c>
      <c r="P297" s="817" t="s">
        <v>324</v>
      </c>
      <c r="Q297" s="820" t="s">
        <v>325</v>
      </c>
      <c r="R297" s="817" t="s">
        <v>326</v>
      </c>
      <c r="S297" s="821" t="s">
        <v>129</v>
      </c>
      <c r="T297" s="817"/>
      <c r="U297" s="160"/>
      <c r="V297" s="817"/>
      <c r="W297" s="465">
        <f>INDEX('CTR1 Data Previous Year'!$J:$J,MATCH($D297,'CTR1 Data Previous Year'!$A:$A,0),1)</f>
        <v>39464.6</v>
      </c>
      <c r="X297" s="465">
        <f>INDEX('CTR1 Data Previous Year'!$K:$K,MATCH($D297,'CTR1 Data Previous Year'!$A:$A,0),1)</f>
        <v>275.67</v>
      </c>
      <c r="Y297" s="465">
        <f>INDEX('CTR1 Data Previous Year'!$L:$L,MATCH($D297,'CTR1 Data Previous Year'!$A:$A,0),1)</f>
        <v>275.67</v>
      </c>
      <c r="Z297" s="836" t="str">
        <f t="shared" si="47"/>
        <v>N</v>
      </c>
      <c r="AA297" s="837" t="str">
        <f t="shared" si="48"/>
        <v>N</v>
      </c>
      <c r="AB297" s="838">
        <f t="shared" si="49"/>
        <v>275.67</v>
      </c>
      <c r="AC297" s="868">
        <f t="shared" si="50"/>
        <v>0</v>
      </c>
      <c r="AD297" s="876">
        <f t="shared" si="51"/>
        <v>0</v>
      </c>
      <c r="AE297" s="838">
        <f t="shared" si="52"/>
        <v>283.94010000000003</v>
      </c>
      <c r="AF297" s="838">
        <f t="shared" si="53"/>
        <v>280.67</v>
      </c>
      <c r="AG297" s="839">
        <f t="shared" si="55"/>
        <v>0</v>
      </c>
      <c r="AH297" s="839">
        <f t="shared" si="56"/>
        <v>283.94</v>
      </c>
      <c r="AI297" s="840">
        <f t="shared" si="54"/>
        <v>0</v>
      </c>
      <c r="AJ297" s="841">
        <f t="shared" si="57"/>
        <v>0</v>
      </c>
      <c r="AK297" s="446"/>
      <c r="AL297" s="446"/>
      <c r="AM297" s="446"/>
      <c r="AN297" s="446"/>
    </row>
    <row r="298" spans="1:51" ht="15" customHeight="1" x14ac:dyDescent="0.25">
      <c r="A298" s="370">
        <v>293</v>
      </c>
      <c r="B298" s="371" t="s">
        <v>1415</v>
      </c>
      <c r="C298" s="370" t="s">
        <v>1416</v>
      </c>
      <c r="D298" s="370" t="s">
        <v>1417</v>
      </c>
      <c r="E298" s="370" t="s">
        <v>321</v>
      </c>
      <c r="F298" s="370" t="s">
        <v>444</v>
      </c>
      <c r="G298" s="386">
        <f>INDEX('CTR1 Data Previous Year'!$B:$B,MATCH($D298,'CTR1 Data Previous Year'!$A:$A,0),1)</f>
        <v>10299312</v>
      </c>
      <c r="H298" s="386">
        <f>INDEX('CTR1 Data Previous Year'!$C:$C,MATCH($D298,'CTR1 Data Previous Year'!$A:$A,0),1)</f>
        <v>0</v>
      </c>
      <c r="I298" s="386">
        <f>INDEX('CTR1 Data Previous Year'!$D:$D,MATCH($D298,'CTR1 Data Previous Year'!$A:$A,0),1)</f>
        <v>3405800</v>
      </c>
      <c r="J298" s="386">
        <f>INDEX('CTR1 Data Previous Year'!$E:$E,MATCH($D298,'CTR1 Data Previous Year'!$A:$A,0),1)</f>
        <v>6893512</v>
      </c>
      <c r="K298" s="386">
        <f>INDEX('CTR1 Data Previous Year'!$F:$F,MATCH($D298,'CTR1 Data Previous Year'!$A:$A,0),1)</f>
        <v>0</v>
      </c>
      <c r="L298" s="465">
        <f>INDEX('CTR1 Data Previous Year'!$G:$G,MATCH($D298,'CTR1 Data Previous Year'!$A:$A,0),1)</f>
        <v>55146</v>
      </c>
      <c r="M298" s="455">
        <f>INDEX('CTR1 Data Previous Year'!$H:$H,MATCH($D298,'CTR1 Data Previous Year'!$A:$A,0),1)</f>
        <v>0.97499999999999998</v>
      </c>
      <c r="N298" s="465">
        <f>INDEX('CTR1 Data Previous Year'!$I:$I,MATCH($D298,'CTR1 Data Previous Year'!$A:$A,0),1)</f>
        <v>0</v>
      </c>
      <c r="O298" s="160" t="s">
        <v>548</v>
      </c>
      <c r="P298" s="817" t="s">
        <v>549</v>
      </c>
      <c r="Q298" s="820" t="s">
        <v>550</v>
      </c>
      <c r="R298" s="817" t="s">
        <v>551</v>
      </c>
      <c r="S298" s="821" t="s">
        <v>552</v>
      </c>
      <c r="T298" s="817" t="s">
        <v>553</v>
      </c>
      <c r="U298" s="160"/>
      <c r="V298" s="817"/>
      <c r="W298" s="465">
        <f>INDEX('CTR1 Data Previous Year'!$J:$J,MATCH($D298,'CTR1 Data Previous Year'!$A:$A,0),1)</f>
        <v>53767.35</v>
      </c>
      <c r="X298" s="465">
        <f>INDEX('CTR1 Data Previous Year'!$K:$K,MATCH($D298,'CTR1 Data Previous Year'!$A:$A,0),1)</f>
        <v>191.55</v>
      </c>
      <c r="Y298" s="465">
        <f>INDEX('CTR1 Data Previous Year'!$L:$L,MATCH($D298,'CTR1 Data Previous Year'!$A:$A,0),1)</f>
        <v>128.21</v>
      </c>
      <c r="Z298" s="836" t="str">
        <f t="shared" si="47"/>
        <v>N</v>
      </c>
      <c r="AA298" s="837" t="str">
        <f t="shared" si="48"/>
        <v>N</v>
      </c>
      <c r="AB298" s="838">
        <f t="shared" si="49"/>
        <v>128.21</v>
      </c>
      <c r="AC298" s="868">
        <f t="shared" si="50"/>
        <v>0</v>
      </c>
      <c r="AD298" s="876">
        <f t="shared" si="51"/>
        <v>0</v>
      </c>
      <c r="AE298" s="838">
        <f t="shared" si="52"/>
        <v>132.05630000000002</v>
      </c>
      <c r="AF298" s="838">
        <f t="shared" si="53"/>
        <v>133.21</v>
      </c>
      <c r="AG298" s="839">
        <f t="shared" si="55"/>
        <v>0</v>
      </c>
      <c r="AH298" s="839">
        <f t="shared" si="56"/>
        <v>133.21</v>
      </c>
      <c r="AI298" s="840">
        <f t="shared" si="54"/>
        <v>0</v>
      </c>
      <c r="AJ298" s="841">
        <f t="shared" si="57"/>
        <v>0</v>
      </c>
      <c r="AK298" s="446"/>
      <c r="AL298" s="446"/>
      <c r="AM298" s="446"/>
      <c r="AN298" s="446"/>
    </row>
    <row r="299" spans="1:51" ht="15" customHeight="1" x14ac:dyDescent="0.25">
      <c r="A299" s="370">
        <v>294</v>
      </c>
      <c r="B299" s="371" t="s">
        <v>1418</v>
      </c>
      <c r="C299" s="370" t="s">
        <v>1419</v>
      </c>
      <c r="D299" s="370" t="s">
        <v>1420</v>
      </c>
      <c r="E299" s="370" t="s">
        <v>321</v>
      </c>
      <c r="F299" s="370" t="s">
        <v>463</v>
      </c>
      <c r="G299" s="386">
        <f>INDEX('CTR1 Data Previous Year'!$B:$B,MATCH($D299,'CTR1 Data Previous Year'!$A:$A,0),1)</f>
        <v>10455507</v>
      </c>
      <c r="H299" s="386">
        <f>INDEX('CTR1 Data Previous Year'!$C:$C,MATCH($D299,'CTR1 Data Previous Year'!$A:$A,0),1)</f>
        <v>0</v>
      </c>
      <c r="I299" s="386">
        <f>INDEX('CTR1 Data Previous Year'!$D:$D,MATCH($D299,'CTR1 Data Previous Year'!$A:$A,0),1)</f>
        <v>1182613</v>
      </c>
      <c r="J299" s="386">
        <f>INDEX('CTR1 Data Previous Year'!$E:$E,MATCH($D299,'CTR1 Data Previous Year'!$A:$A,0),1)</f>
        <v>9272894</v>
      </c>
      <c r="K299" s="386">
        <f>INDEX('CTR1 Data Previous Year'!$F:$F,MATCH($D299,'CTR1 Data Previous Year'!$A:$A,0),1)</f>
        <v>0</v>
      </c>
      <c r="L299" s="465">
        <f>INDEX('CTR1 Data Previous Year'!$G:$G,MATCH($D299,'CTR1 Data Previous Year'!$A:$A,0),1)</f>
        <v>41014.620000000003</v>
      </c>
      <c r="M299" s="455">
        <f>INDEX('CTR1 Data Previous Year'!$H:$H,MATCH($D299,'CTR1 Data Previous Year'!$A:$A,0),1)</f>
        <v>0.97</v>
      </c>
      <c r="N299" s="465">
        <f>INDEX('CTR1 Data Previous Year'!$I:$I,MATCH($D299,'CTR1 Data Previous Year'!$A:$A,0),1)</f>
        <v>0</v>
      </c>
      <c r="O299" s="160" t="s">
        <v>572</v>
      </c>
      <c r="P299" s="817" t="s">
        <v>573</v>
      </c>
      <c r="Q299" s="820" t="s">
        <v>464</v>
      </c>
      <c r="R299" s="817" t="s">
        <v>465</v>
      </c>
      <c r="S299" s="821" t="s">
        <v>466</v>
      </c>
      <c r="T299" s="817" t="s">
        <v>467</v>
      </c>
      <c r="U299" s="160"/>
      <c r="V299" s="817"/>
      <c r="W299" s="465">
        <f>INDEX('CTR1 Data Previous Year'!$J:$J,MATCH($D299,'CTR1 Data Previous Year'!$A:$A,0),1)</f>
        <v>39784.18</v>
      </c>
      <c r="X299" s="465">
        <f>INDEX('CTR1 Data Previous Year'!$K:$K,MATCH($D299,'CTR1 Data Previous Year'!$A:$A,0),1)</f>
        <v>262.81</v>
      </c>
      <c r="Y299" s="465">
        <f>INDEX('CTR1 Data Previous Year'!$L:$L,MATCH($D299,'CTR1 Data Previous Year'!$A:$A,0),1)</f>
        <v>233.08</v>
      </c>
      <c r="Z299" s="836" t="str">
        <f t="shared" si="47"/>
        <v>N</v>
      </c>
      <c r="AA299" s="837" t="str">
        <f t="shared" si="48"/>
        <v>N</v>
      </c>
      <c r="AB299" s="838">
        <f t="shared" si="49"/>
        <v>233.08</v>
      </c>
      <c r="AC299" s="868">
        <f t="shared" si="50"/>
        <v>0</v>
      </c>
      <c r="AD299" s="876">
        <f t="shared" si="51"/>
        <v>0</v>
      </c>
      <c r="AE299" s="838">
        <f t="shared" si="52"/>
        <v>240.07240000000002</v>
      </c>
      <c r="AF299" s="838">
        <f t="shared" si="53"/>
        <v>238.08</v>
      </c>
      <c r="AG299" s="839">
        <f t="shared" si="55"/>
        <v>0</v>
      </c>
      <c r="AH299" s="839">
        <f t="shared" si="56"/>
        <v>240.07</v>
      </c>
      <c r="AI299" s="840">
        <f t="shared" si="54"/>
        <v>0</v>
      </c>
      <c r="AJ299" s="841">
        <f t="shared" si="57"/>
        <v>0</v>
      </c>
      <c r="AK299" s="446"/>
      <c r="AL299" s="446"/>
      <c r="AM299" s="446"/>
      <c r="AN299" s="446"/>
    </row>
    <row r="300" spans="1:51" ht="15" customHeight="1" x14ac:dyDescent="0.25">
      <c r="A300" s="370">
        <v>295</v>
      </c>
      <c r="B300" s="371" t="s">
        <v>1421</v>
      </c>
      <c r="C300" s="370" t="s">
        <v>1422</v>
      </c>
      <c r="D300" s="370" t="s">
        <v>1423</v>
      </c>
      <c r="E300" s="370" t="s">
        <v>321</v>
      </c>
      <c r="F300" s="370" t="s">
        <v>444</v>
      </c>
      <c r="G300" s="386">
        <f>INDEX('CTR1 Data Previous Year'!$B:$B,MATCH($D300,'CTR1 Data Previous Year'!$A:$A,0),1)</f>
        <v>11239569</v>
      </c>
      <c r="H300" s="386">
        <f>INDEX('CTR1 Data Previous Year'!$C:$C,MATCH($D300,'CTR1 Data Previous Year'!$A:$A,0),1)</f>
        <v>0</v>
      </c>
      <c r="I300" s="386">
        <f>INDEX('CTR1 Data Previous Year'!$D:$D,MATCH($D300,'CTR1 Data Previous Year'!$A:$A,0),1)</f>
        <v>2384569</v>
      </c>
      <c r="J300" s="386">
        <f>INDEX('CTR1 Data Previous Year'!$E:$E,MATCH($D300,'CTR1 Data Previous Year'!$A:$A,0),1)</f>
        <v>8855000</v>
      </c>
      <c r="K300" s="386">
        <f>INDEX('CTR1 Data Previous Year'!$F:$F,MATCH($D300,'CTR1 Data Previous Year'!$A:$A,0),1)</f>
        <v>0</v>
      </c>
      <c r="L300" s="465">
        <f>INDEX('CTR1 Data Previous Year'!$G:$G,MATCH($D300,'CTR1 Data Previous Year'!$A:$A,0),1)</f>
        <v>35876.14</v>
      </c>
      <c r="M300" s="455">
        <f>INDEX('CTR1 Data Previous Year'!$H:$H,MATCH($D300,'CTR1 Data Previous Year'!$A:$A,0),1)</f>
        <v>0.98499999999999999</v>
      </c>
      <c r="N300" s="465">
        <f>INDEX('CTR1 Data Previous Year'!$I:$I,MATCH($D300,'CTR1 Data Previous Year'!$A:$A,0),1)</f>
        <v>0</v>
      </c>
      <c r="O300" s="160" t="s">
        <v>548</v>
      </c>
      <c r="P300" s="817" t="s">
        <v>549</v>
      </c>
      <c r="Q300" s="820" t="s">
        <v>550</v>
      </c>
      <c r="R300" s="817" t="s">
        <v>551</v>
      </c>
      <c r="S300" s="821" t="s">
        <v>552</v>
      </c>
      <c r="T300" s="817" t="s">
        <v>553</v>
      </c>
      <c r="U300" s="160"/>
      <c r="V300" s="817"/>
      <c r="W300" s="465">
        <f>INDEX('CTR1 Data Previous Year'!$J:$J,MATCH($D300,'CTR1 Data Previous Year'!$A:$A,0),1)</f>
        <v>35338</v>
      </c>
      <c r="X300" s="465">
        <f>INDEX('CTR1 Data Previous Year'!$K:$K,MATCH($D300,'CTR1 Data Previous Year'!$A:$A,0),1)</f>
        <v>318.06</v>
      </c>
      <c r="Y300" s="465">
        <f>INDEX('CTR1 Data Previous Year'!$L:$L,MATCH($D300,'CTR1 Data Previous Year'!$A:$A,0),1)</f>
        <v>250.58</v>
      </c>
      <c r="Z300" s="836" t="str">
        <f t="shared" si="47"/>
        <v>N</v>
      </c>
      <c r="AA300" s="837" t="str">
        <f t="shared" si="48"/>
        <v>N</v>
      </c>
      <c r="AB300" s="838">
        <f t="shared" si="49"/>
        <v>250.58</v>
      </c>
      <c r="AC300" s="868">
        <f t="shared" si="50"/>
        <v>0</v>
      </c>
      <c r="AD300" s="876">
        <f t="shared" si="51"/>
        <v>0</v>
      </c>
      <c r="AE300" s="838">
        <f t="shared" si="52"/>
        <v>258.09739999999999</v>
      </c>
      <c r="AF300" s="838">
        <f t="shared" si="53"/>
        <v>255.58</v>
      </c>
      <c r="AG300" s="839">
        <f t="shared" si="55"/>
        <v>0</v>
      </c>
      <c r="AH300" s="839">
        <f t="shared" si="56"/>
        <v>258.10000000000002</v>
      </c>
      <c r="AI300" s="840">
        <f t="shared" si="54"/>
        <v>0</v>
      </c>
      <c r="AJ300" s="841">
        <f t="shared" si="57"/>
        <v>0</v>
      </c>
      <c r="AK300" s="446"/>
      <c r="AL300" s="446"/>
      <c r="AM300" s="446"/>
      <c r="AN300" s="446"/>
    </row>
    <row r="301" spans="1:51" ht="15" customHeight="1" x14ac:dyDescent="0.25">
      <c r="A301" s="388">
        <v>296</v>
      </c>
      <c r="B301" s="389" t="s">
        <v>1424</v>
      </c>
      <c r="C301" s="390" t="s">
        <v>1425</v>
      </c>
      <c r="D301" s="390" t="s">
        <v>1426</v>
      </c>
      <c r="E301" s="370" t="s">
        <v>339</v>
      </c>
      <c r="F301" s="370" t="s">
        <v>391</v>
      </c>
      <c r="G301" s="386">
        <f>INDEX('CTR1 Data Previous Year'!$B:$B,MATCH($D301,'CTR1 Data Previous Year'!$A:$A,0),1)</f>
        <v>121299494</v>
      </c>
      <c r="H301" s="386">
        <f>INDEX('CTR1 Data Previous Year'!$C:$C,MATCH($D301,'CTR1 Data Previous Year'!$A:$A,0),1)</f>
        <v>0</v>
      </c>
      <c r="I301" s="386">
        <f>INDEX('CTR1 Data Previous Year'!$D:$D,MATCH($D301,'CTR1 Data Previous Year'!$A:$A,0),1)</f>
        <v>1119444</v>
      </c>
      <c r="J301" s="386">
        <f>INDEX('CTR1 Data Previous Year'!$E:$E,MATCH($D301,'CTR1 Data Previous Year'!$A:$A,0),1)</f>
        <v>120180050</v>
      </c>
      <c r="K301" s="386">
        <f>INDEX('CTR1 Data Previous Year'!$F:$F,MATCH($D301,'CTR1 Data Previous Year'!$A:$A,0),1)</f>
        <v>1123531</v>
      </c>
      <c r="L301" s="465">
        <f>INDEX('CTR1 Data Previous Year'!$G:$G,MATCH($D301,'CTR1 Data Previous Year'!$A:$A,0),1)</f>
        <v>69957.97</v>
      </c>
      <c r="M301" s="455">
        <f>INDEX('CTR1 Data Previous Year'!$H:$H,MATCH($D301,'CTR1 Data Previous Year'!$A:$A,0),1)</f>
        <v>0.98750000000000004</v>
      </c>
      <c r="N301" s="465">
        <f>INDEX('CTR1 Data Previous Year'!$I:$I,MATCH($D301,'CTR1 Data Previous Year'!$A:$A,0),1)</f>
        <v>342.6</v>
      </c>
      <c r="O301" s="823" t="s">
        <v>129</v>
      </c>
      <c r="P301" s="160"/>
      <c r="Q301" s="820" t="s">
        <v>1064</v>
      </c>
      <c r="R301" s="817" t="s">
        <v>1065</v>
      </c>
      <c r="T301" s="817"/>
      <c r="U301" s="820" t="s">
        <v>1066</v>
      </c>
      <c r="V301" s="817" t="s">
        <v>1065</v>
      </c>
      <c r="W301" s="465">
        <f>INDEX('CTR1 Data Previous Year'!$J:$J,MATCH($D301,'CTR1 Data Previous Year'!$A:$A,0),1)</f>
        <v>69426.100000000006</v>
      </c>
      <c r="X301" s="465">
        <f>INDEX('CTR1 Data Previous Year'!$K:$K,MATCH($D301,'CTR1 Data Previous Year'!$A:$A,0),1)</f>
        <v>1747.17</v>
      </c>
      <c r="Y301" s="465">
        <f>INDEX('CTR1 Data Previous Year'!$L:$L,MATCH($D301,'CTR1 Data Previous Year'!$A:$A,0),1)</f>
        <v>1731.05</v>
      </c>
      <c r="Z301" s="836" t="str">
        <f t="shared" si="47"/>
        <v>N</v>
      </c>
      <c r="AA301" s="837" t="str">
        <f t="shared" si="48"/>
        <v>N</v>
      </c>
      <c r="AB301" s="838">
        <f t="shared" si="49"/>
        <v>1731.05</v>
      </c>
      <c r="AC301" s="868">
        <f t="shared" si="50"/>
        <v>0</v>
      </c>
      <c r="AD301" s="876">
        <f t="shared" si="51"/>
        <v>0</v>
      </c>
      <c r="AE301" s="838">
        <f t="shared" si="52"/>
        <v>1817.6025</v>
      </c>
      <c r="AF301" s="838">
        <f t="shared" si="53"/>
        <v>1731.05</v>
      </c>
      <c r="AG301" s="839">
        <f t="shared" si="55"/>
        <v>0</v>
      </c>
      <c r="AH301" s="839">
        <f t="shared" si="56"/>
        <v>1817.6</v>
      </c>
      <c r="AI301" s="840">
        <f t="shared" si="54"/>
        <v>34.619999999999997</v>
      </c>
      <c r="AJ301" s="841">
        <f t="shared" si="57"/>
        <v>1.9999422315935413E-2</v>
      </c>
      <c r="AK301" s="446"/>
      <c r="AL301" s="446"/>
      <c r="AM301" s="446"/>
      <c r="AN301" s="446"/>
    </row>
    <row r="302" spans="1:51" x14ac:dyDescent="0.2">
      <c r="A302" s="496">
        <v>297</v>
      </c>
      <c r="B302" s="497" t="s">
        <v>1427</v>
      </c>
      <c r="C302" s="498" t="s">
        <v>1428</v>
      </c>
      <c r="D302" s="365" t="s">
        <v>1428</v>
      </c>
      <c r="E302" s="826" t="s">
        <v>1428</v>
      </c>
      <c r="F302" s="827" t="s">
        <v>1428</v>
      </c>
      <c r="G302" s="415"/>
      <c r="H302" s="416"/>
      <c r="I302" s="416"/>
      <c r="J302" s="416"/>
      <c r="K302" s="416"/>
      <c r="L302" s="416"/>
      <c r="M302" s="416"/>
      <c r="N302" s="427"/>
      <c r="O302" s="428"/>
      <c r="P302" s="861"/>
      <c r="Q302" s="429"/>
      <c r="R302" s="861"/>
      <c r="S302" s="428"/>
      <c r="T302" s="861"/>
      <c r="U302" s="429"/>
      <c r="V302" s="861"/>
      <c r="W302" s="366"/>
      <c r="X302" s="367"/>
      <c r="Y302" s="367"/>
      <c r="Z302" s="368"/>
      <c r="AA302" s="420"/>
      <c r="AB302" s="424"/>
      <c r="AC302" s="869"/>
      <c r="AD302" s="369"/>
      <c r="AE302" s="369"/>
      <c r="AF302" s="369"/>
      <c r="AG302" s="425"/>
      <c r="AH302" s="425"/>
      <c r="AI302" s="426"/>
      <c r="AJ302" s="430"/>
      <c r="AK302" s="248"/>
      <c r="AL302" s="248"/>
      <c r="AM302" s="248"/>
      <c r="AN302" s="248"/>
    </row>
    <row r="303" spans="1:51" x14ac:dyDescent="0.2">
      <c r="A303" s="153"/>
      <c r="G303" s="431"/>
      <c r="H303" s="431"/>
      <c r="I303"/>
      <c r="J303"/>
      <c r="K303"/>
      <c r="L303" s="180"/>
      <c r="M303" s="432"/>
      <c r="N303"/>
      <c r="O303"/>
      <c r="P303"/>
      <c r="Q303"/>
      <c r="R303"/>
      <c r="S303"/>
      <c r="T303"/>
      <c r="U303"/>
      <c r="V303"/>
      <c r="W303" s="166"/>
      <c r="X303" s="433"/>
      <c r="Z303" s="434"/>
      <c r="AA303"/>
      <c r="AB303"/>
      <c r="AC303"/>
      <c r="AE303"/>
      <c r="AF303"/>
      <c r="AH303" s="377"/>
      <c r="AI303" s="248"/>
      <c r="AJ303" s="248"/>
      <c r="AK303" s="248"/>
      <c r="AL303" s="248"/>
      <c r="AM303" s="248"/>
      <c r="AN303" s="248"/>
    </row>
    <row r="304" spans="1:51" ht="69.95" customHeight="1" x14ac:dyDescent="0.2">
      <c r="A304" s="247"/>
      <c r="B304" s="247" t="s">
        <v>1429</v>
      </c>
      <c r="C304" s="247"/>
      <c r="D304" s="247" t="s">
        <v>1430</v>
      </c>
      <c r="E304" s="247"/>
      <c r="F304" s="247" t="s">
        <v>1430</v>
      </c>
      <c r="G304" s="435"/>
      <c r="H304" s="435"/>
      <c r="I304" s="153"/>
      <c r="J304" s="354"/>
      <c r="K304" s="354"/>
      <c r="L304" s="404"/>
      <c r="M304" s="436"/>
      <c r="N304" s="153"/>
      <c r="O304" s="354" t="s">
        <v>279</v>
      </c>
      <c r="P304" s="354"/>
      <c r="Q304" s="354" t="s">
        <v>281</v>
      </c>
      <c r="R304" s="354"/>
      <c r="S304" s="354" t="s">
        <v>283</v>
      </c>
      <c r="T304" s="354"/>
      <c r="U304" s="354" t="s">
        <v>285</v>
      </c>
      <c r="V304" s="354"/>
      <c r="W304" s="437" t="s">
        <v>1431</v>
      </c>
      <c r="X304" s="284" t="s">
        <v>1432</v>
      </c>
      <c r="Y304" s="168" t="s">
        <v>1433</v>
      </c>
      <c r="Z304" s="438" t="s">
        <v>1434</v>
      </c>
      <c r="AA304" s="354"/>
      <c r="AB304" s="354"/>
      <c r="AC304" s="354" t="s">
        <v>1435</v>
      </c>
      <c r="AD304" s="354" t="s">
        <v>1436</v>
      </c>
      <c r="AE304" s="354" t="s">
        <v>1437</v>
      </c>
      <c r="AF304" s="354" t="s">
        <v>1438</v>
      </c>
      <c r="AG304" s="439" t="s">
        <v>1439</v>
      </c>
      <c r="AH304" s="168" t="s">
        <v>1440</v>
      </c>
      <c r="AI304" s="404" t="s">
        <v>299</v>
      </c>
      <c r="AJ304" s="404" t="s">
        <v>300</v>
      </c>
      <c r="AK304" s="404"/>
      <c r="AL304" s="404"/>
      <c r="AM304" s="404"/>
      <c r="AN304" s="404"/>
    </row>
    <row r="305" spans="1:49" ht="15.95" customHeight="1" x14ac:dyDescent="0.2">
      <c r="A305" s="247"/>
      <c r="B305" s="247"/>
      <c r="C305" s="247"/>
      <c r="D305" s="247"/>
      <c r="E305" s="247"/>
      <c r="F305" s="247"/>
      <c r="G305" s="249" t="s">
        <v>307</v>
      </c>
      <c r="H305" s="250" t="s">
        <v>308</v>
      </c>
      <c r="I305" s="250" t="s">
        <v>309</v>
      </c>
      <c r="J305" s="250" t="s">
        <v>310</v>
      </c>
      <c r="K305" s="250" t="s">
        <v>311</v>
      </c>
      <c r="L305" s="251" t="s">
        <v>312</v>
      </c>
      <c r="M305" s="250" t="s">
        <v>313</v>
      </c>
      <c r="N305" s="251" t="s">
        <v>314</v>
      </c>
      <c r="O305" s="250"/>
      <c r="P305" s="250"/>
      <c r="Q305" s="250"/>
      <c r="R305" s="250"/>
      <c r="S305" s="250"/>
      <c r="T305" s="250"/>
      <c r="U305" s="250"/>
      <c r="V305" s="250"/>
      <c r="W305" s="252" t="s">
        <v>315</v>
      </c>
      <c r="X305" s="253" t="s">
        <v>234</v>
      </c>
      <c r="Y305" s="253" t="s">
        <v>237</v>
      </c>
      <c r="Z305" s="257"/>
      <c r="AA305" s="254"/>
      <c r="AB305" s="254"/>
      <c r="AC305" s="254"/>
      <c r="AD305" s="254"/>
      <c r="AE305" s="254"/>
      <c r="AF305" s="254"/>
      <c r="AG305" s="258"/>
      <c r="AH305" s="440"/>
      <c r="AI305" s="440"/>
      <c r="AJ305" s="441"/>
      <c r="AK305" s="26"/>
      <c r="AL305" s="26"/>
      <c r="AM305" s="26"/>
      <c r="AN305" s="26"/>
    </row>
    <row r="306" spans="1:49" ht="15" x14ac:dyDescent="0.2">
      <c r="G306" s="241"/>
      <c r="H306" s="241"/>
      <c r="I306" s="256"/>
      <c r="J306" s="256"/>
      <c r="K306" s="256"/>
      <c r="N306" s="156"/>
      <c r="O306" s="265"/>
      <c r="P306" s="265"/>
      <c r="Q306" s="265"/>
      <c r="R306" s="265"/>
      <c r="S306" s="265"/>
      <c r="T306" s="265"/>
      <c r="U306" s="265"/>
      <c r="V306" s="265"/>
      <c r="W306" s="266"/>
      <c r="X306" s="283"/>
      <c r="Y306" s="267"/>
      <c r="Z306" s="264"/>
      <c r="AA306" s="264"/>
      <c r="AB306" s="264"/>
      <c r="AC306" s="264"/>
      <c r="AD306" s="264"/>
      <c r="AE306" s="264"/>
      <c r="AF306" s="264"/>
      <c r="AG306" s="264"/>
      <c r="AH306" s="267"/>
      <c r="AI306" s="156"/>
      <c r="AJ306" s="156"/>
      <c r="AK306" s="156"/>
      <c r="AL306" s="156"/>
      <c r="AM306" s="156"/>
      <c r="AN306" s="156"/>
    </row>
    <row r="307" spans="1:49" s="26" customFormat="1" x14ac:dyDescent="0.2">
      <c r="B307" s="26" t="s">
        <v>1441</v>
      </c>
      <c r="D307" s="153" t="s">
        <v>1442</v>
      </c>
      <c r="F307" s="153" t="s">
        <v>1442</v>
      </c>
      <c r="G307" s="392"/>
      <c r="H307" s="154"/>
      <c r="I307" s="392"/>
      <c r="J307" s="392"/>
      <c r="K307" s="154"/>
      <c r="L307" s="392"/>
      <c r="M307" s="405"/>
      <c r="N307" s="154"/>
      <c r="O307" s="392"/>
      <c r="P307" s="392"/>
      <c r="Q307" s="392"/>
      <c r="R307" s="392"/>
      <c r="S307" s="392"/>
      <c r="T307" s="392"/>
      <c r="U307" s="392"/>
      <c r="V307" s="392"/>
      <c r="W307" s="156"/>
      <c r="X307" s="392"/>
      <c r="Y307" s="463"/>
      <c r="Z307" s="392" t="s">
        <v>1443</v>
      </c>
      <c r="AA307" s="392"/>
      <c r="AB307" s="392"/>
      <c r="AC307" s="442">
        <f>IF(Z307="ASC",0.03+AJ307,0.03)</f>
        <v>0.05</v>
      </c>
      <c r="AD307" s="443" t="str">
        <f>IF(Z307="ASC","",5.01/(Y307*(1+AE307)))</f>
        <v/>
      </c>
      <c r="AE307" s="392">
        <v>0</v>
      </c>
      <c r="AF307" s="444">
        <f>Y307*(1+AE307)*(1+AC307)</f>
        <v>0</v>
      </c>
      <c r="AG307" s="445" t="str">
        <f>IF(Z307="ASC","",Y307*(1+AE307)*(1+AD307))</f>
        <v/>
      </c>
      <c r="AH307" s="445">
        <f>IF(Z307="ASC",AF307,(IF(AF307&gt;AG307,AF307,AG307)))</f>
        <v>0</v>
      </c>
      <c r="AI307" s="242">
        <f>IF($Z307="ASC",ROUND($Y307*$AJ307,2),"")</f>
        <v>0</v>
      </c>
      <c r="AJ307" s="446">
        <f>IF($Z307="ASC",0.02,"")</f>
        <v>0.02</v>
      </c>
      <c r="AK307" s="446"/>
      <c r="AL307" s="446"/>
      <c r="AM307" s="446"/>
      <c r="AN307" s="446"/>
    </row>
    <row r="308" spans="1:49" s="26" customFormat="1" x14ac:dyDescent="0.2">
      <c r="B308" s="26" t="s">
        <v>1444</v>
      </c>
      <c r="D308" s="153" t="s">
        <v>1445</v>
      </c>
      <c r="F308" s="153" t="s">
        <v>1445</v>
      </c>
      <c r="G308" s="392"/>
      <c r="H308" s="154"/>
      <c r="I308" s="392"/>
      <c r="J308" s="392"/>
      <c r="K308" s="154"/>
      <c r="L308" s="392"/>
      <c r="M308" s="393"/>
      <c r="N308" s="154"/>
      <c r="O308" s="392"/>
      <c r="P308" s="392"/>
      <c r="Q308" s="392"/>
      <c r="R308" s="392"/>
      <c r="S308" s="392"/>
      <c r="T308" s="392"/>
      <c r="U308" s="392"/>
      <c r="V308" s="392"/>
      <c r="W308" s="156"/>
      <c r="X308" s="392"/>
      <c r="Y308" s="463"/>
      <c r="Z308" s="392" t="s">
        <v>1443</v>
      </c>
      <c r="AA308" s="392"/>
      <c r="AB308" s="392"/>
      <c r="AC308" s="447">
        <f>IF(Z308="ASC",0.03+AJ308,0.03)</f>
        <v>0.05</v>
      </c>
      <c r="AD308" s="448" t="str">
        <f>IF(Z308="ASC","",5.01/(Y308*(1+AE308)))</f>
        <v/>
      </c>
      <c r="AE308" s="392">
        <v>0</v>
      </c>
      <c r="AF308" s="444">
        <f>Y308*(1+AE308)*(1+AC308)</f>
        <v>0</v>
      </c>
      <c r="AG308" s="445" t="str">
        <f>IF(Z308="ASC","",Y308*(1+AE308)*(1+AD308))</f>
        <v/>
      </c>
      <c r="AH308" s="445">
        <f>IF(Z308="ASC",AF308,(IF(AF308&gt;AG308,AF308,AG308)))</f>
        <v>0</v>
      </c>
      <c r="AI308" s="242">
        <f>IF($Z308="ASC",ROUND($Y308*$AJ308,2),"")</f>
        <v>0</v>
      </c>
      <c r="AJ308" s="446">
        <f t="shared" ref="AJ308:AJ330" si="58">IF($Z308="ASC",0.02,"")</f>
        <v>0.02</v>
      </c>
      <c r="AK308" s="446"/>
      <c r="AL308" s="446"/>
      <c r="AM308" s="446"/>
      <c r="AN308" s="446"/>
    </row>
    <row r="309" spans="1:49" s="26" customFormat="1" ht="13.5" thickBot="1" x14ac:dyDescent="0.25">
      <c r="B309" s="26" t="s">
        <v>1446</v>
      </c>
      <c r="D309" s="153" t="s">
        <v>1447</v>
      </c>
      <c r="F309" s="153" t="s">
        <v>1447</v>
      </c>
      <c r="G309" s="392"/>
      <c r="H309" s="154"/>
      <c r="I309" s="392"/>
      <c r="J309" s="392"/>
      <c r="K309" s="154"/>
      <c r="L309" s="392"/>
      <c r="M309" s="393"/>
      <c r="N309" s="154"/>
      <c r="O309" s="392"/>
      <c r="P309" s="392"/>
      <c r="Q309" s="392"/>
      <c r="R309" s="392"/>
      <c r="S309" s="392"/>
      <c r="T309" s="392"/>
      <c r="U309" s="392"/>
      <c r="V309" s="392"/>
      <c r="W309" s="156"/>
      <c r="X309" s="392"/>
      <c r="Y309" s="463"/>
      <c r="Z309" s="392" t="s">
        <v>1443</v>
      </c>
      <c r="AA309" s="392"/>
      <c r="AB309" s="392"/>
      <c r="AC309" s="447">
        <f>IF(Z309="ASC",0.03+AJ309,0.03)</f>
        <v>0.05</v>
      </c>
      <c r="AD309" s="448" t="str">
        <f>IF(Z309="ASC","",5.01/(Y309*(1+AE309)))</f>
        <v/>
      </c>
      <c r="AE309" s="392">
        <v>0</v>
      </c>
      <c r="AF309" s="444">
        <f>Y309*(1+AE309)*(1+AC309)</f>
        <v>0</v>
      </c>
      <c r="AG309" s="445" t="str">
        <f>IF(Z309="ASC","",Y309*(1+AE309)*(1+AD309))</f>
        <v/>
      </c>
      <c r="AH309" s="445">
        <f>IF(Z309="ASC",AF309,(IF(AF309&gt;AG309,AF309,AG309)))</f>
        <v>0</v>
      </c>
      <c r="AI309" s="242">
        <f>IF($Z309="ASC",ROUND($Y309*$AJ309,2),"")</f>
        <v>0</v>
      </c>
      <c r="AJ309" s="446">
        <f t="shared" si="58"/>
        <v>0.02</v>
      </c>
      <c r="AK309" s="446"/>
      <c r="AL309" s="446"/>
      <c r="AM309" s="446"/>
      <c r="AN309" s="446"/>
    </row>
    <row r="310" spans="1:49" s="26" customFormat="1" ht="13.5" thickBot="1" x14ac:dyDescent="0.25">
      <c r="A310" s="449"/>
      <c r="B310" s="449" t="s">
        <v>672</v>
      </c>
      <c r="C310" s="449"/>
      <c r="D310" s="394" t="s">
        <v>673</v>
      </c>
      <c r="E310" s="449"/>
      <c r="F310" s="394" t="s">
        <v>673</v>
      </c>
      <c r="G310" s="395"/>
      <c r="H310" s="396"/>
      <c r="I310" s="395"/>
      <c r="J310" s="395"/>
      <c r="K310" s="396"/>
      <c r="L310" s="397"/>
      <c r="M310" s="398"/>
      <c r="N310" s="396"/>
      <c r="O310" s="395"/>
      <c r="P310" s="395"/>
      <c r="Q310" s="395"/>
      <c r="R310" s="395"/>
      <c r="S310" s="395"/>
      <c r="T310" s="395"/>
      <c r="U310" s="395"/>
      <c r="V310" s="395"/>
      <c r="W310" s="461"/>
      <c r="X310" s="399"/>
      <c r="Y310" s="464"/>
      <c r="Z310" s="392" t="s">
        <v>1443</v>
      </c>
      <c r="AA310" s="392"/>
      <c r="AB310" s="392"/>
      <c r="AC310" s="447">
        <f>IF(Z310="ASC",0.03+AJ310,0.03)</f>
        <v>0.05</v>
      </c>
      <c r="AD310" s="448" t="str">
        <f>IF(Z310="ASC","",5.01/(Y310*(1+AE310)))</f>
        <v/>
      </c>
      <c r="AE310" s="392">
        <f t="shared" ref="AE310" si="59">SUM(AE307:AE309)</f>
        <v>0</v>
      </c>
      <c r="AF310" s="444">
        <f>Y310*(1+AE310)*(1+AC310)</f>
        <v>0</v>
      </c>
      <c r="AG310" s="445" t="str">
        <f>IF(Z310="ASC","",Y310*(1+AE310)*(1+AD310))</f>
        <v/>
      </c>
      <c r="AH310" s="445">
        <f>IF(Z310="ASC",AF310,(IF(AF310&gt;AG310,AF310,AG310)))</f>
        <v>0</v>
      </c>
      <c r="AI310" s="242">
        <f>IF($Z310="ASC",ROUND($Y310*$AJ310,2),"")</f>
        <v>0</v>
      </c>
      <c r="AJ310" s="446">
        <f t="shared" si="58"/>
        <v>0.02</v>
      </c>
      <c r="AK310" s="446"/>
      <c r="AL310" s="446"/>
      <c r="AM310" s="446"/>
      <c r="AN310" s="446"/>
    </row>
    <row r="311" spans="1:49" ht="15" x14ac:dyDescent="0.2">
      <c r="G311" s="391"/>
      <c r="H311" s="400"/>
      <c r="L311" s="401"/>
      <c r="W311" s="404"/>
      <c r="X311" s="500"/>
      <c r="AA311"/>
      <c r="AB311"/>
      <c r="AC311"/>
      <c r="AE311"/>
      <c r="AF311" s="450"/>
      <c r="AG311" s="450"/>
      <c r="AH311" s="450"/>
      <c r="AI311" s="242"/>
      <c r="AJ311" s="446"/>
      <c r="AK311" s="446"/>
      <c r="AL311" s="446"/>
      <c r="AM311" s="446"/>
      <c r="AN311" s="446"/>
    </row>
    <row r="312" spans="1:49" s="26" customFormat="1" x14ac:dyDescent="0.2">
      <c r="B312" s="26" t="s">
        <v>1448</v>
      </c>
      <c r="D312" s="153" t="s">
        <v>1449</v>
      </c>
      <c r="F312" s="153" t="s">
        <v>1449</v>
      </c>
      <c r="G312" s="392"/>
      <c r="H312" s="154"/>
      <c r="I312" s="392"/>
      <c r="J312" s="392"/>
      <c r="K312" s="154"/>
      <c r="L312" s="392"/>
      <c r="M312" s="393"/>
      <c r="N312" s="154"/>
      <c r="O312" s="392"/>
      <c r="P312" s="392"/>
      <c r="Q312" s="392"/>
      <c r="R312" s="392"/>
      <c r="S312" s="392"/>
      <c r="T312" s="392"/>
      <c r="U312" s="392"/>
      <c r="V312" s="392"/>
      <c r="W312" s="156"/>
      <c r="X312" s="392"/>
      <c r="Y312" s="463"/>
      <c r="Z312" s="392" t="s">
        <v>1443</v>
      </c>
      <c r="AA312" s="392"/>
      <c r="AB312" s="392"/>
      <c r="AC312" s="447">
        <f>IF(Z312="ASC",0.03+AJ312,0.03)</f>
        <v>0.05</v>
      </c>
      <c r="AD312" s="448" t="str">
        <f>IF(Z312="ASC","",5.01/(Y312*(1+AE312)))</f>
        <v/>
      </c>
      <c r="AE312" s="392">
        <v>0</v>
      </c>
      <c r="AF312" s="444">
        <f>Y312*(1+AE312)*(1+AC312)</f>
        <v>0</v>
      </c>
      <c r="AG312" s="445" t="str">
        <f>IF(Z312="ASC","",Y312*(1+AE312)*(1+AD312))</f>
        <v/>
      </c>
      <c r="AH312" s="445">
        <f>IF(Z312="ASC",AF312,(IF(AF312&gt;AG312,AF312,AG312)))</f>
        <v>0</v>
      </c>
      <c r="AI312" s="242">
        <f>IF($Z312="ASC",ROUND($Y312*$AJ312,2),"")</f>
        <v>0</v>
      </c>
      <c r="AJ312" s="446">
        <f t="shared" si="58"/>
        <v>0.02</v>
      </c>
      <c r="AK312" s="446"/>
      <c r="AL312" s="446"/>
      <c r="AM312" s="446"/>
      <c r="AN312" s="446"/>
    </row>
    <row r="313" spans="1:49" s="26" customFormat="1" x14ac:dyDescent="0.2">
      <c r="B313" s="26" t="s">
        <v>1450</v>
      </c>
      <c r="D313" s="153" t="s">
        <v>1451</v>
      </c>
      <c r="F313" s="153" t="s">
        <v>1451</v>
      </c>
      <c r="G313" s="392"/>
      <c r="H313" s="154"/>
      <c r="I313" s="392"/>
      <c r="J313" s="392"/>
      <c r="K313" s="154"/>
      <c r="L313" s="392"/>
      <c r="M313" s="393"/>
      <c r="N313" s="154"/>
      <c r="O313" s="392"/>
      <c r="P313" s="392"/>
      <c r="Q313" s="392"/>
      <c r="R313" s="392"/>
      <c r="S313" s="392"/>
      <c r="T313" s="392"/>
      <c r="U313" s="392"/>
      <c r="V313" s="392"/>
      <c r="W313" s="156"/>
      <c r="X313" s="392"/>
      <c r="Y313" s="463"/>
      <c r="Z313" s="392" t="s">
        <v>1443</v>
      </c>
      <c r="AA313" s="392"/>
      <c r="AB313" s="392"/>
      <c r="AC313" s="447">
        <f>IF(Z313="ASC",0.03+AJ313,0.03)</f>
        <v>0.05</v>
      </c>
      <c r="AD313" s="448" t="str">
        <f>IF(Z313="ASC","",5.01/(Y313*(1+AE313)))</f>
        <v/>
      </c>
      <c r="AE313" s="392">
        <v>0</v>
      </c>
      <c r="AF313" s="444">
        <f>Y313*(1+AE313)*(1+AC313)</f>
        <v>0</v>
      </c>
      <c r="AG313" s="445" t="str">
        <f>IF(Z313="ASC","",Y313*(1+AE313)*(1+AD313))</f>
        <v/>
      </c>
      <c r="AH313" s="445">
        <f>IF(Z313="ASC",AF313,(IF(AF313&gt;AG313,AF313,AG313)))</f>
        <v>0</v>
      </c>
      <c r="AI313" s="242">
        <f>IF($Z313="ASC",ROUND($Y313*$AJ313,2),"")</f>
        <v>0</v>
      </c>
      <c r="AJ313" s="446">
        <f t="shared" si="58"/>
        <v>0.02</v>
      </c>
      <c r="AK313" s="446"/>
      <c r="AL313" s="446"/>
      <c r="AM313" s="446"/>
      <c r="AN313" s="446"/>
    </row>
    <row r="314" spans="1:49" s="26" customFormat="1" ht="13.5" thickBot="1" x14ac:dyDescent="0.25">
      <c r="B314" s="26" t="s">
        <v>1452</v>
      </c>
      <c r="D314" s="153" t="s">
        <v>1453</v>
      </c>
      <c r="F314" s="153" t="s">
        <v>1453</v>
      </c>
      <c r="G314" s="392"/>
      <c r="H314" s="154"/>
      <c r="I314" s="392"/>
      <c r="J314" s="392"/>
      <c r="K314" s="154"/>
      <c r="L314" s="392"/>
      <c r="M314" s="393"/>
      <c r="N314" s="154"/>
      <c r="O314" s="392"/>
      <c r="P314" s="392"/>
      <c r="Q314" s="392"/>
      <c r="R314" s="392"/>
      <c r="S314" s="392"/>
      <c r="T314" s="392"/>
      <c r="U314" s="392"/>
      <c r="V314" s="392"/>
      <c r="W314" s="156"/>
      <c r="X314" s="392"/>
      <c r="Y314" s="463"/>
      <c r="Z314" s="392" t="s">
        <v>1443</v>
      </c>
      <c r="AA314" s="392"/>
      <c r="AB314" s="392"/>
      <c r="AC314" s="447">
        <f>IF(Z314="ASC",0.03+AJ314,0.03)</f>
        <v>0.05</v>
      </c>
      <c r="AD314" s="448" t="str">
        <f>IF(Z314="ASC","",5.01/(Y314*(1+AE314)))</f>
        <v/>
      </c>
      <c r="AE314" s="392">
        <v>0</v>
      </c>
      <c r="AF314" s="444">
        <f>Y314*(1+AE314)*(1+AC314)</f>
        <v>0</v>
      </c>
      <c r="AG314" s="445" t="str">
        <f>IF(Z314="ASC","",Y314*(1+AE314)*(1+AD314))</f>
        <v/>
      </c>
      <c r="AH314" s="445">
        <f>IF(Z314="ASC",AF314,(IF(AF314&gt;AG314,AF314,AG314)))</f>
        <v>0</v>
      </c>
      <c r="AI314" s="242">
        <f>IF($Z314="ASC",ROUND($Y314*$AJ314,2),"")</f>
        <v>0</v>
      </c>
      <c r="AJ314" s="446">
        <f t="shared" si="58"/>
        <v>0.02</v>
      </c>
      <c r="AK314" s="446"/>
      <c r="AL314" s="446"/>
      <c r="AM314" s="446"/>
      <c r="AN314" s="446"/>
    </row>
    <row r="315" spans="1:49" s="26" customFormat="1" ht="13.5" thickBot="1" x14ac:dyDescent="0.25">
      <c r="A315" s="449"/>
      <c r="B315" s="449" t="s">
        <v>1383</v>
      </c>
      <c r="C315" s="449"/>
      <c r="D315" s="394" t="s">
        <v>1384</v>
      </c>
      <c r="E315" s="449"/>
      <c r="F315" s="394" t="s">
        <v>1384</v>
      </c>
      <c r="G315" s="395"/>
      <c r="H315" s="396"/>
      <c r="I315" s="395"/>
      <c r="J315" s="395"/>
      <c r="K315" s="396"/>
      <c r="L315" s="397"/>
      <c r="M315" s="395"/>
      <c r="N315" s="396"/>
      <c r="O315" s="395"/>
      <c r="P315" s="395"/>
      <c r="Q315" s="395"/>
      <c r="R315" s="395"/>
      <c r="S315" s="395"/>
      <c r="T315" s="395"/>
      <c r="U315" s="395"/>
      <c r="V315" s="395"/>
      <c r="W315" s="461"/>
      <c r="X315" s="399"/>
      <c r="Y315" s="464"/>
      <c r="Z315" s="392" t="s">
        <v>1443</v>
      </c>
      <c r="AA315" s="392"/>
      <c r="AB315" s="392"/>
      <c r="AC315" s="447">
        <f>IF(Z315="ASC",0.03+AJ315,0.03)</f>
        <v>0.05</v>
      </c>
      <c r="AD315" s="448" t="str">
        <f>IF(Z315="ASC","",5.01/(Y315*(1+AE315)))</f>
        <v/>
      </c>
      <c r="AE315" s="392">
        <f t="shared" ref="AE315" si="60">SUM(AE312:AE314)</f>
        <v>0</v>
      </c>
      <c r="AF315" s="444">
        <f t="shared" ref="AF315" si="61">Y315*(1+AE315)*(1+AC315)</f>
        <v>0</v>
      </c>
      <c r="AG315" s="445" t="str">
        <f>IF(Z315="ASC","",Y315*(1+AE315)*(1+AD315))</f>
        <v/>
      </c>
      <c r="AH315" s="445">
        <f>IF(Z315="ASC",AF315,(IF(AF315&gt;AG315,AF315,AG315)))</f>
        <v>0</v>
      </c>
      <c r="AI315" s="242">
        <f>IF($Z315="ASC",ROUND($Y315*$AJ315,2),"")</f>
        <v>0</v>
      </c>
      <c r="AJ315" s="446">
        <f t="shared" si="58"/>
        <v>0.02</v>
      </c>
      <c r="AK315" s="446"/>
      <c r="AL315" s="446"/>
      <c r="AM315" s="446"/>
      <c r="AN315" s="446"/>
    </row>
    <row r="316" spans="1:49" ht="15" x14ac:dyDescent="0.2">
      <c r="G316" s="391"/>
      <c r="H316" s="400"/>
      <c r="L316" s="401"/>
      <c r="W316" s="404"/>
      <c r="X316" s="500"/>
      <c r="AA316"/>
      <c r="AB316"/>
      <c r="AC316"/>
      <c r="AE316"/>
      <c r="AF316" s="450"/>
      <c r="AG316" s="450"/>
      <c r="AH316" s="450"/>
      <c r="AI316" s="242"/>
      <c r="AJ316" s="446"/>
      <c r="AK316" s="446"/>
      <c r="AL316" s="446"/>
      <c r="AM316" s="446"/>
      <c r="AN316" s="446"/>
    </row>
    <row r="317" spans="1:49" s="26" customFormat="1" x14ac:dyDescent="0.2">
      <c r="A317"/>
      <c r="B317" t="s">
        <v>1454</v>
      </c>
      <c r="C317"/>
      <c r="D317" s="354" t="s">
        <v>1455</v>
      </c>
      <c r="E317"/>
      <c r="F317" s="354" t="s">
        <v>1455</v>
      </c>
      <c r="G317" s="402"/>
      <c r="H317" s="264"/>
      <c r="I317" s="402"/>
      <c r="J317" s="402"/>
      <c r="K317" s="264"/>
      <c r="L317" s="402"/>
      <c r="M317" s="403"/>
      <c r="N317" s="264"/>
      <c r="O317" s="402"/>
      <c r="P317" s="402"/>
      <c r="Q317" s="402"/>
      <c r="R317" s="402"/>
      <c r="S317" s="402"/>
      <c r="T317" s="402"/>
      <c r="U317" s="402"/>
      <c r="V317" s="402"/>
      <c r="W317" s="462"/>
      <c r="X317" s="180"/>
      <c r="Y317" s="377"/>
      <c r="Z317" s="392" t="s">
        <v>1443</v>
      </c>
      <c r="AA317"/>
      <c r="AB317"/>
      <c r="AC317" s="447">
        <f t="shared" ref="AC317:AC324" si="62">IF(Z317="ASC",0.03+AJ317,0.03)</f>
        <v>0.05</v>
      </c>
      <c r="AD317" s="468" t="str">
        <f t="shared" ref="AD317:AD324" si="63">IF(Z317="ASC","",5.01/(Y317*(1+AE317)))</f>
        <v/>
      </c>
      <c r="AE317">
        <v>0</v>
      </c>
      <c r="AF317" s="444">
        <f t="shared" ref="AF317:AF324" si="64">Y317*(1+AE317)*(1+AC317)</f>
        <v>0</v>
      </c>
      <c r="AG317" s="445" t="str">
        <f t="shared" ref="AG317:AG324" si="65">IF(Z317="ASC","",Y317*(1+AE317)*(1+AD317))</f>
        <v/>
      </c>
      <c r="AH317" s="445">
        <f t="shared" ref="AH317:AH324" si="66">IF(Z317="ASC",AF317,(IF(AF317&gt;AG317,AF317,AG317)))</f>
        <v>0</v>
      </c>
      <c r="AI317" s="242">
        <f t="shared" ref="AI317:AI324" si="67">IF($Z317="ASC",ROUND($Y317*$AJ317,2),"")</f>
        <v>0</v>
      </c>
      <c r="AJ317" s="446">
        <f t="shared" si="58"/>
        <v>0.02</v>
      </c>
      <c r="AK317" s="446"/>
      <c r="AL317" s="446"/>
      <c r="AM317" s="446"/>
      <c r="AN317" s="446"/>
      <c r="AO317"/>
      <c r="AP317"/>
      <c r="AQ317"/>
      <c r="AR317"/>
      <c r="AS317"/>
      <c r="AT317"/>
      <c r="AU317"/>
      <c r="AV317"/>
      <c r="AW317"/>
    </row>
    <row r="318" spans="1:49" s="26" customFormat="1" x14ac:dyDescent="0.2">
      <c r="A318"/>
      <c r="B318" t="s">
        <v>1456</v>
      </c>
      <c r="C318"/>
      <c r="D318" s="354" t="s">
        <v>1457</v>
      </c>
      <c r="E318"/>
      <c r="F318" s="354" t="s">
        <v>1457</v>
      </c>
      <c r="G318" s="402"/>
      <c r="H318" s="264"/>
      <c r="I318" s="402"/>
      <c r="J318" s="402"/>
      <c r="K318" s="264"/>
      <c r="L318" s="402"/>
      <c r="M318" s="403"/>
      <c r="N318" s="264"/>
      <c r="O318" s="402"/>
      <c r="P318" s="402"/>
      <c r="Q318" s="402"/>
      <c r="R318" s="402"/>
      <c r="S318" s="402"/>
      <c r="T318" s="402"/>
      <c r="U318" s="402"/>
      <c r="V318" s="402"/>
      <c r="W318" s="462"/>
      <c r="X318" s="180"/>
      <c r="Y318" s="377"/>
      <c r="Z318" s="392" t="s">
        <v>1443</v>
      </c>
      <c r="AA318"/>
      <c r="AB318"/>
      <c r="AC318" s="447">
        <f t="shared" si="62"/>
        <v>0.05</v>
      </c>
      <c r="AD318" s="468" t="str">
        <f t="shared" si="63"/>
        <v/>
      </c>
      <c r="AE318">
        <v>0</v>
      </c>
      <c r="AF318" s="444">
        <f t="shared" si="64"/>
        <v>0</v>
      </c>
      <c r="AG318" s="445" t="str">
        <f t="shared" si="65"/>
        <v/>
      </c>
      <c r="AH318" s="445">
        <f t="shared" si="66"/>
        <v>0</v>
      </c>
      <c r="AI318" s="242">
        <f t="shared" si="67"/>
        <v>0</v>
      </c>
      <c r="AJ318" s="446">
        <f t="shared" si="58"/>
        <v>0.02</v>
      </c>
      <c r="AK318" s="446"/>
      <c r="AL318" s="446"/>
      <c r="AM318" s="446"/>
      <c r="AN318" s="446"/>
      <c r="AO318"/>
      <c r="AP318"/>
      <c r="AQ318"/>
      <c r="AR318"/>
      <c r="AS318"/>
      <c r="AT318"/>
      <c r="AU318"/>
      <c r="AV318"/>
      <c r="AW318"/>
    </row>
    <row r="319" spans="1:49" s="26" customFormat="1" x14ac:dyDescent="0.2">
      <c r="A319"/>
      <c r="B319" t="s">
        <v>1458</v>
      </c>
      <c r="C319"/>
      <c r="D319" s="354" t="s">
        <v>1459</v>
      </c>
      <c r="E319"/>
      <c r="F319" s="354" t="s">
        <v>1459</v>
      </c>
      <c r="G319" s="402"/>
      <c r="H319" s="264"/>
      <c r="I319" s="402"/>
      <c r="J319" s="402"/>
      <c r="K319" s="264"/>
      <c r="L319" s="402"/>
      <c r="M319" s="403"/>
      <c r="N319" s="264"/>
      <c r="O319" s="402"/>
      <c r="P319" s="402"/>
      <c r="Q319" s="402"/>
      <c r="R319" s="402"/>
      <c r="S319" s="402"/>
      <c r="T319" s="402"/>
      <c r="U319" s="402"/>
      <c r="V319" s="402"/>
      <c r="W319" s="462"/>
      <c r="X319" s="180"/>
      <c r="Y319" s="377"/>
      <c r="Z319" s="392" t="s">
        <v>1443</v>
      </c>
      <c r="AA319"/>
      <c r="AB319"/>
      <c r="AC319" s="447">
        <f t="shared" si="62"/>
        <v>0.05</v>
      </c>
      <c r="AD319" s="468" t="str">
        <f t="shared" si="63"/>
        <v/>
      </c>
      <c r="AE319">
        <v>0</v>
      </c>
      <c r="AF319" s="444">
        <f t="shared" si="64"/>
        <v>0</v>
      </c>
      <c r="AG319" s="445" t="str">
        <f t="shared" si="65"/>
        <v/>
      </c>
      <c r="AH319" s="445">
        <f t="shared" si="66"/>
        <v>0</v>
      </c>
      <c r="AI319" s="242">
        <f t="shared" si="67"/>
        <v>0</v>
      </c>
      <c r="AJ319" s="446">
        <f t="shared" si="58"/>
        <v>0.02</v>
      </c>
      <c r="AK319" s="446"/>
      <c r="AL319" s="446"/>
      <c r="AM319" s="446"/>
      <c r="AN319" s="446"/>
      <c r="AO319"/>
      <c r="AP319"/>
      <c r="AQ319"/>
      <c r="AR319"/>
      <c r="AS319"/>
      <c r="AT319"/>
      <c r="AU319"/>
      <c r="AV319"/>
      <c r="AW319"/>
    </row>
    <row r="320" spans="1:49" s="26" customFormat="1" x14ac:dyDescent="0.2">
      <c r="A320"/>
      <c r="B320" t="s">
        <v>1460</v>
      </c>
      <c r="C320"/>
      <c r="D320" s="354" t="s">
        <v>1461</v>
      </c>
      <c r="E320"/>
      <c r="F320" s="354" t="s">
        <v>1461</v>
      </c>
      <c r="G320" s="402"/>
      <c r="H320" s="264"/>
      <c r="I320" s="402"/>
      <c r="J320" s="402"/>
      <c r="K320" s="264"/>
      <c r="L320" s="402"/>
      <c r="M320" s="403"/>
      <c r="N320" s="264"/>
      <c r="O320" s="402"/>
      <c r="P320" s="402"/>
      <c r="Q320" s="402"/>
      <c r="R320" s="402"/>
      <c r="S320" s="402"/>
      <c r="T320" s="402"/>
      <c r="U320" s="402"/>
      <c r="V320" s="402"/>
      <c r="W320" s="462"/>
      <c r="X320" s="180"/>
      <c r="Y320" s="377"/>
      <c r="Z320" s="392" t="s">
        <v>1443</v>
      </c>
      <c r="AA320"/>
      <c r="AB320"/>
      <c r="AC320" s="447">
        <f t="shared" si="62"/>
        <v>0.05</v>
      </c>
      <c r="AD320" s="468" t="str">
        <f t="shared" si="63"/>
        <v/>
      </c>
      <c r="AE320">
        <v>0</v>
      </c>
      <c r="AF320" s="444">
        <f t="shared" si="64"/>
        <v>0</v>
      </c>
      <c r="AG320" s="445" t="str">
        <f t="shared" si="65"/>
        <v/>
      </c>
      <c r="AH320" s="445">
        <f t="shared" si="66"/>
        <v>0</v>
      </c>
      <c r="AI320" s="242">
        <f t="shared" si="67"/>
        <v>0</v>
      </c>
      <c r="AJ320" s="446">
        <f t="shared" si="58"/>
        <v>0.02</v>
      </c>
      <c r="AK320" s="446"/>
      <c r="AL320" s="446"/>
      <c r="AM320" s="446"/>
      <c r="AN320" s="446"/>
      <c r="AO320"/>
      <c r="AP320"/>
      <c r="AQ320"/>
      <c r="AR320"/>
      <c r="AS320"/>
      <c r="AT320"/>
      <c r="AU320"/>
      <c r="AV320"/>
      <c r="AW320"/>
    </row>
    <row r="321" spans="1:49" s="26" customFormat="1" x14ac:dyDescent="0.2">
      <c r="A321"/>
      <c r="B321" t="s">
        <v>1462</v>
      </c>
      <c r="C321"/>
      <c r="D321" s="354" t="s">
        <v>1463</v>
      </c>
      <c r="E321"/>
      <c r="F321" s="354" t="s">
        <v>1463</v>
      </c>
      <c r="G321" s="402"/>
      <c r="H321" s="264"/>
      <c r="I321" s="402"/>
      <c r="J321" s="402"/>
      <c r="K321" s="264"/>
      <c r="L321" s="402"/>
      <c r="M321" s="403"/>
      <c r="N321" s="264"/>
      <c r="O321" s="402"/>
      <c r="P321" s="402"/>
      <c r="Q321" s="402"/>
      <c r="R321" s="402"/>
      <c r="S321" s="402"/>
      <c r="T321" s="402"/>
      <c r="U321" s="402"/>
      <c r="V321" s="402"/>
      <c r="W321" s="462"/>
      <c r="X321" s="180"/>
      <c r="Y321" s="377"/>
      <c r="Z321" s="392" t="s">
        <v>1443</v>
      </c>
      <c r="AA321"/>
      <c r="AB321"/>
      <c r="AC321" s="447">
        <f t="shared" si="62"/>
        <v>0.05</v>
      </c>
      <c r="AD321" s="468" t="str">
        <f t="shared" si="63"/>
        <v/>
      </c>
      <c r="AE321">
        <v>0</v>
      </c>
      <c r="AF321" s="444">
        <f t="shared" si="64"/>
        <v>0</v>
      </c>
      <c r="AG321" s="445" t="str">
        <f t="shared" si="65"/>
        <v/>
      </c>
      <c r="AH321" s="445">
        <f t="shared" si="66"/>
        <v>0</v>
      </c>
      <c r="AI321" s="242">
        <f t="shared" si="67"/>
        <v>0</v>
      </c>
      <c r="AJ321" s="446">
        <f t="shared" si="58"/>
        <v>0.02</v>
      </c>
      <c r="AK321" s="446"/>
      <c r="AL321" s="446"/>
      <c r="AM321" s="446"/>
      <c r="AN321" s="446"/>
      <c r="AO321"/>
      <c r="AP321"/>
      <c r="AQ321"/>
      <c r="AR321"/>
      <c r="AS321"/>
      <c r="AT321"/>
      <c r="AU321"/>
      <c r="AV321"/>
      <c r="AW321"/>
    </row>
    <row r="322" spans="1:49" s="26" customFormat="1" x14ac:dyDescent="0.2">
      <c r="A322"/>
      <c r="B322" t="s">
        <v>1464</v>
      </c>
      <c r="C322"/>
      <c r="D322" s="354" t="s">
        <v>1465</v>
      </c>
      <c r="E322"/>
      <c r="F322" s="354" t="s">
        <v>1465</v>
      </c>
      <c r="G322" s="402"/>
      <c r="H322" s="264"/>
      <c r="I322" s="402"/>
      <c r="J322" s="402"/>
      <c r="K322" s="264"/>
      <c r="L322" s="402"/>
      <c r="M322" s="403"/>
      <c r="N322" s="264"/>
      <c r="O322" s="402"/>
      <c r="P322" s="402"/>
      <c r="Q322" s="402"/>
      <c r="R322" s="402"/>
      <c r="S322" s="402"/>
      <c r="T322" s="402"/>
      <c r="U322" s="402"/>
      <c r="V322" s="402"/>
      <c r="W322" s="462"/>
      <c r="X322" s="501"/>
      <c r="Y322" s="377"/>
      <c r="Z322" s="392" t="s">
        <v>1443</v>
      </c>
      <c r="AA322"/>
      <c r="AB322"/>
      <c r="AC322" s="447">
        <f t="shared" si="62"/>
        <v>0.05</v>
      </c>
      <c r="AD322" s="468" t="str">
        <f t="shared" si="63"/>
        <v/>
      </c>
      <c r="AE322">
        <v>0</v>
      </c>
      <c r="AF322" s="444">
        <f t="shared" si="64"/>
        <v>0</v>
      </c>
      <c r="AG322" s="445" t="str">
        <f t="shared" si="65"/>
        <v/>
      </c>
      <c r="AH322" s="445">
        <f t="shared" si="66"/>
        <v>0</v>
      </c>
      <c r="AI322" s="242">
        <f t="shared" si="67"/>
        <v>0</v>
      </c>
      <c r="AJ322" s="446">
        <f t="shared" si="58"/>
        <v>0.02</v>
      </c>
      <c r="AK322" s="446"/>
      <c r="AL322" s="446"/>
      <c r="AM322" s="446"/>
      <c r="AN322" s="446"/>
      <c r="AO322"/>
      <c r="AP322"/>
      <c r="AQ322"/>
      <c r="AR322"/>
      <c r="AS322"/>
      <c r="AT322"/>
      <c r="AU322"/>
      <c r="AV322"/>
      <c r="AW322"/>
    </row>
    <row r="323" spans="1:49" s="26" customFormat="1" ht="13.5" thickBot="1" x14ac:dyDescent="0.25">
      <c r="A323"/>
      <c r="B323" t="s">
        <v>1466</v>
      </c>
      <c r="C323"/>
      <c r="D323" s="354" t="s">
        <v>1467</v>
      </c>
      <c r="E323"/>
      <c r="F323" s="354" t="s">
        <v>1467</v>
      </c>
      <c r="G323" s="402"/>
      <c r="H323" s="264"/>
      <c r="I323" s="402"/>
      <c r="J323" s="402"/>
      <c r="K323" s="264"/>
      <c r="L323" s="402"/>
      <c r="M323" s="403"/>
      <c r="N323" s="264"/>
      <c r="O323" s="402"/>
      <c r="P323" s="402"/>
      <c r="Q323" s="402"/>
      <c r="R323" s="402"/>
      <c r="S323" s="402"/>
      <c r="T323" s="402"/>
      <c r="U323" s="402"/>
      <c r="V323" s="402"/>
      <c r="W323" s="462"/>
      <c r="X323" s="180"/>
      <c r="Y323" s="377"/>
      <c r="Z323" s="392" t="s">
        <v>1443</v>
      </c>
      <c r="AA323"/>
      <c r="AB323"/>
      <c r="AC323" s="447">
        <f t="shared" si="62"/>
        <v>0.05</v>
      </c>
      <c r="AD323" s="468" t="str">
        <f t="shared" si="63"/>
        <v/>
      </c>
      <c r="AE323">
        <v>0</v>
      </c>
      <c r="AF323" s="444">
        <f t="shared" si="64"/>
        <v>0</v>
      </c>
      <c r="AG323" s="445" t="str">
        <f t="shared" si="65"/>
        <v/>
      </c>
      <c r="AH323" s="445">
        <f t="shared" si="66"/>
        <v>0</v>
      </c>
      <c r="AI323" s="242">
        <f t="shared" si="67"/>
        <v>0</v>
      </c>
      <c r="AJ323" s="446">
        <f t="shared" si="58"/>
        <v>0.02</v>
      </c>
      <c r="AK323" s="446"/>
      <c r="AL323" s="446"/>
      <c r="AM323" s="446"/>
      <c r="AN323" s="446"/>
      <c r="AO323"/>
      <c r="AP323"/>
      <c r="AQ323"/>
      <c r="AR323"/>
      <c r="AS323"/>
      <c r="AT323"/>
      <c r="AU323"/>
      <c r="AV323"/>
      <c r="AW323"/>
    </row>
    <row r="324" spans="1:49" s="26" customFormat="1" ht="13.5" thickBot="1" x14ac:dyDescent="0.25">
      <c r="A324" s="449"/>
      <c r="B324" s="449" t="s">
        <v>1061</v>
      </c>
      <c r="C324" s="449"/>
      <c r="D324" s="394" t="s">
        <v>1062</v>
      </c>
      <c r="E324" s="449"/>
      <c r="F324" s="394" t="s">
        <v>1062</v>
      </c>
      <c r="G324" s="395"/>
      <c r="H324" s="396"/>
      <c r="I324" s="395"/>
      <c r="J324" s="395"/>
      <c r="K324" s="396"/>
      <c r="L324" s="397"/>
      <c r="M324" s="395"/>
      <c r="N324" s="396"/>
      <c r="O324" s="395"/>
      <c r="P324" s="395"/>
      <c r="Q324" s="395"/>
      <c r="R324" s="395"/>
      <c r="S324" s="395"/>
      <c r="T324" s="395"/>
      <c r="U324" s="395"/>
      <c r="V324" s="395"/>
      <c r="W324" s="461"/>
      <c r="X324" s="399"/>
      <c r="Y324" s="464"/>
      <c r="Z324" s="392" t="s">
        <v>1443</v>
      </c>
      <c r="AA324"/>
      <c r="AB324"/>
      <c r="AC324" s="447">
        <f t="shared" si="62"/>
        <v>0.05</v>
      </c>
      <c r="AD324" s="468" t="str">
        <f t="shared" si="63"/>
        <v/>
      </c>
      <c r="AE324">
        <v>0</v>
      </c>
      <c r="AF324" s="444">
        <f t="shared" si="64"/>
        <v>0</v>
      </c>
      <c r="AG324" s="445" t="str">
        <f t="shared" si="65"/>
        <v/>
      </c>
      <c r="AH324" s="445">
        <f t="shared" si="66"/>
        <v>0</v>
      </c>
      <c r="AI324" s="242">
        <f t="shared" si="67"/>
        <v>0</v>
      </c>
      <c r="AJ324" s="446">
        <f t="shared" si="58"/>
        <v>0.02</v>
      </c>
      <c r="AK324" s="446"/>
      <c r="AL324" s="446"/>
      <c r="AM324" s="446"/>
      <c r="AN324" s="446"/>
    </row>
    <row r="325" spans="1:49" ht="15" x14ac:dyDescent="0.2">
      <c r="G325" s="391"/>
      <c r="H325" s="400"/>
      <c r="L325" s="401"/>
      <c r="W325" s="404"/>
      <c r="X325" s="500"/>
      <c r="AA325"/>
      <c r="AB325"/>
      <c r="AC325"/>
      <c r="AE325"/>
      <c r="AF325" s="450"/>
      <c r="AG325" s="450"/>
      <c r="AH325" s="450"/>
      <c r="AI325" s="242"/>
      <c r="AJ325" s="446"/>
      <c r="AK325" s="446"/>
      <c r="AL325" s="446"/>
      <c r="AM325" s="446"/>
      <c r="AN325" s="446"/>
    </row>
    <row r="326" spans="1:49" s="26" customFormat="1" x14ac:dyDescent="0.2">
      <c r="A326"/>
      <c r="B326" t="s">
        <v>1468</v>
      </c>
      <c r="C326"/>
      <c r="D326" s="354" t="s">
        <v>1469</v>
      </c>
      <c r="E326"/>
      <c r="F326" s="354" t="s">
        <v>1469</v>
      </c>
      <c r="G326" s="402"/>
      <c r="H326" s="264"/>
      <c r="I326" s="402"/>
      <c r="J326" s="402"/>
      <c r="K326" s="264"/>
      <c r="L326" s="402"/>
      <c r="M326" s="403"/>
      <c r="N326" s="264"/>
      <c r="O326" s="402"/>
      <c r="P326" s="402"/>
      <c r="Q326" s="402"/>
      <c r="R326" s="402"/>
      <c r="S326" s="402"/>
      <c r="T326" s="402"/>
      <c r="U326" s="402"/>
      <c r="V326" s="402"/>
      <c r="W326" s="462"/>
      <c r="X326"/>
      <c r="Y326" s="267"/>
      <c r="Z326" s="392" t="s">
        <v>1443</v>
      </c>
      <c r="AA326" s="402"/>
      <c r="AB326" s="402"/>
      <c r="AC326" s="447">
        <f>IF(Z326="ASC",0.03+AJ326,0.03)</f>
        <v>0.05</v>
      </c>
      <c r="AD326" s="448" t="s">
        <v>129</v>
      </c>
      <c r="AE326" s="402">
        <v>0</v>
      </c>
      <c r="AF326" s="444">
        <f t="shared" ref="AF326:AF330" si="68">Y326*(1+AE326)*(1+AC326)</f>
        <v>0</v>
      </c>
      <c r="AG326" s="445" t="str">
        <f>IF(Z326="ASC","",Y326*(1+AE326)*(1+AD326))</f>
        <v/>
      </c>
      <c r="AH326" s="445">
        <f>IF(Z326="ASC",AF326,(IF(AF326&gt;AG326,AF326,AG326)))</f>
        <v>0</v>
      </c>
      <c r="AI326" s="242">
        <f>IF($Z326="ASC",ROUND($Y326*$AJ326,2),"")</f>
        <v>0</v>
      </c>
      <c r="AJ326" s="446">
        <f t="shared" si="58"/>
        <v>0.02</v>
      </c>
      <c r="AK326" s="446"/>
      <c r="AL326" s="446"/>
      <c r="AM326" s="446"/>
      <c r="AN326" s="446"/>
      <c r="AO326"/>
      <c r="AP326"/>
      <c r="AQ326"/>
      <c r="AR326"/>
      <c r="AS326"/>
      <c r="AT326"/>
      <c r="AU326"/>
      <c r="AV326"/>
      <c r="AW326"/>
    </row>
    <row r="327" spans="1:49" s="26" customFormat="1" x14ac:dyDescent="0.2">
      <c r="A327"/>
      <c r="B327" t="s">
        <v>1470</v>
      </c>
      <c r="C327"/>
      <c r="D327" s="354" t="s">
        <v>1471</v>
      </c>
      <c r="E327"/>
      <c r="F327" s="354" t="s">
        <v>1471</v>
      </c>
      <c r="G327" s="402"/>
      <c r="H327" s="264"/>
      <c r="I327" s="402"/>
      <c r="J327" s="402"/>
      <c r="K327" s="264"/>
      <c r="L327" s="402"/>
      <c r="M327" s="403"/>
      <c r="N327" s="264"/>
      <c r="O327" s="402"/>
      <c r="P327" s="402"/>
      <c r="Q327" s="402"/>
      <c r="R327" s="402"/>
      <c r="S327" s="402"/>
      <c r="T327" s="402"/>
      <c r="U327" s="402"/>
      <c r="V327" s="402"/>
      <c r="W327" s="462"/>
      <c r="X327"/>
      <c r="Y327" s="267"/>
      <c r="Z327" s="392" t="s">
        <v>1443</v>
      </c>
      <c r="AA327" s="402"/>
      <c r="AB327" s="402"/>
      <c r="AC327" s="447">
        <f>IF(Z327="ASC",0.03+AJ327,0.03)</f>
        <v>0.05</v>
      </c>
      <c r="AD327" s="448" t="s">
        <v>129</v>
      </c>
      <c r="AE327" s="402">
        <v>0</v>
      </c>
      <c r="AF327" s="444">
        <f t="shared" si="68"/>
        <v>0</v>
      </c>
      <c r="AG327" s="445" t="str">
        <f>IF(Z327="ASC","",Y327*(1+AE327)*(1+AD327))</f>
        <v/>
      </c>
      <c r="AH327" s="445">
        <f>IF(Z327="ASC",AF327,(IF(AF327&gt;AG327,AF327,AG327)))</f>
        <v>0</v>
      </c>
      <c r="AI327" s="242">
        <f>IF($Z327="ASC",ROUND($Y327*$AJ327,2),"")</f>
        <v>0</v>
      </c>
      <c r="AJ327" s="446">
        <f t="shared" si="58"/>
        <v>0.02</v>
      </c>
      <c r="AK327" s="446"/>
      <c r="AL327" s="446"/>
      <c r="AM327" s="446"/>
      <c r="AN327" s="446"/>
      <c r="AO327"/>
      <c r="AP327"/>
      <c r="AQ327"/>
      <c r="AR327"/>
      <c r="AS327"/>
      <c r="AT327"/>
      <c r="AU327"/>
      <c r="AV327"/>
      <c r="AW327"/>
    </row>
    <row r="328" spans="1:49" s="26" customFormat="1" x14ac:dyDescent="0.2">
      <c r="A328"/>
      <c r="B328" s="26" t="s">
        <v>1472</v>
      </c>
      <c r="C328"/>
      <c r="D328" s="354" t="s">
        <v>1473</v>
      </c>
      <c r="E328"/>
      <c r="F328" s="354" t="s">
        <v>1473</v>
      </c>
      <c r="G328" s="402"/>
      <c r="H328" s="264"/>
      <c r="I328" s="402"/>
      <c r="J328" s="402"/>
      <c r="K328" s="264"/>
      <c r="L328" s="402"/>
      <c r="M328" s="403"/>
      <c r="N328" s="264"/>
      <c r="O328" s="402"/>
      <c r="P328" s="402"/>
      <c r="Q328" s="402"/>
      <c r="R328" s="402"/>
      <c r="S328" s="402"/>
      <c r="T328" s="402"/>
      <c r="U328" s="402"/>
      <c r="V328" s="402"/>
      <c r="W328" s="462"/>
      <c r="X328"/>
      <c r="Y328" s="267"/>
      <c r="Z328" s="392" t="s">
        <v>1443</v>
      </c>
      <c r="AA328" s="402"/>
      <c r="AB328" s="402"/>
      <c r="AC328" s="447">
        <f>IF(Z328="ASC",0.03+AJ328,0.03)</f>
        <v>0.05</v>
      </c>
      <c r="AD328" s="448" t="s">
        <v>129</v>
      </c>
      <c r="AE328" s="402">
        <v>0</v>
      </c>
      <c r="AF328" s="444">
        <f t="shared" si="68"/>
        <v>0</v>
      </c>
      <c r="AG328" s="445" t="str">
        <f>IF(Z328="ASC","",Y328*(1+AE328)*(1+AD328))</f>
        <v/>
      </c>
      <c r="AH328" s="445">
        <f>IF(Z328="ASC",AF328,(IF(AF328&gt;AG328,AF328,AG328)))</f>
        <v>0</v>
      </c>
      <c r="AI328" s="242">
        <f>IF($Z328="ASC",ROUND($Y328*$AJ328,2),"")</f>
        <v>0</v>
      </c>
      <c r="AJ328" s="446">
        <f t="shared" si="58"/>
        <v>0.02</v>
      </c>
      <c r="AK328" s="446"/>
      <c r="AL328" s="446"/>
      <c r="AM328" s="446"/>
      <c r="AN328" s="446"/>
      <c r="AO328"/>
      <c r="AP328"/>
      <c r="AQ328"/>
      <c r="AR328"/>
      <c r="AS328"/>
      <c r="AT328"/>
      <c r="AU328"/>
      <c r="AV328"/>
      <c r="AW328"/>
    </row>
    <row r="329" spans="1:49" s="26" customFormat="1" ht="13.5" thickBot="1" x14ac:dyDescent="0.25">
      <c r="A329"/>
      <c r="B329" t="s">
        <v>1474</v>
      </c>
      <c r="C329"/>
      <c r="D329" s="354" t="s">
        <v>1475</v>
      </c>
      <c r="E329"/>
      <c r="F329" s="354" t="s">
        <v>1475</v>
      </c>
      <c r="G329" s="402"/>
      <c r="H329" s="264"/>
      <c r="I329" s="402"/>
      <c r="J329" s="402"/>
      <c r="K329" s="264"/>
      <c r="L329" s="402"/>
      <c r="M329" s="403"/>
      <c r="N329" s="264"/>
      <c r="O329" s="402"/>
      <c r="P329" s="402"/>
      <c r="Q329" s="402"/>
      <c r="R329" s="402"/>
      <c r="S329" s="402"/>
      <c r="T329" s="402"/>
      <c r="U329" s="402"/>
      <c r="V329" s="402"/>
      <c r="W329" s="462"/>
      <c r="X329"/>
      <c r="Y329" s="267"/>
      <c r="Z329" s="392" t="s">
        <v>1443</v>
      </c>
      <c r="AA329" s="402"/>
      <c r="AB329" s="402"/>
      <c r="AC329" s="447">
        <f>IF(Z329="ASC",0.03+AJ329,0.03)</f>
        <v>0.05</v>
      </c>
      <c r="AD329" s="448" t="s">
        <v>129</v>
      </c>
      <c r="AE329" s="402">
        <v>0</v>
      </c>
      <c r="AF329" s="444">
        <f t="shared" si="68"/>
        <v>0</v>
      </c>
      <c r="AG329" s="445" t="str">
        <f>IF(Z329="ASC","",Y329*(1+AE329)*(1+AD329))</f>
        <v/>
      </c>
      <c r="AH329" s="445">
        <f>IF(Z329="ASC",AF329,(IF(AF329&gt;AG329,AF329,AG329)))</f>
        <v>0</v>
      </c>
      <c r="AI329" s="242">
        <f>IF($Z329="ASC",ROUND($Y329*$AJ329,2),"")</f>
        <v>0</v>
      </c>
      <c r="AJ329" s="446">
        <f t="shared" si="58"/>
        <v>0.02</v>
      </c>
      <c r="AK329" s="446"/>
      <c r="AL329" s="446"/>
      <c r="AM329" s="446"/>
      <c r="AN329" s="446"/>
      <c r="AO329"/>
      <c r="AP329"/>
      <c r="AQ329"/>
      <c r="AR329"/>
      <c r="AS329"/>
      <c r="AT329"/>
      <c r="AU329"/>
      <c r="AV329"/>
      <c r="AW329"/>
    </row>
    <row r="330" spans="1:49" s="26" customFormat="1" ht="13.5" thickBot="1" x14ac:dyDescent="0.25">
      <c r="A330" s="449"/>
      <c r="B330" s="449" t="s">
        <v>1179</v>
      </c>
      <c r="C330" s="449"/>
      <c r="D330" s="394" t="s">
        <v>1180</v>
      </c>
      <c r="E330" s="449"/>
      <c r="F330" s="394" t="s">
        <v>1180</v>
      </c>
      <c r="G330" s="395"/>
      <c r="H330" s="396"/>
      <c r="I330" s="395"/>
      <c r="J330" s="395"/>
      <c r="K330" s="396"/>
      <c r="L330" s="397"/>
      <c r="M330" s="395"/>
      <c r="N330" s="396"/>
      <c r="O330" s="395"/>
      <c r="P330" s="395"/>
      <c r="Q330" s="395"/>
      <c r="R330" s="395"/>
      <c r="S330" s="395"/>
      <c r="T330" s="395"/>
      <c r="U330" s="395"/>
      <c r="V330" s="395"/>
      <c r="W330" s="461"/>
      <c r="X330" s="399"/>
      <c r="Y330" s="464"/>
      <c r="Z330" s="392" t="s">
        <v>1443</v>
      </c>
      <c r="AA330" s="392"/>
      <c r="AB330" s="392"/>
      <c r="AC330" s="447">
        <f>IF(Z330="ASC",0.03+AJ330,0.03)</f>
        <v>0.05</v>
      </c>
      <c r="AD330" s="448" t="s">
        <v>129</v>
      </c>
      <c r="AE330" s="392">
        <v>0</v>
      </c>
      <c r="AF330" s="444">
        <f t="shared" si="68"/>
        <v>0</v>
      </c>
      <c r="AG330" s="445" t="str">
        <f>IF(Z330="ASC","",Y330*(1+AE330)*(1+AD330))</f>
        <v/>
      </c>
      <c r="AH330" s="445">
        <f>IF(Z330="ASC",AF330,(IF(AF330&gt;AG330,AF330,AG330)))</f>
        <v>0</v>
      </c>
      <c r="AI330" s="242">
        <f>IF($Z330="ASC",ROUND($Y330*$AJ330,2),"")</f>
        <v>0</v>
      </c>
      <c r="AJ330" s="446">
        <f t="shared" si="58"/>
        <v>0.02</v>
      </c>
      <c r="AK330" s="446"/>
      <c r="AL330" s="446"/>
      <c r="AM330" s="446"/>
      <c r="AN330" s="446"/>
    </row>
    <row r="331" spans="1:49" ht="15" x14ac:dyDescent="0.2">
      <c r="G331" s="241"/>
      <c r="H331" s="241"/>
      <c r="X331" s="284"/>
      <c r="AA331"/>
      <c r="AB331"/>
      <c r="AC331"/>
      <c r="AE331"/>
      <c r="AF331"/>
      <c r="AG331" s="445"/>
      <c r="AJ331"/>
    </row>
    <row r="332" spans="1:49" ht="15" x14ac:dyDescent="0.2">
      <c r="G332" s="241"/>
      <c r="H332" s="241"/>
      <c r="X332" s="284"/>
      <c r="AA332"/>
      <c r="AB332"/>
      <c r="AC332"/>
      <c r="AE332"/>
      <c r="AF332"/>
      <c r="AG332" s="445"/>
      <c r="AJ332"/>
    </row>
    <row r="333" spans="1:49" ht="15" x14ac:dyDescent="0.2">
      <c r="G333" s="241"/>
      <c r="H333" s="241"/>
      <c r="X333" s="284"/>
      <c r="AA333"/>
      <c r="AB333"/>
      <c r="AC333"/>
      <c r="AE333"/>
      <c r="AF333"/>
      <c r="AG333" s="445"/>
      <c r="AJ333"/>
    </row>
    <row r="334" spans="1:49" ht="15" x14ac:dyDescent="0.2">
      <c r="G334" s="241"/>
      <c r="H334" s="241"/>
      <c r="X334" s="284"/>
      <c r="AA334"/>
      <c r="AB334"/>
      <c r="AC334"/>
      <c r="AE334"/>
      <c r="AF334"/>
      <c r="AJ334"/>
    </row>
    <row r="335" spans="1:49" ht="15" x14ac:dyDescent="0.2">
      <c r="G335" s="241"/>
      <c r="H335" s="241"/>
      <c r="X335" s="284"/>
      <c r="AA335"/>
      <c r="AB335"/>
      <c r="AC335"/>
      <c r="AE335"/>
      <c r="AF335"/>
      <c r="AJ335"/>
    </row>
    <row r="336" spans="1:49" ht="15" x14ac:dyDescent="0.2">
      <c r="G336" s="241"/>
      <c r="H336" s="241"/>
      <c r="X336" s="284"/>
      <c r="AA336"/>
      <c r="AB336"/>
      <c r="AC336"/>
      <c r="AE336"/>
      <c r="AF336"/>
      <c r="AJ336"/>
    </row>
    <row r="337" spans="7:36" ht="15" x14ac:dyDescent="0.2">
      <c r="G337" s="241"/>
      <c r="H337" s="241"/>
      <c r="X337" s="284"/>
      <c r="AA337"/>
      <c r="AB337"/>
      <c r="AC337"/>
      <c r="AE337"/>
      <c r="AF337"/>
      <c r="AJ337"/>
    </row>
    <row r="338" spans="7:36" ht="15" x14ac:dyDescent="0.2">
      <c r="G338" s="241"/>
      <c r="H338" s="241"/>
      <c r="X338" s="284"/>
      <c r="AA338"/>
      <c r="AB338"/>
      <c r="AC338"/>
      <c r="AE338"/>
      <c r="AF338"/>
      <c r="AJ338"/>
    </row>
    <row r="339" spans="7:36" ht="15" x14ac:dyDescent="0.2">
      <c r="G339" s="241"/>
      <c r="H339" s="241"/>
      <c r="X339" s="284"/>
      <c r="AA339"/>
      <c r="AB339"/>
      <c r="AC339"/>
      <c r="AE339"/>
      <c r="AF339"/>
      <c r="AJ339"/>
    </row>
    <row r="340" spans="7:36" ht="15" x14ac:dyDescent="0.2">
      <c r="G340" s="241"/>
      <c r="H340" s="241"/>
      <c r="X340" s="284"/>
      <c r="AA340"/>
      <c r="AB340"/>
      <c r="AC340"/>
      <c r="AE340"/>
      <c r="AF340"/>
      <c r="AJ340"/>
    </row>
    <row r="341" spans="7:36" ht="15" x14ac:dyDescent="0.2">
      <c r="G341" s="241"/>
      <c r="H341" s="241"/>
      <c r="X341" s="284"/>
      <c r="AA341"/>
      <c r="AB341"/>
      <c r="AC341"/>
      <c r="AE341"/>
      <c r="AF341"/>
      <c r="AJ341"/>
    </row>
    <row r="342" spans="7:36" ht="15" x14ac:dyDescent="0.2">
      <c r="G342" s="241"/>
      <c r="H342" s="241"/>
      <c r="X342" s="284"/>
      <c r="AA342"/>
      <c r="AB342"/>
      <c r="AC342"/>
      <c r="AE342"/>
      <c r="AF342"/>
      <c r="AJ342"/>
    </row>
    <row r="343" spans="7:36" ht="15" x14ac:dyDescent="0.2">
      <c r="G343" s="241"/>
      <c r="H343" s="241"/>
      <c r="X343" s="284"/>
      <c r="AA343"/>
      <c r="AB343"/>
      <c r="AC343"/>
      <c r="AE343"/>
      <c r="AF343"/>
      <c r="AJ343"/>
    </row>
    <row r="344" spans="7:36" ht="15" x14ac:dyDescent="0.2">
      <c r="G344" s="241"/>
      <c r="H344" s="241"/>
      <c r="X344" s="284"/>
      <c r="AA344"/>
      <c r="AB344"/>
      <c r="AC344"/>
      <c r="AE344"/>
      <c r="AF344"/>
      <c r="AJ344"/>
    </row>
    <row r="345" spans="7:36" ht="15" x14ac:dyDescent="0.2">
      <c r="G345" s="241"/>
      <c r="H345" s="241"/>
      <c r="X345" s="284"/>
      <c r="AA345"/>
      <c r="AB345"/>
      <c r="AC345"/>
      <c r="AE345"/>
      <c r="AF345"/>
      <c r="AJ345"/>
    </row>
    <row r="346" spans="7:36" ht="15" x14ac:dyDescent="0.2">
      <c r="G346" s="241"/>
      <c r="H346" s="241"/>
      <c r="X346" s="284"/>
      <c r="AA346"/>
      <c r="AB346"/>
      <c r="AC346"/>
      <c r="AE346"/>
      <c r="AF346"/>
      <c r="AJ346"/>
    </row>
    <row r="347" spans="7:36" ht="15" x14ac:dyDescent="0.2">
      <c r="G347" s="241"/>
      <c r="H347" s="241"/>
      <c r="X347" s="284"/>
      <c r="AA347"/>
      <c r="AB347"/>
      <c r="AC347"/>
      <c r="AE347"/>
      <c r="AF347"/>
      <c r="AJ347"/>
    </row>
    <row r="348" spans="7:36" ht="15" x14ac:dyDescent="0.2">
      <c r="G348" s="241"/>
      <c r="H348" s="241"/>
      <c r="X348" s="284"/>
      <c r="AA348"/>
      <c r="AB348"/>
      <c r="AC348"/>
      <c r="AE348"/>
      <c r="AF348"/>
      <c r="AJ348"/>
    </row>
    <row r="349" spans="7:36" ht="15" x14ac:dyDescent="0.2">
      <c r="G349" s="241"/>
      <c r="H349" s="241"/>
      <c r="X349" s="284"/>
      <c r="AA349"/>
      <c r="AB349"/>
      <c r="AC349"/>
      <c r="AE349"/>
      <c r="AF349"/>
      <c r="AJ349"/>
    </row>
    <row r="350" spans="7:36" ht="15" x14ac:dyDescent="0.2">
      <c r="G350" s="241"/>
      <c r="H350" s="241"/>
      <c r="X350" s="284"/>
      <c r="AA350"/>
      <c r="AB350"/>
      <c r="AC350"/>
      <c r="AE350"/>
      <c r="AF350"/>
      <c r="AJ350"/>
    </row>
    <row r="351" spans="7:36" ht="15" x14ac:dyDescent="0.2">
      <c r="G351" s="241"/>
      <c r="H351" s="241"/>
      <c r="X351" s="284"/>
      <c r="AA351"/>
      <c r="AB351"/>
      <c r="AC351"/>
      <c r="AE351"/>
      <c r="AF351"/>
      <c r="AJ351"/>
    </row>
    <row r="352" spans="7:36" ht="15" x14ac:dyDescent="0.2">
      <c r="G352" s="241"/>
      <c r="H352" s="241"/>
      <c r="X352" s="284"/>
      <c r="AA352"/>
      <c r="AB352"/>
      <c r="AC352"/>
      <c r="AE352"/>
      <c r="AF352"/>
      <c r="AJ352"/>
    </row>
    <row r="353" spans="7:36" ht="15" x14ac:dyDescent="0.2">
      <c r="G353" s="241"/>
      <c r="H353" s="241"/>
      <c r="X353" s="284"/>
      <c r="AA353"/>
      <c r="AB353"/>
      <c r="AC353"/>
      <c r="AE353"/>
      <c r="AF353"/>
      <c r="AJ353"/>
    </row>
    <row r="354" spans="7:36" ht="15" x14ac:dyDescent="0.2">
      <c r="G354" s="241"/>
      <c r="H354" s="241"/>
      <c r="X354" s="284"/>
      <c r="AA354"/>
      <c r="AB354"/>
      <c r="AC354"/>
      <c r="AE354"/>
      <c r="AF354"/>
      <c r="AJ354"/>
    </row>
    <row r="355" spans="7:36" ht="15" x14ac:dyDescent="0.2">
      <c r="G355" s="241"/>
      <c r="H355" s="241"/>
      <c r="X355" s="284"/>
      <c r="AA355"/>
      <c r="AB355"/>
      <c r="AC355"/>
      <c r="AE355"/>
      <c r="AF355"/>
      <c r="AJ355"/>
    </row>
    <row r="356" spans="7:36" ht="15" x14ac:dyDescent="0.2">
      <c r="G356" s="241"/>
      <c r="H356" s="241"/>
      <c r="X356" s="284"/>
      <c r="AA356"/>
      <c r="AB356"/>
      <c r="AC356"/>
      <c r="AE356"/>
      <c r="AF356"/>
      <c r="AJ356"/>
    </row>
    <row r="357" spans="7:36" ht="15" x14ac:dyDescent="0.2">
      <c r="G357" s="241"/>
      <c r="H357" s="241"/>
      <c r="X357" s="284"/>
      <c r="AA357"/>
      <c r="AB357"/>
      <c r="AC357"/>
      <c r="AE357"/>
      <c r="AF357"/>
      <c r="AJ357"/>
    </row>
    <row r="358" spans="7:36" ht="15" x14ac:dyDescent="0.2">
      <c r="G358" s="241"/>
      <c r="H358" s="241"/>
      <c r="X358" s="284"/>
      <c r="AA358"/>
      <c r="AB358"/>
      <c r="AC358"/>
      <c r="AE358"/>
      <c r="AF358"/>
      <c r="AJ358"/>
    </row>
    <row r="359" spans="7:36" ht="15" x14ac:dyDescent="0.2">
      <c r="G359" s="241"/>
      <c r="H359" s="241"/>
      <c r="X359" s="284"/>
      <c r="AA359"/>
      <c r="AB359"/>
      <c r="AC359"/>
      <c r="AE359"/>
      <c r="AF359"/>
      <c r="AJ359"/>
    </row>
    <row r="360" spans="7:36" ht="15" x14ac:dyDescent="0.2">
      <c r="G360" s="241"/>
      <c r="H360" s="241"/>
      <c r="X360" s="284"/>
      <c r="AA360"/>
      <c r="AB360"/>
      <c r="AC360"/>
      <c r="AE360"/>
      <c r="AF360"/>
      <c r="AJ360"/>
    </row>
    <row r="361" spans="7:36" x14ac:dyDescent="0.2">
      <c r="X361" s="284"/>
      <c r="AA361"/>
      <c r="AB361"/>
      <c r="AC361"/>
      <c r="AE361"/>
      <c r="AF361"/>
      <c r="AJ361"/>
    </row>
    <row r="362" spans="7:36" x14ac:dyDescent="0.2">
      <c r="X362" s="284"/>
      <c r="AA362"/>
      <c r="AB362"/>
      <c r="AC362"/>
      <c r="AE362"/>
      <c r="AF362"/>
      <c r="AJ362"/>
    </row>
    <row r="363" spans="7:36" x14ac:dyDescent="0.2">
      <c r="X363" s="284"/>
      <c r="AA363"/>
      <c r="AB363"/>
      <c r="AC363"/>
      <c r="AE363"/>
      <c r="AF363"/>
      <c r="AJ363"/>
    </row>
    <row r="364" spans="7:36" x14ac:dyDescent="0.2">
      <c r="X364" s="284"/>
      <c r="AA364"/>
      <c r="AB364"/>
      <c r="AC364"/>
      <c r="AE364"/>
      <c r="AF364"/>
      <c r="AJ364"/>
    </row>
    <row r="365" spans="7:36" x14ac:dyDescent="0.2">
      <c r="X365" s="284"/>
      <c r="AA365"/>
      <c r="AB365"/>
      <c r="AC365"/>
      <c r="AE365"/>
      <c r="AF365"/>
      <c r="AJ365"/>
    </row>
    <row r="366" spans="7:36" x14ac:dyDescent="0.2">
      <c r="X366" s="284"/>
      <c r="AA366"/>
      <c r="AB366"/>
      <c r="AC366"/>
      <c r="AE366"/>
      <c r="AF366"/>
      <c r="AJ366"/>
    </row>
    <row r="367" spans="7:36" x14ac:dyDescent="0.2">
      <c r="X367" s="284"/>
      <c r="AA367"/>
      <c r="AB367"/>
      <c r="AC367"/>
      <c r="AE367"/>
      <c r="AF367"/>
      <c r="AJ367"/>
    </row>
    <row r="368" spans="7:36" x14ac:dyDescent="0.2">
      <c r="X368" s="284"/>
      <c r="AA368"/>
      <c r="AB368"/>
      <c r="AC368"/>
      <c r="AE368"/>
      <c r="AF368"/>
      <c r="AJ368"/>
    </row>
    <row r="369" spans="24:36" x14ac:dyDescent="0.2">
      <c r="X369" s="284"/>
      <c r="AA369"/>
      <c r="AB369"/>
      <c r="AC369"/>
      <c r="AE369"/>
      <c r="AF369"/>
      <c r="AJ369"/>
    </row>
    <row r="370" spans="24:36" x14ac:dyDescent="0.2">
      <c r="X370" s="284"/>
      <c r="AA370"/>
      <c r="AB370"/>
      <c r="AC370"/>
      <c r="AE370"/>
      <c r="AF370"/>
      <c r="AJ370"/>
    </row>
    <row r="371" spans="24:36" x14ac:dyDescent="0.2">
      <c r="X371" s="284"/>
      <c r="AA371"/>
      <c r="AB371"/>
      <c r="AC371"/>
      <c r="AE371"/>
      <c r="AF371"/>
      <c r="AJ371"/>
    </row>
    <row r="372" spans="24:36" x14ac:dyDescent="0.2">
      <c r="X372" s="284"/>
      <c r="AA372"/>
      <c r="AB372"/>
      <c r="AC372"/>
      <c r="AE372"/>
      <c r="AF372"/>
      <c r="AJ372"/>
    </row>
    <row r="373" spans="24:36" x14ac:dyDescent="0.2">
      <c r="X373" s="284"/>
      <c r="AA373"/>
      <c r="AB373"/>
      <c r="AC373"/>
      <c r="AE373"/>
      <c r="AF373"/>
      <c r="AJ373"/>
    </row>
    <row r="374" spans="24:36" x14ac:dyDescent="0.2">
      <c r="X374" s="284"/>
      <c r="AA374"/>
      <c r="AB374"/>
      <c r="AC374"/>
      <c r="AE374"/>
      <c r="AF374"/>
      <c r="AJ374"/>
    </row>
    <row r="375" spans="24:36" x14ac:dyDescent="0.2">
      <c r="X375" s="284"/>
      <c r="AA375"/>
      <c r="AB375"/>
      <c r="AC375"/>
      <c r="AE375"/>
      <c r="AF375"/>
      <c r="AJ375"/>
    </row>
    <row r="376" spans="24:36" x14ac:dyDescent="0.2">
      <c r="X376" s="284"/>
      <c r="AA376"/>
      <c r="AB376"/>
      <c r="AC376"/>
      <c r="AE376"/>
      <c r="AF376"/>
      <c r="AJ376"/>
    </row>
    <row r="377" spans="24:36" x14ac:dyDescent="0.2">
      <c r="X377" s="284"/>
      <c r="AA377"/>
      <c r="AB377"/>
      <c r="AC377"/>
      <c r="AE377"/>
      <c r="AF377"/>
      <c r="AJ377"/>
    </row>
    <row r="378" spans="24:36" x14ac:dyDescent="0.2">
      <c r="X378" s="284"/>
      <c r="AA378"/>
      <c r="AB378"/>
      <c r="AC378"/>
      <c r="AE378"/>
      <c r="AF378"/>
      <c r="AJ378"/>
    </row>
    <row r="379" spans="24:36" x14ac:dyDescent="0.2">
      <c r="X379" s="284"/>
      <c r="AA379"/>
      <c r="AB379"/>
      <c r="AC379"/>
      <c r="AE379"/>
      <c r="AF379"/>
      <c r="AJ379"/>
    </row>
    <row r="380" spans="24:36" x14ac:dyDescent="0.2">
      <c r="X380" s="284"/>
      <c r="AA380"/>
      <c r="AB380"/>
      <c r="AC380"/>
      <c r="AE380"/>
      <c r="AF380"/>
      <c r="AJ380"/>
    </row>
    <row r="381" spans="24:36" x14ac:dyDescent="0.2">
      <c r="X381" s="284"/>
      <c r="AA381"/>
      <c r="AB381"/>
      <c r="AC381"/>
      <c r="AE381"/>
      <c r="AF381"/>
      <c r="AJ381"/>
    </row>
    <row r="382" spans="24:36" x14ac:dyDescent="0.2">
      <c r="X382" s="284"/>
      <c r="AA382"/>
      <c r="AB382"/>
      <c r="AC382"/>
      <c r="AE382"/>
      <c r="AF382"/>
      <c r="AJ382"/>
    </row>
    <row r="383" spans="24:36" x14ac:dyDescent="0.2">
      <c r="X383" s="284"/>
      <c r="AA383"/>
      <c r="AB383"/>
      <c r="AC383"/>
      <c r="AE383"/>
      <c r="AF383"/>
      <c r="AJ383"/>
    </row>
    <row r="384" spans="24:36" x14ac:dyDescent="0.2">
      <c r="X384" s="284"/>
      <c r="AA384"/>
      <c r="AB384"/>
      <c r="AC384"/>
      <c r="AE384"/>
      <c r="AF384"/>
      <c r="AJ384"/>
    </row>
    <row r="385" spans="24:36" x14ac:dyDescent="0.2">
      <c r="X385" s="284"/>
      <c r="AA385"/>
      <c r="AB385"/>
      <c r="AC385"/>
      <c r="AE385"/>
      <c r="AF385"/>
      <c r="AJ385"/>
    </row>
    <row r="386" spans="24:36" x14ac:dyDescent="0.2">
      <c r="X386" s="284"/>
      <c r="AA386"/>
      <c r="AB386"/>
      <c r="AC386"/>
      <c r="AE386"/>
      <c r="AF386"/>
      <c r="AJ386"/>
    </row>
    <row r="387" spans="24:36" x14ac:dyDescent="0.2">
      <c r="X387" s="284"/>
      <c r="AA387"/>
      <c r="AB387"/>
      <c r="AC387"/>
      <c r="AE387"/>
      <c r="AF387"/>
      <c r="AJ387"/>
    </row>
    <row r="388" spans="24:36" x14ac:dyDescent="0.2">
      <c r="X388" s="284"/>
      <c r="AA388"/>
      <c r="AB388"/>
      <c r="AC388"/>
      <c r="AE388"/>
      <c r="AF388"/>
      <c r="AJ388"/>
    </row>
    <row r="389" spans="24:36" x14ac:dyDescent="0.2">
      <c r="X389" s="284"/>
      <c r="AA389"/>
      <c r="AB389"/>
      <c r="AC389"/>
      <c r="AE389"/>
      <c r="AF389"/>
      <c r="AJ389"/>
    </row>
    <row r="390" spans="24:36" x14ac:dyDescent="0.2">
      <c r="X390" s="284"/>
      <c r="AA390"/>
      <c r="AB390"/>
      <c r="AC390"/>
      <c r="AE390"/>
      <c r="AF390"/>
      <c r="AJ390"/>
    </row>
    <row r="391" spans="24:36" x14ac:dyDescent="0.2">
      <c r="X391" s="284"/>
      <c r="AA391"/>
      <c r="AB391"/>
      <c r="AC391"/>
      <c r="AE391"/>
      <c r="AF391"/>
      <c r="AJ391"/>
    </row>
    <row r="392" spans="24:36" x14ac:dyDescent="0.2">
      <c r="X392" s="284"/>
      <c r="AA392"/>
      <c r="AB392"/>
      <c r="AC392"/>
      <c r="AE392"/>
      <c r="AF392"/>
      <c r="AJ392"/>
    </row>
    <row r="393" spans="24:36" x14ac:dyDescent="0.2">
      <c r="X393" s="284"/>
      <c r="AA393"/>
      <c r="AB393"/>
      <c r="AC393"/>
      <c r="AE393"/>
      <c r="AF393"/>
      <c r="AJ393"/>
    </row>
    <row r="394" spans="24:36" x14ac:dyDescent="0.2">
      <c r="X394" s="284"/>
      <c r="AA394"/>
      <c r="AB394"/>
      <c r="AC394"/>
      <c r="AE394"/>
      <c r="AF394"/>
      <c r="AJ394"/>
    </row>
    <row r="395" spans="24:36" x14ac:dyDescent="0.2">
      <c r="X395" s="284"/>
      <c r="AA395"/>
      <c r="AB395"/>
      <c r="AC395"/>
      <c r="AE395"/>
      <c r="AF395"/>
      <c r="AJ395"/>
    </row>
    <row r="396" spans="24:36" x14ac:dyDescent="0.2">
      <c r="X396" s="284"/>
      <c r="AA396"/>
      <c r="AB396"/>
      <c r="AC396"/>
      <c r="AE396"/>
      <c r="AF396"/>
      <c r="AJ396"/>
    </row>
    <row r="397" spans="24:36" x14ac:dyDescent="0.2">
      <c r="X397" s="284"/>
      <c r="AA397"/>
      <c r="AB397"/>
      <c r="AC397"/>
      <c r="AE397"/>
      <c r="AF397"/>
      <c r="AJ397"/>
    </row>
    <row r="398" spans="24:36" x14ac:dyDescent="0.2">
      <c r="X398" s="284"/>
      <c r="AA398"/>
      <c r="AB398"/>
      <c r="AC398"/>
      <c r="AE398"/>
      <c r="AF398"/>
      <c r="AJ398"/>
    </row>
    <row r="399" spans="24:36" x14ac:dyDescent="0.2">
      <c r="X399" s="284"/>
      <c r="AA399"/>
      <c r="AB399"/>
      <c r="AC399"/>
      <c r="AE399"/>
      <c r="AF399"/>
      <c r="AJ399"/>
    </row>
    <row r="400" spans="24:36" x14ac:dyDescent="0.2">
      <c r="X400" s="284"/>
      <c r="AA400"/>
      <c r="AB400"/>
      <c r="AC400"/>
      <c r="AE400"/>
      <c r="AF400"/>
      <c r="AJ400"/>
    </row>
    <row r="401" spans="24:36" x14ac:dyDescent="0.2">
      <c r="X401" s="284"/>
      <c r="AA401"/>
      <c r="AB401"/>
      <c r="AC401"/>
      <c r="AE401"/>
      <c r="AF401"/>
      <c r="AJ401"/>
    </row>
    <row r="402" spans="24:36" x14ac:dyDescent="0.2">
      <c r="X402" s="284"/>
      <c r="AA402"/>
      <c r="AB402"/>
      <c r="AC402"/>
      <c r="AE402"/>
      <c r="AF402"/>
      <c r="AJ402"/>
    </row>
    <row r="403" spans="24:36" x14ac:dyDescent="0.2">
      <c r="X403" s="284"/>
      <c r="AA403"/>
      <c r="AB403"/>
      <c r="AC403"/>
      <c r="AE403"/>
      <c r="AF403"/>
      <c r="AJ403"/>
    </row>
    <row r="404" spans="24:36" x14ac:dyDescent="0.2">
      <c r="X404" s="284"/>
      <c r="AA404"/>
      <c r="AB404"/>
      <c r="AC404"/>
      <c r="AE404"/>
      <c r="AF404"/>
      <c r="AJ404"/>
    </row>
    <row r="405" spans="24:36" x14ac:dyDescent="0.2">
      <c r="X405" s="284"/>
      <c r="AA405"/>
      <c r="AB405"/>
      <c r="AC405"/>
      <c r="AE405"/>
      <c r="AF405"/>
      <c r="AJ405"/>
    </row>
    <row r="406" spans="24:36" x14ac:dyDescent="0.2">
      <c r="X406" s="284"/>
      <c r="AA406"/>
      <c r="AB406"/>
      <c r="AC406"/>
      <c r="AE406"/>
      <c r="AF406"/>
      <c r="AJ406"/>
    </row>
    <row r="407" spans="24:36" x14ac:dyDescent="0.2">
      <c r="X407" s="284"/>
      <c r="AA407"/>
      <c r="AB407"/>
      <c r="AC407"/>
      <c r="AE407"/>
      <c r="AF407"/>
      <c r="AJ407"/>
    </row>
    <row r="408" spans="24:36" x14ac:dyDescent="0.2">
      <c r="X408" s="284"/>
      <c r="AA408"/>
      <c r="AB408"/>
      <c r="AC408"/>
      <c r="AE408"/>
      <c r="AF408"/>
      <c r="AJ408"/>
    </row>
    <row r="409" spans="24:36" x14ac:dyDescent="0.2">
      <c r="X409" s="284"/>
      <c r="AA409"/>
      <c r="AB409"/>
      <c r="AC409"/>
      <c r="AE409"/>
      <c r="AF409"/>
      <c r="AJ409"/>
    </row>
    <row r="410" spans="24:36" x14ac:dyDescent="0.2">
      <c r="X410" s="284"/>
      <c r="AA410"/>
      <c r="AB410"/>
      <c r="AC410"/>
      <c r="AE410"/>
      <c r="AF410"/>
      <c r="AJ410"/>
    </row>
    <row r="411" spans="24:36" x14ac:dyDescent="0.2">
      <c r="X411" s="284"/>
      <c r="AA411"/>
      <c r="AB411"/>
      <c r="AC411"/>
      <c r="AE411"/>
      <c r="AF411"/>
      <c r="AJ411"/>
    </row>
    <row r="412" spans="24:36" x14ac:dyDescent="0.2">
      <c r="X412" s="284"/>
      <c r="AA412"/>
      <c r="AB412"/>
      <c r="AC412"/>
      <c r="AE412"/>
      <c r="AF412"/>
      <c r="AJ412"/>
    </row>
    <row r="413" spans="24:36" x14ac:dyDescent="0.2">
      <c r="X413" s="284"/>
      <c r="AA413"/>
      <c r="AB413"/>
      <c r="AC413"/>
      <c r="AE413"/>
      <c r="AF413"/>
      <c r="AJ413"/>
    </row>
    <row r="414" spans="24:36" x14ac:dyDescent="0.2">
      <c r="X414" s="284"/>
      <c r="AA414"/>
      <c r="AB414"/>
      <c r="AC414"/>
      <c r="AE414"/>
      <c r="AF414"/>
      <c r="AJ414"/>
    </row>
    <row r="415" spans="24:36" x14ac:dyDescent="0.2">
      <c r="X415" s="284"/>
      <c r="AA415"/>
      <c r="AB415"/>
      <c r="AC415"/>
      <c r="AE415"/>
      <c r="AF415"/>
      <c r="AJ415"/>
    </row>
    <row r="416" spans="24:36" x14ac:dyDescent="0.2">
      <c r="X416" s="284"/>
      <c r="AA416"/>
      <c r="AB416"/>
      <c r="AC416"/>
      <c r="AE416"/>
      <c r="AF416"/>
      <c r="AJ416"/>
    </row>
    <row r="417" spans="24:36" x14ac:dyDescent="0.2">
      <c r="X417" s="284"/>
      <c r="AA417"/>
      <c r="AB417"/>
      <c r="AC417"/>
      <c r="AE417"/>
      <c r="AF417"/>
      <c r="AJ417"/>
    </row>
    <row r="418" spans="24:36" x14ac:dyDescent="0.2">
      <c r="X418" s="284"/>
      <c r="AA418"/>
      <c r="AB418"/>
      <c r="AC418"/>
      <c r="AE418"/>
      <c r="AF418"/>
      <c r="AJ418"/>
    </row>
    <row r="419" spans="24:36" x14ac:dyDescent="0.2">
      <c r="X419" s="284"/>
      <c r="AA419"/>
      <c r="AB419"/>
      <c r="AC419"/>
      <c r="AE419"/>
      <c r="AF419"/>
      <c r="AJ419"/>
    </row>
    <row r="420" spans="24:36" x14ac:dyDescent="0.2">
      <c r="X420" s="284"/>
      <c r="AA420"/>
      <c r="AB420"/>
      <c r="AC420"/>
      <c r="AE420"/>
      <c r="AF420"/>
      <c r="AJ420"/>
    </row>
    <row r="421" spans="24:36" x14ac:dyDescent="0.2">
      <c r="X421" s="284"/>
      <c r="AA421"/>
      <c r="AB421"/>
      <c r="AC421"/>
      <c r="AE421"/>
      <c r="AF421"/>
      <c r="AJ421"/>
    </row>
    <row r="422" spans="24:36" x14ac:dyDescent="0.2">
      <c r="X422" s="284"/>
      <c r="AA422"/>
      <c r="AB422"/>
      <c r="AC422"/>
      <c r="AE422"/>
      <c r="AF422"/>
      <c r="AJ422"/>
    </row>
    <row r="423" spans="24:36" x14ac:dyDescent="0.2">
      <c r="X423" s="284"/>
      <c r="AA423"/>
      <c r="AB423"/>
      <c r="AC423"/>
      <c r="AE423"/>
      <c r="AF423"/>
      <c r="AJ423"/>
    </row>
    <row r="424" spans="24:36" x14ac:dyDescent="0.2">
      <c r="X424" s="284"/>
      <c r="AA424"/>
      <c r="AB424"/>
      <c r="AC424"/>
      <c r="AE424"/>
      <c r="AF424"/>
      <c r="AJ424"/>
    </row>
    <row r="425" spans="24:36" x14ac:dyDescent="0.2">
      <c r="X425" s="284"/>
      <c r="AA425"/>
      <c r="AB425"/>
      <c r="AC425"/>
      <c r="AE425"/>
      <c r="AF425"/>
      <c r="AJ425"/>
    </row>
    <row r="426" spans="24:36" x14ac:dyDescent="0.2">
      <c r="X426" s="284"/>
      <c r="AA426"/>
      <c r="AB426"/>
      <c r="AC426"/>
      <c r="AE426"/>
      <c r="AF426"/>
      <c r="AJ426"/>
    </row>
    <row r="427" spans="24:36" x14ac:dyDescent="0.2">
      <c r="X427" s="284"/>
      <c r="AA427"/>
      <c r="AB427"/>
      <c r="AC427"/>
      <c r="AE427"/>
      <c r="AF427"/>
      <c r="AJ427"/>
    </row>
    <row r="428" spans="24:36" x14ac:dyDescent="0.2">
      <c r="X428" s="284"/>
      <c r="AA428"/>
      <c r="AB428"/>
      <c r="AC428"/>
      <c r="AE428"/>
      <c r="AF428"/>
      <c r="AJ428"/>
    </row>
    <row r="429" spans="24:36" x14ac:dyDescent="0.2">
      <c r="X429" s="284"/>
      <c r="AA429"/>
      <c r="AB429"/>
      <c r="AC429"/>
      <c r="AE429"/>
      <c r="AF429"/>
      <c r="AJ429"/>
    </row>
    <row r="430" spans="24:36" x14ac:dyDescent="0.2">
      <c r="X430" s="284"/>
      <c r="AA430"/>
      <c r="AB430"/>
      <c r="AC430"/>
      <c r="AE430"/>
      <c r="AF430"/>
      <c r="AJ430"/>
    </row>
    <row r="431" spans="24:36" x14ac:dyDescent="0.2">
      <c r="X431" s="284"/>
      <c r="AA431"/>
      <c r="AB431"/>
      <c r="AC431"/>
      <c r="AE431"/>
      <c r="AF431"/>
      <c r="AJ431"/>
    </row>
    <row r="432" spans="24:36" x14ac:dyDescent="0.2">
      <c r="X432" s="284"/>
      <c r="AA432"/>
      <c r="AB432"/>
      <c r="AC432"/>
      <c r="AE432"/>
      <c r="AF432"/>
      <c r="AJ432"/>
    </row>
    <row r="433" spans="24:36" x14ac:dyDescent="0.2">
      <c r="X433" s="284"/>
      <c r="AA433"/>
      <c r="AB433"/>
      <c r="AC433"/>
      <c r="AE433"/>
      <c r="AF433"/>
      <c r="AJ433"/>
    </row>
    <row r="434" spans="24:36" x14ac:dyDescent="0.2">
      <c r="X434" s="284"/>
      <c r="AA434"/>
      <c r="AB434"/>
      <c r="AC434"/>
      <c r="AE434"/>
      <c r="AF434"/>
      <c r="AJ434"/>
    </row>
    <row r="435" spans="24:36" x14ac:dyDescent="0.2">
      <c r="X435" s="284"/>
      <c r="AA435"/>
      <c r="AB435"/>
      <c r="AC435"/>
      <c r="AE435"/>
      <c r="AF435"/>
      <c r="AJ435"/>
    </row>
    <row r="436" spans="24:36" x14ac:dyDescent="0.2">
      <c r="X436" s="284"/>
      <c r="AA436"/>
      <c r="AB436"/>
      <c r="AC436"/>
      <c r="AE436"/>
      <c r="AF436"/>
      <c r="AJ436"/>
    </row>
    <row r="437" spans="24:36" x14ac:dyDescent="0.2">
      <c r="X437" s="284"/>
      <c r="AA437"/>
      <c r="AB437"/>
      <c r="AC437"/>
      <c r="AE437"/>
      <c r="AF437"/>
      <c r="AJ437"/>
    </row>
    <row r="438" spans="24:36" x14ac:dyDescent="0.2">
      <c r="X438" s="284"/>
      <c r="AA438"/>
      <c r="AB438"/>
      <c r="AC438"/>
      <c r="AE438"/>
      <c r="AF438"/>
      <c r="AJ438"/>
    </row>
    <row r="439" spans="24:36" x14ac:dyDescent="0.2">
      <c r="X439" s="284"/>
      <c r="AA439"/>
      <c r="AB439"/>
      <c r="AC439"/>
      <c r="AE439"/>
      <c r="AF439"/>
      <c r="AJ439"/>
    </row>
    <row r="440" spans="24:36" x14ac:dyDescent="0.2">
      <c r="X440" s="284"/>
      <c r="AA440"/>
      <c r="AB440"/>
      <c r="AC440"/>
      <c r="AE440"/>
      <c r="AF440"/>
      <c r="AJ440"/>
    </row>
    <row r="441" spans="24:36" x14ac:dyDescent="0.2">
      <c r="X441" s="284"/>
      <c r="AA441"/>
      <c r="AB441"/>
      <c r="AC441"/>
      <c r="AE441"/>
      <c r="AF441"/>
      <c r="AJ441"/>
    </row>
    <row r="442" spans="24:36" x14ac:dyDescent="0.2">
      <c r="X442" s="284"/>
      <c r="AA442"/>
      <c r="AB442"/>
      <c r="AC442"/>
      <c r="AE442"/>
      <c r="AF442"/>
      <c r="AJ442"/>
    </row>
    <row r="443" spans="24:36" x14ac:dyDescent="0.2">
      <c r="X443" s="284"/>
      <c r="AA443"/>
      <c r="AB443"/>
      <c r="AC443"/>
      <c r="AE443"/>
      <c r="AF443"/>
      <c r="AJ443"/>
    </row>
    <row r="444" spans="24:36" x14ac:dyDescent="0.2">
      <c r="X444" s="284"/>
      <c r="AA444"/>
      <c r="AB444"/>
      <c r="AC444"/>
      <c r="AE444"/>
      <c r="AF444"/>
      <c r="AJ444"/>
    </row>
    <row r="445" spans="24:36" x14ac:dyDescent="0.2">
      <c r="X445" s="284"/>
      <c r="AA445"/>
      <c r="AB445"/>
      <c r="AC445"/>
      <c r="AE445"/>
      <c r="AF445"/>
      <c r="AJ445"/>
    </row>
    <row r="446" spans="24:36" x14ac:dyDescent="0.2">
      <c r="X446" s="284"/>
      <c r="AA446"/>
      <c r="AB446"/>
      <c r="AC446"/>
      <c r="AE446"/>
      <c r="AF446"/>
      <c r="AJ446"/>
    </row>
    <row r="447" spans="24:36" x14ac:dyDescent="0.2">
      <c r="X447" s="284"/>
      <c r="AA447"/>
      <c r="AB447"/>
      <c r="AC447"/>
      <c r="AE447"/>
      <c r="AF447"/>
      <c r="AJ447"/>
    </row>
    <row r="448" spans="24:36" x14ac:dyDescent="0.2">
      <c r="X448" s="284"/>
      <c r="AA448"/>
      <c r="AB448"/>
      <c r="AC448"/>
      <c r="AE448"/>
      <c r="AF448"/>
      <c r="AJ448"/>
    </row>
    <row r="449" spans="24:36" x14ac:dyDescent="0.2">
      <c r="X449" s="284"/>
      <c r="AA449"/>
      <c r="AB449"/>
      <c r="AC449"/>
      <c r="AE449"/>
      <c r="AF449"/>
      <c r="AJ449"/>
    </row>
    <row r="450" spans="24:36" x14ac:dyDescent="0.2">
      <c r="X450" s="284"/>
      <c r="AA450"/>
      <c r="AB450"/>
      <c r="AC450"/>
      <c r="AE450"/>
      <c r="AF450"/>
      <c r="AJ450"/>
    </row>
    <row r="451" spans="24:36" x14ac:dyDescent="0.2">
      <c r="X451" s="284"/>
      <c r="AA451"/>
      <c r="AB451"/>
      <c r="AC451"/>
      <c r="AE451"/>
      <c r="AF451"/>
      <c r="AJ451"/>
    </row>
    <row r="452" spans="24:36" x14ac:dyDescent="0.2">
      <c r="X452" s="284"/>
      <c r="AA452"/>
      <c r="AB452"/>
      <c r="AC452"/>
      <c r="AE452"/>
      <c r="AF452"/>
      <c r="AJ452"/>
    </row>
    <row r="453" spans="24:36" x14ac:dyDescent="0.2">
      <c r="X453" s="284"/>
      <c r="AA453"/>
      <c r="AB453"/>
      <c r="AC453"/>
      <c r="AE453"/>
      <c r="AF453"/>
      <c r="AJ453"/>
    </row>
    <row r="454" spans="24:36" x14ac:dyDescent="0.2">
      <c r="X454" s="284"/>
      <c r="AA454"/>
      <c r="AB454"/>
      <c r="AC454"/>
      <c r="AE454"/>
      <c r="AF454"/>
      <c r="AJ454"/>
    </row>
    <row r="455" spans="24:36" x14ac:dyDescent="0.2">
      <c r="X455" s="284"/>
      <c r="AA455"/>
      <c r="AB455"/>
      <c r="AC455"/>
      <c r="AE455"/>
      <c r="AF455"/>
      <c r="AJ455"/>
    </row>
    <row r="456" spans="24:36" x14ac:dyDescent="0.2">
      <c r="X456" s="284"/>
      <c r="AA456"/>
      <c r="AB456"/>
      <c r="AC456"/>
      <c r="AE456"/>
      <c r="AF456"/>
      <c r="AJ456"/>
    </row>
    <row r="457" spans="24:36" x14ac:dyDescent="0.2">
      <c r="X457" s="284"/>
      <c r="AA457"/>
      <c r="AB457"/>
      <c r="AC457"/>
      <c r="AE457"/>
      <c r="AF457"/>
      <c r="AJ457"/>
    </row>
    <row r="458" spans="24:36" x14ac:dyDescent="0.2">
      <c r="X458" s="284"/>
      <c r="AA458"/>
      <c r="AB458"/>
      <c r="AC458"/>
      <c r="AE458"/>
      <c r="AF458"/>
      <c r="AJ458"/>
    </row>
    <row r="459" spans="24:36" x14ac:dyDescent="0.2">
      <c r="X459" s="284"/>
      <c r="AA459"/>
      <c r="AB459"/>
      <c r="AC459"/>
      <c r="AE459"/>
      <c r="AF459"/>
      <c r="AJ459"/>
    </row>
    <row r="460" spans="24:36" x14ac:dyDescent="0.2">
      <c r="X460" s="284"/>
      <c r="AA460"/>
      <c r="AB460"/>
      <c r="AC460"/>
      <c r="AE460"/>
      <c r="AF460"/>
      <c r="AJ460"/>
    </row>
    <row r="461" spans="24:36" x14ac:dyDescent="0.2">
      <c r="X461" s="284"/>
      <c r="AA461"/>
      <c r="AB461"/>
      <c r="AC461"/>
      <c r="AE461"/>
      <c r="AF461"/>
      <c r="AJ461"/>
    </row>
    <row r="462" spans="24:36" x14ac:dyDescent="0.2">
      <c r="X462" s="284"/>
      <c r="AA462"/>
      <c r="AB462"/>
      <c r="AC462"/>
      <c r="AE462"/>
      <c r="AF462"/>
      <c r="AJ462"/>
    </row>
    <row r="463" spans="24:36" x14ac:dyDescent="0.2">
      <c r="X463" s="284"/>
      <c r="AA463"/>
      <c r="AB463"/>
      <c r="AC463"/>
      <c r="AE463"/>
      <c r="AF463"/>
      <c r="AJ463"/>
    </row>
    <row r="464" spans="24:36" x14ac:dyDescent="0.2">
      <c r="X464" s="284"/>
      <c r="AA464"/>
      <c r="AB464"/>
      <c r="AC464"/>
      <c r="AE464"/>
      <c r="AF464"/>
      <c r="AJ464"/>
    </row>
    <row r="465" spans="24:36" x14ac:dyDescent="0.2">
      <c r="X465" s="284"/>
      <c r="AA465"/>
      <c r="AB465"/>
      <c r="AC465"/>
      <c r="AE465"/>
      <c r="AF465"/>
      <c r="AJ465"/>
    </row>
    <row r="466" spans="24:36" x14ac:dyDescent="0.2">
      <c r="X466" s="284"/>
      <c r="AA466"/>
      <c r="AB466"/>
      <c r="AC466"/>
      <c r="AE466"/>
      <c r="AF466"/>
      <c r="AJ466"/>
    </row>
    <row r="467" spans="24:36" x14ac:dyDescent="0.2">
      <c r="X467" s="284"/>
      <c r="AA467"/>
      <c r="AB467"/>
      <c r="AC467"/>
      <c r="AE467"/>
      <c r="AF467"/>
      <c r="AJ467"/>
    </row>
    <row r="468" spans="24:36" x14ac:dyDescent="0.2">
      <c r="X468" s="284"/>
      <c r="AA468"/>
      <c r="AB468"/>
      <c r="AC468"/>
      <c r="AE468"/>
      <c r="AF468"/>
      <c r="AJ468"/>
    </row>
    <row r="469" spans="24:36" x14ac:dyDescent="0.2">
      <c r="X469" s="284"/>
      <c r="AA469"/>
      <c r="AB469"/>
      <c r="AC469"/>
      <c r="AE469"/>
      <c r="AF469"/>
      <c r="AJ469"/>
    </row>
    <row r="470" spans="24:36" x14ac:dyDescent="0.2">
      <c r="X470" s="284"/>
      <c r="AA470"/>
      <c r="AB470"/>
      <c r="AC470"/>
      <c r="AE470"/>
      <c r="AF470"/>
      <c r="AJ470"/>
    </row>
    <row r="471" spans="24:36" x14ac:dyDescent="0.2">
      <c r="X471" s="284"/>
      <c r="AA471"/>
      <c r="AB471"/>
      <c r="AC471"/>
      <c r="AE471"/>
      <c r="AF471"/>
      <c r="AJ471"/>
    </row>
    <row r="472" spans="24:36" x14ac:dyDescent="0.2">
      <c r="X472" s="284"/>
      <c r="AA472"/>
      <c r="AB472"/>
      <c r="AC472"/>
      <c r="AE472"/>
      <c r="AF472"/>
      <c r="AJ472"/>
    </row>
    <row r="473" spans="24:36" x14ac:dyDescent="0.2">
      <c r="X473" s="284"/>
      <c r="AA473"/>
      <c r="AB473"/>
      <c r="AC473"/>
      <c r="AE473"/>
      <c r="AF473"/>
      <c r="AJ473"/>
    </row>
    <row r="474" spans="24:36" x14ac:dyDescent="0.2">
      <c r="X474" s="284"/>
      <c r="AA474"/>
      <c r="AB474"/>
      <c r="AC474"/>
      <c r="AE474"/>
      <c r="AF474"/>
      <c r="AJ474"/>
    </row>
    <row r="475" spans="24:36" x14ac:dyDescent="0.2">
      <c r="X475" s="284"/>
      <c r="AA475"/>
      <c r="AB475"/>
      <c r="AC475"/>
      <c r="AE475"/>
      <c r="AF475"/>
      <c r="AJ475"/>
    </row>
    <row r="476" spans="24:36" x14ac:dyDescent="0.2">
      <c r="X476" s="284"/>
      <c r="AA476"/>
      <c r="AB476"/>
      <c r="AC476"/>
      <c r="AE476"/>
      <c r="AF476"/>
      <c r="AJ476"/>
    </row>
    <row r="477" spans="24:36" x14ac:dyDescent="0.2">
      <c r="X477" s="284"/>
      <c r="AA477"/>
      <c r="AB477"/>
      <c r="AC477"/>
      <c r="AE477"/>
      <c r="AF477"/>
      <c r="AJ477"/>
    </row>
    <row r="478" spans="24:36" x14ac:dyDescent="0.2">
      <c r="X478" s="284"/>
      <c r="AA478"/>
      <c r="AB478"/>
      <c r="AC478"/>
      <c r="AE478"/>
      <c r="AF478"/>
      <c r="AJ478"/>
    </row>
    <row r="479" spans="24:36" x14ac:dyDescent="0.2">
      <c r="X479" s="284"/>
      <c r="AA479"/>
      <c r="AB479"/>
      <c r="AC479"/>
      <c r="AE479"/>
      <c r="AF479"/>
      <c r="AJ479"/>
    </row>
    <row r="480" spans="24:36" x14ac:dyDescent="0.2">
      <c r="X480" s="284"/>
      <c r="AA480"/>
      <c r="AB480"/>
      <c r="AC480"/>
      <c r="AE480"/>
      <c r="AF480"/>
      <c r="AJ480"/>
    </row>
    <row r="481" spans="24:36" x14ac:dyDescent="0.2">
      <c r="X481" s="284"/>
      <c r="AA481"/>
      <c r="AB481"/>
      <c r="AC481"/>
      <c r="AE481"/>
      <c r="AF481"/>
      <c r="AJ481"/>
    </row>
    <row r="482" spans="24:36" x14ac:dyDescent="0.2">
      <c r="X482" s="284"/>
      <c r="AA482"/>
      <c r="AB482"/>
      <c r="AC482"/>
      <c r="AE482"/>
      <c r="AF482"/>
      <c r="AJ482"/>
    </row>
    <row r="483" spans="24:36" x14ac:dyDescent="0.2">
      <c r="X483" s="284"/>
      <c r="AA483"/>
      <c r="AB483"/>
      <c r="AC483"/>
      <c r="AE483"/>
      <c r="AF483"/>
      <c r="AJ483"/>
    </row>
    <row r="484" spans="24:36" x14ac:dyDescent="0.2">
      <c r="X484" s="284"/>
      <c r="AA484"/>
      <c r="AB484"/>
      <c r="AC484"/>
      <c r="AE484"/>
      <c r="AF484"/>
      <c r="AJ484"/>
    </row>
    <row r="485" spans="24:36" x14ac:dyDescent="0.2">
      <c r="X485" s="284"/>
      <c r="AA485"/>
      <c r="AB485"/>
      <c r="AC485"/>
      <c r="AE485"/>
      <c r="AF485"/>
      <c r="AJ485"/>
    </row>
    <row r="486" spans="24:36" x14ac:dyDescent="0.2">
      <c r="X486" s="284"/>
      <c r="AA486"/>
      <c r="AB486"/>
      <c r="AC486"/>
      <c r="AE486"/>
      <c r="AF486"/>
      <c r="AJ486"/>
    </row>
    <row r="487" spans="24:36" x14ac:dyDescent="0.2">
      <c r="X487" s="284"/>
      <c r="AA487"/>
      <c r="AB487"/>
      <c r="AC487"/>
      <c r="AE487"/>
      <c r="AF487"/>
      <c r="AJ487"/>
    </row>
    <row r="488" spans="24:36" x14ac:dyDescent="0.2">
      <c r="X488" s="284"/>
      <c r="AA488"/>
      <c r="AB488"/>
      <c r="AC488"/>
      <c r="AE488"/>
      <c r="AF488"/>
      <c r="AJ488"/>
    </row>
    <row r="489" spans="24:36" x14ac:dyDescent="0.2">
      <c r="X489" s="284"/>
      <c r="AA489"/>
      <c r="AB489"/>
      <c r="AC489"/>
      <c r="AE489"/>
      <c r="AF489"/>
      <c r="AJ489"/>
    </row>
    <row r="490" spans="24:36" x14ac:dyDescent="0.2">
      <c r="X490" s="284"/>
      <c r="AA490"/>
      <c r="AB490"/>
      <c r="AC490"/>
      <c r="AE490"/>
      <c r="AF490"/>
      <c r="AJ490"/>
    </row>
    <row r="491" spans="24:36" x14ac:dyDescent="0.2">
      <c r="X491" s="284"/>
      <c r="AA491"/>
      <c r="AB491"/>
      <c r="AC491"/>
      <c r="AE491"/>
      <c r="AF491"/>
      <c r="AJ491"/>
    </row>
    <row r="492" spans="24:36" x14ac:dyDescent="0.2">
      <c r="X492" s="284"/>
      <c r="AA492"/>
      <c r="AB492"/>
      <c r="AC492"/>
      <c r="AE492"/>
      <c r="AF492"/>
      <c r="AJ492"/>
    </row>
    <row r="493" spans="24:36" x14ac:dyDescent="0.2">
      <c r="X493" s="284"/>
      <c r="AA493"/>
      <c r="AB493"/>
      <c r="AC493"/>
      <c r="AE493"/>
      <c r="AF493"/>
      <c r="AJ493"/>
    </row>
    <row r="494" spans="24:36" x14ac:dyDescent="0.2">
      <c r="X494" s="284"/>
      <c r="AA494"/>
      <c r="AB494"/>
      <c r="AC494"/>
      <c r="AE494"/>
      <c r="AF494"/>
      <c r="AJ494"/>
    </row>
    <row r="495" spans="24:36" x14ac:dyDescent="0.2">
      <c r="X495" s="284"/>
      <c r="AA495"/>
      <c r="AB495"/>
      <c r="AC495"/>
      <c r="AE495"/>
      <c r="AF495"/>
      <c r="AJ495"/>
    </row>
    <row r="496" spans="24:36" x14ac:dyDescent="0.2">
      <c r="X496" s="284"/>
      <c r="AA496"/>
      <c r="AB496"/>
      <c r="AC496"/>
      <c r="AE496"/>
      <c r="AF496"/>
      <c r="AJ496"/>
    </row>
    <row r="497" spans="24:36" x14ac:dyDescent="0.2">
      <c r="X497" s="284"/>
      <c r="AA497"/>
      <c r="AB497"/>
      <c r="AC497"/>
      <c r="AE497"/>
      <c r="AF497"/>
      <c r="AJ497"/>
    </row>
    <row r="498" spans="24:36" x14ac:dyDescent="0.2">
      <c r="X498" s="284"/>
      <c r="AA498"/>
      <c r="AB498"/>
      <c r="AC498"/>
      <c r="AE498"/>
      <c r="AF498"/>
      <c r="AJ498"/>
    </row>
    <row r="499" spans="24:36" x14ac:dyDescent="0.2">
      <c r="X499" s="284"/>
      <c r="AA499"/>
      <c r="AB499"/>
      <c r="AC499"/>
      <c r="AE499"/>
      <c r="AF499"/>
      <c r="AJ499"/>
    </row>
    <row r="500" spans="24:36" x14ac:dyDescent="0.2">
      <c r="X500" s="284"/>
      <c r="AA500"/>
      <c r="AB500"/>
      <c r="AC500"/>
      <c r="AE500"/>
      <c r="AF500"/>
      <c r="AJ500"/>
    </row>
    <row r="501" spans="24:36" x14ac:dyDescent="0.2">
      <c r="X501" s="284"/>
      <c r="AA501"/>
      <c r="AB501"/>
      <c r="AC501"/>
      <c r="AE501"/>
      <c r="AF501"/>
      <c r="AJ501"/>
    </row>
    <row r="502" spans="24:36" x14ac:dyDescent="0.2">
      <c r="X502" s="284"/>
      <c r="AA502"/>
      <c r="AB502"/>
      <c r="AC502"/>
      <c r="AE502"/>
      <c r="AF502"/>
      <c r="AJ502"/>
    </row>
    <row r="503" spans="24:36" x14ac:dyDescent="0.2">
      <c r="X503" s="284"/>
      <c r="AA503"/>
      <c r="AB503"/>
      <c r="AC503"/>
      <c r="AE503"/>
      <c r="AF503"/>
      <c r="AJ503"/>
    </row>
    <row r="504" spans="24:36" x14ac:dyDescent="0.2">
      <c r="X504" s="284"/>
      <c r="AA504"/>
      <c r="AB504"/>
      <c r="AC504"/>
      <c r="AE504"/>
      <c r="AF504"/>
      <c r="AJ504"/>
    </row>
    <row r="505" spans="24:36" x14ac:dyDescent="0.2">
      <c r="X505" s="284"/>
      <c r="AA505"/>
      <c r="AB505"/>
      <c r="AC505"/>
      <c r="AE505"/>
      <c r="AF505"/>
      <c r="AJ505"/>
    </row>
    <row r="506" spans="24:36" x14ac:dyDescent="0.2">
      <c r="X506" s="284"/>
      <c r="AA506"/>
      <c r="AB506"/>
      <c r="AC506"/>
      <c r="AE506"/>
      <c r="AF506"/>
      <c r="AJ506"/>
    </row>
    <row r="507" spans="24:36" x14ac:dyDescent="0.2">
      <c r="X507" s="284"/>
      <c r="AA507"/>
      <c r="AB507"/>
      <c r="AC507"/>
      <c r="AE507"/>
      <c r="AF507"/>
      <c r="AJ507"/>
    </row>
    <row r="508" spans="24:36" x14ac:dyDescent="0.2">
      <c r="X508" s="284"/>
      <c r="AA508"/>
      <c r="AB508"/>
      <c r="AC508"/>
      <c r="AE508"/>
      <c r="AF508"/>
      <c r="AJ508"/>
    </row>
    <row r="509" spans="24:36" x14ac:dyDescent="0.2">
      <c r="X509" s="284"/>
      <c r="AA509"/>
      <c r="AB509"/>
      <c r="AC509"/>
      <c r="AE509"/>
      <c r="AF509"/>
      <c r="AJ509"/>
    </row>
    <row r="510" spans="24:36" x14ac:dyDescent="0.2">
      <c r="X510" s="284"/>
      <c r="AA510"/>
      <c r="AB510"/>
      <c r="AC510"/>
      <c r="AE510"/>
      <c r="AF510"/>
      <c r="AJ510"/>
    </row>
    <row r="511" spans="24:36" x14ac:dyDescent="0.2">
      <c r="X511" s="284"/>
      <c r="AA511"/>
      <c r="AB511"/>
      <c r="AC511"/>
      <c r="AE511"/>
      <c r="AF511"/>
      <c r="AJ511"/>
    </row>
    <row r="512" spans="24:36" x14ac:dyDescent="0.2">
      <c r="X512" s="284"/>
      <c r="AA512"/>
      <c r="AB512"/>
      <c r="AC512"/>
      <c r="AE512"/>
      <c r="AF512"/>
      <c r="AJ512"/>
    </row>
    <row r="513" spans="24:36" x14ac:dyDescent="0.2">
      <c r="X513" s="284"/>
      <c r="AA513"/>
      <c r="AB513"/>
      <c r="AC513"/>
      <c r="AE513"/>
      <c r="AF513"/>
      <c r="AJ513"/>
    </row>
    <row r="514" spans="24:36" x14ac:dyDescent="0.2">
      <c r="X514" s="284"/>
      <c r="AA514"/>
      <c r="AB514"/>
      <c r="AC514"/>
      <c r="AE514"/>
      <c r="AF514"/>
      <c r="AJ514"/>
    </row>
    <row r="515" spans="24:36" x14ac:dyDescent="0.2">
      <c r="X515" s="284"/>
      <c r="AA515"/>
      <c r="AB515"/>
      <c r="AC515"/>
      <c r="AE515"/>
      <c r="AF515"/>
      <c r="AJ515"/>
    </row>
    <row r="516" spans="24:36" x14ac:dyDescent="0.2">
      <c r="X516" s="284"/>
      <c r="AA516"/>
      <c r="AB516"/>
      <c r="AC516"/>
      <c r="AE516"/>
      <c r="AF516"/>
      <c r="AJ516"/>
    </row>
    <row r="517" spans="24:36" x14ac:dyDescent="0.2">
      <c r="X517" s="284"/>
      <c r="AA517"/>
      <c r="AB517"/>
      <c r="AC517"/>
      <c r="AE517"/>
      <c r="AF517"/>
      <c r="AJ517"/>
    </row>
    <row r="518" spans="24:36" x14ac:dyDescent="0.2">
      <c r="X518" s="284"/>
      <c r="AA518"/>
      <c r="AB518"/>
      <c r="AC518"/>
      <c r="AE518"/>
      <c r="AF518"/>
      <c r="AJ518"/>
    </row>
    <row r="519" spans="24:36" x14ac:dyDescent="0.2">
      <c r="X519" s="284"/>
      <c r="AA519"/>
      <c r="AB519"/>
      <c r="AC519"/>
      <c r="AE519"/>
      <c r="AF519"/>
      <c r="AJ519"/>
    </row>
    <row r="520" spans="24:36" x14ac:dyDescent="0.2">
      <c r="X520" s="284"/>
      <c r="AA520"/>
      <c r="AB520"/>
      <c r="AC520"/>
      <c r="AE520"/>
      <c r="AF520"/>
      <c r="AJ520"/>
    </row>
    <row r="521" spans="24:36" x14ac:dyDescent="0.2">
      <c r="X521" s="284"/>
      <c r="AA521"/>
      <c r="AB521"/>
      <c r="AC521"/>
      <c r="AE521"/>
      <c r="AF521"/>
      <c r="AJ521"/>
    </row>
    <row r="522" spans="24:36" x14ac:dyDescent="0.2">
      <c r="X522" s="284"/>
      <c r="AA522"/>
      <c r="AB522"/>
      <c r="AC522"/>
      <c r="AE522"/>
      <c r="AF522"/>
      <c r="AJ522"/>
    </row>
    <row r="523" spans="24:36" x14ac:dyDescent="0.2">
      <c r="X523" s="284"/>
      <c r="AA523"/>
      <c r="AB523"/>
      <c r="AC523"/>
      <c r="AE523"/>
      <c r="AF523"/>
      <c r="AJ523"/>
    </row>
    <row r="524" spans="24:36" x14ac:dyDescent="0.2">
      <c r="X524" s="284"/>
      <c r="AA524"/>
      <c r="AB524"/>
      <c r="AC524"/>
      <c r="AE524"/>
      <c r="AF524"/>
      <c r="AJ524"/>
    </row>
    <row r="525" spans="24:36" x14ac:dyDescent="0.2">
      <c r="X525" s="284"/>
      <c r="AA525"/>
      <c r="AB525"/>
      <c r="AC525"/>
      <c r="AE525"/>
      <c r="AF525"/>
      <c r="AJ525"/>
    </row>
    <row r="526" spans="24:36" x14ac:dyDescent="0.2">
      <c r="X526" s="284"/>
      <c r="AA526"/>
      <c r="AB526"/>
      <c r="AC526"/>
      <c r="AE526"/>
      <c r="AF526"/>
      <c r="AJ526"/>
    </row>
    <row r="527" spans="24:36" x14ac:dyDescent="0.2">
      <c r="X527" s="284"/>
      <c r="AA527"/>
      <c r="AB527"/>
      <c r="AC527"/>
      <c r="AE527"/>
      <c r="AF527"/>
      <c r="AJ527"/>
    </row>
    <row r="528" spans="24:36" x14ac:dyDescent="0.2">
      <c r="X528" s="284"/>
      <c r="AA528"/>
      <c r="AB528"/>
      <c r="AC528"/>
      <c r="AE528"/>
      <c r="AF528"/>
      <c r="AJ528"/>
    </row>
    <row r="529" spans="24:36" x14ac:dyDescent="0.2">
      <c r="X529" s="284"/>
      <c r="AA529"/>
      <c r="AB529"/>
      <c r="AC529"/>
      <c r="AE529"/>
      <c r="AF529"/>
      <c r="AJ529"/>
    </row>
    <row r="530" spans="24:36" x14ac:dyDescent="0.2">
      <c r="X530" s="284"/>
      <c r="AA530"/>
      <c r="AB530"/>
      <c r="AC530"/>
      <c r="AE530"/>
      <c r="AF530"/>
      <c r="AJ530"/>
    </row>
    <row r="531" spans="24:36" x14ac:dyDescent="0.2">
      <c r="X531" s="284"/>
      <c r="AA531"/>
      <c r="AB531"/>
      <c r="AC531"/>
      <c r="AE531"/>
      <c r="AF531"/>
      <c r="AJ531"/>
    </row>
    <row r="532" spans="24:36" x14ac:dyDescent="0.2">
      <c r="X532" s="284"/>
      <c r="AA532"/>
      <c r="AB532"/>
      <c r="AC532"/>
      <c r="AE532"/>
      <c r="AF532"/>
      <c r="AJ532"/>
    </row>
    <row r="533" spans="24:36" x14ac:dyDescent="0.2">
      <c r="X533" s="284"/>
      <c r="AA533"/>
      <c r="AB533"/>
      <c r="AC533"/>
      <c r="AE533"/>
      <c r="AF533"/>
      <c r="AJ533"/>
    </row>
    <row r="534" spans="24:36" x14ac:dyDescent="0.2">
      <c r="X534" s="284"/>
      <c r="AA534"/>
      <c r="AB534"/>
      <c r="AC534"/>
      <c r="AE534"/>
      <c r="AF534"/>
      <c r="AJ534"/>
    </row>
    <row r="535" spans="24:36" x14ac:dyDescent="0.2">
      <c r="X535" s="284"/>
      <c r="AA535"/>
      <c r="AB535"/>
      <c r="AC535"/>
      <c r="AE535"/>
      <c r="AF535"/>
      <c r="AJ535"/>
    </row>
    <row r="536" spans="24:36" x14ac:dyDescent="0.2">
      <c r="X536" s="284"/>
      <c r="AA536"/>
      <c r="AB536"/>
      <c r="AC536"/>
      <c r="AE536"/>
      <c r="AF536"/>
      <c r="AJ536"/>
    </row>
    <row r="537" spans="24:36" x14ac:dyDescent="0.2">
      <c r="X537" s="284"/>
      <c r="AA537"/>
      <c r="AB537"/>
      <c r="AC537"/>
      <c r="AE537"/>
      <c r="AF537"/>
      <c r="AJ537"/>
    </row>
    <row r="538" spans="24:36" x14ac:dyDescent="0.2">
      <c r="X538" s="284"/>
      <c r="AA538"/>
      <c r="AB538"/>
      <c r="AC538"/>
      <c r="AE538"/>
      <c r="AF538"/>
      <c r="AJ538"/>
    </row>
    <row r="539" spans="24:36" x14ac:dyDescent="0.2">
      <c r="X539" s="284"/>
      <c r="AA539"/>
      <c r="AB539"/>
      <c r="AC539"/>
      <c r="AE539"/>
      <c r="AF539"/>
      <c r="AJ539"/>
    </row>
    <row r="540" spans="24:36" x14ac:dyDescent="0.2">
      <c r="X540" s="284"/>
      <c r="AA540"/>
      <c r="AB540"/>
      <c r="AC540"/>
      <c r="AE540"/>
      <c r="AF540"/>
      <c r="AJ540"/>
    </row>
    <row r="541" spans="24:36" x14ac:dyDescent="0.2">
      <c r="X541" s="284"/>
      <c r="AA541"/>
      <c r="AB541"/>
      <c r="AC541"/>
      <c r="AE541"/>
      <c r="AF541"/>
      <c r="AJ541"/>
    </row>
    <row r="542" spans="24:36" x14ac:dyDescent="0.2">
      <c r="X542" s="284"/>
      <c r="AA542"/>
      <c r="AB542"/>
      <c r="AC542"/>
      <c r="AE542"/>
      <c r="AF542"/>
      <c r="AJ542"/>
    </row>
    <row r="543" spans="24:36" x14ac:dyDescent="0.2">
      <c r="X543" s="284"/>
      <c r="AA543"/>
      <c r="AB543"/>
      <c r="AC543"/>
      <c r="AE543"/>
      <c r="AF543"/>
      <c r="AJ543"/>
    </row>
    <row r="544" spans="24:36" x14ac:dyDescent="0.2">
      <c r="X544" s="284"/>
      <c r="AA544"/>
      <c r="AB544"/>
      <c r="AC544"/>
      <c r="AE544"/>
      <c r="AF544"/>
      <c r="AJ544"/>
    </row>
    <row r="545" spans="24:36" x14ac:dyDescent="0.2">
      <c r="X545" s="284"/>
      <c r="AA545"/>
      <c r="AB545"/>
      <c r="AC545"/>
      <c r="AE545"/>
      <c r="AF545"/>
      <c r="AJ545"/>
    </row>
    <row r="546" spans="24:36" x14ac:dyDescent="0.2">
      <c r="X546" s="284"/>
      <c r="AA546"/>
      <c r="AB546"/>
      <c r="AC546"/>
      <c r="AE546"/>
      <c r="AF546"/>
      <c r="AJ546"/>
    </row>
    <row r="547" spans="24:36" x14ac:dyDescent="0.2">
      <c r="X547" s="284"/>
      <c r="AA547"/>
      <c r="AB547"/>
      <c r="AC547"/>
      <c r="AE547"/>
      <c r="AF547"/>
      <c r="AJ547"/>
    </row>
    <row r="548" spans="24:36" x14ac:dyDescent="0.2">
      <c r="X548" s="284"/>
      <c r="AA548"/>
      <c r="AB548"/>
      <c r="AC548"/>
      <c r="AE548"/>
      <c r="AF548"/>
      <c r="AJ548"/>
    </row>
    <row r="549" spans="24:36" x14ac:dyDescent="0.2">
      <c r="X549" s="284"/>
      <c r="AA549"/>
      <c r="AB549"/>
      <c r="AC549"/>
      <c r="AE549"/>
      <c r="AF549"/>
      <c r="AJ549"/>
    </row>
    <row r="550" spans="24:36" x14ac:dyDescent="0.2">
      <c r="X550" s="284"/>
      <c r="AA550"/>
      <c r="AB550"/>
      <c r="AC550"/>
      <c r="AE550"/>
      <c r="AF550"/>
      <c r="AJ550"/>
    </row>
    <row r="551" spans="24:36" x14ac:dyDescent="0.2">
      <c r="X551" s="284"/>
      <c r="AA551"/>
      <c r="AB551"/>
      <c r="AC551"/>
      <c r="AE551"/>
      <c r="AF551"/>
      <c r="AJ551"/>
    </row>
    <row r="552" spans="24:36" x14ac:dyDescent="0.2">
      <c r="X552" s="284"/>
      <c r="AA552"/>
      <c r="AB552"/>
      <c r="AC552"/>
      <c r="AE552"/>
      <c r="AF552"/>
      <c r="AJ552"/>
    </row>
    <row r="553" spans="24:36" x14ac:dyDescent="0.2">
      <c r="X553" s="284"/>
      <c r="AA553"/>
      <c r="AB553"/>
      <c r="AC553"/>
      <c r="AE553"/>
      <c r="AF553"/>
      <c r="AJ553"/>
    </row>
    <row r="554" spans="24:36" x14ac:dyDescent="0.2">
      <c r="X554" s="284"/>
      <c r="AA554"/>
      <c r="AB554"/>
      <c r="AC554"/>
      <c r="AE554"/>
      <c r="AF554"/>
      <c r="AJ554"/>
    </row>
    <row r="555" spans="24:36" x14ac:dyDescent="0.2">
      <c r="X555" s="284"/>
      <c r="AA555"/>
      <c r="AB555"/>
      <c r="AC555"/>
      <c r="AE555"/>
      <c r="AF555"/>
      <c r="AJ555"/>
    </row>
    <row r="556" spans="24:36" x14ac:dyDescent="0.2">
      <c r="X556" s="284"/>
      <c r="AA556"/>
      <c r="AB556"/>
      <c r="AC556"/>
      <c r="AE556"/>
      <c r="AF556"/>
      <c r="AJ556"/>
    </row>
    <row r="557" spans="24:36" x14ac:dyDescent="0.2">
      <c r="X557" s="284"/>
      <c r="AA557"/>
      <c r="AB557"/>
      <c r="AC557"/>
      <c r="AE557"/>
      <c r="AF557"/>
      <c r="AJ557"/>
    </row>
    <row r="558" spans="24:36" x14ac:dyDescent="0.2">
      <c r="X558" s="284"/>
      <c r="AA558"/>
      <c r="AB558"/>
      <c r="AC558"/>
      <c r="AE558"/>
      <c r="AF558"/>
      <c r="AJ558"/>
    </row>
    <row r="559" spans="24:36" x14ac:dyDescent="0.2">
      <c r="X559" s="284"/>
      <c r="AA559"/>
      <c r="AB559"/>
      <c r="AC559"/>
      <c r="AE559"/>
      <c r="AF559"/>
      <c r="AJ559"/>
    </row>
    <row r="560" spans="24:36" x14ac:dyDescent="0.2">
      <c r="X560" s="284"/>
      <c r="AA560"/>
      <c r="AB560"/>
      <c r="AC560"/>
      <c r="AE560"/>
      <c r="AF560"/>
      <c r="AJ560"/>
    </row>
    <row r="561" spans="24:36" x14ac:dyDescent="0.2">
      <c r="X561" s="284"/>
      <c r="AA561"/>
      <c r="AB561"/>
      <c r="AC561"/>
      <c r="AE561"/>
      <c r="AF561"/>
      <c r="AJ561"/>
    </row>
    <row r="562" spans="24:36" x14ac:dyDescent="0.2">
      <c r="X562" s="284"/>
      <c r="AA562"/>
      <c r="AB562"/>
      <c r="AC562"/>
      <c r="AE562"/>
      <c r="AF562"/>
      <c r="AJ562"/>
    </row>
    <row r="563" spans="24:36" x14ac:dyDescent="0.2">
      <c r="X563" s="284"/>
      <c r="AA563"/>
      <c r="AB563"/>
      <c r="AC563"/>
      <c r="AE563"/>
      <c r="AF563"/>
      <c r="AJ563"/>
    </row>
    <row r="564" spans="24:36" x14ac:dyDescent="0.2">
      <c r="X564" s="284"/>
      <c r="AA564"/>
      <c r="AB564"/>
      <c r="AC564"/>
      <c r="AE564"/>
      <c r="AF564"/>
      <c r="AJ564"/>
    </row>
    <row r="565" spans="24:36" x14ac:dyDescent="0.2">
      <c r="X565" s="284"/>
      <c r="AA565"/>
      <c r="AB565"/>
      <c r="AC565"/>
      <c r="AE565"/>
      <c r="AF565"/>
      <c r="AJ565"/>
    </row>
    <row r="566" spans="24:36" x14ac:dyDescent="0.2">
      <c r="X566" s="284"/>
      <c r="AA566"/>
      <c r="AB566"/>
      <c r="AC566"/>
      <c r="AE566"/>
      <c r="AF566"/>
      <c r="AJ566"/>
    </row>
    <row r="567" spans="24:36" x14ac:dyDescent="0.2">
      <c r="X567" s="284"/>
      <c r="AA567"/>
      <c r="AB567"/>
      <c r="AC567"/>
      <c r="AE567"/>
      <c r="AF567"/>
      <c r="AJ567"/>
    </row>
    <row r="568" spans="24:36" x14ac:dyDescent="0.2">
      <c r="X568" s="284"/>
      <c r="AA568"/>
      <c r="AB568"/>
      <c r="AC568"/>
      <c r="AE568"/>
      <c r="AF568"/>
      <c r="AJ568"/>
    </row>
    <row r="569" spans="24:36" x14ac:dyDescent="0.2">
      <c r="X569" s="284"/>
      <c r="AA569"/>
      <c r="AB569"/>
      <c r="AC569"/>
      <c r="AE569"/>
      <c r="AF569"/>
      <c r="AJ569"/>
    </row>
    <row r="570" spans="24:36" x14ac:dyDescent="0.2">
      <c r="X570" s="284"/>
      <c r="AA570"/>
      <c r="AB570"/>
      <c r="AC570"/>
      <c r="AE570"/>
      <c r="AF570"/>
      <c r="AJ570"/>
    </row>
    <row r="571" spans="24:36" x14ac:dyDescent="0.2">
      <c r="X571" s="284"/>
      <c r="AA571"/>
      <c r="AB571"/>
      <c r="AC571"/>
      <c r="AE571"/>
      <c r="AF571"/>
      <c r="AJ571"/>
    </row>
    <row r="572" spans="24:36" x14ac:dyDescent="0.2">
      <c r="X572" s="284"/>
      <c r="AA572"/>
      <c r="AB572"/>
      <c r="AC572"/>
      <c r="AE572"/>
      <c r="AF572"/>
      <c r="AJ572"/>
    </row>
    <row r="573" spans="24:36" x14ac:dyDescent="0.2">
      <c r="X573" s="284"/>
      <c r="AA573"/>
      <c r="AB573"/>
      <c r="AC573"/>
      <c r="AE573"/>
      <c r="AF573"/>
      <c r="AJ573"/>
    </row>
    <row r="574" spans="24:36" x14ac:dyDescent="0.2">
      <c r="X574" s="284"/>
      <c r="AA574"/>
      <c r="AB574"/>
      <c r="AC574"/>
      <c r="AE574"/>
      <c r="AF574"/>
      <c r="AJ574"/>
    </row>
    <row r="575" spans="24:36" x14ac:dyDescent="0.2">
      <c r="X575" s="284"/>
      <c r="AA575"/>
      <c r="AB575"/>
      <c r="AC575"/>
      <c r="AE575"/>
      <c r="AF575"/>
      <c r="AJ575"/>
    </row>
    <row r="576" spans="24:36" x14ac:dyDescent="0.2">
      <c r="X576" s="284"/>
      <c r="AA576"/>
      <c r="AB576"/>
      <c r="AC576"/>
      <c r="AE576"/>
      <c r="AF576"/>
      <c r="AJ576"/>
    </row>
    <row r="577" spans="24:36" x14ac:dyDescent="0.2">
      <c r="X577" s="284"/>
      <c r="AA577"/>
      <c r="AB577"/>
      <c r="AC577"/>
      <c r="AE577"/>
      <c r="AF577"/>
      <c r="AJ577"/>
    </row>
    <row r="578" spans="24:36" x14ac:dyDescent="0.2">
      <c r="X578" s="284"/>
      <c r="AA578"/>
      <c r="AB578"/>
      <c r="AC578"/>
      <c r="AE578"/>
      <c r="AF578"/>
      <c r="AJ578"/>
    </row>
    <row r="579" spans="24:36" x14ac:dyDescent="0.2">
      <c r="X579" s="284"/>
      <c r="AA579"/>
      <c r="AB579"/>
      <c r="AC579"/>
      <c r="AE579"/>
      <c r="AF579"/>
      <c r="AJ579"/>
    </row>
    <row r="580" spans="24:36" x14ac:dyDescent="0.2">
      <c r="X580" s="284"/>
      <c r="AA580"/>
      <c r="AB580"/>
      <c r="AC580"/>
      <c r="AE580"/>
      <c r="AF580"/>
      <c r="AJ580"/>
    </row>
    <row r="581" spans="24:36" x14ac:dyDescent="0.2">
      <c r="X581" s="284"/>
      <c r="AA581"/>
      <c r="AB581"/>
      <c r="AC581"/>
      <c r="AE581"/>
      <c r="AF581"/>
      <c r="AJ581"/>
    </row>
    <row r="582" spans="24:36" x14ac:dyDescent="0.2">
      <c r="X582" s="284"/>
      <c r="AA582"/>
      <c r="AB582"/>
      <c r="AC582"/>
      <c r="AE582"/>
      <c r="AF582"/>
      <c r="AJ582"/>
    </row>
    <row r="583" spans="24:36" x14ac:dyDescent="0.2">
      <c r="X583" s="284"/>
      <c r="AA583"/>
      <c r="AB583"/>
      <c r="AC583"/>
      <c r="AE583"/>
      <c r="AF583"/>
      <c r="AJ583"/>
    </row>
    <row r="584" spans="24:36" x14ac:dyDescent="0.2">
      <c r="X584" s="284"/>
      <c r="AA584"/>
      <c r="AB584"/>
      <c r="AC584"/>
      <c r="AE584"/>
      <c r="AF584"/>
      <c r="AJ584"/>
    </row>
    <row r="585" spans="24:36" x14ac:dyDescent="0.2">
      <c r="X585" s="284"/>
      <c r="AA585"/>
      <c r="AB585"/>
      <c r="AC585"/>
      <c r="AE585"/>
      <c r="AF585"/>
      <c r="AJ585"/>
    </row>
    <row r="586" spans="24:36" x14ac:dyDescent="0.2">
      <c r="X586" s="284"/>
      <c r="AA586"/>
      <c r="AB586"/>
      <c r="AC586"/>
      <c r="AE586"/>
      <c r="AF586"/>
      <c r="AJ586"/>
    </row>
    <row r="587" spans="24:36" x14ac:dyDescent="0.2">
      <c r="X587" s="284"/>
      <c r="AA587"/>
      <c r="AB587"/>
      <c r="AC587"/>
      <c r="AE587"/>
      <c r="AF587"/>
      <c r="AJ587"/>
    </row>
    <row r="588" spans="24:36" x14ac:dyDescent="0.2">
      <c r="X588" s="284"/>
      <c r="AA588"/>
      <c r="AB588"/>
      <c r="AC588"/>
      <c r="AE588"/>
      <c r="AF588"/>
      <c r="AJ588"/>
    </row>
    <row r="589" spans="24:36" x14ac:dyDescent="0.2">
      <c r="X589" s="284"/>
      <c r="AA589"/>
      <c r="AB589"/>
      <c r="AC589"/>
      <c r="AE589"/>
      <c r="AF589"/>
      <c r="AJ589"/>
    </row>
    <row r="590" spans="24:36" x14ac:dyDescent="0.2">
      <c r="X590" s="284"/>
      <c r="AA590"/>
      <c r="AB590"/>
      <c r="AC590"/>
      <c r="AE590"/>
      <c r="AF590"/>
      <c r="AJ590"/>
    </row>
    <row r="591" spans="24:36" x14ac:dyDescent="0.2">
      <c r="X591" s="284"/>
      <c r="AA591"/>
      <c r="AB591"/>
      <c r="AC591"/>
      <c r="AE591"/>
      <c r="AF591"/>
      <c r="AJ591"/>
    </row>
    <row r="592" spans="24:36" x14ac:dyDescent="0.2">
      <c r="X592" s="284"/>
      <c r="AA592"/>
      <c r="AB592"/>
      <c r="AC592"/>
      <c r="AE592"/>
      <c r="AF592"/>
      <c r="AJ592"/>
    </row>
    <row r="593" spans="24:36" x14ac:dyDescent="0.2">
      <c r="X593" s="284"/>
      <c r="AA593"/>
      <c r="AB593"/>
      <c r="AC593"/>
      <c r="AE593"/>
      <c r="AF593"/>
      <c r="AJ593"/>
    </row>
    <row r="594" spans="24:36" x14ac:dyDescent="0.2">
      <c r="X594" s="284"/>
      <c r="AA594"/>
      <c r="AB594"/>
      <c r="AC594"/>
      <c r="AE594"/>
      <c r="AF594"/>
      <c r="AJ594"/>
    </row>
    <row r="595" spans="24:36" x14ac:dyDescent="0.2">
      <c r="X595" s="284"/>
      <c r="AA595"/>
      <c r="AB595"/>
      <c r="AC595"/>
      <c r="AE595"/>
      <c r="AF595"/>
      <c r="AJ595"/>
    </row>
    <row r="596" spans="24:36" x14ac:dyDescent="0.2">
      <c r="X596" s="284"/>
      <c r="AA596"/>
      <c r="AB596"/>
      <c r="AC596"/>
      <c r="AE596"/>
      <c r="AF596"/>
      <c r="AJ596"/>
    </row>
    <row r="597" spans="24:36" x14ac:dyDescent="0.2">
      <c r="X597" s="284"/>
      <c r="AA597"/>
      <c r="AB597"/>
      <c r="AC597"/>
      <c r="AE597"/>
      <c r="AF597"/>
      <c r="AJ597"/>
    </row>
    <row r="598" spans="24:36" x14ac:dyDescent="0.2">
      <c r="X598" s="284"/>
      <c r="AA598"/>
      <c r="AB598"/>
      <c r="AC598"/>
      <c r="AE598"/>
      <c r="AF598"/>
      <c r="AJ598"/>
    </row>
    <row r="599" spans="24:36" x14ac:dyDescent="0.2">
      <c r="X599" s="284"/>
      <c r="AA599"/>
      <c r="AB599"/>
      <c r="AC599"/>
      <c r="AE599"/>
      <c r="AF599"/>
      <c r="AJ599"/>
    </row>
    <row r="600" spans="24:36" x14ac:dyDescent="0.2">
      <c r="X600" s="284"/>
      <c r="AA600"/>
      <c r="AB600"/>
      <c r="AC600"/>
      <c r="AE600"/>
      <c r="AF600"/>
      <c r="AJ600"/>
    </row>
    <row r="601" spans="24:36" x14ac:dyDescent="0.2">
      <c r="X601" s="284"/>
      <c r="AA601"/>
      <c r="AB601"/>
      <c r="AC601"/>
      <c r="AE601"/>
      <c r="AF601"/>
      <c r="AJ601"/>
    </row>
    <row r="602" spans="24:36" x14ac:dyDescent="0.2">
      <c r="X602" s="284"/>
      <c r="AA602"/>
      <c r="AB602"/>
      <c r="AC602"/>
      <c r="AE602"/>
      <c r="AF602"/>
      <c r="AJ602"/>
    </row>
    <row r="603" spans="24:36" x14ac:dyDescent="0.2">
      <c r="X603" s="284"/>
      <c r="AA603"/>
      <c r="AB603"/>
      <c r="AC603"/>
      <c r="AE603"/>
      <c r="AF603"/>
      <c r="AJ603"/>
    </row>
    <row r="604" spans="24:36" x14ac:dyDescent="0.2">
      <c r="X604" s="284"/>
      <c r="AA604"/>
      <c r="AB604"/>
      <c r="AC604"/>
      <c r="AE604"/>
      <c r="AF604"/>
      <c r="AJ604"/>
    </row>
    <row r="605" spans="24:36" x14ac:dyDescent="0.2">
      <c r="X605" s="284"/>
      <c r="AA605"/>
      <c r="AB605"/>
      <c r="AC605"/>
      <c r="AE605"/>
      <c r="AF605"/>
      <c r="AJ605"/>
    </row>
    <row r="606" spans="24:36" x14ac:dyDescent="0.2">
      <c r="X606" s="284"/>
      <c r="AA606"/>
      <c r="AB606"/>
      <c r="AC606"/>
      <c r="AE606"/>
      <c r="AF606"/>
      <c r="AJ606"/>
    </row>
    <row r="607" spans="24:36" x14ac:dyDescent="0.2">
      <c r="X607" s="284"/>
      <c r="AA607"/>
      <c r="AB607"/>
      <c r="AC607"/>
      <c r="AE607"/>
      <c r="AF607"/>
      <c r="AJ607"/>
    </row>
    <row r="608" spans="24:36" x14ac:dyDescent="0.2">
      <c r="X608" s="284"/>
      <c r="AA608"/>
      <c r="AB608"/>
      <c r="AC608"/>
      <c r="AE608"/>
      <c r="AF608"/>
      <c r="AJ608"/>
    </row>
    <row r="609" spans="24:36" x14ac:dyDescent="0.2">
      <c r="X609" s="284"/>
      <c r="AA609"/>
      <c r="AB609"/>
      <c r="AC609"/>
      <c r="AE609"/>
      <c r="AF609"/>
      <c r="AJ609"/>
    </row>
    <row r="610" spans="24:36" x14ac:dyDescent="0.2">
      <c r="X610" s="284"/>
      <c r="AA610"/>
      <c r="AB610"/>
      <c r="AC610"/>
      <c r="AE610"/>
      <c r="AF610"/>
      <c r="AJ610"/>
    </row>
    <row r="611" spans="24:36" x14ac:dyDescent="0.2">
      <c r="X611" s="284"/>
      <c r="AA611"/>
      <c r="AB611"/>
      <c r="AC611"/>
      <c r="AE611"/>
      <c r="AF611"/>
      <c r="AJ611"/>
    </row>
    <row r="612" spans="24:36" x14ac:dyDescent="0.2">
      <c r="X612" s="284"/>
      <c r="AA612"/>
      <c r="AB612"/>
      <c r="AC612"/>
      <c r="AE612"/>
      <c r="AF612"/>
      <c r="AJ612"/>
    </row>
    <row r="613" spans="24:36" x14ac:dyDescent="0.2">
      <c r="X613" s="284"/>
      <c r="AA613"/>
      <c r="AB613"/>
      <c r="AC613"/>
      <c r="AE613"/>
      <c r="AF613"/>
      <c r="AJ613"/>
    </row>
    <row r="614" spans="24:36" x14ac:dyDescent="0.2">
      <c r="X614" s="284"/>
      <c r="AA614"/>
      <c r="AB614"/>
      <c r="AC614"/>
      <c r="AE614"/>
      <c r="AF614"/>
      <c r="AJ614"/>
    </row>
    <row r="615" spans="24:36" x14ac:dyDescent="0.2">
      <c r="X615" s="284"/>
      <c r="AA615"/>
      <c r="AB615"/>
      <c r="AC615"/>
      <c r="AE615"/>
      <c r="AF615"/>
      <c r="AJ615"/>
    </row>
    <row r="616" spans="24:36" x14ac:dyDescent="0.2">
      <c r="X616" s="284"/>
      <c r="AA616"/>
      <c r="AB616"/>
      <c r="AC616"/>
      <c r="AE616"/>
      <c r="AF616"/>
      <c r="AJ616"/>
    </row>
    <row r="617" spans="24:36" x14ac:dyDescent="0.2">
      <c r="X617" s="284"/>
      <c r="AA617"/>
      <c r="AB617"/>
      <c r="AC617"/>
      <c r="AE617"/>
      <c r="AF617"/>
      <c r="AJ617"/>
    </row>
    <row r="618" spans="24:36" x14ac:dyDescent="0.2">
      <c r="X618" s="284"/>
      <c r="AA618"/>
      <c r="AB618"/>
      <c r="AC618"/>
      <c r="AE618"/>
      <c r="AF618"/>
      <c r="AJ618"/>
    </row>
    <row r="619" spans="24:36" x14ac:dyDescent="0.2">
      <c r="X619" s="284"/>
      <c r="AA619"/>
      <c r="AB619"/>
      <c r="AC619"/>
      <c r="AE619"/>
      <c r="AF619"/>
      <c r="AJ619"/>
    </row>
    <row r="620" spans="24:36" x14ac:dyDescent="0.2">
      <c r="X620" s="284"/>
      <c r="AA620"/>
      <c r="AB620"/>
      <c r="AC620"/>
      <c r="AE620"/>
      <c r="AF620"/>
      <c r="AJ620"/>
    </row>
    <row r="621" spans="24:36" x14ac:dyDescent="0.2">
      <c r="X621" s="284"/>
      <c r="AA621"/>
      <c r="AB621"/>
      <c r="AC621"/>
      <c r="AE621"/>
      <c r="AF621"/>
      <c r="AJ621"/>
    </row>
    <row r="622" spans="24:36" x14ac:dyDescent="0.2">
      <c r="X622" s="284"/>
      <c r="AA622"/>
      <c r="AB622"/>
      <c r="AC622"/>
      <c r="AE622"/>
      <c r="AF622"/>
      <c r="AJ622"/>
    </row>
    <row r="623" spans="24:36" x14ac:dyDescent="0.2">
      <c r="X623" s="284"/>
      <c r="AA623"/>
      <c r="AB623"/>
      <c r="AC623"/>
      <c r="AE623"/>
      <c r="AF623"/>
      <c r="AJ623"/>
    </row>
    <row r="624" spans="24:36" x14ac:dyDescent="0.2">
      <c r="X624" s="284"/>
      <c r="AA624"/>
      <c r="AB624"/>
      <c r="AC624"/>
      <c r="AE624"/>
      <c r="AF624"/>
      <c r="AJ624"/>
    </row>
    <row r="625" spans="24:36" x14ac:dyDescent="0.2">
      <c r="X625" s="284"/>
      <c r="AA625"/>
      <c r="AB625"/>
      <c r="AC625"/>
      <c r="AE625"/>
      <c r="AF625"/>
      <c r="AJ625"/>
    </row>
    <row r="626" spans="24:36" x14ac:dyDescent="0.2">
      <c r="X626" s="284"/>
      <c r="AA626"/>
      <c r="AB626"/>
      <c r="AC626"/>
      <c r="AE626"/>
      <c r="AF626"/>
      <c r="AJ626"/>
    </row>
    <row r="627" spans="24:36" x14ac:dyDescent="0.2">
      <c r="X627" s="284"/>
      <c r="AA627"/>
      <c r="AB627"/>
      <c r="AC627"/>
      <c r="AE627"/>
      <c r="AF627"/>
      <c r="AJ627"/>
    </row>
    <row r="628" spans="24:36" x14ac:dyDescent="0.2">
      <c r="X628" s="284"/>
      <c r="AA628"/>
      <c r="AB628"/>
      <c r="AC628"/>
      <c r="AE628"/>
      <c r="AF628"/>
      <c r="AJ628"/>
    </row>
    <row r="629" spans="24:36" x14ac:dyDescent="0.2">
      <c r="X629" s="284"/>
      <c r="AA629"/>
      <c r="AB629"/>
      <c r="AC629"/>
      <c r="AE629"/>
      <c r="AF629"/>
      <c r="AJ629"/>
    </row>
    <row r="630" spans="24:36" x14ac:dyDescent="0.2">
      <c r="X630" s="284"/>
      <c r="AA630"/>
      <c r="AB630"/>
      <c r="AC630"/>
      <c r="AE630"/>
      <c r="AF630"/>
      <c r="AJ630"/>
    </row>
    <row r="631" spans="24:36" x14ac:dyDescent="0.2">
      <c r="X631" s="284"/>
      <c r="AA631"/>
      <c r="AB631"/>
      <c r="AC631"/>
      <c r="AE631"/>
      <c r="AF631"/>
      <c r="AJ631"/>
    </row>
    <row r="632" spans="24:36" x14ac:dyDescent="0.2">
      <c r="X632" s="284"/>
      <c r="AA632"/>
      <c r="AB632"/>
      <c r="AC632"/>
      <c r="AE632"/>
      <c r="AF632"/>
      <c r="AJ632"/>
    </row>
    <row r="633" spans="24:36" x14ac:dyDescent="0.2">
      <c r="X633" s="284"/>
      <c r="AA633"/>
      <c r="AB633"/>
      <c r="AC633"/>
      <c r="AE633"/>
      <c r="AF633"/>
      <c r="AJ633"/>
    </row>
    <row r="634" spans="24:36" x14ac:dyDescent="0.2">
      <c r="X634" s="284"/>
      <c r="AA634"/>
      <c r="AB634"/>
      <c r="AC634"/>
      <c r="AE634"/>
      <c r="AF634"/>
      <c r="AJ634"/>
    </row>
    <row r="635" spans="24:36" x14ac:dyDescent="0.2">
      <c r="X635" s="284"/>
      <c r="AA635"/>
      <c r="AB635"/>
      <c r="AC635"/>
      <c r="AE635"/>
      <c r="AF635"/>
      <c r="AJ635"/>
    </row>
    <row r="636" spans="24:36" x14ac:dyDescent="0.2">
      <c r="X636" s="284"/>
      <c r="AA636"/>
      <c r="AB636"/>
      <c r="AC636"/>
      <c r="AE636"/>
      <c r="AF636"/>
      <c r="AJ636"/>
    </row>
    <row r="637" spans="24:36" x14ac:dyDescent="0.2">
      <c r="X637" s="284"/>
      <c r="AA637"/>
      <c r="AB637"/>
      <c r="AC637"/>
      <c r="AE637"/>
      <c r="AF637"/>
      <c r="AJ637"/>
    </row>
    <row r="638" spans="24:36" x14ac:dyDescent="0.2">
      <c r="X638" s="284"/>
      <c r="AA638"/>
      <c r="AB638"/>
      <c r="AC638"/>
      <c r="AE638"/>
      <c r="AF638"/>
      <c r="AJ638"/>
    </row>
    <row r="639" spans="24:36" x14ac:dyDescent="0.2">
      <c r="X639" s="284"/>
      <c r="AA639"/>
      <c r="AB639"/>
      <c r="AC639"/>
      <c r="AE639"/>
      <c r="AF639"/>
      <c r="AJ639"/>
    </row>
    <row r="640" spans="24:36" x14ac:dyDescent="0.2">
      <c r="X640" s="284"/>
      <c r="AA640"/>
      <c r="AB640"/>
      <c r="AC640"/>
      <c r="AE640"/>
      <c r="AF640"/>
      <c r="AJ640"/>
    </row>
    <row r="641" spans="24:36" x14ac:dyDescent="0.2">
      <c r="X641" s="284"/>
      <c r="AA641"/>
      <c r="AB641"/>
      <c r="AC641"/>
      <c r="AE641"/>
      <c r="AF641"/>
      <c r="AJ641"/>
    </row>
    <row r="642" spans="24:36" x14ac:dyDescent="0.2">
      <c r="X642" s="284"/>
      <c r="AA642"/>
      <c r="AB642"/>
      <c r="AC642"/>
      <c r="AE642"/>
      <c r="AF642"/>
      <c r="AJ642"/>
    </row>
    <row r="643" spans="24:36" x14ac:dyDescent="0.2">
      <c r="X643" s="284"/>
      <c r="AA643"/>
      <c r="AB643"/>
      <c r="AC643"/>
      <c r="AE643"/>
      <c r="AF643"/>
      <c r="AJ643"/>
    </row>
    <row r="644" spans="24:36" x14ac:dyDescent="0.2">
      <c r="X644" s="284"/>
      <c r="AA644"/>
      <c r="AB644"/>
      <c r="AC644"/>
      <c r="AE644"/>
      <c r="AF644"/>
      <c r="AJ644"/>
    </row>
    <row r="645" spans="24:36" x14ac:dyDescent="0.2">
      <c r="X645" s="284"/>
      <c r="AA645"/>
      <c r="AB645"/>
      <c r="AC645"/>
      <c r="AE645"/>
      <c r="AF645"/>
      <c r="AJ645"/>
    </row>
    <row r="646" spans="24:36" x14ac:dyDescent="0.2">
      <c r="X646" s="284"/>
      <c r="AA646"/>
      <c r="AB646"/>
      <c r="AC646"/>
      <c r="AE646"/>
      <c r="AF646"/>
      <c r="AJ646"/>
    </row>
    <row r="647" spans="24:36" x14ac:dyDescent="0.2">
      <c r="X647" s="284"/>
      <c r="AA647"/>
      <c r="AB647"/>
      <c r="AC647"/>
      <c r="AE647"/>
      <c r="AF647"/>
      <c r="AJ647"/>
    </row>
    <row r="648" spans="24:36" x14ac:dyDescent="0.2">
      <c r="X648" s="284"/>
      <c r="AA648"/>
      <c r="AB648"/>
      <c r="AC648"/>
      <c r="AE648"/>
      <c r="AF648"/>
      <c r="AJ648"/>
    </row>
    <row r="649" spans="24:36" x14ac:dyDescent="0.2">
      <c r="X649" s="284"/>
      <c r="AA649"/>
      <c r="AB649"/>
      <c r="AC649"/>
      <c r="AE649"/>
      <c r="AF649"/>
      <c r="AJ649"/>
    </row>
    <row r="650" spans="24:36" x14ac:dyDescent="0.2">
      <c r="X650" s="284"/>
      <c r="AA650"/>
      <c r="AB650"/>
      <c r="AC650"/>
      <c r="AE650"/>
      <c r="AF650"/>
      <c r="AJ650"/>
    </row>
    <row r="651" spans="24:36" x14ac:dyDescent="0.2">
      <c r="X651" s="284"/>
      <c r="AA651"/>
      <c r="AB651"/>
      <c r="AC651"/>
      <c r="AE651"/>
      <c r="AF651"/>
      <c r="AJ651"/>
    </row>
    <row r="652" spans="24:36" x14ac:dyDescent="0.2">
      <c r="X652" s="284"/>
      <c r="AA652"/>
      <c r="AB652"/>
      <c r="AC652"/>
      <c r="AE652"/>
      <c r="AF652"/>
      <c r="AJ652"/>
    </row>
    <row r="653" spans="24:36" x14ac:dyDescent="0.2">
      <c r="X653" s="284"/>
      <c r="AA653"/>
      <c r="AB653"/>
      <c r="AC653"/>
      <c r="AE653"/>
      <c r="AF653"/>
      <c r="AJ653"/>
    </row>
    <row r="654" spans="24:36" x14ac:dyDescent="0.2">
      <c r="X654" s="284"/>
      <c r="AA654"/>
      <c r="AB654"/>
      <c r="AC654"/>
      <c r="AE654"/>
      <c r="AF654"/>
      <c r="AJ654"/>
    </row>
    <row r="655" spans="24:36" x14ac:dyDescent="0.2">
      <c r="X655" s="284"/>
      <c r="AA655"/>
      <c r="AB655"/>
      <c r="AC655"/>
      <c r="AE655"/>
      <c r="AF655"/>
      <c r="AJ655"/>
    </row>
    <row r="656" spans="24:36" x14ac:dyDescent="0.2">
      <c r="X656" s="284"/>
      <c r="AA656"/>
      <c r="AB656"/>
      <c r="AC656"/>
      <c r="AE656"/>
      <c r="AF656"/>
      <c r="AJ656"/>
    </row>
    <row r="657" spans="24:36" x14ac:dyDescent="0.2">
      <c r="X657" s="284"/>
      <c r="AA657"/>
      <c r="AB657"/>
      <c r="AC657"/>
      <c r="AE657"/>
      <c r="AF657"/>
      <c r="AJ657"/>
    </row>
    <row r="658" spans="24:36" x14ac:dyDescent="0.2">
      <c r="X658" s="284"/>
      <c r="AA658"/>
      <c r="AB658"/>
      <c r="AC658"/>
      <c r="AE658"/>
      <c r="AF658"/>
      <c r="AJ658"/>
    </row>
    <row r="659" spans="24:36" x14ac:dyDescent="0.2">
      <c r="X659" s="284"/>
      <c r="AA659"/>
      <c r="AB659"/>
      <c r="AC659"/>
      <c r="AE659"/>
      <c r="AF659"/>
      <c r="AJ659"/>
    </row>
    <row r="660" spans="24:36" x14ac:dyDescent="0.2">
      <c r="X660" s="284"/>
      <c r="AA660"/>
      <c r="AB660"/>
      <c r="AC660"/>
      <c r="AE660"/>
      <c r="AF660"/>
      <c r="AJ660"/>
    </row>
    <row r="661" spans="24:36" x14ac:dyDescent="0.2">
      <c r="X661" s="284"/>
      <c r="AA661"/>
      <c r="AB661"/>
      <c r="AC661"/>
      <c r="AE661"/>
      <c r="AF661"/>
      <c r="AJ661"/>
    </row>
    <row r="662" spans="24:36" x14ac:dyDescent="0.2">
      <c r="X662" s="284"/>
      <c r="AA662"/>
      <c r="AB662"/>
      <c r="AC662"/>
      <c r="AE662"/>
      <c r="AF662"/>
      <c r="AJ662"/>
    </row>
    <row r="663" spans="24:36" x14ac:dyDescent="0.2">
      <c r="X663" s="284"/>
      <c r="AA663"/>
      <c r="AB663"/>
      <c r="AC663"/>
      <c r="AE663"/>
      <c r="AF663"/>
      <c r="AJ663"/>
    </row>
    <row r="664" spans="24:36" x14ac:dyDescent="0.2">
      <c r="X664" s="284"/>
      <c r="AA664"/>
      <c r="AB664"/>
      <c r="AC664"/>
      <c r="AE664"/>
      <c r="AF664"/>
      <c r="AJ664"/>
    </row>
    <row r="665" spans="24:36" x14ac:dyDescent="0.2">
      <c r="X665" s="284"/>
      <c r="AA665"/>
      <c r="AB665"/>
      <c r="AC665"/>
      <c r="AE665"/>
      <c r="AF665"/>
      <c r="AJ665"/>
    </row>
    <row r="666" spans="24:36" x14ac:dyDescent="0.2">
      <c r="X666" s="284"/>
      <c r="AA666"/>
      <c r="AB666"/>
      <c r="AC666"/>
      <c r="AE666"/>
      <c r="AF666"/>
      <c r="AJ666"/>
    </row>
    <row r="667" spans="24:36" x14ac:dyDescent="0.2">
      <c r="X667" s="284"/>
      <c r="AA667"/>
      <c r="AB667"/>
      <c r="AC667"/>
      <c r="AE667"/>
      <c r="AF667"/>
      <c r="AJ667"/>
    </row>
    <row r="668" spans="24:36" x14ac:dyDescent="0.2">
      <c r="X668" s="284"/>
      <c r="AA668"/>
      <c r="AB668"/>
      <c r="AC668"/>
      <c r="AE668"/>
      <c r="AF668"/>
      <c r="AJ668"/>
    </row>
    <row r="669" spans="24:36" x14ac:dyDescent="0.2">
      <c r="X669" s="284"/>
      <c r="AA669"/>
      <c r="AB669"/>
      <c r="AC669"/>
      <c r="AE669"/>
      <c r="AF669"/>
      <c r="AJ669"/>
    </row>
    <row r="670" spans="24:36" x14ac:dyDescent="0.2">
      <c r="X670" s="284"/>
      <c r="AA670"/>
      <c r="AB670"/>
      <c r="AC670"/>
      <c r="AE670"/>
      <c r="AF670"/>
      <c r="AJ670"/>
    </row>
    <row r="671" spans="24:36" x14ac:dyDescent="0.2">
      <c r="X671" s="284"/>
      <c r="AA671"/>
      <c r="AB671"/>
      <c r="AC671"/>
      <c r="AE671"/>
      <c r="AF671"/>
      <c r="AJ671"/>
    </row>
    <row r="672" spans="24:36" x14ac:dyDescent="0.2">
      <c r="X672" s="284"/>
      <c r="AA672"/>
      <c r="AB672"/>
      <c r="AC672"/>
      <c r="AE672"/>
      <c r="AF672"/>
      <c r="AJ672"/>
    </row>
    <row r="673" spans="24:36" x14ac:dyDescent="0.2">
      <c r="X673" s="284"/>
      <c r="AA673"/>
      <c r="AB673"/>
      <c r="AC673"/>
      <c r="AE673"/>
      <c r="AF673"/>
      <c r="AJ673"/>
    </row>
    <row r="674" spans="24:36" x14ac:dyDescent="0.2">
      <c r="X674" s="284"/>
      <c r="AA674"/>
      <c r="AB674"/>
      <c r="AC674"/>
      <c r="AE674"/>
      <c r="AF674"/>
      <c r="AJ674"/>
    </row>
    <row r="675" spans="24:36" x14ac:dyDescent="0.2">
      <c r="X675" s="284"/>
      <c r="AA675"/>
      <c r="AB675"/>
      <c r="AC675"/>
      <c r="AE675"/>
      <c r="AF675"/>
      <c r="AJ675"/>
    </row>
    <row r="676" spans="24:36" x14ac:dyDescent="0.2">
      <c r="X676" s="284"/>
      <c r="AA676"/>
      <c r="AB676"/>
      <c r="AC676"/>
      <c r="AE676"/>
      <c r="AF676"/>
      <c r="AJ676"/>
    </row>
    <row r="677" spans="24:36" x14ac:dyDescent="0.2">
      <c r="X677" s="284"/>
      <c r="AA677"/>
      <c r="AB677"/>
      <c r="AC677"/>
      <c r="AE677"/>
      <c r="AF677"/>
      <c r="AJ677"/>
    </row>
    <row r="678" spans="24:36" x14ac:dyDescent="0.2">
      <c r="X678" s="284"/>
      <c r="AA678"/>
      <c r="AB678"/>
      <c r="AC678"/>
      <c r="AE678"/>
      <c r="AF678"/>
      <c r="AJ678"/>
    </row>
    <row r="679" spans="24:36" x14ac:dyDescent="0.2">
      <c r="X679" s="284"/>
      <c r="AA679"/>
      <c r="AB679"/>
      <c r="AC679"/>
      <c r="AE679"/>
      <c r="AF679"/>
      <c r="AJ679"/>
    </row>
    <row r="680" spans="24:36" x14ac:dyDescent="0.2">
      <c r="X680" s="284"/>
      <c r="AA680"/>
      <c r="AB680"/>
      <c r="AC680"/>
      <c r="AE680"/>
      <c r="AF680"/>
      <c r="AJ680"/>
    </row>
    <row r="681" spans="24:36" x14ac:dyDescent="0.2">
      <c r="X681" s="284"/>
      <c r="AA681"/>
      <c r="AB681"/>
      <c r="AC681"/>
      <c r="AE681"/>
      <c r="AF681"/>
      <c r="AJ681"/>
    </row>
    <row r="682" spans="24:36" x14ac:dyDescent="0.2">
      <c r="X682" s="284"/>
      <c r="AA682"/>
      <c r="AB682"/>
      <c r="AC682"/>
      <c r="AE682"/>
      <c r="AF682"/>
      <c r="AJ682"/>
    </row>
    <row r="683" spans="24:36" x14ac:dyDescent="0.2">
      <c r="X683" s="284"/>
      <c r="AA683"/>
      <c r="AB683"/>
      <c r="AC683"/>
      <c r="AE683"/>
      <c r="AF683"/>
      <c r="AJ683"/>
    </row>
    <row r="684" spans="24:36" x14ac:dyDescent="0.2">
      <c r="X684" s="284"/>
      <c r="AA684"/>
      <c r="AB684"/>
      <c r="AC684"/>
      <c r="AE684"/>
      <c r="AF684"/>
      <c r="AJ684"/>
    </row>
    <row r="685" spans="24:36" x14ac:dyDescent="0.2">
      <c r="X685" s="284"/>
      <c r="AA685"/>
      <c r="AB685"/>
      <c r="AC685"/>
      <c r="AE685"/>
      <c r="AF685"/>
      <c r="AJ685"/>
    </row>
    <row r="686" spans="24:36" x14ac:dyDescent="0.2">
      <c r="X686" s="284"/>
      <c r="AA686"/>
      <c r="AB686"/>
      <c r="AC686"/>
      <c r="AE686"/>
      <c r="AF686"/>
      <c r="AJ686"/>
    </row>
    <row r="687" spans="24:36" x14ac:dyDescent="0.2">
      <c r="X687" s="284"/>
      <c r="AA687"/>
      <c r="AB687"/>
      <c r="AC687"/>
      <c r="AE687"/>
      <c r="AF687"/>
      <c r="AJ687"/>
    </row>
    <row r="688" spans="24:36" x14ac:dyDescent="0.2">
      <c r="X688" s="284"/>
      <c r="AA688"/>
      <c r="AB688"/>
      <c r="AC688"/>
      <c r="AE688"/>
      <c r="AF688"/>
      <c r="AJ688"/>
    </row>
    <row r="689" spans="24:36" x14ac:dyDescent="0.2">
      <c r="X689" s="284"/>
      <c r="AA689"/>
      <c r="AB689"/>
      <c r="AC689"/>
      <c r="AE689"/>
      <c r="AF689"/>
      <c r="AJ689"/>
    </row>
    <row r="690" spans="24:36" x14ac:dyDescent="0.2">
      <c r="X690" s="284"/>
      <c r="AA690"/>
      <c r="AB690"/>
      <c r="AC690"/>
      <c r="AE690"/>
      <c r="AF690"/>
      <c r="AJ690"/>
    </row>
    <row r="691" spans="24:36" x14ac:dyDescent="0.2">
      <c r="X691" s="284"/>
      <c r="AA691"/>
      <c r="AB691"/>
      <c r="AC691"/>
      <c r="AE691"/>
      <c r="AF691"/>
      <c r="AJ691"/>
    </row>
    <row r="692" spans="24:36" x14ac:dyDescent="0.2">
      <c r="X692" s="284"/>
      <c r="AA692"/>
      <c r="AB692"/>
      <c r="AC692"/>
      <c r="AE692"/>
      <c r="AF692"/>
      <c r="AJ692"/>
    </row>
    <row r="693" spans="24:36" x14ac:dyDescent="0.2">
      <c r="X693" s="284"/>
      <c r="AA693"/>
      <c r="AB693"/>
      <c r="AC693"/>
      <c r="AE693"/>
      <c r="AF693"/>
      <c r="AJ693"/>
    </row>
    <row r="694" spans="24:36" x14ac:dyDescent="0.2">
      <c r="X694" s="284"/>
      <c r="AA694"/>
      <c r="AB694"/>
      <c r="AC694"/>
      <c r="AE694"/>
      <c r="AF694"/>
      <c r="AJ694"/>
    </row>
    <row r="695" spans="24:36" x14ac:dyDescent="0.2">
      <c r="X695" s="284"/>
      <c r="AA695"/>
      <c r="AB695"/>
      <c r="AC695"/>
      <c r="AE695"/>
      <c r="AF695"/>
      <c r="AJ695"/>
    </row>
    <row r="696" spans="24:36" x14ac:dyDescent="0.2">
      <c r="X696" s="284"/>
      <c r="AA696"/>
      <c r="AB696"/>
      <c r="AC696"/>
      <c r="AE696"/>
      <c r="AF696"/>
      <c r="AJ696"/>
    </row>
    <row r="697" spans="24:36" x14ac:dyDescent="0.2">
      <c r="X697" s="284"/>
      <c r="AA697"/>
      <c r="AB697"/>
      <c r="AC697"/>
      <c r="AE697"/>
      <c r="AF697"/>
      <c r="AJ697"/>
    </row>
    <row r="698" spans="24:36" x14ac:dyDescent="0.2">
      <c r="X698" s="284"/>
      <c r="AA698"/>
      <c r="AB698"/>
      <c r="AC698"/>
      <c r="AE698"/>
      <c r="AF698"/>
      <c r="AJ698"/>
    </row>
    <row r="699" spans="24:36" x14ac:dyDescent="0.2">
      <c r="X699" s="284"/>
      <c r="AA699"/>
      <c r="AB699"/>
      <c r="AC699"/>
      <c r="AE699"/>
      <c r="AF699"/>
      <c r="AJ699"/>
    </row>
    <row r="700" spans="24:36" x14ac:dyDescent="0.2">
      <c r="X700" s="284"/>
      <c r="AA700"/>
      <c r="AB700"/>
      <c r="AC700"/>
      <c r="AE700"/>
      <c r="AF700"/>
      <c r="AJ700"/>
    </row>
    <row r="701" spans="24:36" x14ac:dyDescent="0.2">
      <c r="X701" s="284"/>
      <c r="AA701"/>
      <c r="AB701"/>
      <c r="AC701"/>
      <c r="AE701"/>
      <c r="AF701"/>
      <c r="AJ701"/>
    </row>
    <row r="702" spans="24:36" x14ac:dyDescent="0.2">
      <c r="X702" s="284"/>
      <c r="AA702"/>
      <c r="AB702"/>
      <c r="AC702"/>
      <c r="AE702"/>
      <c r="AF702"/>
      <c r="AJ702"/>
    </row>
    <row r="703" spans="24:36" x14ac:dyDescent="0.2">
      <c r="X703" s="284"/>
      <c r="AA703"/>
      <c r="AB703"/>
      <c r="AC703"/>
      <c r="AE703"/>
      <c r="AF703"/>
      <c r="AJ703"/>
    </row>
    <row r="704" spans="24:36" x14ac:dyDescent="0.2">
      <c r="X704" s="284"/>
      <c r="AA704"/>
      <c r="AB704"/>
      <c r="AC704"/>
      <c r="AE704"/>
      <c r="AF704"/>
      <c r="AJ704"/>
    </row>
    <row r="705" spans="24:36" x14ac:dyDescent="0.2">
      <c r="X705" s="284"/>
      <c r="AA705"/>
      <c r="AB705"/>
      <c r="AC705"/>
      <c r="AE705"/>
      <c r="AF705"/>
      <c r="AJ705"/>
    </row>
    <row r="706" spans="24:36" x14ac:dyDescent="0.2">
      <c r="X706" s="284"/>
      <c r="AA706"/>
      <c r="AB706"/>
      <c r="AC706"/>
      <c r="AE706"/>
      <c r="AF706"/>
      <c r="AJ706"/>
    </row>
    <row r="707" spans="24:36" x14ac:dyDescent="0.2">
      <c r="X707" s="284"/>
      <c r="AA707"/>
      <c r="AB707"/>
      <c r="AC707"/>
      <c r="AE707"/>
      <c r="AF707"/>
      <c r="AJ707"/>
    </row>
    <row r="708" spans="24:36" x14ac:dyDescent="0.2">
      <c r="X708" s="284"/>
      <c r="AA708"/>
      <c r="AB708"/>
      <c r="AC708"/>
      <c r="AE708"/>
      <c r="AF708"/>
      <c r="AJ708"/>
    </row>
    <row r="709" spans="24:36" x14ac:dyDescent="0.2">
      <c r="X709" s="284"/>
      <c r="AA709"/>
      <c r="AB709"/>
      <c r="AC709"/>
      <c r="AE709"/>
      <c r="AF709"/>
      <c r="AJ709"/>
    </row>
    <row r="710" spans="24:36" x14ac:dyDescent="0.2">
      <c r="X710" s="284"/>
      <c r="AA710"/>
      <c r="AB710"/>
      <c r="AC710"/>
      <c r="AE710"/>
      <c r="AF710"/>
      <c r="AJ710"/>
    </row>
    <row r="711" spans="24:36" x14ac:dyDescent="0.2">
      <c r="X711" s="284"/>
      <c r="AA711"/>
      <c r="AB711"/>
      <c r="AC711"/>
      <c r="AE711"/>
      <c r="AF711"/>
      <c r="AJ711"/>
    </row>
    <row r="712" spans="24:36" x14ac:dyDescent="0.2">
      <c r="X712" s="284"/>
      <c r="AA712"/>
      <c r="AB712"/>
      <c r="AC712"/>
      <c r="AE712"/>
      <c r="AF712"/>
      <c r="AJ712"/>
    </row>
    <row r="713" spans="24:36" x14ac:dyDescent="0.2">
      <c r="X713" s="284"/>
      <c r="AA713"/>
      <c r="AB713"/>
      <c r="AC713"/>
      <c r="AE713"/>
      <c r="AF713"/>
      <c r="AJ713"/>
    </row>
    <row r="714" spans="24:36" x14ac:dyDescent="0.2">
      <c r="X714" s="284"/>
      <c r="AA714"/>
      <c r="AB714"/>
      <c r="AC714"/>
      <c r="AE714"/>
      <c r="AF714"/>
      <c r="AJ714"/>
    </row>
    <row r="715" spans="24:36" x14ac:dyDescent="0.2">
      <c r="X715" s="284"/>
      <c r="AA715"/>
      <c r="AB715"/>
      <c r="AC715"/>
      <c r="AE715"/>
      <c r="AF715"/>
      <c r="AJ715"/>
    </row>
    <row r="716" spans="24:36" x14ac:dyDescent="0.2">
      <c r="X716" s="284"/>
      <c r="AA716"/>
      <c r="AB716"/>
      <c r="AC716"/>
      <c r="AE716"/>
      <c r="AF716"/>
      <c r="AJ716"/>
    </row>
    <row r="717" spans="24:36" x14ac:dyDescent="0.2">
      <c r="X717" s="284"/>
      <c r="AA717"/>
      <c r="AB717"/>
      <c r="AC717"/>
      <c r="AE717"/>
      <c r="AF717"/>
      <c r="AJ717"/>
    </row>
    <row r="718" spans="24:36" x14ac:dyDescent="0.2">
      <c r="X718" s="284"/>
      <c r="AA718"/>
      <c r="AB718"/>
      <c r="AC718"/>
      <c r="AE718"/>
      <c r="AF718"/>
      <c r="AJ718"/>
    </row>
    <row r="719" spans="24:36" x14ac:dyDescent="0.2">
      <c r="X719" s="284"/>
      <c r="AA719"/>
      <c r="AB719"/>
      <c r="AC719"/>
      <c r="AE719"/>
      <c r="AF719"/>
      <c r="AJ719"/>
    </row>
    <row r="720" spans="24:36" x14ac:dyDescent="0.2">
      <c r="X720" s="284"/>
      <c r="AA720"/>
      <c r="AB720"/>
      <c r="AC720"/>
      <c r="AE720"/>
      <c r="AF720"/>
      <c r="AJ720"/>
    </row>
    <row r="721" spans="24:36" x14ac:dyDescent="0.2">
      <c r="X721" s="284"/>
      <c r="AA721"/>
      <c r="AB721"/>
      <c r="AC721"/>
      <c r="AE721"/>
      <c r="AF721"/>
      <c r="AJ721"/>
    </row>
    <row r="722" spans="24:36" x14ac:dyDescent="0.2">
      <c r="X722" s="284"/>
      <c r="AA722"/>
      <c r="AB722"/>
      <c r="AC722"/>
      <c r="AE722"/>
      <c r="AF722"/>
      <c r="AJ722"/>
    </row>
    <row r="723" spans="24:36" x14ac:dyDescent="0.2">
      <c r="X723" s="284"/>
      <c r="AA723"/>
      <c r="AB723"/>
      <c r="AC723"/>
      <c r="AE723"/>
      <c r="AF723"/>
      <c r="AJ723"/>
    </row>
    <row r="724" spans="24:36" x14ac:dyDescent="0.2">
      <c r="X724" s="284"/>
      <c r="AA724"/>
      <c r="AB724"/>
      <c r="AC724"/>
      <c r="AE724"/>
      <c r="AF724"/>
      <c r="AJ724"/>
    </row>
    <row r="725" spans="24:36" x14ac:dyDescent="0.2">
      <c r="X725" s="284"/>
      <c r="AA725"/>
      <c r="AB725"/>
      <c r="AC725"/>
      <c r="AE725"/>
      <c r="AF725"/>
      <c r="AJ725"/>
    </row>
    <row r="726" spans="24:36" x14ac:dyDescent="0.2">
      <c r="X726" s="284"/>
      <c r="AA726"/>
      <c r="AB726"/>
      <c r="AC726"/>
      <c r="AE726"/>
      <c r="AF726"/>
      <c r="AJ726"/>
    </row>
    <row r="727" spans="24:36" x14ac:dyDescent="0.2">
      <c r="X727" s="284"/>
      <c r="AA727"/>
      <c r="AB727"/>
      <c r="AC727"/>
      <c r="AE727"/>
      <c r="AF727"/>
      <c r="AJ727"/>
    </row>
    <row r="728" spans="24:36" x14ac:dyDescent="0.2">
      <c r="X728" s="284"/>
      <c r="AA728"/>
      <c r="AB728"/>
      <c r="AC728"/>
      <c r="AE728"/>
      <c r="AF728"/>
      <c r="AJ728"/>
    </row>
    <row r="729" spans="24:36" x14ac:dyDescent="0.2">
      <c r="X729" s="284"/>
      <c r="AA729"/>
      <c r="AB729"/>
      <c r="AC729"/>
      <c r="AE729"/>
      <c r="AF729"/>
      <c r="AJ729"/>
    </row>
    <row r="730" spans="24:36" x14ac:dyDescent="0.2">
      <c r="X730" s="284"/>
      <c r="AA730"/>
      <c r="AB730"/>
      <c r="AC730"/>
      <c r="AE730"/>
      <c r="AF730"/>
      <c r="AJ730"/>
    </row>
    <row r="731" spans="24:36" x14ac:dyDescent="0.2">
      <c r="X731" s="284"/>
      <c r="AA731"/>
      <c r="AB731"/>
      <c r="AC731"/>
      <c r="AE731"/>
      <c r="AF731"/>
      <c r="AJ731"/>
    </row>
    <row r="732" spans="24:36" x14ac:dyDescent="0.2">
      <c r="X732" s="284"/>
      <c r="AA732"/>
      <c r="AB732"/>
      <c r="AC732"/>
      <c r="AE732"/>
      <c r="AF732"/>
      <c r="AJ732"/>
    </row>
    <row r="733" spans="24:36" x14ac:dyDescent="0.2">
      <c r="X733" s="284"/>
      <c r="AA733"/>
      <c r="AB733"/>
      <c r="AC733"/>
      <c r="AE733"/>
      <c r="AF733"/>
      <c r="AJ733"/>
    </row>
    <row r="734" spans="24:36" x14ac:dyDescent="0.2">
      <c r="X734" s="284"/>
      <c r="AA734"/>
      <c r="AB734"/>
      <c r="AC734"/>
      <c r="AE734"/>
      <c r="AF734"/>
      <c r="AJ734"/>
    </row>
    <row r="735" spans="24:36" x14ac:dyDescent="0.2">
      <c r="X735" s="284"/>
      <c r="AA735"/>
      <c r="AB735"/>
      <c r="AC735"/>
      <c r="AE735"/>
      <c r="AF735"/>
      <c r="AJ735"/>
    </row>
    <row r="736" spans="24:36" x14ac:dyDescent="0.2">
      <c r="X736" s="284"/>
      <c r="AA736"/>
      <c r="AB736"/>
      <c r="AC736"/>
      <c r="AE736"/>
      <c r="AF736"/>
      <c r="AJ736"/>
    </row>
    <row r="737" spans="24:36" x14ac:dyDescent="0.2">
      <c r="X737" s="284"/>
      <c r="AA737"/>
      <c r="AB737"/>
      <c r="AC737"/>
      <c r="AE737"/>
      <c r="AF737"/>
      <c r="AJ737"/>
    </row>
    <row r="738" spans="24:36" x14ac:dyDescent="0.2">
      <c r="X738" s="284"/>
      <c r="AA738"/>
      <c r="AB738"/>
      <c r="AC738"/>
      <c r="AE738"/>
      <c r="AF738"/>
      <c r="AJ738"/>
    </row>
    <row r="739" spans="24:36" x14ac:dyDescent="0.2">
      <c r="X739" s="284"/>
      <c r="AA739"/>
      <c r="AB739"/>
      <c r="AC739"/>
      <c r="AE739"/>
      <c r="AF739"/>
      <c r="AJ739"/>
    </row>
    <row r="740" spans="24:36" x14ac:dyDescent="0.2">
      <c r="X740" s="284"/>
      <c r="AA740"/>
      <c r="AB740"/>
      <c r="AC740"/>
      <c r="AE740"/>
      <c r="AF740"/>
      <c r="AJ740"/>
    </row>
    <row r="741" spans="24:36" x14ac:dyDescent="0.2">
      <c r="X741" s="284"/>
      <c r="AA741"/>
      <c r="AB741"/>
      <c r="AC741"/>
      <c r="AE741"/>
      <c r="AF741"/>
      <c r="AJ741"/>
    </row>
    <row r="742" spans="24:36" x14ac:dyDescent="0.2">
      <c r="X742" s="284"/>
      <c r="AA742"/>
      <c r="AB742"/>
      <c r="AC742"/>
      <c r="AE742"/>
      <c r="AF742"/>
      <c r="AJ742"/>
    </row>
    <row r="743" spans="24:36" x14ac:dyDescent="0.2">
      <c r="X743" s="284"/>
      <c r="AA743"/>
      <c r="AB743"/>
      <c r="AC743"/>
      <c r="AE743"/>
      <c r="AF743"/>
      <c r="AJ743"/>
    </row>
    <row r="744" spans="24:36" x14ac:dyDescent="0.2">
      <c r="X744" s="284"/>
      <c r="AA744"/>
      <c r="AB744"/>
      <c r="AC744"/>
      <c r="AE744"/>
      <c r="AF744"/>
      <c r="AJ744"/>
    </row>
    <row r="745" spans="24:36" x14ac:dyDescent="0.2">
      <c r="X745" s="284"/>
      <c r="AA745"/>
      <c r="AB745"/>
      <c r="AC745"/>
      <c r="AE745"/>
      <c r="AF745"/>
      <c r="AJ745"/>
    </row>
    <row r="746" spans="24:36" x14ac:dyDescent="0.2">
      <c r="X746" s="284"/>
      <c r="AA746"/>
      <c r="AB746"/>
      <c r="AC746"/>
      <c r="AE746"/>
      <c r="AF746"/>
      <c r="AJ746"/>
    </row>
    <row r="747" spans="24:36" x14ac:dyDescent="0.2">
      <c r="X747" s="284"/>
      <c r="AA747"/>
      <c r="AB747"/>
      <c r="AC747"/>
      <c r="AE747"/>
      <c r="AF747"/>
      <c r="AJ747"/>
    </row>
    <row r="748" spans="24:36" x14ac:dyDescent="0.2">
      <c r="X748" s="284"/>
      <c r="AA748"/>
      <c r="AB748"/>
      <c r="AC748"/>
      <c r="AE748"/>
      <c r="AF748"/>
      <c r="AJ748"/>
    </row>
    <row r="749" spans="24:36" x14ac:dyDescent="0.2">
      <c r="X749" s="284"/>
      <c r="AA749"/>
      <c r="AB749"/>
      <c r="AC749"/>
      <c r="AE749"/>
      <c r="AF749"/>
      <c r="AJ749"/>
    </row>
    <row r="750" spans="24:36" x14ac:dyDescent="0.2">
      <c r="X750" s="284"/>
      <c r="AA750"/>
      <c r="AB750"/>
      <c r="AC750"/>
      <c r="AE750"/>
      <c r="AF750"/>
      <c r="AJ750"/>
    </row>
    <row r="751" spans="24:36" x14ac:dyDescent="0.2">
      <c r="X751" s="284"/>
      <c r="AA751"/>
      <c r="AB751"/>
      <c r="AC751"/>
      <c r="AE751"/>
      <c r="AF751"/>
      <c r="AJ751"/>
    </row>
    <row r="752" spans="24:36" x14ac:dyDescent="0.2">
      <c r="X752" s="284"/>
      <c r="AA752"/>
      <c r="AB752"/>
      <c r="AC752"/>
      <c r="AE752"/>
      <c r="AF752"/>
      <c r="AJ752"/>
    </row>
    <row r="753" spans="24:36" x14ac:dyDescent="0.2">
      <c r="X753" s="284"/>
      <c r="AA753"/>
      <c r="AB753"/>
      <c r="AC753"/>
      <c r="AE753"/>
      <c r="AF753"/>
      <c r="AJ753"/>
    </row>
    <row r="754" spans="24:36" x14ac:dyDescent="0.2">
      <c r="X754" s="284"/>
      <c r="AA754"/>
      <c r="AB754"/>
      <c r="AC754"/>
      <c r="AE754"/>
      <c r="AF754"/>
      <c r="AJ754"/>
    </row>
    <row r="755" spans="24:36" x14ac:dyDescent="0.2">
      <c r="X755" s="284"/>
      <c r="AA755"/>
      <c r="AB755"/>
      <c r="AC755"/>
      <c r="AE755"/>
      <c r="AF755"/>
      <c r="AJ755"/>
    </row>
    <row r="756" spans="24:36" x14ac:dyDescent="0.2">
      <c r="X756" s="284"/>
      <c r="AA756"/>
      <c r="AB756"/>
      <c r="AC756"/>
      <c r="AE756"/>
      <c r="AF756"/>
      <c r="AJ756"/>
    </row>
    <row r="757" spans="24:36" x14ac:dyDescent="0.2">
      <c r="X757" s="284"/>
      <c r="AA757"/>
      <c r="AB757"/>
      <c r="AC757"/>
      <c r="AE757"/>
      <c r="AF757"/>
      <c r="AJ757"/>
    </row>
    <row r="758" spans="24:36" x14ac:dyDescent="0.2">
      <c r="X758" s="284"/>
      <c r="AA758"/>
      <c r="AB758"/>
      <c r="AC758"/>
      <c r="AE758"/>
      <c r="AF758"/>
      <c r="AJ758"/>
    </row>
    <row r="759" spans="24:36" x14ac:dyDescent="0.2">
      <c r="X759" s="284"/>
      <c r="AA759"/>
      <c r="AB759"/>
      <c r="AC759"/>
      <c r="AE759"/>
      <c r="AF759"/>
      <c r="AJ759"/>
    </row>
    <row r="760" spans="24:36" x14ac:dyDescent="0.2">
      <c r="X760" s="284"/>
      <c r="AA760"/>
      <c r="AB760"/>
      <c r="AC760"/>
      <c r="AE760"/>
      <c r="AF760"/>
      <c r="AJ760"/>
    </row>
    <row r="761" spans="24:36" x14ac:dyDescent="0.2">
      <c r="X761" s="284"/>
      <c r="AA761"/>
      <c r="AB761"/>
      <c r="AC761"/>
      <c r="AE761"/>
      <c r="AF761"/>
      <c r="AJ761"/>
    </row>
    <row r="762" spans="24:36" x14ac:dyDescent="0.2">
      <c r="X762" s="284"/>
      <c r="AA762"/>
      <c r="AB762"/>
      <c r="AC762"/>
      <c r="AE762"/>
      <c r="AF762"/>
      <c r="AJ762"/>
    </row>
    <row r="763" spans="24:36" x14ac:dyDescent="0.2">
      <c r="X763" s="284"/>
      <c r="AA763"/>
      <c r="AB763"/>
      <c r="AC763"/>
      <c r="AE763"/>
      <c r="AF763"/>
      <c r="AJ763"/>
    </row>
    <row r="764" spans="24:36" x14ac:dyDescent="0.2">
      <c r="X764" s="284"/>
      <c r="AA764"/>
      <c r="AB764"/>
      <c r="AC764"/>
      <c r="AE764"/>
      <c r="AF764"/>
      <c r="AJ764"/>
    </row>
    <row r="765" spans="24:36" x14ac:dyDescent="0.2">
      <c r="X765" s="284"/>
      <c r="AA765"/>
      <c r="AB765"/>
      <c r="AC765"/>
      <c r="AE765"/>
      <c r="AF765"/>
      <c r="AJ765"/>
    </row>
    <row r="766" spans="24:36" x14ac:dyDescent="0.2">
      <c r="X766" s="284"/>
      <c r="AA766"/>
      <c r="AB766"/>
      <c r="AC766"/>
      <c r="AE766"/>
      <c r="AF766"/>
      <c r="AJ766"/>
    </row>
    <row r="767" spans="24:36" x14ac:dyDescent="0.2">
      <c r="X767" s="284"/>
      <c r="AA767"/>
      <c r="AB767"/>
      <c r="AC767"/>
      <c r="AE767"/>
      <c r="AF767"/>
      <c r="AJ767"/>
    </row>
    <row r="768" spans="24:36" x14ac:dyDescent="0.2">
      <c r="X768" s="284"/>
      <c r="AA768"/>
      <c r="AB768"/>
      <c r="AC768"/>
      <c r="AE768"/>
      <c r="AF768"/>
      <c r="AJ768"/>
    </row>
    <row r="769" spans="24:36" x14ac:dyDescent="0.2">
      <c r="X769" s="284"/>
      <c r="AA769"/>
      <c r="AB769"/>
      <c r="AC769"/>
      <c r="AE769"/>
      <c r="AF769"/>
      <c r="AJ769"/>
    </row>
    <row r="770" spans="24:36" x14ac:dyDescent="0.2">
      <c r="X770" s="284"/>
      <c r="AA770"/>
      <c r="AB770"/>
      <c r="AC770"/>
      <c r="AE770"/>
      <c r="AF770"/>
      <c r="AJ770"/>
    </row>
    <row r="771" spans="24:36" x14ac:dyDescent="0.2">
      <c r="X771" s="284"/>
      <c r="AA771"/>
      <c r="AB771"/>
      <c r="AC771"/>
      <c r="AE771"/>
      <c r="AF771"/>
      <c r="AJ771"/>
    </row>
    <row r="772" spans="24:36" x14ac:dyDescent="0.2">
      <c r="X772" s="284"/>
      <c r="AA772"/>
      <c r="AB772"/>
      <c r="AC772"/>
      <c r="AE772"/>
      <c r="AF772"/>
      <c r="AJ772"/>
    </row>
    <row r="773" spans="24:36" x14ac:dyDescent="0.2">
      <c r="X773" s="284"/>
      <c r="AA773"/>
      <c r="AB773"/>
      <c r="AC773"/>
      <c r="AE773"/>
      <c r="AF773"/>
      <c r="AJ773"/>
    </row>
    <row r="774" spans="24:36" x14ac:dyDescent="0.2">
      <c r="X774" s="284"/>
      <c r="AA774"/>
      <c r="AB774"/>
      <c r="AC774"/>
      <c r="AE774"/>
      <c r="AF774"/>
      <c r="AJ774"/>
    </row>
    <row r="775" spans="24:36" x14ac:dyDescent="0.2">
      <c r="X775" s="284"/>
      <c r="AA775"/>
      <c r="AB775"/>
      <c r="AC775"/>
      <c r="AE775"/>
      <c r="AF775"/>
      <c r="AJ775"/>
    </row>
    <row r="776" spans="24:36" x14ac:dyDescent="0.2">
      <c r="X776" s="284"/>
      <c r="AA776"/>
      <c r="AB776"/>
      <c r="AC776"/>
      <c r="AE776"/>
      <c r="AF776"/>
      <c r="AJ776"/>
    </row>
    <row r="777" spans="24:36" x14ac:dyDescent="0.2">
      <c r="X777" s="284"/>
      <c r="AA777"/>
      <c r="AB777"/>
      <c r="AC777"/>
      <c r="AE777"/>
      <c r="AF777"/>
      <c r="AJ777"/>
    </row>
    <row r="778" spans="24:36" x14ac:dyDescent="0.2">
      <c r="X778" s="284"/>
      <c r="AA778"/>
      <c r="AB778"/>
      <c r="AC778"/>
      <c r="AE778"/>
      <c r="AF778"/>
      <c r="AJ778"/>
    </row>
    <row r="779" spans="24:36" x14ac:dyDescent="0.2">
      <c r="X779" s="284"/>
      <c r="AA779"/>
      <c r="AB779"/>
      <c r="AC779"/>
      <c r="AE779"/>
      <c r="AF779"/>
      <c r="AJ779"/>
    </row>
    <row r="780" spans="24:36" x14ac:dyDescent="0.2">
      <c r="X780" s="284"/>
      <c r="AA780"/>
      <c r="AB780"/>
      <c r="AC780"/>
      <c r="AE780"/>
      <c r="AF780"/>
      <c r="AJ780"/>
    </row>
    <row r="781" spans="24:36" x14ac:dyDescent="0.2">
      <c r="X781" s="284"/>
      <c r="AA781"/>
      <c r="AB781"/>
      <c r="AC781"/>
      <c r="AE781"/>
      <c r="AF781"/>
      <c r="AJ781"/>
    </row>
    <row r="782" spans="24:36" x14ac:dyDescent="0.2">
      <c r="X782" s="284"/>
      <c r="AA782"/>
      <c r="AB782"/>
      <c r="AC782"/>
      <c r="AE782"/>
      <c r="AF782"/>
      <c r="AJ782"/>
    </row>
    <row r="783" spans="24:36" x14ac:dyDescent="0.2">
      <c r="X783" s="284"/>
      <c r="AA783"/>
      <c r="AB783"/>
      <c r="AC783"/>
      <c r="AE783"/>
      <c r="AF783"/>
      <c r="AJ783"/>
    </row>
    <row r="784" spans="24:36" x14ac:dyDescent="0.2">
      <c r="X784" s="284"/>
      <c r="AA784"/>
      <c r="AB784"/>
      <c r="AC784"/>
      <c r="AE784"/>
      <c r="AF784"/>
      <c r="AJ784"/>
    </row>
    <row r="785" spans="24:36" x14ac:dyDescent="0.2">
      <c r="X785" s="284"/>
      <c r="AA785"/>
      <c r="AB785"/>
      <c r="AC785"/>
      <c r="AE785"/>
      <c r="AF785"/>
      <c r="AJ785"/>
    </row>
    <row r="786" spans="24:36" x14ac:dyDescent="0.2">
      <c r="X786" s="284"/>
      <c r="AA786"/>
      <c r="AB786"/>
      <c r="AC786"/>
      <c r="AE786"/>
      <c r="AF786"/>
      <c r="AJ786"/>
    </row>
    <row r="787" spans="24:36" x14ac:dyDescent="0.2">
      <c r="X787" s="284"/>
      <c r="AA787"/>
      <c r="AB787"/>
      <c r="AC787"/>
      <c r="AE787"/>
      <c r="AF787"/>
      <c r="AJ787"/>
    </row>
    <row r="788" spans="24:36" x14ac:dyDescent="0.2">
      <c r="X788" s="284"/>
      <c r="AA788"/>
      <c r="AB788"/>
      <c r="AC788"/>
      <c r="AE788"/>
      <c r="AF788"/>
      <c r="AJ788"/>
    </row>
    <row r="789" spans="24:36" x14ac:dyDescent="0.2">
      <c r="X789" s="284"/>
      <c r="AA789"/>
      <c r="AB789"/>
      <c r="AC789"/>
      <c r="AE789"/>
      <c r="AF789"/>
      <c r="AJ789"/>
    </row>
    <row r="790" spans="24:36" x14ac:dyDescent="0.2">
      <c r="X790" s="284"/>
      <c r="AA790"/>
      <c r="AB790"/>
      <c r="AC790"/>
      <c r="AE790"/>
      <c r="AF790"/>
      <c r="AJ790"/>
    </row>
    <row r="791" spans="24:36" x14ac:dyDescent="0.2">
      <c r="X791" s="284"/>
      <c r="AA791"/>
      <c r="AB791"/>
      <c r="AC791"/>
      <c r="AE791"/>
      <c r="AF791"/>
      <c r="AJ791"/>
    </row>
    <row r="792" spans="24:36" x14ac:dyDescent="0.2">
      <c r="X792" s="284"/>
      <c r="AA792"/>
      <c r="AB792"/>
      <c r="AC792"/>
      <c r="AE792"/>
      <c r="AF792"/>
      <c r="AJ792"/>
    </row>
    <row r="793" spans="24:36" x14ac:dyDescent="0.2">
      <c r="X793" s="284"/>
      <c r="AA793"/>
      <c r="AB793"/>
      <c r="AC793"/>
      <c r="AE793"/>
      <c r="AF793"/>
      <c r="AJ793"/>
    </row>
    <row r="794" spans="24:36" x14ac:dyDescent="0.2">
      <c r="X794" s="284"/>
      <c r="AA794"/>
      <c r="AB794"/>
      <c r="AC794"/>
      <c r="AE794"/>
      <c r="AF794"/>
      <c r="AJ794"/>
    </row>
    <row r="795" spans="24:36" x14ac:dyDescent="0.2">
      <c r="X795" s="284"/>
      <c r="AA795"/>
      <c r="AB795"/>
      <c r="AC795"/>
      <c r="AE795"/>
      <c r="AF795"/>
      <c r="AJ795"/>
    </row>
    <row r="796" spans="24:36" x14ac:dyDescent="0.2">
      <c r="X796" s="284"/>
      <c r="AA796"/>
      <c r="AB796"/>
      <c r="AC796"/>
      <c r="AE796"/>
      <c r="AF796"/>
      <c r="AJ796"/>
    </row>
    <row r="797" spans="24:36" x14ac:dyDescent="0.2">
      <c r="X797" s="284"/>
      <c r="AA797"/>
      <c r="AB797"/>
      <c r="AC797"/>
      <c r="AE797"/>
      <c r="AF797"/>
      <c r="AJ797"/>
    </row>
    <row r="798" spans="24:36" x14ac:dyDescent="0.2">
      <c r="X798" s="284"/>
      <c r="AA798"/>
      <c r="AB798"/>
      <c r="AC798"/>
      <c r="AE798"/>
      <c r="AF798"/>
      <c r="AJ798"/>
    </row>
    <row r="799" spans="24:36" x14ac:dyDescent="0.2">
      <c r="X799" s="284"/>
      <c r="AA799"/>
      <c r="AB799"/>
      <c r="AC799"/>
      <c r="AE799"/>
      <c r="AF799"/>
      <c r="AJ799"/>
    </row>
    <row r="800" spans="24:36" x14ac:dyDescent="0.2">
      <c r="X800" s="284"/>
      <c r="AA800"/>
      <c r="AB800"/>
      <c r="AC800"/>
      <c r="AE800"/>
      <c r="AF800"/>
      <c r="AJ800"/>
    </row>
    <row r="801" spans="24:36" x14ac:dyDescent="0.2">
      <c r="X801" s="284"/>
      <c r="AA801"/>
      <c r="AB801"/>
      <c r="AC801"/>
      <c r="AE801"/>
      <c r="AF801"/>
      <c r="AJ801"/>
    </row>
    <row r="802" spans="24:36" x14ac:dyDescent="0.2">
      <c r="X802" s="284"/>
      <c r="AA802"/>
      <c r="AB802"/>
      <c r="AC802"/>
      <c r="AE802"/>
      <c r="AF802"/>
      <c r="AJ802"/>
    </row>
    <row r="803" spans="24:36" x14ac:dyDescent="0.2">
      <c r="X803" s="284"/>
      <c r="AA803"/>
      <c r="AB803"/>
      <c r="AC803"/>
      <c r="AE803"/>
      <c r="AF803"/>
      <c r="AJ803"/>
    </row>
    <row r="804" spans="24:36" x14ac:dyDescent="0.2">
      <c r="X804" s="284"/>
      <c r="AA804"/>
      <c r="AB804"/>
      <c r="AC804"/>
      <c r="AE804"/>
      <c r="AF804"/>
      <c r="AJ804"/>
    </row>
    <row r="805" spans="24:36" x14ac:dyDescent="0.2">
      <c r="X805" s="284"/>
      <c r="AA805"/>
      <c r="AB805"/>
      <c r="AC805"/>
      <c r="AE805"/>
      <c r="AF805"/>
      <c r="AJ805"/>
    </row>
    <row r="806" spans="24:36" x14ac:dyDescent="0.2">
      <c r="X806" s="284"/>
      <c r="AA806"/>
      <c r="AB806"/>
      <c r="AC806"/>
      <c r="AE806"/>
      <c r="AF806"/>
      <c r="AJ806"/>
    </row>
    <row r="807" spans="24:36" x14ac:dyDescent="0.2">
      <c r="X807" s="284"/>
      <c r="AA807"/>
      <c r="AB807"/>
      <c r="AC807"/>
      <c r="AE807"/>
      <c r="AF807"/>
      <c r="AJ807"/>
    </row>
    <row r="808" spans="24:36" x14ac:dyDescent="0.2">
      <c r="X808" s="284"/>
      <c r="AA808"/>
      <c r="AB808"/>
      <c r="AC808"/>
      <c r="AE808"/>
      <c r="AF808"/>
      <c r="AJ808"/>
    </row>
    <row r="809" spans="24:36" x14ac:dyDescent="0.2">
      <c r="X809" s="284"/>
      <c r="AA809"/>
      <c r="AB809"/>
      <c r="AC809"/>
      <c r="AE809"/>
      <c r="AF809"/>
      <c r="AJ809"/>
    </row>
    <row r="810" spans="24:36" x14ac:dyDescent="0.2">
      <c r="X810" s="284"/>
      <c r="AA810"/>
      <c r="AB810"/>
      <c r="AC810"/>
      <c r="AE810"/>
      <c r="AF810"/>
      <c r="AJ810"/>
    </row>
    <row r="811" spans="24:36" x14ac:dyDescent="0.2">
      <c r="X811" s="284"/>
      <c r="AA811"/>
      <c r="AB811"/>
      <c r="AC811"/>
      <c r="AE811"/>
      <c r="AF811"/>
      <c r="AJ811"/>
    </row>
    <row r="812" spans="24:36" x14ac:dyDescent="0.2">
      <c r="X812" s="284"/>
      <c r="AA812"/>
      <c r="AB812"/>
      <c r="AC812"/>
      <c r="AE812"/>
      <c r="AF812"/>
      <c r="AJ812"/>
    </row>
    <row r="813" spans="24:36" x14ac:dyDescent="0.2">
      <c r="X813" s="284"/>
      <c r="AA813"/>
      <c r="AB813"/>
      <c r="AC813"/>
      <c r="AE813"/>
      <c r="AF813"/>
      <c r="AJ813"/>
    </row>
    <row r="814" spans="24:36" x14ac:dyDescent="0.2">
      <c r="X814" s="284"/>
      <c r="AA814"/>
      <c r="AB814"/>
      <c r="AC814"/>
      <c r="AE814"/>
      <c r="AF814"/>
      <c r="AJ814"/>
    </row>
    <row r="815" spans="24:36" x14ac:dyDescent="0.2">
      <c r="X815" s="284"/>
      <c r="AA815"/>
      <c r="AB815"/>
      <c r="AC815"/>
      <c r="AE815"/>
      <c r="AF815"/>
      <c r="AJ815"/>
    </row>
    <row r="816" spans="24:36" x14ac:dyDescent="0.2">
      <c r="X816" s="284"/>
      <c r="AA816"/>
      <c r="AB816"/>
      <c r="AC816"/>
      <c r="AE816"/>
      <c r="AF816"/>
      <c r="AJ816"/>
    </row>
    <row r="817" spans="24:36" x14ac:dyDescent="0.2">
      <c r="X817" s="284"/>
      <c r="AA817"/>
      <c r="AB817"/>
      <c r="AC817"/>
      <c r="AE817"/>
      <c r="AF817"/>
      <c r="AJ817"/>
    </row>
    <row r="818" spans="24:36" x14ac:dyDescent="0.2">
      <c r="X818" s="284"/>
      <c r="AA818"/>
      <c r="AB818"/>
      <c r="AC818"/>
      <c r="AE818"/>
      <c r="AF818"/>
      <c r="AJ818"/>
    </row>
    <row r="819" spans="24:36" x14ac:dyDescent="0.2">
      <c r="X819" s="284"/>
      <c r="AA819"/>
      <c r="AB819"/>
      <c r="AC819"/>
      <c r="AE819"/>
      <c r="AF819"/>
      <c r="AJ819"/>
    </row>
    <row r="820" spans="24:36" x14ac:dyDescent="0.2">
      <c r="X820" s="284"/>
      <c r="AA820"/>
      <c r="AB820"/>
      <c r="AC820"/>
      <c r="AE820"/>
      <c r="AF820"/>
      <c r="AJ820"/>
    </row>
    <row r="821" spans="24:36" x14ac:dyDescent="0.2">
      <c r="X821" s="284"/>
      <c r="AA821"/>
      <c r="AB821"/>
      <c r="AC821"/>
      <c r="AE821"/>
      <c r="AF821"/>
      <c r="AJ821"/>
    </row>
    <row r="822" spans="24:36" x14ac:dyDescent="0.2">
      <c r="X822" s="284"/>
      <c r="AA822"/>
      <c r="AB822"/>
      <c r="AC822"/>
      <c r="AE822"/>
      <c r="AF822"/>
      <c r="AJ822"/>
    </row>
    <row r="823" spans="24:36" x14ac:dyDescent="0.2">
      <c r="X823" s="284"/>
      <c r="AA823"/>
      <c r="AB823"/>
      <c r="AC823"/>
      <c r="AE823"/>
      <c r="AF823"/>
      <c r="AJ823"/>
    </row>
    <row r="824" spans="24:36" x14ac:dyDescent="0.2">
      <c r="X824" s="284"/>
      <c r="AA824"/>
      <c r="AB824"/>
      <c r="AC824"/>
      <c r="AE824"/>
      <c r="AF824"/>
      <c r="AJ824"/>
    </row>
    <row r="825" spans="24:36" x14ac:dyDescent="0.2">
      <c r="X825" s="284"/>
      <c r="AA825"/>
      <c r="AB825"/>
      <c r="AC825"/>
      <c r="AE825"/>
      <c r="AF825"/>
      <c r="AJ825"/>
    </row>
    <row r="826" spans="24:36" x14ac:dyDescent="0.2">
      <c r="X826" s="284"/>
      <c r="AA826"/>
      <c r="AB826"/>
      <c r="AC826"/>
      <c r="AE826"/>
      <c r="AF826"/>
      <c r="AJ826"/>
    </row>
    <row r="827" spans="24:36" x14ac:dyDescent="0.2">
      <c r="X827" s="284"/>
      <c r="AA827"/>
      <c r="AB827"/>
      <c r="AC827"/>
      <c r="AE827"/>
      <c r="AF827"/>
      <c r="AJ827"/>
    </row>
    <row r="828" spans="24:36" x14ac:dyDescent="0.2">
      <c r="X828" s="284"/>
      <c r="AA828"/>
      <c r="AB828"/>
      <c r="AC828"/>
      <c r="AE828"/>
      <c r="AF828"/>
      <c r="AJ828"/>
    </row>
    <row r="829" spans="24:36" x14ac:dyDescent="0.2">
      <c r="X829" s="284"/>
      <c r="AA829"/>
      <c r="AB829"/>
      <c r="AC829"/>
      <c r="AE829"/>
      <c r="AF829"/>
      <c r="AJ829"/>
    </row>
    <row r="830" spans="24:36" x14ac:dyDescent="0.2">
      <c r="X830" s="284"/>
      <c r="AA830"/>
      <c r="AB830"/>
      <c r="AC830"/>
      <c r="AE830"/>
      <c r="AF830"/>
      <c r="AJ830"/>
    </row>
    <row r="831" spans="24:36" x14ac:dyDescent="0.2">
      <c r="X831" s="284"/>
      <c r="AA831"/>
      <c r="AB831"/>
      <c r="AC831"/>
      <c r="AE831"/>
      <c r="AF831"/>
      <c r="AJ831"/>
    </row>
    <row r="832" spans="24:36" x14ac:dyDescent="0.2">
      <c r="X832" s="284"/>
      <c r="AA832"/>
      <c r="AB832"/>
      <c r="AC832"/>
      <c r="AE832"/>
      <c r="AF832"/>
      <c r="AJ832"/>
    </row>
    <row r="833" spans="24:36" x14ac:dyDescent="0.2">
      <c r="X833" s="284"/>
      <c r="AA833"/>
      <c r="AB833"/>
      <c r="AC833"/>
      <c r="AE833"/>
      <c r="AF833"/>
      <c r="AJ833"/>
    </row>
    <row r="834" spans="24:36" x14ac:dyDescent="0.2">
      <c r="X834" s="284"/>
      <c r="AA834"/>
      <c r="AB834"/>
      <c r="AC834"/>
      <c r="AE834"/>
      <c r="AF834"/>
      <c r="AJ834"/>
    </row>
    <row r="835" spans="24:36" x14ac:dyDescent="0.2">
      <c r="X835" s="284"/>
      <c r="AA835"/>
      <c r="AB835"/>
      <c r="AC835"/>
      <c r="AE835"/>
      <c r="AF835"/>
      <c r="AJ835"/>
    </row>
    <row r="836" spans="24:36" x14ac:dyDescent="0.2">
      <c r="X836" s="284"/>
      <c r="AA836"/>
      <c r="AB836"/>
      <c r="AC836"/>
      <c r="AE836"/>
      <c r="AF836"/>
      <c r="AJ836"/>
    </row>
    <row r="837" spans="24:36" x14ac:dyDescent="0.2">
      <c r="X837" s="284"/>
      <c r="AA837"/>
      <c r="AB837"/>
      <c r="AC837"/>
      <c r="AE837"/>
      <c r="AF837"/>
      <c r="AJ837"/>
    </row>
    <row r="838" spans="24:36" x14ac:dyDescent="0.2">
      <c r="X838" s="284"/>
      <c r="AA838"/>
      <c r="AB838"/>
      <c r="AC838"/>
      <c r="AE838"/>
      <c r="AF838"/>
      <c r="AJ838"/>
    </row>
    <row r="839" spans="24:36" x14ac:dyDescent="0.2">
      <c r="X839" s="284"/>
      <c r="AA839"/>
      <c r="AB839"/>
      <c r="AC839"/>
      <c r="AE839"/>
      <c r="AF839"/>
      <c r="AJ839"/>
    </row>
    <row r="840" spans="24:36" x14ac:dyDescent="0.2">
      <c r="X840" s="284"/>
      <c r="AA840"/>
      <c r="AB840"/>
      <c r="AC840"/>
      <c r="AE840"/>
      <c r="AF840"/>
      <c r="AJ840"/>
    </row>
    <row r="841" spans="24:36" x14ac:dyDescent="0.2">
      <c r="X841" s="284"/>
      <c r="AA841"/>
      <c r="AB841"/>
      <c r="AC841"/>
      <c r="AE841"/>
      <c r="AF841"/>
      <c r="AJ841"/>
    </row>
    <row r="842" spans="24:36" x14ac:dyDescent="0.2">
      <c r="X842" s="284"/>
      <c r="AA842"/>
      <c r="AB842"/>
      <c r="AC842"/>
      <c r="AE842"/>
      <c r="AF842"/>
      <c r="AJ842"/>
    </row>
    <row r="843" spans="24:36" x14ac:dyDescent="0.2">
      <c r="X843" s="284"/>
      <c r="AA843"/>
      <c r="AB843"/>
      <c r="AC843"/>
      <c r="AE843"/>
      <c r="AF843"/>
      <c r="AJ843"/>
    </row>
    <row r="844" spans="24:36" x14ac:dyDescent="0.2">
      <c r="X844" s="284"/>
      <c r="AA844"/>
      <c r="AB844"/>
      <c r="AC844"/>
      <c r="AE844"/>
      <c r="AF844"/>
      <c r="AJ844"/>
    </row>
    <row r="845" spans="24:36" x14ac:dyDescent="0.2">
      <c r="X845" s="284"/>
      <c r="AA845"/>
      <c r="AB845"/>
      <c r="AC845"/>
      <c r="AE845"/>
      <c r="AF845"/>
      <c r="AJ845"/>
    </row>
    <row r="846" spans="24:36" x14ac:dyDescent="0.2">
      <c r="X846" s="284"/>
      <c r="AA846"/>
      <c r="AB846"/>
      <c r="AC846"/>
      <c r="AE846"/>
      <c r="AF846"/>
      <c r="AJ846"/>
    </row>
    <row r="847" spans="24:36" x14ac:dyDescent="0.2">
      <c r="X847" s="284"/>
      <c r="AA847"/>
      <c r="AB847"/>
      <c r="AC847"/>
      <c r="AE847"/>
      <c r="AF847"/>
      <c r="AJ847"/>
    </row>
    <row r="848" spans="24:36" x14ac:dyDescent="0.2">
      <c r="X848" s="284"/>
      <c r="AA848"/>
      <c r="AB848"/>
      <c r="AC848"/>
      <c r="AE848"/>
      <c r="AF848"/>
      <c r="AJ848"/>
    </row>
    <row r="849" spans="24:36" x14ac:dyDescent="0.2">
      <c r="X849" s="284"/>
      <c r="AA849"/>
      <c r="AB849"/>
      <c r="AC849"/>
      <c r="AE849"/>
      <c r="AF849"/>
      <c r="AJ849"/>
    </row>
    <row r="850" spans="24:36" x14ac:dyDescent="0.2">
      <c r="X850" s="284"/>
      <c r="AA850"/>
      <c r="AB850"/>
      <c r="AC850"/>
      <c r="AE850"/>
      <c r="AF850"/>
      <c r="AJ850"/>
    </row>
    <row r="851" spans="24:36" x14ac:dyDescent="0.2">
      <c r="X851" s="284"/>
      <c r="AA851"/>
      <c r="AB851"/>
      <c r="AC851"/>
      <c r="AE851"/>
      <c r="AF851"/>
      <c r="AJ851"/>
    </row>
    <row r="852" spans="24:36" x14ac:dyDescent="0.2">
      <c r="X852" s="284"/>
      <c r="AA852"/>
      <c r="AB852"/>
      <c r="AC852"/>
      <c r="AE852"/>
      <c r="AF852"/>
      <c r="AJ852"/>
    </row>
    <row r="853" spans="24:36" x14ac:dyDescent="0.2">
      <c r="X853" s="284"/>
      <c r="AA853"/>
      <c r="AB853"/>
      <c r="AC853"/>
      <c r="AE853"/>
      <c r="AF853"/>
      <c r="AJ853"/>
    </row>
    <row r="854" spans="24:36" x14ac:dyDescent="0.2">
      <c r="X854" s="284"/>
      <c r="AA854"/>
      <c r="AB854"/>
      <c r="AC854"/>
      <c r="AE854"/>
      <c r="AF854"/>
      <c r="AJ854"/>
    </row>
    <row r="855" spans="24:36" x14ac:dyDescent="0.2">
      <c r="X855" s="284"/>
      <c r="AA855"/>
      <c r="AB855"/>
      <c r="AC855"/>
      <c r="AE855"/>
      <c r="AF855"/>
      <c r="AJ855"/>
    </row>
    <row r="856" spans="24:36" x14ac:dyDescent="0.2">
      <c r="X856" s="284"/>
      <c r="AA856"/>
      <c r="AB856"/>
      <c r="AC856"/>
      <c r="AE856"/>
      <c r="AF856"/>
      <c r="AJ856"/>
    </row>
    <row r="857" spans="24:36" x14ac:dyDescent="0.2">
      <c r="X857" s="284"/>
      <c r="AA857"/>
      <c r="AB857"/>
      <c r="AC857"/>
      <c r="AE857"/>
      <c r="AF857"/>
      <c r="AJ857"/>
    </row>
    <row r="858" spans="24:36" x14ac:dyDescent="0.2">
      <c r="X858" s="284"/>
      <c r="AA858"/>
      <c r="AB858"/>
      <c r="AC858"/>
      <c r="AE858"/>
      <c r="AF858"/>
      <c r="AJ858"/>
    </row>
    <row r="859" spans="24:36" x14ac:dyDescent="0.2">
      <c r="X859" s="284"/>
      <c r="AA859"/>
      <c r="AB859"/>
      <c r="AC859"/>
      <c r="AE859"/>
      <c r="AF859"/>
      <c r="AJ859"/>
    </row>
    <row r="860" spans="24:36" x14ac:dyDescent="0.2">
      <c r="X860" s="284"/>
      <c r="AA860"/>
      <c r="AB860"/>
      <c r="AC860"/>
      <c r="AE860"/>
      <c r="AF860"/>
      <c r="AJ860"/>
    </row>
    <row r="861" spans="24:36" x14ac:dyDescent="0.2">
      <c r="X861" s="284"/>
      <c r="AA861"/>
      <c r="AB861"/>
      <c r="AC861"/>
      <c r="AE861"/>
      <c r="AF861"/>
      <c r="AJ861"/>
    </row>
    <row r="862" spans="24:36" x14ac:dyDescent="0.2">
      <c r="X862" s="284"/>
      <c r="AA862"/>
      <c r="AB862"/>
      <c r="AC862"/>
      <c r="AE862"/>
      <c r="AF862"/>
      <c r="AJ862"/>
    </row>
    <row r="863" spans="24:36" x14ac:dyDescent="0.2">
      <c r="X863" s="284"/>
      <c r="AA863"/>
      <c r="AB863"/>
      <c r="AC863"/>
      <c r="AE863"/>
      <c r="AF863"/>
      <c r="AJ863"/>
    </row>
    <row r="864" spans="24:36" x14ac:dyDescent="0.2">
      <c r="X864" s="284"/>
      <c r="AA864"/>
      <c r="AB864"/>
      <c r="AC864"/>
      <c r="AE864"/>
      <c r="AF864"/>
      <c r="AJ864"/>
    </row>
    <row r="865" spans="24:36" x14ac:dyDescent="0.2">
      <c r="X865" s="284"/>
      <c r="AA865"/>
      <c r="AB865"/>
      <c r="AC865"/>
      <c r="AE865"/>
      <c r="AF865"/>
      <c r="AJ865"/>
    </row>
    <row r="866" spans="24:36" x14ac:dyDescent="0.2">
      <c r="X866" s="284"/>
      <c r="AA866"/>
      <c r="AB866"/>
      <c r="AC866"/>
      <c r="AE866"/>
      <c r="AF866"/>
      <c r="AJ866"/>
    </row>
    <row r="867" spans="24:36" x14ac:dyDescent="0.2">
      <c r="X867" s="284"/>
      <c r="AA867"/>
      <c r="AB867"/>
      <c r="AC867"/>
      <c r="AE867"/>
      <c r="AF867"/>
      <c r="AJ867"/>
    </row>
    <row r="868" spans="24:36" x14ac:dyDescent="0.2">
      <c r="X868" s="284"/>
      <c r="AA868"/>
      <c r="AB868"/>
      <c r="AC868"/>
      <c r="AE868"/>
      <c r="AF868"/>
      <c r="AJ868"/>
    </row>
    <row r="869" spans="24:36" x14ac:dyDescent="0.2">
      <c r="X869" s="284"/>
      <c r="AA869"/>
      <c r="AB869"/>
      <c r="AC869"/>
      <c r="AE869"/>
      <c r="AF869"/>
      <c r="AJ869"/>
    </row>
    <row r="870" spans="24:36" x14ac:dyDescent="0.2">
      <c r="X870" s="284"/>
      <c r="AA870"/>
      <c r="AB870"/>
      <c r="AC870"/>
      <c r="AE870"/>
      <c r="AF870"/>
      <c r="AJ870"/>
    </row>
    <row r="871" spans="24:36" x14ac:dyDescent="0.2">
      <c r="X871" s="284"/>
      <c r="AA871"/>
      <c r="AB871"/>
      <c r="AC871"/>
      <c r="AE871"/>
      <c r="AF871"/>
      <c r="AJ871"/>
    </row>
    <row r="872" spans="24:36" x14ac:dyDescent="0.2">
      <c r="X872" s="284"/>
      <c r="AA872"/>
      <c r="AB872"/>
      <c r="AC872"/>
      <c r="AE872"/>
      <c r="AF872"/>
      <c r="AJ872"/>
    </row>
    <row r="873" spans="24:36" x14ac:dyDescent="0.2">
      <c r="X873" s="284"/>
      <c r="AA873"/>
      <c r="AB873"/>
      <c r="AC873"/>
      <c r="AE873"/>
      <c r="AF873"/>
      <c r="AJ873"/>
    </row>
    <row r="874" spans="24:36" x14ac:dyDescent="0.2">
      <c r="X874" s="284"/>
      <c r="AA874"/>
      <c r="AB874"/>
      <c r="AC874"/>
      <c r="AE874"/>
      <c r="AF874"/>
      <c r="AJ874"/>
    </row>
    <row r="875" spans="24:36" x14ac:dyDescent="0.2">
      <c r="X875" s="284"/>
      <c r="AA875"/>
      <c r="AB875"/>
      <c r="AC875"/>
      <c r="AE875"/>
      <c r="AF875"/>
      <c r="AJ875"/>
    </row>
    <row r="876" spans="24:36" x14ac:dyDescent="0.2">
      <c r="X876" s="284"/>
      <c r="AA876"/>
      <c r="AB876"/>
      <c r="AC876"/>
      <c r="AE876"/>
      <c r="AF876"/>
      <c r="AJ876"/>
    </row>
    <row r="877" spans="24:36" x14ac:dyDescent="0.2">
      <c r="X877" s="284"/>
      <c r="AA877"/>
      <c r="AB877"/>
      <c r="AC877"/>
      <c r="AE877"/>
      <c r="AF877"/>
      <c r="AJ877"/>
    </row>
    <row r="878" spans="24:36" x14ac:dyDescent="0.2">
      <c r="X878" s="284"/>
      <c r="AA878"/>
      <c r="AB878"/>
      <c r="AC878"/>
      <c r="AE878"/>
      <c r="AF878"/>
      <c r="AJ878"/>
    </row>
    <row r="879" spans="24:36" x14ac:dyDescent="0.2">
      <c r="X879" s="284"/>
      <c r="AA879"/>
      <c r="AB879"/>
      <c r="AC879"/>
      <c r="AE879"/>
      <c r="AF879"/>
      <c r="AJ879"/>
    </row>
    <row r="880" spans="24:36" x14ac:dyDescent="0.2">
      <c r="X880" s="284"/>
      <c r="AA880"/>
      <c r="AB880"/>
      <c r="AC880"/>
      <c r="AE880"/>
      <c r="AF880"/>
      <c r="AJ880"/>
    </row>
    <row r="881" spans="24:36" x14ac:dyDescent="0.2">
      <c r="X881" s="284"/>
      <c r="AA881"/>
      <c r="AB881"/>
      <c r="AC881"/>
      <c r="AE881"/>
      <c r="AF881"/>
      <c r="AJ881"/>
    </row>
    <row r="882" spans="24:36" x14ac:dyDescent="0.2">
      <c r="X882" s="284"/>
      <c r="AA882"/>
      <c r="AB882"/>
      <c r="AC882"/>
      <c r="AE882"/>
      <c r="AF882"/>
      <c r="AJ882"/>
    </row>
    <row r="883" spans="24:36" x14ac:dyDescent="0.2">
      <c r="X883" s="284"/>
      <c r="AA883"/>
      <c r="AB883"/>
      <c r="AC883"/>
      <c r="AE883"/>
      <c r="AF883"/>
      <c r="AJ883"/>
    </row>
    <row r="884" spans="24:36" x14ac:dyDescent="0.2">
      <c r="X884" s="284"/>
      <c r="AA884"/>
      <c r="AB884"/>
      <c r="AC884"/>
      <c r="AE884"/>
      <c r="AF884"/>
      <c r="AJ884"/>
    </row>
    <row r="885" spans="24:36" x14ac:dyDescent="0.2">
      <c r="X885" s="284"/>
      <c r="AA885"/>
      <c r="AB885"/>
      <c r="AC885"/>
      <c r="AE885"/>
      <c r="AF885"/>
      <c r="AJ885"/>
    </row>
    <row r="886" spans="24:36" x14ac:dyDescent="0.2">
      <c r="X886" s="284"/>
      <c r="AA886"/>
      <c r="AB886"/>
      <c r="AC886"/>
      <c r="AE886"/>
      <c r="AF886"/>
      <c r="AJ886"/>
    </row>
    <row r="887" spans="24:36" x14ac:dyDescent="0.2">
      <c r="X887" s="284"/>
      <c r="AA887"/>
      <c r="AB887"/>
      <c r="AC887"/>
      <c r="AE887"/>
      <c r="AF887"/>
      <c r="AJ887"/>
    </row>
    <row r="888" spans="24:36" x14ac:dyDescent="0.2">
      <c r="X888" s="284"/>
      <c r="AA888"/>
      <c r="AB888"/>
      <c r="AC888"/>
      <c r="AE888"/>
      <c r="AF888"/>
      <c r="AJ888"/>
    </row>
    <row r="889" spans="24:36" x14ac:dyDescent="0.2">
      <c r="X889" s="284"/>
      <c r="AA889"/>
      <c r="AB889"/>
      <c r="AC889"/>
      <c r="AE889"/>
      <c r="AF889"/>
      <c r="AJ889"/>
    </row>
    <row r="890" spans="24:36" x14ac:dyDescent="0.2">
      <c r="X890" s="284"/>
      <c r="AA890"/>
      <c r="AB890"/>
      <c r="AC890"/>
      <c r="AE890"/>
      <c r="AF890"/>
      <c r="AJ890"/>
    </row>
    <row r="891" spans="24:36" x14ac:dyDescent="0.2">
      <c r="X891" s="284"/>
      <c r="AA891"/>
      <c r="AB891"/>
      <c r="AC891"/>
      <c r="AE891"/>
      <c r="AF891"/>
      <c r="AJ891"/>
    </row>
    <row r="892" spans="24:36" x14ac:dyDescent="0.2">
      <c r="X892" s="284"/>
      <c r="AA892"/>
      <c r="AB892"/>
      <c r="AC892"/>
      <c r="AE892"/>
      <c r="AF892"/>
      <c r="AJ892"/>
    </row>
    <row r="893" spans="24:36" x14ac:dyDescent="0.2">
      <c r="X893" s="284"/>
      <c r="AA893"/>
      <c r="AB893"/>
      <c r="AC893"/>
      <c r="AE893"/>
      <c r="AF893"/>
      <c r="AJ893"/>
    </row>
    <row r="894" spans="24:36" x14ac:dyDescent="0.2">
      <c r="X894" s="284"/>
      <c r="AA894"/>
      <c r="AB894"/>
      <c r="AC894"/>
      <c r="AE894"/>
      <c r="AF894"/>
      <c r="AJ894"/>
    </row>
    <row r="895" spans="24:36" x14ac:dyDescent="0.2">
      <c r="X895" s="284"/>
      <c r="AA895"/>
      <c r="AB895"/>
      <c r="AC895"/>
      <c r="AE895"/>
      <c r="AF895"/>
      <c r="AJ895"/>
    </row>
    <row r="896" spans="24:36" x14ac:dyDescent="0.2">
      <c r="X896" s="284"/>
      <c r="AA896"/>
      <c r="AB896"/>
      <c r="AC896"/>
      <c r="AE896"/>
      <c r="AF896"/>
      <c r="AJ896"/>
    </row>
    <row r="897" spans="24:36" x14ac:dyDescent="0.2">
      <c r="X897" s="284"/>
      <c r="AA897"/>
      <c r="AB897"/>
      <c r="AC897"/>
      <c r="AE897"/>
      <c r="AF897"/>
      <c r="AJ897"/>
    </row>
    <row r="898" spans="24:36" x14ac:dyDescent="0.2">
      <c r="X898" s="284"/>
      <c r="AA898"/>
      <c r="AB898"/>
      <c r="AC898"/>
      <c r="AE898"/>
      <c r="AF898"/>
      <c r="AJ898"/>
    </row>
    <row r="899" spans="24:36" x14ac:dyDescent="0.2">
      <c r="X899" s="284"/>
      <c r="AA899"/>
      <c r="AB899"/>
      <c r="AC899"/>
      <c r="AE899"/>
      <c r="AF899"/>
      <c r="AJ899"/>
    </row>
    <row r="900" spans="24:36" x14ac:dyDescent="0.2">
      <c r="X900" s="284"/>
      <c r="AA900"/>
      <c r="AB900"/>
      <c r="AC900"/>
      <c r="AE900"/>
      <c r="AF900"/>
      <c r="AJ900"/>
    </row>
    <row r="901" spans="24:36" x14ac:dyDescent="0.2">
      <c r="X901" s="284"/>
      <c r="AA901"/>
      <c r="AB901"/>
      <c r="AC901"/>
      <c r="AE901"/>
      <c r="AF901"/>
      <c r="AJ901"/>
    </row>
    <row r="902" spans="24:36" x14ac:dyDescent="0.2">
      <c r="X902" s="284"/>
      <c r="AA902"/>
      <c r="AB902"/>
      <c r="AC902"/>
      <c r="AE902"/>
      <c r="AF902"/>
      <c r="AJ902"/>
    </row>
    <row r="903" spans="24:36" x14ac:dyDescent="0.2">
      <c r="X903" s="284"/>
      <c r="AA903"/>
      <c r="AB903"/>
      <c r="AC903"/>
      <c r="AE903"/>
      <c r="AF903"/>
      <c r="AJ903"/>
    </row>
    <row r="904" spans="24:36" x14ac:dyDescent="0.2">
      <c r="X904" s="284"/>
      <c r="AA904"/>
      <c r="AB904"/>
      <c r="AC904"/>
      <c r="AE904"/>
      <c r="AF904"/>
      <c r="AJ904"/>
    </row>
    <row r="905" spans="24:36" x14ac:dyDescent="0.2">
      <c r="X905" s="284"/>
      <c r="AA905"/>
      <c r="AB905"/>
      <c r="AC905"/>
      <c r="AE905"/>
      <c r="AF905"/>
      <c r="AJ905"/>
    </row>
    <row r="906" spans="24:36" x14ac:dyDescent="0.2">
      <c r="X906" s="284"/>
      <c r="AA906"/>
      <c r="AB906"/>
      <c r="AC906"/>
      <c r="AE906"/>
      <c r="AF906"/>
      <c r="AJ906"/>
    </row>
    <row r="907" spans="24:36" x14ac:dyDescent="0.2">
      <c r="X907" s="284"/>
      <c r="AA907"/>
      <c r="AB907"/>
      <c r="AC907"/>
      <c r="AE907"/>
      <c r="AF907"/>
      <c r="AJ907"/>
    </row>
    <row r="908" spans="24:36" x14ac:dyDescent="0.2">
      <c r="X908" s="284"/>
      <c r="AA908"/>
      <c r="AB908"/>
      <c r="AC908"/>
      <c r="AE908"/>
      <c r="AF908"/>
      <c r="AJ908"/>
    </row>
    <row r="909" spans="24:36" x14ac:dyDescent="0.2">
      <c r="X909" s="284"/>
      <c r="AA909"/>
      <c r="AB909"/>
      <c r="AC909"/>
      <c r="AE909"/>
      <c r="AF909"/>
      <c r="AJ909"/>
    </row>
    <row r="910" spans="24:36" x14ac:dyDescent="0.2">
      <c r="X910" s="284"/>
      <c r="AA910"/>
      <c r="AB910"/>
      <c r="AC910"/>
      <c r="AE910"/>
      <c r="AF910"/>
      <c r="AJ910"/>
    </row>
    <row r="911" spans="24:36" x14ac:dyDescent="0.2">
      <c r="X911" s="284"/>
      <c r="AA911"/>
      <c r="AB911"/>
      <c r="AC911"/>
      <c r="AE911"/>
      <c r="AF911"/>
      <c r="AJ911"/>
    </row>
    <row r="912" spans="24:36" x14ac:dyDescent="0.2">
      <c r="X912" s="284"/>
      <c r="AA912"/>
      <c r="AB912"/>
      <c r="AC912"/>
      <c r="AE912"/>
      <c r="AF912"/>
      <c r="AJ912"/>
    </row>
    <row r="913" spans="24:36" x14ac:dyDescent="0.2">
      <c r="X913" s="284"/>
      <c r="AA913"/>
      <c r="AB913"/>
      <c r="AC913"/>
      <c r="AE913"/>
      <c r="AF913"/>
      <c r="AJ913"/>
    </row>
    <row r="914" spans="24:36" x14ac:dyDescent="0.2">
      <c r="X914" s="284"/>
      <c r="AA914"/>
      <c r="AB914"/>
      <c r="AC914"/>
      <c r="AE914"/>
      <c r="AF914"/>
      <c r="AJ914"/>
    </row>
    <row r="915" spans="24:36" x14ac:dyDescent="0.2">
      <c r="X915" s="284"/>
      <c r="AA915"/>
      <c r="AB915"/>
      <c r="AC915"/>
      <c r="AE915"/>
      <c r="AF915"/>
      <c r="AJ915"/>
    </row>
    <row r="916" spans="24:36" x14ac:dyDescent="0.2">
      <c r="X916" s="284"/>
      <c r="AA916"/>
      <c r="AB916"/>
      <c r="AC916"/>
      <c r="AE916"/>
      <c r="AF916"/>
      <c r="AJ916"/>
    </row>
    <row r="917" spans="24:36" x14ac:dyDescent="0.2">
      <c r="X917" s="284"/>
      <c r="AA917"/>
      <c r="AB917"/>
      <c r="AC917"/>
      <c r="AE917"/>
      <c r="AF917"/>
      <c r="AJ917"/>
    </row>
    <row r="918" spans="24:36" x14ac:dyDescent="0.2">
      <c r="X918" s="284"/>
      <c r="AA918"/>
      <c r="AB918"/>
      <c r="AC918"/>
      <c r="AE918"/>
      <c r="AF918"/>
      <c r="AJ918"/>
    </row>
    <row r="919" spans="24:36" x14ac:dyDescent="0.2">
      <c r="X919" s="284"/>
      <c r="AA919"/>
      <c r="AB919"/>
      <c r="AC919"/>
      <c r="AE919"/>
      <c r="AF919"/>
      <c r="AJ919"/>
    </row>
    <row r="920" spans="24:36" x14ac:dyDescent="0.2">
      <c r="X920" s="284"/>
      <c r="AA920"/>
      <c r="AB920"/>
      <c r="AC920"/>
      <c r="AE920"/>
      <c r="AF920"/>
      <c r="AJ920"/>
    </row>
    <row r="921" spans="24:36" x14ac:dyDescent="0.2">
      <c r="X921" s="284"/>
      <c r="AA921"/>
      <c r="AB921"/>
      <c r="AC921"/>
      <c r="AE921"/>
      <c r="AF921"/>
      <c r="AJ921"/>
    </row>
    <row r="922" spans="24:36" x14ac:dyDescent="0.2">
      <c r="X922" s="284"/>
      <c r="AA922"/>
      <c r="AB922"/>
      <c r="AC922"/>
      <c r="AE922"/>
      <c r="AF922"/>
      <c r="AJ922"/>
    </row>
    <row r="923" spans="24:36" x14ac:dyDescent="0.2">
      <c r="X923" s="284"/>
      <c r="AA923"/>
      <c r="AB923"/>
      <c r="AC923"/>
      <c r="AE923"/>
      <c r="AF923"/>
      <c r="AJ923"/>
    </row>
    <row r="924" spans="24:36" x14ac:dyDescent="0.2">
      <c r="X924" s="284"/>
      <c r="AA924"/>
      <c r="AB924"/>
      <c r="AC924"/>
      <c r="AE924"/>
      <c r="AF924"/>
      <c r="AJ924"/>
    </row>
    <row r="925" spans="24:36" x14ac:dyDescent="0.2">
      <c r="X925" s="284"/>
      <c r="AA925"/>
      <c r="AB925"/>
      <c r="AC925"/>
      <c r="AE925"/>
      <c r="AF925"/>
      <c r="AJ925"/>
    </row>
    <row r="926" spans="24:36" x14ac:dyDescent="0.2">
      <c r="X926" s="284"/>
      <c r="AA926"/>
      <c r="AB926"/>
      <c r="AC926"/>
      <c r="AE926"/>
      <c r="AF926"/>
      <c r="AJ926"/>
    </row>
    <row r="927" spans="24:36" x14ac:dyDescent="0.2">
      <c r="X927" s="284"/>
      <c r="AA927"/>
      <c r="AB927"/>
      <c r="AC927"/>
      <c r="AE927"/>
      <c r="AF927"/>
      <c r="AJ927"/>
    </row>
    <row r="928" spans="24:36" x14ac:dyDescent="0.2">
      <c r="X928" s="284"/>
      <c r="AA928"/>
      <c r="AB928"/>
      <c r="AC928"/>
      <c r="AE928"/>
      <c r="AF928"/>
      <c r="AJ928"/>
    </row>
    <row r="929" spans="24:36" x14ac:dyDescent="0.2">
      <c r="X929" s="284"/>
      <c r="AA929"/>
      <c r="AB929"/>
      <c r="AC929"/>
      <c r="AE929"/>
      <c r="AF929"/>
      <c r="AJ929"/>
    </row>
    <row r="930" spans="24:36" x14ac:dyDescent="0.2">
      <c r="X930" s="284"/>
      <c r="AA930"/>
      <c r="AB930"/>
      <c r="AC930"/>
      <c r="AE930"/>
      <c r="AF930"/>
      <c r="AJ930"/>
    </row>
    <row r="931" spans="24:36" x14ac:dyDescent="0.2">
      <c r="X931" s="284"/>
      <c r="AA931"/>
      <c r="AB931"/>
      <c r="AC931"/>
      <c r="AE931"/>
      <c r="AF931"/>
      <c r="AJ931"/>
    </row>
    <row r="932" spans="24:36" x14ac:dyDescent="0.2">
      <c r="X932" s="284"/>
      <c r="AA932"/>
      <c r="AB932"/>
      <c r="AC932"/>
      <c r="AE932"/>
      <c r="AF932"/>
      <c r="AJ932"/>
    </row>
    <row r="933" spans="24:36" x14ac:dyDescent="0.2">
      <c r="X933" s="284"/>
      <c r="AA933"/>
      <c r="AB933"/>
      <c r="AC933"/>
      <c r="AE933"/>
      <c r="AF933"/>
      <c r="AJ933"/>
    </row>
    <row r="934" spans="24:36" x14ac:dyDescent="0.2">
      <c r="X934" s="284"/>
      <c r="AA934"/>
      <c r="AB934"/>
      <c r="AC934"/>
      <c r="AE934"/>
      <c r="AF934"/>
      <c r="AJ934"/>
    </row>
    <row r="935" spans="24:36" x14ac:dyDescent="0.2">
      <c r="X935" s="284"/>
      <c r="AA935"/>
      <c r="AB935"/>
      <c r="AC935"/>
      <c r="AE935"/>
      <c r="AF935"/>
      <c r="AJ935"/>
    </row>
    <row r="936" spans="24:36" x14ac:dyDescent="0.2">
      <c r="X936" s="284"/>
      <c r="AA936"/>
      <c r="AB936"/>
      <c r="AC936"/>
      <c r="AE936"/>
      <c r="AF936"/>
      <c r="AJ936"/>
    </row>
    <row r="937" spans="24:36" x14ac:dyDescent="0.2">
      <c r="X937" s="284"/>
      <c r="AA937"/>
      <c r="AB937"/>
      <c r="AC937"/>
      <c r="AE937"/>
      <c r="AF937"/>
      <c r="AJ937"/>
    </row>
    <row r="938" spans="24:36" x14ac:dyDescent="0.2">
      <c r="X938" s="284"/>
      <c r="AA938"/>
      <c r="AB938"/>
      <c r="AC938"/>
      <c r="AE938"/>
      <c r="AF938"/>
      <c r="AJ938"/>
    </row>
    <row r="939" spans="24:36" x14ac:dyDescent="0.2">
      <c r="X939" s="284"/>
      <c r="AA939"/>
      <c r="AB939"/>
      <c r="AC939"/>
      <c r="AE939"/>
      <c r="AF939"/>
      <c r="AJ939"/>
    </row>
    <row r="940" spans="24:36" x14ac:dyDescent="0.2">
      <c r="X940" s="284"/>
      <c r="AA940"/>
      <c r="AB940"/>
      <c r="AC940"/>
      <c r="AE940"/>
      <c r="AF940"/>
      <c r="AJ940"/>
    </row>
    <row r="941" spans="24:36" x14ac:dyDescent="0.2">
      <c r="X941" s="284"/>
      <c r="AA941"/>
      <c r="AB941"/>
      <c r="AC941"/>
      <c r="AE941"/>
      <c r="AF941"/>
      <c r="AJ941"/>
    </row>
    <row r="942" spans="24:36" x14ac:dyDescent="0.2">
      <c r="X942" s="284"/>
      <c r="AA942"/>
      <c r="AB942"/>
      <c r="AC942"/>
      <c r="AE942"/>
      <c r="AF942"/>
      <c r="AJ942"/>
    </row>
    <row r="943" spans="24:36" x14ac:dyDescent="0.2">
      <c r="X943" s="284"/>
      <c r="AA943"/>
      <c r="AB943"/>
      <c r="AC943"/>
      <c r="AE943"/>
      <c r="AF943"/>
      <c r="AJ943"/>
    </row>
    <row r="944" spans="24:36" x14ac:dyDescent="0.2">
      <c r="X944" s="284"/>
      <c r="AA944"/>
      <c r="AB944"/>
      <c r="AC944"/>
      <c r="AE944"/>
      <c r="AF944"/>
      <c r="AJ944"/>
    </row>
    <row r="945" spans="24:36" x14ac:dyDescent="0.2">
      <c r="X945" s="284"/>
      <c r="AA945"/>
      <c r="AB945"/>
      <c r="AC945"/>
      <c r="AE945"/>
      <c r="AF945"/>
      <c r="AJ945"/>
    </row>
    <row r="946" spans="24:36" x14ac:dyDescent="0.2">
      <c r="X946" s="284"/>
      <c r="AA946"/>
      <c r="AB946"/>
      <c r="AC946"/>
      <c r="AE946"/>
      <c r="AF946"/>
      <c r="AJ946"/>
    </row>
    <row r="947" spans="24:36" x14ac:dyDescent="0.2">
      <c r="X947" s="284"/>
      <c r="AA947"/>
      <c r="AB947"/>
      <c r="AC947"/>
      <c r="AE947"/>
      <c r="AF947"/>
      <c r="AJ947"/>
    </row>
    <row r="948" spans="24:36" x14ac:dyDescent="0.2">
      <c r="X948" s="284"/>
      <c r="AA948"/>
      <c r="AB948"/>
      <c r="AC948"/>
      <c r="AE948"/>
      <c r="AF948"/>
      <c r="AJ948"/>
    </row>
    <row r="949" spans="24:36" x14ac:dyDescent="0.2">
      <c r="X949" s="284"/>
      <c r="AA949"/>
      <c r="AB949"/>
      <c r="AC949"/>
      <c r="AE949"/>
      <c r="AF949"/>
      <c r="AJ949"/>
    </row>
    <row r="950" spans="24:36" x14ac:dyDescent="0.2">
      <c r="X950" s="284"/>
      <c r="AA950"/>
      <c r="AB950"/>
      <c r="AC950"/>
      <c r="AE950"/>
      <c r="AF950"/>
      <c r="AJ950"/>
    </row>
    <row r="951" spans="24:36" x14ac:dyDescent="0.2">
      <c r="X951" s="284"/>
      <c r="AA951"/>
      <c r="AB951"/>
      <c r="AC951"/>
      <c r="AE951"/>
      <c r="AF951"/>
      <c r="AJ951"/>
    </row>
    <row r="952" spans="24:36" x14ac:dyDescent="0.2">
      <c r="X952" s="284"/>
      <c r="AA952"/>
      <c r="AB952"/>
      <c r="AC952"/>
      <c r="AE952"/>
      <c r="AF952"/>
      <c r="AJ952"/>
    </row>
    <row r="953" spans="24:36" x14ac:dyDescent="0.2">
      <c r="X953" s="284"/>
      <c r="AA953"/>
      <c r="AB953"/>
      <c r="AC953"/>
      <c r="AE953"/>
      <c r="AF953"/>
      <c r="AJ953"/>
    </row>
    <row r="954" spans="24:36" x14ac:dyDescent="0.2">
      <c r="X954" s="284"/>
      <c r="AA954"/>
      <c r="AB954"/>
      <c r="AC954"/>
      <c r="AE954"/>
      <c r="AF954"/>
      <c r="AJ954"/>
    </row>
    <row r="955" spans="24:36" x14ac:dyDescent="0.2">
      <c r="X955" s="284"/>
      <c r="AA955"/>
      <c r="AB955"/>
      <c r="AC955"/>
      <c r="AE955"/>
      <c r="AF955"/>
      <c r="AJ955"/>
    </row>
    <row r="956" spans="24:36" x14ac:dyDescent="0.2">
      <c r="X956" s="284"/>
      <c r="AA956"/>
      <c r="AB956"/>
      <c r="AC956"/>
      <c r="AE956"/>
      <c r="AF956"/>
      <c r="AJ956"/>
    </row>
    <row r="957" spans="24:36" x14ac:dyDescent="0.2">
      <c r="X957" s="284"/>
      <c r="AA957"/>
      <c r="AB957"/>
      <c r="AC957"/>
      <c r="AE957"/>
      <c r="AF957"/>
      <c r="AJ957"/>
    </row>
    <row r="958" spans="24:36" x14ac:dyDescent="0.2">
      <c r="X958" s="284"/>
      <c r="AA958"/>
      <c r="AB958"/>
      <c r="AC958"/>
      <c r="AE958"/>
      <c r="AF958"/>
      <c r="AJ958"/>
    </row>
    <row r="959" spans="24:36" x14ac:dyDescent="0.2">
      <c r="X959" s="284"/>
      <c r="AA959"/>
      <c r="AB959"/>
      <c r="AC959"/>
      <c r="AE959"/>
      <c r="AF959"/>
      <c r="AJ959"/>
    </row>
    <row r="960" spans="24:36" x14ac:dyDescent="0.2">
      <c r="X960" s="284"/>
      <c r="AA960"/>
      <c r="AB960"/>
      <c r="AC960"/>
      <c r="AE960"/>
      <c r="AF960"/>
      <c r="AJ960"/>
    </row>
    <row r="961" spans="24:36" x14ac:dyDescent="0.2">
      <c r="X961" s="284"/>
      <c r="AA961"/>
      <c r="AB961"/>
      <c r="AC961"/>
      <c r="AE961"/>
      <c r="AF961"/>
      <c r="AJ961"/>
    </row>
    <row r="962" spans="24:36" x14ac:dyDescent="0.2">
      <c r="X962" s="284"/>
      <c r="AA962"/>
      <c r="AB962"/>
      <c r="AC962"/>
      <c r="AE962"/>
      <c r="AF962"/>
      <c r="AJ962"/>
    </row>
    <row r="963" spans="24:36" x14ac:dyDescent="0.2">
      <c r="X963" s="284"/>
      <c r="AA963"/>
      <c r="AB963"/>
      <c r="AC963"/>
      <c r="AE963"/>
      <c r="AF963"/>
      <c r="AJ963"/>
    </row>
    <row r="964" spans="24:36" x14ac:dyDescent="0.2">
      <c r="X964" s="284"/>
      <c r="AA964"/>
      <c r="AB964"/>
      <c r="AC964"/>
      <c r="AE964"/>
      <c r="AF964"/>
      <c r="AJ964"/>
    </row>
    <row r="965" spans="24:36" x14ac:dyDescent="0.2">
      <c r="X965" s="284"/>
      <c r="AA965"/>
      <c r="AB965"/>
      <c r="AC965"/>
      <c r="AE965"/>
      <c r="AF965"/>
      <c r="AJ965"/>
    </row>
    <row r="966" spans="24:36" x14ac:dyDescent="0.2">
      <c r="X966" s="284"/>
      <c r="AA966"/>
      <c r="AB966"/>
      <c r="AC966"/>
      <c r="AE966"/>
      <c r="AF966"/>
      <c r="AJ966"/>
    </row>
    <row r="967" spans="24:36" x14ac:dyDescent="0.2">
      <c r="X967" s="284"/>
      <c r="AA967"/>
      <c r="AB967"/>
      <c r="AC967"/>
      <c r="AE967"/>
      <c r="AF967"/>
      <c r="AJ967"/>
    </row>
    <row r="968" spans="24:36" x14ac:dyDescent="0.2">
      <c r="X968" s="284"/>
      <c r="AA968"/>
      <c r="AB968"/>
      <c r="AC968"/>
      <c r="AE968"/>
      <c r="AF968"/>
      <c r="AJ968"/>
    </row>
    <row r="969" spans="24:36" x14ac:dyDescent="0.2">
      <c r="X969" s="284"/>
      <c r="AA969"/>
      <c r="AB969"/>
      <c r="AC969"/>
      <c r="AE969"/>
      <c r="AF969"/>
      <c r="AJ969"/>
    </row>
    <row r="970" spans="24:36" x14ac:dyDescent="0.2">
      <c r="X970" s="284"/>
      <c r="AA970"/>
      <c r="AB970"/>
      <c r="AC970"/>
      <c r="AE970"/>
      <c r="AF970"/>
      <c r="AJ970"/>
    </row>
    <row r="971" spans="24:36" x14ac:dyDescent="0.2">
      <c r="X971" s="284"/>
      <c r="AA971"/>
      <c r="AB971"/>
      <c r="AC971"/>
      <c r="AE971"/>
      <c r="AF971"/>
      <c r="AJ971"/>
    </row>
    <row r="972" spans="24:36" x14ac:dyDescent="0.2">
      <c r="X972" s="284"/>
      <c r="AA972"/>
      <c r="AB972"/>
      <c r="AC972"/>
      <c r="AE972"/>
      <c r="AF972"/>
      <c r="AJ972"/>
    </row>
    <row r="973" spans="24:36" x14ac:dyDescent="0.2">
      <c r="X973" s="284"/>
      <c r="AA973"/>
      <c r="AB973"/>
      <c r="AC973"/>
      <c r="AE973"/>
      <c r="AF973"/>
      <c r="AJ973"/>
    </row>
    <row r="974" spans="24:36" x14ac:dyDescent="0.2">
      <c r="X974" s="284"/>
      <c r="AA974"/>
      <c r="AB974"/>
      <c r="AC974"/>
      <c r="AE974"/>
      <c r="AF974"/>
      <c r="AJ974"/>
    </row>
    <row r="975" spans="24:36" x14ac:dyDescent="0.2">
      <c r="X975" s="284"/>
      <c r="AA975"/>
      <c r="AB975"/>
      <c r="AC975"/>
      <c r="AE975"/>
      <c r="AF975"/>
      <c r="AJ975"/>
    </row>
    <row r="976" spans="24:36" x14ac:dyDescent="0.2">
      <c r="X976" s="284"/>
      <c r="AA976"/>
      <c r="AB976"/>
      <c r="AC976"/>
      <c r="AE976"/>
      <c r="AF976"/>
      <c r="AJ976"/>
    </row>
    <row r="977" spans="24:36" x14ac:dyDescent="0.2">
      <c r="X977" s="284"/>
      <c r="AA977"/>
      <c r="AB977"/>
      <c r="AC977"/>
      <c r="AE977"/>
      <c r="AF977"/>
      <c r="AJ977"/>
    </row>
    <row r="978" spans="24:36" x14ac:dyDescent="0.2">
      <c r="X978" s="284"/>
      <c r="AA978"/>
      <c r="AB978"/>
      <c r="AC978"/>
      <c r="AE978"/>
      <c r="AF978"/>
      <c r="AJ978"/>
    </row>
    <row r="979" spans="24:36" x14ac:dyDescent="0.2">
      <c r="X979" s="284"/>
      <c r="AA979"/>
      <c r="AB979"/>
      <c r="AC979"/>
      <c r="AE979"/>
      <c r="AF979"/>
      <c r="AJ979"/>
    </row>
    <row r="980" spans="24:36" x14ac:dyDescent="0.2">
      <c r="X980" s="284"/>
      <c r="AA980"/>
      <c r="AB980"/>
      <c r="AC980"/>
      <c r="AE980"/>
      <c r="AF980"/>
      <c r="AJ980"/>
    </row>
    <row r="981" spans="24:36" x14ac:dyDescent="0.2">
      <c r="X981" s="284"/>
      <c r="AA981"/>
      <c r="AB981"/>
      <c r="AC981"/>
      <c r="AE981"/>
      <c r="AF981"/>
      <c r="AJ981"/>
    </row>
    <row r="982" spans="24:36" x14ac:dyDescent="0.2">
      <c r="X982" s="284"/>
      <c r="AA982"/>
      <c r="AB982"/>
      <c r="AC982"/>
      <c r="AE982"/>
      <c r="AF982"/>
      <c r="AJ982"/>
    </row>
    <row r="983" spans="24:36" x14ac:dyDescent="0.2">
      <c r="X983" s="284"/>
      <c r="AA983"/>
      <c r="AB983"/>
      <c r="AC983"/>
      <c r="AE983"/>
      <c r="AF983"/>
      <c r="AJ983"/>
    </row>
    <row r="984" spans="24:36" x14ac:dyDescent="0.2">
      <c r="X984" s="284"/>
      <c r="AA984"/>
      <c r="AB984"/>
      <c r="AC984"/>
      <c r="AE984"/>
      <c r="AF984"/>
      <c r="AJ984"/>
    </row>
    <row r="985" spans="24:36" x14ac:dyDescent="0.2">
      <c r="X985" s="284"/>
      <c r="AA985"/>
      <c r="AB985"/>
      <c r="AC985"/>
      <c r="AE985"/>
      <c r="AF985"/>
      <c r="AJ985"/>
    </row>
    <row r="986" spans="24:36" x14ac:dyDescent="0.2">
      <c r="X986" s="284"/>
      <c r="AA986"/>
      <c r="AB986"/>
      <c r="AC986"/>
      <c r="AE986"/>
      <c r="AF986"/>
      <c r="AJ986"/>
    </row>
    <row r="987" spans="24:36" x14ac:dyDescent="0.2">
      <c r="X987" s="284"/>
      <c r="AA987"/>
      <c r="AB987"/>
      <c r="AC987"/>
      <c r="AE987"/>
      <c r="AF987"/>
      <c r="AJ987"/>
    </row>
    <row r="988" spans="24:36" x14ac:dyDescent="0.2">
      <c r="X988" s="284"/>
      <c r="AA988"/>
      <c r="AB988"/>
      <c r="AC988"/>
      <c r="AE988"/>
      <c r="AF988"/>
      <c r="AJ988"/>
    </row>
    <row r="989" spans="24:36" x14ac:dyDescent="0.2">
      <c r="X989" s="284"/>
      <c r="AA989"/>
      <c r="AB989"/>
      <c r="AC989"/>
      <c r="AE989"/>
      <c r="AF989"/>
      <c r="AJ989"/>
    </row>
    <row r="990" spans="24:36" x14ac:dyDescent="0.2">
      <c r="X990" s="284"/>
      <c r="AA990"/>
      <c r="AB990"/>
      <c r="AC990"/>
      <c r="AE990"/>
      <c r="AF990"/>
      <c r="AJ990"/>
    </row>
    <row r="991" spans="24:36" x14ac:dyDescent="0.2">
      <c r="X991" s="284"/>
      <c r="AA991"/>
      <c r="AB991"/>
      <c r="AC991"/>
      <c r="AE991"/>
      <c r="AF991"/>
      <c r="AJ991"/>
    </row>
    <row r="992" spans="24:36" x14ac:dyDescent="0.2">
      <c r="X992" s="284"/>
      <c r="AA992"/>
      <c r="AB992"/>
      <c r="AC992"/>
      <c r="AE992"/>
      <c r="AF992"/>
      <c r="AJ992"/>
    </row>
    <row r="993" spans="24:36" x14ac:dyDescent="0.2">
      <c r="X993" s="284"/>
      <c r="AA993"/>
      <c r="AB993"/>
      <c r="AC993"/>
      <c r="AE993"/>
      <c r="AF993"/>
      <c r="AJ993"/>
    </row>
    <row r="994" spans="24:36" x14ac:dyDescent="0.2">
      <c r="X994" s="284"/>
      <c r="AA994"/>
      <c r="AB994"/>
      <c r="AC994"/>
      <c r="AE994"/>
      <c r="AF994"/>
      <c r="AJ994"/>
    </row>
    <row r="995" spans="24:36" x14ac:dyDescent="0.2">
      <c r="X995" s="284"/>
      <c r="AA995"/>
      <c r="AB995"/>
      <c r="AC995"/>
      <c r="AE995"/>
      <c r="AF995"/>
      <c r="AJ995"/>
    </row>
    <row r="996" spans="24:36" x14ac:dyDescent="0.2">
      <c r="X996" s="284"/>
      <c r="AA996"/>
      <c r="AB996"/>
      <c r="AC996"/>
      <c r="AE996"/>
      <c r="AF996"/>
      <c r="AJ996"/>
    </row>
    <row r="997" spans="24:36" x14ac:dyDescent="0.2">
      <c r="X997" s="284"/>
      <c r="AA997"/>
      <c r="AB997"/>
      <c r="AC997"/>
      <c r="AE997"/>
      <c r="AF997"/>
      <c r="AJ997"/>
    </row>
    <row r="998" spans="24:36" x14ac:dyDescent="0.2">
      <c r="X998" s="284"/>
      <c r="AA998"/>
      <c r="AB998"/>
      <c r="AC998"/>
      <c r="AE998"/>
      <c r="AF998"/>
      <c r="AJ998"/>
    </row>
    <row r="999" spans="24:36" x14ac:dyDescent="0.2">
      <c r="X999" s="284"/>
      <c r="AA999"/>
      <c r="AB999"/>
      <c r="AC999"/>
      <c r="AE999"/>
      <c r="AF999"/>
      <c r="AJ999"/>
    </row>
    <row r="1000" spans="24:36" x14ac:dyDescent="0.2">
      <c r="X1000" s="284"/>
      <c r="AA1000"/>
      <c r="AB1000"/>
      <c r="AC1000"/>
      <c r="AE1000"/>
      <c r="AF1000"/>
      <c r="AJ1000"/>
    </row>
    <row r="1001" spans="24:36" x14ac:dyDescent="0.2">
      <c r="X1001" s="284"/>
      <c r="AA1001"/>
      <c r="AB1001"/>
      <c r="AC1001"/>
      <c r="AE1001"/>
      <c r="AF1001"/>
      <c r="AJ1001"/>
    </row>
    <row r="1002" spans="24:36" x14ac:dyDescent="0.2">
      <c r="X1002" s="284"/>
      <c r="AA1002"/>
      <c r="AB1002"/>
      <c r="AC1002"/>
      <c r="AE1002"/>
      <c r="AF1002"/>
      <c r="AJ1002"/>
    </row>
    <row r="1003" spans="24:36" x14ac:dyDescent="0.2">
      <c r="X1003" s="284"/>
      <c r="AA1003"/>
      <c r="AB1003"/>
      <c r="AC1003"/>
      <c r="AE1003"/>
      <c r="AF1003"/>
      <c r="AJ1003"/>
    </row>
    <row r="1004" spans="24:36" x14ac:dyDescent="0.2">
      <c r="X1004" s="284"/>
      <c r="AA1004"/>
      <c r="AB1004"/>
      <c r="AC1004"/>
      <c r="AE1004"/>
      <c r="AF1004"/>
      <c r="AJ1004"/>
    </row>
    <row r="1005" spans="24:36" x14ac:dyDescent="0.2">
      <c r="X1005" s="284"/>
      <c r="AA1005"/>
      <c r="AB1005"/>
      <c r="AC1005"/>
      <c r="AE1005"/>
      <c r="AF1005"/>
      <c r="AJ1005"/>
    </row>
    <row r="1006" spans="24:36" x14ac:dyDescent="0.2">
      <c r="X1006" s="284"/>
      <c r="AA1006"/>
      <c r="AB1006"/>
      <c r="AC1006"/>
      <c r="AE1006"/>
      <c r="AF1006"/>
      <c r="AJ1006"/>
    </row>
    <row r="1007" spans="24:36" x14ac:dyDescent="0.2">
      <c r="X1007" s="284"/>
      <c r="AA1007"/>
      <c r="AB1007"/>
      <c r="AC1007"/>
      <c r="AE1007"/>
      <c r="AF1007"/>
      <c r="AJ1007"/>
    </row>
    <row r="1008" spans="24:36" x14ac:dyDescent="0.2">
      <c r="X1008" s="284"/>
      <c r="AA1008"/>
      <c r="AB1008"/>
      <c r="AC1008"/>
      <c r="AE1008"/>
      <c r="AF1008"/>
      <c r="AJ1008"/>
    </row>
    <row r="1009" spans="24:36" x14ac:dyDescent="0.2">
      <c r="X1009" s="284"/>
      <c r="AA1009"/>
      <c r="AB1009"/>
      <c r="AC1009"/>
      <c r="AE1009"/>
      <c r="AF1009"/>
      <c r="AJ1009"/>
    </row>
    <row r="1010" spans="24:36" x14ac:dyDescent="0.2">
      <c r="X1010" s="284"/>
      <c r="AA1010"/>
      <c r="AB1010"/>
      <c r="AC1010"/>
      <c r="AE1010"/>
      <c r="AF1010"/>
      <c r="AJ1010"/>
    </row>
    <row r="1011" spans="24:36" x14ac:dyDescent="0.2">
      <c r="X1011" s="284"/>
      <c r="AA1011"/>
      <c r="AB1011"/>
      <c r="AC1011"/>
      <c r="AE1011"/>
      <c r="AF1011"/>
      <c r="AJ1011"/>
    </row>
    <row r="1012" spans="24:36" x14ac:dyDescent="0.2">
      <c r="X1012" s="284"/>
      <c r="AA1012"/>
      <c r="AB1012"/>
      <c r="AC1012"/>
      <c r="AE1012"/>
      <c r="AF1012"/>
      <c r="AJ1012"/>
    </row>
    <row r="1013" spans="24:36" x14ac:dyDescent="0.2">
      <c r="X1013" s="284"/>
      <c r="AA1013"/>
      <c r="AB1013"/>
      <c r="AC1013"/>
      <c r="AE1013"/>
      <c r="AF1013"/>
      <c r="AJ1013"/>
    </row>
    <row r="1014" spans="24:36" x14ac:dyDescent="0.2">
      <c r="X1014" s="284"/>
      <c r="AA1014"/>
      <c r="AB1014"/>
      <c r="AC1014"/>
      <c r="AE1014"/>
      <c r="AF1014"/>
      <c r="AJ1014"/>
    </row>
    <row r="1015" spans="24:36" x14ac:dyDescent="0.2">
      <c r="X1015" s="284"/>
      <c r="AA1015"/>
      <c r="AB1015"/>
      <c r="AC1015"/>
      <c r="AE1015"/>
      <c r="AF1015"/>
      <c r="AJ1015"/>
    </row>
    <row r="1016" spans="24:36" x14ac:dyDescent="0.2">
      <c r="X1016" s="284"/>
      <c r="AA1016"/>
      <c r="AB1016"/>
      <c r="AC1016"/>
      <c r="AE1016"/>
      <c r="AF1016"/>
      <c r="AJ1016"/>
    </row>
    <row r="1017" spans="24:36" x14ac:dyDescent="0.2">
      <c r="X1017" s="284"/>
      <c r="AA1017"/>
      <c r="AB1017"/>
      <c r="AC1017"/>
      <c r="AE1017"/>
      <c r="AF1017"/>
      <c r="AJ1017"/>
    </row>
    <row r="1018" spans="24:36" x14ac:dyDescent="0.2">
      <c r="X1018" s="284"/>
      <c r="AA1018"/>
      <c r="AB1018"/>
      <c r="AC1018"/>
      <c r="AE1018"/>
      <c r="AF1018"/>
      <c r="AJ1018"/>
    </row>
    <row r="1019" spans="24:36" x14ac:dyDescent="0.2">
      <c r="X1019" s="284"/>
      <c r="AA1019"/>
      <c r="AB1019"/>
      <c r="AC1019"/>
      <c r="AE1019"/>
      <c r="AF1019"/>
      <c r="AJ1019"/>
    </row>
    <row r="1020" spans="24:36" x14ac:dyDescent="0.2">
      <c r="X1020" s="284"/>
      <c r="AA1020"/>
      <c r="AB1020"/>
      <c r="AC1020"/>
      <c r="AE1020"/>
      <c r="AF1020"/>
      <c r="AJ1020"/>
    </row>
    <row r="1021" spans="24:36" x14ac:dyDescent="0.2">
      <c r="X1021" s="284"/>
      <c r="AA1021"/>
      <c r="AB1021"/>
      <c r="AC1021"/>
      <c r="AE1021"/>
      <c r="AF1021"/>
      <c r="AJ1021"/>
    </row>
    <row r="1022" spans="24:36" x14ac:dyDescent="0.2">
      <c r="X1022" s="284"/>
      <c r="AA1022"/>
      <c r="AB1022"/>
      <c r="AC1022"/>
      <c r="AE1022"/>
      <c r="AF1022"/>
      <c r="AJ1022"/>
    </row>
    <row r="1023" spans="24:36" x14ac:dyDescent="0.2">
      <c r="X1023" s="284"/>
      <c r="AA1023"/>
      <c r="AB1023"/>
      <c r="AC1023"/>
      <c r="AE1023"/>
      <c r="AF1023"/>
      <c r="AJ1023"/>
    </row>
    <row r="1024" spans="24:36" x14ac:dyDescent="0.2">
      <c r="X1024" s="284"/>
      <c r="AA1024"/>
      <c r="AB1024"/>
      <c r="AC1024"/>
      <c r="AE1024"/>
      <c r="AF1024"/>
      <c r="AJ1024"/>
    </row>
    <row r="1025" spans="24:36" x14ac:dyDescent="0.2">
      <c r="X1025" s="284"/>
      <c r="AA1025"/>
      <c r="AB1025"/>
      <c r="AC1025"/>
      <c r="AE1025"/>
      <c r="AF1025"/>
      <c r="AJ1025"/>
    </row>
    <row r="1026" spans="24:36" x14ac:dyDescent="0.2">
      <c r="X1026" s="284"/>
      <c r="AA1026"/>
      <c r="AB1026"/>
      <c r="AC1026"/>
      <c r="AE1026"/>
      <c r="AF1026"/>
      <c r="AJ1026"/>
    </row>
    <row r="1027" spans="24:36" x14ac:dyDescent="0.2">
      <c r="X1027" s="284"/>
      <c r="AA1027"/>
      <c r="AB1027"/>
      <c r="AC1027"/>
      <c r="AE1027"/>
      <c r="AF1027"/>
      <c r="AJ1027"/>
    </row>
    <row r="1028" spans="24:36" x14ac:dyDescent="0.2">
      <c r="X1028" s="284"/>
      <c r="AA1028"/>
      <c r="AB1028"/>
      <c r="AC1028"/>
      <c r="AE1028"/>
      <c r="AF1028"/>
      <c r="AJ1028"/>
    </row>
    <row r="1029" spans="24:36" x14ac:dyDescent="0.2">
      <c r="X1029" s="284"/>
      <c r="AA1029"/>
      <c r="AB1029"/>
      <c r="AC1029"/>
      <c r="AE1029"/>
      <c r="AF1029"/>
      <c r="AJ1029"/>
    </row>
    <row r="1030" spans="24:36" x14ac:dyDescent="0.2">
      <c r="X1030" s="284"/>
      <c r="AA1030"/>
      <c r="AB1030"/>
      <c r="AC1030"/>
      <c r="AE1030"/>
      <c r="AF1030"/>
      <c r="AJ1030"/>
    </row>
    <row r="1031" spans="24:36" x14ac:dyDescent="0.2">
      <c r="X1031" s="284"/>
      <c r="AA1031"/>
      <c r="AB1031"/>
      <c r="AC1031"/>
      <c r="AE1031"/>
      <c r="AF1031"/>
      <c r="AJ1031"/>
    </row>
    <row r="1032" spans="24:36" x14ac:dyDescent="0.2">
      <c r="X1032" s="284"/>
      <c r="AA1032"/>
      <c r="AB1032"/>
      <c r="AC1032"/>
      <c r="AE1032"/>
      <c r="AF1032"/>
      <c r="AJ1032"/>
    </row>
    <row r="1033" spans="24:36" x14ac:dyDescent="0.2">
      <c r="X1033" s="284"/>
      <c r="AA1033"/>
      <c r="AB1033"/>
      <c r="AC1033"/>
      <c r="AE1033"/>
      <c r="AF1033"/>
      <c r="AJ1033"/>
    </row>
    <row r="1034" spans="24:36" x14ac:dyDescent="0.2">
      <c r="X1034" s="284"/>
      <c r="AA1034"/>
      <c r="AB1034"/>
      <c r="AC1034"/>
      <c r="AE1034"/>
      <c r="AF1034"/>
      <c r="AJ1034"/>
    </row>
    <row r="1035" spans="24:36" x14ac:dyDescent="0.2">
      <c r="X1035" s="284"/>
      <c r="AA1035"/>
      <c r="AB1035"/>
      <c r="AC1035"/>
      <c r="AE1035"/>
      <c r="AF1035"/>
      <c r="AJ1035"/>
    </row>
    <row r="1036" spans="24:36" x14ac:dyDescent="0.2">
      <c r="X1036" s="284"/>
      <c r="AA1036"/>
      <c r="AB1036"/>
      <c r="AC1036"/>
      <c r="AE1036"/>
      <c r="AF1036"/>
      <c r="AJ1036"/>
    </row>
    <row r="1037" spans="24:36" x14ac:dyDescent="0.2">
      <c r="X1037" s="284"/>
      <c r="AA1037"/>
      <c r="AB1037"/>
      <c r="AC1037"/>
      <c r="AE1037"/>
      <c r="AF1037"/>
      <c r="AJ1037"/>
    </row>
    <row r="1038" spans="24:36" x14ac:dyDescent="0.2">
      <c r="X1038" s="284"/>
      <c r="AA1038"/>
      <c r="AB1038"/>
      <c r="AC1038"/>
      <c r="AE1038"/>
      <c r="AF1038"/>
      <c r="AJ1038"/>
    </row>
    <row r="1039" spans="24:36" x14ac:dyDescent="0.2">
      <c r="X1039" s="284"/>
      <c r="AA1039"/>
      <c r="AB1039"/>
      <c r="AC1039"/>
      <c r="AE1039"/>
      <c r="AF1039"/>
      <c r="AJ1039"/>
    </row>
    <row r="1040" spans="24:36" x14ac:dyDescent="0.2">
      <c r="X1040" s="284"/>
      <c r="AA1040"/>
      <c r="AB1040"/>
      <c r="AC1040"/>
      <c r="AE1040"/>
      <c r="AF1040"/>
      <c r="AJ1040"/>
    </row>
    <row r="1041" spans="24:36" x14ac:dyDescent="0.2">
      <c r="X1041" s="284"/>
      <c r="AA1041"/>
      <c r="AB1041"/>
      <c r="AC1041"/>
      <c r="AE1041"/>
      <c r="AF1041"/>
      <c r="AJ1041"/>
    </row>
    <row r="1042" spans="24:36" x14ac:dyDescent="0.2">
      <c r="X1042" s="284"/>
      <c r="AA1042"/>
      <c r="AB1042"/>
      <c r="AC1042"/>
      <c r="AE1042"/>
      <c r="AF1042"/>
      <c r="AJ1042"/>
    </row>
    <row r="1043" spans="24:36" x14ac:dyDescent="0.2">
      <c r="X1043" s="284"/>
      <c r="AA1043"/>
      <c r="AB1043"/>
      <c r="AC1043"/>
      <c r="AE1043"/>
      <c r="AF1043"/>
      <c r="AJ1043"/>
    </row>
    <row r="1044" spans="24:36" x14ac:dyDescent="0.2">
      <c r="X1044" s="284"/>
      <c r="AA1044"/>
      <c r="AB1044"/>
      <c r="AC1044"/>
      <c r="AE1044"/>
      <c r="AF1044"/>
      <c r="AJ1044"/>
    </row>
    <row r="1045" spans="24:36" x14ac:dyDescent="0.2">
      <c r="X1045" s="284"/>
      <c r="AA1045"/>
      <c r="AB1045"/>
      <c r="AC1045"/>
      <c r="AE1045"/>
      <c r="AF1045"/>
      <c r="AJ1045"/>
    </row>
    <row r="1046" spans="24:36" x14ac:dyDescent="0.2">
      <c r="X1046" s="284"/>
      <c r="AA1046"/>
      <c r="AB1046"/>
      <c r="AC1046"/>
      <c r="AE1046"/>
      <c r="AF1046"/>
      <c r="AJ1046"/>
    </row>
    <row r="1047" spans="24:36" x14ac:dyDescent="0.2">
      <c r="X1047" s="284"/>
      <c r="AA1047"/>
      <c r="AB1047"/>
      <c r="AC1047"/>
      <c r="AE1047"/>
      <c r="AF1047"/>
      <c r="AJ1047"/>
    </row>
    <row r="1048" spans="24:36" x14ac:dyDescent="0.2">
      <c r="X1048" s="284"/>
      <c r="AA1048"/>
      <c r="AB1048"/>
      <c r="AC1048"/>
      <c r="AE1048"/>
      <c r="AF1048"/>
      <c r="AJ1048"/>
    </row>
    <row r="1049" spans="24:36" x14ac:dyDescent="0.2">
      <c r="X1049" s="284"/>
      <c r="AA1049"/>
      <c r="AB1049"/>
      <c r="AC1049"/>
      <c r="AE1049"/>
      <c r="AF1049"/>
      <c r="AJ1049"/>
    </row>
    <row r="1050" spans="24:36" x14ac:dyDescent="0.2">
      <c r="X1050" s="284"/>
      <c r="AA1050"/>
      <c r="AB1050"/>
      <c r="AC1050"/>
      <c r="AE1050"/>
      <c r="AF1050"/>
      <c r="AJ1050"/>
    </row>
    <row r="1051" spans="24:36" x14ac:dyDescent="0.2">
      <c r="X1051" s="284"/>
      <c r="AA1051"/>
      <c r="AB1051"/>
      <c r="AC1051"/>
      <c r="AE1051"/>
      <c r="AF1051"/>
      <c r="AJ1051"/>
    </row>
    <row r="1052" spans="24:36" x14ac:dyDescent="0.2">
      <c r="X1052" s="284"/>
      <c r="AA1052"/>
      <c r="AB1052"/>
      <c r="AC1052"/>
      <c r="AE1052"/>
      <c r="AF1052"/>
      <c r="AJ1052"/>
    </row>
    <row r="1053" spans="24:36" x14ac:dyDescent="0.2">
      <c r="X1053" s="284"/>
      <c r="AA1053"/>
      <c r="AB1053"/>
      <c r="AC1053"/>
      <c r="AE1053"/>
      <c r="AF1053"/>
      <c r="AJ1053"/>
    </row>
    <row r="1054" spans="24:36" x14ac:dyDescent="0.2">
      <c r="X1054" s="284"/>
      <c r="AA1054"/>
      <c r="AB1054"/>
      <c r="AC1054"/>
      <c r="AE1054"/>
      <c r="AF1054"/>
      <c r="AJ1054"/>
    </row>
    <row r="1055" spans="24:36" x14ac:dyDescent="0.2">
      <c r="X1055" s="284"/>
      <c r="AA1055"/>
      <c r="AB1055"/>
      <c r="AC1055"/>
      <c r="AE1055"/>
      <c r="AF1055"/>
      <c r="AJ1055"/>
    </row>
    <row r="1056" spans="24:36" x14ac:dyDescent="0.2">
      <c r="X1056" s="284"/>
      <c r="AA1056"/>
      <c r="AB1056"/>
      <c r="AC1056"/>
      <c r="AE1056"/>
      <c r="AF1056"/>
      <c r="AJ1056"/>
    </row>
    <row r="1057" spans="24:36" x14ac:dyDescent="0.2">
      <c r="X1057" s="284"/>
      <c r="AA1057"/>
      <c r="AB1057"/>
      <c r="AC1057"/>
      <c r="AE1057"/>
      <c r="AF1057"/>
      <c r="AJ1057"/>
    </row>
    <row r="1058" spans="24:36" x14ac:dyDescent="0.2">
      <c r="X1058" s="284"/>
      <c r="AA1058"/>
      <c r="AB1058"/>
      <c r="AC1058"/>
      <c r="AE1058"/>
      <c r="AF1058"/>
      <c r="AJ1058"/>
    </row>
    <row r="1059" spans="24:36" x14ac:dyDescent="0.2">
      <c r="X1059" s="284"/>
      <c r="AA1059"/>
      <c r="AB1059"/>
      <c r="AC1059"/>
      <c r="AE1059"/>
      <c r="AF1059"/>
      <c r="AJ1059"/>
    </row>
    <row r="1060" spans="24:36" x14ac:dyDescent="0.2">
      <c r="X1060" s="284"/>
      <c r="AA1060"/>
      <c r="AB1060"/>
      <c r="AC1060"/>
      <c r="AE1060"/>
      <c r="AF1060"/>
      <c r="AJ1060"/>
    </row>
    <row r="1061" spans="24:36" x14ac:dyDescent="0.2">
      <c r="X1061" s="284"/>
      <c r="AA1061"/>
      <c r="AB1061"/>
      <c r="AC1061"/>
      <c r="AE1061"/>
      <c r="AF1061"/>
      <c r="AJ1061"/>
    </row>
    <row r="1062" spans="24:36" x14ac:dyDescent="0.2">
      <c r="X1062" s="284"/>
      <c r="AA1062"/>
      <c r="AB1062"/>
      <c r="AC1062"/>
      <c r="AE1062"/>
      <c r="AF1062"/>
      <c r="AJ1062"/>
    </row>
    <row r="1063" spans="24:36" x14ac:dyDescent="0.2">
      <c r="X1063" s="284"/>
      <c r="AA1063"/>
      <c r="AB1063"/>
      <c r="AC1063"/>
      <c r="AE1063"/>
      <c r="AF1063"/>
      <c r="AJ1063"/>
    </row>
    <row r="1064" spans="24:36" x14ac:dyDescent="0.2">
      <c r="X1064" s="284"/>
      <c r="AA1064"/>
      <c r="AB1064"/>
      <c r="AC1064"/>
      <c r="AE1064"/>
      <c r="AF1064"/>
      <c r="AJ1064"/>
    </row>
    <row r="1065" spans="24:36" x14ac:dyDescent="0.2">
      <c r="X1065" s="284"/>
      <c r="AA1065"/>
      <c r="AB1065"/>
      <c r="AC1065"/>
      <c r="AE1065"/>
      <c r="AF1065"/>
      <c r="AJ1065"/>
    </row>
    <row r="1066" spans="24:36" x14ac:dyDescent="0.2">
      <c r="X1066" s="284"/>
      <c r="AA1066"/>
      <c r="AB1066"/>
      <c r="AC1066"/>
      <c r="AE1066"/>
      <c r="AF1066"/>
      <c r="AJ1066"/>
    </row>
    <row r="1067" spans="24:36" x14ac:dyDescent="0.2">
      <c r="X1067" s="284"/>
      <c r="AA1067"/>
      <c r="AB1067"/>
      <c r="AC1067"/>
      <c r="AE1067"/>
      <c r="AF1067"/>
      <c r="AJ1067"/>
    </row>
    <row r="1068" spans="24:36" x14ac:dyDescent="0.2">
      <c r="X1068" s="284"/>
      <c r="AA1068"/>
      <c r="AB1068"/>
      <c r="AC1068"/>
      <c r="AE1068"/>
      <c r="AF1068"/>
      <c r="AJ1068"/>
    </row>
    <row r="1069" spans="24:36" x14ac:dyDescent="0.2">
      <c r="X1069" s="284"/>
      <c r="AA1069"/>
      <c r="AB1069"/>
      <c r="AC1069"/>
      <c r="AE1069"/>
      <c r="AF1069"/>
      <c r="AJ1069"/>
    </row>
    <row r="1070" spans="24:36" x14ac:dyDescent="0.2">
      <c r="X1070" s="284"/>
      <c r="AA1070"/>
      <c r="AB1070"/>
      <c r="AC1070"/>
      <c r="AE1070"/>
      <c r="AF1070"/>
      <c r="AJ1070"/>
    </row>
    <row r="1071" spans="24:36" x14ac:dyDescent="0.2">
      <c r="X1071" s="284"/>
      <c r="AA1071"/>
      <c r="AB1071"/>
      <c r="AC1071"/>
      <c r="AE1071"/>
      <c r="AF1071"/>
      <c r="AJ1071"/>
    </row>
    <row r="1072" spans="24:36" x14ac:dyDescent="0.2">
      <c r="X1072" s="284"/>
      <c r="AA1072"/>
      <c r="AB1072"/>
      <c r="AC1072"/>
      <c r="AE1072"/>
      <c r="AF1072"/>
      <c r="AJ1072"/>
    </row>
    <row r="1073" spans="24:36" x14ac:dyDescent="0.2">
      <c r="X1073" s="284"/>
      <c r="AA1073"/>
      <c r="AB1073"/>
      <c r="AC1073"/>
      <c r="AE1073"/>
      <c r="AF1073"/>
      <c r="AJ1073"/>
    </row>
    <row r="1074" spans="24:36" x14ac:dyDescent="0.2">
      <c r="X1074" s="284"/>
      <c r="AA1074"/>
      <c r="AB1074"/>
      <c r="AC1074"/>
      <c r="AE1074"/>
      <c r="AF1074"/>
      <c r="AJ1074"/>
    </row>
    <row r="1075" spans="24:36" x14ac:dyDescent="0.2">
      <c r="X1075" s="284"/>
      <c r="AA1075"/>
      <c r="AB1075"/>
      <c r="AC1075"/>
      <c r="AE1075"/>
      <c r="AF1075"/>
      <c r="AJ1075"/>
    </row>
    <row r="1076" spans="24:36" x14ac:dyDescent="0.2">
      <c r="X1076" s="284"/>
      <c r="AA1076"/>
      <c r="AB1076"/>
      <c r="AC1076"/>
      <c r="AE1076"/>
      <c r="AF1076"/>
      <c r="AJ1076"/>
    </row>
    <row r="1077" spans="24:36" x14ac:dyDescent="0.2">
      <c r="X1077" s="284"/>
      <c r="AA1077"/>
      <c r="AB1077"/>
      <c r="AC1077"/>
      <c r="AE1077"/>
      <c r="AF1077"/>
      <c r="AJ1077"/>
    </row>
    <row r="1078" spans="24:36" x14ac:dyDescent="0.2">
      <c r="X1078" s="284"/>
      <c r="AA1078"/>
      <c r="AB1078"/>
      <c r="AC1078"/>
      <c r="AE1078"/>
      <c r="AF1078"/>
      <c r="AJ1078"/>
    </row>
    <row r="1079" spans="24:36" x14ac:dyDescent="0.2">
      <c r="X1079" s="284"/>
      <c r="AA1079"/>
      <c r="AB1079"/>
      <c r="AC1079"/>
      <c r="AE1079"/>
      <c r="AF1079"/>
      <c r="AJ1079"/>
    </row>
    <row r="1080" spans="24:36" x14ac:dyDescent="0.2">
      <c r="X1080" s="284"/>
      <c r="AA1080"/>
      <c r="AB1080"/>
      <c r="AC1080"/>
      <c r="AE1080"/>
      <c r="AF1080"/>
      <c r="AJ1080"/>
    </row>
    <row r="1081" spans="24:36" x14ac:dyDescent="0.2">
      <c r="X1081" s="284"/>
      <c r="AA1081"/>
      <c r="AB1081"/>
      <c r="AC1081"/>
      <c r="AE1081"/>
      <c r="AF1081"/>
      <c r="AJ1081"/>
    </row>
    <row r="1082" spans="24:36" x14ac:dyDescent="0.2">
      <c r="X1082" s="284"/>
      <c r="AA1082"/>
      <c r="AB1082"/>
      <c r="AC1082"/>
      <c r="AE1082"/>
      <c r="AF1082"/>
      <c r="AJ1082"/>
    </row>
    <row r="1083" spans="24:36" x14ac:dyDescent="0.2">
      <c r="X1083" s="284"/>
      <c r="AA1083"/>
      <c r="AB1083"/>
      <c r="AC1083"/>
      <c r="AE1083"/>
      <c r="AF1083"/>
      <c r="AJ1083"/>
    </row>
    <row r="1084" spans="24:36" x14ac:dyDescent="0.2">
      <c r="X1084" s="284"/>
      <c r="AA1084"/>
      <c r="AB1084"/>
      <c r="AC1084"/>
      <c r="AE1084"/>
      <c r="AF1084"/>
      <c r="AJ1084"/>
    </row>
    <row r="1085" spans="24:36" x14ac:dyDescent="0.2">
      <c r="X1085" s="284"/>
      <c r="AA1085"/>
      <c r="AB1085"/>
      <c r="AC1085"/>
      <c r="AE1085"/>
      <c r="AF1085"/>
      <c r="AJ1085"/>
    </row>
    <row r="1086" spans="24:36" x14ac:dyDescent="0.2">
      <c r="X1086" s="284"/>
      <c r="AA1086"/>
      <c r="AB1086"/>
      <c r="AC1086"/>
      <c r="AE1086"/>
      <c r="AF1086"/>
      <c r="AJ1086"/>
    </row>
    <row r="1087" spans="24:36" x14ac:dyDescent="0.2">
      <c r="X1087" s="284"/>
      <c r="AA1087"/>
      <c r="AB1087"/>
      <c r="AC1087"/>
      <c r="AE1087"/>
      <c r="AF1087"/>
      <c r="AJ1087"/>
    </row>
    <row r="1088" spans="24:36" x14ac:dyDescent="0.2">
      <c r="X1088" s="284"/>
      <c r="AA1088"/>
      <c r="AB1088"/>
      <c r="AC1088"/>
      <c r="AE1088"/>
      <c r="AF1088"/>
      <c r="AJ1088"/>
    </row>
    <row r="1089" spans="24:36" x14ac:dyDescent="0.2">
      <c r="X1089" s="284"/>
      <c r="AA1089"/>
      <c r="AB1089"/>
      <c r="AC1089"/>
      <c r="AE1089"/>
      <c r="AF1089"/>
      <c r="AJ1089"/>
    </row>
    <row r="1090" spans="24:36" x14ac:dyDescent="0.2">
      <c r="X1090" s="284"/>
      <c r="AA1090"/>
      <c r="AB1090"/>
      <c r="AC1090"/>
      <c r="AE1090"/>
      <c r="AF1090"/>
      <c r="AJ1090"/>
    </row>
    <row r="1091" spans="24:36" x14ac:dyDescent="0.2">
      <c r="X1091" s="284"/>
      <c r="AA1091"/>
      <c r="AB1091"/>
      <c r="AC1091"/>
      <c r="AE1091"/>
      <c r="AF1091"/>
      <c r="AJ1091"/>
    </row>
    <row r="1092" spans="24:36" x14ac:dyDescent="0.2">
      <c r="X1092" s="284"/>
      <c r="AA1092"/>
      <c r="AB1092"/>
      <c r="AC1092"/>
      <c r="AE1092"/>
      <c r="AF1092"/>
      <c r="AJ1092"/>
    </row>
    <row r="1093" spans="24:36" x14ac:dyDescent="0.2">
      <c r="X1093" s="284"/>
      <c r="AA1093"/>
      <c r="AB1093"/>
      <c r="AC1093"/>
      <c r="AE1093"/>
      <c r="AF1093"/>
      <c r="AJ1093"/>
    </row>
    <row r="1094" spans="24:36" x14ac:dyDescent="0.2">
      <c r="X1094" s="284"/>
      <c r="AA1094"/>
      <c r="AB1094"/>
      <c r="AC1094"/>
      <c r="AE1094"/>
      <c r="AF1094"/>
      <c r="AJ1094"/>
    </row>
    <row r="1095" spans="24:36" x14ac:dyDescent="0.2">
      <c r="X1095" s="284"/>
      <c r="AA1095"/>
      <c r="AB1095"/>
      <c r="AC1095"/>
      <c r="AE1095"/>
      <c r="AF1095"/>
      <c r="AJ1095"/>
    </row>
    <row r="1096" spans="24:36" x14ac:dyDescent="0.2">
      <c r="X1096" s="284"/>
      <c r="AA1096"/>
      <c r="AB1096"/>
      <c r="AC1096"/>
      <c r="AE1096"/>
      <c r="AF1096"/>
      <c r="AJ1096"/>
    </row>
    <row r="1097" spans="24:36" x14ac:dyDescent="0.2">
      <c r="X1097" s="284"/>
      <c r="AA1097"/>
      <c r="AB1097"/>
      <c r="AC1097"/>
      <c r="AE1097"/>
      <c r="AF1097"/>
      <c r="AJ1097"/>
    </row>
    <row r="1098" spans="24:36" x14ac:dyDescent="0.2">
      <c r="X1098" s="284"/>
      <c r="AA1098"/>
      <c r="AB1098"/>
      <c r="AC1098"/>
      <c r="AE1098"/>
      <c r="AF1098"/>
      <c r="AJ1098"/>
    </row>
    <row r="1099" spans="24:36" x14ac:dyDescent="0.2">
      <c r="X1099" s="284"/>
      <c r="AA1099"/>
      <c r="AB1099"/>
      <c r="AC1099"/>
      <c r="AE1099"/>
      <c r="AF1099"/>
      <c r="AJ1099"/>
    </row>
    <row r="1100" spans="24:36" x14ac:dyDescent="0.2">
      <c r="X1100" s="284"/>
      <c r="AA1100"/>
      <c r="AB1100"/>
      <c r="AC1100"/>
      <c r="AE1100"/>
      <c r="AF1100"/>
      <c r="AJ1100"/>
    </row>
    <row r="1101" spans="24:36" x14ac:dyDescent="0.2">
      <c r="X1101" s="284"/>
      <c r="AA1101"/>
      <c r="AB1101"/>
      <c r="AC1101"/>
      <c r="AE1101"/>
      <c r="AF1101"/>
      <c r="AJ1101"/>
    </row>
    <row r="1102" spans="24:36" x14ac:dyDescent="0.2">
      <c r="X1102" s="284"/>
      <c r="AA1102"/>
      <c r="AB1102"/>
      <c r="AC1102"/>
      <c r="AE1102"/>
      <c r="AF1102"/>
      <c r="AJ1102"/>
    </row>
    <row r="1103" spans="24:36" x14ac:dyDescent="0.2">
      <c r="X1103" s="284"/>
      <c r="AA1103"/>
      <c r="AB1103"/>
      <c r="AC1103"/>
      <c r="AE1103"/>
      <c r="AF1103"/>
      <c r="AJ1103"/>
    </row>
    <row r="1104" spans="24:36" x14ac:dyDescent="0.2">
      <c r="X1104" s="284"/>
      <c r="AA1104"/>
      <c r="AB1104"/>
      <c r="AC1104"/>
      <c r="AE1104"/>
      <c r="AF1104"/>
      <c r="AJ1104"/>
    </row>
    <row r="1105" spans="24:36" x14ac:dyDescent="0.2">
      <c r="X1105" s="284"/>
      <c r="AA1105"/>
      <c r="AB1105"/>
      <c r="AC1105"/>
      <c r="AE1105"/>
      <c r="AF1105"/>
      <c r="AJ1105"/>
    </row>
    <row r="1106" spans="24:36" x14ac:dyDescent="0.2">
      <c r="X1106" s="284"/>
      <c r="AA1106"/>
      <c r="AB1106"/>
      <c r="AC1106"/>
      <c r="AE1106"/>
      <c r="AF1106"/>
      <c r="AJ1106"/>
    </row>
    <row r="1107" spans="24:36" x14ac:dyDescent="0.2">
      <c r="X1107" s="284"/>
      <c r="AA1107"/>
      <c r="AB1107"/>
      <c r="AC1107"/>
      <c r="AE1107"/>
      <c r="AF1107"/>
      <c r="AJ1107"/>
    </row>
    <row r="1108" spans="24:36" x14ac:dyDescent="0.2">
      <c r="X1108" s="284"/>
      <c r="AA1108"/>
      <c r="AB1108"/>
      <c r="AC1108"/>
      <c r="AE1108"/>
      <c r="AF1108"/>
      <c r="AJ1108"/>
    </row>
    <row r="1109" spans="24:36" x14ac:dyDescent="0.2">
      <c r="X1109" s="284"/>
      <c r="AA1109"/>
      <c r="AB1109"/>
      <c r="AC1109"/>
      <c r="AE1109"/>
      <c r="AF1109"/>
      <c r="AJ1109"/>
    </row>
    <row r="1110" spans="24:36" x14ac:dyDescent="0.2">
      <c r="X1110" s="284"/>
      <c r="AA1110"/>
      <c r="AB1110"/>
      <c r="AC1110"/>
      <c r="AE1110"/>
      <c r="AF1110"/>
      <c r="AJ1110"/>
    </row>
    <row r="1111" spans="24:36" x14ac:dyDescent="0.2">
      <c r="X1111" s="284"/>
      <c r="AA1111"/>
      <c r="AB1111"/>
      <c r="AC1111"/>
      <c r="AE1111"/>
      <c r="AF1111"/>
      <c r="AJ1111"/>
    </row>
    <row r="1112" spans="24:36" x14ac:dyDescent="0.2">
      <c r="X1112" s="284"/>
      <c r="AA1112"/>
      <c r="AB1112"/>
      <c r="AC1112"/>
      <c r="AE1112"/>
      <c r="AF1112"/>
      <c r="AJ1112"/>
    </row>
    <row r="1113" spans="24:36" x14ac:dyDescent="0.2">
      <c r="X1113" s="284"/>
      <c r="AA1113"/>
      <c r="AB1113"/>
      <c r="AC1113"/>
      <c r="AE1113"/>
      <c r="AF1113"/>
      <c r="AJ1113"/>
    </row>
    <row r="1114" spans="24:36" x14ac:dyDescent="0.2">
      <c r="X1114" s="284"/>
      <c r="AA1114"/>
      <c r="AB1114"/>
      <c r="AC1114"/>
      <c r="AE1114"/>
      <c r="AF1114"/>
      <c r="AJ1114"/>
    </row>
    <row r="1115" spans="24:36" x14ac:dyDescent="0.2">
      <c r="X1115" s="284"/>
      <c r="AA1115"/>
      <c r="AB1115"/>
      <c r="AC1115"/>
      <c r="AE1115"/>
      <c r="AF1115"/>
      <c r="AJ1115"/>
    </row>
    <row r="1116" spans="24:36" x14ac:dyDescent="0.2">
      <c r="X1116" s="284"/>
      <c r="AA1116"/>
      <c r="AB1116"/>
      <c r="AC1116"/>
      <c r="AE1116"/>
      <c r="AF1116"/>
      <c r="AJ1116"/>
    </row>
    <row r="1117" spans="24:36" x14ac:dyDescent="0.2">
      <c r="X1117" s="284"/>
      <c r="AA1117"/>
      <c r="AB1117"/>
      <c r="AC1117"/>
      <c r="AE1117"/>
      <c r="AF1117"/>
      <c r="AJ1117"/>
    </row>
    <row r="1118" spans="24:36" x14ac:dyDescent="0.2">
      <c r="X1118" s="284"/>
      <c r="AA1118"/>
      <c r="AB1118"/>
      <c r="AC1118"/>
      <c r="AE1118"/>
      <c r="AF1118"/>
      <c r="AJ1118"/>
    </row>
    <row r="1119" spans="24:36" x14ac:dyDescent="0.2">
      <c r="X1119" s="284"/>
      <c r="AA1119"/>
      <c r="AB1119"/>
      <c r="AC1119"/>
      <c r="AE1119"/>
      <c r="AF1119"/>
      <c r="AJ1119"/>
    </row>
    <row r="1120" spans="24:36" x14ac:dyDescent="0.2">
      <c r="X1120" s="284"/>
      <c r="AA1120"/>
      <c r="AB1120"/>
      <c r="AC1120"/>
      <c r="AE1120"/>
      <c r="AF1120"/>
      <c r="AJ1120"/>
    </row>
    <row r="1121" spans="24:36" x14ac:dyDescent="0.2">
      <c r="X1121" s="284"/>
      <c r="AA1121"/>
      <c r="AB1121"/>
      <c r="AC1121"/>
      <c r="AE1121"/>
      <c r="AF1121"/>
      <c r="AJ1121"/>
    </row>
    <row r="1122" spans="24:36" x14ac:dyDescent="0.2">
      <c r="X1122" s="284"/>
      <c r="AA1122"/>
      <c r="AB1122"/>
      <c r="AC1122"/>
      <c r="AE1122"/>
      <c r="AF1122"/>
      <c r="AJ1122"/>
    </row>
    <row r="1123" spans="24:36" x14ac:dyDescent="0.2">
      <c r="X1123" s="284"/>
      <c r="AA1123"/>
      <c r="AB1123"/>
      <c r="AC1123"/>
      <c r="AE1123"/>
      <c r="AF1123"/>
      <c r="AJ1123"/>
    </row>
    <row r="1124" spans="24:36" x14ac:dyDescent="0.2">
      <c r="X1124" s="284"/>
      <c r="AA1124"/>
      <c r="AB1124"/>
      <c r="AC1124"/>
      <c r="AE1124"/>
      <c r="AF1124"/>
      <c r="AJ1124"/>
    </row>
    <row r="1125" spans="24:36" x14ac:dyDescent="0.2">
      <c r="X1125" s="284"/>
      <c r="AA1125"/>
      <c r="AB1125"/>
      <c r="AC1125"/>
      <c r="AE1125"/>
      <c r="AF1125"/>
      <c r="AJ1125"/>
    </row>
    <row r="1126" spans="24:36" x14ac:dyDescent="0.2">
      <c r="X1126" s="284"/>
      <c r="AA1126"/>
      <c r="AB1126"/>
      <c r="AC1126"/>
      <c r="AE1126"/>
      <c r="AF1126"/>
      <c r="AJ1126"/>
    </row>
    <row r="1127" spans="24:36" x14ac:dyDescent="0.2">
      <c r="X1127" s="284"/>
      <c r="AA1127"/>
      <c r="AB1127"/>
      <c r="AC1127"/>
      <c r="AE1127"/>
      <c r="AF1127"/>
      <c r="AJ1127"/>
    </row>
    <row r="1128" spans="24:36" x14ac:dyDescent="0.2">
      <c r="X1128" s="284"/>
      <c r="AA1128"/>
      <c r="AB1128"/>
      <c r="AC1128"/>
      <c r="AE1128"/>
      <c r="AF1128"/>
      <c r="AJ1128"/>
    </row>
    <row r="1129" spans="24:36" x14ac:dyDescent="0.2">
      <c r="X1129" s="284"/>
      <c r="AA1129"/>
      <c r="AB1129"/>
      <c r="AC1129"/>
      <c r="AE1129"/>
      <c r="AF1129"/>
      <c r="AJ1129"/>
    </row>
    <row r="1130" spans="24:36" x14ac:dyDescent="0.2">
      <c r="X1130" s="284"/>
      <c r="AA1130"/>
      <c r="AB1130"/>
      <c r="AC1130"/>
      <c r="AE1130"/>
      <c r="AF1130"/>
      <c r="AJ1130"/>
    </row>
    <row r="1131" spans="24:36" x14ac:dyDescent="0.2">
      <c r="X1131" s="284"/>
      <c r="AA1131"/>
      <c r="AB1131"/>
      <c r="AC1131"/>
      <c r="AE1131"/>
      <c r="AF1131"/>
      <c r="AJ1131"/>
    </row>
    <row r="1132" spans="24:36" x14ac:dyDescent="0.2">
      <c r="X1132" s="284"/>
      <c r="AA1132"/>
      <c r="AB1132"/>
      <c r="AC1132"/>
      <c r="AE1132"/>
      <c r="AF1132"/>
      <c r="AJ1132"/>
    </row>
    <row r="1133" spans="24:36" x14ac:dyDescent="0.2">
      <c r="X1133" s="284"/>
      <c r="AA1133"/>
      <c r="AB1133"/>
      <c r="AC1133"/>
      <c r="AE1133"/>
      <c r="AF1133"/>
      <c r="AJ1133"/>
    </row>
    <row r="1134" spans="24:36" x14ac:dyDescent="0.2">
      <c r="X1134" s="284"/>
      <c r="AA1134"/>
      <c r="AB1134"/>
      <c r="AC1134"/>
      <c r="AE1134"/>
      <c r="AF1134"/>
      <c r="AJ1134"/>
    </row>
    <row r="1135" spans="24:36" x14ac:dyDescent="0.2">
      <c r="X1135" s="284"/>
      <c r="AA1135"/>
      <c r="AB1135"/>
      <c r="AC1135"/>
      <c r="AE1135"/>
      <c r="AF1135"/>
      <c r="AJ1135"/>
    </row>
    <row r="1136" spans="24:36" x14ac:dyDescent="0.2">
      <c r="X1136" s="284"/>
      <c r="AA1136"/>
      <c r="AB1136"/>
      <c r="AC1136"/>
      <c r="AE1136"/>
      <c r="AF1136"/>
      <c r="AJ1136"/>
    </row>
    <row r="1137" spans="24:36" x14ac:dyDescent="0.2">
      <c r="X1137" s="284"/>
      <c r="AA1137"/>
      <c r="AB1137"/>
      <c r="AC1137"/>
      <c r="AE1137"/>
      <c r="AF1137"/>
      <c r="AJ1137"/>
    </row>
    <row r="1138" spans="24:36" x14ac:dyDescent="0.2">
      <c r="X1138" s="284"/>
      <c r="AA1138"/>
      <c r="AB1138"/>
      <c r="AC1138"/>
      <c r="AE1138"/>
      <c r="AF1138"/>
      <c r="AJ1138"/>
    </row>
    <row r="1139" spans="24:36" x14ac:dyDescent="0.2">
      <c r="X1139" s="284"/>
      <c r="AA1139"/>
      <c r="AB1139"/>
      <c r="AC1139"/>
      <c r="AE1139"/>
      <c r="AF1139"/>
      <c r="AJ1139"/>
    </row>
    <row r="1140" spans="24:36" x14ac:dyDescent="0.2">
      <c r="X1140" s="284"/>
      <c r="AA1140"/>
      <c r="AB1140"/>
      <c r="AC1140"/>
      <c r="AE1140"/>
      <c r="AF1140"/>
      <c r="AJ1140"/>
    </row>
    <row r="1141" spans="24:36" x14ac:dyDescent="0.2">
      <c r="X1141" s="284"/>
      <c r="AA1141"/>
      <c r="AB1141"/>
      <c r="AC1141"/>
      <c r="AE1141"/>
      <c r="AF1141"/>
      <c r="AJ1141"/>
    </row>
    <row r="1142" spans="24:36" x14ac:dyDescent="0.2">
      <c r="X1142" s="284"/>
      <c r="AA1142"/>
      <c r="AB1142"/>
      <c r="AC1142"/>
      <c r="AE1142"/>
      <c r="AF1142"/>
      <c r="AJ1142"/>
    </row>
    <row r="1143" spans="24:36" x14ac:dyDescent="0.2">
      <c r="X1143" s="284"/>
      <c r="AA1143"/>
      <c r="AB1143"/>
      <c r="AC1143"/>
      <c r="AE1143"/>
      <c r="AF1143"/>
      <c r="AJ1143"/>
    </row>
    <row r="1144" spans="24:36" x14ac:dyDescent="0.2">
      <c r="X1144" s="284"/>
      <c r="AA1144"/>
      <c r="AB1144"/>
      <c r="AC1144"/>
      <c r="AE1144"/>
      <c r="AF1144"/>
      <c r="AJ1144"/>
    </row>
    <row r="1145" spans="24:36" x14ac:dyDescent="0.2">
      <c r="X1145" s="284"/>
      <c r="AA1145"/>
      <c r="AB1145"/>
      <c r="AC1145"/>
      <c r="AE1145"/>
      <c r="AF1145"/>
      <c r="AJ1145"/>
    </row>
    <row r="1146" spans="24:36" x14ac:dyDescent="0.2">
      <c r="X1146" s="284"/>
      <c r="AA1146"/>
      <c r="AB1146"/>
      <c r="AC1146"/>
      <c r="AE1146"/>
      <c r="AF1146"/>
      <c r="AJ1146"/>
    </row>
    <row r="1147" spans="24:36" x14ac:dyDescent="0.2">
      <c r="X1147" s="284"/>
      <c r="AA1147"/>
      <c r="AB1147"/>
      <c r="AC1147"/>
      <c r="AE1147"/>
      <c r="AF1147"/>
      <c r="AJ1147"/>
    </row>
    <row r="1148" spans="24:36" x14ac:dyDescent="0.2">
      <c r="X1148" s="284"/>
      <c r="AA1148"/>
      <c r="AB1148"/>
      <c r="AC1148"/>
      <c r="AE1148"/>
      <c r="AF1148"/>
      <c r="AJ1148"/>
    </row>
    <row r="1149" spans="24:36" x14ac:dyDescent="0.2">
      <c r="X1149" s="284"/>
      <c r="AA1149"/>
      <c r="AB1149"/>
      <c r="AC1149"/>
      <c r="AE1149"/>
      <c r="AF1149"/>
      <c r="AJ1149"/>
    </row>
    <row r="1150" spans="24:36" x14ac:dyDescent="0.2">
      <c r="X1150" s="284"/>
      <c r="AA1150"/>
      <c r="AB1150"/>
      <c r="AC1150"/>
      <c r="AE1150"/>
      <c r="AF1150"/>
      <c r="AJ1150"/>
    </row>
    <row r="1151" spans="24:36" x14ac:dyDescent="0.2">
      <c r="X1151" s="284"/>
      <c r="AA1151"/>
      <c r="AB1151"/>
      <c r="AC1151"/>
      <c r="AE1151"/>
      <c r="AF1151"/>
      <c r="AJ1151"/>
    </row>
    <row r="1152" spans="24:36" x14ac:dyDescent="0.2">
      <c r="X1152" s="284"/>
      <c r="AA1152"/>
      <c r="AB1152"/>
      <c r="AC1152"/>
      <c r="AE1152"/>
      <c r="AF1152"/>
      <c r="AJ1152"/>
    </row>
    <row r="1153" spans="24:36" x14ac:dyDescent="0.2">
      <c r="X1153" s="284"/>
      <c r="AA1153"/>
      <c r="AB1153"/>
      <c r="AC1153"/>
      <c r="AE1153"/>
      <c r="AF1153"/>
      <c r="AJ1153"/>
    </row>
    <row r="1154" spans="24:36" x14ac:dyDescent="0.2">
      <c r="X1154" s="284"/>
      <c r="AA1154"/>
      <c r="AB1154"/>
      <c r="AC1154"/>
      <c r="AE1154"/>
      <c r="AF1154"/>
      <c r="AJ1154"/>
    </row>
    <row r="1155" spans="24:36" x14ac:dyDescent="0.2">
      <c r="X1155" s="284"/>
      <c r="AA1155"/>
      <c r="AB1155"/>
      <c r="AC1155"/>
      <c r="AE1155"/>
      <c r="AF1155"/>
      <c r="AJ1155"/>
    </row>
    <row r="1156" spans="24:36" x14ac:dyDescent="0.2">
      <c r="X1156" s="284"/>
      <c r="AA1156"/>
      <c r="AB1156"/>
      <c r="AC1156"/>
      <c r="AE1156"/>
      <c r="AF1156"/>
      <c r="AJ1156"/>
    </row>
    <row r="1157" spans="24:36" x14ac:dyDescent="0.2">
      <c r="X1157" s="284"/>
      <c r="AA1157"/>
      <c r="AB1157"/>
      <c r="AC1157"/>
      <c r="AE1157"/>
      <c r="AF1157"/>
      <c r="AJ1157"/>
    </row>
    <row r="1158" spans="24:36" x14ac:dyDescent="0.2">
      <c r="X1158" s="284"/>
      <c r="AA1158"/>
      <c r="AB1158"/>
      <c r="AC1158"/>
      <c r="AE1158"/>
      <c r="AF1158"/>
      <c r="AJ1158"/>
    </row>
    <row r="1159" spans="24:36" x14ac:dyDescent="0.2">
      <c r="X1159" s="284"/>
      <c r="AA1159"/>
      <c r="AB1159"/>
      <c r="AC1159"/>
      <c r="AE1159"/>
      <c r="AF1159"/>
      <c r="AJ1159"/>
    </row>
    <row r="1160" spans="24:36" x14ac:dyDescent="0.2">
      <c r="X1160" s="284"/>
      <c r="AA1160"/>
      <c r="AB1160"/>
      <c r="AC1160"/>
      <c r="AE1160"/>
      <c r="AF1160"/>
      <c r="AJ1160"/>
    </row>
    <row r="1161" spans="24:36" x14ac:dyDescent="0.2">
      <c r="X1161" s="284"/>
      <c r="AA1161"/>
      <c r="AB1161"/>
      <c r="AC1161"/>
      <c r="AE1161"/>
      <c r="AF1161"/>
      <c r="AJ1161"/>
    </row>
    <row r="1162" spans="24:36" x14ac:dyDescent="0.2">
      <c r="X1162" s="284"/>
      <c r="AA1162"/>
      <c r="AB1162"/>
      <c r="AC1162"/>
      <c r="AE1162"/>
      <c r="AF1162"/>
      <c r="AJ1162"/>
    </row>
    <row r="1163" spans="24:36" x14ac:dyDescent="0.2">
      <c r="X1163" s="284"/>
      <c r="AA1163"/>
      <c r="AB1163"/>
      <c r="AC1163"/>
      <c r="AE1163"/>
      <c r="AF1163"/>
      <c r="AJ1163"/>
    </row>
    <row r="1164" spans="24:36" x14ac:dyDescent="0.2">
      <c r="X1164" s="284"/>
      <c r="AA1164"/>
      <c r="AB1164"/>
      <c r="AC1164"/>
      <c r="AE1164"/>
      <c r="AF1164"/>
      <c r="AJ1164"/>
    </row>
    <row r="1165" spans="24:36" x14ac:dyDescent="0.2">
      <c r="X1165" s="284"/>
      <c r="AA1165"/>
      <c r="AB1165"/>
      <c r="AC1165"/>
      <c r="AE1165"/>
      <c r="AF1165"/>
      <c r="AJ1165"/>
    </row>
    <row r="1166" spans="24:36" x14ac:dyDescent="0.2">
      <c r="X1166" s="284"/>
      <c r="AA1166"/>
      <c r="AB1166"/>
      <c r="AC1166"/>
      <c r="AE1166"/>
      <c r="AF1166"/>
      <c r="AJ1166"/>
    </row>
    <row r="1167" spans="24:36" x14ac:dyDescent="0.2">
      <c r="X1167" s="284"/>
      <c r="AA1167"/>
      <c r="AB1167"/>
      <c r="AC1167"/>
      <c r="AE1167"/>
      <c r="AF1167"/>
      <c r="AJ1167"/>
    </row>
    <row r="1168" spans="24:36" x14ac:dyDescent="0.2">
      <c r="X1168" s="284"/>
      <c r="AA1168"/>
      <c r="AB1168"/>
      <c r="AC1168"/>
      <c r="AE1168"/>
      <c r="AF1168"/>
      <c r="AJ1168"/>
    </row>
    <row r="1169" spans="24:36" x14ac:dyDescent="0.2">
      <c r="X1169" s="284"/>
      <c r="AA1169"/>
      <c r="AB1169"/>
      <c r="AC1169"/>
      <c r="AE1169"/>
      <c r="AF1169"/>
      <c r="AJ1169"/>
    </row>
    <row r="1170" spans="24:36" x14ac:dyDescent="0.2">
      <c r="X1170" s="284"/>
      <c r="AA1170"/>
      <c r="AB1170"/>
      <c r="AC1170"/>
      <c r="AE1170"/>
      <c r="AF1170"/>
      <c r="AJ1170"/>
    </row>
    <row r="1171" spans="24:36" x14ac:dyDescent="0.2">
      <c r="X1171" s="284"/>
      <c r="AA1171"/>
      <c r="AB1171"/>
      <c r="AC1171"/>
      <c r="AE1171"/>
      <c r="AF1171"/>
      <c r="AJ1171"/>
    </row>
    <row r="1172" spans="24:36" x14ac:dyDescent="0.2">
      <c r="X1172" s="284"/>
      <c r="AA1172"/>
      <c r="AB1172"/>
      <c r="AC1172"/>
      <c r="AE1172"/>
      <c r="AF1172"/>
      <c r="AJ1172"/>
    </row>
    <row r="1173" spans="24:36" x14ac:dyDescent="0.2">
      <c r="X1173" s="284"/>
      <c r="AA1173"/>
      <c r="AB1173"/>
      <c r="AC1173"/>
      <c r="AE1173"/>
      <c r="AF1173"/>
      <c r="AJ1173"/>
    </row>
    <row r="1174" spans="24:36" x14ac:dyDescent="0.2">
      <c r="X1174" s="284"/>
      <c r="AA1174"/>
      <c r="AB1174"/>
      <c r="AC1174"/>
      <c r="AE1174"/>
      <c r="AF1174"/>
      <c r="AJ1174"/>
    </row>
    <row r="1175" spans="24:36" x14ac:dyDescent="0.2">
      <c r="X1175" s="284"/>
      <c r="AA1175"/>
      <c r="AB1175"/>
      <c r="AC1175"/>
      <c r="AE1175"/>
      <c r="AF1175"/>
      <c r="AJ1175"/>
    </row>
    <row r="1176" spans="24:36" x14ac:dyDescent="0.2">
      <c r="X1176" s="284"/>
      <c r="AA1176"/>
      <c r="AB1176"/>
      <c r="AC1176"/>
      <c r="AE1176"/>
      <c r="AF1176"/>
      <c r="AJ1176"/>
    </row>
    <row r="1177" spans="24:36" x14ac:dyDescent="0.2">
      <c r="X1177" s="284"/>
      <c r="AA1177"/>
      <c r="AB1177"/>
      <c r="AC1177"/>
      <c r="AE1177"/>
      <c r="AF1177"/>
      <c r="AJ1177"/>
    </row>
    <row r="1178" spans="24:36" x14ac:dyDescent="0.2">
      <c r="X1178" s="284"/>
      <c r="AA1178"/>
      <c r="AB1178"/>
      <c r="AC1178"/>
      <c r="AE1178"/>
      <c r="AF1178"/>
      <c r="AJ1178"/>
    </row>
    <row r="1179" spans="24:36" x14ac:dyDescent="0.2">
      <c r="X1179" s="284"/>
      <c r="AA1179"/>
      <c r="AB1179"/>
      <c r="AC1179"/>
      <c r="AE1179"/>
      <c r="AF1179"/>
      <c r="AJ1179"/>
    </row>
    <row r="1180" spans="24:36" x14ac:dyDescent="0.2">
      <c r="X1180" s="284"/>
      <c r="AA1180"/>
      <c r="AB1180"/>
      <c r="AC1180"/>
      <c r="AE1180"/>
      <c r="AF1180"/>
      <c r="AJ1180"/>
    </row>
    <row r="1181" spans="24:36" x14ac:dyDescent="0.2">
      <c r="X1181" s="284"/>
      <c r="AA1181"/>
      <c r="AB1181"/>
      <c r="AC1181"/>
      <c r="AE1181"/>
      <c r="AF1181"/>
      <c r="AJ1181"/>
    </row>
    <row r="1182" spans="24:36" x14ac:dyDescent="0.2">
      <c r="X1182" s="284"/>
      <c r="AA1182"/>
      <c r="AB1182"/>
      <c r="AC1182"/>
      <c r="AE1182"/>
      <c r="AF1182"/>
      <c r="AJ1182"/>
    </row>
    <row r="1183" spans="24:36" x14ac:dyDescent="0.2">
      <c r="X1183" s="284"/>
      <c r="AA1183"/>
      <c r="AB1183"/>
      <c r="AC1183"/>
      <c r="AE1183"/>
      <c r="AF1183"/>
      <c r="AJ1183"/>
    </row>
    <row r="1184" spans="24:36" x14ac:dyDescent="0.2">
      <c r="X1184" s="284"/>
      <c r="AA1184"/>
      <c r="AB1184"/>
      <c r="AC1184"/>
      <c r="AE1184"/>
      <c r="AF1184"/>
      <c r="AJ1184"/>
    </row>
    <row r="1185" spans="24:36" x14ac:dyDescent="0.2">
      <c r="X1185" s="284"/>
      <c r="AA1185"/>
      <c r="AB1185"/>
      <c r="AC1185"/>
      <c r="AE1185"/>
      <c r="AF1185"/>
      <c r="AJ1185"/>
    </row>
    <row r="1186" spans="24:36" x14ac:dyDescent="0.2">
      <c r="X1186" s="284"/>
      <c r="AA1186"/>
      <c r="AB1186"/>
      <c r="AC1186"/>
      <c r="AE1186"/>
      <c r="AF1186"/>
      <c r="AJ1186"/>
    </row>
    <row r="1187" spans="24:36" x14ac:dyDescent="0.2">
      <c r="X1187" s="284"/>
      <c r="AA1187"/>
      <c r="AB1187"/>
      <c r="AC1187"/>
      <c r="AE1187"/>
      <c r="AF1187"/>
      <c r="AJ1187"/>
    </row>
    <row r="1188" spans="24:36" x14ac:dyDescent="0.2">
      <c r="X1188" s="284"/>
      <c r="AA1188"/>
      <c r="AB1188"/>
      <c r="AC1188"/>
      <c r="AE1188"/>
      <c r="AF1188"/>
      <c r="AJ1188"/>
    </row>
    <row r="1189" spans="24:36" x14ac:dyDescent="0.2">
      <c r="X1189" s="284"/>
      <c r="AA1189"/>
      <c r="AB1189"/>
      <c r="AC1189"/>
      <c r="AE1189"/>
      <c r="AF1189"/>
      <c r="AJ1189"/>
    </row>
    <row r="1190" spans="24:36" x14ac:dyDescent="0.2">
      <c r="X1190" s="284"/>
      <c r="AA1190"/>
      <c r="AB1190"/>
      <c r="AC1190"/>
      <c r="AE1190"/>
      <c r="AF1190"/>
      <c r="AJ1190"/>
    </row>
    <row r="1191" spans="24:36" x14ac:dyDescent="0.2">
      <c r="X1191" s="284"/>
      <c r="AA1191"/>
      <c r="AB1191"/>
      <c r="AC1191"/>
      <c r="AE1191"/>
      <c r="AF1191"/>
      <c r="AJ1191"/>
    </row>
    <row r="1192" spans="24:36" x14ac:dyDescent="0.2">
      <c r="X1192" s="284"/>
      <c r="AA1192"/>
      <c r="AB1192"/>
      <c r="AC1192"/>
      <c r="AE1192"/>
      <c r="AF1192"/>
      <c r="AJ1192"/>
    </row>
    <row r="1193" spans="24:36" x14ac:dyDescent="0.2">
      <c r="X1193" s="284"/>
      <c r="AA1193"/>
      <c r="AB1193"/>
      <c r="AC1193"/>
      <c r="AE1193"/>
      <c r="AF1193"/>
      <c r="AJ1193"/>
    </row>
    <row r="1194" spans="24:36" x14ac:dyDescent="0.2">
      <c r="X1194" s="284"/>
      <c r="AA1194"/>
      <c r="AB1194"/>
      <c r="AC1194"/>
      <c r="AE1194"/>
      <c r="AF1194"/>
      <c r="AJ1194"/>
    </row>
    <row r="1195" spans="24:36" x14ac:dyDescent="0.2">
      <c r="X1195" s="284"/>
      <c r="AA1195"/>
      <c r="AB1195"/>
      <c r="AC1195"/>
      <c r="AE1195"/>
      <c r="AF1195"/>
      <c r="AJ1195"/>
    </row>
    <row r="1196" spans="24:36" x14ac:dyDescent="0.2">
      <c r="X1196" s="284"/>
      <c r="AA1196"/>
      <c r="AB1196"/>
      <c r="AC1196"/>
      <c r="AE1196"/>
      <c r="AF1196"/>
      <c r="AJ1196"/>
    </row>
    <row r="1197" spans="24:36" x14ac:dyDescent="0.2">
      <c r="X1197" s="284"/>
      <c r="AA1197"/>
      <c r="AB1197"/>
      <c r="AC1197"/>
      <c r="AE1197"/>
      <c r="AF1197"/>
      <c r="AJ1197"/>
    </row>
    <row r="1198" spans="24:36" x14ac:dyDescent="0.2">
      <c r="X1198" s="284"/>
      <c r="AA1198"/>
      <c r="AB1198"/>
      <c r="AC1198"/>
      <c r="AE1198"/>
      <c r="AF1198"/>
      <c r="AJ1198"/>
    </row>
    <row r="1199" spans="24:36" x14ac:dyDescent="0.2">
      <c r="X1199" s="284"/>
      <c r="AA1199"/>
      <c r="AB1199"/>
      <c r="AC1199"/>
      <c r="AE1199"/>
      <c r="AF1199"/>
      <c r="AJ1199"/>
    </row>
    <row r="1200" spans="24:36" x14ac:dyDescent="0.2">
      <c r="X1200" s="284"/>
      <c r="AA1200"/>
      <c r="AB1200"/>
      <c r="AC1200"/>
      <c r="AE1200"/>
      <c r="AF1200"/>
      <c r="AJ1200"/>
    </row>
    <row r="1201" spans="24:36" x14ac:dyDescent="0.2">
      <c r="X1201" s="284"/>
      <c r="AA1201"/>
      <c r="AB1201"/>
      <c r="AC1201"/>
      <c r="AE1201"/>
      <c r="AF1201"/>
      <c r="AJ1201"/>
    </row>
    <row r="1202" spans="24:36" x14ac:dyDescent="0.2">
      <c r="X1202" s="284"/>
      <c r="AA1202"/>
      <c r="AB1202"/>
      <c r="AC1202"/>
      <c r="AE1202"/>
      <c r="AF1202"/>
      <c r="AJ1202"/>
    </row>
    <row r="1203" spans="24:36" x14ac:dyDescent="0.2">
      <c r="X1203" s="284"/>
      <c r="AA1203"/>
      <c r="AB1203"/>
      <c r="AC1203"/>
      <c r="AE1203"/>
      <c r="AF1203"/>
      <c r="AJ1203"/>
    </row>
    <row r="1204" spans="24:36" x14ac:dyDescent="0.2">
      <c r="X1204" s="284"/>
      <c r="AA1204"/>
      <c r="AB1204"/>
      <c r="AC1204"/>
      <c r="AE1204"/>
      <c r="AF1204"/>
      <c r="AJ1204"/>
    </row>
    <row r="1205" spans="24:36" x14ac:dyDescent="0.2">
      <c r="X1205" s="284"/>
      <c r="AA1205"/>
      <c r="AB1205"/>
      <c r="AC1205"/>
      <c r="AE1205"/>
      <c r="AF1205"/>
      <c r="AJ1205"/>
    </row>
    <row r="1206" spans="24:36" x14ac:dyDescent="0.2">
      <c r="X1206" s="284"/>
      <c r="AA1206"/>
      <c r="AB1206"/>
      <c r="AC1206"/>
      <c r="AE1206"/>
      <c r="AF1206"/>
      <c r="AJ1206"/>
    </row>
    <row r="1207" spans="24:36" x14ac:dyDescent="0.2">
      <c r="X1207" s="284"/>
      <c r="AA1207"/>
      <c r="AB1207"/>
      <c r="AC1207"/>
      <c r="AE1207"/>
      <c r="AF1207"/>
      <c r="AJ1207"/>
    </row>
    <row r="1208" spans="24:36" x14ac:dyDescent="0.2">
      <c r="X1208" s="284"/>
      <c r="AA1208"/>
      <c r="AB1208"/>
      <c r="AC1208"/>
      <c r="AE1208"/>
      <c r="AF1208"/>
      <c r="AJ1208"/>
    </row>
    <row r="1209" spans="24:36" x14ac:dyDescent="0.2">
      <c r="X1209" s="284"/>
      <c r="AA1209"/>
      <c r="AB1209"/>
      <c r="AC1209"/>
      <c r="AE1209"/>
      <c r="AF1209"/>
      <c r="AJ1209"/>
    </row>
    <row r="1210" spans="24:36" x14ac:dyDescent="0.2">
      <c r="X1210" s="284"/>
      <c r="AA1210"/>
      <c r="AB1210"/>
      <c r="AC1210"/>
      <c r="AE1210"/>
      <c r="AF1210"/>
      <c r="AJ1210"/>
    </row>
    <row r="1211" spans="24:36" x14ac:dyDescent="0.2">
      <c r="X1211" s="284"/>
      <c r="AA1211"/>
      <c r="AB1211"/>
      <c r="AC1211"/>
      <c r="AE1211"/>
      <c r="AF1211"/>
      <c r="AJ1211"/>
    </row>
    <row r="1212" spans="24:36" x14ac:dyDescent="0.2">
      <c r="X1212" s="284"/>
      <c r="AA1212"/>
      <c r="AB1212"/>
      <c r="AC1212"/>
      <c r="AE1212"/>
      <c r="AF1212"/>
      <c r="AJ1212"/>
    </row>
    <row r="1213" spans="24:36" x14ac:dyDescent="0.2">
      <c r="X1213" s="284"/>
      <c r="AA1213"/>
      <c r="AB1213"/>
      <c r="AC1213"/>
      <c r="AE1213"/>
      <c r="AF1213"/>
      <c r="AJ1213"/>
    </row>
    <row r="1214" spans="24:36" x14ac:dyDescent="0.2">
      <c r="X1214" s="284"/>
      <c r="AA1214"/>
      <c r="AB1214"/>
      <c r="AC1214"/>
      <c r="AE1214"/>
      <c r="AF1214"/>
      <c r="AJ1214"/>
    </row>
    <row r="1215" spans="24:36" x14ac:dyDescent="0.2">
      <c r="X1215" s="284"/>
      <c r="AA1215"/>
      <c r="AB1215"/>
      <c r="AC1215"/>
      <c r="AE1215"/>
      <c r="AF1215"/>
      <c r="AJ1215"/>
    </row>
    <row r="1216" spans="24:36" x14ac:dyDescent="0.2">
      <c r="X1216" s="284"/>
      <c r="AA1216"/>
      <c r="AB1216"/>
      <c r="AC1216"/>
      <c r="AE1216"/>
      <c r="AF1216"/>
      <c r="AJ1216"/>
    </row>
    <row r="1217" spans="24:36" x14ac:dyDescent="0.2">
      <c r="X1217" s="284"/>
      <c r="AA1217"/>
      <c r="AB1217"/>
      <c r="AC1217"/>
      <c r="AE1217"/>
      <c r="AF1217"/>
      <c r="AJ1217"/>
    </row>
    <row r="1218" spans="24:36" x14ac:dyDescent="0.2">
      <c r="X1218" s="284"/>
      <c r="AA1218"/>
      <c r="AB1218"/>
      <c r="AC1218"/>
      <c r="AE1218"/>
      <c r="AF1218"/>
      <c r="AJ1218"/>
    </row>
    <row r="1219" spans="24:36" x14ac:dyDescent="0.2">
      <c r="X1219" s="284"/>
      <c r="AA1219"/>
      <c r="AB1219"/>
      <c r="AC1219"/>
      <c r="AE1219"/>
      <c r="AF1219"/>
      <c r="AJ1219"/>
    </row>
    <row r="1220" spans="24:36" x14ac:dyDescent="0.2">
      <c r="X1220" s="284"/>
      <c r="AA1220"/>
      <c r="AB1220"/>
      <c r="AC1220"/>
      <c r="AE1220"/>
      <c r="AF1220"/>
      <c r="AJ1220"/>
    </row>
    <row r="1221" spans="24:36" x14ac:dyDescent="0.2">
      <c r="X1221" s="284"/>
      <c r="AA1221"/>
      <c r="AB1221"/>
      <c r="AC1221"/>
      <c r="AE1221"/>
      <c r="AF1221"/>
      <c r="AJ1221"/>
    </row>
    <row r="1222" spans="24:36" x14ac:dyDescent="0.2">
      <c r="X1222" s="284"/>
      <c r="AA1222"/>
      <c r="AB1222"/>
      <c r="AC1222"/>
      <c r="AE1222"/>
      <c r="AF1222"/>
      <c r="AJ1222"/>
    </row>
    <row r="1223" spans="24:36" x14ac:dyDescent="0.2">
      <c r="X1223" s="284"/>
      <c r="AA1223"/>
      <c r="AB1223"/>
      <c r="AC1223"/>
      <c r="AE1223"/>
      <c r="AF1223"/>
      <c r="AJ1223"/>
    </row>
    <row r="1224" spans="24:36" x14ac:dyDescent="0.2">
      <c r="X1224" s="284"/>
      <c r="AA1224"/>
      <c r="AB1224"/>
      <c r="AC1224"/>
      <c r="AE1224"/>
      <c r="AF1224"/>
      <c r="AJ1224"/>
    </row>
    <row r="1225" spans="24:36" x14ac:dyDescent="0.2">
      <c r="X1225" s="284"/>
      <c r="AA1225"/>
      <c r="AB1225"/>
      <c r="AC1225"/>
      <c r="AE1225"/>
      <c r="AF1225"/>
      <c r="AJ1225"/>
    </row>
    <row r="1226" spans="24:36" x14ac:dyDescent="0.2">
      <c r="X1226" s="284"/>
      <c r="AA1226"/>
      <c r="AB1226"/>
      <c r="AC1226"/>
      <c r="AE1226"/>
      <c r="AF1226"/>
      <c r="AJ1226"/>
    </row>
    <row r="1227" spans="24:36" x14ac:dyDescent="0.2">
      <c r="X1227" s="284"/>
      <c r="AA1227"/>
      <c r="AB1227"/>
      <c r="AC1227"/>
      <c r="AE1227"/>
      <c r="AF1227"/>
      <c r="AJ1227"/>
    </row>
    <row r="1228" spans="24:36" x14ac:dyDescent="0.2">
      <c r="X1228" s="284"/>
      <c r="AA1228"/>
      <c r="AB1228"/>
      <c r="AC1228"/>
      <c r="AE1228"/>
      <c r="AF1228"/>
      <c r="AJ1228"/>
    </row>
    <row r="1229" spans="24:36" x14ac:dyDescent="0.2">
      <c r="X1229" s="284"/>
      <c r="AA1229"/>
      <c r="AB1229"/>
      <c r="AC1229"/>
      <c r="AE1229"/>
      <c r="AF1229"/>
      <c r="AJ1229"/>
    </row>
    <row r="1230" spans="24:36" x14ac:dyDescent="0.2">
      <c r="X1230" s="284"/>
      <c r="AA1230"/>
      <c r="AB1230"/>
      <c r="AC1230"/>
      <c r="AE1230"/>
      <c r="AF1230"/>
      <c r="AJ1230"/>
    </row>
    <row r="1231" spans="24:36" x14ac:dyDescent="0.2">
      <c r="X1231" s="284"/>
      <c r="AA1231"/>
      <c r="AB1231"/>
      <c r="AC1231"/>
      <c r="AE1231"/>
      <c r="AF1231"/>
      <c r="AJ1231"/>
    </row>
    <row r="1232" spans="24:36" x14ac:dyDescent="0.2">
      <c r="X1232" s="284"/>
      <c r="AA1232"/>
      <c r="AB1232"/>
      <c r="AC1232"/>
      <c r="AE1232"/>
      <c r="AF1232"/>
      <c r="AJ1232"/>
    </row>
    <row r="1233" spans="24:36" x14ac:dyDescent="0.2">
      <c r="X1233" s="284"/>
      <c r="AA1233"/>
      <c r="AB1233"/>
      <c r="AC1233"/>
      <c r="AE1233"/>
      <c r="AF1233"/>
      <c r="AJ1233"/>
    </row>
    <row r="1234" spans="24:36" x14ac:dyDescent="0.2">
      <c r="X1234" s="284"/>
      <c r="AA1234"/>
      <c r="AB1234"/>
      <c r="AC1234"/>
      <c r="AE1234"/>
      <c r="AF1234"/>
      <c r="AJ1234"/>
    </row>
    <row r="1235" spans="24:36" x14ac:dyDescent="0.2">
      <c r="X1235" s="284"/>
      <c r="AA1235"/>
      <c r="AB1235"/>
      <c r="AC1235"/>
      <c r="AE1235"/>
      <c r="AF1235"/>
      <c r="AJ1235"/>
    </row>
    <row r="1236" spans="24:36" x14ac:dyDescent="0.2">
      <c r="X1236" s="284"/>
      <c r="AA1236"/>
      <c r="AB1236"/>
      <c r="AC1236"/>
      <c r="AE1236"/>
      <c r="AF1236"/>
      <c r="AJ1236"/>
    </row>
    <row r="1237" spans="24:36" x14ac:dyDescent="0.2">
      <c r="X1237" s="284"/>
      <c r="AA1237"/>
      <c r="AB1237"/>
      <c r="AC1237"/>
      <c r="AE1237"/>
      <c r="AF1237"/>
      <c r="AJ1237"/>
    </row>
    <row r="1238" spans="24:36" x14ac:dyDescent="0.2">
      <c r="X1238" s="284"/>
      <c r="AA1238"/>
      <c r="AB1238"/>
      <c r="AC1238"/>
      <c r="AE1238"/>
      <c r="AF1238"/>
      <c r="AJ1238"/>
    </row>
    <row r="1239" spans="24:36" x14ac:dyDescent="0.2">
      <c r="X1239" s="284"/>
      <c r="AA1239"/>
      <c r="AB1239"/>
      <c r="AC1239"/>
      <c r="AE1239"/>
      <c r="AF1239"/>
      <c r="AJ1239"/>
    </row>
    <row r="1240" spans="24:36" x14ac:dyDescent="0.2">
      <c r="X1240" s="284"/>
      <c r="AA1240"/>
      <c r="AB1240"/>
      <c r="AC1240"/>
      <c r="AE1240"/>
      <c r="AF1240"/>
      <c r="AJ1240"/>
    </row>
    <row r="1241" spans="24:36" x14ac:dyDescent="0.2">
      <c r="X1241" s="284"/>
      <c r="AA1241"/>
      <c r="AB1241"/>
      <c r="AC1241"/>
      <c r="AE1241"/>
      <c r="AF1241"/>
      <c r="AJ1241"/>
    </row>
    <row r="1242" spans="24:36" x14ac:dyDescent="0.2">
      <c r="X1242" s="284"/>
      <c r="AA1242"/>
      <c r="AB1242"/>
      <c r="AC1242"/>
      <c r="AE1242"/>
      <c r="AF1242"/>
      <c r="AJ1242"/>
    </row>
    <row r="1243" spans="24:36" x14ac:dyDescent="0.2">
      <c r="X1243" s="284"/>
      <c r="AA1243"/>
      <c r="AB1243"/>
      <c r="AC1243"/>
      <c r="AE1243"/>
      <c r="AF1243"/>
      <c r="AJ1243"/>
    </row>
    <row r="1244" spans="24:36" x14ac:dyDescent="0.2">
      <c r="X1244" s="284"/>
      <c r="AA1244"/>
      <c r="AB1244"/>
      <c r="AC1244"/>
      <c r="AE1244"/>
      <c r="AF1244"/>
      <c r="AJ1244"/>
    </row>
    <row r="1245" spans="24:36" x14ac:dyDescent="0.2">
      <c r="X1245" s="284"/>
      <c r="AA1245"/>
      <c r="AB1245"/>
      <c r="AC1245"/>
      <c r="AE1245"/>
      <c r="AF1245"/>
      <c r="AJ1245"/>
    </row>
    <row r="1246" spans="24:36" x14ac:dyDescent="0.2">
      <c r="X1246" s="284"/>
      <c r="AA1246"/>
      <c r="AB1246"/>
      <c r="AC1246"/>
      <c r="AE1246"/>
      <c r="AF1246"/>
      <c r="AJ1246"/>
    </row>
    <row r="1247" spans="24:36" x14ac:dyDescent="0.2">
      <c r="X1247" s="284"/>
      <c r="AA1247"/>
      <c r="AB1247"/>
      <c r="AC1247"/>
      <c r="AE1247"/>
      <c r="AF1247"/>
      <c r="AJ1247"/>
    </row>
    <row r="1248" spans="24:36" x14ac:dyDescent="0.2">
      <c r="X1248" s="284"/>
      <c r="AA1248"/>
      <c r="AB1248"/>
      <c r="AC1248"/>
      <c r="AE1248"/>
      <c r="AF1248"/>
      <c r="AJ1248"/>
    </row>
    <row r="1249" spans="24:36" x14ac:dyDescent="0.2">
      <c r="X1249" s="284"/>
      <c r="AA1249"/>
      <c r="AB1249"/>
      <c r="AC1249"/>
      <c r="AE1249"/>
      <c r="AF1249"/>
      <c r="AJ1249"/>
    </row>
    <row r="1250" spans="24:36" x14ac:dyDescent="0.2">
      <c r="X1250" s="284"/>
      <c r="AA1250"/>
      <c r="AB1250"/>
      <c r="AC1250"/>
      <c r="AE1250"/>
      <c r="AF1250"/>
      <c r="AJ1250"/>
    </row>
    <row r="1251" spans="24:36" x14ac:dyDescent="0.2">
      <c r="X1251" s="284"/>
      <c r="AA1251"/>
      <c r="AB1251"/>
      <c r="AC1251"/>
      <c r="AE1251"/>
      <c r="AF1251"/>
      <c r="AJ1251"/>
    </row>
    <row r="1252" spans="24:36" x14ac:dyDescent="0.2">
      <c r="X1252" s="284"/>
      <c r="AA1252"/>
      <c r="AB1252"/>
      <c r="AC1252"/>
      <c r="AE1252"/>
      <c r="AF1252"/>
      <c r="AJ1252"/>
    </row>
    <row r="1253" spans="24:36" x14ac:dyDescent="0.2">
      <c r="X1253" s="284"/>
      <c r="AA1253"/>
      <c r="AB1253"/>
      <c r="AC1253"/>
      <c r="AE1253"/>
      <c r="AF1253"/>
      <c r="AJ1253"/>
    </row>
    <row r="1254" spans="24:36" x14ac:dyDescent="0.2">
      <c r="X1254" s="284"/>
      <c r="AA1254"/>
      <c r="AB1254"/>
      <c r="AC1254"/>
      <c r="AE1254"/>
      <c r="AF1254"/>
      <c r="AJ1254"/>
    </row>
    <row r="1255" spans="24:36" x14ac:dyDescent="0.2">
      <c r="X1255" s="284"/>
      <c r="AA1255"/>
      <c r="AB1255"/>
      <c r="AC1255"/>
      <c r="AE1255"/>
      <c r="AF1255"/>
      <c r="AJ1255"/>
    </row>
    <row r="1256" spans="24:36" x14ac:dyDescent="0.2">
      <c r="X1256" s="284"/>
      <c r="AA1256"/>
      <c r="AB1256"/>
      <c r="AC1256"/>
      <c r="AE1256"/>
      <c r="AF1256"/>
      <c r="AJ1256"/>
    </row>
    <row r="1257" spans="24:36" x14ac:dyDescent="0.2">
      <c r="X1257" s="284"/>
      <c r="AA1257"/>
      <c r="AB1257"/>
      <c r="AC1257"/>
      <c r="AE1257"/>
      <c r="AF1257"/>
      <c r="AJ1257"/>
    </row>
    <row r="1258" spans="24:36" x14ac:dyDescent="0.2">
      <c r="X1258" s="284"/>
      <c r="AA1258"/>
      <c r="AB1258"/>
      <c r="AC1258"/>
      <c r="AE1258"/>
      <c r="AF1258"/>
      <c r="AJ1258"/>
    </row>
    <row r="1259" spans="24:36" x14ac:dyDescent="0.2">
      <c r="X1259" s="284"/>
      <c r="AA1259"/>
      <c r="AB1259"/>
      <c r="AC1259"/>
      <c r="AE1259"/>
      <c r="AF1259"/>
      <c r="AJ1259"/>
    </row>
    <row r="1260" spans="24:36" x14ac:dyDescent="0.2">
      <c r="X1260" s="284"/>
      <c r="AA1260"/>
      <c r="AB1260"/>
      <c r="AC1260"/>
      <c r="AE1260"/>
      <c r="AF1260"/>
      <c r="AJ1260"/>
    </row>
    <row r="1261" spans="24:36" x14ac:dyDescent="0.2">
      <c r="X1261" s="284"/>
      <c r="AA1261"/>
      <c r="AB1261"/>
      <c r="AC1261"/>
      <c r="AE1261"/>
      <c r="AF1261"/>
      <c r="AJ1261"/>
    </row>
    <row r="1262" spans="24:36" x14ac:dyDescent="0.2">
      <c r="X1262" s="284"/>
      <c r="AA1262"/>
      <c r="AB1262"/>
      <c r="AC1262"/>
      <c r="AE1262"/>
      <c r="AF1262"/>
      <c r="AJ1262"/>
    </row>
    <row r="1263" spans="24:36" x14ac:dyDescent="0.2">
      <c r="X1263" s="284"/>
      <c r="AA1263"/>
      <c r="AB1263"/>
      <c r="AC1263"/>
      <c r="AE1263"/>
      <c r="AF1263"/>
      <c r="AJ1263"/>
    </row>
    <row r="1264" spans="24:36" x14ac:dyDescent="0.2">
      <c r="X1264" s="284"/>
      <c r="AA1264"/>
      <c r="AB1264"/>
      <c r="AC1264"/>
      <c r="AE1264"/>
      <c r="AF1264"/>
      <c r="AJ1264"/>
    </row>
    <row r="1265" spans="24:36" x14ac:dyDescent="0.2">
      <c r="X1265" s="284"/>
      <c r="AA1265"/>
      <c r="AB1265"/>
      <c r="AC1265"/>
      <c r="AE1265"/>
      <c r="AF1265"/>
      <c r="AJ1265"/>
    </row>
    <row r="1266" spans="24:36" x14ac:dyDescent="0.2">
      <c r="X1266" s="284"/>
      <c r="AA1266"/>
      <c r="AB1266"/>
      <c r="AC1266"/>
      <c r="AE1266"/>
      <c r="AF1266"/>
      <c r="AJ1266"/>
    </row>
    <row r="1267" spans="24:36" x14ac:dyDescent="0.2">
      <c r="X1267" s="284"/>
      <c r="AA1267"/>
      <c r="AB1267"/>
      <c r="AC1267"/>
      <c r="AE1267"/>
      <c r="AF1267"/>
      <c r="AJ1267"/>
    </row>
    <row r="1268" spans="24:36" x14ac:dyDescent="0.2">
      <c r="X1268" s="284"/>
      <c r="AA1268"/>
      <c r="AB1268"/>
      <c r="AC1268"/>
      <c r="AE1268"/>
      <c r="AF1268"/>
      <c r="AJ1268"/>
    </row>
    <row r="1269" spans="24:36" x14ac:dyDescent="0.2">
      <c r="X1269" s="284"/>
      <c r="AA1269"/>
      <c r="AB1269"/>
      <c r="AC1269"/>
      <c r="AE1269"/>
      <c r="AF1269"/>
      <c r="AJ1269"/>
    </row>
    <row r="1270" spans="24:36" x14ac:dyDescent="0.2">
      <c r="X1270" s="284"/>
      <c r="AA1270"/>
      <c r="AB1270"/>
      <c r="AC1270"/>
      <c r="AE1270"/>
      <c r="AF1270"/>
      <c r="AJ1270"/>
    </row>
    <row r="1271" spans="24:36" x14ac:dyDescent="0.2">
      <c r="X1271" s="284"/>
      <c r="AA1271"/>
      <c r="AB1271"/>
      <c r="AC1271"/>
      <c r="AE1271"/>
      <c r="AF1271"/>
      <c r="AJ1271"/>
    </row>
    <row r="1272" spans="24:36" x14ac:dyDescent="0.2">
      <c r="X1272" s="284"/>
      <c r="AA1272"/>
      <c r="AB1272"/>
      <c r="AC1272"/>
      <c r="AE1272"/>
      <c r="AF1272"/>
      <c r="AJ1272"/>
    </row>
    <row r="1273" spans="24:36" x14ac:dyDescent="0.2">
      <c r="X1273" s="284"/>
      <c r="AA1273"/>
      <c r="AB1273"/>
      <c r="AC1273"/>
      <c r="AE1273"/>
      <c r="AF1273"/>
      <c r="AJ1273"/>
    </row>
    <row r="1274" spans="24:36" x14ac:dyDescent="0.2">
      <c r="X1274" s="284"/>
      <c r="AA1274"/>
      <c r="AB1274"/>
      <c r="AC1274"/>
      <c r="AE1274"/>
      <c r="AF1274"/>
      <c r="AJ1274"/>
    </row>
    <row r="1275" spans="24:36" x14ac:dyDescent="0.2">
      <c r="X1275" s="284"/>
      <c r="AA1275"/>
      <c r="AB1275"/>
      <c r="AC1275"/>
      <c r="AE1275"/>
      <c r="AF1275"/>
      <c r="AJ1275"/>
    </row>
    <row r="1276" spans="24:36" x14ac:dyDescent="0.2">
      <c r="X1276" s="284"/>
      <c r="AA1276"/>
      <c r="AB1276"/>
      <c r="AC1276"/>
      <c r="AE1276"/>
      <c r="AF1276"/>
      <c r="AJ1276"/>
    </row>
    <row r="1277" spans="24:36" x14ac:dyDescent="0.2">
      <c r="X1277" s="284"/>
      <c r="AA1277"/>
      <c r="AB1277"/>
      <c r="AC1277"/>
      <c r="AE1277"/>
      <c r="AF1277"/>
      <c r="AJ1277"/>
    </row>
    <row r="1278" spans="24:36" x14ac:dyDescent="0.2">
      <c r="X1278" s="284"/>
      <c r="AA1278"/>
      <c r="AB1278"/>
      <c r="AC1278"/>
      <c r="AE1278"/>
      <c r="AF1278"/>
      <c r="AJ1278"/>
    </row>
    <row r="1279" spans="24:36" x14ac:dyDescent="0.2">
      <c r="X1279" s="284"/>
      <c r="AA1279"/>
      <c r="AB1279"/>
      <c r="AC1279"/>
      <c r="AE1279"/>
      <c r="AF1279"/>
      <c r="AJ1279"/>
    </row>
    <row r="1280" spans="24:36" x14ac:dyDescent="0.2">
      <c r="X1280" s="284"/>
      <c r="AA1280"/>
      <c r="AB1280"/>
      <c r="AC1280"/>
      <c r="AE1280"/>
      <c r="AF1280"/>
      <c r="AJ1280"/>
    </row>
    <row r="1281" spans="24:36" x14ac:dyDescent="0.2">
      <c r="X1281" s="284"/>
      <c r="AA1281"/>
      <c r="AB1281"/>
      <c r="AC1281"/>
      <c r="AE1281"/>
      <c r="AF1281"/>
      <c r="AJ1281"/>
    </row>
    <row r="1282" spans="24:36" x14ac:dyDescent="0.2">
      <c r="X1282" s="284"/>
      <c r="AA1282"/>
      <c r="AB1282"/>
      <c r="AC1282"/>
      <c r="AE1282"/>
      <c r="AF1282"/>
      <c r="AJ1282"/>
    </row>
    <row r="1283" spans="24:36" x14ac:dyDescent="0.2">
      <c r="X1283" s="284"/>
      <c r="AA1283"/>
      <c r="AB1283"/>
      <c r="AC1283"/>
      <c r="AE1283"/>
      <c r="AF1283"/>
      <c r="AJ1283"/>
    </row>
    <row r="1284" spans="24:36" x14ac:dyDescent="0.2">
      <c r="X1284" s="284"/>
      <c r="AA1284"/>
      <c r="AB1284"/>
      <c r="AC1284"/>
      <c r="AE1284"/>
      <c r="AF1284"/>
      <c r="AJ1284"/>
    </row>
    <row r="1285" spans="24:36" x14ac:dyDescent="0.2">
      <c r="X1285" s="284"/>
      <c r="AA1285"/>
      <c r="AB1285"/>
      <c r="AC1285"/>
      <c r="AE1285"/>
      <c r="AF1285"/>
      <c r="AJ1285"/>
    </row>
    <row r="1286" spans="24:36" x14ac:dyDescent="0.2">
      <c r="X1286" s="284"/>
      <c r="AA1286"/>
      <c r="AB1286"/>
      <c r="AC1286"/>
      <c r="AE1286"/>
      <c r="AF1286"/>
      <c r="AJ1286"/>
    </row>
    <row r="1287" spans="24:36" x14ac:dyDescent="0.2">
      <c r="X1287" s="284"/>
      <c r="AA1287"/>
      <c r="AB1287"/>
      <c r="AC1287"/>
      <c r="AE1287"/>
      <c r="AF1287"/>
      <c r="AJ1287"/>
    </row>
    <row r="1288" spans="24:36" x14ac:dyDescent="0.2">
      <c r="X1288" s="284"/>
      <c r="AA1288"/>
      <c r="AB1288"/>
      <c r="AC1288"/>
      <c r="AE1288"/>
      <c r="AF1288"/>
      <c r="AJ1288"/>
    </row>
    <row r="1289" spans="24:36" x14ac:dyDescent="0.2">
      <c r="X1289" s="284"/>
      <c r="AA1289"/>
      <c r="AB1289"/>
      <c r="AC1289"/>
      <c r="AE1289"/>
      <c r="AF1289"/>
      <c r="AJ1289"/>
    </row>
    <row r="1290" spans="24:36" x14ac:dyDescent="0.2">
      <c r="X1290" s="284"/>
      <c r="AA1290"/>
      <c r="AB1290"/>
      <c r="AC1290"/>
      <c r="AE1290"/>
      <c r="AF1290"/>
      <c r="AJ1290"/>
    </row>
    <row r="1291" spans="24:36" x14ac:dyDescent="0.2">
      <c r="X1291" s="284"/>
      <c r="AA1291"/>
      <c r="AB1291"/>
      <c r="AC1291"/>
      <c r="AE1291"/>
      <c r="AF1291"/>
      <c r="AJ1291"/>
    </row>
    <row r="1292" spans="24:36" x14ac:dyDescent="0.2">
      <c r="X1292" s="284"/>
      <c r="AA1292"/>
      <c r="AB1292"/>
      <c r="AC1292"/>
      <c r="AE1292"/>
      <c r="AF1292"/>
      <c r="AJ1292"/>
    </row>
    <row r="1293" spans="24:36" x14ac:dyDescent="0.2">
      <c r="X1293" s="284"/>
      <c r="AA1293"/>
      <c r="AB1293"/>
      <c r="AC1293"/>
      <c r="AE1293"/>
      <c r="AF1293"/>
      <c r="AJ1293"/>
    </row>
    <row r="1294" spans="24:36" x14ac:dyDescent="0.2">
      <c r="X1294" s="284"/>
      <c r="AA1294"/>
      <c r="AB1294"/>
      <c r="AC1294"/>
      <c r="AE1294"/>
      <c r="AF1294"/>
      <c r="AJ1294"/>
    </row>
    <row r="1295" spans="24:36" x14ac:dyDescent="0.2">
      <c r="X1295" s="284"/>
      <c r="AA1295"/>
      <c r="AB1295"/>
      <c r="AC1295"/>
      <c r="AE1295"/>
      <c r="AF1295"/>
      <c r="AJ1295"/>
    </row>
    <row r="1296" spans="24:36" x14ac:dyDescent="0.2">
      <c r="X1296" s="284"/>
      <c r="AA1296"/>
      <c r="AB1296"/>
      <c r="AC1296"/>
      <c r="AE1296"/>
      <c r="AF1296"/>
      <c r="AJ1296"/>
    </row>
    <row r="1297" spans="24:36" x14ac:dyDescent="0.2">
      <c r="X1297" s="284"/>
      <c r="AA1297"/>
      <c r="AB1297"/>
      <c r="AC1297"/>
      <c r="AE1297"/>
      <c r="AF1297"/>
      <c r="AJ1297"/>
    </row>
    <row r="1298" spans="24:36" x14ac:dyDescent="0.2">
      <c r="X1298" s="284"/>
      <c r="AA1298"/>
      <c r="AB1298"/>
      <c r="AC1298"/>
      <c r="AE1298"/>
      <c r="AF1298"/>
      <c r="AJ1298"/>
    </row>
    <row r="1299" spans="24:36" x14ac:dyDescent="0.2">
      <c r="X1299" s="284"/>
      <c r="AA1299"/>
      <c r="AB1299"/>
      <c r="AC1299"/>
      <c r="AE1299"/>
      <c r="AF1299"/>
      <c r="AJ1299"/>
    </row>
    <row r="1300" spans="24:36" x14ac:dyDescent="0.2">
      <c r="X1300" s="284"/>
      <c r="AA1300"/>
      <c r="AB1300"/>
      <c r="AC1300"/>
      <c r="AE1300"/>
      <c r="AF1300"/>
      <c r="AJ1300"/>
    </row>
    <row r="1301" spans="24:36" x14ac:dyDescent="0.2">
      <c r="X1301" s="284"/>
      <c r="AA1301"/>
      <c r="AB1301"/>
      <c r="AC1301"/>
      <c r="AE1301"/>
      <c r="AF1301"/>
      <c r="AJ1301"/>
    </row>
    <row r="1302" spans="24:36" x14ac:dyDescent="0.2">
      <c r="X1302" s="284"/>
      <c r="AA1302"/>
      <c r="AB1302"/>
      <c r="AC1302"/>
      <c r="AE1302"/>
      <c r="AF1302"/>
      <c r="AJ1302"/>
    </row>
    <row r="1303" spans="24:36" x14ac:dyDescent="0.2">
      <c r="X1303" s="284"/>
      <c r="AA1303"/>
      <c r="AB1303"/>
      <c r="AC1303"/>
      <c r="AE1303"/>
      <c r="AF1303"/>
      <c r="AJ1303"/>
    </row>
    <row r="1304" spans="24:36" x14ac:dyDescent="0.2">
      <c r="X1304" s="284"/>
      <c r="AA1304"/>
      <c r="AB1304"/>
      <c r="AC1304"/>
      <c r="AE1304"/>
      <c r="AF1304"/>
      <c r="AJ1304"/>
    </row>
    <row r="1305" spans="24:36" x14ac:dyDescent="0.2">
      <c r="X1305" s="284"/>
      <c r="AA1305"/>
      <c r="AB1305"/>
      <c r="AC1305"/>
      <c r="AE1305"/>
      <c r="AF1305"/>
      <c r="AJ1305"/>
    </row>
    <row r="1306" spans="24:36" x14ac:dyDescent="0.2">
      <c r="X1306" s="284"/>
      <c r="AA1306"/>
      <c r="AB1306"/>
      <c r="AC1306"/>
      <c r="AE1306"/>
      <c r="AF1306"/>
      <c r="AJ1306"/>
    </row>
    <row r="1307" spans="24:36" x14ac:dyDescent="0.2">
      <c r="X1307" s="284"/>
      <c r="AA1307"/>
      <c r="AB1307"/>
      <c r="AC1307"/>
      <c r="AE1307"/>
      <c r="AF1307"/>
      <c r="AJ1307"/>
    </row>
    <row r="1308" spans="24:36" x14ac:dyDescent="0.2">
      <c r="X1308" s="284"/>
      <c r="AA1308"/>
      <c r="AB1308"/>
      <c r="AC1308"/>
      <c r="AE1308"/>
      <c r="AF1308"/>
      <c r="AJ1308"/>
    </row>
    <row r="1309" spans="24:36" x14ac:dyDescent="0.2">
      <c r="X1309" s="284"/>
      <c r="AA1309"/>
      <c r="AB1309"/>
      <c r="AC1309"/>
      <c r="AE1309"/>
      <c r="AF1309"/>
      <c r="AJ1309"/>
    </row>
    <row r="1310" spans="24:36" x14ac:dyDescent="0.2">
      <c r="X1310" s="284"/>
      <c r="AA1310"/>
      <c r="AB1310"/>
      <c r="AC1310"/>
      <c r="AE1310"/>
      <c r="AF1310"/>
      <c r="AJ1310"/>
    </row>
    <row r="1311" spans="24:36" x14ac:dyDescent="0.2">
      <c r="X1311" s="284"/>
      <c r="AA1311"/>
      <c r="AB1311"/>
      <c r="AC1311"/>
      <c r="AE1311"/>
      <c r="AF1311"/>
      <c r="AJ1311"/>
    </row>
    <row r="1312" spans="24:36" x14ac:dyDescent="0.2">
      <c r="X1312" s="284"/>
      <c r="AA1312"/>
      <c r="AB1312"/>
      <c r="AC1312"/>
      <c r="AE1312"/>
      <c r="AF1312"/>
      <c r="AJ1312"/>
    </row>
    <row r="1313" spans="24:36" x14ac:dyDescent="0.2">
      <c r="X1313" s="284"/>
      <c r="AA1313"/>
      <c r="AB1313"/>
      <c r="AC1313"/>
      <c r="AE1313"/>
      <c r="AF1313"/>
      <c r="AJ1313"/>
    </row>
    <row r="1314" spans="24:36" x14ac:dyDescent="0.2">
      <c r="X1314" s="284"/>
      <c r="AA1314"/>
      <c r="AB1314"/>
      <c r="AC1314"/>
      <c r="AE1314"/>
      <c r="AF1314"/>
      <c r="AJ1314"/>
    </row>
    <row r="1315" spans="24:36" x14ac:dyDescent="0.2">
      <c r="X1315" s="284"/>
      <c r="AA1315"/>
      <c r="AB1315"/>
      <c r="AC1315"/>
      <c r="AE1315"/>
      <c r="AF1315"/>
      <c r="AJ1315"/>
    </row>
    <row r="1316" spans="24:36" x14ac:dyDescent="0.2">
      <c r="X1316" s="284"/>
      <c r="AA1316"/>
      <c r="AB1316"/>
      <c r="AC1316"/>
      <c r="AE1316"/>
      <c r="AF1316"/>
      <c r="AJ1316"/>
    </row>
    <row r="1317" spans="24:36" x14ac:dyDescent="0.2">
      <c r="X1317" s="284"/>
      <c r="AA1317"/>
      <c r="AB1317"/>
      <c r="AC1317"/>
      <c r="AE1317"/>
      <c r="AF1317"/>
      <c r="AJ1317"/>
    </row>
    <row r="1318" spans="24:36" x14ac:dyDescent="0.2">
      <c r="X1318" s="284"/>
      <c r="AA1318"/>
      <c r="AB1318"/>
      <c r="AC1318"/>
      <c r="AE1318"/>
      <c r="AF1318"/>
      <c r="AJ1318"/>
    </row>
    <row r="1319" spans="24:36" x14ac:dyDescent="0.2">
      <c r="X1319" s="284"/>
      <c r="AA1319"/>
      <c r="AB1319"/>
      <c r="AC1319"/>
      <c r="AE1319"/>
      <c r="AF1319"/>
      <c r="AJ1319"/>
    </row>
    <row r="1320" spans="24:36" x14ac:dyDescent="0.2">
      <c r="X1320" s="284"/>
      <c r="AA1320"/>
      <c r="AB1320"/>
      <c r="AC1320"/>
      <c r="AE1320"/>
      <c r="AF1320"/>
      <c r="AJ1320"/>
    </row>
    <row r="1321" spans="24:36" x14ac:dyDescent="0.2">
      <c r="X1321" s="284"/>
      <c r="AA1321"/>
      <c r="AB1321"/>
      <c r="AC1321"/>
      <c r="AE1321"/>
      <c r="AF1321"/>
      <c r="AJ1321"/>
    </row>
    <row r="1322" spans="24:36" x14ac:dyDescent="0.2">
      <c r="X1322" s="284"/>
      <c r="AA1322"/>
      <c r="AB1322"/>
      <c r="AC1322"/>
      <c r="AE1322"/>
      <c r="AF1322"/>
      <c r="AJ1322"/>
    </row>
    <row r="1323" spans="24:36" x14ac:dyDescent="0.2">
      <c r="X1323" s="284"/>
      <c r="AA1323"/>
      <c r="AB1323"/>
      <c r="AC1323"/>
      <c r="AE1323"/>
      <c r="AF1323"/>
      <c r="AJ1323"/>
    </row>
    <row r="1324" spans="24:36" x14ac:dyDescent="0.2">
      <c r="X1324" s="284"/>
      <c r="AA1324"/>
      <c r="AB1324"/>
      <c r="AC1324"/>
      <c r="AE1324"/>
      <c r="AF1324"/>
      <c r="AJ1324"/>
    </row>
    <row r="1325" spans="24:36" x14ac:dyDescent="0.2">
      <c r="X1325" s="284"/>
      <c r="AA1325"/>
      <c r="AB1325"/>
      <c r="AC1325"/>
      <c r="AE1325"/>
      <c r="AF1325"/>
      <c r="AJ1325"/>
    </row>
    <row r="1326" spans="24:36" x14ac:dyDescent="0.2">
      <c r="X1326" s="284"/>
      <c r="AA1326"/>
      <c r="AB1326"/>
      <c r="AC1326"/>
      <c r="AE1326"/>
      <c r="AF1326"/>
      <c r="AJ1326"/>
    </row>
    <row r="1327" spans="24:36" x14ac:dyDescent="0.2">
      <c r="X1327" s="284"/>
      <c r="AA1327"/>
      <c r="AB1327"/>
      <c r="AC1327"/>
      <c r="AE1327"/>
      <c r="AF1327"/>
      <c r="AJ1327"/>
    </row>
    <row r="1328" spans="24:36" x14ac:dyDescent="0.2">
      <c r="X1328" s="284"/>
      <c r="AA1328"/>
      <c r="AB1328"/>
      <c r="AC1328"/>
      <c r="AE1328"/>
      <c r="AF1328"/>
      <c r="AJ1328"/>
    </row>
    <row r="1329" spans="24:36" x14ac:dyDescent="0.2">
      <c r="X1329" s="284"/>
      <c r="AA1329"/>
      <c r="AB1329"/>
      <c r="AC1329"/>
      <c r="AE1329"/>
      <c r="AF1329"/>
      <c r="AJ1329"/>
    </row>
    <row r="1330" spans="24:36" x14ac:dyDescent="0.2">
      <c r="X1330" s="284"/>
      <c r="AA1330"/>
      <c r="AB1330"/>
      <c r="AC1330"/>
      <c r="AE1330"/>
      <c r="AF1330"/>
      <c r="AJ1330"/>
    </row>
    <row r="1331" spans="24:36" x14ac:dyDescent="0.2">
      <c r="X1331" s="284"/>
      <c r="AA1331"/>
      <c r="AB1331"/>
      <c r="AC1331"/>
      <c r="AE1331"/>
      <c r="AF1331"/>
      <c r="AJ1331"/>
    </row>
    <row r="1332" spans="24:36" x14ac:dyDescent="0.2">
      <c r="X1332" s="284"/>
      <c r="AA1332"/>
      <c r="AB1332"/>
      <c r="AC1332"/>
      <c r="AE1332"/>
      <c r="AF1332"/>
      <c r="AJ1332"/>
    </row>
    <row r="1333" spans="24:36" x14ac:dyDescent="0.2">
      <c r="X1333" s="284"/>
      <c r="AA1333"/>
      <c r="AB1333"/>
      <c r="AC1333"/>
      <c r="AE1333"/>
      <c r="AF1333"/>
      <c r="AJ1333"/>
    </row>
    <row r="1334" spans="24:36" x14ac:dyDescent="0.2">
      <c r="X1334" s="284"/>
      <c r="AA1334"/>
      <c r="AB1334"/>
      <c r="AC1334"/>
      <c r="AE1334"/>
      <c r="AF1334"/>
      <c r="AJ1334"/>
    </row>
    <row r="1335" spans="24:36" x14ac:dyDescent="0.2">
      <c r="X1335" s="284"/>
      <c r="AA1335"/>
      <c r="AB1335"/>
      <c r="AC1335"/>
      <c r="AE1335"/>
      <c r="AF1335"/>
      <c r="AJ1335"/>
    </row>
    <row r="1336" spans="24:36" x14ac:dyDescent="0.2">
      <c r="X1336" s="284"/>
      <c r="AA1336"/>
      <c r="AB1336"/>
      <c r="AC1336"/>
      <c r="AE1336"/>
      <c r="AF1336"/>
      <c r="AJ1336"/>
    </row>
    <row r="1337" spans="24:36" x14ac:dyDescent="0.2">
      <c r="X1337" s="284"/>
      <c r="AA1337"/>
      <c r="AB1337"/>
      <c r="AC1337"/>
      <c r="AE1337"/>
      <c r="AF1337"/>
      <c r="AJ1337"/>
    </row>
    <row r="1338" spans="24:36" x14ac:dyDescent="0.2">
      <c r="X1338" s="284"/>
      <c r="AA1338"/>
      <c r="AB1338"/>
      <c r="AC1338"/>
      <c r="AE1338"/>
      <c r="AF1338"/>
      <c r="AJ1338"/>
    </row>
    <row r="1339" spans="24:36" x14ac:dyDescent="0.2">
      <c r="X1339" s="284"/>
      <c r="AA1339"/>
      <c r="AB1339"/>
      <c r="AC1339"/>
      <c r="AE1339"/>
      <c r="AF1339"/>
      <c r="AJ1339"/>
    </row>
    <row r="1340" spans="24:36" x14ac:dyDescent="0.2">
      <c r="X1340" s="284"/>
      <c r="AA1340"/>
      <c r="AB1340"/>
      <c r="AC1340"/>
      <c r="AE1340"/>
      <c r="AF1340"/>
      <c r="AJ1340"/>
    </row>
    <row r="1341" spans="24:36" x14ac:dyDescent="0.2">
      <c r="X1341" s="284"/>
      <c r="AA1341"/>
      <c r="AB1341"/>
      <c r="AC1341"/>
      <c r="AE1341"/>
      <c r="AF1341"/>
      <c r="AJ1341"/>
    </row>
    <row r="1342" spans="24:36" x14ac:dyDescent="0.2">
      <c r="X1342" s="284"/>
      <c r="AA1342"/>
      <c r="AB1342"/>
      <c r="AC1342"/>
      <c r="AE1342"/>
      <c r="AF1342"/>
      <c r="AJ1342"/>
    </row>
    <row r="1343" spans="24:36" x14ac:dyDescent="0.2">
      <c r="X1343" s="284"/>
      <c r="AA1343"/>
      <c r="AB1343"/>
      <c r="AC1343"/>
      <c r="AE1343"/>
      <c r="AF1343"/>
      <c r="AJ1343"/>
    </row>
    <row r="1344" spans="24:36" x14ac:dyDescent="0.2">
      <c r="X1344" s="284"/>
      <c r="AA1344"/>
      <c r="AB1344"/>
      <c r="AC1344"/>
      <c r="AE1344"/>
      <c r="AF1344"/>
      <c r="AJ1344"/>
    </row>
    <row r="1345" spans="24:36" x14ac:dyDescent="0.2">
      <c r="X1345" s="284"/>
      <c r="AA1345"/>
      <c r="AB1345"/>
      <c r="AC1345"/>
      <c r="AE1345"/>
      <c r="AF1345"/>
      <c r="AJ1345"/>
    </row>
    <row r="1346" spans="24:36" x14ac:dyDescent="0.2">
      <c r="X1346" s="284"/>
      <c r="AA1346"/>
      <c r="AB1346"/>
      <c r="AC1346"/>
      <c r="AE1346"/>
      <c r="AF1346"/>
      <c r="AJ1346"/>
    </row>
    <row r="1347" spans="24:36" x14ac:dyDescent="0.2">
      <c r="X1347" s="284"/>
      <c r="AA1347"/>
      <c r="AB1347"/>
      <c r="AC1347"/>
      <c r="AE1347"/>
      <c r="AF1347"/>
      <c r="AJ1347"/>
    </row>
    <row r="1348" spans="24:36" x14ac:dyDescent="0.2">
      <c r="X1348" s="284"/>
      <c r="AA1348"/>
      <c r="AB1348"/>
      <c r="AC1348"/>
      <c r="AE1348"/>
      <c r="AF1348"/>
      <c r="AJ1348"/>
    </row>
    <row r="1349" spans="24:36" x14ac:dyDescent="0.2">
      <c r="X1349" s="284"/>
      <c r="AA1349"/>
      <c r="AB1349"/>
      <c r="AC1349"/>
      <c r="AE1349"/>
      <c r="AF1349"/>
      <c r="AJ1349"/>
    </row>
    <row r="1350" spans="24:36" x14ac:dyDescent="0.2">
      <c r="X1350" s="284"/>
      <c r="AA1350"/>
      <c r="AB1350"/>
      <c r="AC1350"/>
      <c r="AE1350"/>
      <c r="AF1350"/>
      <c r="AJ1350"/>
    </row>
    <row r="1351" spans="24:36" x14ac:dyDescent="0.2">
      <c r="X1351" s="284"/>
      <c r="AA1351"/>
      <c r="AB1351"/>
      <c r="AC1351"/>
      <c r="AE1351"/>
      <c r="AF1351"/>
      <c r="AJ1351"/>
    </row>
    <row r="1352" spans="24:36" x14ac:dyDescent="0.2">
      <c r="X1352" s="284"/>
      <c r="AA1352"/>
      <c r="AB1352"/>
      <c r="AC1352"/>
      <c r="AE1352"/>
      <c r="AF1352"/>
      <c r="AJ1352"/>
    </row>
    <row r="1353" spans="24:36" x14ac:dyDescent="0.2">
      <c r="X1353" s="284"/>
      <c r="AA1353"/>
      <c r="AB1353"/>
      <c r="AC1353"/>
      <c r="AE1353"/>
      <c r="AF1353"/>
      <c r="AJ1353"/>
    </row>
    <row r="1354" spans="24:36" x14ac:dyDescent="0.2">
      <c r="X1354" s="284"/>
      <c r="AA1354"/>
      <c r="AB1354"/>
      <c r="AC1354"/>
      <c r="AE1354"/>
      <c r="AF1354"/>
      <c r="AJ1354"/>
    </row>
    <row r="1355" spans="24:36" x14ac:dyDescent="0.2">
      <c r="X1355" s="284"/>
      <c r="AA1355"/>
      <c r="AB1355"/>
      <c r="AC1355"/>
      <c r="AE1355"/>
      <c r="AF1355"/>
      <c r="AJ1355"/>
    </row>
    <row r="1356" spans="24:36" x14ac:dyDescent="0.2">
      <c r="X1356" s="284"/>
      <c r="AA1356"/>
      <c r="AB1356"/>
      <c r="AC1356"/>
      <c r="AE1356"/>
      <c r="AF1356"/>
      <c r="AJ1356"/>
    </row>
    <row r="1357" spans="24:36" x14ac:dyDescent="0.2">
      <c r="X1357" s="284"/>
      <c r="AA1357"/>
      <c r="AB1357"/>
      <c r="AC1357"/>
      <c r="AE1357"/>
      <c r="AF1357"/>
      <c r="AJ1357"/>
    </row>
    <row r="1358" spans="24:36" x14ac:dyDescent="0.2">
      <c r="X1358" s="284"/>
      <c r="AA1358"/>
      <c r="AB1358"/>
      <c r="AC1358"/>
      <c r="AE1358"/>
      <c r="AF1358"/>
      <c r="AJ1358"/>
    </row>
    <row r="1359" spans="24:36" x14ac:dyDescent="0.2">
      <c r="X1359" s="284"/>
      <c r="AA1359"/>
      <c r="AB1359"/>
      <c r="AC1359"/>
      <c r="AE1359"/>
      <c r="AF1359"/>
      <c r="AJ1359"/>
    </row>
    <row r="1360" spans="24:36" x14ac:dyDescent="0.2">
      <c r="X1360" s="284"/>
      <c r="AA1360"/>
      <c r="AB1360"/>
      <c r="AC1360"/>
      <c r="AE1360"/>
      <c r="AF1360"/>
      <c r="AJ1360"/>
    </row>
    <row r="1361" spans="24:36" x14ac:dyDescent="0.2">
      <c r="X1361" s="284"/>
      <c r="AA1361"/>
      <c r="AB1361"/>
      <c r="AC1361"/>
      <c r="AE1361"/>
      <c r="AF1361"/>
      <c r="AJ1361"/>
    </row>
    <row r="1362" spans="24:36" x14ac:dyDescent="0.2">
      <c r="X1362" s="284"/>
      <c r="AA1362"/>
      <c r="AB1362"/>
      <c r="AC1362"/>
      <c r="AE1362"/>
      <c r="AF1362"/>
      <c r="AJ1362"/>
    </row>
    <row r="1363" spans="24:36" x14ac:dyDescent="0.2">
      <c r="X1363" s="284"/>
      <c r="AA1363"/>
      <c r="AB1363"/>
      <c r="AC1363"/>
      <c r="AE1363"/>
      <c r="AF1363"/>
      <c r="AJ1363"/>
    </row>
    <row r="1364" spans="24:36" x14ac:dyDescent="0.2">
      <c r="X1364" s="284"/>
      <c r="AA1364"/>
      <c r="AB1364"/>
      <c r="AC1364"/>
      <c r="AE1364"/>
      <c r="AF1364"/>
      <c r="AJ1364"/>
    </row>
    <row r="1365" spans="24:36" x14ac:dyDescent="0.2">
      <c r="X1365" s="284"/>
      <c r="AA1365"/>
      <c r="AB1365"/>
      <c r="AC1365"/>
      <c r="AE1365"/>
      <c r="AF1365"/>
      <c r="AJ1365"/>
    </row>
    <row r="1366" spans="24:36" x14ac:dyDescent="0.2">
      <c r="X1366" s="284"/>
      <c r="AA1366"/>
      <c r="AB1366"/>
      <c r="AC1366"/>
      <c r="AE1366"/>
      <c r="AF1366"/>
      <c r="AJ1366"/>
    </row>
    <row r="1367" spans="24:36" x14ac:dyDescent="0.2">
      <c r="X1367" s="284"/>
      <c r="AA1367"/>
      <c r="AB1367"/>
      <c r="AC1367"/>
      <c r="AE1367"/>
      <c r="AF1367"/>
      <c r="AJ1367"/>
    </row>
    <row r="1368" spans="24:36" x14ac:dyDescent="0.2">
      <c r="X1368" s="284"/>
      <c r="AA1368"/>
      <c r="AB1368"/>
      <c r="AC1368"/>
      <c r="AE1368"/>
      <c r="AF1368"/>
      <c r="AJ1368"/>
    </row>
    <row r="1369" spans="24:36" x14ac:dyDescent="0.2">
      <c r="X1369" s="284"/>
      <c r="AA1369"/>
      <c r="AB1369"/>
      <c r="AC1369"/>
      <c r="AE1369"/>
      <c r="AF1369"/>
      <c r="AJ1369"/>
    </row>
    <row r="1370" spans="24:36" x14ac:dyDescent="0.2">
      <c r="X1370" s="284"/>
      <c r="AA1370"/>
      <c r="AB1370"/>
      <c r="AC1370"/>
      <c r="AE1370"/>
      <c r="AF1370"/>
      <c r="AJ1370"/>
    </row>
    <row r="1371" spans="24:36" x14ac:dyDescent="0.2">
      <c r="X1371" s="284"/>
      <c r="AA1371"/>
      <c r="AB1371"/>
      <c r="AC1371"/>
      <c r="AE1371"/>
      <c r="AF1371"/>
      <c r="AJ1371"/>
    </row>
    <row r="1372" spans="24:36" x14ac:dyDescent="0.2">
      <c r="X1372" s="284"/>
      <c r="AA1372"/>
      <c r="AB1372"/>
      <c r="AC1372"/>
      <c r="AE1372"/>
      <c r="AF1372"/>
      <c r="AJ1372"/>
    </row>
    <row r="1373" spans="24:36" x14ac:dyDescent="0.2">
      <c r="X1373" s="284"/>
      <c r="AA1373"/>
      <c r="AB1373"/>
      <c r="AC1373"/>
      <c r="AE1373"/>
      <c r="AF1373"/>
      <c r="AJ1373"/>
    </row>
    <row r="1374" spans="24:36" x14ac:dyDescent="0.2">
      <c r="X1374" s="284"/>
      <c r="AA1374"/>
      <c r="AB1374"/>
      <c r="AC1374"/>
      <c r="AE1374"/>
      <c r="AF1374"/>
      <c r="AJ1374"/>
    </row>
    <row r="1375" spans="24:36" x14ac:dyDescent="0.2">
      <c r="X1375" s="284"/>
      <c r="AA1375"/>
      <c r="AB1375"/>
      <c r="AC1375"/>
      <c r="AE1375"/>
      <c r="AF1375"/>
      <c r="AJ1375"/>
    </row>
    <row r="1376" spans="24:36" x14ac:dyDescent="0.2">
      <c r="X1376" s="284"/>
      <c r="AA1376"/>
      <c r="AB1376"/>
      <c r="AC1376"/>
      <c r="AE1376"/>
      <c r="AF1376"/>
      <c r="AJ1376"/>
    </row>
    <row r="1377" spans="24:36" x14ac:dyDescent="0.2">
      <c r="X1377" s="284"/>
      <c r="AA1377"/>
      <c r="AB1377"/>
      <c r="AC1377"/>
      <c r="AE1377"/>
      <c r="AF1377"/>
      <c r="AJ1377"/>
    </row>
    <row r="1378" spans="24:36" x14ac:dyDescent="0.2">
      <c r="X1378" s="284"/>
      <c r="AA1378"/>
      <c r="AB1378"/>
      <c r="AC1378"/>
      <c r="AE1378"/>
      <c r="AF1378"/>
      <c r="AJ1378"/>
    </row>
    <row r="1379" spans="24:36" x14ac:dyDescent="0.2">
      <c r="X1379" s="284"/>
      <c r="AA1379"/>
      <c r="AB1379"/>
      <c r="AC1379"/>
      <c r="AE1379"/>
      <c r="AF1379"/>
      <c r="AJ1379"/>
    </row>
    <row r="1380" spans="24:36" x14ac:dyDescent="0.2">
      <c r="X1380" s="284"/>
      <c r="AA1380"/>
      <c r="AB1380"/>
      <c r="AC1380"/>
      <c r="AE1380"/>
      <c r="AF1380"/>
      <c r="AJ1380"/>
    </row>
    <row r="1381" spans="24:36" x14ac:dyDescent="0.2">
      <c r="X1381" s="284"/>
      <c r="AA1381"/>
      <c r="AB1381"/>
      <c r="AC1381"/>
      <c r="AE1381"/>
      <c r="AF1381"/>
      <c r="AJ1381"/>
    </row>
    <row r="1382" spans="24:36" x14ac:dyDescent="0.2">
      <c r="X1382" s="284"/>
      <c r="AA1382"/>
      <c r="AB1382"/>
      <c r="AC1382"/>
      <c r="AE1382"/>
      <c r="AF1382"/>
      <c r="AJ1382"/>
    </row>
    <row r="1383" spans="24:36" x14ac:dyDescent="0.2">
      <c r="X1383" s="284"/>
      <c r="AA1383"/>
      <c r="AB1383"/>
      <c r="AC1383"/>
      <c r="AE1383"/>
      <c r="AF1383"/>
      <c r="AJ1383"/>
    </row>
    <row r="1384" spans="24:36" x14ac:dyDescent="0.2">
      <c r="X1384" s="284"/>
      <c r="AA1384"/>
      <c r="AB1384"/>
      <c r="AC1384"/>
      <c r="AE1384"/>
      <c r="AF1384"/>
      <c r="AJ1384"/>
    </row>
    <row r="1385" spans="24:36" x14ac:dyDescent="0.2">
      <c r="X1385" s="284"/>
      <c r="AA1385"/>
      <c r="AB1385"/>
      <c r="AC1385"/>
      <c r="AE1385"/>
      <c r="AF1385"/>
      <c r="AJ1385"/>
    </row>
    <row r="1386" spans="24:36" x14ac:dyDescent="0.2">
      <c r="X1386" s="284"/>
      <c r="AA1386"/>
      <c r="AB1386"/>
      <c r="AC1386"/>
      <c r="AE1386"/>
      <c r="AF1386"/>
      <c r="AJ1386"/>
    </row>
    <row r="1387" spans="24:36" x14ac:dyDescent="0.2">
      <c r="X1387" s="284"/>
      <c r="AA1387"/>
      <c r="AB1387"/>
      <c r="AC1387"/>
      <c r="AE1387"/>
      <c r="AF1387"/>
      <c r="AJ1387"/>
    </row>
    <row r="1388" spans="24:36" x14ac:dyDescent="0.2">
      <c r="X1388" s="284"/>
      <c r="AA1388"/>
      <c r="AB1388"/>
      <c r="AC1388"/>
      <c r="AE1388"/>
      <c r="AF1388"/>
      <c r="AJ1388"/>
    </row>
    <row r="1389" spans="24:36" x14ac:dyDescent="0.2">
      <c r="X1389" s="284"/>
      <c r="AA1389"/>
      <c r="AB1389"/>
      <c r="AC1389"/>
      <c r="AE1389"/>
      <c r="AF1389"/>
      <c r="AJ1389"/>
    </row>
    <row r="1390" spans="24:36" x14ac:dyDescent="0.2">
      <c r="X1390" s="284"/>
      <c r="AA1390"/>
      <c r="AB1390"/>
      <c r="AC1390"/>
      <c r="AE1390"/>
      <c r="AF1390"/>
      <c r="AJ1390"/>
    </row>
    <row r="1391" spans="24:36" x14ac:dyDescent="0.2">
      <c r="X1391" s="284"/>
      <c r="AA1391"/>
      <c r="AB1391"/>
      <c r="AC1391"/>
      <c r="AE1391"/>
      <c r="AF1391"/>
      <c r="AJ1391"/>
    </row>
    <row r="1392" spans="24:36" x14ac:dyDescent="0.2">
      <c r="X1392" s="284"/>
      <c r="AA1392"/>
      <c r="AB1392"/>
      <c r="AC1392"/>
      <c r="AE1392"/>
      <c r="AF1392"/>
      <c r="AJ1392"/>
    </row>
    <row r="1393" spans="24:36" x14ac:dyDescent="0.2">
      <c r="X1393" s="284"/>
      <c r="AA1393"/>
      <c r="AB1393"/>
      <c r="AC1393"/>
      <c r="AE1393"/>
      <c r="AF1393"/>
      <c r="AJ1393"/>
    </row>
    <row r="1394" spans="24:36" x14ac:dyDescent="0.2">
      <c r="X1394" s="284"/>
      <c r="AA1394"/>
      <c r="AB1394"/>
      <c r="AC1394"/>
      <c r="AE1394"/>
      <c r="AF1394"/>
      <c r="AJ1394"/>
    </row>
    <row r="1395" spans="24:36" x14ac:dyDescent="0.2">
      <c r="X1395" s="284"/>
      <c r="AA1395"/>
      <c r="AB1395"/>
      <c r="AC1395"/>
      <c r="AE1395"/>
      <c r="AF1395"/>
      <c r="AJ1395"/>
    </row>
    <row r="1396" spans="24:36" x14ac:dyDescent="0.2">
      <c r="X1396" s="284"/>
      <c r="AA1396"/>
      <c r="AB1396"/>
      <c r="AC1396"/>
      <c r="AE1396"/>
      <c r="AF1396"/>
      <c r="AJ1396"/>
    </row>
    <row r="1397" spans="24:36" x14ac:dyDescent="0.2">
      <c r="X1397" s="284"/>
      <c r="AA1397"/>
      <c r="AB1397"/>
      <c r="AC1397"/>
      <c r="AE1397"/>
      <c r="AF1397"/>
      <c r="AJ1397"/>
    </row>
    <row r="1398" spans="24:36" x14ac:dyDescent="0.2">
      <c r="X1398" s="284"/>
      <c r="AA1398"/>
      <c r="AB1398"/>
      <c r="AC1398"/>
      <c r="AE1398"/>
      <c r="AF1398"/>
      <c r="AJ1398"/>
    </row>
    <row r="1399" spans="24:36" x14ac:dyDescent="0.2">
      <c r="X1399" s="284"/>
      <c r="AA1399"/>
      <c r="AB1399"/>
      <c r="AC1399"/>
      <c r="AE1399"/>
      <c r="AF1399"/>
      <c r="AJ1399"/>
    </row>
    <row r="1400" spans="24:36" x14ac:dyDescent="0.2">
      <c r="X1400" s="284"/>
      <c r="AA1400"/>
      <c r="AB1400"/>
      <c r="AC1400"/>
      <c r="AE1400"/>
      <c r="AF1400"/>
      <c r="AJ1400"/>
    </row>
    <row r="1401" spans="24:36" x14ac:dyDescent="0.2">
      <c r="X1401" s="284"/>
      <c r="AA1401"/>
      <c r="AB1401"/>
      <c r="AC1401"/>
      <c r="AE1401"/>
      <c r="AF1401"/>
      <c r="AJ1401"/>
    </row>
    <row r="1402" spans="24:36" x14ac:dyDescent="0.2">
      <c r="X1402" s="284"/>
      <c r="AA1402"/>
      <c r="AB1402"/>
      <c r="AC1402"/>
      <c r="AE1402"/>
      <c r="AF1402"/>
      <c r="AJ1402"/>
    </row>
    <row r="1403" spans="24:36" x14ac:dyDescent="0.2">
      <c r="X1403" s="284"/>
      <c r="AA1403"/>
      <c r="AB1403"/>
      <c r="AC1403"/>
      <c r="AE1403"/>
      <c r="AF1403"/>
      <c r="AJ1403"/>
    </row>
    <row r="1404" spans="24:36" x14ac:dyDescent="0.2">
      <c r="X1404" s="284"/>
      <c r="AA1404"/>
      <c r="AB1404"/>
      <c r="AC1404"/>
      <c r="AE1404"/>
      <c r="AF1404"/>
      <c r="AJ1404"/>
    </row>
    <row r="1405" spans="24:36" x14ac:dyDescent="0.2">
      <c r="X1405" s="284"/>
      <c r="AA1405"/>
      <c r="AB1405"/>
      <c r="AC1405"/>
      <c r="AE1405"/>
      <c r="AF1405"/>
      <c r="AJ1405"/>
    </row>
    <row r="1406" spans="24:36" x14ac:dyDescent="0.2">
      <c r="X1406" s="284"/>
      <c r="AA1406"/>
      <c r="AB1406"/>
      <c r="AC1406"/>
      <c r="AE1406"/>
      <c r="AF1406"/>
      <c r="AJ1406"/>
    </row>
    <row r="1407" spans="24:36" x14ac:dyDescent="0.2">
      <c r="X1407" s="284"/>
      <c r="AA1407"/>
      <c r="AB1407"/>
      <c r="AC1407"/>
      <c r="AE1407"/>
      <c r="AF1407"/>
      <c r="AJ1407"/>
    </row>
    <row r="1408" spans="24:36" x14ac:dyDescent="0.2">
      <c r="X1408" s="284"/>
      <c r="AA1408"/>
      <c r="AB1408"/>
      <c r="AC1408"/>
      <c r="AE1408"/>
      <c r="AF1408"/>
      <c r="AJ1408"/>
    </row>
    <row r="1409" spans="24:36" x14ac:dyDescent="0.2">
      <c r="X1409" s="284"/>
      <c r="AA1409"/>
      <c r="AB1409"/>
      <c r="AC1409"/>
      <c r="AE1409"/>
      <c r="AF1409"/>
      <c r="AJ1409"/>
    </row>
    <row r="1410" spans="24:36" x14ac:dyDescent="0.2">
      <c r="X1410" s="284"/>
      <c r="AA1410"/>
      <c r="AB1410"/>
      <c r="AC1410"/>
      <c r="AE1410"/>
      <c r="AF1410"/>
      <c r="AJ1410"/>
    </row>
    <row r="1411" spans="24:36" x14ac:dyDescent="0.2">
      <c r="X1411" s="284"/>
      <c r="AA1411"/>
      <c r="AB1411"/>
      <c r="AC1411"/>
      <c r="AE1411"/>
      <c r="AF1411"/>
      <c r="AJ1411"/>
    </row>
    <row r="1412" spans="24:36" x14ac:dyDescent="0.2">
      <c r="X1412" s="284"/>
      <c r="AA1412"/>
      <c r="AB1412"/>
      <c r="AC1412"/>
      <c r="AE1412"/>
      <c r="AF1412"/>
      <c r="AJ1412"/>
    </row>
    <row r="1413" spans="24:36" x14ac:dyDescent="0.2">
      <c r="X1413" s="284"/>
      <c r="AA1413"/>
      <c r="AB1413"/>
      <c r="AC1413"/>
      <c r="AE1413"/>
      <c r="AF1413"/>
      <c r="AJ1413"/>
    </row>
    <row r="1414" spans="24:36" x14ac:dyDescent="0.2">
      <c r="X1414" s="284"/>
      <c r="AA1414"/>
      <c r="AB1414"/>
      <c r="AC1414"/>
      <c r="AE1414"/>
      <c r="AF1414"/>
      <c r="AJ1414"/>
    </row>
    <row r="1415" spans="24:36" x14ac:dyDescent="0.2">
      <c r="X1415" s="284"/>
      <c r="AA1415"/>
      <c r="AB1415"/>
      <c r="AC1415"/>
      <c r="AE1415"/>
      <c r="AF1415"/>
      <c r="AJ1415"/>
    </row>
    <row r="1416" spans="24:36" x14ac:dyDescent="0.2">
      <c r="X1416" s="284"/>
      <c r="AA1416"/>
      <c r="AB1416"/>
      <c r="AC1416"/>
      <c r="AE1416"/>
      <c r="AF1416"/>
      <c r="AJ1416"/>
    </row>
    <row r="1417" spans="24:36" x14ac:dyDescent="0.2">
      <c r="X1417" s="284"/>
      <c r="AA1417"/>
      <c r="AB1417"/>
      <c r="AC1417"/>
      <c r="AE1417"/>
      <c r="AF1417"/>
      <c r="AJ1417"/>
    </row>
    <row r="1418" spans="24:36" x14ac:dyDescent="0.2">
      <c r="X1418" s="284"/>
      <c r="AA1418"/>
      <c r="AB1418"/>
      <c r="AC1418"/>
      <c r="AE1418"/>
      <c r="AF1418"/>
      <c r="AJ1418"/>
    </row>
    <row r="1419" spans="24:36" x14ac:dyDescent="0.2">
      <c r="X1419" s="284"/>
      <c r="AA1419"/>
      <c r="AB1419"/>
      <c r="AC1419"/>
      <c r="AE1419"/>
      <c r="AF1419"/>
      <c r="AJ1419"/>
    </row>
    <row r="1420" spans="24:36" x14ac:dyDescent="0.2">
      <c r="X1420" s="284"/>
      <c r="AA1420"/>
      <c r="AB1420"/>
      <c r="AC1420"/>
      <c r="AE1420"/>
      <c r="AF1420"/>
      <c r="AJ1420"/>
    </row>
    <row r="1421" spans="24:36" x14ac:dyDescent="0.2">
      <c r="X1421" s="284"/>
      <c r="AA1421"/>
      <c r="AB1421"/>
      <c r="AC1421"/>
      <c r="AE1421"/>
      <c r="AF1421"/>
      <c r="AJ1421"/>
    </row>
    <row r="1422" spans="24:36" x14ac:dyDescent="0.2">
      <c r="X1422" s="284"/>
      <c r="AA1422"/>
      <c r="AB1422"/>
      <c r="AC1422"/>
      <c r="AE1422"/>
      <c r="AF1422"/>
      <c r="AJ1422"/>
    </row>
    <row r="1423" spans="24:36" x14ac:dyDescent="0.2">
      <c r="X1423" s="284"/>
      <c r="AA1423"/>
      <c r="AB1423"/>
      <c r="AC1423"/>
      <c r="AE1423"/>
      <c r="AF1423"/>
      <c r="AJ1423"/>
    </row>
    <row r="1424" spans="24:36" x14ac:dyDescent="0.2">
      <c r="X1424" s="284"/>
      <c r="AA1424"/>
      <c r="AB1424"/>
      <c r="AC1424"/>
      <c r="AE1424"/>
      <c r="AF1424"/>
      <c r="AJ1424"/>
    </row>
    <row r="1425" spans="24:36" x14ac:dyDescent="0.2">
      <c r="X1425" s="284"/>
      <c r="AA1425"/>
      <c r="AB1425"/>
      <c r="AC1425"/>
      <c r="AE1425"/>
      <c r="AF1425"/>
      <c r="AJ1425"/>
    </row>
    <row r="1426" spans="24:36" x14ac:dyDescent="0.2">
      <c r="X1426" s="284"/>
      <c r="AA1426"/>
      <c r="AB1426"/>
      <c r="AC1426"/>
      <c r="AE1426"/>
      <c r="AF1426"/>
      <c r="AJ1426"/>
    </row>
    <row r="1427" spans="24:36" x14ac:dyDescent="0.2">
      <c r="X1427" s="284"/>
      <c r="AA1427"/>
      <c r="AB1427"/>
      <c r="AC1427"/>
      <c r="AE1427"/>
      <c r="AF1427"/>
      <c r="AJ1427"/>
    </row>
    <row r="1428" spans="24:36" x14ac:dyDescent="0.2">
      <c r="X1428" s="284"/>
      <c r="AA1428"/>
      <c r="AB1428"/>
      <c r="AC1428"/>
      <c r="AE1428"/>
      <c r="AF1428"/>
      <c r="AJ1428"/>
    </row>
    <row r="1429" spans="24:36" x14ac:dyDescent="0.2">
      <c r="X1429" s="284"/>
      <c r="AA1429"/>
      <c r="AB1429"/>
      <c r="AC1429"/>
      <c r="AE1429"/>
      <c r="AF1429"/>
      <c r="AJ1429"/>
    </row>
    <row r="1430" spans="24:36" x14ac:dyDescent="0.2">
      <c r="X1430" s="284"/>
      <c r="AA1430"/>
      <c r="AB1430"/>
      <c r="AC1430"/>
      <c r="AE1430"/>
      <c r="AF1430"/>
      <c r="AJ1430"/>
    </row>
    <row r="1431" spans="24:36" x14ac:dyDescent="0.2">
      <c r="X1431" s="284"/>
      <c r="AA1431"/>
      <c r="AB1431"/>
      <c r="AC1431"/>
      <c r="AE1431"/>
      <c r="AF1431"/>
      <c r="AJ1431"/>
    </row>
    <row r="1432" spans="24:36" x14ac:dyDescent="0.2">
      <c r="X1432" s="284"/>
      <c r="AA1432"/>
      <c r="AB1432"/>
      <c r="AC1432"/>
      <c r="AE1432"/>
      <c r="AF1432"/>
      <c r="AJ1432"/>
    </row>
    <row r="1433" spans="24:36" x14ac:dyDescent="0.2">
      <c r="X1433" s="284"/>
      <c r="AA1433"/>
      <c r="AB1433"/>
      <c r="AC1433"/>
      <c r="AE1433"/>
      <c r="AF1433"/>
      <c r="AJ1433"/>
    </row>
    <row r="1434" spans="24:36" x14ac:dyDescent="0.2">
      <c r="X1434" s="284"/>
      <c r="AA1434"/>
      <c r="AB1434"/>
      <c r="AC1434"/>
      <c r="AE1434"/>
      <c r="AF1434"/>
      <c r="AJ1434"/>
    </row>
    <row r="1435" spans="24:36" x14ac:dyDescent="0.2">
      <c r="X1435" s="284"/>
      <c r="AA1435"/>
      <c r="AB1435"/>
      <c r="AC1435"/>
      <c r="AE1435"/>
      <c r="AF1435"/>
      <c r="AJ1435"/>
    </row>
    <row r="1436" spans="24:36" x14ac:dyDescent="0.2">
      <c r="X1436" s="284"/>
      <c r="AA1436"/>
      <c r="AB1436"/>
      <c r="AC1436"/>
      <c r="AE1436"/>
      <c r="AF1436"/>
      <c r="AJ1436"/>
    </row>
    <row r="1437" spans="24:36" x14ac:dyDescent="0.2">
      <c r="X1437" s="284"/>
      <c r="AA1437"/>
      <c r="AB1437"/>
      <c r="AC1437"/>
      <c r="AE1437"/>
      <c r="AF1437"/>
      <c r="AJ1437"/>
    </row>
    <row r="1438" spans="24:36" x14ac:dyDescent="0.2">
      <c r="X1438" s="284"/>
      <c r="AA1438"/>
      <c r="AB1438"/>
      <c r="AC1438"/>
      <c r="AE1438"/>
      <c r="AF1438"/>
      <c r="AJ1438"/>
    </row>
    <row r="1439" spans="24:36" x14ac:dyDescent="0.2">
      <c r="X1439" s="284"/>
      <c r="AA1439"/>
      <c r="AB1439"/>
      <c r="AC1439"/>
      <c r="AE1439"/>
      <c r="AF1439"/>
      <c r="AJ1439"/>
    </row>
    <row r="1440" spans="24:36" x14ac:dyDescent="0.2">
      <c r="X1440" s="284"/>
      <c r="AA1440"/>
      <c r="AB1440"/>
      <c r="AC1440"/>
      <c r="AE1440"/>
      <c r="AF1440"/>
      <c r="AJ1440"/>
    </row>
    <row r="1441" spans="24:36" x14ac:dyDescent="0.2">
      <c r="X1441" s="284"/>
      <c r="AA1441"/>
      <c r="AB1441"/>
      <c r="AC1441"/>
      <c r="AE1441"/>
      <c r="AF1441"/>
      <c r="AJ1441"/>
    </row>
    <row r="1442" spans="24:36" x14ac:dyDescent="0.2">
      <c r="X1442" s="284"/>
      <c r="AA1442"/>
      <c r="AB1442"/>
      <c r="AC1442"/>
      <c r="AE1442"/>
      <c r="AF1442"/>
      <c r="AJ1442"/>
    </row>
    <row r="1443" spans="24:36" x14ac:dyDescent="0.2">
      <c r="X1443" s="284"/>
      <c r="AA1443"/>
      <c r="AB1443"/>
      <c r="AC1443"/>
      <c r="AE1443"/>
      <c r="AF1443"/>
      <c r="AJ1443"/>
    </row>
    <row r="1444" spans="24:36" x14ac:dyDescent="0.2">
      <c r="X1444" s="284"/>
      <c r="AA1444"/>
      <c r="AB1444"/>
      <c r="AC1444"/>
      <c r="AE1444"/>
      <c r="AF1444"/>
      <c r="AJ1444"/>
    </row>
    <row r="1445" spans="24:36" x14ac:dyDescent="0.2">
      <c r="X1445" s="284"/>
      <c r="AA1445"/>
      <c r="AB1445"/>
      <c r="AC1445"/>
      <c r="AE1445"/>
      <c r="AF1445"/>
      <c r="AJ1445"/>
    </row>
    <row r="1446" spans="24:36" x14ac:dyDescent="0.2">
      <c r="X1446" s="284"/>
      <c r="AA1446"/>
      <c r="AB1446"/>
      <c r="AC1446"/>
      <c r="AE1446"/>
      <c r="AF1446"/>
      <c r="AJ1446"/>
    </row>
    <row r="1447" spans="24:36" x14ac:dyDescent="0.2">
      <c r="X1447" s="284"/>
      <c r="AA1447"/>
      <c r="AB1447"/>
      <c r="AC1447"/>
      <c r="AE1447"/>
      <c r="AF1447"/>
      <c r="AJ1447"/>
    </row>
    <row r="1448" spans="24:36" x14ac:dyDescent="0.2">
      <c r="X1448" s="284"/>
      <c r="AA1448"/>
      <c r="AB1448"/>
      <c r="AC1448"/>
      <c r="AE1448"/>
      <c r="AF1448"/>
      <c r="AJ1448"/>
    </row>
    <row r="1449" spans="24:36" x14ac:dyDescent="0.2">
      <c r="X1449" s="284"/>
      <c r="AA1449"/>
      <c r="AB1449"/>
      <c r="AC1449"/>
      <c r="AE1449"/>
      <c r="AF1449"/>
      <c r="AJ1449"/>
    </row>
    <row r="1450" spans="24:36" x14ac:dyDescent="0.2">
      <c r="X1450" s="284"/>
      <c r="AA1450"/>
      <c r="AB1450"/>
      <c r="AC1450"/>
      <c r="AE1450"/>
      <c r="AF1450"/>
      <c r="AJ1450"/>
    </row>
    <row r="1451" spans="24:36" x14ac:dyDescent="0.2">
      <c r="X1451" s="284"/>
      <c r="AA1451"/>
      <c r="AB1451"/>
      <c r="AC1451"/>
      <c r="AE1451"/>
      <c r="AF1451"/>
      <c r="AJ1451"/>
    </row>
    <row r="1452" spans="24:36" x14ac:dyDescent="0.2">
      <c r="X1452" s="284"/>
      <c r="AA1452"/>
      <c r="AB1452"/>
      <c r="AC1452"/>
      <c r="AE1452"/>
      <c r="AF1452"/>
      <c r="AJ1452"/>
    </row>
    <row r="1453" spans="24:36" x14ac:dyDescent="0.2">
      <c r="X1453" s="284"/>
      <c r="AA1453"/>
      <c r="AB1453"/>
      <c r="AC1453"/>
      <c r="AE1453"/>
      <c r="AF1453"/>
      <c r="AJ1453"/>
    </row>
    <row r="1454" spans="24:36" x14ac:dyDescent="0.2">
      <c r="X1454" s="284"/>
      <c r="AA1454"/>
      <c r="AB1454"/>
      <c r="AC1454"/>
      <c r="AE1454"/>
      <c r="AF1454"/>
      <c r="AJ1454"/>
    </row>
    <row r="1455" spans="24:36" x14ac:dyDescent="0.2">
      <c r="X1455" s="284"/>
      <c r="AA1455"/>
      <c r="AB1455"/>
      <c r="AC1455"/>
      <c r="AE1455"/>
      <c r="AF1455"/>
      <c r="AJ1455"/>
    </row>
    <row r="1456" spans="24:36" x14ac:dyDescent="0.2">
      <c r="X1456" s="284"/>
      <c r="AA1456"/>
      <c r="AB1456"/>
      <c r="AC1456"/>
      <c r="AE1456"/>
      <c r="AF1456"/>
      <c r="AJ1456"/>
    </row>
    <row r="1457" spans="24:36" x14ac:dyDescent="0.2">
      <c r="X1457" s="284"/>
      <c r="AA1457"/>
      <c r="AB1457"/>
      <c r="AC1457"/>
      <c r="AE1457"/>
      <c r="AF1457"/>
      <c r="AJ1457"/>
    </row>
    <row r="1458" spans="24:36" x14ac:dyDescent="0.2">
      <c r="X1458" s="284"/>
      <c r="AA1458"/>
      <c r="AB1458"/>
      <c r="AC1458"/>
      <c r="AE1458"/>
      <c r="AF1458"/>
      <c r="AJ1458"/>
    </row>
    <row r="1459" spans="24:36" x14ac:dyDescent="0.2">
      <c r="X1459" s="284"/>
      <c r="AA1459"/>
      <c r="AB1459"/>
      <c r="AC1459"/>
      <c r="AE1459"/>
      <c r="AF1459"/>
      <c r="AJ1459"/>
    </row>
    <row r="1460" spans="24:36" x14ac:dyDescent="0.2">
      <c r="X1460" s="284"/>
      <c r="AA1460"/>
      <c r="AB1460"/>
      <c r="AC1460"/>
      <c r="AE1460"/>
      <c r="AF1460"/>
      <c r="AJ1460"/>
    </row>
    <row r="1461" spans="24:36" x14ac:dyDescent="0.2">
      <c r="X1461" s="284"/>
      <c r="AA1461"/>
      <c r="AB1461"/>
      <c r="AC1461"/>
      <c r="AE1461"/>
      <c r="AF1461"/>
      <c r="AJ1461"/>
    </row>
    <row r="1462" spans="24:36" x14ac:dyDescent="0.2">
      <c r="X1462" s="284"/>
      <c r="AA1462"/>
      <c r="AB1462"/>
      <c r="AC1462"/>
      <c r="AE1462"/>
      <c r="AF1462"/>
      <c r="AJ1462"/>
    </row>
    <row r="1463" spans="24:36" x14ac:dyDescent="0.2">
      <c r="X1463" s="284"/>
      <c r="AA1463"/>
      <c r="AB1463"/>
      <c r="AC1463"/>
      <c r="AE1463"/>
      <c r="AF1463"/>
      <c r="AJ1463"/>
    </row>
    <row r="1464" spans="24:36" x14ac:dyDescent="0.2">
      <c r="X1464" s="284"/>
      <c r="AA1464"/>
      <c r="AB1464"/>
      <c r="AC1464"/>
      <c r="AE1464"/>
      <c r="AF1464"/>
      <c r="AJ1464"/>
    </row>
    <row r="1465" spans="24:36" x14ac:dyDescent="0.2">
      <c r="X1465" s="284"/>
      <c r="AA1465"/>
      <c r="AB1465"/>
      <c r="AC1465"/>
      <c r="AE1465"/>
      <c r="AF1465"/>
      <c r="AJ1465"/>
    </row>
    <row r="1466" spans="24:36" x14ac:dyDescent="0.2">
      <c r="X1466" s="284"/>
      <c r="AA1466"/>
      <c r="AB1466"/>
      <c r="AC1466"/>
      <c r="AE1466"/>
      <c r="AF1466"/>
      <c r="AJ1466"/>
    </row>
    <row r="1467" spans="24:36" x14ac:dyDescent="0.2">
      <c r="X1467" s="284"/>
      <c r="AA1467"/>
      <c r="AB1467"/>
      <c r="AC1467"/>
      <c r="AE1467"/>
      <c r="AF1467"/>
      <c r="AJ1467"/>
    </row>
    <row r="1468" spans="24:36" x14ac:dyDescent="0.2">
      <c r="X1468" s="284"/>
      <c r="AA1468"/>
      <c r="AB1468"/>
      <c r="AC1468"/>
      <c r="AE1468"/>
      <c r="AF1468"/>
      <c r="AJ1468"/>
    </row>
    <row r="1469" spans="24:36" x14ac:dyDescent="0.2">
      <c r="X1469" s="284"/>
      <c r="AA1469"/>
      <c r="AB1469"/>
      <c r="AC1469"/>
      <c r="AE1469"/>
      <c r="AF1469"/>
      <c r="AJ1469"/>
    </row>
    <row r="1470" spans="24:36" x14ac:dyDescent="0.2">
      <c r="X1470" s="284"/>
      <c r="AA1470"/>
      <c r="AB1470"/>
      <c r="AC1470"/>
      <c r="AE1470"/>
      <c r="AF1470"/>
      <c r="AJ1470"/>
    </row>
    <row r="1471" spans="24:36" x14ac:dyDescent="0.2">
      <c r="X1471" s="284"/>
      <c r="AA1471"/>
      <c r="AB1471"/>
      <c r="AC1471"/>
      <c r="AE1471"/>
      <c r="AF1471"/>
      <c r="AJ1471"/>
    </row>
    <row r="1472" spans="24:36" x14ac:dyDescent="0.2">
      <c r="X1472" s="284"/>
      <c r="AA1472"/>
      <c r="AB1472"/>
      <c r="AC1472"/>
      <c r="AE1472"/>
      <c r="AF1472"/>
      <c r="AJ1472"/>
    </row>
    <row r="1473" spans="24:36" x14ac:dyDescent="0.2">
      <c r="X1473" s="284"/>
      <c r="AA1473"/>
      <c r="AB1473"/>
      <c r="AC1473"/>
      <c r="AE1473"/>
      <c r="AF1473"/>
      <c r="AJ1473"/>
    </row>
    <row r="1474" spans="24:36" x14ac:dyDescent="0.2">
      <c r="X1474" s="284"/>
      <c r="AA1474"/>
      <c r="AB1474"/>
      <c r="AC1474"/>
      <c r="AE1474"/>
      <c r="AF1474"/>
      <c r="AJ1474"/>
    </row>
    <row r="1475" spans="24:36" x14ac:dyDescent="0.2">
      <c r="X1475" s="284"/>
      <c r="AA1475"/>
      <c r="AB1475"/>
      <c r="AC1475"/>
      <c r="AE1475"/>
      <c r="AF1475"/>
      <c r="AJ1475"/>
    </row>
    <row r="1476" spans="24:36" x14ac:dyDescent="0.2">
      <c r="X1476" s="284"/>
      <c r="AA1476"/>
      <c r="AB1476"/>
      <c r="AC1476"/>
      <c r="AE1476"/>
      <c r="AF1476"/>
      <c r="AJ1476"/>
    </row>
    <row r="1477" spans="24:36" x14ac:dyDescent="0.2">
      <c r="X1477" s="284"/>
      <c r="AA1477"/>
      <c r="AB1477"/>
      <c r="AC1477"/>
      <c r="AE1477"/>
      <c r="AF1477"/>
      <c r="AJ1477"/>
    </row>
    <row r="1478" spans="24:36" x14ac:dyDescent="0.2">
      <c r="X1478" s="284"/>
      <c r="AA1478"/>
      <c r="AB1478"/>
      <c r="AC1478"/>
      <c r="AE1478"/>
      <c r="AF1478"/>
      <c r="AJ1478"/>
    </row>
    <row r="1479" spans="24:36" x14ac:dyDescent="0.2">
      <c r="X1479" s="284"/>
      <c r="AA1479"/>
      <c r="AB1479"/>
      <c r="AC1479"/>
      <c r="AE1479"/>
      <c r="AF1479"/>
      <c r="AJ1479"/>
    </row>
    <row r="1480" spans="24:36" x14ac:dyDescent="0.2">
      <c r="X1480" s="284"/>
      <c r="AA1480"/>
      <c r="AB1480"/>
      <c r="AC1480"/>
      <c r="AE1480"/>
      <c r="AF1480"/>
      <c r="AJ1480"/>
    </row>
    <row r="1481" spans="24:36" x14ac:dyDescent="0.2">
      <c r="X1481" s="284"/>
      <c r="AA1481"/>
      <c r="AB1481"/>
      <c r="AC1481"/>
      <c r="AE1481"/>
      <c r="AF1481"/>
      <c r="AJ1481"/>
    </row>
    <row r="1482" spans="24:36" x14ac:dyDescent="0.2">
      <c r="X1482" s="284"/>
      <c r="AA1482"/>
      <c r="AB1482"/>
      <c r="AC1482"/>
      <c r="AE1482"/>
      <c r="AF1482"/>
      <c r="AJ1482"/>
    </row>
    <row r="1483" spans="24:36" x14ac:dyDescent="0.2">
      <c r="X1483" s="284"/>
      <c r="AA1483"/>
      <c r="AB1483"/>
      <c r="AC1483"/>
      <c r="AE1483"/>
      <c r="AF1483"/>
      <c r="AJ1483"/>
    </row>
    <row r="1484" spans="24:36" x14ac:dyDescent="0.2">
      <c r="X1484" s="284"/>
      <c r="AA1484"/>
      <c r="AB1484"/>
      <c r="AC1484"/>
      <c r="AE1484"/>
      <c r="AF1484"/>
      <c r="AJ1484"/>
    </row>
    <row r="1485" spans="24:36" x14ac:dyDescent="0.2">
      <c r="X1485" s="284"/>
      <c r="AA1485"/>
      <c r="AB1485"/>
      <c r="AC1485"/>
      <c r="AE1485"/>
      <c r="AF1485"/>
      <c r="AJ1485"/>
    </row>
    <row r="1486" spans="24:36" x14ac:dyDescent="0.2">
      <c r="X1486" s="284"/>
      <c r="AA1486"/>
      <c r="AB1486"/>
      <c r="AC1486"/>
      <c r="AE1486"/>
      <c r="AF1486"/>
      <c r="AJ1486"/>
    </row>
    <row r="1487" spans="24:36" x14ac:dyDescent="0.2">
      <c r="X1487" s="284"/>
      <c r="AA1487"/>
      <c r="AB1487"/>
      <c r="AC1487"/>
      <c r="AE1487"/>
      <c r="AF1487"/>
      <c r="AJ1487"/>
    </row>
    <row r="1488" spans="24:36" x14ac:dyDescent="0.2">
      <c r="X1488" s="284"/>
      <c r="AA1488"/>
      <c r="AB1488"/>
      <c r="AC1488"/>
      <c r="AE1488"/>
      <c r="AF1488"/>
      <c r="AJ1488"/>
    </row>
    <row r="1489" spans="24:36" x14ac:dyDescent="0.2">
      <c r="X1489" s="284"/>
      <c r="AA1489"/>
      <c r="AB1489"/>
      <c r="AC1489"/>
      <c r="AE1489"/>
      <c r="AF1489"/>
      <c r="AJ1489"/>
    </row>
    <row r="1490" spans="24:36" x14ac:dyDescent="0.2">
      <c r="X1490" s="284"/>
      <c r="AA1490"/>
      <c r="AB1490"/>
      <c r="AC1490"/>
      <c r="AE1490"/>
      <c r="AF1490"/>
      <c r="AJ1490"/>
    </row>
    <row r="1491" spans="24:36" x14ac:dyDescent="0.2">
      <c r="X1491" s="284"/>
      <c r="AA1491"/>
      <c r="AB1491"/>
      <c r="AC1491"/>
      <c r="AE1491"/>
      <c r="AF1491"/>
      <c r="AJ1491"/>
    </row>
    <row r="1492" spans="24:36" x14ac:dyDescent="0.2">
      <c r="X1492" s="284"/>
      <c r="AA1492"/>
      <c r="AB1492"/>
      <c r="AC1492"/>
      <c r="AE1492"/>
      <c r="AF1492"/>
      <c r="AJ1492"/>
    </row>
    <row r="1493" spans="24:36" x14ac:dyDescent="0.2">
      <c r="X1493" s="284"/>
      <c r="AA1493"/>
      <c r="AB1493"/>
      <c r="AC1493"/>
      <c r="AE1493"/>
      <c r="AF1493"/>
      <c r="AJ1493"/>
    </row>
    <row r="1494" spans="24:36" x14ac:dyDescent="0.2">
      <c r="X1494" s="284"/>
      <c r="AA1494"/>
      <c r="AB1494"/>
      <c r="AC1494"/>
      <c r="AE1494"/>
      <c r="AF1494"/>
      <c r="AJ1494"/>
    </row>
    <row r="1495" spans="24:36" x14ac:dyDescent="0.2">
      <c r="X1495" s="284"/>
      <c r="AA1495"/>
      <c r="AB1495"/>
      <c r="AC1495"/>
      <c r="AE1495"/>
      <c r="AF1495"/>
      <c r="AJ1495"/>
    </row>
    <row r="1496" spans="24:36" x14ac:dyDescent="0.2">
      <c r="X1496" s="284"/>
      <c r="AA1496"/>
      <c r="AB1496"/>
      <c r="AC1496"/>
      <c r="AE1496"/>
      <c r="AF1496"/>
      <c r="AJ1496"/>
    </row>
    <row r="1497" spans="24:36" x14ac:dyDescent="0.2">
      <c r="X1497" s="284"/>
      <c r="AA1497"/>
      <c r="AB1497"/>
      <c r="AC1497"/>
      <c r="AE1497"/>
      <c r="AF1497"/>
      <c r="AJ1497"/>
    </row>
    <row r="1498" spans="24:36" x14ac:dyDescent="0.2">
      <c r="X1498" s="284"/>
      <c r="AA1498"/>
      <c r="AB1498"/>
      <c r="AC1498"/>
      <c r="AE1498"/>
      <c r="AF1498"/>
      <c r="AJ1498"/>
    </row>
    <row r="1499" spans="24:36" x14ac:dyDescent="0.2">
      <c r="X1499" s="284"/>
      <c r="AA1499"/>
      <c r="AB1499"/>
      <c r="AC1499"/>
      <c r="AE1499"/>
      <c r="AF1499"/>
      <c r="AJ1499"/>
    </row>
    <row r="1500" spans="24:36" x14ac:dyDescent="0.2">
      <c r="X1500" s="284"/>
      <c r="AA1500"/>
      <c r="AB1500"/>
      <c r="AC1500"/>
      <c r="AE1500"/>
      <c r="AF1500"/>
      <c r="AJ1500"/>
    </row>
    <row r="1501" spans="24:36" x14ac:dyDescent="0.2">
      <c r="X1501" s="284"/>
      <c r="AA1501"/>
      <c r="AB1501"/>
      <c r="AC1501"/>
      <c r="AE1501"/>
      <c r="AF1501"/>
      <c r="AJ1501"/>
    </row>
    <row r="1502" spans="24:36" x14ac:dyDescent="0.2">
      <c r="X1502" s="284"/>
      <c r="AA1502"/>
      <c r="AB1502"/>
      <c r="AC1502"/>
      <c r="AE1502"/>
      <c r="AF1502"/>
      <c r="AJ1502"/>
    </row>
    <row r="1503" spans="24:36" x14ac:dyDescent="0.2">
      <c r="X1503" s="284"/>
      <c r="AA1503"/>
      <c r="AB1503"/>
      <c r="AC1503"/>
      <c r="AE1503"/>
      <c r="AF1503"/>
      <c r="AJ1503"/>
    </row>
    <row r="1504" spans="24:36" x14ac:dyDescent="0.2">
      <c r="X1504" s="284"/>
      <c r="AA1504"/>
      <c r="AB1504"/>
      <c r="AC1504"/>
      <c r="AE1504"/>
      <c r="AF1504"/>
      <c r="AJ1504"/>
    </row>
    <row r="1505" spans="24:36" x14ac:dyDescent="0.2">
      <c r="X1505" s="284"/>
      <c r="AA1505"/>
      <c r="AB1505"/>
      <c r="AC1505"/>
      <c r="AE1505"/>
      <c r="AF1505"/>
      <c r="AJ1505"/>
    </row>
    <row r="1506" spans="24:36" x14ac:dyDescent="0.2">
      <c r="X1506" s="284"/>
      <c r="AA1506"/>
      <c r="AB1506"/>
      <c r="AC1506"/>
      <c r="AE1506"/>
      <c r="AF1506"/>
      <c r="AJ1506"/>
    </row>
    <row r="1507" spans="24:36" x14ac:dyDescent="0.2">
      <c r="X1507" s="284"/>
      <c r="AA1507"/>
      <c r="AB1507"/>
      <c r="AC1507"/>
      <c r="AE1507"/>
      <c r="AF1507"/>
      <c r="AJ1507"/>
    </row>
    <row r="1508" spans="24:36" x14ac:dyDescent="0.2">
      <c r="X1508" s="284"/>
      <c r="AA1508"/>
      <c r="AB1508"/>
      <c r="AC1508"/>
      <c r="AE1508"/>
      <c r="AF1508"/>
      <c r="AJ1508"/>
    </row>
    <row r="1509" spans="24:36" x14ac:dyDescent="0.2">
      <c r="X1509" s="284"/>
      <c r="AA1509"/>
      <c r="AB1509"/>
      <c r="AC1509"/>
      <c r="AE1509"/>
      <c r="AF1509"/>
      <c r="AJ1509"/>
    </row>
    <row r="1510" spans="24:36" x14ac:dyDescent="0.2">
      <c r="X1510" s="284"/>
      <c r="AA1510"/>
      <c r="AB1510"/>
      <c r="AC1510"/>
      <c r="AE1510"/>
      <c r="AF1510"/>
      <c r="AJ1510"/>
    </row>
    <row r="1511" spans="24:36" x14ac:dyDescent="0.2">
      <c r="X1511" s="284"/>
      <c r="AA1511"/>
      <c r="AB1511"/>
      <c r="AC1511"/>
      <c r="AE1511"/>
      <c r="AF1511"/>
      <c r="AJ1511"/>
    </row>
    <row r="1512" spans="24:36" x14ac:dyDescent="0.2">
      <c r="X1512" s="284"/>
      <c r="AA1512"/>
      <c r="AB1512"/>
      <c r="AC1512"/>
      <c r="AE1512"/>
      <c r="AF1512"/>
      <c r="AJ1512"/>
    </row>
    <row r="1513" spans="24:36" x14ac:dyDescent="0.2">
      <c r="X1513" s="284"/>
      <c r="AA1513"/>
      <c r="AB1513"/>
      <c r="AC1513"/>
      <c r="AE1513"/>
      <c r="AF1513"/>
      <c r="AJ1513"/>
    </row>
    <row r="1514" spans="24:36" x14ac:dyDescent="0.2">
      <c r="X1514" s="284"/>
      <c r="AA1514"/>
      <c r="AB1514"/>
      <c r="AC1514"/>
      <c r="AE1514"/>
      <c r="AF1514"/>
      <c r="AJ1514"/>
    </row>
    <row r="1515" spans="24:36" x14ac:dyDescent="0.2">
      <c r="X1515" s="284"/>
      <c r="AA1515"/>
      <c r="AB1515"/>
      <c r="AC1515"/>
      <c r="AE1515"/>
      <c r="AF1515"/>
      <c r="AJ1515"/>
    </row>
    <row r="1516" spans="24:36" x14ac:dyDescent="0.2">
      <c r="X1516" s="284"/>
      <c r="AA1516"/>
      <c r="AB1516"/>
      <c r="AC1516"/>
      <c r="AE1516"/>
      <c r="AF1516"/>
      <c r="AJ1516"/>
    </row>
    <row r="1517" spans="24:36" x14ac:dyDescent="0.2">
      <c r="X1517" s="284"/>
      <c r="AA1517"/>
      <c r="AB1517"/>
      <c r="AC1517"/>
      <c r="AE1517"/>
      <c r="AF1517"/>
      <c r="AJ1517"/>
    </row>
    <row r="1518" spans="24:36" x14ac:dyDescent="0.2">
      <c r="X1518" s="284"/>
      <c r="AA1518"/>
      <c r="AB1518"/>
      <c r="AC1518"/>
      <c r="AE1518"/>
      <c r="AF1518"/>
      <c r="AJ1518"/>
    </row>
    <row r="1519" spans="24:36" x14ac:dyDescent="0.2">
      <c r="X1519" s="284"/>
      <c r="AA1519"/>
      <c r="AB1519"/>
      <c r="AC1519"/>
      <c r="AE1519"/>
      <c r="AF1519"/>
      <c r="AJ1519"/>
    </row>
    <row r="1520" spans="24:36" x14ac:dyDescent="0.2">
      <c r="X1520" s="284"/>
      <c r="AA1520"/>
      <c r="AB1520"/>
      <c r="AC1520"/>
      <c r="AE1520"/>
      <c r="AF1520"/>
      <c r="AJ1520"/>
    </row>
    <row r="1521" spans="24:36" x14ac:dyDescent="0.2">
      <c r="X1521" s="284"/>
      <c r="AA1521"/>
      <c r="AB1521"/>
      <c r="AC1521"/>
      <c r="AE1521"/>
      <c r="AF1521"/>
      <c r="AJ1521"/>
    </row>
    <row r="1522" spans="24:36" x14ac:dyDescent="0.2">
      <c r="X1522" s="284"/>
      <c r="AA1522"/>
      <c r="AB1522"/>
      <c r="AC1522"/>
      <c r="AE1522"/>
      <c r="AF1522"/>
      <c r="AJ1522"/>
    </row>
    <row r="1523" spans="24:36" x14ac:dyDescent="0.2">
      <c r="X1523" s="284"/>
      <c r="AA1523"/>
      <c r="AB1523"/>
      <c r="AC1523"/>
      <c r="AE1523"/>
      <c r="AF1523"/>
      <c r="AJ1523"/>
    </row>
    <row r="1524" spans="24:36" x14ac:dyDescent="0.2">
      <c r="X1524" s="284"/>
      <c r="AA1524"/>
      <c r="AB1524"/>
      <c r="AC1524"/>
      <c r="AE1524"/>
      <c r="AF1524"/>
      <c r="AJ1524"/>
    </row>
    <row r="1525" spans="24:36" x14ac:dyDescent="0.2">
      <c r="X1525" s="284"/>
      <c r="AA1525"/>
      <c r="AB1525"/>
      <c r="AC1525"/>
      <c r="AE1525"/>
      <c r="AF1525"/>
      <c r="AJ1525"/>
    </row>
    <row r="1526" spans="24:36" x14ac:dyDescent="0.2">
      <c r="X1526" s="284"/>
      <c r="AA1526"/>
      <c r="AB1526"/>
      <c r="AC1526"/>
      <c r="AE1526"/>
      <c r="AF1526"/>
      <c r="AJ1526"/>
    </row>
    <row r="1527" spans="24:36" x14ac:dyDescent="0.2">
      <c r="X1527" s="284"/>
      <c r="AA1527"/>
      <c r="AB1527"/>
      <c r="AC1527"/>
      <c r="AE1527"/>
      <c r="AF1527"/>
      <c r="AJ1527"/>
    </row>
    <row r="1528" spans="24:36" x14ac:dyDescent="0.2">
      <c r="X1528" s="284"/>
      <c r="AA1528"/>
      <c r="AB1528"/>
      <c r="AC1528"/>
      <c r="AE1528"/>
      <c r="AF1528"/>
      <c r="AJ1528"/>
    </row>
    <row r="1529" spans="24:36" x14ac:dyDescent="0.2">
      <c r="X1529" s="284"/>
      <c r="AA1529"/>
      <c r="AB1529"/>
      <c r="AC1529"/>
      <c r="AE1529"/>
      <c r="AF1529"/>
      <c r="AJ1529"/>
    </row>
    <row r="1530" spans="24:36" x14ac:dyDescent="0.2">
      <c r="X1530" s="284"/>
      <c r="AA1530"/>
      <c r="AB1530"/>
      <c r="AC1530"/>
      <c r="AE1530"/>
      <c r="AF1530"/>
      <c r="AJ1530"/>
    </row>
    <row r="1531" spans="24:36" x14ac:dyDescent="0.2">
      <c r="X1531" s="284"/>
      <c r="AA1531"/>
      <c r="AB1531"/>
      <c r="AC1531"/>
      <c r="AE1531"/>
      <c r="AF1531"/>
      <c r="AJ1531"/>
    </row>
    <row r="1532" spans="24:36" x14ac:dyDescent="0.2">
      <c r="X1532" s="284"/>
      <c r="AA1532"/>
      <c r="AB1532"/>
      <c r="AC1532"/>
      <c r="AE1532"/>
      <c r="AF1532"/>
      <c r="AJ1532"/>
    </row>
    <row r="1533" spans="24:36" x14ac:dyDescent="0.2">
      <c r="X1533" s="284"/>
      <c r="AA1533"/>
      <c r="AB1533"/>
      <c r="AC1533"/>
      <c r="AE1533"/>
      <c r="AF1533"/>
      <c r="AJ1533"/>
    </row>
    <row r="1534" spans="24:36" x14ac:dyDescent="0.2">
      <c r="X1534" s="284"/>
      <c r="AA1534"/>
      <c r="AB1534"/>
      <c r="AC1534"/>
      <c r="AE1534"/>
      <c r="AF1534"/>
      <c r="AJ1534"/>
    </row>
    <row r="1535" spans="24:36" x14ac:dyDescent="0.2">
      <c r="X1535" s="284"/>
      <c r="AA1535"/>
      <c r="AB1535"/>
      <c r="AC1535"/>
      <c r="AE1535"/>
      <c r="AF1535"/>
      <c r="AJ1535"/>
    </row>
    <row r="1536" spans="24:36" x14ac:dyDescent="0.2">
      <c r="X1536" s="284"/>
      <c r="AA1536"/>
      <c r="AB1536"/>
      <c r="AC1536"/>
      <c r="AE1536"/>
      <c r="AF1536"/>
      <c r="AJ1536"/>
    </row>
    <row r="1537" spans="24:36" x14ac:dyDescent="0.2">
      <c r="X1537" s="284"/>
      <c r="AA1537"/>
      <c r="AB1537"/>
      <c r="AC1537"/>
      <c r="AE1537"/>
      <c r="AF1537"/>
      <c r="AJ1537"/>
    </row>
    <row r="1538" spans="24:36" x14ac:dyDescent="0.2">
      <c r="X1538" s="284"/>
      <c r="AA1538"/>
      <c r="AB1538"/>
      <c r="AC1538"/>
      <c r="AE1538"/>
      <c r="AF1538"/>
      <c r="AJ1538"/>
    </row>
    <row r="1539" spans="24:36" x14ac:dyDescent="0.2">
      <c r="X1539" s="284"/>
      <c r="AA1539"/>
      <c r="AB1539"/>
      <c r="AC1539"/>
      <c r="AE1539"/>
      <c r="AF1539"/>
      <c r="AJ1539"/>
    </row>
    <row r="1540" spans="24:36" x14ac:dyDescent="0.2">
      <c r="X1540" s="284"/>
      <c r="AA1540"/>
      <c r="AB1540"/>
      <c r="AC1540"/>
      <c r="AE1540"/>
      <c r="AF1540"/>
      <c r="AJ1540"/>
    </row>
    <row r="1541" spans="24:36" x14ac:dyDescent="0.2">
      <c r="X1541" s="284"/>
      <c r="AA1541"/>
      <c r="AB1541"/>
      <c r="AC1541"/>
      <c r="AE1541"/>
      <c r="AF1541"/>
      <c r="AJ1541"/>
    </row>
    <row r="1542" spans="24:36" x14ac:dyDescent="0.2">
      <c r="X1542" s="284"/>
      <c r="AA1542"/>
      <c r="AB1542"/>
      <c r="AC1542"/>
      <c r="AE1542"/>
      <c r="AF1542"/>
      <c r="AJ1542"/>
    </row>
    <row r="1543" spans="24:36" x14ac:dyDescent="0.2">
      <c r="X1543" s="284"/>
      <c r="AA1543"/>
      <c r="AB1543"/>
      <c r="AC1543"/>
      <c r="AE1543"/>
      <c r="AF1543"/>
      <c r="AJ1543"/>
    </row>
    <row r="1544" spans="24:36" x14ac:dyDescent="0.2">
      <c r="X1544" s="284"/>
      <c r="AA1544"/>
      <c r="AB1544"/>
      <c r="AC1544"/>
      <c r="AE1544"/>
      <c r="AF1544"/>
      <c r="AJ1544"/>
    </row>
    <row r="1545" spans="24:36" x14ac:dyDescent="0.2">
      <c r="X1545" s="284"/>
      <c r="AA1545"/>
      <c r="AB1545"/>
      <c r="AC1545"/>
      <c r="AE1545"/>
      <c r="AF1545"/>
      <c r="AJ1545"/>
    </row>
    <row r="1546" spans="24:36" x14ac:dyDescent="0.2">
      <c r="X1546" s="284"/>
      <c r="AA1546"/>
      <c r="AB1546"/>
      <c r="AC1546"/>
      <c r="AE1546"/>
      <c r="AF1546"/>
      <c r="AJ1546"/>
    </row>
    <row r="1547" spans="24:36" x14ac:dyDescent="0.2">
      <c r="X1547" s="284"/>
      <c r="AA1547"/>
      <c r="AB1547"/>
      <c r="AC1547"/>
      <c r="AE1547"/>
      <c r="AF1547"/>
      <c r="AJ1547"/>
    </row>
    <row r="1548" spans="24:36" x14ac:dyDescent="0.2">
      <c r="X1548" s="284"/>
      <c r="AA1548"/>
      <c r="AB1548"/>
      <c r="AC1548"/>
      <c r="AE1548"/>
      <c r="AF1548"/>
      <c r="AJ1548"/>
    </row>
    <row r="1549" spans="24:36" x14ac:dyDescent="0.2">
      <c r="X1549" s="284"/>
      <c r="AA1549"/>
      <c r="AB1549"/>
      <c r="AC1549"/>
      <c r="AE1549"/>
      <c r="AF1549"/>
      <c r="AJ1549"/>
    </row>
    <row r="1550" spans="24:36" x14ac:dyDescent="0.2">
      <c r="X1550" s="284"/>
      <c r="AA1550"/>
      <c r="AB1550"/>
      <c r="AC1550"/>
      <c r="AE1550"/>
      <c r="AF1550"/>
      <c r="AJ1550"/>
    </row>
    <row r="1551" spans="24:36" x14ac:dyDescent="0.2">
      <c r="X1551" s="284"/>
      <c r="AA1551"/>
      <c r="AB1551"/>
      <c r="AC1551"/>
      <c r="AE1551"/>
      <c r="AF1551"/>
      <c r="AJ1551"/>
    </row>
    <row r="1552" spans="24:36" x14ac:dyDescent="0.2">
      <c r="X1552" s="284"/>
      <c r="AA1552"/>
      <c r="AB1552"/>
      <c r="AC1552"/>
      <c r="AE1552"/>
      <c r="AF1552"/>
      <c r="AJ1552"/>
    </row>
    <row r="1553" spans="24:36" x14ac:dyDescent="0.2">
      <c r="X1553" s="284"/>
      <c r="AA1553"/>
      <c r="AB1553"/>
      <c r="AC1553"/>
      <c r="AE1553"/>
      <c r="AF1553"/>
      <c r="AJ1553"/>
    </row>
    <row r="1554" spans="24:36" x14ac:dyDescent="0.2">
      <c r="X1554" s="284"/>
      <c r="AA1554"/>
      <c r="AB1554"/>
      <c r="AC1554"/>
      <c r="AE1554"/>
      <c r="AF1554"/>
      <c r="AJ1554"/>
    </row>
    <row r="1555" spans="24:36" x14ac:dyDescent="0.2">
      <c r="X1555" s="284"/>
      <c r="AA1555"/>
      <c r="AB1555"/>
      <c r="AC1555"/>
      <c r="AE1555"/>
      <c r="AF1555"/>
      <c r="AJ1555"/>
    </row>
    <row r="1556" spans="24:36" x14ac:dyDescent="0.2">
      <c r="X1556" s="284"/>
      <c r="AA1556"/>
      <c r="AB1556"/>
      <c r="AC1556"/>
      <c r="AE1556"/>
      <c r="AF1556"/>
      <c r="AJ1556"/>
    </row>
    <row r="1557" spans="24:36" x14ac:dyDescent="0.2">
      <c r="X1557" s="284"/>
      <c r="AA1557"/>
      <c r="AB1557"/>
      <c r="AC1557"/>
      <c r="AE1557"/>
      <c r="AF1557"/>
      <c r="AJ1557"/>
    </row>
    <row r="1558" spans="24:36" x14ac:dyDescent="0.2">
      <c r="X1558" s="284"/>
      <c r="AA1558"/>
      <c r="AB1558"/>
      <c r="AC1558"/>
      <c r="AE1558"/>
      <c r="AF1558"/>
      <c r="AJ1558"/>
    </row>
    <row r="1559" spans="24:36" x14ac:dyDescent="0.2">
      <c r="X1559" s="284"/>
      <c r="AA1559"/>
      <c r="AB1559"/>
      <c r="AC1559"/>
      <c r="AE1559"/>
      <c r="AF1559"/>
      <c r="AJ1559"/>
    </row>
    <row r="1560" spans="24:36" x14ac:dyDescent="0.2">
      <c r="X1560" s="284"/>
      <c r="AA1560"/>
      <c r="AB1560"/>
      <c r="AC1560"/>
      <c r="AE1560"/>
      <c r="AF1560"/>
      <c r="AJ1560"/>
    </row>
    <row r="1561" spans="24:36" x14ac:dyDescent="0.2">
      <c r="X1561" s="284"/>
      <c r="AA1561"/>
      <c r="AB1561"/>
      <c r="AC1561"/>
      <c r="AE1561"/>
      <c r="AF1561"/>
      <c r="AJ1561"/>
    </row>
    <row r="1562" spans="24:36" x14ac:dyDescent="0.2">
      <c r="X1562" s="284"/>
      <c r="AA1562"/>
      <c r="AB1562"/>
      <c r="AC1562"/>
      <c r="AE1562"/>
      <c r="AF1562"/>
      <c r="AJ1562"/>
    </row>
    <row r="1563" spans="24:36" x14ac:dyDescent="0.2">
      <c r="X1563" s="284"/>
      <c r="AA1563"/>
      <c r="AB1563"/>
      <c r="AC1563"/>
      <c r="AE1563"/>
      <c r="AF1563"/>
      <c r="AJ1563"/>
    </row>
    <row r="1564" spans="24:36" x14ac:dyDescent="0.2">
      <c r="X1564" s="284"/>
      <c r="AA1564"/>
      <c r="AB1564"/>
      <c r="AC1564"/>
      <c r="AE1564"/>
      <c r="AF1564"/>
      <c r="AJ1564"/>
    </row>
    <row r="1565" spans="24:36" x14ac:dyDescent="0.2">
      <c r="X1565" s="284"/>
      <c r="AA1565"/>
      <c r="AB1565"/>
      <c r="AC1565"/>
      <c r="AE1565"/>
      <c r="AF1565"/>
      <c r="AJ1565"/>
    </row>
    <row r="1566" spans="24:36" x14ac:dyDescent="0.2">
      <c r="X1566" s="284"/>
      <c r="AA1566"/>
      <c r="AB1566"/>
      <c r="AC1566"/>
      <c r="AE1566"/>
      <c r="AF1566"/>
      <c r="AJ1566"/>
    </row>
    <row r="1567" spans="24:36" x14ac:dyDescent="0.2">
      <c r="X1567" s="284"/>
      <c r="AA1567"/>
      <c r="AB1567"/>
      <c r="AC1567"/>
      <c r="AE1567"/>
      <c r="AF1567"/>
      <c r="AJ1567"/>
    </row>
    <row r="1568" spans="24:36" x14ac:dyDescent="0.2">
      <c r="X1568" s="284"/>
      <c r="AA1568"/>
      <c r="AB1568"/>
      <c r="AC1568"/>
      <c r="AE1568"/>
      <c r="AF1568"/>
      <c r="AJ1568"/>
    </row>
    <row r="1569" spans="24:36" x14ac:dyDescent="0.2">
      <c r="X1569" s="284"/>
      <c r="AA1569"/>
      <c r="AB1569"/>
      <c r="AC1569"/>
      <c r="AE1569"/>
      <c r="AF1569"/>
      <c r="AJ1569"/>
    </row>
    <row r="1570" spans="24:36" x14ac:dyDescent="0.2">
      <c r="X1570" s="284"/>
      <c r="AA1570"/>
      <c r="AB1570"/>
      <c r="AC1570"/>
      <c r="AE1570"/>
      <c r="AF1570"/>
      <c r="AJ1570"/>
    </row>
    <row r="1571" spans="24:36" x14ac:dyDescent="0.2">
      <c r="X1571" s="284"/>
      <c r="AA1571"/>
      <c r="AB1571"/>
      <c r="AC1571"/>
      <c r="AE1571"/>
      <c r="AF1571"/>
      <c r="AJ1571"/>
    </row>
    <row r="1572" spans="24:36" x14ac:dyDescent="0.2">
      <c r="X1572" s="284"/>
      <c r="AA1572"/>
      <c r="AB1572"/>
      <c r="AC1572"/>
      <c r="AE1572"/>
      <c r="AF1572"/>
      <c r="AJ1572"/>
    </row>
    <row r="1573" spans="24:36" x14ac:dyDescent="0.2">
      <c r="X1573" s="284"/>
      <c r="AA1573"/>
      <c r="AB1573"/>
      <c r="AC1573"/>
      <c r="AE1573"/>
      <c r="AF1573"/>
      <c r="AJ1573"/>
    </row>
    <row r="1574" spans="24:36" x14ac:dyDescent="0.2">
      <c r="X1574" s="284"/>
      <c r="AA1574"/>
      <c r="AB1574"/>
      <c r="AC1574"/>
      <c r="AE1574"/>
      <c r="AF1574"/>
      <c r="AJ1574"/>
    </row>
    <row r="1575" spans="24:36" x14ac:dyDescent="0.2">
      <c r="X1575" s="284"/>
      <c r="AA1575"/>
      <c r="AB1575"/>
      <c r="AC1575"/>
      <c r="AE1575"/>
      <c r="AF1575"/>
      <c r="AJ1575"/>
    </row>
    <row r="1576" spans="24:36" x14ac:dyDescent="0.2">
      <c r="X1576" s="284"/>
      <c r="AA1576"/>
      <c r="AB1576"/>
      <c r="AC1576"/>
      <c r="AE1576"/>
      <c r="AF1576"/>
      <c r="AJ1576"/>
    </row>
    <row r="1577" spans="24:36" x14ac:dyDescent="0.2">
      <c r="X1577" s="284"/>
      <c r="AA1577"/>
      <c r="AB1577"/>
      <c r="AC1577"/>
      <c r="AE1577"/>
      <c r="AF1577"/>
      <c r="AJ1577"/>
    </row>
    <row r="1578" spans="24:36" x14ac:dyDescent="0.2">
      <c r="X1578" s="284"/>
      <c r="AA1578"/>
      <c r="AB1578"/>
      <c r="AC1578"/>
      <c r="AE1578"/>
      <c r="AF1578"/>
      <c r="AJ1578"/>
    </row>
    <row r="1579" spans="24:36" x14ac:dyDescent="0.2">
      <c r="X1579" s="284"/>
      <c r="AA1579"/>
      <c r="AB1579"/>
      <c r="AC1579"/>
      <c r="AE1579"/>
      <c r="AF1579"/>
      <c r="AJ1579"/>
    </row>
    <row r="1580" spans="24:36" x14ac:dyDescent="0.2">
      <c r="X1580" s="284"/>
      <c r="AA1580"/>
      <c r="AB1580"/>
      <c r="AC1580"/>
      <c r="AE1580"/>
      <c r="AF1580"/>
      <c r="AJ1580"/>
    </row>
    <row r="1581" spans="24:36" x14ac:dyDescent="0.2">
      <c r="X1581" s="284"/>
      <c r="AA1581"/>
      <c r="AB1581"/>
      <c r="AC1581"/>
      <c r="AE1581"/>
      <c r="AF1581"/>
      <c r="AJ1581"/>
    </row>
    <row r="1582" spans="24:36" x14ac:dyDescent="0.2">
      <c r="X1582" s="284"/>
      <c r="AA1582"/>
      <c r="AB1582"/>
      <c r="AC1582"/>
      <c r="AE1582"/>
      <c r="AF1582"/>
      <c r="AJ1582"/>
    </row>
    <row r="1583" spans="24:36" x14ac:dyDescent="0.2">
      <c r="X1583" s="284"/>
      <c r="AA1583"/>
      <c r="AB1583"/>
      <c r="AC1583"/>
      <c r="AE1583"/>
      <c r="AF1583"/>
      <c r="AJ1583"/>
    </row>
    <row r="1584" spans="24:36" x14ac:dyDescent="0.2">
      <c r="X1584" s="284"/>
      <c r="AA1584"/>
      <c r="AB1584"/>
      <c r="AC1584"/>
      <c r="AE1584"/>
      <c r="AF1584"/>
      <c r="AJ1584"/>
    </row>
    <row r="1585" spans="24:36" x14ac:dyDescent="0.2">
      <c r="X1585" s="284"/>
      <c r="AA1585"/>
      <c r="AB1585"/>
      <c r="AC1585"/>
      <c r="AE1585"/>
      <c r="AF1585"/>
      <c r="AJ1585"/>
    </row>
    <row r="1586" spans="24:36" x14ac:dyDescent="0.2">
      <c r="X1586" s="284"/>
      <c r="AA1586"/>
      <c r="AB1586"/>
      <c r="AC1586"/>
      <c r="AE1586"/>
      <c r="AF1586"/>
      <c r="AJ1586"/>
    </row>
    <row r="1587" spans="24:36" x14ac:dyDescent="0.2">
      <c r="X1587" s="284"/>
      <c r="AA1587"/>
      <c r="AB1587"/>
      <c r="AC1587"/>
      <c r="AE1587"/>
      <c r="AF1587"/>
      <c r="AJ1587"/>
    </row>
    <row r="1588" spans="24:36" x14ac:dyDescent="0.2">
      <c r="X1588" s="284"/>
      <c r="AA1588"/>
      <c r="AB1588"/>
      <c r="AC1588"/>
      <c r="AE1588"/>
      <c r="AF1588"/>
      <c r="AJ1588"/>
    </row>
    <row r="1589" spans="24:36" x14ac:dyDescent="0.2">
      <c r="X1589" s="284"/>
      <c r="AA1589"/>
      <c r="AB1589"/>
      <c r="AC1589"/>
      <c r="AE1589"/>
      <c r="AF1589"/>
      <c r="AJ1589"/>
    </row>
    <row r="1590" spans="24:36" x14ac:dyDescent="0.2">
      <c r="X1590" s="284"/>
      <c r="AA1590"/>
      <c r="AB1590"/>
      <c r="AC1590"/>
      <c r="AE1590"/>
      <c r="AF1590"/>
      <c r="AJ1590"/>
    </row>
    <row r="1591" spans="24:36" x14ac:dyDescent="0.2">
      <c r="X1591" s="284"/>
      <c r="AA1591"/>
      <c r="AB1591"/>
      <c r="AC1591"/>
      <c r="AE1591"/>
      <c r="AF1591"/>
      <c r="AJ1591"/>
    </row>
    <row r="1592" spans="24:36" x14ac:dyDescent="0.2">
      <c r="X1592" s="284"/>
      <c r="AA1592"/>
      <c r="AB1592"/>
      <c r="AC1592"/>
      <c r="AE1592"/>
      <c r="AF1592"/>
      <c r="AJ1592"/>
    </row>
    <row r="1593" spans="24:36" x14ac:dyDescent="0.2">
      <c r="X1593" s="284"/>
      <c r="AA1593"/>
      <c r="AB1593"/>
      <c r="AC1593"/>
      <c r="AE1593"/>
      <c r="AF1593"/>
      <c r="AJ1593"/>
    </row>
    <row r="1594" spans="24:36" x14ac:dyDescent="0.2">
      <c r="X1594" s="284"/>
      <c r="AA1594"/>
      <c r="AB1594"/>
      <c r="AC1594"/>
      <c r="AE1594"/>
      <c r="AF1594"/>
      <c r="AJ1594"/>
    </row>
    <row r="1595" spans="24:36" x14ac:dyDescent="0.2">
      <c r="X1595" s="284"/>
      <c r="AA1595"/>
      <c r="AB1595"/>
      <c r="AC1595"/>
      <c r="AE1595"/>
      <c r="AF1595"/>
      <c r="AJ1595"/>
    </row>
    <row r="1596" spans="24:36" x14ac:dyDescent="0.2">
      <c r="X1596" s="284"/>
      <c r="AA1596"/>
      <c r="AB1596"/>
      <c r="AC1596"/>
      <c r="AE1596"/>
      <c r="AF1596"/>
      <c r="AJ1596"/>
    </row>
    <row r="1597" spans="24:36" x14ac:dyDescent="0.2">
      <c r="X1597" s="284"/>
      <c r="AA1597"/>
      <c r="AB1597"/>
      <c r="AC1597"/>
      <c r="AE1597"/>
      <c r="AF1597"/>
      <c r="AJ1597"/>
    </row>
    <row r="1598" spans="24:36" x14ac:dyDescent="0.2">
      <c r="X1598" s="284"/>
      <c r="AA1598"/>
      <c r="AB1598"/>
      <c r="AC1598"/>
      <c r="AE1598"/>
      <c r="AF1598"/>
      <c r="AJ1598"/>
    </row>
    <row r="1599" spans="24:36" x14ac:dyDescent="0.2">
      <c r="X1599" s="284"/>
      <c r="AA1599"/>
      <c r="AB1599"/>
      <c r="AC1599"/>
      <c r="AE1599"/>
      <c r="AF1599"/>
      <c r="AJ1599"/>
    </row>
    <row r="1600" spans="24:36" x14ac:dyDescent="0.2">
      <c r="X1600" s="284"/>
      <c r="AA1600"/>
      <c r="AB1600"/>
      <c r="AC1600"/>
      <c r="AE1600"/>
      <c r="AF1600"/>
      <c r="AJ1600"/>
    </row>
    <row r="1601" spans="24:36" x14ac:dyDescent="0.2">
      <c r="X1601" s="284"/>
      <c r="AA1601"/>
      <c r="AB1601"/>
      <c r="AC1601"/>
      <c r="AE1601"/>
      <c r="AF1601"/>
      <c r="AJ1601"/>
    </row>
    <row r="1602" spans="24:36" x14ac:dyDescent="0.2">
      <c r="X1602" s="284"/>
      <c r="AA1602"/>
      <c r="AB1602"/>
      <c r="AC1602"/>
      <c r="AE1602"/>
      <c r="AF1602"/>
      <c r="AJ1602"/>
    </row>
    <row r="1603" spans="24:36" x14ac:dyDescent="0.2">
      <c r="X1603" s="284"/>
      <c r="AA1603"/>
      <c r="AB1603"/>
      <c r="AC1603"/>
      <c r="AE1603"/>
      <c r="AF1603"/>
      <c r="AJ1603"/>
    </row>
    <row r="1604" spans="24:36" x14ac:dyDescent="0.2">
      <c r="X1604" s="284"/>
      <c r="AA1604"/>
      <c r="AB1604"/>
      <c r="AC1604"/>
      <c r="AE1604"/>
      <c r="AF1604"/>
      <c r="AJ1604"/>
    </row>
    <row r="1605" spans="24:36" x14ac:dyDescent="0.2">
      <c r="X1605" s="284"/>
      <c r="AA1605"/>
      <c r="AB1605"/>
      <c r="AC1605"/>
      <c r="AE1605"/>
      <c r="AF1605"/>
      <c r="AJ1605"/>
    </row>
    <row r="1606" spans="24:36" x14ac:dyDescent="0.2">
      <c r="X1606" s="284"/>
      <c r="AA1606"/>
      <c r="AB1606"/>
      <c r="AC1606"/>
      <c r="AE1606"/>
      <c r="AF1606"/>
      <c r="AJ1606"/>
    </row>
    <row r="1607" spans="24:36" x14ac:dyDescent="0.2">
      <c r="X1607" s="284"/>
      <c r="AA1607"/>
      <c r="AB1607"/>
      <c r="AC1607"/>
      <c r="AE1607"/>
      <c r="AF1607"/>
      <c r="AJ1607"/>
    </row>
    <row r="1608" spans="24:36" x14ac:dyDescent="0.2">
      <c r="X1608" s="284"/>
      <c r="AA1608"/>
      <c r="AB1608"/>
      <c r="AC1608"/>
      <c r="AE1608"/>
      <c r="AF1608"/>
      <c r="AJ1608"/>
    </row>
    <row r="1609" spans="24:36" x14ac:dyDescent="0.2">
      <c r="X1609" s="284"/>
      <c r="AA1609"/>
      <c r="AB1609"/>
      <c r="AC1609"/>
      <c r="AE1609"/>
      <c r="AF1609"/>
      <c r="AJ1609"/>
    </row>
    <row r="1610" spans="24:36" x14ac:dyDescent="0.2">
      <c r="X1610" s="284"/>
      <c r="AA1610"/>
      <c r="AB1610"/>
      <c r="AC1610"/>
      <c r="AE1610"/>
      <c r="AF1610"/>
      <c r="AJ1610"/>
    </row>
    <row r="1611" spans="24:36" x14ac:dyDescent="0.2">
      <c r="X1611" s="284"/>
      <c r="AA1611"/>
      <c r="AB1611"/>
      <c r="AC1611"/>
      <c r="AE1611"/>
      <c r="AF1611"/>
      <c r="AJ1611"/>
    </row>
    <row r="1612" spans="24:36" x14ac:dyDescent="0.2">
      <c r="X1612" s="284"/>
      <c r="AA1612"/>
      <c r="AB1612"/>
      <c r="AC1612"/>
      <c r="AE1612"/>
      <c r="AF1612"/>
      <c r="AJ1612"/>
    </row>
    <row r="1613" spans="24:36" x14ac:dyDescent="0.2">
      <c r="X1613" s="284"/>
      <c r="AA1613"/>
      <c r="AB1613"/>
      <c r="AC1613"/>
      <c r="AE1613"/>
      <c r="AF1613"/>
      <c r="AJ1613"/>
    </row>
    <row r="1614" spans="24:36" x14ac:dyDescent="0.2">
      <c r="X1614" s="284"/>
      <c r="AA1614"/>
      <c r="AB1614"/>
      <c r="AC1614"/>
      <c r="AE1614"/>
      <c r="AF1614"/>
      <c r="AJ1614"/>
    </row>
    <row r="1615" spans="24:36" x14ac:dyDescent="0.2">
      <c r="X1615" s="284"/>
      <c r="AA1615"/>
      <c r="AB1615"/>
      <c r="AC1615"/>
      <c r="AE1615"/>
      <c r="AF1615"/>
      <c r="AJ1615"/>
    </row>
    <row r="1616" spans="24:36" x14ac:dyDescent="0.2">
      <c r="X1616" s="284"/>
      <c r="AA1616"/>
      <c r="AB1616"/>
      <c r="AC1616"/>
      <c r="AE1616"/>
      <c r="AF1616"/>
      <c r="AJ1616"/>
    </row>
    <row r="1617" spans="24:36" x14ac:dyDescent="0.2">
      <c r="X1617" s="284"/>
      <c r="AA1617"/>
      <c r="AB1617"/>
      <c r="AC1617"/>
      <c r="AE1617"/>
      <c r="AF1617"/>
      <c r="AJ1617"/>
    </row>
    <row r="1618" spans="24:36" x14ac:dyDescent="0.2">
      <c r="X1618" s="284"/>
      <c r="AA1618"/>
      <c r="AB1618"/>
      <c r="AC1618"/>
      <c r="AE1618"/>
      <c r="AF1618"/>
      <c r="AJ1618"/>
    </row>
    <row r="1619" spans="24:36" x14ac:dyDescent="0.2">
      <c r="X1619" s="284"/>
      <c r="AA1619"/>
      <c r="AB1619"/>
      <c r="AC1619"/>
      <c r="AE1619"/>
      <c r="AF1619"/>
      <c r="AJ1619"/>
    </row>
    <row r="1620" spans="24:36" x14ac:dyDescent="0.2">
      <c r="X1620" s="284"/>
      <c r="AA1620"/>
      <c r="AB1620"/>
      <c r="AC1620"/>
      <c r="AE1620"/>
      <c r="AF1620"/>
      <c r="AJ1620"/>
    </row>
    <row r="1621" spans="24:36" x14ac:dyDescent="0.2">
      <c r="X1621" s="284"/>
      <c r="AA1621"/>
      <c r="AB1621"/>
      <c r="AC1621"/>
      <c r="AE1621"/>
      <c r="AF1621"/>
      <c r="AJ1621"/>
    </row>
    <row r="1622" spans="24:36" x14ac:dyDescent="0.2">
      <c r="X1622" s="284"/>
      <c r="AA1622"/>
      <c r="AB1622"/>
      <c r="AC1622"/>
      <c r="AE1622"/>
      <c r="AF1622"/>
      <c r="AJ1622"/>
    </row>
    <row r="1623" spans="24:36" x14ac:dyDescent="0.2">
      <c r="X1623" s="284"/>
      <c r="AA1623"/>
      <c r="AB1623"/>
      <c r="AC1623"/>
      <c r="AE1623"/>
      <c r="AF1623"/>
      <c r="AJ1623"/>
    </row>
    <row r="1624" spans="24:36" x14ac:dyDescent="0.2">
      <c r="X1624" s="284"/>
      <c r="AA1624"/>
      <c r="AB1624"/>
      <c r="AC1624"/>
      <c r="AE1624"/>
      <c r="AF1624"/>
      <c r="AJ1624"/>
    </row>
    <row r="1625" spans="24:36" x14ac:dyDescent="0.2">
      <c r="X1625" s="284"/>
      <c r="AA1625"/>
      <c r="AB1625"/>
      <c r="AC1625"/>
      <c r="AE1625"/>
      <c r="AF1625"/>
      <c r="AJ1625"/>
    </row>
    <row r="1626" spans="24:36" x14ac:dyDescent="0.2">
      <c r="X1626" s="284"/>
      <c r="AA1626"/>
      <c r="AB1626"/>
      <c r="AC1626"/>
      <c r="AE1626"/>
      <c r="AF1626"/>
      <c r="AJ1626"/>
    </row>
    <row r="1627" spans="24:36" x14ac:dyDescent="0.2">
      <c r="X1627" s="284"/>
      <c r="AA1627"/>
      <c r="AB1627"/>
      <c r="AC1627"/>
      <c r="AE1627"/>
      <c r="AF1627"/>
      <c r="AJ1627"/>
    </row>
    <row r="1628" spans="24:36" x14ac:dyDescent="0.2">
      <c r="X1628" s="284"/>
      <c r="AA1628"/>
      <c r="AB1628"/>
      <c r="AC1628"/>
      <c r="AE1628"/>
      <c r="AF1628"/>
      <c r="AJ1628"/>
    </row>
    <row r="1629" spans="24:36" x14ac:dyDescent="0.2">
      <c r="X1629" s="284"/>
      <c r="AA1629"/>
      <c r="AB1629"/>
      <c r="AC1629"/>
      <c r="AE1629"/>
      <c r="AF1629"/>
      <c r="AJ1629"/>
    </row>
    <row r="1630" spans="24:36" x14ac:dyDescent="0.2">
      <c r="X1630" s="284"/>
      <c r="AA1630"/>
      <c r="AB1630"/>
      <c r="AC1630"/>
      <c r="AE1630"/>
      <c r="AF1630"/>
      <c r="AJ1630"/>
    </row>
    <row r="1631" spans="24:36" x14ac:dyDescent="0.2">
      <c r="X1631" s="284"/>
      <c r="AA1631"/>
      <c r="AB1631"/>
      <c r="AC1631"/>
      <c r="AE1631"/>
      <c r="AF1631"/>
      <c r="AJ1631"/>
    </row>
    <row r="1632" spans="24:36" x14ac:dyDescent="0.2">
      <c r="X1632" s="284"/>
      <c r="AA1632"/>
      <c r="AB1632"/>
      <c r="AC1632"/>
      <c r="AE1632"/>
      <c r="AF1632"/>
      <c r="AJ1632"/>
    </row>
    <row r="1633" spans="24:36" x14ac:dyDescent="0.2">
      <c r="X1633" s="284"/>
      <c r="AA1633"/>
      <c r="AB1633"/>
      <c r="AC1633"/>
      <c r="AE1633"/>
      <c r="AF1633"/>
      <c r="AJ1633"/>
    </row>
    <row r="1634" spans="24:36" x14ac:dyDescent="0.2">
      <c r="X1634" s="284"/>
      <c r="AA1634"/>
      <c r="AB1634"/>
      <c r="AC1634"/>
      <c r="AE1634"/>
      <c r="AF1634"/>
      <c r="AJ1634"/>
    </row>
    <row r="1635" spans="24:36" x14ac:dyDescent="0.2">
      <c r="X1635" s="284"/>
      <c r="AA1635"/>
      <c r="AB1635"/>
      <c r="AC1635"/>
      <c r="AE1635"/>
      <c r="AF1635"/>
      <c r="AJ1635"/>
    </row>
    <row r="1636" spans="24:36" x14ac:dyDescent="0.2">
      <c r="X1636" s="284"/>
      <c r="AA1636"/>
      <c r="AB1636"/>
      <c r="AC1636"/>
      <c r="AE1636"/>
      <c r="AF1636"/>
      <c r="AJ1636"/>
    </row>
    <row r="1637" spans="24:36" x14ac:dyDescent="0.2">
      <c r="X1637" s="284"/>
      <c r="AA1637"/>
      <c r="AB1637"/>
      <c r="AC1637"/>
      <c r="AE1637"/>
      <c r="AF1637"/>
      <c r="AJ1637"/>
    </row>
    <row r="1638" spans="24:36" x14ac:dyDescent="0.2">
      <c r="X1638" s="284"/>
      <c r="AA1638"/>
      <c r="AB1638"/>
      <c r="AC1638"/>
      <c r="AE1638"/>
      <c r="AF1638"/>
      <c r="AJ1638"/>
    </row>
    <row r="1639" spans="24:36" x14ac:dyDescent="0.2">
      <c r="X1639" s="284"/>
      <c r="AA1639"/>
      <c r="AB1639"/>
      <c r="AC1639"/>
      <c r="AE1639"/>
      <c r="AF1639"/>
      <c r="AJ1639"/>
    </row>
    <row r="1640" spans="24:36" x14ac:dyDescent="0.2">
      <c r="X1640" s="284"/>
      <c r="AA1640"/>
      <c r="AB1640"/>
      <c r="AC1640"/>
      <c r="AE1640"/>
      <c r="AF1640"/>
      <c r="AJ1640"/>
    </row>
    <row r="1641" spans="24:36" x14ac:dyDescent="0.2">
      <c r="X1641" s="284"/>
      <c r="AA1641"/>
      <c r="AB1641"/>
      <c r="AC1641"/>
      <c r="AE1641"/>
      <c r="AF1641"/>
      <c r="AJ1641"/>
    </row>
    <row r="1642" spans="24:36" x14ac:dyDescent="0.2">
      <c r="X1642" s="284"/>
      <c r="AA1642"/>
      <c r="AB1642"/>
      <c r="AC1642"/>
      <c r="AE1642"/>
      <c r="AF1642"/>
      <c r="AJ1642"/>
    </row>
    <row r="1643" spans="24:36" x14ac:dyDescent="0.2">
      <c r="X1643" s="284"/>
      <c r="AA1643"/>
      <c r="AB1643"/>
      <c r="AC1643"/>
      <c r="AE1643"/>
      <c r="AF1643"/>
      <c r="AJ1643"/>
    </row>
    <row r="1644" spans="24:36" x14ac:dyDescent="0.2">
      <c r="X1644" s="284"/>
      <c r="AA1644"/>
      <c r="AB1644"/>
      <c r="AC1644"/>
      <c r="AE1644"/>
      <c r="AF1644"/>
      <c r="AJ1644"/>
    </row>
    <row r="1645" spans="24:36" x14ac:dyDescent="0.2">
      <c r="X1645" s="284"/>
      <c r="AA1645"/>
      <c r="AB1645"/>
      <c r="AC1645"/>
      <c r="AE1645"/>
      <c r="AF1645"/>
      <c r="AJ1645"/>
    </row>
    <row r="1646" spans="24:36" x14ac:dyDescent="0.2">
      <c r="X1646" s="284"/>
      <c r="AA1646"/>
      <c r="AB1646"/>
      <c r="AC1646"/>
      <c r="AE1646"/>
      <c r="AF1646"/>
      <c r="AJ1646"/>
    </row>
    <row r="1647" spans="24:36" x14ac:dyDescent="0.2">
      <c r="X1647" s="284"/>
      <c r="AA1647"/>
      <c r="AB1647"/>
      <c r="AC1647"/>
      <c r="AE1647"/>
      <c r="AF1647"/>
      <c r="AJ1647"/>
    </row>
    <row r="1648" spans="24:36" x14ac:dyDescent="0.2">
      <c r="X1648" s="284"/>
      <c r="AA1648"/>
      <c r="AB1648"/>
      <c r="AC1648"/>
      <c r="AE1648"/>
      <c r="AF1648"/>
      <c r="AJ1648"/>
    </row>
    <row r="1649" spans="24:36" x14ac:dyDescent="0.2">
      <c r="X1649" s="284"/>
      <c r="AA1649"/>
      <c r="AB1649"/>
      <c r="AC1649"/>
      <c r="AE1649"/>
      <c r="AF1649"/>
      <c r="AJ1649"/>
    </row>
    <row r="1650" spans="24:36" x14ac:dyDescent="0.2">
      <c r="X1650" s="284"/>
      <c r="AA1650"/>
      <c r="AB1650"/>
      <c r="AC1650"/>
      <c r="AE1650"/>
      <c r="AF1650"/>
      <c r="AJ1650"/>
    </row>
    <row r="1651" spans="24:36" x14ac:dyDescent="0.2">
      <c r="X1651" s="284"/>
      <c r="AA1651"/>
      <c r="AB1651"/>
      <c r="AC1651"/>
      <c r="AE1651"/>
      <c r="AF1651"/>
      <c r="AJ1651"/>
    </row>
    <row r="1652" spans="24:36" x14ac:dyDescent="0.2">
      <c r="X1652" s="284"/>
      <c r="AA1652"/>
      <c r="AB1652"/>
      <c r="AC1652"/>
      <c r="AE1652"/>
      <c r="AF1652"/>
      <c r="AJ1652"/>
    </row>
    <row r="1653" spans="24:36" x14ac:dyDescent="0.2">
      <c r="X1653" s="284"/>
      <c r="AA1653"/>
      <c r="AB1653"/>
      <c r="AC1653"/>
      <c r="AE1653"/>
      <c r="AF1653"/>
      <c r="AJ1653"/>
    </row>
    <row r="1654" spans="24:36" x14ac:dyDescent="0.2">
      <c r="X1654" s="284"/>
      <c r="AA1654"/>
      <c r="AB1654"/>
      <c r="AC1654"/>
      <c r="AE1654"/>
      <c r="AF1654"/>
      <c r="AJ1654"/>
    </row>
    <row r="1655" spans="24:36" x14ac:dyDescent="0.2">
      <c r="X1655" s="284"/>
      <c r="AA1655"/>
      <c r="AB1655"/>
      <c r="AC1655"/>
      <c r="AE1655"/>
      <c r="AF1655"/>
      <c r="AJ1655"/>
    </row>
    <row r="1656" spans="24:36" x14ac:dyDescent="0.2">
      <c r="X1656" s="284"/>
      <c r="AA1656"/>
      <c r="AB1656"/>
      <c r="AC1656"/>
      <c r="AE1656"/>
      <c r="AF1656"/>
      <c r="AJ1656"/>
    </row>
    <row r="1657" spans="24:36" x14ac:dyDescent="0.2">
      <c r="X1657" s="284"/>
      <c r="AA1657"/>
      <c r="AB1657"/>
      <c r="AC1657"/>
      <c r="AE1657"/>
      <c r="AF1657"/>
      <c r="AJ1657"/>
    </row>
    <row r="1658" spans="24:36" x14ac:dyDescent="0.2">
      <c r="X1658" s="284"/>
      <c r="AA1658"/>
      <c r="AB1658"/>
      <c r="AC1658"/>
      <c r="AE1658"/>
      <c r="AF1658"/>
      <c r="AJ1658"/>
    </row>
    <row r="1659" spans="24:36" x14ac:dyDescent="0.2">
      <c r="X1659" s="284"/>
      <c r="AA1659"/>
      <c r="AB1659"/>
      <c r="AC1659"/>
      <c r="AE1659"/>
      <c r="AF1659"/>
      <c r="AJ1659"/>
    </row>
    <row r="1660" spans="24:36" x14ac:dyDescent="0.2">
      <c r="X1660" s="284"/>
      <c r="AA1660"/>
      <c r="AB1660"/>
      <c r="AC1660"/>
      <c r="AE1660"/>
      <c r="AF1660"/>
      <c r="AJ1660"/>
    </row>
    <row r="1661" spans="24:36" x14ac:dyDescent="0.2">
      <c r="X1661" s="284"/>
      <c r="AA1661"/>
      <c r="AB1661"/>
      <c r="AC1661"/>
      <c r="AE1661"/>
      <c r="AF1661"/>
      <c r="AJ1661"/>
    </row>
    <row r="1662" spans="24:36" x14ac:dyDescent="0.2">
      <c r="X1662" s="284"/>
      <c r="AA1662"/>
      <c r="AB1662"/>
      <c r="AC1662"/>
      <c r="AE1662"/>
      <c r="AF1662"/>
      <c r="AJ1662"/>
    </row>
    <row r="1663" spans="24:36" x14ac:dyDescent="0.2">
      <c r="X1663" s="284"/>
      <c r="AA1663"/>
      <c r="AB1663"/>
      <c r="AC1663"/>
      <c r="AE1663"/>
      <c r="AF1663"/>
      <c r="AJ1663"/>
    </row>
    <row r="1664" spans="24:36" x14ac:dyDescent="0.2">
      <c r="X1664" s="284"/>
      <c r="AA1664"/>
      <c r="AB1664"/>
      <c r="AC1664"/>
      <c r="AE1664"/>
      <c r="AF1664"/>
      <c r="AJ1664"/>
    </row>
    <row r="1665" spans="24:36" x14ac:dyDescent="0.2">
      <c r="X1665" s="284"/>
      <c r="AA1665"/>
      <c r="AB1665"/>
      <c r="AC1665"/>
      <c r="AE1665"/>
      <c r="AF1665"/>
      <c r="AJ1665"/>
    </row>
    <row r="1666" spans="24:36" x14ac:dyDescent="0.2">
      <c r="X1666" s="284"/>
      <c r="AA1666"/>
      <c r="AB1666"/>
      <c r="AC1666"/>
      <c r="AE1666"/>
      <c r="AF1666"/>
      <c r="AJ1666"/>
    </row>
    <row r="1667" spans="24:36" x14ac:dyDescent="0.2">
      <c r="X1667" s="284"/>
      <c r="AA1667"/>
      <c r="AB1667"/>
      <c r="AC1667"/>
      <c r="AE1667"/>
      <c r="AF1667"/>
      <c r="AJ1667"/>
    </row>
    <row r="1668" spans="24:36" x14ac:dyDescent="0.2">
      <c r="X1668" s="284"/>
      <c r="AA1668"/>
      <c r="AB1668"/>
      <c r="AC1668"/>
      <c r="AE1668"/>
      <c r="AF1668"/>
      <c r="AJ1668"/>
    </row>
    <row r="1669" spans="24:36" x14ac:dyDescent="0.2">
      <c r="X1669" s="284"/>
      <c r="AA1669"/>
      <c r="AB1669"/>
      <c r="AC1669"/>
      <c r="AE1669"/>
      <c r="AF1669"/>
      <c r="AJ1669"/>
    </row>
    <row r="1670" spans="24:36" x14ac:dyDescent="0.2">
      <c r="X1670" s="284"/>
      <c r="AA1670"/>
      <c r="AB1670"/>
      <c r="AC1670"/>
      <c r="AE1670"/>
      <c r="AF1670"/>
      <c r="AJ1670"/>
    </row>
    <row r="1671" spans="24:36" x14ac:dyDescent="0.2">
      <c r="X1671" s="284"/>
      <c r="AA1671"/>
      <c r="AB1671"/>
      <c r="AC1671"/>
      <c r="AE1671"/>
      <c r="AF1671"/>
      <c r="AJ1671"/>
    </row>
    <row r="1672" spans="24:36" x14ac:dyDescent="0.2">
      <c r="X1672" s="284"/>
      <c r="AA1672"/>
      <c r="AB1672"/>
      <c r="AC1672"/>
      <c r="AE1672"/>
      <c r="AF1672"/>
      <c r="AJ1672"/>
    </row>
    <row r="1673" spans="24:36" x14ac:dyDescent="0.2">
      <c r="X1673" s="284"/>
      <c r="AA1673"/>
      <c r="AB1673"/>
      <c r="AC1673"/>
      <c r="AE1673"/>
      <c r="AF1673"/>
      <c r="AJ1673"/>
    </row>
    <row r="1674" spans="24:36" x14ac:dyDescent="0.2">
      <c r="X1674" s="284"/>
      <c r="AA1674"/>
      <c r="AB1674"/>
      <c r="AC1674"/>
      <c r="AE1674"/>
      <c r="AF1674"/>
      <c r="AJ1674"/>
    </row>
    <row r="1675" spans="24:36" x14ac:dyDescent="0.2">
      <c r="X1675" s="284"/>
      <c r="AA1675"/>
      <c r="AB1675"/>
      <c r="AC1675"/>
      <c r="AE1675"/>
      <c r="AF1675"/>
      <c r="AJ1675"/>
    </row>
    <row r="1676" spans="24:36" x14ac:dyDescent="0.2">
      <c r="X1676" s="284"/>
      <c r="AA1676"/>
      <c r="AB1676"/>
      <c r="AC1676"/>
      <c r="AE1676"/>
      <c r="AF1676"/>
      <c r="AJ1676"/>
    </row>
    <row r="1677" spans="24:36" x14ac:dyDescent="0.2">
      <c r="X1677" s="284"/>
      <c r="AA1677"/>
      <c r="AB1677"/>
      <c r="AC1677"/>
      <c r="AE1677"/>
      <c r="AF1677"/>
      <c r="AJ1677"/>
    </row>
    <row r="1678" spans="24:36" x14ac:dyDescent="0.2">
      <c r="X1678" s="284"/>
      <c r="AA1678"/>
      <c r="AB1678"/>
      <c r="AC1678"/>
      <c r="AE1678"/>
      <c r="AF1678"/>
      <c r="AJ1678"/>
    </row>
    <row r="1679" spans="24:36" x14ac:dyDescent="0.2">
      <c r="X1679" s="284"/>
      <c r="AA1679"/>
      <c r="AB1679"/>
      <c r="AC1679"/>
      <c r="AE1679"/>
      <c r="AF1679"/>
      <c r="AJ1679"/>
    </row>
    <row r="1680" spans="24:36" x14ac:dyDescent="0.2">
      <c r="X1680" s="284"/>
      <c r="AA1680"/>
      <c r="AB1680"/>
      <c r="AC1680"/>
      <c r="AE1680"/>
      <c r="AF1680"/>
      <c r="AJ1680"/>
    </row>
    <row r="1681" spans="24:36" x14ac:dyDescent="0.2">
      <c r="X1681" s="284"/>
      <c r="AA1681"/>
      <c r="AB1681"/>
      <c r="AC1681"/>
      <c r="AE1681"/>
      <c r="AF1681"/>
      <c r="AJ1681"/>
    </row>
    <row r="1682" spans="24:36" x14ac:dyDescent="0.2">
      <c r="X1682" s="284"/>
      <c r="AA1682"/>
      <c r="AB1682"/>
      <c r="AC1682"/>
      <c r="AE1682"/>
      <c r="AF1682"/>
      <c r="AJ1682"/>
    </row>
    <row r="1683" spans="24:36" x14ac:dyDescent="0.2">
      <c r="X1683" s="284"/>
      <c r="AA1683"/>
      <c r="AB1683"/>
      <c r="AC1683"/>
      <c r="AE1683"/>
      <c r="AF1683"/>
      <c r="AJ1683"/>
    </row>
    <row r="1684" spans="24:36" x14ac:dyDescent="0.2">
      <c r="X1684" s="284"/>
      <c r="AA1684"/>
      <c r="AB1684"/>
      <c r="AC1684"/>
      <c r="AE1684"/>
      <c r="AF1684"/>
      <c r="AJ1684"/>
    </row>
    <row r="1685" spans="24:36" x14ac:dyDescent="0.2">
      <c r="X1685" s="284"/>
      <c r="AA1685"/>
      <c r="AB1685"/>
      <c r="AC1685"/>
      <c r="AE1685"/>
      <c r="AF1685"/>
      <c r="AJ1685"/>
    </row>
    <row r="1686" spans="24:36" x14ac:dyDescent="0.2">
      <c r="X1686" s="284"/>
      <c r="AA1686"/>
      <c r="AB1686"/>
      <c r="AC1686"/>
      <c r="AE1686"/>
      <c r="AF1686"/>
      <c r="AJ1686"/>
    </row>
    <row r="1687" spans="24:36" x14ac:dyDescent="0.2">
      <c r="X1687" s="284"/>
      <c r="AA1687"/>
      <c r="AB1687"/>
      <c r="AC1687"/>
      <c r="AE1687"/>
      <c r="AF1687"/>
      <c r="AJ1687"/>
    </row>
    <row r="1688" spans="24:36" x14ac:dyDescent="0.2">
      <c r="X1688" s="284"/>
      <c r="AA1688"/>
      <c r="AB1688"/>
      <c r="AC1688"/>
      <c r="AE1688"/>
      <c r="AF1688"/>
      <c r="AJ1688"/>
    </row>
    <row r="1689" spans="24:36" x14ac:dyDescent="0.2">
      <c r="X1689" s="284"/>
      <c r="AA1689"/>
      <c r="AB1689"/>
      <c r="AC1689"/>
      <c r="AE1689"/>
      <c r="AF1689"/>
      <c r="AJ1689"/>
    </row>
    <row r="1690" spans="24:36" x14ac:dyDescent="0.2">
      <c r="X1690" s="284"/>
      <c r="AA1690"/>
      <c r="AB1690"/>
      <c r="AC1690"/>
      <c r="AE1690"/>
      <c r="AF1690"/>
      <c r="AJ1690"/>
    </row>
    <row r="1691" spans="24:36" x14ac:dyDescent="0.2">
      <c r="X1691" s="284"/>
      <c r="AA1691"/>
      <c r="AB1691"/>
      <c r="AC1691"/>
      <c r="AE1691"/>
      <c r="AF1691"/>
      <c r="AJ1691"/>
    </row>
    <row r="1692" spans="24:36" x14ac:dyDescent="0.2">
      <c r="X1692" s="284"/>
      <c r="AA1692"/>
      <c r="AB1692"/>
      <c r="AC1692"/>
      <c r="AE1692"/>
      <c r="AF1692"/>
      <c r="AJ1692"/>
    </row>
    <row r="1693" spans="24:36" x14ac:dyDescent="0.2">
      <c r="X1693" s="284"/>
      <c r="AA1693"/>
      <c r="AB1693"/>
      <c r="AC1693"/>
      <c r="AE1693"/>
      <c r="AF1693"/>
      <c r="AJ1693"/>
    </row>
    <row r="1694" spans="24:36" x14ac:dyDescent="0.2">
      <c r="X1694" s="284"/>
      <c r="AA1694"/>
      <c r="AB1694"/>
      <c r="AC1694"/>
      <c r="AE1694"/>
      <c r="AF1694"/>
      <c r="AJ1694"/>
    </row>
    <row r="1695" spans="24:36" x14ac:dyDescent="0.2">
      <c r="X1695" s="284"/>
      <c r="AA1695"/>
      <c r="AB1695"/>
      <c r="AC1695"/>
      <c r="AE1695"/>
      <c r="AF1695"/>
      <c r="AJ1695"/>
    </row>
    <row r="1696" spans="24:36" x14ac:dyDescent="0.2">
      <c r="X1696" s="284"/>
      <c r="AA1696"/>
      <c r="AB1696"/>
      <c r="AC1696"/>
      <c r="AE1696"/>
      <c r="AF1696"/>
      <c r="AJ1696"/>
    </row>
    <row r="1697" spans="24:36" x14ac:dyDescent="0.2">
      <c r="X1697" s="284"/>
      <c r="AA1697"/>
      <c r="AB1697"/>
      <c r="AC1697"/>
      <c r="AE1697"/>
      <c r="AF1697"/>
      <c r="AJ1697"/>
    </row>
    <row r="1698" spans="24:36" x14ac:dyDescent="0.2">
      <c r="X1698" s="284"/>
      <c r="AA1698"/>
      <c r="AB1698"/>
      <c r="AC1698"/>
      <c r="AE1698"/>
      <c r="AF1698"/>
      <c r="AJ1698"/>
    </row>
    <row r="1699" spans="24:36" x14ac:dyDescent="0.2">
      <c r="X1699" s="284"/>
      <c r="AA1699"/>
      <c r="AB1699"/>
      <c r="AC1699"/>
      <c r="AE1699"/>
      <c r="AF1699"/>
      <c r="AJ1699"/>
    </row>
    <row r="1700" spans="24:36" x14ac:dyDescent="0.2">
      <c r="X1700" s="284"/>
      <c r="AA1700"/>
      <c r="AB1700"/>
      <c r="AC1700"/>
      <c r="AE1700"/>
      <c r="AF1700"/>
      <c r="AJ1700"/>
    </row>
    <row r="1701" spans="24:36" x14ac:dyDescent="0.2">
      <c r="X1701" s="284"/>
      <c r="AA1701"/>
      <c r="AB1701"/>
      <c r="AC1701"/>
      <c r="AE1701"/>
      <c r="AF1701"/>
      <c r="AJ1701"/>
    </row>
    <row r="1702" spans="24:36" x14ac:dyDescent="0.2">
      <c r="X1702" s="284"/>
      <c r="AA1702"/>
      <c r="AB1702"/>
      <c r="AC1702"/>
      <c r="AE1702"/>
      <c r="AF1702"/>
      <c r="AJ1702"/>
    </row>
    <row r="1703" spans="24:36" x14ac:dyDescent="0.2">
      <c r="X1703" s="284"/>
      <c r="AA1703"/>
      <c r="AB1703"/>
      <c r="AC1703"/>
      <c r="AE1703"/>
      <c r="AF1703"/>
      <c r="AJ1703"/>
    </row>
    <row r="1704" spans="24:36" x14ac:dyDescent="0.2">
      <c r="X1704" s="284"/>
      <c r="AA1704"/>
      <c r="AB1704"/>
      <c r="AC1704"/>
      <c r="AE1704"/>
      <c r="AF1704"/>
      <c r="AJ1704"/>
    </row>
    <row r="1705" spans="24:36" x14ac:dyDescent="0.2">
      <c r="X1705" s="284"/>
      <c r="AA1705"/>
      <c r="AB1705"/>
      <c r="AC1705"/>
      <c r="AE1705"/>
      <c r="AF1705"/>
      <c r="AJ1705"/>
    </row>
    <row r="1706" spans="24:36" x14ac:dyDescent="0.2">
      <c r="X1706" s="284"/>
      <c r="AA1706"/>
      <c r="AB1706"/>
      <c r="AC1706"/>
      <c r="AE1706"/>
      <c r="AF1706"/>
      <c r="AJ1706"/>
    </row>
    <row r="1707" spans="24:36" x14ac:dyDescent="0.2">
      <c r="X1707" s="284"/>
      <c r="AA1707"/>
      <c r="AB1707"/>
      <c r="AC1707"/>
      <c r="AE1707"/>
      <c r="AF1707"/>
      <c r="AJ1707"/>
    </row>
    <row r="1708" spans="24:36" x14ac:dyDescent="0.2">
      <c r="X1708" s="284"/>
      <c r="AA1708"/>
      <c r="AB1708"/>
      <c r="AC1708"/>
      <c r="AE1708"/>
      <c r="AF1708"/>
      <c r="AJ1708"/>
    </row>
    <row r="1709" spans="24:36" x14ac:dyDescent="0.2">
      <c r="X1709" s="284"/>
      <c r="AA1709"/>
      <c r="AB1709"/>
      <c r="AC1709"/>
      <c r="AE1709"/>
      <c r="AF1709"/>
      <c r="AJ1709"/>
    </row>
    <row r="1710" spans="24:36" x14ac:dyDescent="0.2">
      <c r="X1710" s="284"/>
      <c r="AA1710"/>
      <c r="AB1710"/>
      <c r="AC1710"/>
      <c r="AE1710"/>
      <c r="AF1710"/>
      <c r="AJ1710"/>
    </row>
    <row r="1711" spans="24:36" x14ac:dyDescent="0.2">
      <c r="X1711" s="284"/>
      <c r="AA1711"/>
      <c r="AB1711"/>
      <c r="AC1711"/>
      <c r="AE1711"/>
      <c r="AF1711"/>
      <c r="AJ1711"/>
    </row>
    <row r="1712" spans="24:36" x14ac:dyDescent="0.2">
      <c r="X1712" s="284"/>
      <c r="AA1712"/>
      <c r="AB1712"/>
      <c r="AC1712"/>
      <c r="AE1712"/>
      <c r="AF1712"/>
      <c r="AJ1712"/>
    </row>
    <row r="1713" spans="24:36" x14ac:dyDescent="0.2">
      <c r="X1713" s="284"/>
      <c r="AA1713"/>
      <c r="AB1713"/>
      <c r="AC1713"/>
      <c r="AE1713"/>
      <c r="AF1713"/>
      <c r="AJ1713"/>
    </row>
    <row r="1714" spans="24:36" x14ac:dyDescent="0.2">
      <c r="X1714" s="284"/>
      <c r="AA1714"/>
      <c r="AB1714"/>
      <c r="AC1714"/>
      <c r="AE1714"/>
      <c r="AF1714"/>
      <c r="AJ1714"/>
    </row>
    <row r="1715" spans="24:36" x14ac:dyDescent="0.2">
      <c r="X1715" s="284"/>
      <c r="AA1715"/>
      <c r="AB1715"/>
      <c r="AC1715"/>
      <c r="AE1715"/>
      <c r="AF1715"/>
      <c r="AJ1715"/>
    </row>
    <row r="1716" spans="24:36" x14ac:dyDescent="0.2">
      <c r="X1716" s="284"/>
      <c r="AA1716"/>
      <c r="AB1716"/>
      <c r="AC1716"/>
      <c r="AE1716"/>
      <c r="AF1716"/>
      <c r="AJ1716"/>
    </row>
    <row r="1717" spans="24:36" x14ac:dyDescent="0.2">
      <c r="X1717" s="284"/>
      <c r="AA1717"/>
      <c r="AB1717"/>
      <c r="AC1717"/>
      <c r="AE1717"/>
      <c r="AF1717"/>
      <c r="AJ1717"/>
    </row>
    <row r="1718" spans="24:36" x14ac:dyDescent="0.2">
      <c r="X1718" s="284"/>
      <c r="AA1718"/>
      <c r="AB1718"/>
      <c r="AC1718"/>
      <c r="AE1718"/>
      <c r="AF1718"/>
      <c r="AJ1718"/>
    </row>
    <row r="1719" spans="24:36" x14ac:dyDescent="0.2">
      <c r="X1719" s="284"/>
      <c r="AA1719"/>
      <c r="AB1719"/>
      <c r="AC1719"/>
      <c r="AE1719"/>
      <c r="AF1719"/>
      <c r="AJ1719"/>
    </row>
    <row r="1720" spans="24:36" x14ac:dyDescent="0.2">
      <c r="X1720" s="284"/>
      <c r="AA1720"/>
      <c r="AB1720"/>
      <c r="AC1720"/>
      <c r="AE1720"/>
      <c r="AF1720"/>
      <c r="AJ1720"/>
    </row>
    <row r="1721" spans="24:36" x14ac:dyDescent="0.2">
      <c r="X1721" s="284"/>
      <c r="AA1721"/>
      <c r="AB1721"/>
      <c r="AC1721"/>
      <c r="AE1721"/>
      <c r="AF1721"/>
      <c r="AJ1721"/>
    </row>
    <row r="1722" spans="24:36" x14ac:dyDescent="0.2">
      <c r="X1722" s="284"/>
      <c r="AA1722"/>
      <c r="AB1722"/>
      <c r="AC1722"/>
      <c r="AE1722"/>
      <c r="AF1722"/>
      <c r="AJ1722"/>
    </row>
    <row r="1723" spans="24:36" x14ac:dyDescent="0.2">
      <c r="X1723" s="284"/>
      <c r="AA1723"/>
      <c r="AB1723"/>
      <c r="AC1723"/>
      <c r="AE1723"/>
      <c r="AF1723"/>
      <c r="AJ1723"/>
    </row>
    <row r="1724" spans="24:36" x14ac:dyDescent="0.2">
      <c r="X1724" s="284"/>
      <c r="AA1724"/>
      <c r="AB1724"/>
      <c r="AC1724"/>
      <c r="AE1724"/>
      <c r="AF1724"/>
      <c r="AJ1724"/>
    </row>
    <row r="1725" spans="24:36" x14ac:dyDescent="0.2">
      <c r="X1725" s="284"/>
      <c r="AA1725"/>
      <c r="AB1725"/>
      <c r="AC1725"/>
      <c r="AE1725"/>
      <c r="AF1725"/>
      <c r="AJ1725"/>
    </row>
    <row r="1726" spans="24:36" x14ac:dyDescent="0.2">
      <c r="X1726" s="284"/>
      <c r="AA1726"/>
      <c r="AB1726"/>
      <c r="AC1726"/>
      <c r="AE1726"/>
      <c r="AF1726"/>
      <c r="AJ1726"/>
    </row>
    <row r="1727" spans="24:36" x14ac:dyDescent="0.2">
      <c r="X1727" s="284"/>
      <c r="AA1727"/>
      <c r="AB1727"/>
      <c r="AC1727"/>
      <c r="AE1727"/>
      <c r="AF1727"/>
      <c r="AJ1727"/>
    </row>
    <row r="1728" spans="24:36" x14ac:dyDescent="0.2">
      <c r="X1728" s="284"/>
      <c r="AA1728"/>
      <c r="AB1728"/>
      <c r="AC1728"/>
      <c r="AE1728"/>
      <c r="AF1728"/>
      <c r="AJ1728"/>
    </row>
    <row r="1729" spans="24:36" x14ac:dyDescent="0.2">
      <c r="X1729" s="284"/>
      <c r="AA1729"/>
      <c r="AB1729"/>
      <c r="AC1729"/>
      <c r="AE1729"/>
      <c r="AF1729"/>
      <c r="AJ1729"/>
    </row>
    <row r="1730" spans="24:36" x14ac:dyDescent="0.2">
      <c r="X1730" s="284"/>
      <c r="AA1730"/>
      <c r="AB1730"/>
      <c r="AC1730"/>
      <c r="AE1730"/>
      <c r="AF1730"/>
      <c r="AJ1730"/>
    </row>
    <row r="1731" spans="24:36" x14ac:dyDescent="0.2">
      <c r="X1731" s="284"/>
      <c r="AA1731"/>
      <c r="AB1731"/>
      <c r="AC1731"/>
      <c r="AE1731"/>
      <c r="AF1731"/>
      <c r="AJ1731"/>
    </row>
    <row r="1732" spans="24:36" x14ac:dyDescent="0.2">
      <c r="X1732" s="284"/>
      <c r="AA1732"/>
      <c r="AB1732"/>
      <c r="AC1732"/>
      <c r="AE1732"/>
      <c r="AF1732"/>
      <c r="AJ1732"/>
    </row>
    <row r="1733" spans="24:36" x14ac:dyDescent="0.2">
      <c r="X1733" s="284"/>
      <c r="AA1733"/>
      <c r="AB1733"/>
      <c r="AC1733"/>
      <c r="AE1733"/>
      <c r="AF1733"/>
      <c r="AJ1733"/>
    </row>
    <row r="1734" spans="24:36" x14ac:dyDescent="0.2">
      <c r="X1734" s="284"/>
      <c r="AA1734"/>
      <c r="AB1734"/>
      <c r="AC1734"/>
      <c r="AE1734"/>
      <c r="AF1734"/>
      <c r="AJ1734"/>
    </row>
    <row r="1735" spans="24:36" x14ac:dyDescent="0.2">
      <c r="X1735" s="284"/>
      <c r="AA1735"/>
      <c r="AB1735"/>
      <c r="AC1735"/>
      <c r="AE1735"/>
      <c r="AF1735"/>
      <c r="AJ1735"/>
    </row>
    <row r="1736" spans="24:36" x14ac:dyDescent="0.2">
      <c r="X1736" s="284"/>
      <c r="AA1736"/>
      <c r="AB1736"/>
      <c r="AC1736"/>
      <c r="AE1736"/>
      <c r="AF1736"/>
      <c r="AJ1736"/>
    </row>
    <row r="1737" spans="24:36" x14ac:dyDescent="0.2">
      <c r="X1737" s="284"/>
      <c r="AA1737"/>
      <c r="AB1737"/>
      <c r="AC1737"/>
      <c r="AE1737"/>
      <c r="AF1737"/>
      <c r="AJ1737"/>
    </row>
    <row r="1738" spans="24:36" x14ac:dyDescent="0.2">
      <c r="X1738" s="284"/>
      <c r="AA1738"/>
      <c r="AB1738"/>
      <c r="AC1738"/>
      <c r="AE1738"/>
      <c r="AF1738"/>
      <c r="AJ1738"/>
    </row>
    <row r="1739" spans="24:36" x14ac:dyDescent="0.2">
      <c r="X1739" s="284"/>
      <c r="AA1739"/>
      <c r="AB1739"/>
      <c r="AC1739"/>
      <c r="AE1739"/>
      <c r="AF1739"/>
      <c r="AJ1739"/>
    </row>
    <row r="1740" spans="24:36" x14ac:dyDescent="0.2">
      <c r="X1740" s="284"/>
      <c r="AA1740"/>
      <c r="AB1740"/>
      <c r="AC1740"/>
      <c r="AE1740"/>
      <c r="AF1740"/>
      <c r="AJ1740"/>
    </row>
    <row r="1741" spans="24:36" x14ac:dyDescent="0.2">
      <c r="X1741" s="284"/>
      <c r="AA1741"/>
      <c r="AB1741"/>
      <c r="AC1741"/>
      <c r="AE1741"/>
      <c r="AF1741"/>
      <c r="AJ1741"/>
    </row>
    <row r="1742" spans="24:36" x14ac:dyDescent="0.2">
      <c r="X1742" s="284"/>
      <c r="AA1742"/>
      <c r="AB1742"/>
      <c r="AC1742"/>
      <c r="AE1742"/>
      <c r="AF1742"/>
      <c r="AJ1742"/>
    </row>
    <row r="1743" spans="24:36" x14ac:dyDescent="0.2">
      <c r="X1743" s="284"/>
      <c r="AA1743"/>
      <c r="AB1743"/>
      <c r="AC1743"/>
      <c r="AE1743"/>
      <c r="AF1743"/>
      <c r="AJ1743"/>
    </row>
    <row r="1744" spans="24:36" x14ac:dyDescent="0.2">
      <c r="X1744" s="284"/>
      <c r="AA1744"/>
      <c r="AB1744"/>
      <c r="AC1744"/>
      <c r="AE1744"/>
      <c r="AF1744"/>
      <c r="AJ1744"/>
    </row>
    <row r="1745" spans="24:36" x14ac:dyDescent="0.2">
      <c r="X1745" s="284"/>
      <c r="AA1745"/>
      <c r="AB1745"/>
      <c r="AC1745"/>
      <c r="AE1745"/>
      <c r="AF1745"/>
      <c r="AJ1745"/>
    </row>
    <row r="1746" spans="24:36" x14ac:dyDescent="0.2">
      <c r="X1746" s="284"/>
      <c r="AA1746"/>
      <c r="AB1746"/>
      <c r="AC1746"/>
      <c r="AE1746"/>
      <c r="AF1746"/>
      <c r="AJ1746"/>
    </row>
    <row r="1747" spans="24:36" x14ac:dyDescent="0.2">
      <c r="X1747" s="284"/>
      <c r="AA1747"/>
      <c r="AB1747"/>
      <c r="AC1747"/>
      <c r="AE1747"/>
      <c r="AF1747"/>
      <c r="AJ1747"/>
    </row>
    <row r="1748" spans="24:36" x14ac:dyDescent="0.2">
      <c r="X1748" s="284"/>
      <c r="AA1748"/>
      <c r="AB1748"/>
      <c r="AC1748"/>
      <c r="AE1748"/>
      <c r="AF1748"/>
      <c r="AJ1748"/>
    </row>
    <row r="1749" spans="24:36" x14ac:dyDescent="0.2">
      <c r="X1749" s="284"/>
      <c r="AA1749"/>
      <c r="AB1749"/>
      <c r="AC1749"/>
      <c r="AE1749"/>
      <c r="AF1749"/>
      <c r="AJ1749"/>
    </row>
    <row r="1750" spans="24:36" x14ac:dyDescent="0.2">
      <c r="X1750" s="284"/>
      <c r="AA1750"/>
      <c r="AB1750"/>
      <c r="AC1750"/>
      <c r="AE1750"/>
      <c r="AF1750"/>
      <c r="AJ1750"/>
    </row>
    <row r="1751" spans="24:36" x14ac:dyDescent="0.2">
      <c r="X1751" s="284"/>
      <c r="AA1751"/>
      <c r="AB1751"/>
      <c r="AC1751"/>
      <c r="AE1751"/>
      <c r="AF1751"/>
      <c r="AJ1751"/>
    </row>
    <row r="1752" spans="24:36" x14ac:dyDescent="0.2">
      <c r="X1752" s="284"/>
      <c r="AA1752"/>
      <c r="AB1752"/>
      <c r="AC1752"/>
      <c r="AE1752"/>
      <c r="AF1752"/>
      <c r="AJ1752"/>
    </row>
    <row r="1753" spans="24:36" x14ac:dyDescent="0.2">
      <c r="X1753" s="284"/>
      <c r="AA1753"/>
      <c r="AB1753"/>
      <c r="AC1753"/>
      <c r="AE1753"/>
      <c r="AF1753"/>
      <c r="AJ1753"/>
    </row>
    <row r="1754" spans="24:36" x14ac:dyDescent="0.2">
      <c r="X1754" s="284"/>
      <c r="AA1754"/>
      <c r="AB1754"/>
      <c r="AC1754"/>
      <c r="AE1754"/>
      <c r="AF1754"/>
      <c r="AJ1754"/>
    </row>
    <row r="1755" spans="24:36" x14ac:dyDescent="0.2">
      <c r="X1755" s="284"/>
      <c r="AA1755"/>
      <c r="AB1755"/>
      <c r="AC1755"/>
      <c r="AE1755"/>
      <c r="AF1755"/>
      <c r="AJ1755"/>
    </row>
    <row r="1756" spans="24:36" x14ac:dyDescent="0.2">
      <c r="X1756" s="284"/>
      <c r="AA1756"/>
      <c r="AB1756"/>
      <c r="AC1756"/>
      <c r="AE1756"/>
      <c r="AF1756"/>
      <c r="AJ1756"/>
    </row>
    <row r="1757" spans="24:36" x14ac:dyDescent="0.2">
      <c r="X1757" s="284"/>
      <c r="AA1757"/>
      <c r="AB1757"/>
      <c r="AC1757"/>
      <c r="AE1757"/>
      <c r="AF1757"/>
      <c r="AJ1757"/>
    </row>
    <row r="1758" spans="24:36" x14ac:dyDescent="0.2">
      <c r="X1758" s="284"/>
      <c r="AA1758"/>
      <c r="AB1758"/>
      <c r="AC1758"/>
      <c r="AE1758"/>
      <c r="AF1758"/>
      <c r="AJ1758"/>
    </row>
    <row r="1759" spans="24:36" x14ac:dyDescent="0.2">
      <c r="X1759" s="284"/>
      <c r="AA1759"/>
      <c r="AB1759"/>
      <c r="AC1759"/>
      <c r="AE1759"/>
      <c r="AF1759"/>
      <c r="AJ1759"/>
    </row>
    <row r="1760" spans="24:36" x14ac:dyDescent="0.2">
      <c r="X1760" s="284"/>
      <c r="AA1760"/>
      <c r="AB1760"/>
      <c r="AC1760"/>
      <c r="AE1760"/>
      <c r="AF1760"/>
      <c r="AJ1760"/>
    </row>
    <row r="1761" spans="24:36" x14ac:dyDescent="0.2">
      <c r="X1761" s="284"/>
      <c r="AA1761"/>
      <c r="AB1761"/>
      <c r="AC1761"/>
      <c r="AE1761"/>
      <c r="AF1761"/>
      <c r="AJ1761"/>
    </row>
    <row r="1762" spans="24:36" x14ac:dyDescent="0.2">
      <c r="X1762" s="284"/>
      <c r="AA1762"/>
      <c r="AB1762"/>
      <c r="AC1762"/>
      <c r="AE1762"/>
      <c r="AF1762"/>
      <c r="AJ1762"/>
    </row>
    <row r="1763" spans="24:36" x14ac:dyDescent="0.2">
      <c r="X1763" s="284"/>
      <c r="AA1763"/>
      <c r="AB1763"/>
      <c r="AC1763"/>
      <c r="AE1763"/>
      <c r="AF1763"/>
      <c r="AJ1763"/>
    </row>
    <row r="1764" spans="24:36" x14ac:dyDescent="0.2">
      <c r="X1764" s="284"/>
      <c r="AA1764"/>
      <c r="AB1764"/>
      <c r="AC1764"/>
      <c r="AE1764"/>
      <c r="AF1764"/>
      <c r="AJ1764"/>
    </row>
    <row r="1765" spans="24:36" x14ac:dyDescent="0.2">
      <c r="X1765" s="284"/>
      <c r="AA1765"/>
      <c r="AB1765"/>
      <c r="AC1765"/>
      <c r="AE1765"/>
      <c r="AF1765"/>
      <c r="AJ1765"/>
    </row>
    <row r="1766" spans="24:36" x14ac:dyDescent="0.2">
      <c r="X1766" s="284"/>
      <c r="AA1766"/>
      <c r="AB1766"/>
      <c r="AC1766"/>
      <c r="AE1766"/>
      <c r="AF1766"/>
      <c r="AJ1766"/>
    </row>
    <row r="1767" spans="24:36" x14ac:dyDescent="0.2">
      <c r="X1767" s="284"/>
      <c r="AA1767"/>
      <c r="AB1767"/>
      <c r="AC1767"/>
      <c r="AE1767"/>
      <c r="AF1767"/>
      <c r="AJ1767"/>
    </row>
    <row r="1768" spans="24:36" x14ac:dyDescent="0.2">
      <c r="X1768" s="284"/>
      <c r="AA1768"/>
      <c r="AB1768"/>
      <c r="AC1768"/>
      <c r="AE1768"/>
      <c r="AF1768"/>
      <c r="AJ1768"/>
    </row>
    <row r="1769" spans="24:36" x14ac:dyDescent="0.2">
      <c r="X1769" s="284"/>
      <c r="AA1769"/>
      <c r="AB1769"/>
      <c r="AC1769"/>
      <c r="AE1769"/>
      <c r="AF1769"/>
      <c r="AJ1769"/>
    </row>
    <row r="1770" spans="24:36" x14ac:dyDescent="0.2">
      <c r="X1770" s="284"/>
      <c r="AA1770"/>
      <c r="AB1770"/>
      <c r="AC1770"/>
      <c r="AE1770"/>
      <c r="AF1770"/>
      <c r="AJ1770"/>
    </row>
    <row r="1771" spans="24:36" x14ac:dyDescent="0.2">
      <c r="X1771" s="284"/>
      <c r="AA1771"/>
      <c r="AB1771"/>
      <c r="AC1771"/>
      <c r="AE1771"/>
      <c r="AF1771"/>
      <c r="AJ1771"/>
    </row>
    <row r="1772" spans="24:36" x14ac:dyDescent="0.2">
      <c r="X1772" s="284"/>
      <c r="AA1772"/>
      <c r="AB1772"/>
      <c r="AC1772"/>
      <c r="AE1772"/>
      <c r="AF1772"/>
      <c r="AJ1772"/>
    </row>
    <row r="1773" spans="24:36" x14ac:dyDescent="0.2">
      <c r="X1773" s="284"/>
      <c r="AA1773"/>
      <c r="AB1773"/>
      <c r="AC1773"/>
      <c r="AE1773"/>
      <c r="AF1773"/>
      <c r="AJ1773"/>
    </row>
    <row r="1774" spans="24:36" x14ac:dyDescent="0.2">
      <c r="X1774" s="284"/>
      <c r="AA1774"/>
      <c r="AB1774"/>
      <c r="AC1774"/>
      <c r="AE1774"/>
      <c r="AF1774"/>
      <c r="AJ1774"/>
    </row>
    <row r="1775" spans="24:36" x14ac:dyDescent="0.2">
      <c r="X1775" s="284"/>
      <c r="AA1775"/>
      <c r="AB1775"/>
      <c r="AC1775"/>
      <c r="AE1775"/>
      <c r="AF1775"/>
      <c r="AJ1775"/>
    </row>
    <row r="1776" spans="24:36" x14ac:dyDescent="0.2">
      <c r="X1776" s="284"/>
      <c r="AA1776"/>
      <c r="AB1776"/>
      <c r="AC1776"/>
      <c r="AE1776"/>
      <c r="AF1776"/>
      <c r="AJ1776"/>
    </row>
    <row r="1777" spans="24:36" x14ac:dyDescent="0.2">
      <c r="X1777" s="284"/>
      <c r="AA1777"/>
      <c r="AB1777"/>
      <c r="AC1777"/>
      <c r="AE1777"/>
      <c r="AF1777"/>
      <c r="AJ1777"/>
    </row>
    <row r="1778" spans="24:36" x14ac:dyDescent="0.2">
      <c r="X1778" s="284"/>
      <c r="AA1778"/>
      <c r="AB1778"/>
      <c r="AC1778"/>
      <c r="AE1778"/>
      <c r="AF1778"/>
      <c r="AJ1778"/>
    </row>
    <row r="1779" spans="24:36" x14ac:dyDescent="0.2">
      <c r="X1779" s="284"/>
      <c r="AA1779"/>
      <c r="AB1779"/>
      <c r="AC1779"/>
      <c r="AE1779"/>
      <c r="AF1779"/>
      <c r="AJ1779"/>
    </row>
    <row r="1780" spans="24:36" x14ac:dyDescent="0.2">
      <c r="X1780" s="284"/>
      <c r="AA1780"/>
      <c r="AB1780"/>
      <c r="AC1780"/>
      <c r="AE1780"/>
      <c r="AF1780"/>
      <c r="AJ1780"/>
    </row>
    <row r="1781" spans="24:36" x14ac:dyDescent="0.2">
      <c r="X1781" s="284"/>
      <c r="AA1781"/>
      <c r="AB1781"/>
      <c r="AC1781"/>
      <c r="AE1781"/>
      <c r="AF1781"/>
      <c r="AJ1781"/>
    </row>
    <row r="1782" spans="24:36" x14ac:dyDescent="0.2">
      <c r="X1782" s="284"/>
      <c r="AA1782"/>
      <c r="AB1782"/>
      <c r="AC1782"/>
      <c r="AE1782"/>
      <c r="AF1782"/>
      <c r="AJ1782"/>
    </row>
    <row r="1783" spans="24:36" x14ac:dyDescent="0.2">
      <c r="X1783" s="284"/>
      <c r="AA1783"/>
      <c r="AB1783"/>
      <c r="AC1783"/>
      <c r="AE1783"/>
      <c r="AF1783"/>
      <c r="AJ1783"/>
    </row>
    <row r="1784" spans="24:36" x14ac:dyDescent="0.2">
      <c r="X1784" s="284"/>
      <c r="AA1784"/>
      <c r="AB1784"/>
      <c r="AC1784"/>
      <c r="AE1784"/>
      <c r="AF1784"/>
      <c r="AJ1784"/>
    </row>
    <row r="1785" spans="24:36" x14ac:dyDescent="0.2">
      <c r="X1785" s="284"/>
      <c r="AA1785"/>
      <c r="AB1785"/>
      <c r="AC1785"/>
      <c r="AE1785"/>
      <c r="AF1785"/>
      <c r="AJ1785"/>
    </row>
    <row r="1786" spans="24:36" x14ac:dyDescent="0.2">
      <c r="X1786" s="284"/>
      <c r="AA1786"/>
      <c r="AB1786"/>
      <c r="AC1786"/>
      <c r="AE1786"/>
      <c r="AF1786"/>
      <c r="AJ1786"/>
    </row>
    <row r="1787" spans="24:36" x14ac:dyDescent="0.2">
      <c r="X1787" s="284"/>
      <c r="AA1787"/>
      <c r="AB1787"/>
      <c r="AC1787"/>
      <c r="AE1787"/>
      <c r="AF1787"/>
      <c r="AJ1787"/>
    </row>
    <row r="1788" spans="24:36" x14ac:dyDescent="0.2">
      <c r="X1788" s="284"/>
      <c r="AA1788"/>
      <c r="AB1788"/>
      <c r="AC1788"/>
      <c r="AE1788"/>
      <c r="AF1788"/>
      <c r="AJ1788"/>
    </row>
    <row r="1789" spans="24:36" x14ac:dyDescent="0.2">
      <c r="X1789" s="284"/>
      <c r="AA1789"/>
      <c r="AB1789"/>
      <c r="AC1789"/>
      <c r="AE1789"/>
      <c r="AF1789"/>
      <c r="AJ1789"/>
    </row>
    <row r="1790" spans="24:36" x14ac:dyDescent="0.2">
      <c r="X1790" s="284"/>
      <c r="AA1790"/>
      <c r="AB1790"/>
      <c r="AC1790"/>
      <c r="AE1790"/>
      <c r="AF1790"/>
      <c r="AJ1790"/>
    </row>
    <row r="1791" spans="24:36" x14ac:dyDescent="0.2">
      <c r="X1791" s="284"/>
      <c r="AA1791"/>
      <c r="AB1791"/>
      <c r="AC1791"/>
      <c r="AE1791"/>
      <c r="AF1791"/>
      <c r="AJ1791"/>
    </row>
    <row r="1792" spans="24:36" x14ac:dyDescent="0.2">
      <c r="X1792" s="284"/>
      <c r="AA1792"/>
      <c r="AB1792"/>
      <c r="AC1792"/>
      <c r="AE1792"/>
      <c r="AF1792"/>
      <c r="AJ1792"/>
    </row>
    <row r="1793" spans="24:36" x14ac:dyDescent="0.2">
      <c r="X1793" s="284"/>
      <c r="AA1793"/>
      <c r="AB1793"/>
      <c r="AC1793"/>
      <c r="AE1793"/>
      <c r="AF1793"/>
      <c r="AJ1793"/>
    </row>
    <row r="1794" spans="24:36" x14ac:dyDescent="0.2">
      <c r="X1794" s="284"/>
      <c r="AA1794"/>
      <c r="AB1794"/>
      <c r="AC1794"/>
      <c r="AE1794"/>
      <c r="AF1794"/>
      <c r="AJ1794"/>
    </row>
    <row r="1795" spans="24:36" x14ac:dyDescent="0.2">
      <c r="X1795" s="284"/>
      <c r="AA1795"/>
      <c r="AB1795"/>
      <c r="AC1795"/>
      <c r="AE1795"/>
      <c r="AF1795"/>
      <c r="AJ1795"/>
    </row>
    <row r="1796" spans="24:36" x14ac:dyDescent="0.2">
      <c r="X1796" s="284"/>
      <c r="AA1796"/>
      <c r="AB1796"/>
      <c r="AC1796"/>
      <c r="AE1796"/>
      <c r="AF1796"/>
      <c r="AJ1796"/>
    </row>
    <row r="1797" spans="24:36" x14ac:dyDescent="0.2">
      <c r="X1797" s="284"/>
      <c r="AA1797"/>
      <c r="AB1797"/>
      <c r="AC1797"/>
      <c r="AE1797"/>
      <c r="AF1797"/>
      <c r="AJ1797"/>
    </row>
    <row r="1798" spans="24:36" x14ac:dyDescent="0.2">
      <c r="X1798" s="284"/>
      <c r="AA1798"/>
      <c r="AB1798"/>
      <c r="AC1798"/>
      <c r="AE1798"/>
      <c r="AF1798"/>
      <c r="AJ1798"/>
    </row>
    <row r="1799" spans="24:36" x14ac:dyDescent="0.2">
      <c r="X1799" s="284"/>
      <c r="AA1799"/>
      <c r="AB1799"/>
      <c r="AC1799"/>
      <c r="AE1799"/>
      <c r="AF1799"/>
      <c r="AJ1799"/>
    </row>
    <row r="1800" spans="24:36" x14ac:dyDescent="0.2">
      <c r="X1800" s="284"/>
      <c r="AA1800"/>
      <c r="AB1800"/>
      <c r="AC1800"/>
      <c r="AE1800"/>
      <c r="AF1800"/>
      <c r="AJ1800"/>
    </row>
    <row r="1801" spans="24:36" x14ac:dyDescent="0.2">
      <c r="X1801" s="284"/>
      <c r="AA1801"/>
      <c r="AB1801"/>
      <c r="AC1801"/>
      <c r="AE1801"/>
      <c r="AF1801"/>
      <c r="AJ1801"/>
    </row>
    <row r="1802" spans="24:36" x14ac:dyDescent="0.2">
      <c r="X1802" s="284"/>
      <c r="AA1802"/>
      <c r="AB1802"/>
      <c r="AC1802"/>
      <c r="AE1802"/>
      <c r="AF1802"/>
      <c r="AJ1802"/>
    </row>
    <row r="1803" spans="24:36" x14ac:dyDescent="0.2">
      <c r="X1803" s="284"/>
      <c r="AA1803"/>
      <c r="AB1803"/>
      <c r="AC1803"/>
      <c r="AE1803"/>
      <c r="AF1803"/>
      <c r="AJ1803"/>
    </row>
    <row r="1804" spans="24:36" x14ac:dyDescent="0.2">
      <c r="X1804" s="284"/>
      <c r="AA1804"/>
      <c r="AB1804"/>
      <c r="AC1804"/>
      <c r="AE1804"/>
      <c r="AF1804"/>
      <c r="AJ1804"/>
    </row>
    <row r="1805" spans="24:36" x14ac:dyDescent="0.2">
      <c r="X1805" s="284"/>
      <c r="AA1805"/>
      <c r="AB1805"/>
      <c r="AC1805"/>
      <c r="AE1805"/>
      <c r="AF1805"/>
      <c r="AJ1805"/>
    </row>
    <row r="1806" spans="24:36" x14ac:dyDescent="0.2">
      <c r="X1806" s="284"/>
      <c r="AA1806"/>
      <c r="AB1806"/>
      <c r="AC1806"/>
      <c r="AE1806"/>
      <c r="AF1806"/>
      <c r="AJ1806"/>
    </row>
    <row r="1807" spans="24:36" x14ac:dyDescent="0.2">
      <c r="X1807" s="284"/>
      <c r="AA1807"/>
      <c r="AB1807"/>
      <c r="AC1807"/>
      <c r="AE1807"/>
      <c r="AF1807"/>
      <c r="AJ1807"/>
    </row>
    <row r="1808" spans="24:36" x14ac:dyDescent="0.2">
      <c r="X1808" s="284"/>
      <c r="AA1808"/>
      <c r="AB1808"/>
      <c r="AC1808"/>
      <c r="AE1808"/>
      <c r="AF1808"/>
      <c r="AJ1808"/>
    </row>
    <row r="1809" spans="24:36" x14ac:dyDescent="0.2">
      <c r="X1809" s="284"/>
      <c r="AA1809"/>
      <c r="AB1809"/>
      <c r="AC1809"/>
      <c r="AE1809"/>
      <c r="AF1809"/>
      <c r="AJ1809"/>
    </row>
    <row r="1810" spans="24:36" x14ac:dyDescent="0.2">
      <c r="X1810" s="284"/>
      <c r="AA1810"/>
      <c r="AB1810"/>
      <c r="AC1810"/>
      <c r="AE1810"/>
      <c r="AF1810"/>
      <c r="AJ1810"/>
    </row>
    <row r="1811" spans="24:36" x14ac:dyDescent="0.2">
      <c r="X1811" s="284"/>
      <c r="AA1811"/>
      <c r="AB1811"/>
      <c r="AC1811"/>
      <c r="AE1811"/>
      <c r="AF1811"/>
      <c r="AJ1811"/>
    </row>
    <row r="1812" spans="24:36" x14ac:dyDescent="0.2">
      <c r="X1812" s="284"/>
      <c r="AA1812"/>
      <c r="AB1812"/>
      <c r="AC1812"/>
      <c r="AE1812"/>
      <c r="AF1812"/>
      <c r="AJ1812"/>
    </row>
    <row r="1813" spans="24:36" x14ac:dyDescent="0.2">
      <c r="X1813" s="284"/>
      <c r="AA1813"/>
      <c r="AB1813"/>
      <c r="AC1813"/>
      <c r="AE1813"/>
      <c r="AF1813"/>
      <c r="AJ1813"/>
    </row>
    <row r="1814" spans="24:36" x14ac:dyDescent="0.2">
      <c r="X1814" s="284"/>
      <c r="AA1814"/>
      <c r="AB1814"/>
      <c r="AC1814"/>
      <c r="AE1814"/>
      <c r="AF1814"/>
      <c r="AJ1814"/>
    </row>
    <row r="1815" spans="24:36" x14ac:dyDescent="0.2">
      <c r="X1815" s="284"/>
      <c r="AA1815"/>
      <c r="AB1815"/>
      <c r="AC1815"/>
      <c r="AE1815"/>
      <c r="AF1815"/>
      <c r="AJ1815"/>
    </row>
    <row r="1816" spans="24:36" x14ac:dyDescent="0.2">
      <c r="X1816" s="284"/>
      <c r="AA1816"/>
      <c r="AB1816"/>
      <c r="AC1816"/>
      <c r="AE1816"/>
      <c r="AF1816"/>
      <c r="AJ1816"/>
    </row>
    <row r="1817" spans="24:36" x14ac:dyDescent="0.2">
      <c r="X1817" s="284"/>
      <c r="AA1817"/>
      <c r="AB1817"/>
      <c r="AC1817"/>
      <c r="AE1817"/>
      <c r="AF1817"/>
      <c r="AJ1817"/>
    </row>
    <row r="1818" spans="24:36" x14ac:dyDescent="0.2">
      <c r="X1818" s="284"/>
      <c r="AA1818"/>
      <c r="AB1818"/>
      <c r="AC1818"/>
      <c r="AE1818"/>
      <c r="AF1818"/>
      <c r="AJ1818"/>
    </row>
    <row r="1819" spans="24:36" x14ac:dyDescent="0.2">
      <c r="X1819" s="284"/>
      <c r="AA1819"/>
      <c r="AB1819"/>
      <c r="AC1819"/>
      <c r="AE1819"/>
      <c r="AF1819"/>
      <c r="AJ1819"/>
    </row>
    <row r="1820" spans="24:36" x14ac:dyDescent="0.2">
      <c r="X1820" s="284"/>
      <c r="AA1820"/>
      <c r="AB1820"/>
      <c r="AC1820"/>
      <c r="AE1820"/>
      <c r="AF1820"/>
      <c r="AJ1820"/>
    </row>
    <row r="1821" spans="24:36" x14ac:dyDescent="0.2">
      <c r="X1821" s="284"/>
      <c r="AA1821"/>
      <c r="AB1821"/>
      <c r="AC1821"/>
      <c r="AE1821"/>
      <c r="AF1821"/>
      <c r="AJ1821"/>
    </row>
    <row r="1822" spans="24:36" x14ac:dyDescent="0.2">
      <c r="X1822" s="284"/>
      <c r="AA1822"/>
      <c r="AB1822"/>
      <c r="AC1822"/>
      <c r="AE1822"/>
      <c r="AF1822"/>
      <c r="AJ1822"/>
    </row>
    <row r="1823" spans="24:36" x14ac:dyDescent="0.2">
      <c r="X1823" s="284"/>
      <c r="AA1823"/>
      <c r="AB1823"/>
      <c r="AC1823"/>
      <c r="AE1823"/>
      <c r="AF1823"/>
      <c r="AJ1823"/>
    </row>
    <row r="1824" spans="24:36" x14ac:dyDescent="0.2">
      <c r="X1824" s="284"/>
      <c r="AA1824"/>
      <c r="AB1824"/>
      <c r="AC1824"/>
      <c r="AE1824"/>
      <c r="AF1824"/>
      <c r="AJ1824"/>
    </row>
    <row r="1825" spans="24:36" x14ac:dyDescent="0.2">
      <c r="X1825" s="284"/>
      <c r="AA1825"/>
      <c r="AB1825"/>
      <c r="AC1825"/>
      <c r="AE1825"/>
      <c r="AF1825"/>
      <c r="AJ1825"/>
    </row>
    <row r="1826" spans="24:36" x14ac:dyDescent="0.2">
      <c r="X1826" s="284"/>
      <c r="AA1826"/>
      <c r="AB1826"/>
      <c r="AC1826"/>
      <c r="AE1826"/>
      <c r="AF1826"/>
      <c r="AJ1826"/>
    </row>
    <row r="1827" spans="24:36" x14ac:dyDescent="0.2">
      <c r="X1827" s="284"/>
      <c r="AA1827"/>
      <c r="AB1827"/>
      <c r="AC1827"/>
      <c r="AE1827"/>
      <c r="AF1827"/>
      <c r="AJ1827"/>
    </row>
    <row r="1828" spans="24:36" x14ac:dyDescent="0.2">
      <c r="X1828" s="284"/>
      <c r="AA1828"/>
      <c r="AB1828"/>
      <c r="AC1828"/>
      <c r="AE1828"/>
      <c r="AF1828"/>
      <c r="AJ1828"/>
    </row>
    <row r="1829" spans="24:36" x14ac:dyDescent="0.2">
      <c r="X1829" s="284"/>
      <c r="AA1829"/>
      <c r="AB1829"/>
      <c r="AC1829"/>
      <c r="AE1829"/>
      <c r="AF1829"/>
      <c r="AJ1829"/>
    </row>
    <row r="1830" spans="24:36" x14ac:dyDescent="0.2">
      <c r="X1830" s="284"/>
      <c r="AA1830"/>
      <c r="AB1830"/>
      <c r="AC1830"/>
      <c r="AE1830"/>
      <c r="AF1830"/>
      <c r="AJ1830"/>
    </row>
    <row r="1831" spans="24:36" x14ac:dyDescent="0.2">
      <c r="X1831" s="284"/>
      <c r="AA1831"/>
      <c r="AB1831"/>
      <c r="AC1831"/>
      <c r="AE1831"/>
      <c r="AF1831"/>
      <c r="AJ1831"/>
    </row>
    <row r="1832" spans="24:36" x14ac:dyDescent="0.2">
      <c r="X1832" s="284"/>
      <c r="AA1832"/>
      <c r="AB1832"/>
      <c r="AC1832"/>
      <c r="AE1832"/>
      <c r="AF1832"/>
      <c r="AJ1832"/>
    </row>
    <row r="1833" spans="24:36" x14ac:dyDescent="0.2">
      <c r="X1833" s="284"/>
      <c r="AA1833"/>
      <c r="AB1833"/>
      <c r="AC1833"/>
      <c r="AE1833"/>
      <c r="AF1833"/>
      <c r="AJ1833"/>
    </row>
    <row r="1834" spans="24:36" x14ac:dyDescent="0.2">
      <c r="X1834" s="284"/>
      <c r="AA1834"/>
      <c r="AB1834"/>
      <c r="AC1834"/>
      <c r="AE1834"/>
      <c r="AF1834"/>
      <c r="AJ1834"/>
    </row>
    <row r="1835" spans="24:36" x14ac:dyDescent="0.2">
      <c r="X1835" s="284"/>
      <c r="AA1835"/>
      <c r="AB1835"/>
      <c r="AC1835"/>
      <c r="AE1835"/>
      <c r="AF1835"/>
      <c r="AJ1835"/>
    </row>
    <row r="1836" spans="24:36" x14ac:dyDescent="0.2">
      <c r="X1836" s="284"/>
      <c r="AA1836"/>
      <c r="AB1836"/>
      <c r="AC1836"/>
      <c r="AE1836"/>
      <c r="AF1836"/>
      <c r="AJ1836"/>
    </row>
    <row r="1837" spans="24:36" x14ac:dyDescent="0.2">
      <c r="X1837" s="284"/>
      <c r="AA1837"/>
      <c r="AB1837"/>
      <c r="AC1837"/>
      <c r="AE1837"/>
      <c r="AF1837"/>
      <c r="AJ1837"/>
    </row>
    <row r="1838" spans="24:36" x14ac:dyDescent="0.2">
      <c r="X1838" s="284"/>
      <c r="AA1838"/>
      <c r="AB1838"/>
      <c r="AC1838"/>
      <c r="AE1838"/>
      <c r="AF1838"/>
      <c r="AJ1838"/>
    </row>
    <row r="1839" spans="24:36" x14ac:dyDescent="0.2">
      <c r="X1839" s="284"/>
      <c r="AA1839"/>
      <c r="AB1839"/>
      <c r="AC1839"/>
      <c r="AE1839"/>
      <c r="AF1839"/>
      <c r="AJ1839"/>
    </row>
    <row r="1840" spans="24:36" x14ac:dyDescent="0.2">
      <c r="X1840" s="284"/>
      <c r="AA1840"/>
      <c r="AB1840"/>
      <c r="AC1840"/>
      <c r="AE1840"/>
      <c r="AF1840"/>
      <c r="AJ1840"/>
    </row>
    <row r="1841" spans="24:36" x14ac:dyDescent="0.2">
      <c r="X1841" s="284"/>
      <c r="AA1841"/>
      <c r="AB1841"/>
      <c r="AC1841"/>
      <c r="AE1841"/>
      <c r="AF1841"/>
      <c r="AJ1841"/>
    </row>
    <row r="1842" spans="24:36" x14ac:dyDescent="0.2">
      <c r="X1842" s="284"/>
      <c r="AA1842"/>
      <c r="AB1842"/>
      <c r="AC1842"/>
      <c r="AE1842"/>
      <c r="AF1842"/>
      <c r="AJ1842"/>
    </row>
    <row r="1843" spans="24:36" x14ac:dyDescent="0.2">
      <c r="X1843" s="284"/>
      <c r="AA1843"/>
      <c r="AB1843"/>
      <c r="AC1843"/>
      <c r="AE1843"/>
      <c r="AF1843"/>
      <c r="AJ1843"/>
    </row>
    <row r="1844" spans="24:36" x14ac:dyDescent="0.2">
      <c r="X1844" s="284"/>
      <c r="AA1844"/>
      <c r="AB1844"/>
      <c r="AC1844"/>
      <c r="AE1844"/>
      <c r="AF1844"/>
      <c r="AJ1844"/>
    </row>
    <row r="1845" spans="24:36" x14ac:dyDescent="0.2">
      <c r="X1845" s="284"/>
      <c r="AA1845"/>
      <c r="AB1845"/>
      <c r="AC1845"/>
      <c r="AE1845"/>
      <c r="AF1845"/>
      <c r="AJ1845"/>
    </row>
    <row r="1846" spans="24:36" x14ac:dyDescent="0.2">
      <c r="X1846" s="284"/>
      <c r="AA1846"/>
      <c r="AB1846"/>
      <c r="AC1846"/>
      <c r="AE1846"/>
      <c r="AF1846"/>
      <c r="AJ1846"/>
    </row>
    <row r="1847" spans="24:36" x14ac:dyDescent="0.2">
      <c r="X1847" s="284"/>
      <c r="AA1847"/>
      <c r="AB1847"/>
      <c r="AC1847"/>
      <c r="AE1847"/>
      <c r="AF1847"/>
      <c r="AJ1847"/>
    </row>
    <row r="1848" spans="24:36" x14ac:dyDescent="0.2">
      <c r="X1848" s="284"/>
      <c r="AA1848"/>
      <c r="AB1848"/>
      <c r="AC1848"/>
      <c r="AE1848"/>
      <c r="AF1848"/>
      <c r="AJ1848"/>
    </row>
    <row r="1849" spans="24:36" x14ac:dyDescent="0.2">
      <c r="X1849" s="284"/>
      <c r="AA1849"/>
      <c r="AB1849"/>
      <c r="AC1849"/>
      <c r="AE1849"/>
      <c r="AF1849"/>
      <c r="AJ1849"/>
    </row>
    <row r="1850" spans="24:36" x14ac:dyDescent="0.2">
      <c r="X1850" s="284"/>
      <c r="AA1850"/>
      <c r="AB1850"/>
      <c r="AC1850"/>
      <c r="AE1850"/>
      <c r="AF1850"/>
      <c r="AJ1850"/>
    </row>
    <row r="1851" spans="24:36" x14ac:dyDescent="0.2">
      <c r="X1851" s="284"/>
      <c r="AA1851"/>
      <c r="AB1851"/>
      <c r="AC1851"/>
      <c r="AE1851"/>
      <c r="AF1851"/>
      <c r="AJ1851"/>
    </row>
    <row r="1852" spans="24:36" x14ac:dyDescent="0.2">
      <c r="X1852" s="284"/>
      <c r="AA1852"/>
      <c r="AB1852"/>
      <c r="AC1852"/>
      <c r="AE1852"/>
      <c r="AF1852"/>
      <c r="AJ1852"/>
    </row>
    <row r="1853" spans="24:36" x14ac:dyDescent="0.2">
      <c r="X1853" s="284"/>
      <c r="AA1853"/>
      <c r="AB1853"/>
      <c r="AC1853"/>
      <c r="AE1853"/>
      <c r="AF1853"/>
      <c r="AJ1853"/>
    </row>
    <row r="1854" spans="24:36" x14ac:dyDescent="0.2">
      <c r="X1854" s="284"/>
      <c r="AA1854"/>
      <c r="AB1854"/>
      <c r="AC1854"/>
      <c r="AE1854"/>
      <c r="AF1854"/>
      <c r="AJ1854"/>
    </row>
    <row r="1855" spans="24:36" x14ac:dyDescent="0.2">
      <c r="X1855" s="284"/>
      <c r="AA1855"/>
      <c r="AB1855"/>
      <c r="AC1855"/>
      <c r="AE1855"/>
      <c r="AF1855"/>
      <c r="AJ1855"/>
    </row>
    <row r="1856" spans="24:36" x14ac:dyDescent="0.2">
      <c r="X1856" s="284"/>
      <c r="AA1856"/>
      <c r="AB1856"/>
      <c r="AC1856"/>
      <c r="AE1856"/>
      <c r="AF1856"/>
      <c r="AJ1856"/>
    </row>
    <row r="1857" spans="24:36" x14ac:dyDescent="0.2">
      <c r="X1857" s="284"/>
      <c r="AA1857"/>
      <c r="AB1857"/>
      <c r="AC1857"/>
      <c r="AE1857"/>
      <c r="AF1857"/>
      <c r="AJ1857"/>
    </row>
    <row r="1858" spans="24:36" x14ac:dyDescent="0.2">
      <c r="X1858" s="284"/>
      <c r="AA1858"/>
      <c r="AB1858"/>
      <c r="AC1858"/>
      <c r="AE1858"/>
      <c r="AF1858"/>
      <c r="AJ1858"/>
    </row>
    <row r="1859" spans="24:36" x14ac:dyDescent="0.2">
      <c r="X1859" s="284"/>
      <c r="AA1859"/>
      <c r="AB1859"/>
      <c r="AC1859"/>
      <c r="AE1859"/>
      <c r="AF1859"/>
      <c r="AJ1859"/>
    </row>
    <row r="1860" spans="24:36" x14ac:dyDescent="0.2">
      <c r="X1860" s="284"/>
      <c r="AA1860"/>
      <c r="AB1860"/>
      <c r="AC1860"/>
      <c r="AE1860"/>
      <c r="AF1860"/>
      <c r="AJ1860"/>
    </row>
    <row r="1861" spans="24:36" x14ac:dyDescent="0.2">
      <c r="X1861" s="284"/>
      <c r="AA1861"/>
      <c r="AB1861"/>
      <c r="AC1861"/>
      <c r="AE1861"/>
      <c r="AF1861"/>
      <c r="AJ1861"/>
    </row>
    <row r="1862" spans="24:36" x14ac:dyDescent="0.2">
      <c r="X1862" s="284"/>
      <c r="AA1862"/>
      <c r="AB1862"/>
      <c r="AC1862"/>
      <c r="AE1862"/>
      <c r="AF1862"/>
      <c r="AJ1862"/>
    </row>
    <row r="1863" spans="24:36" x14ac:dyDescent="0.2">
      <c r="X1863" s="284"/>
      <c r="AA1863"/>
      <c r="AB1863"/>
      <c r="AC1863"/>
      <c r="AE1863"/>
      <c r="AF1863"/>
      <c r="AJ1863"/>
    </row>
    <row r="1864" spans="24:36" x14ac:dyDescent="0.2">
      <c r="X1864" s="284"/>
      <c r="AA1864"/>
      <c r="AB1864"/>
      <c r="AC1864"/>
      <c r="AE1864"/>
      <c r="AF1864"/>
      <c r="AJ1864"/>
    </row>
    <row r="1865" spans="24:36" x14ac:dyDescent="0.2">
      <c r="X1865" s="284"/>
      <c r="AA1865"/>
      <c r="AB1865"/>
      <c r="AC1865"/>
      <c r="AE1865"/>
      <c r="AF1865"/>
      <c r="AJ1865"/>
    </row>
    <row r="1866" spans="24:36" x14ac:dyDescent="0.2">
      <c r="X1866" s="284"/>
      <c r="AA1866"/>
      <c r="AB1866"/>
      <c r="AC1866"/>
      <c r="AE1866"/>
      <c r="AF1866"/>
      <c r="AJ1866"/>
    </row>
    <row r="1867" spans="24:36" x14ac:dyDescent="0.2">
      <c r="X1867" s="284"/>
      <c r="AA1867"/>
      <c r="AB1867"/>
      <c r="AC1867"/>
      <c r="AE1867"/>
      <c r="AF1867"/>
      <c r="AJ1867"/>
    </row>
    <row r="1868" spans="24:36" x14ac:dyDescent="0.2">
      <c r="X1868" s="284"/>
      <c r="AA1868"/>
      <c r="AB1868"/>
      <c r="AC1868"/>
      <c r="AE1868"/>
      <c r="AF1868"/>
      <c r="AJ1868"/>
    </row>
    <row r="1869" spans="24:36" x14ac:dyDescent="0.2">
      <c r="X1869" s="284"/>
      <c r="AA1869"/>
      <c r="AB1869"/>
      <c r="AC1869"/>
      <c r="AE1869"/>
      <c r="AF1869"/>
      <c r="AJ1869"/>
    </row>
    <row r="1870" spans="24:36" x14ac:dyDescent="0.2">
      <c r="X1870" s="284"/>
      <c r="AA1870"/>
      <c r="AB1870"/>
      <c r="AC1870"/>
      <c r="AE1870"/>
      <c r="AF1870"/>
      <c r="AJ1870"/>
    </row>
    <row r="1871" spans="24:36" x14ac:dyDescent="0.2">
      <c r="X1871" s="284"/>
      <c r="AA1871"/>
      <c r="AB1871"/>
      <c r="AC1871"/>
      <c r="AE1871"/>
      <c r="AF1871"/>
      <c r="AJ1871"/>
    </row>
    <row r="1872" spans="24:36" x14ac:dyDescent="0.2">
      <c r="X1872" s="284"/>
      <c r="AA1872"/>
      <c r="AB1872"/>
      <c r="AC1872"/>
      <c r="AE1872"/>
      <c r="AF1872"/>
      <c r="AJ1872"/>
    </row>
    <row r="1873" spans="24:36" x14ac:dyDescent="0.2">
      <c r="X1873" s="284"/>
      <c r="AA1873"/>
      <c r="AB1873"/>
      <c r="AC1873"/>
      <c r="AE1873"/>
      <c r="AF1873"/>
      <c r="AJ1873"/>
    </row>
    <row r="1874" spans="24:36" x14ac:dyDescent="0.2">
      <c r="X1874" s="284"/>
      <c r="AA1874"/>
      <c r="AB1874"/>
      <c r="AC1874"/>
      <c r="AE1874"/>
      <c r="AF1874"/>
      <c r="AJ1874"/>
    </row>
    <row r="1875" spans="24:36" x14ac:dyDescent="0.2">
      <c r="X1875" s="284"/>
      <c r="AA1875"/>
      <c r="AB1875"/>
      <c r="AC1875"/>
      <c r="AE1875"/>
      <c r="AF1875"/>
      <c r="AJ1875"/>
    </row>
    <row r="1876" spans="24:36" x14ac:dyDescent="0.2">
      <c r="X1876" s="284"/>
      <c r="AA1876"/>
      <c r="AB1876"/>
      <c r="AC1876"/>
      <c r="AE1876"/>
      <c r="AF1876"/>
      <c r="AJ1876"/>
    </row>
    <row r="1877" spans="24:36" x14ac:dyDescent="0.2">
      <c r="X1877" s="284"/>
      <c r="AA1877"/>
      <c r="AB1877"/>
      <c r="AC1877"/>
      <c r="AE1877"/>
      <c r="AF1877"/>
      <c r="AJ1877"/>
    </row>
    <row r="1878" spans="24:36" x14ac:dyDescent="0.2">
      <c r="X1878" s="284"/>
      <c r="AA1878"/>
      <c r="AB1878"/>
      <c r="AC1878"/>
      <c r="AE1878"/>
      <c r="AF1878"/>
      <c r="AJ1878"/>
    </row>
    <row r="1879" spans="24:36" x14ac:dyDescent="0.2">
      <c r="X1879" s="284"/>
      <c r="AA1879"/>
      <c r="AB1879"/>
      <c r="AC1879"/>
      <c r="AE1879"/>
      <c r="AF1879"/>
      <c r="AJ1879"/>
    </row>
    <row r="1880" spans="24:36" x14ac:dyDescent="0.2">
      <c r="X1880" s="284"/>
      <c r="AA1880"/>
      <c r="AB1880"/>
      <c r="AC1880"/>
      <c r="AE1880"/>
      <c r="AF1880"/>
      <c r="AJ1880"/>
    </row>
    <row r="1881" spans="24:36" x14ac:dyDescent="0.2">
      <c r="X1881" s="284"/>
      <c r="AA1881"/>
      <c r="AB1881"/>
      <c r="AC1881"/>
      <c r="AE1881"/>
      <c r="AF1881"/>
      <c r="AJ1881"/>
    </row>
    <row r="1882" spans="24:36" x14ac:dyDescent="0.2">
      <c r="X1882" s="284"/>
      <c r="AA1882"/>
      <c r="AB1882"/>
      <c r="AC1882"/>
      <c r="AE1882"/>
      <c r="AF1882"/>
      <c r="AJ1882"/>
    </row>
    <row r="1883" spans="24:36" x14ac:dyDescent="0.2">
      <c r="X1883" s="284"/>
      <c r="AA1883"/>
      <c r="AB1883"/>
      <c r="AC1883"/>
      <c r="AE1883"/>
      <c r="AF1883"/>
      <c r="AJ1883"/>
    </row>
    <row r="1884" spans="24:36" x14ac:dyDescent="0.2">
      <c r="X1884" s="284"/>
      <c r="AA1884"/>
      <c r="AB1884"/>
      <c r="AC1884"/>
      <c r="AE1884"/>
      <c r="AF1884"/>
      <c r="AJ1884"/>
    </row>
    <row r="1885" spans="24:36" x14ac:dyDescent="0.2">
      <c r="X1885" s="284"/>
      <c r="AA1885"/>
      <c r="AB1885"/>
      <c r="AC1885"/>
      <c r="AE1885"/>
      <c r="AF1885"/>
      <c r="AJ1885"/>
    </row>
    <row r="1886" spans="24:36" x14ac:dyDescent="0.2">
      <c r="X1886" s="284"/>
      <c r="AA1886"/>
      <c r="AB1886"/>
      <c r="AC1886"/>
      <c r="AE1886"/>
      <c r="AF1886"/>
      <c r="AJ1886"/>
    </row>
    <row r="1887" spans="24:36" x14ac:dyDescent="0.2">
      <c r="X1887" s="284"/>
      <c r="AA1887"/>
      <c r="AB1887"/>
      <c r="AC1887"/>
      <c r="AE1887"/>
      <c r="AF1887"/>
      <c r="AJ1887"/>
    </row>
    <row r="1888" spans="24:36" x14ac:dyDescent="0.2">
      <c r="X1888" s="284"/>
      <c r="AA1888"/>
      <c r="AB1888"/>
      <c r="AC1888"/>
      <c r="AE1888"/>
      <c r="AF1888"/>
      <c r="AJ1888"/>
    </row>
    <row r="1889" spans="24:36" x14ac:dyDescent="0.2">
      <c r="X1889" s="284"/>
      <c r="AA1889"/>
      <c r="AB1889"/>
      <c r="AC1889"/>
      <c r="AE1889"/>
      <c r="AF1889"/>
      <c r="AJ1889"/>
    </row>
    <row r="1890" spans="24:36" x14ac:dyDescent="0.2">
      <c r="X1890" s="284"/>
      <c r="AA1890"/>
      <c r="AB1890"/>
      <c r="AC1890"/>
      <c r="AE1890"/>
      <c r="AF1890"/>
      <c r="AJ1890"/>
    </row>
    <row r="1891" spans="24:36" x14ac:dyDescent="0.2">
      <c r="X1891" s="284"/>
      <c r="AA1891"/>
      <c r="AB1891"/>
      <c r="AC1891"/>
      <c r="AE1891"/>
      <c r="AF1891"/>
      <c r="AJ1891"/>
    </row>
    <row r="1892" spans="24:36" x14ac:dyDescent="0.2">
      <c r="X1892" s="284"/>
      <c r="AA1892"/>
      <c r="AB1892"/>
      <c r="AC1892"/>
      <c r="AE1892"/>
      <c r="AF1892"/>
      <c r="AJ1892"/>
    </row>
    <row r="1893" spans="24:36" x14ac:dyDescent="0.2">
      <c r="X1893" s="284"/>
      <c r="AA1893"/>
      <c r="AB1893"/>
      <c r="AC1893"/>
      <c r="AE1893"/>
      <c r="AF1893"/>
      <c r="AJ1893"/>
    </row>
    <row r="1894" spans="24:36" x14ac:dyDescent="0.2">
      <c r="X1894" s="284"/>
      <c r="AA1894"/>
      <c r="AB1894"/>
      <c r="AC1894"/>
      <c r="AE1894"/>
      <c r="AF1894"/>
      <c r="AJ1894"/>
    </row>
    <row r="1895" spans="24:36" x14ac:dyDescent="0.2">
      <c r="X1895" s="284"/>
      <c r="AA1895"/>
      <c r="AB1895"/>
      <c r="AC1895"/>
      <c r="AE1895"/>
      <c r="AF1895"/>
      <c r="AJ1895"/>
    </row>
    <row r="1896" spans="24:36" x14ac:dyDescent="0.2">
      <c r="X1896" s="284"/>
      <c r="AA1896"/>
      <c r="AB1896"/>
      <c r="AC1896"/>
      <c r="AE1896"/>
      <c r="AF1896"/>
      <c r="AJ1896"/>
    </row>
    <row r="1897" spans="24:36" x14ac:dyDescent="0.2">
      <c r="X1897" s="284"/>
      <c r="AA1897"/>
      <c r="AB1897"/>
      <c r="AC1897"/>
      <c r="AE1897"/>
      <c r="AF1897"/>
      <c r="AJ1897"/>
    </row>
    <row r="1898" spans="24:36" x14ac:dyDescent="0.2">
      <c r="X1898" s="284"/>
      <c r="AA1898"/>
      <c r="AB1898"/>
      <c r="AC1898"/>
      <c r="AE1898"/>
      <c r="AF1898"/>
      <c r="AJ1898"/>
    </row>
    <row r="1899" spans="24:36" x14ac:dyDescent="0.2">
      <c r="X1899" s="284"/>
      <c r="AA1899"/>
      <c r="AB1899"/>
      <c r="AC1899"/>
      <c r="AE1899"/>
      <c r="AF1899"/>
      <c r="AJ1899"/>
    </row>
    <row r="1900" spans="24:36" x14ac:dyDescent="0.2">
      <c r="X1900" s="284"/>
      <c r="AA1900"/>
      <c r="AB1900"/>
      <c r="AC1900"/>
      <c r="AE1900"/>
      <c r="AF1900"/>
      <c r="AJ1900"/>
    </row>
    <row r="1901" spans="24:36" x14ac:dyDescent="0.2">
      <c r="X1901" s="284"/>
      <c r="AA1901"/>
      <c r="AB1901"/>
      <c r="AC1901"/>
      <c r="AE1901"/>
      <c r="AF1901"/>
      <c r="AJ1901"/>
    </row>
    <row r="1902" spans="24:36" x14ac:dyDescent="0.2">
      <c r="X1902" s="284"/>
      <c r="AA1902"/>
      <c r="AB1902"/>
      <c r="AC1902"/>
      <c r="AE1902"/>
      <c r="AF1902"/>
      <c r="AJ1902"/>
    </row>
    <row r="1903" spans="24:36" x14ac:dyDescent="0.2">
      <c r="X1903" s="284"/>
      <c r="AA1903"/>
      <c r="AB1903"/>
      <c r="AC1903"/>
      <c r="AE1903"/>
      <c r="AF1903"/>
      <c r="AJ1903"/>
    </row>
    <row r="1904" spans="24:36" x14ac:dyDescent="0.2">
      <c r="X1904" s="284"/>
      <c r="AA1904"/>
      <c r="AB1904"/>
      <c r="AC1904"/>
      <c r="AE1904"/>
      <c r="AF1904"/>
      <c r="AJ1904"/>
    </row>
    <row r="1905" spans="24:36" x14ac:dyDescent="0.2">
      <c r="X1905" s="284"/>
      <c r="AA1905"/>
      <c r="AB1905"/>
      <c r="AC1905"/>
      <c r="AE1905"/>
      <c r="AF1905"/>
      <c r="AJ1905"/>
    </row>
    <row r="1906" spans="24:36" x14ac:dyDescent="0.2">
      <c r="X1906" s="284"/>
      <c r="AA1906"/>
      <c r="AB1906"/>
      <c r="AC1906"/>
      <c r="AE1906"/>
      <c r="AF1906"/>
      <c r="AJ1906"/>
    </row>
    <row r="1907" spans="24:36" x14ac:dyDescent="0.2">
      <c r="X1907" s="284"/>
      <c r="AA1907"/>
      <c r="AB1907"/>
      <c r="AC1907"/>
      <c r="AE1907"/>
      <c r="AF1907"/>
      <c r="AJ1907"/>
    </row>
    <row r="1908" spans="24:36" x14ac:dyDescent="0.2">
      <c r="X1908" s="284"/>
      <c r="AA1908"/>
      <c r="AB1908"/>
      <c r="AC1908"/>
      <c r="AE1908"/>
      <c r="AF1908"/>
      <c r="AJ1908"/>
    </row>
    <row r="1909" spans="24:36" x14ac:dyDescent="0.2">
      <c r="X1909" s="284"/>
      <c r="AA1909"/>
      <c r="AB1909"/>
      <c r="AC1909"/>
      <c r="AE1909"/>
      <c r="AF1909"/>
      <c r="AJ1909"/>
    </row>
    <row r="1910" spans="24:36" x14ac:dyDescent="0.2">
      <c r="X1910" s="284"/>
      <c r="AA1910"/>
      <c r="AB1910"/>
      <c r="AC1910"/>
      <c r="AE1910"/>
      <c r="AF1910"/>
      <c r="AJ1910"/>
    </row>
    <row r="1911" spans="24:36" x14ac:dyDescent="0.2">
      <c r="X1911" s="284"/>
      <c r="AA1911"/>
      <c r="AB1911"/>
      <c r="AC1911"/>
      <c r="AE1911"/>
      <c r="AF1911"/>
      <c r="AJ1911"/>
    </row>
    <row r="1912" spans="24:36" x14ac:dyDescent="0.2">
      <c r="X1912" s="284"/>
      <c r="AA1912"/>
      <c r="AB1912"/>
      <c r="AC1912"/>
      <c r="AE1912"/>
      <c r="AF1912"/>
      <c r="AJ1912"/>
    </row>
    <row r="1913" spans="24:36" x14ac:dyDescent="0.2">
      <c r="X1913" s="284"/>
      <c r="AA1913"/>
      <c r="AB1913"/>
      <c r="AC1913"/>
      <c r="AE1913"/>
      <c r="AF1913"/>
      <c r="AJ1913"/>
    </row>
    <row r="1914" spans="24:36" x14ac:dyDescent="0.2">
      <c r="X1914" s="284"/>
      <c r="AA1914"/>
      <c r="AB1914"/>
      <c r="AC1914"/>
      <c r="AE1914"/>
      <c r="AF1914"/>
      <c r="AJ1914"/>
    </row>
    <row r="1915" spans="24:36" x14ac:dyDescent="0.2">
      <c r="X1915" s="284"/>
      <c r="AA1915"/>
      <c r="AB1915"/>
      <c r="AC1915"/>
      <c r="AE1915"/>
      <c r="AF1915"/>
      <c r="AJ1915"/>
    </row>
    <row r="1916" spans="24:36" x14ac:dyDescent="0.2">
      <c r="X1916" s="284"/>
      <c r="AA1916"/>
      <c r="AB1916"/>
      <c r="AC1916"/>
      <c r="AE1916"/>
      <c r="AF1916"/>
      <c r="AJ1916"/>
    </row>
    <row r="1917" spans="24:36" x14ac:dyDescent="0.2">
      <c r="X1917" s="284"/>
      <c r="AA1917"/>
      <c r="AB1917"/>
      <c r="AC1917"/>
      <c r="AE1917"/>
      <c r="AF1917"/>
      <c r="AJ1917"/>
    </row>
    <row r="1918" spans="24:36" x14ac:dyDescent="0.2">
      <c r="X1918" s="284"/>
      <c r="AA1918"/>
      <c r="AB1918"/>
      <c r="AC1918"/>
      <c r="AE1918"/>
      <c r="AF1918"/>
      <c r="AJ1918"/>
    </row>
    <row r="1919" spans="24:36" x14ac:dyDescent="0.2">
      <c r="X1919" s="284"/>
      <c r="AA1919"/>
      <c r="AB1919"/>
      <c r="AC1919"/>
      <c r="AE1919"/>
      <c r="AF1919"/>
      <c r="AJ1919"/>
    </row>
    <row r="1920" spans="24:36" x14ac:dyDescent="0.2">
      <c r="X1920" s="284"/>
      <c r="AA1920"/>
      <c r="AB1920"/>
      <c r="AC1920"/>
      <c r="AE1920"/>
      <c r="AF1920"/>
      <c r="AJ1920"/>
    </row>
    <row r="1921" spans="24:36" x14ac:dyDescent="0.2">
      <c r="X1921" s="284"/>
      <c r="AA1921"/>
      <c r="AB1921"/>
      <c r="AC1921"/>
      <c r="AE1921"/>
      <c r="AF1921"/>
      <c r="AJ1921"/>
    </row>
    <row r="1922" spans="24:36" x14ac:dyDescent="0.2">
      <c r="X1922" s="284"/>
      <c r="AA1922"/>
      <c r="AB1922"/>
      <c r="AC1922"/>
      <c r="AE1922"/>
      <c r="AF1922"/>
      <c r="AJ1922"/>
    </row>
    <row r="1923" spans="24:36" x14ac:dyDescent="0.2">
      <c r="X1923" s="284"/>
      <c r="AA1923"/>
      <c r="AB1923"/>
      <c r="AC1923"/>
      <c r="AE1923"/>
      <c r="AF1923"/>
      <c r="AJ1923"/>
    </row>
    <row r="1924" spans="24:36" x14ac:dyDescent="0.2">
      <c r="X1924" s="284"/>
      <c r="AA1924"/>
      <c r="AB1924"/>
      <c r="AC1924"/>
      <c r="AE1924"/>
      <c r="AF1924"/>
      <c r="AJ1924"/>
    </row>
    <row r="1925" spans="24:36" x14ac:dyDescent="0.2">
      <c r="X1925" s="284"/>
      <c r="AA1925"/>
      <c r="AB1925"/>
      <c r="AC1925"/>
      <c r="AE1925"/>
      <c r="AF1925"/>
      <c r="AJ1925"/>
    </row>
    <row r="1926" spans="24:36" x14ac:dyDescent="0.2">
      <c r="X1926" s="284"/>
      <c r="AA1926"/>
      <c r="AB1926"/>
      <c r="AC1926"/>
      <c r="AE1926"/>
      <c r="AF1926"/>
      <c r="AJ1926"/>
    </row>
    <row r="1927" spans="24:36" x14ac:dyDescent="0.2">
      <c r="X1927" s="284"/>
      <c r="AA1927"/>
      <c r="AB1927"/>
      <c r="AC1927"/>
      <c r="AE1927"/>
      <c r="AF1927"/>
      <c r="AJ1927"/>
    </row>
    <row r="1928" spans="24:36" x14ac:dyDescent="0.2">
      <c r="X1928" s="284"/>
      <c r="AA1928"/>
      <c r="AB1928"/>
      <c r="AC1928"/>
      <c r="AE1928"/>
      <c r="AF1928"/>
      <c r="AJ1928"/>
    </row>
    <row r="1929" spans="24:36" x14ac:dyDescent="0.2">
      <c r="X1929" s="284"/>
      <c r="AA1929"/>
      <c r="AB1929"/>
      <c r="AC1929"/>
      <c r="AE1929"/>
      <c r="AF1929"/>
      <c r="AJ1929"/>
    </row>
    <row r="1930" spans="24:36" x14ac:dyDescent="0.2">
      <c r="X1930" s="284"/>
      <c r="AA1930"/>
      <c r="AB1930"/>
      <c r="AC1930"/>
      <c r="AE1930"/>
      <c r="AF1930"/>
      <c r="AJ1930"/>
    </row>
    <row r="1931" spans="24:36" x14ac:dyDescent="0.2">
      <c r="X1931" s="284"/>
      <c r="AA1931"/>
      <c r="AB1931"/>
      <c r="AC1931"/>
      <c r="AE1931"/>
      <c r="AF1931"/>
      <c r="AJ1931"/>
    </row>
    <row r="1932" spans="24:36" x14ac:dyDescent="0.2">
      <c r="X1932" s="284"/>
      <c r="AA1932"/>
      <c r="AB1932"/>
      <c r="AC1932"/>
      <c r="AE1932"/>
      <c r="AF1932"/>
      <c r="AJ1932"/>
    </row>
    <row r="1933" spans="24:36" x14ac:dyDescent="0.2">
      <c r="X1933" s="284"/>
      <c r="AA1933"/>
      <c r="AB1933"/>
      <c r="AC1933"/>
      <c r="AE1933"/>
      <c r="AF1933"/>
      <c r="AJ1933"/>
    </row>
    <row r="1934" spans="24:36" x14ac:dyDescent="0.2">
      <c r="X1934" s="284"/>
      <c r="AA1934"/>
      <c r="AB1934"/>
      <c r="AC1934"/>
      <c r="AE1934"/>
      <c r="AF1934"/>
      <c r="AJ1934"/>
    </row>
    <row r="1935" spans="24:36" x14ac:dyDescent="0.2">
      <c r="X1935" s="284"/>
      <c r="AA1935"/>
      <c r="AB1935"/>
      <c r="AC1935"/>
      <c r="AE1935"/>
      <c r="AF1935"/>
      <c r="AJ1935"/>
    </row>
    <row r="1936" spans="24:36" x14ac:dyDescent="0.2">
      <c r="X1936" s="284"/>
      <c r="AA1936"/>
      <c r="AB1936"/>
      <c r="AC1936"/>
      <c r="AE1936"/>
      <c r="AF1936"/>
      <c r="AJ1936"/>
    </row>
    <row r="1937" spans="24:36" x14ac:dyDescent="0.2">
      <c r="X1937" s="284"/>
      <c r="AA1937"/>
      <c r="AB1937"/>
      <c r="AC1937"/>
      <c r="AE1937"/>
      <c r="AF1937"/>
      <c r="AJ1937"/>
    </row>
    <row r="1938" spans="24:36" x14ac:dyDescent="0.2">
      <c r="X1938" s="284"/>
      <c r="AA1938"/>
      <c r="AB1938"/>
      <c r="AC1938"/>
      <c r="AE1938"/>
      <c r="AF1938"/>
      <c r="AJ1938"/>
    </row>
    <row r="1939" spans="24:36" x14ac:dyDescent="0.2">
      <c r="X1939" s="284"/>
      <c r="AA1939"/>
      <c r="AB1939"/>
      <c r="AC1939"/>
      <c r="AE1939"/>
      <c r="AF1939"/>
      <c r="AJ1939"/>
    </row>
    <row r="1940" spans="24:36" x14ac:dyDescent="0.2">
      <c r="X1940" s="284"/>
      <c r="AA1940"/>
      <c r="AB1940"/>
      <c r="AC1940"/>
      <c r="AE1940"/>
      <c r="AF1940"/>
      <c r="AJ1940"/>
    </row>
    <row r="1941" spans="24:36" x14ac:dyDescent="0.2">
      <c r="X1941" s="284"/>
      <c r="AA1941"/>
      <c r="AB1941"/>
      <c r="AC1941"/>
      <c r="AE1941"/>
      <c r="AF1941"/>
      <c r="AJ1941"/>
    </row>
    <row r="1942" spans="24:36" x14ac:dyDescent="0.2">
      <c r="X1942" s="284"/>
      <c r="AA1942"/>
      <c r="AB1942"/>
      <c r="AC1942"/>
      <c r="AE1942"/>
      <c r="AF1942"/>
      <c r="AJ1942"/>
    </row>
    <row r="1943" spans="24:36" x14ac:dyDescent="0.2">
      <c r="X1943" s="284"/>
      <c r="AA1943"/>
      <c r="AB1943"/>
      <c r="AC1943"/>
      <c r="AE1943"/>
      <c r="AF1943"/>
      <c r="AJ1943"/>
    </row>
    <row r="1944" spans="24:36" x14ac:dyDescent="0.2">
      <c r="X1944" s="284"/>
      <c r="AA1944"/>
      <c r="AB1944"/>
      <c r="AC1944"/>
      <c r="AE1944"/>
      <c r="AF1944"/>
      <c r="AJ1944"/>
    </row>
    <row r="1945" spans="24:36" x14ac:dyDescent="0.2">
      <c r="X1945" s="284"/>
      <c r="AA1945"/>
      <c r="AB1945"/>
      <c r="AC1945"/>
      <c r="AE1945"/>
      <c r="AF1945"/>
      <c r="AJ1945"/>
    </row>
    <row r="1946" spans="24:36" x14ac:dyDescent="0.2">
      <c r="X1946" s="284"/>
      <c r="AA1946"/>
      <c r="AB1946"/>
      <c r="AC1946"/>
      <c r="AE1946"/>
      <c r="AF1946"/>
      <c r="AJ1946"/>
    </row>
    <row r="1947" spans="24:36" x14ac:dyDescent="0.2">
      <c r="X1947" s="284"/>
      <c r="AA1947"/>
      <c r="AB1947"/>
      <c r="AC1947"/>
      <c r="AE1947"/>
      <c r="AF1947"/>
      <c r="AJ1947"/>
    </row>
    <row r="1948" spans="24:36" x14ac:dyDescent="0.2">
      <c r="X1948" s="284"/>
      <c r="AA1948"/>
      <c r="AB1948"/>
      <c r="AC1948"/>
      <c r="AE1948"/>
      <c r="AF1948"/>
      <c r="AJ1948"/>
    </row>
    <row r="1949" spans="24:36" x14ac:dyDescent="0.2">
      <c r="X1949" s="284"/>
      <c r="AA1949"/>
      <c r="AB1949"/>
      <c r="AC1949"/>
      <c r="AE1949"/>
      <c r="AF1949"/>
      <c r="AJ1949"/>
    </row>
    <row r="1950" spans="24:36" x14ac:dyDescent="0.2">
      <c r="X1950" s="284"/>
      <c r="AA1950"/>
      <c r="AB1950"/>
      <c r="AC1950"/>
      <c r="AE1950"/>
      <c r="AF1950"/>
      <c r="AJ1950"/>
    </row>
    <row r="1951" spans="24:36" x14ac:dyDescent="0.2">
      <c r="X1951" s="284"/>
      <c r="AA1951"/>
      <c r="AB1951"/>
      <c r="AC1951"/>
      <c r="AE1951"/>
      <c r="AF1951"/>
      <c r="AJ1951"/>
    </row>
    <row r="1952" spans="24:36" x14ac:dyDescent="0.2">
      <c r="X1952" s="284"/>
      <c r="AA1952"/>
      <c r="AB1952"/>
      <c r="AC1952"/>
      <c r="AE1952"/>
      <c r="AF1952"/>
      <c r="AJ1952"/>
    </row>
    <row r="1953" spans="24:36" x14ac:dyDescent="0.2">
      <c r="X1953" s="284"/>
      <c r="AA1953"/>
      <c r="AB1953"/>
      <c r="AC1953"/>
      <c r="AE1953"/>
      <c r="AF1953"/>
      <c r="AJ1953"/>
    </row>
    <row r="1954" spans="24:36" x14ac:dyDescent="0.2">
      <c r="X1954" s="284"/>
      <c r="AA1954"/>
      <c r="AB1954"/>
      <c r="AC1954"/>
      <c r="AE1954"/>
      <c r="AF1954"/>
      <c r="AJ1954"/>
    </row>
    <row r="1955" spans="24:36" x14ac:dyDescent="0.2">
      <c r="X1955" s="284"/>
      <c r="AA1955"/>
      <c r="AB1955"/>
      <c r="AC1955"/>
      <c r="AE1955"/>
      <c r="AF1955"/>
      <c r="AJ1955"/>
    </row>
    <row r="1956" spans="24:36" x14ac:dyDescent="0.2">
      <c r="X1956" s="284"/>
      <c r="AA1956"/>
      <c r="AB1956"/>
      <c r="AC1956"/>
      <c r="AE1956"/>
      <c r="AF1956"/>
      <c r="AJ1956"/>
    </row>
    <row r="1957" spans="24:36" x14ac:dyDescent="0.2">
      <c r="X1957" s="284"/>
      <c r="AA1957"/>
      <c r="AB1957"/>
      <c r="AC1957"/>
      <c r="AE1957"/>
      <c r="AF1957"/>
      <c r="AJ1957"/>
    </row>
    <row r="1958" spans="24:36" x14ac:dyDescent="0.2">
      <c r="X1958" s="284"/>
      <c r="AA1958"/>
      <c r="AB1958"/>
      <c r="AC1958"/>
      <c r="AE1958"/>
      <c r="AF1958"/>
      <c r="AJ1958"/>
    </row>
    <row r="1959" spans="24:36" x14ac:dyDescent="0.2">
      <c r="X1959" s="284"/>
      <c r="AA1959"/>
      <c r="AB1959"/>
      <c r="AC1959"/>
      <c r="AE1959"/>
      <c r="AF1959"/>
      <c r="AJ1959"/>
    </row>
    <row r="1960" spans="24:36" x14ac:dyDescent="0.2">
      <c r="X1960" s="284"/>
      <c r="AA1960"/>
      <c r="AB1960"/>
      <c r="AC1960"/>
      <c r="AE1960"/>
      <c r="AF1960"/>
      <c r="AJ1960"/>
    </row>
    <row r="1961" spans="24:36" x14ac:dyDescent="0.2">
      <c r="X1961" s="284"/>
      <c r="AA1961"/>
      <c r="AB1961"/>
      <c r="AC1961"/>
      <c r="AE1961"/>
      <c r="AF1961"/>
      <c r="AJ1961"/>
    </row>
    <row r="1962" spans="24:36" x14ac:dyDescent="0.2">
      <c r="X1962" s="284"/>
      <c r="AA1962"/>
      <c r="AB1962"/>
      <c r="AC1962"/>
      <c r="AE1962"/>
      <c r="AF1962"/>
      <c r="AJ1962"/>
    </row>
    <row r="1963" spans="24:36" x14ac:dyDescent="0.2">
      <c r="X1963" s="284"/>
      <c r="AA1963"/>
      <c r="AB1963"/>
      <c r="AC1963"/>
      <c r="AE1963"/>
      <c r="AF1963"/>
      <c r="AJ1963"/>
    </row>
    <row r="1964" spans="24:36" x14ac:dyDescent="0.2">
      <c r="X1964" s="284"/>
      <c r="AA1964"/>
      <c r="AB1964"/>
      <c r="AC1964"/>
      <c r="AE1964"/>
      <c r="AF1964"/>
      <c r="AJ1964"/>
    </row>
    <row r="1965" spans="24:36" x14ac:dyDescent="0.2">
      <c r="X1965" s="284"/>
      <c r="AA1965"/>
      <c r="AB1965"/>
      <c r="AC1965"/>
      <c r="AE1965"/>
      <c r="AF1965"/>
      <c r="AJ1965"/>
    </row>
    <row r="1966" spans="24:36" x14ac:dyDescent="0.2">
      <c r="X1966" s="284"/>
      <c r="AA1966"/>
      <c r="AB1966"/>
      <c r="AC1966"/>
      <c r="AE1966"/>
      <c r="AF1966"/>
      <c r="AJ1966"/>
    </row>
    <row r="1967" spans="24:36" x14ac:dyDescent="0.2">
      <c r="X1967" s="284"/>
      <c r="AA1967"/>
      <c r="AB1967"/>
      <c r="AC1967"/>
      <c r="AE1967"/>
      <c r="AF1967"/>
      <c r="AJ1967"/>
    </row>
    <row r="1968" spans="24:36" x14ac:dyDescent="0.2">
      <c r="X1968" s="284"/>
      <c r="AA1968"/>
      <c r="AB1968"/>
      <c r="AC1968"/>
      <c r="AE1968"/>
      <c r="AF1968"/>
      <c r="AJ1968"/>
    </row>
    <row r="1969" spans="24:36" x14ac:dyDescent="0.2">
      <c r="X1969" s="284"/>
      <c r="AA1969"/>
      <c r="AB1969"/>
      <c r="AC1969"/>
      <c r="AE1969"/>
      <c r="AF1969"/>
      <c r="AJ1969"/>
    </row>
    <row r="1970" spans="24:36" x14ac:dyDescent="0.2">
      <c r="X1970" s="284"/>
      <c r="AA1970"/>
      <c r="AB1970"/>
      <c r="AC1970"/>
      <c r="AE1970"/>
      <c r="AF1970"/>
      <c r="AJ1970"/>
    </row>
    <row r="1971" spans="24:36" x14ac:dyDescent="0.2">
      <c r="X1971" s="284"/>
      <c r="AA1971"/>
      <c r="AB1971"/>
      <c r="AC1971"/>
      <c r="AE1971"/>
      <c r="AF1971"/>
      <c r="AJ1971"/>
    </row>
    <row r="1972" spans="24:36" x14ac:dyDescent="0.2">
      <c r="X1972" s="284"/>
      <c r="AA1972"/>
      <c r="AB1972"/>
      <c r="AC1972"/>
      <c r="AE1972"/>
      <c r="AF1972"/>
      <c r="AJ1972"/>
    </row>
    <row r="1973" spans="24:36" x14ac:dyDescent="0.2">
      <c r="X1973" s="284"/>
      <c r="AA1973"/>
      <c r="AB1973"/>
      <c r="AC1973"/>
      <c r="AE1973"/>
      <c r="AF1973"/>
      <c r="AJ1973"/>
    </row>
    <row r="1974" spans="24:36" x14ac:dyDescent="0.2">
      <c r="X1974" s="284"/>
      <c r="AA1974"/>
      <c r="AB1974"/>
      <c r="AC1974"/>
      <c r="AE1974"/>
      <c r="AF1974"/>
      <c r="AJ1974"/>
    </row>
    <row r="1975" spans="24:36" x14ac:dyDescent="0.2">
      <c r="X1975" s="284"/>
      <c r="AA1975"/>
      <c r="AB1975"/>
      <c r="AC1975"/>
      <c r="AE1975"/>
      <c r="AF1975"/>
      <c r="AJ1975"/>
    </row>
    <row r="1976" spans="24:36" x14ac:dyDescent="0.2">
      <c r="X1976" s="284"/>
      <c r="AA1976"/>
      <c r="AB1976"/>
      <c r="AC1976"/>
      <c r="AE1976"/>
      <c r="AF1976"/>
      <c r="AJ1976"/>
    </row>
    <row r="1977" spans="24:36" x14ac:dyDescent="0.2">
      <c r="X1977" s="284"/>
      <c r="AA1977"/>
      <c r="AB1977"/>
      <c r="AC1977"/>
      <c r="AE1977"/>
      <c r="AF1977"/>
      <c r="AJ1977"/>
    </row>
    <row r="1978" spans="24:36" x14ac:dyDescent="0.2">
      <c r="X1978" s="284"/>
      <c r="AA1978"/>
      <c r="AB1978"/>
      <c r="AC1978"/>
      <c r="AE1978"/>
      <c r="AF1978"/>
      <c r="AJ1978"/>
    </row>
    <row r="1979" spans="24:36" x14ac:dyDescent="0.2">
      <c r="X1979" s="284"/>
      <c r="AA1979"/>
      <c r="AB1979"/>
      <c r="AC1979"/>
      <c r="AE1979"/>
      <c r="AF1979"/>
      <c r="AJ1979"/>
    </row>
    <row r="1980" spans="24:36" x14ac:dyDescent="0.2">
      <c r="X1980" s="284"/>
      <c r="AA1980"/>
      <c r="AB1980"/>
      <c r="AC1980"/>
      <c r="AE1980"/>
      <c r="AF1980"/>
      <c r="AJ1980"/>
    </row>
    <row r="1981" spans="24:36" x14ac:dyDescent="0.2">
      <c r="X1981" s="284"/>
      <c r="AA1981"/>
      <c r="AB1981"/>
      <c r="AC1981"/>
      <c r="AE1981"/>
      <c r="AF1981"/>
      <c r="AJ1981"/>
    </row>
    <row r="1982" spans="24:36" x14ac:dyDescent="0.2">
      <c r="X1982" s="284"/>
      <c r="AA1982"/>
      <c r="AB1982"/>
      <c r="AC1982"/>
      <c r="AE1982"/>
      <c r="AF1982"/>
      <c r="AJ1982"/>
    </row>
    <row r="1983" spans="24:36" x14ac:dyDescent="0.2">
      <c r="X1983" s="284"/>
      <c r="AA1983"/>
      <c r="AB1983"/>
      <c r="AC1983"/>
      <c r="AE1983"/>
      <c r="AF1983"/>
      <c r="AJ1983"/>
    </row>
    <row r="1984" spans="24:36" x14ac:dyDescent="0.2">
      <c r="X1984" s="284"/>
      <c r="AA1984"/>
      <c r="AB1984"/>
      <c r="AC1984"/>
      <c r="AE1984"/>
      <c r="AF1984"/>
      <c r="AJ1984"/>
    </row>
    <row r="1985" spans="24:36" x14ac:dyDescent="0.2">
      <c r="X1985" s="284"/>
      <c r="AA1985"/>
      <c r="AB1985"/>
      <c r="AC1985"/>
      <c r="AE1985"/>
      <c r="AF1985"/>
      <c r="AJ1985"/>
    </row>
    <row r="1986" spans="24:36" x14ac:dyDescent="0.2">
      <c r="X1986" s="284"/>
      <c r="AA1986"/>
      <c r="AB1986"/>
      <c r="AC1986"/>
      <c r="AE1986"/>
      <c r="AF1986"/>
      <c r="AJ1986"/>
    </row>
    <row r="1987" spans="24:36" x14ac:dyDescent="0.2">
      <c r="X1987" s="284"/>
      <c r="AA1987"/>
      <c r="AB1987"/>
      <c r="AC1987"/>
      <c r="AE1987"/>
      <c r="AF1987"/>
      <c r="AJ1987"/>
    </row>
    <row r="1988" spans="24:36" x14ac:dyDescent="0.2">
      <c r="X1988" s="284"/>
      <c r="AA1988"/>
      <c r="AB1988"/>
      <c r="AC1988"/>
      <c r="AE1988"/>
      <c r="AF1988"/>
      <c r="AJ1988"/>
    </row>
    <row r="1989" spans="24:36" x14ac:dyDescent="0.2">
      <c r="X1989" s="284"/>
      <c r="AA1989"/>
      <c r="AB1989"/>
      <c r="AC1989"/>
      <c r="AE1989"/>
      <c r="AF1989"/>
      <c r="AJ1989"/>
    </row>
    <row r="1990" spans="24:36" x14ac:dyDescent="0.2">
      <c r="X1990" s="284"/>
      <c r="AA1990"/>
      <c r="AB1990"/>
      <c r="AC1990"/>
      <c r="AE1990"/>
      <c r="AF1990"/>
      <c r="AJ1990"/>
    </row>
    <row r="1991" spans="24:36" x14ac:dyDescent="0.2">
      <c r="X1991" s="284"/>
      <c r="AA1991"/>
      <c r="AB1991"/>
      <c r="AC1991"/>
      <c r="AE1991"/>
      <c r="AF1991"/>
      <c r="AJ1991"/>
    </row>
    <row r="1992" spans="24:36" x14ac:dyDescent="0.2">
      <c r="X1992" s="284"/>
      <c r="AA1992"/>
      <c r="AB1992"/>
      <c r="AC1992"/>
      <c r="AE1992"/>
      <c r="AF1992"/>
      <c r="AJ1992"/>
    </row>
    <row r="1993" spans="24:36" x14ac:dyDescent="0.2">
      <c r="X1993" s="284"/>
      <c r="AA1993"/>
      <c r="AB1993"/>
      <c r="AC1993"/>
      <c r="AE1993"/>
      <c r="AF1993"/>
      <c r="AJ1993"/>
    </row>
    <row r="1994" spans="24:36" x14ac:dyDescent="0.2">
      <c r="X1994" s="284"/>
      <c r="AA1994"/>
      <c r="AB1994"/>
      <c r="AC1994"/>
      <c r="AE1994"/>
      <c r="AF1994"/>
      <c r="AJ1994"/>
    </row>
    <row r="1995" spans="24:36" x14ac:dyDescent="0.2">
      <c r="X1995" s="284"/>
      <c r="AA1995"/>
      <c r="AB1995"/>
      <c r="AC1995"/>
      <c r="AE1995"/>
      <c r="AF1995"/>
      <c r="AJ1995"/>
    </row>
    <row r="1996" spans="24:36" x14ac:dyDescent="0.2">
      <c r="X1996" s="284"/>
      <c r="AA1996"/>
      <c r="AB1996"/>
      <c r="AC1996"/>
      <c r="AE1996"/>
      <c r="AF1996"/>
      <c r="AJ1996"/>
    </row>
    <row r="1997" spans="24:36" x14ac:dyDescent="0.2">
      <c r="X1997" s="284"/>
      <c r="AA1997"/>
      <c r="AB1997"/>
      <c r="AC1997"/>
      <c r="AE1997"/>
      <c r="AF1997"/>
      <c r="AJ1997"/>
    </row>
    <row r="1998" spans="24:36" x14ac:dyDescent="0.2">
      <c r="X1998" s="284"/>
      <c r="AA1998"/>
      <c r="AB1998"/>
      <c r="AC1998"/>
      <c r="AE1998"/>
      <c r="AF1998"/>
      <c r="AJ1998"/>
    </row>
    <row r="1999" spans="24:36" x14ac:dyDescent="0.2">
      <c r="X1999" s="284"/>
      <c r="AA1999"/>
      <c r="AB1999"/>
      <c r="AC1999"/>
      <c r="AE1999"/>
      <c r="AF1999"/>
      <c r="AJ1999"/>
    </row>
    <row r="2000" spans="24:36" x14ac:dyDescent="0.2">
      <c r="X2000" s="284"/>
      <c r="AA2000"/>
      <c r="AB2000"/>
      <c r="AC2000"/>
      <c r="AE2000"/>
      <c r="AF2000"/>
      <c r="AJ2000"/>
    </row>
    <row r="2001" spans="24:36" x14ac:dyDescent="0.2">
      <c r="X2001" s="284"/>
      <c r="AA2001"/>
      <c r="AB2001"/>
      <c r="AC2001"/>
      <c r="AE2001"/>
      <c r="AF2001"/>
      <c r="AJ2001"/>
    </row>
    <row r="2002" spans="24:36" x14ac:dyDescent="0.2">
      <c r="X2002" s="284"/>
      <c r="AA2002"/>
      <c r="AB2002"/>
      <c r="AC2002"/>
      <c r="AE2002"/>
      <c r="AF2002"/>
      <c r="AJ2002"/>
    </row>
    <row r="2003" spans="24:36" x14ac:dyDescent="0.2">
      <c r="X2003" s="284"/>
      <c r="AA2003"/>
      <c r="AB2003"/>
      <c r="AC2003"/>
      <c r="AE2003"/>
      <c r="AF2003"/>
      <c r="AJ2003"/>
    </row>
    <row r="2004" spans="24:36" x14ac:dyDescent="0.2">
      <c r="X2004" s="284"/>
      <c r="AA2004"/>
      <c r="AB2004"/>
      <c r="AC2004"/>
      <c r="AE2004"/>
      <c r="AF2004"/>
      <c r="AJ2004"/>
    </row>
    <row r="2005" spans="24:36" x14ac:dyDescent="0.2">
      <c r="X2005" s="284"/>
      <c r="AA2005"/>
      <c r="AB2005"/>
      <c r="AC2005"/>
      <c r="AE2005"/>
      <c r="AF2005"/>
      <c r="AJ2005"/>
    </row>
    <row r="2006" spans="24:36" x14ac:dyDescent="0.2">
      <c r="X2006" s="284"/>
      <c r="AA2006"/>
      <c r="AB2006"/>
      <c r="AC2006"/>
      <c r="AE2006"/>
      <c r="AF2006"/>
      <c r="AJ2006"/>
    </row>
    <row r="2007" spans="24:36" x14ac:dyDescent="0.2">
      <c r="X2007" s="284"/>
      <c r="AA2007"/>
      <c r="AB2007"/>
      <c r="AC2007"/>
      <c r="AE2007"/>
      <c r="AF2007"/>
      <c r="AJ2007"/>
    </row>
    <row r="2008" spans="24:36" x14ac:dyDescent="0.2">
      <c r="X2008" s="284"/>
      <c r="AA2008"/>
      <c r="AB2008"/>
      <c r="AC2008"/>
      <c r="AE2008"/>
      <c r="AF2008"/>
      <c r="AJ2008"/>
    </row>
    <row r="2009" spans="24:36" x14ac:dyDescent="0.2">
      <c r="X2009" s="284"/>
      <c r="AA2009"/>
      <c r="AB2009"/>
      <c r="AC2009"/>
      <c r="AE2009"/>
      <c r="AF2009"/>
      <c r="AJ2009"/>
    </row>
    <row r="2010" spans="24:36" x14ac:dyDescent="0.2">
      <c r="X2010" s="284"/>
      <c r="AA2010"/>
      <c r="AB2010"/>
      <c r="AC2010"/>
      <c r="AE2010"/>
      <c r="AF2010"/>
      <c r="AJ2010"/>
    </row>
    <row r="2011" spans="24:36" x14ac:dyDescent="0.2">
      <c r="X2011" s="284"/>
      <c r="AA2011"/>
      <c r="AB2011"/>
      <c r="AC2011"/>
      <c r="AE2011"/>
      <c r="AF2011"/>
      <c r="AJ2011"/>
    </row>
    <row r="2012" spans="24:36" x14ac:dyDescent="0.2">
      <c r="X2012" s="284"/>
      <c r="AA2012"/>
      <c r="AB2012"/>
      <c r="AC2012"/>
      <c r="AE2012"/>
      <c r="AF2012"/>
      <c r="AJ2012"/>
    </row>
    <row r="2013" spans="24:36" x14ac:dyDescent="0.2">
      <c r="X2013" s="284"/>
      <c r="AA2013"/>
      <c r="AB2013"/>
      <c r="AC2013"/>
      <c r="AE2013"/>
      <c r="AF2013"/>
      <c r="AJ2013"/>
    </row>
    <row r="2014" spans="24:36" x14ac:dyDescent="0.2">
      <c r="X2014" s="284"/>
      <c r="AA2014"/>
      <c r="AB2014"/>
      <c r="AC2014"/>
      <c r="AE2014"/>
      <c r="AF2014"/>
      <c r="AJ2014"/>
    </row>
    <row r="2015" spans="24:36" x14ac:dyDescent="0.2">
      <c r="X2015" s="284"/>
      <c r="AA2015"/>
      <c r="AB2015"/>
      <c r="AC2015"/>
      <c r="AE2015"/>
      <c r="AF2015"/>
      <c r="AJ2015"/>
    </row>
    <row r="2016" spans="24:36" x14ac:dyDescent="0.2">
      <c r="X2016" s="284"/>
      <c r="AA2016"/>
      <c r="AB2016"/>
      <c r="AC2016"/>
      <c r="AE2016"/>
      <c r="AF2016"/>
      <c r="AJ2016"/>
    </row>
    <row r="2017" spans="24:36" x14ac:dyDescent="0.2">
      <c r="X2017" s="284"/>
      <c r="AA2017"/>
      <c r="AB2017"/>
      <c r="AC2017"/>
      <c r="AE2017"/>
      <c r="AF2017"/>
      <c r="AJ2017"/>
    </row>
    <row r="2018" spans="24:36" x14ac:dyDescent="0.2">
      <c r="X2018" s="284"/>
      <c r="AA2018"/>
      <c r="AB2018"/>
      <c r="AC2018"/>
      <c r="AE2018"/>
      <c r="AF2018"/>
      <c r="AJ2018"/>
    </row>
    <row r="2019" spans="24:36" x14ac:dyDescent="0.2">
      <c r="X2019" s="284"/>
      <c r="AA2019"/>
      <c r="AB2019"/>
      <c r="AC2019"/>
      <c r="AE2019"/>
      <c r="AF2019"/>
      <c r="AJ2019"/>
    </row>
    <row r="2020" spans="24:36" x14ac:dyDescent="0.2">
      <c r="X2020" s="284"/>
      <c r="AA2020"/>
      <c r="AB2020"/>
      <c r="AC2020"/>
      <c r="AE2020"/>
      <c r="AF2020"/>
      <c r="AJ2020"/>
    </row>
    <row r="2021" spans="24:36" x14ac:dyDescent="0.2">
      <c r="X2021" s="284"/>
      <c r="AA2021"/>
      <c r="AB2021"/>
      <c r="AC2021"/>
      <c r="AE2021"/>
      <c r="AF2021"/>
      <c r="AJ2021"/>
    </row>
    <row r="2022" spans="24:36" x14ac:dyDescent="0.2">
      <c r="X2022" s="284"/>
      <c r="AA2022"/>
      <c r="AB2022"/>
      <c r="AC2022"/>
      <c r="AE2022"/>
      <c r="AF2022"/>
      <c r="AJ2022"/>
    </row>
    <row r="2023" spans="24:36" x14ac:dyDescent="0.2">
      <c r="X2023" s="284"/>
      <c r="AA2023"/>
      <c r="AB2023"/>
      <c r="AC2023"/>
      <c r="AE2023"/>
      <c r="AF2023"/>
      <c r="AJ2023"/>
    </row>
    <row r="2024" spans="24:36" x14ac:dyDescent="0.2">
      <c r="X2024" s="284"/>
      <c r="AA2024"/>
      <c r="AB2024"/>
      <c r="AC2024"/>
      <c r="AE2024"/>
      <c r="AF2024"/>
      <c r="AJ2024"/>
    </row>
    <row r="2025" spans="24:36" x14ac:dyDescent="0.2">
      <c r="X2025" s="284"/>
      <c r="AA2025"/>
      <c r="AB2025"/>
      <c r="AC2025"/>
      <c r="AE2025"/>
      <c r="AF2025"/>
      <c r="AJ2025"/>
    </row>
    <row r="2026" spans="24:36" x14ac:dyDescent="0.2">
      <c r="X2026" s="284"/>
      <c r="AA2026"/>
      <c r="AB2026"/>
      <c r="AC2026"/>
      <c r="AE2026"/>
      <c r="AF2026"/>
      <c r="AJ2026"/>
    </row>
    <row r="2027" spans="24:36" x14ac:dyDescent="0.2">
      <c r="X2027" s="284"/>
      <c r="AA2027"/>
      <c r="AB2027"/>
      <c r="AC2027"/>
      <c r="AE2027"/>
      <c r="AF2027"/>
      <c r="AJ2027"/>
    </row>
    <row r="2028" spans="24:36" x14ac:dyDescent="0.2">
      <c r="X2028" s="284"/>
      <c r="AA2028"/>
      <c r="AB2028"/>
      <c r="AC2028"/>
      <c r="AE2028"/>
      <c r="AF2028"/>
      <c r="AJ2028"/>
    </row>
    <row r="2029" spans="24:36" x14ac:dyDescent="0.2">
      <c r="X2029" s="284"/>
      <c r="AA2029"/>
      <c r="AB2029"/>
      <c r="AC2029"/>
      <c r="AE2029"/>
      <c r="AF2029"/>
      <c r="AJ2029"/>
    </row>
    <row r="2030" spans="24:36" x14ac:dyDescent="0.2">
      <c r="X2030" s="284"/>
      <c r="AA2030"/>
      <c r="AB2030"/>
      <c r="AC2030"/>
      <c r="AE2030"/>
      <c r="AF2030"/>
      <c r="AJ2030"/>
    </row>
    <row r="2031" spans="24:36" x14ac:dyDescent="0.2">
      <c r="X2031" s="284"/>
      <c r="AA2031"/>
      <c r="AB2031"/>
      <c r="AC2031"/>
      <c r="AE2031"/>
      <c r="AF2031"/>
      <c r="AJ2031"/>
    </row>
    <row r="2032" spans="24:36" x14ac:dyDescent="0.2">
      <c r="X2032" s="284"/>
      <c r="AA2032"/>
      <c r="AB2032"/>
      <c r="AC2032"/>
      <c r="AE2032"/>
      <c r="AF2032"/>
      <c r="AJ2032"/>
    </row>
    <row r="2033" spans="24:36" x14ac:dyDescent="0.2">
      <c r="X2033" s="284"/>
      <c r="AA2033"/>
      <c r="AB2033"/>
      <c r="AC2033"/>
      <c r="AE2033"/>
      <c r="AF2033"/>
      <c r="AJ2033"/>
    </row>
    <row r="2034" spans="24:36" x14ac:dyDescent="0.2">
      <c r="X2034" s="284"/>
      <c r="AA2034"/>
      <c r="AB2034"/>
      <c r="AC2034"/>
      <c r="AE2034"/>
      <c r="AF2034"/>
      <c r="AJ2034"/>
    </row>
    <row r="2035" spans="24:36" x14ac:dyDescent="0.2">
      <c r="X2035" s="284"/>
      <c r="AA2035"/>
      <c r="AB2035"/>
      <c r="AC2035"/>
      <c r="AE2035"/>
      <c r="AF2035"/>
      <c r="AJ2035"/>
    </row>
    <row r="2036" spans="24:36" x14ac:dyDescent="0.2">
      <c r="X2036" s="284"/>
      <c r="AA2036"/>
      <c r="AB2036"/>
      <c r="AC2036"/>
      <c r="AE2036"/>
      <c r="AF2036"/>
      <c r="AJ2036"/>
    </row>
    <row r="2037" spans="24:36" x14ac:dyDescent="0.2">
      <c r="X2037" s="284"/>
      <c r="AA2037"/>
      <c r="AB2037"/>
      <c r="AC2037"/>
      <c r="AE2037"/>
      <c r="AF2037"/>
      <c r="AJ2037"/>
    </row>
    <row r="2038" spans="24:36" x14ac:dyDescent="0.2">
      <c r="X2038" s="284"/>
      <c r="AA2038"/>
      <c r="AB2038"/>
      <c r="AC2038"/>
      <c r="AE2038"/>
      <c r="AF2038"/>
      <c r="AJ2038"/>
    </row>
    <row r="2039" spans="24:36" x14ac:dyDescent="0.2">
      <c r="X2039" s="284"/>
      <c r="AA2039"/>
      <c r="AB2039"/>
      <c r="AC2039"/>
      <c r="AE2039"/>
      <c r="AF2039"/>
      <c r="AJ2039"/>
    </row>
    <row r="2040" spans="24:36" x14ac:dyDescent="0.2">
      <c r="X2040" s="284"/>
      <c r="AA2040"/>
      <c r="AB2040"/>
      <c r="AC2040"/>
      <c r="AE2040"/>
      <c r="AF2040"/>
      <c r="AJ2040"/>
    </row>
    <row r="2041" spans="24:36" x14ac:dyDescent="0.2">
      <c r="X2041" s="284"/>
      <c r="AA2041"/>
      <c r="AB2041"/>
      <c r="AC2041"/>
      <c r="AE2041"/>
      <c r="AF2041"/>
      <c r="AJ2041"/>
    </row>
    <row r="2042" spans="24:36" x14ac:dyDescent="0.2">
      <c r="X2042" s="284"/>
      <c r="AA2042"/>
      <c r="AB2042"/>
      <c r="AC2042"/>
      <c r="AE2042"/>
      <c r="AF2042"/>
      <c r="AJ2042"/>
    </row>
    <row r="2043" spans="24:36" x14ac:dyDescent="0.2">
      <c r="X2043" s="284"/>
      <c r="AA2043"/>
      <c r="AB2043"/>
      <c r="AC2043"/>
      <c r="AE2043"/>
      <c r="AF2043"/>
      <c r="AJ2043"/>
    </row>
    <row r="2044" spans="24:36" x14ac:dyDescent="0.2">
      <c r="X2044" s="284"/>
      <c r="AA2044"/>
      <c r="AB2044"/>
      <c r="AC2044"/>
      <c r="AE2044"/>
      <c r="AF2044"/>
      <c r="AJ2044"/>
    </row>
    <row r="2045" spans="24:36" x14ac:dyDescent="0.2">
      <c r="X2045" s="284"/>
      <c r="AA2045"/>
      <c r="AB2045"/>
      <c r="AC2045"/>
      <c r="AE2045"/>
      <c r="AF2045"/>
      <c r="AJ2045"/>
    </row>
    <row r="2046" spans="24:36" x14ac:dyDescent="0.2">
      <c r="X2046" s="284"/>
      <c r="AA2046"/>
      <c r="AB2046"/>
      <c r="AC2046"/>
      <c r="AE2046"/>
      <c r="AF2046"/>
      <c r="AJ2046"/>
    </row>
    <row r="2047" spans="24:36" x14ac:dyDescent="0.2">
      <c r="X2047" s="284"/>
      <c r="AA2047"/>
      <c r="AB2047"/>
      <c r="AC2047"/>
      <c r="AE2047"/>
      <c r="AF2047"/>
      <c r="AJ2047"/>
    </row>
    <row r="2048" spans="24:36" x14ac:dyDescent="0.2">
      <c r="X2048" s="284"/>
      <c r="AA2048"/>
      <c r="AB2048"/>
      <c r="AC2048"/>
      <c r="AE2048"/>
      <c r="AF2048"/>
      <c r="AJ2048"/>
    </row>
    <row r="2049" spans="24:36" x14ac:dyDescent="0.2">
      <c r="X2049" s="284"/>
      <c r="AA2049"/>
      <c r="AB2049"/>
      <c r="AC2049"/>
      <c r="AE2049"/>
      <c r="AF2049"/>
      <c r="AJ2049"/>
    </row>
    <row r="2050" spans="24:36" x14ac:dyDescent="0.2">
      <c r="X2050" s="284"/>
      <c r="AA2050"/>
      <c r="AB2050"/>
      <c r="AC2050"/>
      <c r="AE2050"/>
      <c r="AF2050"/>
      <c r="AJ2050"/>
    </row>
    <row r="2051" spans="24:36" x14ac:dyDescent="0.2">
      <c r="X2051" s="284"/>
      <c r="AA2051"/>
      <c r="AB2051"/>
      <c r="AC2051"/>
      <c r="AE2051"/>
      <c r="AF2051"/>
      <c r="AJ2051"/>
    </row>
    <row r="2052" spans="24:36" x14ac:dyDescent="0.2">
      <c r="X2052" s="284"/>
      <c r="AA2052"/>
      <c r="AB2052"/>
      <c r="AC2052"/>
      <c r="AE2052"/>
      <c r="AF2052"/>
      <c r="AJ2052"/>
    </row>
    <row r="2053" spans="24:36" x14ac:dyDescent="0.2">
      <c r="X2053" s="284"/>
      <c r="AA2053"/>
      <c r="AB2053"/>
      <c r="AC2053"/>
      <c r="AE2053"/>
      <c r="AF2053"/>
      <c r="AJ2053"/>
    </row>
    <row r="2054" spans="24:36" x14ac:dyDescent="0.2">
      <c r="X2054" s="284"/>
      <c r="AA2054"/>
      <c r="AB2054"/>
      <c r="AC2054"/>
      <c r="AE2054"/>
      <c r="AF2054"/>
      <c r="AJ2054"/>
    </row>
    <row r="2055" spans="24:36" x14ac:dyDescent="0.2">
      <c r="X2055" s="284"/>
      <c r="AA2055"/>
      <c r="AB2055"/>
      <c r="AC2055"/>
      <c r="AE2055"/>
      <c r="AF2055"/>
      <c r="AJ2055"/>
    </row>
    <row r="2056" spans="24:36" x14ac:dyDescent="0.2">
      <c r="X2056" s="284"/>
      <c r="AA2056"/>
      <c r="AB2056"/>
      <c r="AC2056"/>
      <c r="AE2056"/>
      <c r="AF2056"/>
      <c r="AJ2056"/>
    </row>
    <row r="2057" spans="24:36" x14ac:dyDescent="0.2">
      <c r="X2057" s="284"/>
      <c r="AA2057"/>
      <c r="AB2057"/>
      <c r="AC2057"/>
      <c r="AE2057"/>
      <c r="AF2057"/>
      <c r="AJ2057"/>
    </row>
    <row r="2058" spans="24:36" x14ac:dyDescent="0.2">
      <c r="X2058" s="284"/>
      <c r="AA2058"/>
      <c r="AB2058"/>
      <c r="AC2058"/>
      <c r="AE2058"/>
      <c r="AF2058"/>
      <c r="AJ2058"/>
    </row>
    <row r="2059" spans="24:36" x14ac:dyDescent="0.2">
      <c r="X2059" s="284"/>
      <c r="AA2059"/>
      <c r="AB2059"/>
      <c r="AC2059"/>
      <c r="AE2059"/>
      <c r="AF2059"/>
      <c r="AJ2059"/>
    </row>
    <row r="2060" spans="24:36" x14ac:dyDescent="0.2">
      <c r="X2060" s="284"/>
      <c r="AA2060"/>
      <c r="AB2060"/>
      <c r="AC2060"/>
      <c r="AE2060"/>
      <c r="AF2060"/>
      <c r="AJ2060"/>
    </row>
    <row r="2061" spans="24:36" x14ac:dyDescent="0.2">
      <c r="X2061" s="284"/>
      <c r="AA2061"/>
      <c r="AB2061"/>
      <c r="AC2061"/>
      <c r="AE2061"/>
      <c r="AF2061"/>
      <c r="AJ2061"/>
    </row>
    <row r="2062" spans="24:36" x14ac:dyDescent="0.2">
      <c r="X2062" s="284"/>
      <c r="AA2062"/>
      <c r="AB2062"/>
      <c r="AC2062"/>
      <c r="AE2062"/>
      <c r="AF2062"/>
      <c r="AJ2062"/>
    </row>
    <row r="2063" spans="24:36" x14ac:dyDescent="0.2">
      <c r="X2063" s="284"/>
      <c r="AA2063"/>
      <c r="AB2063"/>
      <c r="AC2063"/>
      <c r="AE2063"/>
      <c r="AF2063"/>
      <c r="AJ2063"/>
    </row>
    <row r="2064" spans="24:36" x14ac:dyDescent="0.2">
      <c r="X2064" s="284"/>
      <c r="AA2064"/>
      <c r="AB2064"/>
      <c r="AC2064"/>
      <c r="AE2064"/>
      <c r="AF2064"/>
      <c r="AJ2064"/>
    </row>
    <row r="2065" spans="24:36" x14ac:dyDescent="0.2">
      <c r="X2065" s="284"/>
      <c r="AA2065"/>
      <c r="AB2065"/>
      <c r="AC2065"/>
      <c r="AE2065"/>
      <c r="AF2065"/>
      <c r="AJ2065"/>
    </row>
    <row r="2066" spans="24:36" x14ac:dyDescent="0.2">
      <c r="X2066" s="284"/>
      <c r="AA2066"/>
      <c r="AB2066"/>
      <c r="AC2066"/>
      <c r="AE2066"/>
      <c r="AF2066"/>
      <c r="AJ2066"/>
    </row>
    <row r="2067" spans="24:36" x14ac:dyDescent="0.2">
      <c r="X2067" s="284"/>
      <c r="AA2067"/>
      <c r="AB2067"/>
      <c r="AC2067"/>
      <c r="AE2067"/>
      <c r="AF2067"/>
      <c r="AJ2067"/>
    </row>
    <row r="2068" spans="24:36" x14ac:dyDescent="0.2">
      <c r="X2068" s="284"/>
      <c r="AA2068"/>
      <c r="AB2068"/>
      <c r="AC2068"/>
      <c r="AE2068"/>
      <c r="AF2068"/>
      <c r="AJ2068"/>
    </row>
    <row r="2069" spans="24:36" x14ac:dyDescent="0.2">
      <c r="X2069" s="284"/>
      <c r="AA2069"/>
      <c r="AB2069"/>
      <c r="AC2069"/>
      <c r="AE2069"/>
      <c r="AF2069"/>
      <c r="AJ2069"/>
    </row>
    <row r="2070" spans="24:36" x14ac:dyDescent="0.2">
      <c r="X2070" s="284"/>
      <c r="AA2070"/>
      <c r="AB2070"/>
      <c r="AC2070"/>
      <c r="AE2070"/>
      <c r="AF2070"/>
      <c r="AJ2070"/>
    </row>
    <row r="2071" spans="24:36" x14ac:dyDescent="0.2">
      <c r="X2071" s="284"/>
      <c r="AA2071"/>
      <c r="AB2071"/>
      <c r="AC2071"/>
      <c r="AE2071"/>
      <c r="AF2071"/>
      <c r="AJ2071"/>
    </row>
    <row r="2072" spans="24:36" x14ac:dyDescent="0.2">
      <c r="X2072" s="284"/>
      <c r="AA2072"/>
      <c r="AB2072"/>
      <c r="AC2072"/>
      <c r="AE2072"/>
      <c r="AF2072"/>
      <c r="AJ2072"/>
    </row>
    <row r="2073" spans="24:36" x14ac:dyDescent="0.2">
      <c r="X2073" s="284"/>
      <c r="AA2073"/>
      <c r="AB2073"/>
      <c r="AC2073"/>
      <c r="AE2073"/>
      <c r="AF2073"/>
      <c r="AJ2073"/>
    </row>
    <row r="2074" spans="24:36" x14ac:dyDescent="0.2">
      <c r="X2074" s="284"/>
      <c r="AA2074"/>
      <c r="AB2074"/>
      <c r="AC2074"/>
      <c r="AE2074"/>
      <c r="AF2074"/>
      <c r="AJ2074"/>
    </row>
    <row r="2075" spans="24:36" x14ac:dyDescent="0.2">
      <c r="X2075" s="284"/>
      <c r="AA2075"/>
      <c r="AB2075"/>
      <c r="AC2075"/>
      <c r="AE2075"/>
      <c r="AF2075"/>
      <c r="AJ2075"/>
    </row>
    <row r="2076" spans="24:36" x14ac:dyDescent="0.2">
      <c r="X2076" s="284"/>
      <c r="AA2076"/>
      <c r="AB2076"/>
      <c r="AC2076"/>
      <c r="AE2076"/>
      <c r="AF2076"/>
      <c r="AJ2076"/>
    </row>
    <row r="2077" spans="24:36" x14ac:dyDescent="0.2">
      <c r="X2077" s="284"/>
      <c r="AA2077"/>
      <c r="AB2077"/>
      <c r="AC2077"/>
      <c r="AE2077"/>
      <c r="AF2077"/>
      <c r="AJ2077"/>
    </row>
    <row r="2078" spans="24:36" x14ac:dyDescent="0.2">
      <c r="X2078" s="284"/>
      <c r="AA2078"/>
      <c r="AB2078"/>
      <c r="AC2078"/>
      <c r="AE2078"/>
      <c r="AF2078"/>
      <c r="AJ2078"/>
    </row>
    <row r="2079" spans="24:36" x14ac:dyDescent="0.2">
      <c r="X2079" s="284"/>
      <c r="AA2079"/>
      <c r="AB2079"/>
      <c r="AC2079"/>
      <c r="AE2079"/>
      <c r="AF2079"/>
      <c r="AJ2079"/>
    </row>
    <row r="2080" spans="24:36" x14ac:dyDescent="0.2">
      <c r="X2080" s="284"/>
      <c r="AA2080"/>
      <c r="AB2080"/>
      <c r="AC2080"/>
      <c r="AE2080"/>
      <c r="AF2080"/>
      <c r="AJ2080"/>
    </row>
    <row r="2081" spans="24:36" x14ac:dyDescent="0.2">
      <c r="X2081" s="284"/>
      <c r="AA2081"/>
      <c r="AB2081"/>
      <c r="AC2081"/>
      <c r="AE2081"/>
      <c r="AF2081"/>
      <c r="AJ2081"/>
    </row>
    <row r="2082" spans="24:36" x14ac:dyDescent="0.2">
      <c r="X2082" s="284"/>
      <c r="AA2082"/>
      <c r="AB2082"/>
      <c r="AC2082"/>
      <c r="AE2082"/>
      <c r="AF2082"/>
      <c r="AJ2082"/>
    </row>
    <row r="2083" spans="24:36" x14ac:dyDescent="0.2">
      <c r="X2083" s="284"/>
      <c r="AA2083"/>
      <c r="AB2083"/>
      <c r="AC2083"/>
      <c r="AE2083"/>
      <c r="AF2083"/>
      <c r="AJ2083"/>
    </row>
    <row r="2084" spans="24:36" x14ac:dyDescent="0.2">
      <c r="X2084" s="284"/>
      <c r="AA2084"/>
      <c r="AB2084"/>
      <c r="AC2084"/>
      <c r="AE2084"/>
      <c r="AF2084"/>
      <c r="AJ2084"/>
    </row>
    <row r="2085" spans="24:36" x14ac:dyDescent="0.2">
      <c r="X2085" s="284"/>
      <c r="AA2085"/>
      <c r="AB2085"/>
      <c r="AC2085"/>
      <c r="AE2085"/>
      <c r="AF2085"/>
      <c r="AJ2085"/>
    </row>
    <row r="2086" spans="24:36" x14ac:dyDescent="0.2">
      <c r="X2086" s="284"/>
      <c r="AA2086"/>
      <c r="AB2086"/>
      <c r="AC2086"/>
      <c r="AE2086"/>
      <c r="AF2086"/>
      <c r="AJ2086"/>
    </row>
    <row r="2087" spans="24:36" x14ac:dyDescent="0.2">
      <c r="X2087" s="284"/>
      <c r="AA2087"/>
      <c r="AB2087"/>
      <c r="AC2087"/>
      <c r="AE2087"/>
      <c r="AF2087"/>
      <c r="AJ2087"/>
    </row>
    <row r="2088" spans="24:36" x14ac:dyDescent="0.2">
      <c r="X2088" s="284"/>
      <c r="AA2088"/>
      <c r="AB2088"/>
      <c r="AC2088"/>
      <c r="AE2088"/>
      <c r="AF2088"/>
      <c r="AJ2088"/>
    </row>
    <row r="2089" spans="24:36" x14ac:dyDescent="0.2">
      <c r="X2089" s="284"/>
      <c r="AA2089"/>
      <c r="AB2089"/>
      <c r="AC2089"/>
      <c r="AE2089"/>
      <c r="AF2089"/>
      <c r="AJ2089"/>
    </row>
    <row r="2090" spans="24:36" x14ac:dyDescent="0.2">
      <c r="X2090" s="284"/>
      <c r="AA2090"/>
      <c r="AB2090"/>
      <c r="AC2090"/>
      <c r="AE2090"/>
      <c r="AF2090"/>
      <c r="AJ2090"/>
    </row>
    <row r="2091" spans="24:36" x14ac:dyDescent="0.2">
      <c r="X2091" s="284"/>
      <c r="AA2091"/>
      <c r="AB2091"/>
      <c r="AC2091"/>
      <c r="AE2091"/>
      <c r="AF2091"/>
      <c r="AJ2091"/>
    </row>
    <row r="2092" spans="24:36" x14ac:dyDescent="0.2">
      <c r="X2092" s="284"/>
      <c r="AA2092"/>
      <c r="AB2092"/>
      <c r="AC2092"/>
      <c r="AE2092"/>
      <c r="AF2092"/>
      <c r="AJ2092"/>
    </row>
    <row r="2093" spans="24:36" x14ac:dyDescent="0.2">
      <c r="X2093" s="284"/>
      <c r="AA2093"/>
      <c r="AB2093"/>
      <c r="AC2093"/>
      <c r="AE2093"/>
      <c r="AF2093"/>
      <c r="AJ2093"/>
    </row>
    <row r="2094" spans="24:36" x14ac:dyDescent="0.2">
      <c r="X2094" s="284"/>
      <c r="AA2094"/>
      <c r="AB2094"/>
      <c r="AC2094"/>
      <c r="AE2094"/>
      <c r="AF2094"/>
      <c r="AJ2094"/>
    </row>
    <row r="2095" spans="24:36" x14ac:dyDescent="0.2">
      <c r="X2095" s="284"/>
      <c r="AA2095"/>
      <c r="AB2095"/>
      <c r="AC2095"/>
      <c r="AE2095"/>
      <c r="AF2095"/>
      <c r="AJ2095"/>
    </row>
    <row r="2096" spans="24:36" x14ac:dyDescent="0.2">
      <c r="X2096" s="284"/>
      <c r="AA2096"/>
      <c r="AB2096"/>
      <c r="AC2096"/>
      <c r="AE2096"/>
      <c r="AF2096"/>
      <c r="AJ2096"/>
    </row>
    <row r="2097" spans="24:36" x14ac:dyDescent="0.2">
      <c r="X2097" s="284"/>
      <c r="AA2097"/>
      <c r="AB2097"/>
      <c r="AC2097"/>
      <c r="AE2097"/>
      <c r="AF2097"/>
      <c r="AJ2097"/>
    </row>
    <row r="2098" spans="24:36" x14ac:dyDescent="0.2">
      <c r="X2098" s="284"/>
      <c r="AA2098"/>
      <c r="AB2098"/>
      <c r="AC2098"/>
      <c r="AE2098"/>
      <c r="AF2098"/>
      <c r="AJ2098"/>
    </row>
    <row r="2099" spans="24:36" x14ac:dyDescent="0.2">
      <c r="X2099" s="284"/>
      <c r="AA2099"/>
      <c r="AB2099"/>
      <c r="AC2099"/>
      <c r="AE2099"/>
      <c r="AF2099"/>
      <c r="AJ2099"/>
    </row>
    <row r="2100" spans="24:36" x14ac:dyDescent="0.2">
      <c r="X2100" s="284"/>
      <c r="AA2100"/>
      <c r="AB2100"/>
      <c r="AC2100"/>
      <c r="AE2100"/>
      <c r="AF2100"/>
      <c r="AJ2100"/>
    </row>
    <row r="2101" spans="24:36" x14ac:dyDescent="0.2">
      <c r="X2101" s="284"/>
      <c r="AA2101"/>
      <c r="AB2101"/>
      <c r="AC2101"/>
      <c r="AE2101"/>
      <c r="AF2101"/>
      <c r="AJ2101"/>
    </row>
    <row r="2102" spans="24:36" x14ac:dyDescent="0.2">
      <c r="X2102" s="284"/>
      <c r="AA2102"/>
      <c r="AB2102"/>
      <c r="AC2102"/>
      <c r="AE2102"/>
      <c r="AF2102"/>
      <c r="AJ2102"/>
    </row>
    <row r="2103" spans="24:36" x14ac:dyDescent="0.2">
      <c r="X2103" s="284"/>
      <c r="AA2103"/>
      <c r="AB2103"/>
      <c r="AC2103"/>
      <c r="AE2103"/>
      <c r="AF2103"/>
      <c r="AJ2103"/>
    </row>
    <row r="2104" spans="24:36" x14ac:dyDescent="0.2">
      <c r="X2104" s="284"/>
      <c r="AA2104"/>
      <c r="AB2104"/>
      <c r="AC2104"/>
      <c r="AE2104"/>
      <c r="AF2104"/>
      <c r="AJ2104"/>
    </row>
    <row r="2105" spans="24:36" x14ac:dyDescent="0.2">
      <c r="X2105" s="284"/>
      <c r="AA2105"/>
      <c r="AB2105"/>
      <c r="AC2105"/>
      <c r="AE2105"/>
      <c r="AF2105"/>
      <c r="AJ2105"/>
    </row>
    <row r="2106" spans="24:36" x14ac:dyDescent="0.2">
      <c r="X2106" s="284"/>
      <c r="AA2106"/>
      <c r="AB2106"/>
      <c r="AC2106"/>
      <c r="AE2106"/>
      <c r="AF2106"/>
      <c r="AJ2106"/>
    </row>
    <row r="2107" spans="24:36" x14ac:dyDescent="0.2">
      <c r="X2107" s="284"/>
      <c r="AA2107"/>
      <c r="AB2107"/>
      <c r="AC2107"/>
      <c r="AE2107"/>
      <c r="AF2107"/>
      <c r="AJ2107"/>
    </row>
    <row r="2108" spans="24:36" x14ac:dyDescent="0.2">
      <c r="X2108" s="284"/>
      <c r="AA2108"/>
      <c r="AB2108"/>
      <c r="AC2108"/>
      <c r="AE2108"/>
      <c r="AF2108"/>
      <c r="AJ2108"/>
    </row>
    <row r="2109" spans="24:36" x14ac:dyDescent="0.2">
      <c r="X2109" s="284"/>
      <c r="AA2109"/>
      <c r="AB2109"/>
      <c r="AC2109"/>
      <c r="AE2109"/>
      <c r="AF2109"/>
      <c r="AJ2109"/>
    </row>
    <row r="2110" spans="24:36" x14ac:dyDescent="0.2">
      <c r="X2110" s="284"/>
      <c r="AA2110"/>
      <c r="AB2110"/>
      <c r="AC2110"/>
      <c r="AE2110"/>
      <c r="AF2110"/>
      <c r="AJ2110"/>
    </row>
    <row r="2111" spans="24:36" x14ac:dyDescent="0.2">
      <c r="X2111" s="284"/>
      <c r="AA2111"/>
      <c r="AB2111"/>
      <c r="AC2111"/>
      <c r="AE2111"/>
      <c r="AF2111"/>
      <c r="AJ2111"/>
    </row>
    <row r="2112" spans="24:36" x14ac:dyDescent="0.2">
      <c r="X2112" s="284"/>
      <c r="AA2112"/>
      <c r="AB2112"/>
      <c r="AC2112"/>
      <c r="AE2112"/>
      <c r="AF2112"/>
      <c r="AJ2112"/>
    </row>
    <row r="2113" spans="24:36" x14ac:dyDescent="0.2">
      <c r="X2113" s="284"/>
      <c r="AA2113"/>
      <c r="AB2113"/>
      <c r="AC2113"/>
      <c r="AE2113"/>
      <c r="AF2113"/>
      <c r="AJ2113"/>
    </row>
    <row r="2114" spans="24:36" x14ac:dyDescent="0.2">
      <c r="X2114" s="284"/>
      <c r="AA2114"/>
      <c r="AB2114"/>
      <c r="AC2114"/>
      <c r="AE2114"/>
      <c r="AF2114"/>
      <c r="AJ2114"/>
    </row>
    <row r="2115" spans="24:36" x14ac:dyDescent="0.2">
      <c r="X2115" s="284"/>
      <c r="AA2115"/>
      <c r="AB2115"/>
      <c r="AC2115"/>
      <c r="AE2115"/>
      <c r="AF2115"/>
      <c r="AJ2115"/>
    </row>
    <row r="2116" spans="24:36" x14ac:dyDescent="0.2">
      <c r="X2116" s="284"/>
      <c r="AA2116"/>
      <c r="AB2116"/>
      <c r="AC2116"/>
      <c r="AE2116"/>
      <c r="AF2116"/>
      <c r="AJ2116"/>
    </row>
    <row r="2117" spans="24:36" x14ac:dyDescent="0.2">
      <c r="X2117" s="284"/>
      <c r="AA2117"/>
      <c r="AB2117"/>
      <c r="AC2117"/>
      <c r="AE2117"/>
      <c r="AF2117"/>
      <c r="AJ2117"/>
    </row>
    <row r="2118" spans="24:36" x14ac:dyDescent="0.2">
      <c r="X2118" s="284"/>
      <c r="AA2118"/>
      <c r="AB2118"/>
      <c r="AC2118"/>
      <c r="AE2118"/>
      <c r="AF2118"/>
      <c r="AJ2118"/>
    </row>
    <row r="2119" spans="24:36" x14ac:dyDescent="0.2">
      <c r="X2119" s="284"/>
      <c r="AA2119"/>
      <c r="AB2119"/>
      <c r="AC2119"/>
      <c r="AE2119"/>
      <c r="AF2119"/>
      <c r="AJ2119"/>
    </row>
    <row r="2120" spans="24:36" x14ac:dyDescent="0.2">
      <c r="X2120" s="284"/>
      <c r="AA2120"/>
      <c r="AB2120"/>
      <c r="AC2120"/>
      <c r="AE2120"/>
      <c r="AF2120"/>
      <c r="AJ2120"/>
    </row>
    <row r="2121" spans="24:36" x14ac:dyDescent="0.2">
      <c r="X2121" s="284"/>
      <c r="AA2121"/>
      <c r="AB2121"/>
      <c r="AC2121"/>
      <c r="AE2121"/>
      <c r="AF2121"/>
      <c r="AJ2121"/>
    </row>
    <row r="2122" spans="24:36" x14ac:dyDescent="0.2">
      <c r="X2122" s="284"/>
      <c r="AA2122"/>
      <c r="AB2122"/>
      <c r="AC2122"/>
      <c r="AE2122"/>
      <c r="AF2122"/>
      <c r="AJ2122"/>
    </row>
    <row r="2123" spans="24:36" x14ac:dyDescent="0.2">
      <c r="X2123" s="284"/>
      <c r="AA2123"/>
      <c r="AB2123"/>
      <c r="AC2123"/>
      <c r="AE2123"/>
      <c r="AF2123"/>
      <c r="AJ2123"/>
    </row>
    <row r="2124" spans="24:36" x14ac:dyDescent="0.2">
      <c r="X2124" s="284"/>
      <c r="AA2124"/>
      <c r="AB2124"/>
      <c r="AC2124"/>
      <c r="AE2124"/>
      <c r="AF2124"/>
      <c r="AJ2124"/>
    </row>
    <row r="2125" spans="24:36" x14ac:dyDescent="0.2">
      <c r="X2125" s="284"/>
      <c r="AA2125"/>
      <c r="AB2125"/>
      <c r="AC2125"/>
      <c r="AE2125"/>
      <c r="AF2125"/>
      <c r="AJ2125"/>
    </row>
    <row r="2126" spans="24:36" x14ac:dyDescent="0.2">
      <c r="X2126" s="284"/>
      <c r="AA2126"/>
      <c r="AB2126"/>
      <c r="AC2126"/>
      <c r="AE2126"/>
      <c r="AF2126"/>
      <c r="AJ2126"/>
    </row>
    <row r="2127" spans="24:36" x14ac:dyDescent="0.2">
      <c r="X2127" s="284"/>
      <c r="AA2127"/>
      <c r="AB2127"/>
      <c r="AC2127"/>
      <c r="AE2127"/>
      <c r="AF2127"/>
      <c r="AJ2127"/>
    </row>
    <row r="2128" spans="24:36" x14ac:dyDescent="0.2">
      <c r="X2128" s="284"/>
      <c r="AA2128"/>
      <c r="AB2128"/>
      <c r="AC2128"/>
      <c r="AE2128"/>
      <c r="AF2128"/>
      <c r="AJ2128"/>
    </row>
    <row r="2129" spans="24:36" x14ac:dyDescent="0.2">
      <c r="X2129" s="284"/>
      <c r="AA2129"/>
      <c r="AB2129"/>
      <c r="AC2129"/>
      <c r="AE2129"/>
      <c r="AF2129"/>
      <c r="AJ2129"/>
    </row>
    <row r="2130" spans="24:36" x14ac:dyDescent="0.2">
      <c r="X2130" s="284"/>
      <c r="AA2130"/>
      <c r="AB2130"/>
      <c r="AC2130"/>
      <c r="AE2130"/>
      <c r="AF2130"/>
      <c r="AJ2130"/>
    </row>
    <row r="2131" spans="24:36" x14ac:dyDescent="0.2">
      <c r="X2131" s="284"/>
      <c r="AA2131"/>
      <c r="AB2131"/>
      <c r="AC2131"/>
      <c r="AE2131"/>
      <c r="AF2131"/>
      <c r="AJ2131"/>
    </row>
    <row r="2132" spans="24:36" x14ac:dyDescent="0.2">
      <c r="X2132" s="284"/>
      <c r="AA2132"/>
      <c r="AB2132"/>
      <c r="AC2132"/>
      <c r="AE2132"/>
      <c r="AF2132"/>
      <c r="AJ2132"/>
    </row>
    <row r="2133" spans="24:36" x14ac:dyDescent="0.2">
      <c r="X2133" s="284"/>
      <c r="AA2133"/>
      <c r="AB2133"/>
      <c r="AC2133"/>
      <c r="AE2133"/>
      <c r="AF2133"/>
      <c r="AJ2133"/>
    </row>
    <row r="2134" spans="24:36" x14ac:dyDescent="0.2">
      <c r="X2134" s="284"/>
      <c r="AA2134"/>
      <c r="AB2134"/>
      <c r="AC2134"/>
      <c r="AE2134"/>
      <c r="AF2134"/>
      <c r="AJ2134"/>
    </row>
    <row r="2135" spans="24:36" x14ac:dyDescent="0.2">
      <c r="X2135" s="284"/>
      <c r="AA2135"/>
      <c r="AB2135"/>
      <c r="AC2135"/>
      <c r="AE2135"/>
      <c r="AF2135"/>
      <c r="AJ2135"/>
    </row>
    <row r="2136" spans="24:36" x14ac:dyDescent="0.2">
      <c r="X2136" s="284"/>
      <c r="AA2136"/>
      <c r="AB2136"/>
      <c r="AC2136"/>
      <c r="AE2136"/>
      <c r="AF2136"/>
      <c r="AJ2136"/>
    </row>
    <row r="2137" spans="24:36" x14ac:dyDescent="0.2">
      <c r="X2137" s="284"/>
      <c r="AA2137"/>
      <c r="AB2137"/>
      <c r="AC2137"/>
      <c r="AE2137"/>
      <c r="AF2137"/>
      <c r="AJ2137"/>
    </row>
    <row r="2138" spans="24:36" x14ac:dyDescent="0.2">
      <c r="X2138" s="284"/>
      <c r="AA2138"/>
      <c r="AB2138"/>
      <c r="AC2138"/>
      <c r="AE2138"/>
      <c r="AF2138"/>
      <c r="AJ2138"/>
    </row>
    <row r="2139" spans="24:36" x14ac:dyDescent="0.2">
      <c r="X2139" s="284"/>
      <c r="AA2139"/>
      <c r="AB2139"/>
      <c r="AC2139"/>
      <c r="AE2139"/>
      <c r="AF2139"/>
      <c r="AJ2139"/>
    </row>
    <row r="2140" spans="24:36" x14ac:dyDescent="0.2">
      <c r="X2140" s="284"/>
      <c r="AA2140"/>
      <c r="AB2140"/>
      <c r="AC2140"/>
      <c r="AE2140"/>
      <c r="AF2140"/>
      <c r="AJ2140"/>
    </row>
    <row r="2141" spans="24:36" x14ac:dyDescent="0.2">
      <c r="X2141" s="284"/>
      <c r="AA2141"/>
      <c r="AB2141"/>
      <c r="AC2141"/>
      <c r="AE2141"/>
      <c r="AF2141"/>
      <c r="AJ2141"/>
    </row>
    <row r="2142" spans="24:36" x14ac:dyDescent="0.2">
      <c r="X2142" s="284"/>
      <c r="AA2142"/>
      <c r="AB2142"/>
      <c r="AC2142"/>
      <c r="AE2142"/>
      <c r="AF2142"/>
      <c r="AJ2142"/>
    </row>
    <row r="2143" spans="24:36" x14ac:dyDescent="0.2">
      <c r="X2143" s="284"/>
      <c r="AA2143"/>
      <c r="AB2143"/>
      <c r="AC2143"/>
      <c r="AE2143"/>
      <c r="AF2143"/>
      <c r="AJ2143"/>
    </row>
    <row r="2144" spans="24:36" x14ac:dyDescent="0.2">
      <c r="X2144" s="284"/>
      <c r="AA2144"/>
      <c r="AB2144"/>
      <c r="AC2144"/>
      <c r="AE2144"/>
      <c r="AF2144"/>
      <c r="AJ2144"/>
    </row>
    <row r="2145" spans="24:36" x14ac:dyDescent="0.2">
      <c r="X2145" s="284"/>
      <c r="AA2145"/>
      <c r="AB2145"/>
      <c r="AC2145"/>
      <c r="AE2145"/>
      <c r="AF2145"/>
      <c r="AJ2145"/>
    </row>
    <row r="2146" spans="24:36" x14ac:dyDescent="0.2">
      <c r="X2146" s="284"/>
      <c r="AA2146"/>
      <c r="AB2146"/>
      <c r="AC2146"/>
      <c r="AE2146"/>
      <c r="AF2146"/>
      <c r="AJ2146"/>
    </row>
    <row r="2147" spans="24:36" x14ac:dyDescent="0.2">
      <c r="X2147" s="284"/>
      <c r="AA2147"/>
      <c r="AB2147"/>
      <c r="AC2147"/>
      <c r="AE2147"/>
      <c r="AF2147"/>
      <c r="AJ2147"/>
    </row>
    <row r="2148" spans="24:36" x14ac:dyDescent="0.2">
      <c r="X2148" s="284"/>
      <c r="AA2148"/>
      <c r="AB2148"/>
      <c r="AC2148"/>
      <c r="AE2148"/>
      <c r="AF2148"/>
      <c r="AJ2148"/>
    </row>
    <row r="2149" spans="24:36" x14ac:dyDescent="0.2">
      <c r="X2149" s="284"/>
      <c r="AA2149"/>
      <c r="AB2149"/>
      <c r="AC2149"/>
      <c r="AE2149"/>
      <c r="AF2149"/>
      <c r="AJ2149"/>
    </row>
    <row r="2150" spans="24:36" x14ac:dyDescent="0.2">
      <c r="X2150" s="284"/>
      <c r="AA2150"/>
      <c r="AB2150"/>
      <c r="AC2150"/>
      <c r="AE2150"/>
      <c r="AF2150"/>
      <c r="AJ2150"/>
    </row>
    <row r="2151" spans="24:36" x14ac:dyDescent="0.2">
      <c r="X2151" s="284"/>
      <c r="AA2151"/>
      <c r="AB2151"/>
      <c r="AC2151"/>
      <c r="AE2151"/>
      <c r="AF2151"/>
      <c r="AJ2151"/>
    </row>
    <row r="2152" spans="24:36" x14ac:dyDescent="0.2">
      <c r="X2152" s="284"/>
      <c r="AA2152"/>
      <c r="AB2152"/>
      <c r="AC2152"/>
      <c r="AE2152"/>
      <c r="AF2152"/>
      <c r="AJ2152"/>
    </row>
    <row r="2153" spans="24:36" x14ac:dyDescent="0.2">
      <c r="X2153" s="284"/>
      <c r="AA2153"/>
      <c r="AB2153"/>
      <c r="AC2153"/>
      <c r="AE2153"/>
      <c r="AF2153"/>
      <c r="AJ2153"/>
    </row>
    <row r="2154" spans="24:36" x14ac:dyDescent="0.2">
      <c r="X2154" s="284"/>
      <c r="AA2154"/>
      <c r="AB2154"/>
      <c r="AC2154"/>
      <c r="AE2154"/>
      <c r="AF2154"/>
      <c r="AJ2154"/>
    </row>
    <row r="2155" spans="24:36" x14ac:dyDescent="0.2">
      <c r="X2155" s="284"/>
      <c r="AA2155"/>
      <c r="AB2155"/>
      <c r="AC2155"/>
      <c r="AE2155"/>
      <c r="AF2155"/>
      <c r="AJ2155"/>
    </row>
    <row r="2156" spans="24:36" x14ac:dyDescent="0.2">
      <c r="X2156" s="284"/>
      <c r="AA2156"/>
      <c r="AB2156"/>
      <c r="AC2156"/>
      <c r="AE2156"/>
      <c r="AF2156"/>
      <c r="AJ2156"/>
    </row>
    <row r="2157" spans="24:36" x14ac:dyDescent="0.2">
      <c r="X2157" s="284"/>
      <c r="AA2157"/>
      <c r="AB2157"/>
      <c r="AC2157"/>
      <c r="AE2157"/>
      <c r="AF2157"/>
      <c r="AJ2157"/>
    </row>
    <row r="2158" spans="24:36" x14ac:dyDescent="0.2">
      <c r="X2158" s="284"/>
      <c r="AA2158"/>
      <c r="AB2158"/>
      <c r="AC2158"/>
      <c r="AE2158"/>
      <c r="AF2158"/>
      <c r="AJ2158"/>
    </row>
    <row r="2159" spans="24:36" x14ac:dyDescent="0.2">
      <c r="X2159" s="284"/>
      <c r="AA2159"/>
      <c r="AB2159"/>
      <c r="AC2159"/>
      <c r="AE2159"/>
      <c r="AF2159"/>
      <c r="AJ2159"/>
    </row>
    <row r="2160" spans="24:36" x14ac:dyDescent="0.2">
      <c r="X2160" s="284"/>
      <c r="AA2160"/>
      <c r="AB2160"/>
      <c r="AC2160"/>
      <c r="AE2160"/>
      <c r="AF2160"/>
      <c r="AJ2160"/>
    </row>
    <row r="2161" spans="24:36" x14ac:dyDescent="0.2">
      <c r="X2161" s="284"/>
      <c r="AA2161"/>
      <c r="AB2161"/>
      <c r="AC2161"/>
      <c r="AE2161"/>
      <c r="AF2161"/>
      <c r="AJ2161"/>
    </row>
    <row r="2162" spans="24:36" x14ac:dyDescent="0.2">
      <c r="X2162" s="284"/>
      <c r="AA2162"/>
      <c r="AB2162"/>
      <c r="AC2162"/>
      <c r="AE2162"/>
      <c r="AF2162"/>
      <c r="AJ2162"/>
    </row>
    <row r="2163" spans="24:36" x14ac:dyDescent="0.2">
      <c r="X2163" s="284"/>
      <c r="AA2163"/>
      <c r="AB2163"/>
      <c r="AC2163"/>
      <c r="AE2163"/>
      <c r="AF2163"/>
      <c r="AJ2163"/>
    </row>
    <row r="2164" spans="24:36" x14ac:dyDescent="0.2">
      <c r="X2164" s="284"/>
      <c r="AA2164"/>
      <c r="AB2164"/>
      <c r="AC2164"/>
      <c r="AE2164"/>
      <c r="AF2164"/>
      <c r="AJ2164"/>
    </row>
    <row r="2165" spans="24:36" x14ac:dyDescent="0.2">
      <c r="X2165" s="284"/>
      <c r="AA2165"/>
      <c r="AB2165"/>
      <c r="AC2165"/>
      <c r="AE2165"/>
      <c r="AF2165"/>
      <c r="AJ2165"/>
    </row>
    <row r="2166" spans="24:36" x14ac:dyDescent="0.2">
      <c r="X2166" s="284"/>
      <c r="AA2166"/>
      <c r="AB2166"/>
      <c r="AC2166"/>
      <c r="AE2166"/>
      <c r="AF2166"/>
      <c r="AJ2166"/>
    </row>
    <row r="2167" spans="24:36" x14ac:dyDescent="0.2">
      <c r="X2167" s="284"/>
      <c r="AA2167"/>
      <c r="AB2167"/>
      <c r="AC2167"/>
      <c r="AE2167"/>
      <c r="AF2167"/>
      <c r="AJ2167"/>
    </row>
    <row r="2168" spans="24:36" x14ac:dyDescent="0.2">
      <c r="X2168" s="284"/>
      <c r="AA2168"/>
      <c r="AB2168"/>
      <c r="AC2168"/>
      <c r="AE2168"/>
      <c r="AF2168"/>
      <c r="AJ2168"/>
    </row>
    <row r="2169" spans="24:36" x14ac:dyDescent="0.2">
      <c r="X2169" s="284"/>
      <c r="AA2169"/>
      <c r="AB2169"/>
      <c r="AC2169"/>
      <c r="AE2169"/>
      <c r="AF2169"/>
      <c r="AJ2169"/>
    </row>
    <row r="2170" spans="24:36" x14ac:dyDescent="0.2">
      <c r="X2170" s="284"/>
      <c r="AA2170"/>
      <c r="AB2170"/>
      <c r="AC2170"/>
      <c r="AE2170"/>
      <c r="AF2170"/>
      <c r="AJ2170"/>
    </row>
    <row r="2171" spans="24:36" x14ac:dyDescent="0.2">
      <c r="X2171" s="284"/>
      <c r="AA2171"/>
      <c r="AB2171"/>
      <c r="AC2171"/>
      <c r="AE2171"/>
      <c r="AF2171"/>
      <c r="AJ2171"/>
    </row>
    <row r="2172" spans="24:36" x14ac:dyDescent="0.2">
      <c r="X2172" s="284"/>
      <c r="AA2172"/>
      <c r="AB2172"/>
      <c r="AC2172"/>
      <c r="AE2172"/>
      <c r="AF2172"/>
      <c r="AJ2172"/>
    </row>
    <row r="2173" spans="24:36" x14ac:dyDescent="0.2">
      <c r="X2173" s="284"/>
      <c r="AA2173"/>
      <c r="AB2173"/>
      <c r="AC2173"/>
      <c r="AE2173"/>
      <c r="AF2173"/>
      <c r="AJ2173"/>
    </row>
    <row r="2174" spans="24:36" x14ac:dyDescent="0.2">
      <c r="X2174" s="284"/>
      <c r="AA2174"/>
      <c r="AB2174"/>
      <c r="AC2174"/>
      <c r="AE2174"/>
      <c r="AF2174"/>
      <c r="AJ2174"/>
    </row>
    <row r="2175" spans="24:36" x14ac:dyDescent="0.2">
      <c r="X2175" s="284"/>
      <c r="AA2175"/>
      <c r="AB2175"/>
      <c r="AC2175"/>
      <c r="AE2175"/>
      <c r="AF2175"/>
      <c r="AJ2175"/>
    </row>
    <row r="2176" spans="24:36" x14ac:dyDescent="0.2">
      <c r="X2176" s="284"/>
      <c r="AA2176"/>
      <c r="AB2176"/>
      <c r="AC2176"/>
      <c r="AE2176"/>
      <c r="AF2176"/>
      <c r="AJ2176"/>
    </row>
    <row r="2177" spans="24:36" x14ac:dyDescent="0.2">
      <c r="X2177" s="284"/>
      <c r="AA2177"/>
      <c r="AB2177"/>
      <c r="AC2177"/>
      <c r="AE2177"/>
      <c r="AF2177"/>
      <c r="AJ2177"/>
    </row>
    <row r="2178" spans="24:36" x14ac:dyDescent="0.2">
      <c r="X2178" s="284"/>
      <c r="AA2178"/>
      <c r="AB2178"/>
      <c r="AC2178"/>
      <c r="AE2178"/>
      <c r="AF2178"/>
      <c r="AJ2178"/>
    </row>
    <row r="2179" spans="24:36" x14ac:dyDescent="0.2">
      <c r="X2179" s="284"/>
      <c r="AA2179"/>
      <c r="AB2179"/>
      <c r="AC2179"/>
      <c r="AE2179"/>
      <c r="AF2179"/>
      <c r="AJ2179"/>
    </row>
    <row r="2180" spans="24:36" x14ac:dyDescent="0.2">
      <c r="X2180" s="284"/>
      <c r="AA2180"/>
      <c r="AB2180"/>
      <c r="AC2180"/>
      <c r="AE2180"/>
      <c r="AF2180"/>
      <c r="AJ2180"/>
    </row>
    <row r="2181" spans="24:36" x14ac:dyDescent="0.2">
      <c r="X2181" s="284"/>
      <c r="AA2181"/>
      <c r="AB2181"/>
      <c r="AC2181"/>
      <c r="AE2181"/>
      <c r="AF2181"/>
      <c r="AJ2181"/>
    </row>
    <row r="2182" spans="24:36" x14ac:dyDescent="0.2">
      <c r="X2182" s="284"/>
      <c r="AA2182"/>
      <c r="AB2182"/>
      <c r="AC2182"/>
      <c r="AE2182"/>
      <c r="AF2182"/>
      <c r="AJ2182"/>
    </row>
    <row r="2183" spans="24:36" x14ac:dyDescent="0.2">
      <c r="X2183" s="284"/>
      <c r="AA2183"/>
      <c r="AB2183"/>
      <c r="AC2183"/>
      <c r="AE2183"/>
      <c r="AF2183"/>
      <c r="AJ2183"/>
    </row>
    <row r="2184" spans="24:36" x14ac:dyDescent="0.2">
      <c r="X2184" s="284"/>
      <c r="AA2184"/>
      <c r="AB2184"/>
      <c r="AC2184"/>
      <c r="AE2184"/>
      <c r="AF2184"/>
      <c r="AJ2184"/>
    </row>
    <row r="2185" spans="24:36" x14ac:dyDescent="0.2">
      <c r="X2185" s="284"/>
      <c r="AA2185"/>
      <c r="AB2185"/>
      <c r="AC2185"/>
      <c r="AE2185"/>
      <c r="AF2185"/>
      <c r="AJ2185"/>
    </row>
    <row r="2186" spans="24:36" x14ac:dyDescent="0.2">
      <c r="X2186" s="284"/>
      <c r="AA2186"/>
      <c r="AB2186"/>
      <c r="AC2186"/>
      <c r="AE2186"/>
      <c r="AF2186"/>
      <c r="AJ2186"/>
    </row>
    <row r="2187" spans="24:36" x14ac:dyDescent="0.2">
      <c r="X2187" s="284"/>
      <c r="AA2187"/>
      <c r="AB2187"/>
      <c r="AC2187"/>
      <c r="AE2187"/>
      <c r="AF2187"/>
      <c r="AJ2187"/>
    </row>
    <row r="2188" spans="24:36" x14ac:dyDescent="0.2">
      <c r="X2188" s="284"/>
      <c r="AA2188"/>
      <c r="AB2188"/>
      <c r="AC2188"/>
      <c r="AE2188"/>
      <c r="AF2188"/>
      <c r="AJ2188"/>
    </row>
    <row r="2189" spans="24:36" x14ac:dyDescent="0.2">
      <c r="X2189" s="284"/>
      <c r="AA2189"/>
      <c r="AB2189"/>
      <c r="AC2189"/>
      <c r="AE2189"/>
      <c r="AF2189"/>
      <c r="AJ2189"/>
    </row>
    <row r="2190" spans="24:36" x14ac:dyDescent="0.2">
      <c r="X2190" s="284"/>
      <c r="AA2190"/>
      <c r="AB2190"/>
      <c r="AC2190"/>
      <c r="AE2190"/>
      <c r="AF2190"/>
      <c r="AJ2190"/>
    </row>
    <row r="2191" spans="24:36" x14ac:dyDescent="0.2">
      <c r="X2191" s="284"/>
      <c r="AA2191"/>
      <c r="AB2191"/>
      <c r="AC2191"/>
      <c r="AE2191"/>
      <c r="AF2191"/>
      <c r="AJ2191"/>
    </row>
    <row r="2192" spans="24:36" x14ac:dyDescent="0.2">
      <c r="X2192" s="284"/>
      <c r="AA2192"/>
      <c r="AB2192"/>
      <c r="AC2192"/>
      <c r="AE2192"/>
      <c r="AF2192"/>
      <c r="AJ2192"/>
    </row>
    <row r="2193" spans="24:36" x14ac:dyDescent="0.2">
      <c r="X2193" s="284"/>
      <c r="AA2193"/>
      <c r="AB2193"/>
      <c r="AC2193"/>
      <c r="AE2193"/>
      <c r="AF2193"/>
      <c r="AJ2193"/>
    </row>
    <row r="2194" spans="24:36" x14ac:dyDescent="0.2">
      <c r="X2194" s="284"/>
      <c r="AA2194"/>
      <c r="AB2194"/>
      <c r="AC2194"/>
      <c r="AE2194"/>
      <c r="AF2194"/>
      <c r="AJ2194"/>
    </row>
    <row r="2195" spans="24:36" x14ac:dyDescent="0.2">
      <c r="X2195" s="284"/>
      <c r="AA2195"/>
      <c r="AB2195"/>
      <c r="AC2195"/>
      <c r="AE2195"/>
      <c r="AF2195"/>
      <c r="AJ2195"/>
    </row>
    <row r="2196" spans="24:36" x14ac:dyDescent="0.2">
      <c r="X2196" s="284"/>
      <c r="AA2196"/>
      <c r="AB2196"/>
      <c r="AC2196"/>
      <c r="AE2196"/>
      <c r="AF2196"/>
      <c r="AJ2196"/>
    </row>
    <row r="2197" spans="24:36" x14ac:dyDescent="0.2">
      <c r="X2197" s="284"/>
      <c r="AA2197"/>
      <c r="AB2197"/>
      <c r="AC2197"/>
      <c r="AE2197"/>
      <c r="AF2197"/>
      <c r="AJ2197"/>
    </row>
    <row r="2198" spans="24:36" x14ac:dyDescent="0.2">
      <c r="X2198" s="284"/>
      <c r="AA2198"/>
      <c r="AB2198"/>
      <c r="AC2198"/>
      <c r="AE2198"/>
      <c r="AF2198"/>
      <c r="AJ2198"/>
    </row>
    <row r="2199" spans="24:36" x14ac:dyDescent="0.2">
      <c r="X2199" s="284"/>
      <c r="AA2199"/>
      <c r="AB2199"/>
      <c r="AC2199"/>
      <c r="AE2199"/>
      <c r="AF2199"/>
      <c r="AJ2199"/>
    </row>
    <row r="2200" spans="24:36" x14ac:dyDescent="0.2">
      <c r="X2200" s="284"/>
      <c r="AA2200"/>
      <c r="AB2200"/>
      <c r="AC2200"/>
      <c r="AE2200"/>
      <c r="AF2200"/>
      <c r="AJ2200"/>
    </row>
    <row r="2201" spans="24:36" x14ac:dyDescent="0.2">
      <c r="X2201" s="284"/>
      <c r="AA2201"/>
      <c r="AB2201"/>
      <c r="AC2201"/>
      <c r="AE2201"/>
      <c r="AF2201"/>
      <c r="AJ2201"/>
    </row>
    <row r="2202" spans="24:36" x14ac:dyDescent="0.2">
      <c r="X2202" s="284"/>
      <c r="AA2202"/>
      <c r="AB2202"/>
      <c r="AC2202"/>
      <c r="AE2202"/>
      <c r="AF2202"/>
      <c r="AJ2202"/>
    </row>
    <row r="2203" spans="24:36" x14ac:dyDescent="0.2">
      <c r="X2203" s="284"/>
      <c r="AA2203"/>
      <c r="AB2203"/>
      <c r="AC2203"/>
      <c r="AE2203"/>
      <c r="AF2203"/>
      <c r="AJ2203"/>
    </row>
    <row r="2204" spans="24:36" x14ac:dyDescent="0.2">
      <c r="X2204" s="284"/>
      <c r="AA2204"/>
      <c r="AB2204"/>
      <c r="AC2204"/>
      <c r="AE2204"/>
      <c r="AF2204"/>
      <c r="AJ2204"/>
    </row>
    <row r="2205" spans="24:36" x14ac:dyDescent="0.2">
      <c r="X2205" s="284"/>
      <c r="AA2205"/>
      <c r="AB2205"/>
      <c r="AC2205"/>
      <c r="AE2205"/>
      <c r="AF2205"/>
      <c r="AJ2205"/>
    </row>
    <row r="2206" spans="24:36" x14ac:dyDescent="0.2">
      <c r="X2206" s="284"/>
      <c r="AA2206"/>
      <c r="AB2206"/>
      <c r="AC2206"/>
      <c r="AE2206"/>
      <c r="AF2206"/>
      <c r="AJ2206"/>
    </row>
    <row r="2207" spans="24:36" x14ac:dyDescent="0.2">
      <c r="X2207" s="284"/>
      <c r="AA2207"/>
      <c r="AB2207"/>
      <c r="AC2207"/>
      <c r="AE2207"/>
      <c r="AF2207"/>
      <c r="AJ2207"/>
    </row>
    <row r="2208" spans="24:36" x14ac:dyDescent="0.2">
      <c r="X2208" s="284"/>
      <c r="AA2208"/>
      <c r="AB2208"/>
      <c r="AC2208"/>
      <c r="AE2208"/>
      <c r="AF2208"/>
      <c r="AJ2208"/>
    </row>
    <row r="2209" spans="24:36" x14ac:dyDescent="0.2">
      <c r="X2209" s="284"/>
      <c r="AA2209"/>
      <c r="AB2209"/>
      <c r="AC2209"/>
      <c r="AE2209"/>
      <c r="AF2209"/>
      <c r="AJ2209"/>
    </row>
    <row r="2210" spans="24:36" x14ac:dyDescent="0.2">
      <c r="X2210" s="284"/>
      <c r="AA2210"/>
      <c r="AB2210"/>
      <c r="AC2210"/>
      <c r="AE2210"/>
      <c r="AF2210"/>
      <c r="AJ2210"/>
    </row>
    <row r="2211" spans="24:36" x14ac:dyDescent="0.2">
      <c r="X2211" s="284"/>
      <c r="AA2211"/>
      <c r="AB2211"/>
      <c r="AC2211"/>
      <c r="AE2211"/>
      <c r="AF2211"/>
      <c r="AJ2211"/>
    </row>
    <row r="2212" spans="24:36" x14ac:dyDescent="0.2">
      <c r="X2212" s="284"/>
      <c r="AA2212"/>
      <c r="AB2212"/>
      <c r="AC2212"/>
      <c r="AE2212"/>
      <c r="AF2212"/>
      <c r="AJ2212"/>
    </row>
    <row r="2213" spans="24:36" x14ac:dyDescent="0.2">
      <c r="X2213" s="284"/>
      <c r="AA2213"/>
      <c r="AB2213"/>
      <c r="AC2213"/>
      <c r="AE2213"/>
      <c r="AF2213"/>
      <c r="AJ2213"/>
    </row>
    <row r="2214" spans="24:36" x14ac:dyDescent="0.2">
      <c r="X2214" s="284"/>
      <c r="AA2214"/>
      <c r="AB2214"/>
      <c r="AC2214"/>
      <c r="AE2214"/>
      <c r="AF2214"/>
      <c r="AJ2214"/>
    </row>
    <row r="2215" spans="24:36" x14ac:dyDescent="0.2">
      <c r="X2215" s="284"/>
      <c r="AA2215"/>
      <c r="AB2215"/>
      <c r="AC2215"/>
      <c r="AE2215"/>
      <c r="AF2215"/>
      <c r="AJ2215"/>
    </row>
    <row r="2216" spans="24:36" x14ac:dyDescent="0.2">
      <c r="X2216" s="284"/>
      <c r="AA2216"/>
      <c r="AB2216"/>
      <c r="AC2216"/>
      <c r="AE2216"/>
      <c r="AF2216"/>
      <c r="AJ2216"/>
    </row>
    <row r="2217" spans="24:36" x14ac:dyDescent="0.2">
      <c r="X2217" s="284"/>
      <c r="AA2217"/>
      <c r="AB2217"/>
      <c r="AC2217"/>
      <c r="AE2217"/>
      <c r="AF2217"/>
      <c r="AJ2217"/>
    </row>
    <row r="2218" spans="24:36" x14ac:dyDescent="0.2">
      <c r="X2218" s="284"/>
      <c r="AA2218"/>
      <c r="AB2218"/>
      <c r="AC2218"/>
      <c r="AE2218"/>
      <c r="AF2218"/>
      <c r="AJ2218"/>
    </row>
    <row r="2219" spans="24:36" x14ac:dyDescent="0.2">
      <c r="X2219" s="284"/>
      <c r="AA2219"/>
      <c r="AB2219"/>
      <c r="AC2219"/>
      <c r="AE2219"/>
      <c r="AF2219"/>
      <c r="AJ2219"/>
    </row>
    <row r="2220" spans="24:36" x14ac:dyDescent="0.2">
      <c r="X2220" s="284"/>
      <c r="AA2220"/>
      <c r="AB2220"/>
      <c r="AC2220"/>
      <c r="AE2220"/>
      <c r="AF2220"/>
      <c r="AJ2220"/>
    </row>
    <row r="2221" spans="24:36" x14ac:dyDescent="0.2">
      <c r="X2221" s="284"/>
      <c r="AA2221"/>
      <c r="AB2221"/>
      <c r="AC2221"/>
      <c r="AE2221"/>
      <c r="AF2221"/>
      <c r="AJ2221"/>
    </row>
    <row r="2222" spans="24:36" x14ac:dyDescent="0.2">
      <c r="X2222" s="284"/>
      <c r="AA2222"/>
      <c r="AB2222"/>
      <c r="AC2222"/>
      <c r="AE2222"/>
      <c r="AF2222"/>
      <c r="AJ2222"/>
    </row>
    <row r="2223" spans="24:36" x14ac:dyDescent="0.2">
      <c r="X2223" s="284"/>
      <c r="AA2223"/>
      <c r="AB2223"/>
      <c r="AC2223"/>
      <c r="AE2223"/>
      <c r="AF2223"/>
      <c r="AJ2223"/>
    </row>
    <row r="2224" spans="24:36" x14ac:dyDescent="0.2">
      <c r="X2224" s="284"/>
      <c r="AA2224"/>
      <c r="AB2224"/>
      <c r="AC2224"/>
      <c r="AE2224"/>
      <c r="AF2224"/>
      <c r="AJ2224"/>
    </row>
    <row r="2225" spans="24:36" x14ac:dyDescent="0.2">
      <c r="X2225" s="284"/>
      <c r="AA2225"/>
      <c r="AB2225"/>
      <c r="AC2225"/>
      <c r="AE2225"/>
      <c r="AF2225"/>
      <c r="AJ2225"/>
    </row>
    <row r="2226" spans="24:36" x14ac:dyDescent="0.2">
      <c r="X2226" s="284"/>
      <c r="AA2226"/>
      <c r="AB2226"/>
      <c r="AC2226"/>
      <c r="AE2226"/>
      <c r="AF2226"/>
      <c r="AJ2226"/>
    </row>
    <row r="2227" spans="24:36" x14ac:dyDescent="0.2">
      <c r="X2227" s="284"/>
      <c r="AA2227"/>
      <c r="AB2227"/>
      <c r="AC2227"/>
      <c r="AE2227"/>
      <c r="AF2227"/>
      <c r="AJ2227"/>
    </row>
    <row r="2228" spans="24:36" x14ac:dyDescent="0.2">
      <c r="X2228" s="284"/>
      <c r="AA2228"/>
      <c r="AB2228"/>
      <c r="AC2228"/>
      <c r="AE2228"/>
      <c r="AF2228"/>
      <c r="AJ2228"/>
    </row>
    <row r="2229" spans="24:36" x14ac:dyDescent="0.2">
      <c r="X2229" s="284"/>
      <c r="AA2229"/>
      <c r="AB2229"/>
      <c r="AC2229"/>
      <c r="AE2229"/>
      <c r="AF2229"/>
      <c r="AJ2229"/>
    </row>
    <row r="2230" spans="24:36" x14ac:dyDescent="0.2">
      <c r="X2230" s="284"/>
      <c r="AA2230"/>
      <c r="AB2230"/>
      <c r="AC2230"/>
      <c r="AE2230"/>
      <c r="AF2230"/>
      <c r="AJ2230"/>
    </row>
    <row r="2231" spans="24:36" x14ac:dyDescent="0.2">
      <c r="X2231" s="284"/>
      <c r="AA2231"/>
      <c r="AB2231"/>
      <c r="AC2231"/>
      <c r="AE2231"/>
      <c r="AF2231"/>
      <c r="AJ2231"/>
    </row>
    <row r="2232" spans="24:36" x14ac:dyDescent="0.2">
      <c r="X2232" s="284"/>
      <c r="AA2232"/>
      <c r="AB2232"/>
      <c r="AC2232"/>
      <c r="AE2232"/>
      <c r="AF2232"/>
      <c r="AJ2232"/>
    </row>
    <row r="2233" spans="24:36" x14ac:dyDescent="0.2">
      <c r="X2233" s="284"/>
      <c r="AA2233"/>
      <c r="AB2233"/>
      <c r="AC2233"/>
      <c r="AE2233"/>
      <c r="AF2233"/>
      <c r="AJ2233"/>
    </row>
    <row r="2234" spans="24:36" x14ac:dyDescent="0.2">
      <c r="X2234" s="284"/>
      <c r="AA2234"/>
      <c r="AB2234"/>
      <c r="AC2234"/>
      <c r="AE2234"/>
      <c r="AF2234"/>
      <c r="AJ2234"/>
    </row>
    <row r="2235" spans="24:36" x14ac:dyDescent="0.2">
      <c r="X2235" s="284"/>
      <c r="AA2235"/>
      <c r="AB2235"/>
      <c r="AC2235"/>
      <c r="AE2235"/>
      <c r="AF2235"/>
      <c r="AJ2235"/>
    </row>
    <row r="2236" spans="24:36" x14ac:dyDescent="0.2">
      <c r="X2236" s="284"/>
      <c r="AA2236"/>
      <c r="AB2236"/>
      <c r="AC2236"/>
      <c r="AE2236"/>
      <c r="AF2236"/>
      <c r="AJ2236"/>
    </row>
    <row r="2237" spans="24:36" x14ac:dyDescent="0.2">
      <c r="X2237" s="284"/>
      <c r="AA2237"/>
      <c r="AB2237"/>
      <c r="AC2237"/>
      <c r="AE2237"/>
      <c r="AF2237"/>
      <c r="AJ2237"/>
    </row>
    <row r="2238" spans="24:36" x14ac:dyDescent="0.2">
      <c r="X2238" s="284"/>
      <c r="AA2238"/>
      <c r="AB2238"/>
      <c r="AC2238"/>
      <c r="AE2238"/>
      <c r="AF2238"/>
      <c r="AJ2238"/>
    </row>
    <row r="2239" spans="24:36" x14ac:dyDescent="0.2">
      <c r="X2239" s="284"/>
      <c r="AA2239"/>
      <c r="AB2239"/>
      <c r="AC2239"/>
      <c r="AE2239"/>
      <c r="AF2239"/>
      <c r="AJ2239"/>
    </row>
    <row r="2240" spans="24:36" x14ac:dyDescent="0.2">
      <c r="X2240" s="284"/>
      <c r="AA2240"/>
      <c r="AB2240"/>
      <c r="AC2240"/>
      <c r="AE2240"/>
      <c r="AF2240"/>
      <c r="AJ2240"/>
    </row>
    <row r="2241" spans="24:36" x14ac:dyDescent="0.2">
      <c r="X2241" s="284"/>
      <c r="AA2241"/>
      <c r="AB2241"/>
      <c r="AC2241"/>
      <c r="AE2241"/>
      <c r="AF2241"/>
      <c r="AJ2241"/>
    </row>
    <row r="2242" spans="24:36" x14ac:dyDescent="0.2">
      <c r="X2242" s="284"/>
      <c r="AA2242"/>
      <c r="AB2242"/>
      <c r="AC2242"/>
      <c r="AE2242"/>
      <c r="AF2242"/>
      <c r="AJ2242"/>
    </row>
    <row r="2243" spans="24:36" x14ac:dyDescent="0.2">
      <c r="X2243" s="284"/>
      <c r="AA2243"/>
      <c r="AB2243"/>
      <c r="AC2243"/>
      <c r="AE2243"/>
      <c r="AF2243"/>
      <c r="AJ2243"/>
    </row>
    <row r="2244" spans="24:36" x14ac:dyDescent="0.2">
      <c r="X2244" s="284"/>
      <c r="AA2244"/>
      <c r="AB2244"/>
      <c r="AC2244"/>
      <c r="AE2244"/>
      <c r="AF2244"/>
      <c r="AJ2244"/>
    </row>
    <row r="2245" spans="24:36" x14ac:dyDescent="0.2">
      <c r="X2245" s="284"/>
      <c r="AA2245"/>
      <c r="AB2245"/>
      <c r="AC2245"/>
      <c r="AE2245"/>
      <c r="AF2245"/>
      <c r="AJ2245"/>
    </row>
    <row r="2246" spans="24:36" x14ac:dyDescent="0.2">
      <c r="X2246" s="284"/>
      <c r="AA2246"/>
      <c r="AB2246"/>
      <c r="AC2246"/>
      <c r="AE2246"/>
      <c r="AF2246"/>
      <c r="AJ2246"/>
    </row>
    <row r="2247" spans="24:36" x14ac:dyDescent="0.2">
      <c r="X2247" s="284"/>
      <c r="AA2247"/>
      <c r="AB2247"/>
      <c r="AC2247"/>
      <c r="AE2247"/>
      <c r="AF2247"/>
      <c r="AJ2247"/>
    </row>
    <row r="2248" spans="24:36" x14ac:dyDescent="0.2">
      <c r="X2248" s="284"/>
      <c r="AA2248"/>
      <c r="AB2248"/>
      <c r="AC2248"/>
      <c r="AE2248"/>
      <c r="AF2248"/>
      <c r="AJ2248"/>
    </row>
    <row r="2249" spans="24:36" x14ac:dyDescent="0.2">
      <c r="X2249" s="284"/>
      <c r="AA2249"/>
      <c r="AB2249"/>
      <c r="AC2249"/>
      <c r="AE2249"/>
      <c r="AF2249"/>
      <c r="AJ2249"/>
    </row>
    <row r="2250" spans="24:36" x14ac:dyDescent="0.2">
      <c r="X2250" s="284"/>
      <c r="AA2250"/>
      <c r="AB2250"/>
      <c r="AC2250"/>
      <c r="AE2250"/>
      <c r="AF2250"/>
      <c r="AJ2250"/>
    </row>
    <row r="2251" spans="24:36" x14ac:dyDescent="0.2">
      <c r="X2251" s="284"/>
      <c r="AA2251"/>
      <c r="AB2251"/>
      <c r="AC2251"/>
      <c r="AE2251"/>
      <c r="AF2251"/>
      <c r="AJ2251"/>
    </row>
    <row r="2252" spans="24:36" x14ac:dyDescent="0.2">
      <c r="X2252" s="284"/>
      <c r="AA2252"/>
      <c r="AB2252"/>
      <c r="AC2252"/>
      <c r="AE2252"/>
      <c r="AF2252"/>
      <c r="AJ2252"/>
    </row>
    <row r="2253" spans="24:36" x14ac:dyDescent="0.2">
      <c r="X2253" s="284"/>
      <c r="AA2253"/>
      <c r="AB2253"/>
      <c r="AC2253"/>
      <c r="AE2253"/>
      <c r="AF2253"/>
      <c r="AJ2253"/>
    </row>
    <row r="2254" spans="24:36" x14ac:dyDescent="0.2">
      <c r="X2254" s="284"/>
      <c r="AA2254"/>
      <c r="AB2254"/>
      <c r="AC2254"/>
      <c r="AE2254"/>
      <c r="AF2254"/>
      <c r="AJ2254"/>
    </row>
    <row r="2255" spans="24:36" x14ac:dyDescent="0.2">
      <c r="X2255" s="284"/>
      <c r="AA2255"/>
      <c r="AB2255"/>
      <c r="AC2255"/>
      <c r="AE2255"/>
      <c r="AF2255"/>
      <c r="AJ2255"/>
    </row>
    <row r="2256" spans="24:36" x14ac:dyDescent="0.2">
      <c r="X2256" s="284"/>
      <c r="AA2256"/>
      <c r="AB2256"/>
      <c r="AC2256"/>
      <c r="AE2256"/>
      <c r="AF2256"/>
      <c r="AJ2256"/>
    </row>
    <row r="2257" spans="24:36" x14ac:dyDescent="0.2">
      <c r="X2257" s="284"/>
      <c r="AA2257"/>
      <c r="AB2257"/>
      <c r="AC2257"/>
      <c r="AE2257"/>
      <c r="AF2257"/>
      <c r="AJ2257"/>
    </row>
    <row r="2258" spans="24:36" x14ac:dyDescent="0.2">
      <c r="X2258" s="284"/>
      <c r="AA2258"/>
      <c r="AB2258"/>
      <c r="AC2258"/>
      <c r="AE2258"/>
      <c r="AF2258"/>
      <c r="AJ2258"/>
    </row>
    <row r="2259" spans="24:36" x14ac:dyDescent="0.2">
      <c r="X2259" s="284"/>
      <c r="AA2259"/>
      <c r="AB2259"/>
      <c r="AC2259"/>
      <c r="AE2259"/>
      <c r="AF2259"/>
      <c r="AJ2259"/>
    </row>
    <row r="2260" spans="24:36" x14ac:dyDescent="0.2">
      <c r="X2260" s="284"/>
      <c r="AA2260"/>
      <c r="AB2260"/>
      <c r="AC2260"/>
      <c r="AE2260"/>
      <c r="AF2260"/>
      <c r="AJ2260"/>
    </row>
    <row r="2261" spans="24:36" x14ac:dyDescent="0.2">
      <c r="X2261" s="284"/>
      <c r="AA2261"/>
      <c r="AB2261"/>
      <c r="AC2261"/>
      <c r="AE2261"/>
      <c r="AF2261"/>
      <c r="AJ2261"/>
    </row>
    <row r="2262" spans="24:36" x14ac:dyDescent="0.2">
      <c r="X2262" s="284"/>
      <c r="AA2262"/>
      <c r="AB2262"/>
      <c r="AC2262"/>
      <c r="AE2262"/>
      <c r="AF2262"/>
      <c r="AJ2262"/>
    </row>
    <row r="2263" spans="24:36" x14ac:dyDescent="0.2">
      <c r="X2263" s="284"/>
      <c r="AA2263"/>
      <c r="AB2263"/>
      <c r="AC2263"/>
      <c r="AE2263"/>
      <c r="AF2263"/>
      <c r="AJ2263"/>
    </row>
    <row r="2264" spans="24:36" x14ac:dyDescent="0.2">
      <c r="X2264" s="284"/>
      <c r="AA2264"/>
      <c r="AB2264"/>
      <c r="AC2264"/>
      <c r="AE2264"/>
      <c r="AF2264"/>
      <c r="AJ2264"/>
    </row>
    <row r="2265" spans="24:36" x14ac:dyDescent="0.2">
      <c r="X2265" s="284"/>
      <c r="AA2265"/>
      <c r="AB2265"/>
      <c r="AC2265"/>
      <c r="AE2265"/>
      <c r="AF2265"/>
      <c r="AJ2265"/>
    </row>
    <row r="2266" spans="24:36" x14ac:dyDescent="0.2">
      <c r="X2266" s="284"/>
      <c r="AA2266"/>
      <c r="AB2266"/>
      <c r="AC2266"/>
      <c r="AE2266"/>
      <c r="AF2266"/>
      <c r="AJ2266"/>
    </row>
    <row r="2267" spans="24:36" x14ac:dyDescent="0.2">
      <c r="X2267" s="284"/>
      <c r="AA2267"/>
      <c r="AB2267"/>
      <c r="AC2267"/>
      <c r="AE2267"/>
      <c r="AF2267"/>
      <c r="AJ2267"/>
    </row>
    <row r="2268" spans="24:36" x14ac:dyDescent="0.2">
      <c r="X2268" s="284"/>
      <c r="AA2268"/>
      <c r="AB2268"/>
      <c r="AC2268"/>
      <c r="AE2268"/>
      <c r="AF2268"/>
      <c r="AJ2268"/>
    </row>
    <row r="2269" spans="24:36" x14ac:dyDescent="0.2">
      <c r="X2269" s="284"/>
      <c r="AA2269"/>
      <c r="AB2269"/>
      <c r="AC2269"/>
      <c r="AE2269"/>
      <c r="AF2269"/>
      <c r="AJ2269"/>
    </row>
    <row r="2270" spans="24:36" x14ac:dyDescent="0.2">
      <c r="X2270" s="284"/>
      <c r="AA2270"/>
      <c r="AB2270"/>
      <c r="AC2270"/>
      <c r="AE2270"/>
      <c r="AF2270"/>
      <c r="AJ2270"/>
    </row>
    <row r="2271" spans="24:36" x14ac:dyDescent="0.2">
      <c r="X2271" s="284"/>
      <c r="AA2271"/>
      <c r="AB2271"/>
      <c r="AC2271"/>
      <c r="AE2271"/>
      <c r="AF2271"/>
      <c r="AJ2271"/>
    </row>
    <row r="2272" spans="24:36" x14ac:dyDescent="0.2">
      <c r="X2272" s="284"/>
      <c r="AA2272"/>
      <c r="AB2272"/>
      <c r="AC2272"/>
      <c r="AE2272"/>
      <c r="AF2272"/>
      <c r="AJ2272"/>
    </row>
    <row r="2273" spans="24:36" x14ac:dyDescent="0.2">
      <c r="X2273" s="284"/>
      <c r="AA2273"/>
      <c r="AB2273"/>
      <c r="AC2273"/>
      <c r="AE2273"/>
      <c r="AF2273"/>
      <c r="AJ2273"/>
    </row>
    <row r="2274" spans="24:36" x14ac:dyDescent="0.2">
      <c r="X2274" s="284"/>
      <c r="AA2274"/>
      <c r="AB2274"/>
      <c r="AC2274"/>
      <c r="AE2274"/>
      <c r="AF2274"/>
      <c r="AJ2274"/>
    </row>
    <row r="2275" spans="24:36" x14ac:dyDescent="0.2">
      <c r="X2275" s="284"/>
      <c r="AA2275"/>
      <c r="AB2275"/>
      <c r="AC2275"/>
      <c r="AE2275"/>
      <c r="AF2275"/>
      <c r="AJ2275"/>
    </row>
    <row r="2276" spans="24:36" x14ac:dyDescent="0.2">
      <c r="X2276" s="284"/>
      <c r="AA2276"/>
      <c r="AB2276"/>
      <c r="AC2276"/>
      <c r="AE2276"/>
      <c r="AF2276"/>
      <c r="AJ2276"/>
    </row>
    <row r="2277" spans="24:36" x14ac:dyDescent="0.2">
      <c r="X2277" s="284"/>
      <c r="AA2277"/>
      <c r="AB2277"/>
      <c r="AC2277"/>
      <c r="AE2277"/>
      <c r="AF2277"/>
      <c r="AJ2277"/>
    </row>
    <row r="2278" spans="24:36" x14ac:dyDescent="0.2">
      <c r="X2278" s="284"/>
      <c r="AA2278"/>
      <c r="AB2278"/>
      <c r="AC2278"/>
      <c r="AE2278"/>
      <c r="AF2278"/>
      <c r="AJ2278"/>
    </row>
    <row r="2279" spans="24:36" x14ac:dyDescent="0.2">
      <c r="X2279" s="284"/>
      <c r="AA2279"/>
      <c r="AB2279"/>
      <c r="AC2279"/>
      <c r="AE2279"/>
      <c r="AF2279"/>
      <c r="AJ2279"/>
    </row>
    <row r="2280" spans="24:36" x14ac:dyDescent="0.2">
      <c r="X2280" s="284"/>
      <c r="AA2280"/>
      <c r="AB2280"/>
      <c r="AC2280"/>
      <c r="AE2280"/>
      <c r="AF2280"/>
      <c r="AJ2280"/>
    </row>
    <row r="2281" spans="24:36" x14ac:dyDescent="0.2">
      <c r="X2281" s="284"/>
      <c r="AA2281"/>
      <c r="AB2281"/>
      <c r="AC2281"/>
      <c r="AE2281"/>
      <c r="AF2281"/>
      <c r="AJ2281"/>
    </row>
    <row r="2282" spans="24:36" x14ac:dyDescent="0.2">
      <c r="X2282" s="284"/>
      <c r="AA2282"/>
      <c r="AB2282"/>
      <c r="AC2282"/>
      <c r="AE2282"/>
      <c r="AF2282"/>
      <c r="AJ2282"/>
    </row>
    <row r="2283" spans="24:36" x14ac:dyDescent="0.2">
      <c r="X2283" s="284"/>
      <c r="AA2283"/>
      <c r="AB2283"/>
      <c r="AC2283"/>
      <c r="AE2283"/>
      <c r="AF2283"/>
      <c r="AJ2283"/>
    </row>
    <row r="2284" spans="24:36" x14ac:dyDescent="0.2">
      <c r="X2284" s="284"/>
      <c r="AA2284"/>
      <c r="AB2284"/>
      <c r="AC2284"/>
      <c r="AE2284"/>
      <c r="AF2284"/>
      <c r="AJ2284"/>
    </row>
    <row r="2285" spans="24:36" x14ac:dyDescent="0.2">
      <c r="X2285" s="284"/>
      <c r="AA2285"/>
      <c r="AB2285"/>
      <c r="AC2285"/>
      <c r="AE2285"/>
      <c r="AF2285"/>
      <c r="AJ2285"/>
    </row>
    <row r="2286" spans="24:36" x14ac:dyDescent="0.2">
      <c r="X2286" s="284"/>
      <c r="AA2286"/>
      <c r="AB2286"/>
      <c r="AC2286"/>
      <c r="AE2286"/>
      <c r="AF2286"/>
      <c r="AJ2286"/>
    </row>
    <row r="2287" spans="24:36" x14ac:dyDescent="0.2">
      <c r="X2287" s="284"/>
      <c r="AA2287"/>
      <c r="AB2287"/>
      <c r="AC2287"/>
      <c r="AE2287"/>
      <c r="AF2287"/>
      <c r="AJ2287"/>
    </row>
    <row r="2288" spans="24:36" x14ac:dyDescent="0.2">
      <c r="X2288" s="284"/>
      <c r="AA2288"/>
      <c r="AB2288"/>
      <c r="AC2288"/>
      <c r="AE2288"/>
      <c r="AF2288"/>
      <c r="AJ2288"/>
    </row>
    <row r="2289" spans="24:36" x14ac:dyDescent="0.2">
      <c r="X2289" s="284"/>
      <c r="AA2289"/>
      <c r="AB2289"/>
      <c r="AC2289"/>
      <c r="AE2289"/>
      <c r="AF2289"/>
      <c r="AJ2289"/>
    </row>
    <row r="2290" spans="24:36" x14ac:dyDescent="0.2">
      <c r="X2290" s="284"/>
      <c r="AA2290"/>
      <c r="AB2290"/>
      <c r="AC2290"/>
      <c r="AE2290"/>
      <c r="AF2290"/>
      <c r="AJ2290"/>
    </row>
    <row r="2291" spans="24:36" x14ac:dyDescent="0.2">
      <c r="X2291" s="284"/>
      <c r="AA2291"/>
      <c r="AB2291"/>
      <c r="AC2291"/>
      <c r="AE2291"/>
      <c r="AF2291"/>
      <c r="AJ2291"/>
    </row>
    <row r="2292" spans="24:36" x14ac:dyDescent="0.2">
      <c r="X2292" s="284"/>
      <c r="AA2292"/>
      <c r="AB2292"/>
      <c r="AC2292"/>
      <c r="AE2292"/>
      <c r="AF2292"/>
      <c r="AJ2292"/>
    </row>
    <row r="2293" spans="24:36" x14ac:dyDescent="0.2">
      <c r="X2293" s="284"/>
      <c r="AA2293"/>
      <c r="AB2293"/>
      <c r="AC2293"/>
      <c r="AE2293"/>
      <c r="AF2293"/>
      <c r="AJ2293"/>
    </row>
    <row r="2294" spans="24:36" x14ac:dyDescent="0.2">
      <c r="X2294" s="284"/>
      <c r="AA2294"/>
      <c r="AB2294"/>
      <c r="AC2294"/>
      <c r="AE2294"/>
      <c r="AF2294"/>
      <c r="AJ2294"/>
    </row>
    <row r="2295" spans="24:36" x14ac:dyDescent="0.2">
      <c r="X2295" s="284"/>
      <c r="AA2295"/>
      <c r="AB2295"/>
      <c r="AC2295"/>
      <c r="AE2295"/>
      <c r="AF2295"/>
      <c r="AJ2295"/>
    </row>
    <row r="2296" spans="24:36" x14ac:dyDescent="0.2">
      <c r="X2296" s="284"/>
      <c r="AA2296"/>
      <c r="AB2296"/>
      <c r="AC2296"/>
      <c r="AE2296"/>
      <c r="AF2296"/>
      <c r="AJ2296"/>
    </row>
    <row r="2297" spans="24:36" x14ac:dyDescent="0.2">
      <c r="X2297" s="284"/>
      <c r="AA2297"/>
      <c r="AB2297"/>
      <c r="AC2297"/>
      <c r="AE2297"/>
      <c r="AF2297"/>
      <c r="AJ2297"/>
    </row>
    <row r="2298" spans="24:36" x14ac:dyDescent="0.2">
      <c r="X2298" s="284"/>
      <c r="AA2298"/>
      <c r="AB2298"/>
      <c r="AC2298"/>
      <c r="AE2298"/>
      <c r="AF2298"/>
      <c r="AJ2298"/>
    </row>
    <row r="2299" spans="24:36" x14ac:dyDescent="0.2">
      <c r="X2299" s="284"/>
      <c r="AA2299"/>
      <c r="AB2299"/>
      <c r="AC2299"/>
      <c r="AE2299"/>
      <c r="AF2299"/>
      <c r="AJ2299"/>
    </row>
    <row r="2300" spans="24:36" x14ac:dyDescent="0.2">
      <c r="X2300" s="284"/>
      <c r="AA2300"/>
      <c r="AB2300"/>
      <c r="AC2300"/>
      <c r="AE2300"/>
      <c r="AF2300"/>
      <c r="AJ2300"/>
    </row>
    <row r="2301" spans="24:36" x14ac:dyDescent="0.2">
      <c r="X2301" s="284"/>
      <c r="AA2301"/>
      <c r="AB2301"/>
      <c r="AC2301"/>
      <c r="AE2301"/>
      <c r="AF2301"/>
      <c r="AJ2301"/>
    </row>
    <row r="2302" spans="24:36" x14ac:dyDescent="0.2">
      <c r="X2302" s="284"/>
      <c r="AA2302"/>
      <c r="AB2302"/>
      <c r="AC2302"/>
      <c r="AE2302"/>
      <c r="AF2302"/>
      <c r="AJ2302"/>
    </row>
    <row r="2303" spans="24:36" x14ac:dyDescent="0.2">
      <c r="X2303" s="284"/>
      <c r="AA2303"/>
      <c r="AB2303"/>
      <c r="AC2303"/>
      <c r="AE2303"/>
      <c r="AF2303"/>
      <c r="AJ2303"/>
    </row>
    <row r="2304" spans="24:36" x14ac:dyDescent="0.2">
      <c r="X2304" s="284"/>
      <c r="AA2304"/>
      <c r="AB2304"/>
      <c r="AC2304"/>
      <c r="AE2304"/>
      <c r="AF2304"/>
      <c r="AJ2304"/>
    </row>
    <row r="2305" spans="24:36" x14ac:dyDescent="0.2">
      <c r="X2305" s="284"/>
      <c r="AA2305"/>
      <c r="AB2305"/>
      <c r="AC2305"/>
      <c r="AE2305"/>
      <c r="AF2305"/>
      <c r="AJ2305"/>
    </row>
    <row r="2306" spans="24:36" x14ac:dyDescent="0.2">
      <c r="X2306" s="284"/>
      <c r="AA2306"/>
      <c r="AB2306"/>
      <c r="AC2306"/>
      <c r="AE2306"/>
      <c r="AF2306"/>
      <c r="AJ2306"/>
    </row>
    <row r="2307" spans="24:36" x14ac:dyDescent="0.2">
      <c r="X2307" s="284"/>
      <c r="AA2307"/>
      <c r="AB2307"/>
      <c r="AC2307"/>
      <c r="AE2307"/>
      <c r="AF2307"/>
      <c r="AJ2307"/>
    </row>
    <row r="2308" spans="24:36" x14ac:dyDescent="0.2">
      <c r="X2308" s="284"/>
      <c r="AA2308"/>
      <c r="AB2308"/>
      <c r="AC2308"/>
      <c r="AE2308"/>
      <c r="AF2308"/>
      <c r="AJ2308"/>
    </row>
    <row r="2309" spans="24:36" x14ac:dyDescent="0.2">
      <c r="X2309" s="284"/>
      <c r="AA2309"/>
      <c r="AB2309"/>
      <c r="AC2309"/>
      <c r="AE2309"/>
      <c r="AF2309"/>
      <c r="AJ2309"/>
    </row>
    <row r="2310" spans="24:36" x14ac:dyDescent="0.2">
      <c r="X2310" s="284"/>
      <c r="AA2310"/>
      <c r="AB2310"/>
      <c r="AC2310"/>
      <c r="AE2310"/>
      <c r="AF2310"/>
      <c r="AJ2310"/>
    </row>
    <row r="2311" spans="24:36" x14ac:dyDescent="0.2">
      <c r="X2311" s="284"/>
      <c r="AA2311"/>
      <c r="AB2311"/>
      <c r="AC2311"/>
      <c r="AE2311"/>
      <c r="AF2311"/>
      <c r="AJ2311"/>
    </row>
    <row r="2312" spans="24:36" x14ac:dyDescent="0.2">
      <c r="X2312" s="284"/>
      <c r="AA2312"/>
      <c r="AB2312"/>
      <c r="AC2312"/>
      <c r="AE2312"/>
      <c r="AF2312"/>
      <c r="AJ2312"/>
    </row>
    <row r="2313" spans="24:36" x14ac:dyDescent="0.2">
      <c r="X2313" s="284"/>
      <c r="AA2313"/>
      <c r="AB2313"/>
      <c r="AC2313"/>
      <c r="AE2313"/>
      <c r="AF2313"/>
      <c r="AJ2313"/>
    </row>
    <row r="2314" spans="24:36" x14ac:dyDescent="0.2">
      <c r="X2314" s="284"/>
      <c r="AA2314"/>
      <c r="AB2314"/>
      <c r="AC2314"/>
      <c r="AE2314"/>
      <c r="AF2314"/>
      <c r="AJ2314"/>
    </row>
    <row r="2315" spans="24:36" x14ac:dyDescent="0.2">
      <c r="X2315" s="284"/>
      <c r="AA2315"/>
      <c r="AB2315"/>
      <c r="AC2315"/>
      <c r="AE2315"/>
      <c r="AF2315"/>
      <c r="AJ2315"/>
    </row>
    <row r="2316" spans="24:36" x14ac:dyDescent="0.2">
      <c r="X2316" s="284"/>
      <c r="AA2316"/>
      <c r="AB2316"/>
      <c r="AC2316"/>
      <c r="AE2316"/>
      <c r="AF2316"/>
      <c r="AJ2316"/>
    </row>
    <row r="2317" spans="24:36" x14ac:dyDescent="0.2">
      <c r="X2317" s="284"/>
      <c r="AA2317"/>
      <c r="AB2317"/>
      <c r="AC2317"/>
      <c r="AE2317"/>
      <c r="AF2317"/>
      <c r="AJ2317"/>
    </row>
    <row r="2318" spans="24:36" x14ac:dyDescent="0.2">
      <c r="X2318" s="284"/>
      <c r="AA2318"/>
      <c r="AB2318"/>
      <c r="AC2318"/>
      <c r="AE2318"/>
      <c r="AF2318"/>
      <c r="AJ2318"/>
    </row>
    <row r="2319" spans="24:36" x14ac:dyDescent="0.2">
      <c r="X2319" s="284"/>
      <c r="AA2319"/>
      <c r="AB2319"/>
      <c r="AC2319"/>
      <c r="AE2319"/>
      <c r="AF2319"/>
      <c r="AJ2319"/>
    </row>
    <row r="2320" spans="24:36" x14ac:dyDescent="0.2">
      <c r="X2320" s="284"/>
      <c r="AA2320"/>
      <c r="AB2320"/>
      <c r="AC2320"/>
      <c r="AE2320"/>
      <c r="AF2320"/>
      <c r="AJ2320"/>
    </row>
    <row r="2321" spans="24:36" x14ac:dyDescent="0.2">
      <c r="X2321" s="284"/>
      <c r="AA2321"/>
      <c r="AB2321"/>
      <c r="AC2321"/>
      <c r="AE2321"/>
      <c r="AF2321"/>
      <c r="AJ2321"/>
    </row>
    <row r="2322" spans="24:36" x14ac:dyDescent="0.2">
      <c r="X2322" s="284"/>
      <c r="AA2322"/>
      <c r="AB2322"/>
      <c r="AC2322"/>
      <c r="AE2322"/>
      <c r="AF2322"/>
      <c r="AJ2322"/>
    </row>
    <row r="2323" spans="24:36" x14ac:dyDescent="0.2">
      <c r="X2323" s="284"/>
      <c r="AA2323"/>
      <c r="AB2323"/>
      <c r="AC2323"/>
      <c r="AE2323"/>
      <c r="AF2323"/>
      <c r="AJ2323"/>
    </row>
    <row r="2324" spans="24:36" x14ac:dyDescent="0.2">
      <c r="X2324" s="284"/>
      <c r="AA2324"/>
      <c r="AB2324"/>
      <c r="AC2324"/>
      <c r="AE2324"/>
      <c r="AF2324"/>
      <c r="AJ2324"/>
    </row>
    <row r="2325" spans="24:36" x14ac:dyDescent="0.2">
      <c r="X2325" s="284"/>
      <c r="AA2325"/>
      <c r="AB2325"/>
      <c r="AC2325"/>
      <c r="AE2325"/>
      <c r="AF2325"/>
      <c r="AJ2325"/>
    </row>
    <row r="2326" spans="24:36" x14ac:dyDescent="0.2">
      <c r="X2326" s="284"/>
      <c r="AA2326"/>
      <c r="AB2326"/>
      <c r="AC2326"/>
      <c r="AE2326"/>
      <c r="AF2326"/>
      <c r="AJ2326"/>
    </row>
    <row r="2327" spans="24:36" x14ac:dyDescent="0.2">
      <c r="X2327" s="284"/>
      <c r="AA2327"/>
      <c r="AB2327"/>
      <c r="AC2327"/>
      <c r="AE2327"/>
      <c r="AF2327"/>
      <c r="AJ2327"/>
    </row>
    <row r="2328" spans="24:36" x14ac:dyDescent="0.2">
      <c r="X2328" s="284"/>
      <c r="AA2328"/>
      <c r="AB2328"/>
      <c r="AC2328"/>
      <c r="AE2328"/>
      <c r="AF2328"/>
      <c r="AJ2328"/>
    </row>
    <row r="2329" spans="24:36" x14ac:dyDescent="0.2">
      <c r="X2329" s="284"/>
      <c r="AA2329"/>
      <c r="AB2329"/>
      <c r="AC2329"/>
      <c r="AE2329"/>
      <c r="AF2329"/>
      <c r="AJ2329"/>
    </row>
    <row r="2330" spans="24:36" x14ac:dyDescent="0.2">
      <c r="X2330" s="284"/>
      <c r="AA2330"/>
      <c r="AB2330"/>
      <c r="AC2330"/>
      <c r="AE2330"/>
      <c r="AF2330"/>
      <c r="AJ2330"/>
    </row>
    <row r="2331" spans="24:36" x14ac:dyDescent="0.2">
      <c r="X2331" s="284"/>
      <c r="AA2331"/>
      <c r="AB2331"/>
      <c r="AC2331"/>
      <c r="AE2331"/>
      <c r="AF2331"/>
      <c r="AJ2331"/>
    </row>
    <row r="2332" spans="24:36" x14ac:dyDescent="0.2">
      <c r="X2332" s="284"/>
      <c r="AA2332"/>
      <c r="AB2332"/>
      <c r="AC2332"/>
      <c r="AE2332"/>
      <c r="AF2332"/>
      <c r="AJ2332"/>
    </row>
    <row r="2333" spans="24:36" x14ac:dyDescent="0.2">
      <c r="X2333" s="284"/>
      <c r="AA2333"/>
      <c r="AB2333"/>
      <c r="AC2333"/>
      <c r="AE2333"/>
      <c r="AF2333"/>
      <c r="AJ2333"/>
    </row>
    <row r="2334" spans="24:36" x14ac:dyDescent="0.2">
      <c r="X2334" s="284"/>
      <c r="AA2334"/>
      <c r="AB2334"/>
      <c r="AC2334"/>
      <c r="AE2334"/>
      <c r="AF2334"/>
      <c r="AJ2334"/>
    </row>
    <row r="2335" spans="24:36" x14ac:dyDescent="0.2">
      <c r="X2335" s="284"/>
      <c r="AA2335"/>
      <c r="AB2335"/>
      <c r="AC2335"/>
      <c r="AE2335"/>
      <c r="AF2335"/>
      <c r="AJ2335"/>
    </row>
    <row r="2336" spans="24:36" x14ac:dyDescent="0.2">
      <c r="X2336" s="284"/>
      <c r="AA2336"/>
      <c r="AB2336"/>
      <c r="AC2336"/>
      <c r="AE2336"/>
      <c r="AF2336"/>
      <c r="AJ2336"/>
    </row>
    <row r="2337" spans="24:36" x14ac:dyDescent="0.2">
      <c r="X2337" s="284"/>
      <c r="AA2337"/>
      <c r="AB2337"/>
      <c r="AC2337"/>
      <c r="AE2337"/>
      <c r="AF2337"/>
      <c r="AJ2337"/>
    </row>
    <row r="2338" spans="24:36" x14ac:dyDescent="0.2">
      <c r="X2338" s="284"/>
      <c r="AA2338"/>
      <c r="AB2338"/>
      <c r="AC2338"/>
      <c r="AE2338"/>
      <c r="AF2338"/>
      <c r="AJ2338"/>
    </row>
    <row r="2339" spans="24:36" x14ac:dyDescent="0.2">
      <c r="X2339" s="284"/>
      <c r="AA2339"/>
      <c r="AB2339"/>
      <c r="AC2339"/>
      <c r="AE2339"/>
      <c r="AF2339"/>
      <c r="AJ2339"/>
    </row>
    <row r="2340" spans="24:36" x14ac:dyDescent="0.2">
      <c r="X2340" s="284"/>
      <c r="AA2340"/>
      <c r="AB2340"/>
      <c r="AC2340"/>
      <c r="AE2340"/>
      <c r="AF2340"/>
      <c r="AJ2340"/>
    </row>
    <row r="2341" spans="24:36" x14ac:dyDescent="0.2">
      <c r="X2341" s="284"/>
      <c r="AA2341"/>
      <c r="AB2341"/>
      <c r="AC2341"/>
      <c r="AE2341"/>
      <c r="AF2341"/>
      <c r="AJ2341"/>
    </row>
    <row r="2342" spans="24:36" x14ac:dyDescent="0.2">
      <c r="X2342" s="284"/>
      <c r="AA2342"/>
      <c r="AB2342"/>
      <c r="AC2342"/>
      <c r="AE2342"/>
      <c r="AF2342"/>
      <c r="AJ2342"/>
    </row>
    <row r="2343" spans="24:36" x14ac:dyDescent="0.2">
      <c r="X2343" s="284"/>
      <c r="AA2343"/>
      <c r="AB2343"/>
      <c r="AC2343"/>
      <c r="AE2343"/>
      <c r="AF2343"/>
      <c r="AJ2343"/>
    </row>
    <row r="2344" spans="24:36" x14ac:dyDescent="0.2">
      <c r="X2344" s="284"/>
      <c r="AA2344"/>
      <c r="AB2344"/>
      <c r="AC2344"/>
      <c r="AE2344"/>
      <c r="AF2344"/>
      <c r="AJ2344"/>
    </row>
    <row r="2345" spans="24:36" x14ac:dyDescent="0.2">
      <c r="X2345" s="284"/>
      <c r="AA2345"/>
      <c r="AB2345"/>
      <c r="AC2345"/>
      <c r="AE2345"/>
      <c r="AF2345"/>
      <c r="AJ2345"/>
    </row>
    <row r="2346" spans="24:36" x14ac:dyDescent="0.2">
      <c r="X2346" s="284"/>
      <c r="AA2346"/>
      <c r="AB2346"/>
      <c r="AC2346"/>
      <c r="AE2346"/>
      <c r="AF2346"/>
      <c r="AJ2346"/>
    </row>
    <row r="2347" spans="24:36" x14ac:dyDescent="0.2">
      <c r="X2347" s="284"/>
      <c r="AA2347"/>
      <c r="AB2347"/>
      <c r="AC2347"/>
      <c r="AE2347"/>
      <c r="AF2347"/>
      <c r="AJ2347"/>
    </row>
    <row r="2348" spans="24:36" x14ac:dyDescent="0.2">
      <c r="X2348" s="284"/>
      <c r="AA2348"/>
      <c r="AB2348"/>
      <c r="AC2348"/>
      <c r="AE2348"/>
      <c r="AF2348"/>
      <c r="AJ2348"/>
    </row>
    <row r="2349" spans="24:36" x14ac:dyDescent="0.2">
      <c r="X2349" s="284"/>
      <c r="AA2349"/>
      <c r="AB2349"/>
      <c r="AC2349"/>
      <c r="AE2349"/>
      <c r="AF2349"/>
      <c r="AJ2349"/>
    </row>
    <row r="2350" spans="24:36" x14ac:dyDescent="0.2">
      <c r="X2350" s="284"/>
      <c r="AA2350"/>
      <c r="AB2350"/>
      <c r="AC2350"/>
      <c r="AE2350"/>
      <c r="AF2350"/>
      <c r="AJ2350"/>
    </row>
    <row r="2351" spans="24:36" x14ac:dyDescent="0.2">
      <c r="X2351" s="284"/>
      <c r="AA2351"/>
      <c r="AB2351"/>
      <c r="AC2351"/>
      <c r="AE2351"/>
      <c r="AF2351"/>
      <c r="AJ2351"/>
    </row>
    <row r="2352" spans="24:36" x14ac:dyDescent="0.2">
      <c r="X2352" s="284"/>
      <c r="AA2352"/>
      <c r="AB2352"/>
      <c r="AC2352"/>
      <c r="AE2352"/>
      <c r="AF2352"/>
      <c r="AJ2352"/>
    </row>
    <row r="2353" spans="24:36" x14ac:dyDescent="0.2">
      <c r="X2353" s="284"/>
      <c r="AA2353"/>
      <c r="AB2353"/>
      <c r="AC2353"/>
      <c r="AE2353"/>
      <c r="AF2353"/>
      <c r="AJ2353"/>
    </row>
    <row r="2354" spans="24:36" x14ac:dyDescent="0.2">
      <c r="X2354" s="284"/>
      <c r="AA2354"/>
      <c r="AB2354"/>
      <c r="AC2354"/>
      <c r="AE2354"/>
      <c r="AF2354"/>
      <c r="AJ2354"/>
    </row>
    <row r="2355" spans="24:36" x14ac:dyDescent="0.2">
      <c r="X2355" s="284"/>
      <c r="AA2355"/>
      <c r="AB2355"/>
      <c r="AC2355"/>
      <c r="AE2355"/>
      <c r="AF2355"/>
      <c r="AJ2355"/>
    </row>
    <row r="2356" spans="24:36" x14ac:dyDescent="0.2">
      <c r="X2356" s="284"/>
      <c r="AA2356"/>
      <c r="AB2356"/>
      <c r="AC2356"/>
      <c r="AE2356"/>
      <c r="AF2356"/>
      <c r="AJ2356"/>
    </row>
    <row r="2357" spans="24:36" x14ac:dyDescent="0.2">
      <c r="X2357" s="284"/>
      <c r="AA2357"/>
      <c r="AB2357"/>
      <c r="AC2357"/>
      <c r="AE2357"/>
      <c r="AF2357"/>
      <c r="AJ2357"/>
    </row>
    <row r="2358" spans="24:36" x14ac:dyDescent="0.2">
      <c r="X2358" s="284"/>
      <c r="AA2358"/>
      <c r="AB2358"/>
      <c r="AC2358"/>
      <c r="AE2358"/>
      <c r="AF2358"/>
      <c r="AJ2358"/>
    </row>
    <row r="2359" spans="24:36" x14ac:dyDescent="0.2">
      <c r="X2359" s="284"/>
      <c r="AA2359"/>
      <c r="AB2359"/>
      <c r="AC2359"/>
      <c r="AE2359"/>
      <c r="AF2359"/>
      <c r="AJ2359"/>
    </row>
    <row r="2360" spans="24:36" x14ac:dyDescent="0.2">
      <c r="X2360" s="284"/>
      <c r="AA2360"/>
      <c r="AB2360"/>
      <c r="AC2360"/>
      <c r="AE2360"/>
      <c r="AF2360"/>
      <c r="AJ2360"/>
    </row>
    <row r="2361" spans="24:36" x14ac:dyDescent="0.2">
      <c r="X2361" s="284"/>
      <c r="AA2361"/>
      <c r="AB2361"/>
      <c r="AC2361"/>
      <c r="AE2361"/>
      <c r="AF2361"/>
      <c r="AJ2361"/>
    </row>
    <row r="2362" spans="24:36" x14ac:dyDescent="0.2">
      <c r="X2362" s="284"/>
      <c r="AA2362"/>
      <c r="AB2362"/>
      <c r="AC2362"/>
      <c r="AE2362"/>
      <c r="AF2362"/>
      <c r="AJ2362"/>
    </row>
    <row r="2363" spans="24:36" x14ac:dyDescent="0.2">
      <c r="X2363" s="284"/>
      <c r="AA2363"/>
      <c r="AB2363"/>
      <c r="AC2363"/>
      <c r="AE2363"/>
      <c r="AF2363"/>
      <c r="AJ2363"/>
    </row>
    <row r="2364" spans="24:36" x14ac:dyDescent="0.2">
      <c r="X2364" s="284"/>
      <c r="AA2364"/>
      <c r="AB2364"/>
      <c r="AC2364"/>
      <c r="AE2364"/>
      <c r="AF2364"/>
      <c r="AJ2364"/>
    </row>
    <row r="2365" spans="24:36" x14ac:dyDescent="0.2">
      <c r="X2365" s="284"/>
      <c r="AA2365"/>
      <c r="AB2365"/>
      <c r="AC2365"/>
      <c r="AE2365"/>
      <c r="AF2365"/>
      <c r="AJ2365"/>
    </row>
    <row r="2366" spans="24:36" x14ac:dyDescent="0.2">
      <c r="X2366" s="284"/>
      <c r="AA2366"/>
      <c r="AB2366"/>
      <c r="AC2366"/>
      <c r="AE2366"/>
      <c r="AF2366"/>
      <c r="AJ2366"/>
    </row>
    <row r="2367" spans="24:36" x14ac:dyDescent="0.2">
      <c r="X2367" s="284"/>
      <c r="AA2367"/>
      <c r="AB2367"/>
      <c r="AC2367"/>
      <c r="AE2367"/>
      <c r="AF2367"/>
      <c r="AJ2367"/>
    </row>
    <row r="2368" spans="24:36" x14ac:dyDescent="0.2">
      <c r="X2368" s="284"/>
      <c r="AA2368"/>
      <c r="AB2368"/>
      <c r="AC2368"/>
      <c r="AE2368"/>
      <c r="AF2368"/>
      <c r="AJ2368"/>
    </row>
    <row r="2369" spans="24:36" x14ac:dyDescent="0.2">
      <c r="X2369" s="284"/>
      <c r="AA2369"/>
      <c r="AB2369"/>
      <c r="AC2369"/>
      <c r="AE2369"/>
      <c r="AF2369"/>
      <c r="AJ2369"/>
    </row>
    <row r="2370" spans="24:36" x14ac:dyDescent="0.2">
      <c r="X2370" s="284"/>
      <c r="AA2370"/>
      <c r="AB2370"/>
      <c r="AC2370"/>
      <c r="AE2370"/>
      <c r="AF2370"/>
      <c r="AJ2370"/>
    </row>
    <row r="2371" spans="24:36" x14ac:dyDescent="0.2">
      <c r="X2371" s="284"/>
      <c r="AA2371"/>
      <c r="AB2371"/>
      <c r="AC2371"/>
      <c r="AE2371"/>
      <c r="AF2371"/>
      <c r="AJ2371"/>
    </row>
    <row r="2372" spans="24:36" x14ac:dyDescent="0.2">
      <c r="X2372" s="284"/>
      <c r="AA2372"/>
      <c r="AB2372"/>
      <c r="AC2372"/>
      <c r="AE2372"/>
      <c r="AF2372"/>
      <c r="AJ2372"/>
    </row>
    <row r="2373" spans="24:36" x14ac:dyDescent="0.2">
      <c r="X2373" s="284"/>
      <c r="AA2373"/>
      <c r="AB2373"/>
      <c r="AC2373"/>
      <c r="AE2373"/>
      <c r="AF2373"/>
      <c r="AJ2373"/>
    </row>
    <row r="2374" spans="24:36" x14ac:dyDescent="0.2">
      <c r="X2374" s="284"/>
      <c r="AA2374"/>
      <c r="AB2374"/>
      <c r="AC2374"/>
      <c r="AE2374"/>
      <c r="AF2374"/>
      <c r="AJ2374"/>
    </row>
    <row r="2375" spans="24:36" x14ac:dyDescent="0.2">
      <c r="X2375" s="284"/>
      <c r="AA2375"/>
      <c r="AB2375"/>
      <c r="AC2375"/>
      <c r="AE2375"/>
      <c r="AF2375"/>
      <c r="AJ2375"/>
    </row>
    <row r="2376" spans="24:36" x14ac:dyDescent="0.2">
      <c r="X2376" s="284"/>
      <c r="AA2376"/>
      <c r="AB2376"/>
      <c r="AC2376"/>
      <c r="AE2376"/>
      <c r="AF2376"/>
      <c r="AJ2376"/>
    </row>
    <row r="2377" spans="24:36" x14ac:dyDescent="0.2">
      <c r="X2377" s="284"/>
      <c r="AA2377"/>
      <c r="AB2377"/>
      <c r="AC2377"/>
      <c r="AE2377"/>
      <c r="AF2377"/>
      <c r="AJ2377"/>
    </row>
    <row r="2378" spans="24:36" x14ac:dyDescent="0.2">
      <c r="X2378" s="284"/>
      <c r="AA2378"/>
      <c r="AB2378"/>
      <c r="AC2378"/>
      <c r="AE2378"/>
      <c r="AF2378"/>
      <c r="AJ2378"/>
    </row>
    <row r="2379" spans="24:36" x14ac:dyDescent="0.2">
      <c r="X2379" s="284"/>
      <c r="AA2379"/>
      <c r="AB2379"/>
      <c r="AC2379"/>
      <c r="AE2379"/>
      <c r="AF2379"/>
      <c r="AJ2379"/>
    </row>
    <row r="2380" spans="24:36" x14ac:dyDescent="0.2">
      <c r="X2380" s="284"/>
      <c r="AA2380"/>
      <c r="AB2380"/>
      <c r="AC2380"/>
      <c r="AE2380"/>
      <c r="AF2380"/>
      <c r="AJ2380"/>
    </row>
    <row r="2381" spans="24:36" x14ac:dyDescent="0.2">
      <c r="X2381" s="284"/>
      <c r="AA2381"/>
      <c r="AB2381"/>
      <c r="AC2381"/>
      <c r="AE2381"/>
      <c r="AF2381"/>
      <c r="AJ2381"/>
    </row>
    <row r="2382" spans="24:36" x14ac:dyDescent="0.2">
      <c r="X2382" s="284"/>
      <c r="AA2382"/>
      <c r="AB2382"/>
      <c r="AC2382"/>
      <c r="AE2382"/>
      <c r="AF2382"/>
      <c r="AJ2382"/>
    </row>
    <row r="2383" spans="24:36" x14ac:dyDescent="0.2">
      <c r="X2383" s="284"/>
      <c r="AA2383"/>
      <c r="AB2383"/>
      <c r="AC2383"/>
      <c r="AE2383"/>
      <c r="AF2383"/>
      <c r="AJ2383"/>
    </row>
    <row r="2384" spans="24:36" x14ac:dyDescent="0.2">
      <c r="X2384" s="284"/>
      <c r="AA2384"/>
      <c r="AB2384"/>
      <c r="AC2384"/>
      <c r="AE2384"/>
      <c r="AF2384"/>
      <c r="AJ2384"/>
    </row>
    <row r="2385" spans="24:36" x14ac:dyDescent="0.2">
      <c r="X2385" s="284"/>
      <c r="AA2385"/>
      <c r="AB2385"/>
      <c r="AC2385"/>
      <c r="AE2385"/>
      <c r="AF2385"/>
      <c r="AJ2385"/>
    </row>
    <row r="2386" spans="24:36" x14ac:dyDescent="0.2">
      <c r="X2386" s="284"/>
      <c r="AA2386"/>
      <c r="AB2386"/>
      <c r="AC2386"/>
      <c r="AE2386"/>
      <c r="AF2386"/>
      <c r="AJ2386"/>
    </row>
    <row r="2387" spans="24:36" x14ac:dyDescent="0.2">
      <c r="X2387" s="284"/>
      <c r="AA2387"/>
      <c r="AB2387"/>
      <c r="AC2387"/>
      <c r="AE2387"/>
      <c r="AF2387"/>
      <c r="AJ2387"/>
    </row>
    <row r="2388" spans="24:36" x14ac:dyDescent="0.2">
      <c r="X2388" s="284"/>
      <c r="AA2388"/>
      <c r="AB2388"/>
      <c r="AC2388"/>
      <c r="AE2388"/>
      <c r="AF2388"/>
      <c r="AJ2388"/>
    </row>
    <row r="2389" spans="24:36" x14ac:dyDescent="0.2">
      <c r="X2389" s="284"/>
      <c r="AA2389"/>
      <c r="AB2389"/>
      <c r="AC2389"/>
      <c r="AE2389"/>
      <c r="AF2389"/>
      <c r="AJ2389"/>
    </row>
    <row r="2390" spans="24:36" x14ac:dyDescent="0.2">
      <c r="X2390" s="284"/>
      <c r="AA2390"/>
      <c r="AB2390"/>
      <c r="AC2390"/>
      <c r="AE2390"/>
      <c r="AF2390"/>
      <c r="AJ2390"/>
    </row>
    <row r="2391" spans="24:36" x14ac:dyDescent="0.2">
      <c r="X2391" s="284"/>
      <c r="AA2391"/>
      <c r="AB2391"/>
      <c r="AC2391"/>
      <c r="AE2391"/>
      <c r="AF2391"/>
      <c r="AJ2391"/>
    </row>
    <row r="2392" spans="24:36" x14ac:dyDescent="0.2">
      <c r="X2392" s="284"/>
      <c r="AA2392"/>
      <c r="AB2392"/>
      <c r="AC2392"/>
      <c r="AE2392"/>
      <c r="AF2392"/>
      <c r="AJ2392"/>
    </row>
    <row r="2393" spans="24:36" x14ac:dyDescent="0.2">
      <c r="X2393" s="284"/>
      <c r="AA2393"/>
      <c r="AB2393"/>
      <c r="AC2393"/>
      <c r="AE2393"/>
      <c r="AF2393"/>
      <c r="AJ2393"/>
    </row>
    <row r="2394" spans="24:36" x14ac:dyDescent="0.2">
      <c r="X2394" s="284"/>
      <c r="AA2394"/>
      <c r="AB2394"/>
      <c r="AC2394"/>
      <c r="AE2394"/>
      <c r="AF2394"/>
      <c r="AJ2394"/>
    </row>
    <row r="2395" spans="24:36" x14ac:dyDescent="0.2">
      <c r="X2395" s="284"/>
      <c r="AA2395"/>
      <c r="AB2395"/>
      <c r="AC2395"/>
      <c r="AE2395"/>
      <c r="AF2395"/>
      <c r="AJ2395"/>
    </row>
    <row r="2396" spans="24:36" x14ac:dyDescent="0.2">
      <c r="X2396" s="284"/>
      <c r="AA2396"/>
      <c r="AB2396"/>
      <c r="AC2396"/>
      <c r="AE2396"/>
      <c r="AF2396"/>
      <c r="AJ2396"/>
    </row>
    <row r="2397" spans="24:36" x14ac:dyDescent="0.2">
      <c r="X2397" s="284"/>
      <c r="AA2397"/>
      <c r="AB2397"/>
      <c r="AC2397"/>
      <c r="AE2397"/>
      <c r="AF2397"/>
      <c r="AJ2397"/>
    </row>
    <row r="2398" spans="24:36" x14ac:dyDescent="0.2">
      <c r="X2398" s="284"/>
      <c r="AA2398"/>
      <c r="AB2398"/>
      <c r="AC2398"/>
      <c r="AE2398"/>
      <c r="AF2398"/>
      <c r="AJ2398"/>
    </row>
    <row r="2399" spans="24:36" x14ac:dyDescent="0.2">
      <c r="X2399" s="284"/>
      <c r="AA2399"/>
      <c r="AB2399"/>
      <c r="AC2399"/>
      <c r="AE2399"/>
      <c r="AF2399"/>
      <c r="AJ2399"/>
    </row>
    <row r="2400" spans="24:36" x14ac:dyDescent="0.2">
      <c r="X2400" s="284"/>
      <c r="AA2400"/>
      <c r="AB2400"/>
      <c r="AC2400"/>
      <c r="AE2400"/>
      <c r="AF2400"/>
      <c r="AJ2400"/>
    </row>
    <row r="2401" spans="24:36" x14ac:dyDescent="0.2">
      <c r="X2401" s="284"/>
      <c r="AA2401"/>
      <c r="AB2401"/>
      <c r="AC2401"/>
      <c r="AE2401"/>
      <c r="AF2401"/>
      <c r="AJ2401"/>
    </row>
    <row r="2402" spans="24:36" x14ac:dyDescent="0.2">
      <c r="X2402" s="284"/>
      <c r="AA2402"/>
      <c r="AB2402"/>
      <c r="AC2402"/>
      <c r="AE2402"/>
      <c r="AF2402"/>
      <c r="AJ2402"/>
    </row>
    <row r="2403" spans="24:36" x14ac:dyDescent="0.2">
      <c r="X2403" s="284"/>
      <c r="AA2403"/>
      <c r="AB2403"/>
      <c r="AC2403"/>
      <c r="AE2403"/>
      <c r="AF2403"/>
      <c r="AJ2403"/>
    </row>
    <row r="2404" spans="24:36" x14ac:dyDescent="0.2">
      <c r="X2404" s="284"/>
      <c r="AA2404"/>
      <c r="AB2404"/>
      <c r="AC2404"/>
      <c r="AE2404"/>
      <c r="AF2404"/>
      <c r="AJ2404"/>
    </row>
    <row r="2405" spans="24:36" x14ac:dyDescent="0.2">
      <c r="X2405" s="284"/>
      <c r="AA2405"/>
      <c r="AB2405"/>
      <c r="AC2405"/>
      <c r="AE2405"/>
      <c r="AF2405"/>
      <c r="AJ2405"/>
    </row>
    <row r="2406" spans="24:36" x14ac:dyDescent="0.2">
      <c r="X2406" s="284"/>
      <c r="AA2406"/>
      <c r="AB2406"/>
      <c r="AC2406"/>
      <c r="AE2406"/>
      <c r="AF2406"/>
      <c r="AJ2406"/>
    </row>
    <row r="2407" spans="24:36" x14ac:dyDescent="0.2">
      <c r="X2407" s="284"/>
      <c r="AA2407"/>
      <c r="AB2407"/>
      <c r="AC2407"/>
      <c r="AE2407"/>
      <c r="AF2407"/>
      <c r="AJ2407"/>
    </row>
    <row r="2408" spans="24:36" x14ac:dyDescent="0.2">
      <c r="X2408" s="284"/>
      <c r="AA2408"/>
      <c r="AB2408"/>
      <c r="AC2408"/>
      <c r="AE2408"/>
      <c r="AF2408"/>
      <c r="AJ2408"/>
    </row>
    <row r="2409" spans="24:36" x14ac:dyDescent="0.2">
      <c r="X2409" s="284"/>
      <c r="AA2409"/>
      <c r="AB2409"/>
      <c r="AC2409"/>
      <c r="AE2409"/>
      <c r="AF2409"/>
      <c r="AJ2409"/>
    </row>
    <row r="2410" spans="24:36" x14ac:dyDescent="0.2">
      <c r="X2410" s="284"/>
      <c r="AA2410"/>
      <c r="AB2410"/>
      <c r="AC2410"/>
      <c r="AE2410"/>
      <c r="AF2410"/>
      <c r="AJ2410"/>
    </row>
    <row r="2411" spans="24:36" x14ac:dyDescent="0.2">
      <c r="X2411" s="284"/>
      <c r="AA2411"/>
      <c r="AB2411"/>
      <c r="AC2411"/>
      <c r="AE2411"/>
      <c r="AF2411"/>
      <c r="AJ2411"/>
    </row>
    <row r="2412" spans="24:36" x14ac:dyDescent="0.2">
      <c r="X2412" s="284"/>
      <c r="AA2412"/>
      <c r="AB2412"/>
      <c r="AC2412"/>
      <c r="AE2412"/>
      <c r="AF2412"/>
      <c r="AJ2412"/>
    </row>
    <row r="2413" spans="24:36" x14ac:dyDescent="0.2">
      <c r="X2413" s="284"/>
      <c r="AA2413"/>
      <c r="AB2413"/>
      <c r="AC2413"/>
      <c r="AE2413"/>
      <c r="AF2413"/>
      <c r="AJ2413"/>
    </row>
    <row r="2414" spans="24:36" x14ac:dyDescent="0.2">
      <c r="X2414" s="284"/>
      <c r="AA2414"/>
      <c r="AB2414"/>
      <c r="AC2414"/>
      <c r="AE2414"/>
      <c r="AF2414"/>
      <c r="AJ2414"/>
    </row>
    <row r="2415" spans="24:36" x14ac:dyDescent="0.2">
      <c r="X2415" s="284"/>
      <c r="AA2415"/>
      <c r="AB2415"/>
      <c r="AC2415"/>
      <c r="AE2415"/>
      <c r="AF2415"/>
      <c r="AJ2415"/>
    </row>
    <row r="2416" spans="24:36" x14ac:dyDescent="0.2">
      <c r="X2416" s="284"/>
      <c r="AA2416"/>
      <c r="AB2416"/>
      <c r="AC2416"/>
      <c r="AE2416"/>
      <c r="AF2416"/>
      <c r="AJ2416"/>
    </row>
    <row r="2417" spans="24:36" x14ac:dyDescent="0.2">
      <c r="X2417" s="284"/>
      <c r="AA2417"/>
      <c r="AB2417"/>
      <c r="AC2417"/>
      <c r="AE2417"/>
      <c r="AF2417"/>
      <c r="AJ2417"/>
    </row>
    <row r="2418" spans="24:36" x14ac:dyDescent="0.2">
      <c r="X2418" s="284"/>
      <c r="AA2418"/>
      <c r="AB2418"/>
      <c r="AC2418"/>
      <c r="AE2418"/>
      <c r="AF2418"/>
      <c r="AJ2418"/>
    </row>
    <row r="2419" spans="24:36" x14ac:dyDescent="0.2">
      <c r="X2419" s="284"/>
      <c r="AA2419"/>
      <c r="AB2419"/>
      <c r="AC2419"/>
      <c r="AE2419"/>
      <c r="AF2419"/>
      <c r="AJ2419"/>
    </row>
    <row r="2420" spans="24:36" x14ac:dyDescent="0.2">
      <c r="X2420" s="284"/>
      <c r="AA2420"/>
      <c r="AB2420"/>
      <c r="AC2420"/>
      <c r="AE2420"/>
      <c r="AF2420"/>
      <c r="AJ2420"/>
    </row>
    <row r="2421" spans="24:36" x14ac:dyDescent="0.2">
      <c r="X2421" s="284"/>
      <c r="AA2421"/>
      <c r="AB2421"/>
      <c r="AC2421"/>
      <c r="AE2421"/>
      <c r="AF2421"/>
      <c r="AJ2421"/>
    </row>
    <row r="2422" spans="24:36" x14ac:dyDescent="0.2">
      <c r="X2422" s="284"/>
      <c r="AA2422"/>
      <c r="AB2422"/>
      <c r="AC2422"/>
      <c r="AE2422"/>
      <c r="AF2422"/>
      <c r="AJ2422"/>
    </row>
    <row r="2423" spans="24:36" x14ac:dyDescent="0.2">
      <c r="X2423" s="284"/>
      <c r="AA2423"/>
      <c r="AB2423"/>
      <c r="AC2423"/>
      <c r="AE2423"/>
      <c r="AF2423"/>
      <c r="AJ2423"/>
    </row>
    <row r="2424" spans="24:36" x14ac:dyDescent="0.2">
      <c r="X2424" s="284"/>
      <c r="AA2424"/>
      <c r="AB2424"/>
      <c r="AC2424"/>
      <c r="AE2424"/>
      <c r="AF2424"/>
      <c r="AJ2424"/>
    </row>
    <row r="2425" spans="24:36" x14ac:dyDescent="0.2">
      <c r="X2425" s="284"/>
      <c r="AA2425"/>
      <c r="AB2425"/>
      <c r="AC2425"/>
      <c r="AE2425"/>
      <c r="AF2425"/>
      <c r="AJ2425"/>
    </row>
    <row r="2426" spans="24:36" x14ac:dyDescent="0.2">
      <c r="X2426" s="284"/>
      <c r="AA2426"/>
      <c r="AB2426"/>
      <c r="AC2426"/>
      <c r="AE2426"/>
      <c r="AF2426"/>
      <c r="AJ2426"/>
    </row>
    <row r="2427" spans="24:36" x14ac:dyDescent="0.2">
      <c r="X2427" s="284"/>
      <c r="AA2427"/>
      <c r="AB2427"/>
      <c r="AC2427"/>
      <c r="AE2427"/>
      <c r="AF2427"/>
      <c r="AJ2427"/>
    </row>
    <row r="2428" spans="24:36" x14ac:dyDescent="0.2">
      <c r="X2428" s="284"/>
      <c r="AA2428"/>
      <c r="AB2428"/>
      <c r="AC2428"/>
      <c r="AE2428"/>
      <c r="AF2428"/>
      <c r="AJ2428"/>
    </row>
    <row r="2429" spans="24:36" x14ac:dyDescent="0.2">
      <c r="X2429" s="284"/>
      <c r="AA2429"/>
      <c r="AB2429"/>
      <c r="AC2429"/>
      <c r="AE2429"/>
      <c r="AF2429"/>
      <c r="AJ2429"/>
    </row>
    <row r="2430" spans="24:36" x14ac:dyDescent="0.2">
      <c r="X2430" s="284"/>
      <c r="AA2430"/>
      <c r="AB2430"/>
      <c r="AC2430"/>
      <c r="AE2430"/>
      <c r="AF2430"/>
      <c r="AJ2430"/>
    </row>
    <row r="2431" spans="24:36" x14ac:dyDescent="0.2">
      <c r="X2431" s="284"/>
      <c r="AA2431"/>
      <c r="AB2431"/>
      <c r="AC2431"/>
      <c r="AE2431"/>
      <c r="AF2431"/>
      <c r="AJ2431"/>
    </row>
    <row r="2432" spans="24:36" x14ac:dyDescent="0.2">
      <c r="X2432" s="284"/>
      <c r="AA2432"/>
      <c r="AB2432"/>
      <c r="AC2432"/>
      <c r="AE2432"/>
      <c r="AF2432"/>
      <c r="AJ2432"/>
    </row>
    <row r="2433" spans="24:36" x14ac:dyDescent="0.2">
      <c r="X2433" s="284"/>
      <c r="AA2433"/>
      <c r="AB2433"/>
      <c r="AC2433"/>
      <c r="AE2433"/>
      <c r="AF2433"/>
      <c r="AJ2433"/>
    </row>
    <row r="2434" spans="24:36" x14ac:dyDescent="0.2">
      <c r="X2434" s="284"/>
      <c r="AA2434"/>
      <c r="AB2434"/>
      <c r="AC2434"/>
      <c r="AE2434"/>
      <c r="AF2434"/>
      <c r="AJ2434"/>
    </row>
    <row r="2435" spans="24:36" x14ac:dyDescent="0.2">
      <c r="X2435" s="284"/>
      <c r="AA2435"/>
      <c r="AB2435"/>
      <c r="AC2435"/>
      <c r="AE2435"/>
      <c r="AF2435"/>
      <c r="AJ2435"/>
    </row>
    <row r="2436" spans="24:36" x14ac:dyDescent="0.2">
      <c r="X2436" s="284"/>
      <c r="AA2436"/>
      <c r="AB2436"/>
      <c r="AC2436"/>
      <c r="AE2436"/>
      <c r="AF2436"/>
      <c r="AJ2436"/>
    </row>
    <row r="2437" spans="24:36" x14ac:dyDescent="0.2">
      <c r="X2437" s="284"/>
      <c r="AA2437"/>
      <c r="AB2437"/>
      <c r="AC2437"/>
      <c r="AE2437"/>
      <c r="AF2437"/>
      <c r="AJ2437"/>
    </row>
    <row r="2438" spans="24:36" x14ac:dyDescent="0.2">
      <c r="X2438" s="284"/>
      <c r="AA2438"/>
      <c r="AB2438"/>
      <c r="AC2438"/>
      <c r="AE2438"/>
      <c r="AF2438"/>
      <c r="AJ2438"/>
    </row>
    <row r="2439" spans="24:36" x14ac:dyDescent="0.2">
      <c r="X2439" s="284"/>
      <c r="AA2439"/>
      <c r="AB2439"/>
      <c r="AC2439"/>
      <c r="AE2439"/>
      <c r="AF2439"/>
      <c r="AJ2439"/>
    </row>
    <row r="2440" spans="24:36" x14ac:dyDescent="0.2">
      <c r="X2440" s="284"/>
      <c r="AA2440"/>
      <c r="AB2440"/>
      <c r="AC2440"/>
      <c r="AE2440"/>
      <c r="AF2440"/>
      <c r="AJ2440"/>
    </row>
    <row r="2441" spans="24:36" x14ac:dyDescent="0.2">
      <c r="X2441" s="284"/>
      <c r="AA2441"/>
      <c r="AB2441"/>
      <c r="AC2441"/>
      <c r="AE2441"/>
      <c r="AF2441"/>
      <c r="AJ2441"/>
    </row>
    <row r="2442" spans="24:36" x14ac:dyDescent="0.2">
      <c r="X2442" s="284"/>
      <c r="AA2442"/>
      <c r="AB2442"/>
      <c r="AC2442"/>
      <c r="AE2442"/>
      <c r="AF2442"/>
      <c r="AJ2442"/>
    </row>
    <row r="2443" spans="24:36" x14ac:dyDescent="0.2">
      <c r="X2443" s="284"/>
      <c r="AA2443"/>
      <c r="AB2443"/>
      <c r="AC2443"/>
      <c r="AE2443"/>
      <c r="AF2443"/>
      <c r="AJ2443"/>
    </row>
    <row r="2444" spans="24:36" x14ac:dyDescent="0.2">
      <c r="X2444" s="284"/>
      <c r="AA2444"/>
      <c r="AB2444"/>
      <c r="AC2444"/>
      <c r="AE2444"/>
      <c r="AF2444"/>
      <c r="AJ2444"/>
    </row>
    <row r="2445" spans="24:36" x14ac:dyDescent="0.2">
      <c r="X2445" s="284"/>
      <c r="AA2445"/>
      <c r="AB2445"/>
      <c r="AC2445"/>
      <c r="AE2445"/>
      <c r="AF2445"/>
      <c r="AJ2445"/>
    </row>
    <row r="2446" spans="24:36" x14ac:dyDescent="0.2">
      <c r="X2446" s="284"/>
      <c r="AA2446"/>
      <c r="AB2446"/>
      <c r="AC2446"/>
      <c r="AE2446"/>
      <c r="AF2446"/>
      <c r="AJ2446"/>
    </row>
    <row r="2447" spans="24:36" x14ac:dyDescent="0.2">
      <c r="X2447" s="284"/>
      <c r="AA2447"/>
      <c r="AB2447"/>
      <c r="AC2447"/>
      <c r="AE2447"/>
      <c r="AF2447"/>
      <c r="AJ2447"/>
    </row>
    <row r="2448" spans="24:36" x14ac:dyDescent="0.2">
      <c r="X2448" s="284"/>
      <c r="AA2448"/>
      <c r="AB2448"/>
      <c r="AC2448"/>
      <c r="AE2448"/>
      <c r="AF2448"/>
      <c r="AJ2448"/>
    </row>
    <row r="2449" spans="24:36" x14ac:dyDescent="0.2">
      <c r="X2449" s="284"/>
      <c r="AA2449"/>
      <c r="AB2449"/>
      <c r="AC2449"/>
      <c r="AE2449"/>
      <c r="AF2449"/>
      <c r="AJ2449"/>
    </row>
    <row r="2450" spans="24:36" x14ac:dyDescent="0.2">
      <c r="X2450" s="284"/>
      <c r="AA2450"/>
      <c r="AB2450"/>
      <c r="AC2450"/>
      <c r="AE2450"/>
      <c r="AF2450"/>
      <c r="AJ2450"/>
    </row>
    <row r="2451" spans="24:36" x14ac:dyDescent="0.2">
      <c r="X2451" s="284"/>
      <c r="AA2451"/>
      <c r="AB2451"/>
      <c r="AC2451"/>
      <c r="AE2451"/>
      <c r="AF2451"/>
      <c r="AJ2451"/>
    </row>
    <row r="2452" spans="24:36" x14ac:dyDescent="0.2">
      <c r="X2452" s="284"/>
      <c r="AA2452"/>
      <c r="AB2452"/>
      <c r="AC2452"/>
      <c r="AE2452"/>
      <c r="AF2452"/>
      <c r="AJ2452"/>
    </row>
    <row r="2453" spans="24:36" x14ac:dyDescent="0.2">
      <c r="X2453" s="284"/>
      <c r="AA2453"/>
      <c r="AB2453"/>
      <c r="AC2453"/>
      <c r="AE2453"/>
      <c r="AF2453"/>
      <c r="AJ2453"/>
    </row>
    <row r="2454" spans="24:36" x14ac:dyDescent="0.2">
      <c r="X2454" s="284"/>
      <c r="AA2454"/>
      <c r="AB2454"/>
      <c r="AC2454"/>
      <c r="AE2454"/>
      <c r="AF2454"/>
      <c r="AJ2454"/>
    </row>
    <row r="2455" spans="24:36" x14ac:dyDescent="0.2">
      <c r="X2455" s="284"/>
      <c r="AA2455"/>
      <c r="AB2455"/>
      <c r="AC2455"/>
      <c r="AE2455"/>
      <c r="AF2455"/>
      <c r="AJ2455"/>
    </row>
    <row r="2456" spans="24:36" x14ac:dyDescent="0.2">
      <c r="X2456" s="284"/>
      <c r="AA2456"/>
      <c r="AB2456"/>
      <c r="AC2456"/>
      <c r="AE2456"/>
      <c r="AF2456"/>
      <c r="AJ2456"/>
    </row>
    <row r="2457" spans="24:36" x14ac:dyDescent="0.2">
      <c r="X2457" s="284"/>
      <c r="AA2457"/>
      <c r="AB2457"/>
      <c r="AC2457"/>
      <c r="AE2457"/>
      <c r="AF2457"/>
      <c r="AJ2457"/>
    </row>
    <row r="2458" spans="24:36" x14ac:dyDescent="0.2">
      <c r="X2458" s="284"/>
      <c r="AA2458"/>
      <c r="AB2458"/>
      <c r="AC2458"/>
      <c r="AE2458"/>
      <c r="AF2458"/>
      <c r="AJ2458"/>
    </row>
    <row r="2459" spans="24:36" x14ac:dyDescent="0.2">
      <c r="X2459" s="284"/>
      <c r="AA2459"/>
      <c r="AB2459"/>
      <c r="AC2459"/>
      <c r="AE2459"/>
      <c r="AF2459"/>
      <c r="AJ2459"/>
    </row>
    <row r="2460" spans="24:36" x14ac:dyDescent="0.2">
      <c r="X2460" s="284"/>
      <c r="AA2460"/>
      <c r="AB2460"/>
      <c r="AC2460"/>
      <c r="AE2460"/>
      <c r="AF2460"/>
      <c r="AJ2460"/>
    </row>
    <row r="2461" spans="24:36" x14ac:dyDescent="0.2">
      <c r="X2461" s="284"/>
      <c r="AA2461"/>
      <c r="AB2461"/>
      <c r="AC2461"/>
      <c r="AE2461"/>
      <c r="AF2461"/>
      <c r="AJ2461"/>
    </row>
    <row r="2462" spans="24:36" x14ac:dyDescent="0.2">
      <c r="X2462" s="284"/>
      <c r="AA2462"/>
      <c r="AB2462"/>
      <c r="AC2462"/>
      <c r="AE2462"/>
      <c r="AF2462"/>
      <c r="AJ2462"/>
    </row>
    <row r="2463" spans="24:36" x14ac:dyDescent="0.2">
      <c r="X2463" s="284"/>
      <c r="AA2463"/>
      <c r="AB2463"/>
      <c r="AC2463"/>
      <c r="AE2463"/>
      <c r="AF2463"/>
      <c r="AJ2463"/>
    </row>
    <row r="2464" spans="24:36" x14ac:dyDescent="0.2">
      <c r="X2464" s="284"/>
      <c r="AA2464"/>
      <c r="AB2464"/>
      <c r="AC2464"/>
      <c r="AE2464"/>
      <c r="AF2464"/>
      <c r="AJ2464"/>
    </row>
    <row r="2465" spans="24:36" x14ac:dyDescent="0.2">
      <c r="X2465" s="284"/>
      <c r="AA2465"/>
      <c r="AB2465"/>
      <c r="AC2465"/>
      <c r="AE2465"/>
      <c r="AF2465"/>
      <c r="AJ2465"/>
    </row>
    <row r="2466" spans="24:36" x14ac:dyDescent="0.2">
      <c r="X2466" s="284"/>
      <c r="AA2466"/>
      <c r="AB2466"/>
      <c r="AC2466"/>
      <c r="AE2466"/>
      <c r="AF2466"/>
      <c r="AJ2466"/>
    </row>
    <row r="2467" spans="24:36" x14ac:dyDescent="0.2">
      <c r="X2467" s="284"/>
      <c r="AA2467"/>
      <c r="AB2467"/>
      <c r="AC2467"/>
      <c r="AE2467"/>
      <c r="AF2467"/>
      <c r="AJ2467"/>
    </row>
    <row r="2468" spans="24:36" x14ac:dyDescent="0.2">
      <c r="X2468" s="284"/>
      <c r="AA2468"/>
      <c r="AB2468"/>
      <c r="AC2468"/>
      <c r="AE2468"/>
      <c r="AF2468"/>
      <c r="AJ2468"/>
    </row>
    <row r="2469" spans="24:36" x14ac:dyDescent="0.2">
      <c r="X2469" s="284"/>
      <c r="AA2469"/>
      <c r="AB2469"/>
      <c r="AC2469"/>
      <c r="AE2469"/>
      <c r="AF2469"/>
      <c r="AJ2469"/>
    </row>
    <row r="2470" spans="24:36" x14ac:dyDescent="0.2">
      <c r="X2470" s="284"/>
      <c r="AA2470"/>
      <c r="AB2470"/>
      <c r="AC2470"/>
      <c r="AE2470"/>
      <c r="AF2470"/>
      <c r="AJ2470"/>
    </row>
    <row r="2471" spans="24:36" x14ac:dyDescent="0.2">
      <c r="X2471" s="284"/>
      <c r="AA2471"/>
      <c r="AB2471"/>
      <c r="AC2471"/>
      <c r="AE2471"/>
      <c r="AF2471"/>
      <c r="AJ2471"/>
    </row>
    <row r="2472" spans="24:36" x14ac:dyDescent="0.2">
      <c r="X2472" s="284"/>
      <c r="AA2472"/>
      <c r="AB2472"/>
      <c r="AC2472"/>
      <c r="AE2472"/>
      <c r="AF2472"/>
      <c r="AJ2472"/>
    </row>
    <row r="2473" spans="24:36" x14ac:dyDescent="0.2">
      <c r="X2473" s="284"/>
      <c r="AA2473"/>
      <c r="AB2473"/>
      <c r="AC2473"/>
      <c r="AE2473"/>
      <c r="AF2473"/>
      <c r="AJ2473"/>
    </row>
    <row r="2474" spans="24:36" x14ac:dyDescent="0.2">
      <c r="X2474" s="284"/>
      <c r="AA2474"/>
      <c r="AB2474"/>
      <c r="AC2474"/>
      <c r="AE2474"/>
      <c r="AF2474"/>
      <c r="AJ2474"/>
    </row>
    <row r="2475" spans="24:36" x14ac:dyDescent="0.2">
      <c r="X2475" s="284"/>
      <c r="AA2475"/>
      <c r="AB2475"/>
      <c r="AC2475"/>
      <c r="AE2475"/>
      <c r="AF2475"/>
      <c r="AJ2475"/>
    </row>
    <row r="2476" spans="24:36" x14ac:dyDescent="0.2">
      <c r="X2476" s="284"/>
      <c r="AA2476"/>
      <c r="AB2476"/>
      <c r="AC2476"/>
      <c r="AE2476"/>
      <c r="AF2476"/>
      <c r="AJ2476"/>
    </row>
    <row r="2477" spans="24:36" x14ac:dyDescent="0.2">
      <c r="X2477" s="284"/>
      <c r="AA2477"/>
      <c r="AB2477"/>
      <c r="AC2477"/>
      <c r="AE2477"/>
      <c r="AF2477"/>
      <c r="AJ2477"/>
    </row>
    <row r="2478" spans="24:36" x14ac:dyDescent="0.2">
      <c r="X2478" s="284"/>
      <c r="AA2478"/>
      <c r="AB2478"/>
      <c r="AC2478"/>
      <c r="AE2478"/>
      <c r="AF2478"/>
      <c r="AJ2478"/>
    </row>
    <row r="2479" spans="24:36" x14ac:dyDescent="0.2">
      <c r="X2479" s="284"/>
      <c r="AA2479"/>
      <c r="AB2479"/>
      <c r="AC2479"/>
      <c r="AE2479"/>
      <c r="AF2479"/>
      <c r="AJ2479"/>
    </row>
    <row r="2480" spans="24:36" x14ac:dyDescent="0.2">
      <c r="X2480" s="284"/>
      <c r="AA2480"/>
      <c r="AB2480"/>
      <c r="AC2480"/>
      <c r="AE2480"/>
      <c r="AF2480"/>
      <c r="AJ2480"/>
    </row>
    <row r="2481" spans="24:36" x14ac:dyDescent="0.2">
      <c r="X2481" s="284"/>
      <c r="AA2481"/>
      <c r="AB2481"/>
      <c r="AC2481"/>
      <c r="AE2481"/>
      <c r="AF2481"/>
      <c r="AJ2481"/>
    </row>
    <row r="2482" spans="24:36" x14ac:dyDescent="0.2">
      <c r="X2482" s="284"/>
      <c r="AA2482"/>
      <c r="AB2482"/>
      <c r="AC2482"/>
      <c r="AE2482"/>
      <c r="AF2482"/>
      <c r="AJ2482"/>
    </row>
    <row r="2483" spans="24:36" x14ac:dyDescent="0.2">
      <c r="X2483" s="284"/>
      <c r="AA2483"/>
      <c r="AB2483"/>
      <c r="AC2483"/>
      <c r="AE2483"/>
      <c r="AF2483"/>
      <c r="AJ2483"/>
    </row>
    <row r="2484" spans="24:36" x14ac:dyDescent="0.2">
      <c r="X2484" s="284"/>
      <c r="AA2484"/>
      <c r="AB2484"/>
      <c r="AC2484"/>
      <c r="AE2484"/>
      <c r="AF2484"/>
      <c r="AJ2484"/>
    </row>
    <row r="2485" spans="24:36" x14ac:dyDescent="0.2">
      <c r="X2485" s="284"/>
      <c r="AA2485"/>
      <c r="AB2485"/>
      <c r="AC2485"/>
      <c r="AE2485"/>
      <c r="AF2485"/>
      <c r="AJ2485"/>
    </row>
    <row r="2486" spans="24:36" x14ac:dyDescent="0.2">
      <c r="X2486" s="284"/>
      <c r="AA2486"/>
      <c r="AB2486"/>
      <c r="AC2486"/>
      <c r="AE2486"/>
      <c r="AF2486"/>
      <c r="AJ2486"/>
    </row>
    <row r="2487" spans="24:36" x14ac:dyDescent="0.2">
      <c r="X2487" s="284"/>
      <c r="AA2487"/>
      <c r="AB2487"/>
      <c r="AC2487"/>
      <c r="AE2487"/>
      <c r="AF2487"/>
      <c r="AJ2487"/>
    </row>
    <row r="2488" spans="24:36" x14ac:dyDescent="0.2">
      <c r="X2488" s="284"/>
      <c r="AA2488"/>
      <c r="AB2488"/>
      <c r="AC2488"/>
      <c r="AE2488"/>
      <c r="AF2488"/>
      <c r="AJ2488"/>
    </row>
    <row r="2489" spans="24:36" x14ac:dyDescent="0.2">
      <c r="X2489" s="284"/>
      <c r="AA2489"/>
      <c r="AB2489"/>
      <c r="AC2489"/>
      <c r="AE2489"/>
      <c r="AF2489"/>
      <c r="AJ2489"/>
    </row>
    <row r="2490" spans="24:36" x14ac:dyDescent="0.2">
      <c r="X2490" s="284"/>
      <c r="AA2490"/>
      <c r="AB2490"/>
      <c r="AC2490"/>
      <c r="AE2490"/>
      <c r="AF2490"/>
      <c r="AJ2490"/>
    </row>
    <row r="2491" spans="24:36" x14ac:dyDescent="0.2">
      <c r="X2491" s="284"/>
      <c r="AA2491"/>
      <c r="AB2491"/>
      <c r="AC2491"/>
      <c r="AE2491"/>
      <c r="AF2491"/>
      <c r="AJ2491"/>
    </row>
    <row r="2492" spans="24:36" x14ac:dyDescent="0.2">
      <c r="X2492" s="284"/>
      <c r="AA2492"/>
      <c r="AB2492"/>
      <c r="AC2492"/>
      <c r="AE2492"/>
      <c r="AF2492"/>
      <c r="AJ2492"/>
    </row>
    <row r="2493" spans="24:36" x14ac:dyDescent="0.2">
      <c r="X2493" s="284"/>
      <c r="AA2493"/>
      <c r="AB2493"/>
      <c r="AC2493"/>
      <c r="AE2493"/>
      <c r="AF2493"/>
      <c r="AJ2493"/>
    </row>
    <row r="2494" spans="24:36" x14ac:dyDescent="0.2">
      <c r="X2494" s="284"/>
      <c r="AA2494"/>
      <c r="AB2494"/>
      <c r="AC2494"/>
      <c r="AE2494"/>
      <c r="AF2494"/>
      <c r="AJ2494"/>
    </row>
    <row r="2495" spans="24:36" x14ac:dyDescent="0.2">
      <c r="X2495" s="284"/>
      <c r="AA2495"/>
      <c r="AB2495"/>
      <c r="AC2495"/>
      <c r="AE2495"/>
      <c r="AF2495"/>
      <c r="AJ2495"/>
    </row>
    <row r="2496" spans="24:36" x14ac:dyDescent="0.2">
      <c r="X2496" s="284"/>
      <c r="AA2496"/>
      <c r="AB2496"/>
      <c r="AC2496"/>
      <c r="AE2496"/>
      <c r="AF2496"/>
      <c r="AJ2496"/>
    </row>
    <row r="2497" spans="24:36" x14ac:dyDescent="0.2">
      <c r="X2497" s="284"/>
      <c r="AA2497"/>
      <c r="AB2497"/>
      <c r="AC2497"/>
      <c r="AE2497"/>
      <c r="AF2497"/>
      <c r="AJ2497"/>
    </row>
    <row r="2498" spans="24:36" x14ac:dyDescent="0.2">
      <c r="X2498" s="284"/>
      <c r="AA2498"/>
      <c r="AB2498"/>
      <c r="AC2498"/>
      <c r="AE2498"/>
      <c r="AF2498"/>
      <c r="AJ2498"/>
    </row>
    <row r="2499" spans="24:36" x14ac:dyDescent="0.2">
      <c r="X2499" s="284"/>
      <c r="AA2499"/>
      <c r="AB2499"/>
      <c r="AC2499"/>
      <c r="AE2499"/>
      <c r="AF2499"/>
      <c r="AJ2499"/>
    </row>
    <row r="2500" spans="24:36" x14ac:dyDescent="0.2">
      <c r="X2500" s="284"/>
      <c r="AA2500"/>
      <c r="AB2500"/>
      <c r="AC2500"/>
      <c r="AE2500"/>
      <c r="AF2500"/>
      <c r="AJ2500"/>
    </row>
    <row r="2501" spans="24:36" x14ac:dyDescent="0.2">
      <c r="X2501" s="284"/>
      <c r="AA2501"/>
      <c r="AB2501"/>
      <c r="AC2501"/>
      <c r="AE2501"/>
      <c r="AF2501"/>
      <c r="AJ2501"/>
    </row>
    <row r="2502" spans="24:36" x14ac:dyDescent="0.2">
      <c r="X2502" s="284"/>
      <c r="AA2502"/>
      <c r="AB2502"/>
      <c r="AC2502"/>
      <c r="AE2502"/>
      <c r="AF2502"/>
      <c r="AJ2502"/>
    </row>
    <row r="2503" spans="24:36" x14ac:dyDescent="0.2">
      <c r="X2503" s="284"/>
      <c r="AA2503"/>
      <c r="AB2503"/>
      <c r="AC2503"/>
      <c r="AE2503"/>
      <c r="AF2503"/>
      <c r="AJ2503"/>
    </row>
    <row r="2504" spans="24:36" x14ac:dyDescent="0.2">
      <c r="X2504" s="284"/>
      <c r="AA2504"/>
      <c r="AB2504"/>
      <c r="AC2504"/>
      <c r="AE2504"/>
      <c r="AF2504"/>
      <c r="AJ2504"/>
    </row>
    <row r="2505" spans="24:36" x14ac:dyDescent="0.2">
      <c r="X2505" s="284"/>
      <c r="AA2505"/>
      <c r="AB2505"/>
      <c r="AC2505"/>
      <c r="AE2505"/>
      <c r="AF2505"/>
      <c r="AJ2505"/>
    </row>
    <row r="2506" spans="24:36" x14ac:dyDescent="0.2">
      <c r="X2506" s="284"/>
      <c r="AA2506"/>
      <c r="AB2506"/>
      <c r="AC2506"/>
      <c r="AE2506"/>
      <c r="AF2506"/>
      <c r="AJ2506"/>
    </row>
    <row r="2507" spans="24:36" x14ac:dyDescent="0.2">
      <c r="X2507" s="284"/>
      <c r="AA2507"/>
      <c r="AB2507"/>
      <c r="AC2507"/>
      <c r="AE2507"/>
      <c r="AF2507"/>
      <c r="AJ2507"/>
    </row>
    <row r="2508" spans="24:36" x14ac:dyDescent="0.2">
      <c r="X2508" s="284"/>
      <c r="AA2508"/>
      <c r="AB2508"/>
      <c r="AC2508"/>
      <c r="AE2508"/>
      <c r="AF2508"/>
      <c r="AJ2508"/>
    </row>
    <row r="2509" spans="24:36" x14ac:dyDescent="0.2">
      <c r="X2509" s="284"/>
      <c r="AA2509"/>
      <c r="AB2509"/>
      <c r="AC2509"/>
      <c r="AE2509"/>
      <c r="AF2509"/>
      <c r="AJ2509"/>
    </row>
    <row r="2510" spans="24:36" x14ac:dyDescent="0.2">
      <c r="X2510" s="284"/>
      <c r="AA2510"/>
      <c r="AB2510"/>
      <c r="AC2510"/>
      <c r="AE2510"/>
      <c r="AF2510"/>
      <c r="AJ2510"/>
    </row>
    <row r="2511" spans="24:36" x14ac:dyDescent="0.2">
      <c r="X2511" s="284"/>
      <c r="AA2511"/>
      <c r="AB2511"/>
      <c r="AC2511"/>
      <c r="AE2511"/>
      <c r="AF2511"/>
      <c r="AJ2511"/>
    </row>
    <row r="2512" spans="24:36" x14ac:dyDescent="0.2">
      <c r="X2512" s="284"/>
      <c r="AA2512"/>
      <c r="AB2512"/>
      <c r="AC2512"/>
      <c r="AE2512"/>
      <c r="AF2512"/>
      <c r="AJ2512"/>
    </row>
    <row r="2513" spans="24:36" x14ac:dyDescent="0.2">
      <c r="X2513" s="284"/>
      <c r="AA2513"/>
      <c r="AB2513"/>
      <c r="AC2513"/>
      <c r="AE2513"/>
      <c r="AF2513"/>
      <c r="AJ2513"/>
    </row>
    <row r="2514" spans="24:36" x14ac:dyDescent="0.2">
      <c r="X2514" s="284"/>
      <c r="AA2514"/>
      <c r="AB2514"/>
      <c r="AC2514"/>
      <c r="AE2514"/>
      <c r="AF2514"/>
      <c r="AJ2514"/>
    </row>
    <row r="2515" spans="24:36" x14ac:dyDescent="0.2">
      <c r="X2515" s="284"/>
      <c r="AA2515"/>
      <c r="AB2515"/>
      <c r="AC2515"/>
      <c r="AE2515"/>
      <c r="AF2515"/>
      <c r="AJ2515"/>
    </row>
    <row r="2516" spans="24:36" x14ac:dyDescent="0.2">
      <c r="X2516" s="284"/>
      <c r="AA2516"/>
      <c r="AB2516"/>
      <c r="AC2516"/>
      <c r="AE2516"/>
      <c r="AF2516"/>
      <c r="AJ2516"/>
    </row>
    <row r="2517" spans="24:36" x14ac:dyDescent="0.2">
      <c r="X2517" s="284"/>
      <c r="AA2517"/>
      <c r="AB2517"/>
      <c r="AC2517"/>
      <c r="AE2517"/>
      <c r="AF2517"/>
      <c r="AJ2517"/>
    </row>
    <row r="2518" spans="24:36" x14ac:dyDescent="0.2">
      <c r="X2518" s="284"/>
      <c r="AA2518"/>
      <c r="AB2518"/>
      <c r="AC2518"/>
      <c r="AE2518"/>
      <c r="AF2518"/>
      <c r="AJ2518"/>
    </row>
    <row r="2519" spans="24:36" x14ac:dyDescent="0.2">
      <c r="X2519" s="284"/>
      <c r="AA2519"/>
      <c r="AB2519"/>
      <c r="AC2519"/>
      <c r="AE2519"/>
      <c r="AF2519"/>
      <c r="AJ2519"/>
    </row>
    <row r="2520" spans="24:36" x14ac:dyDescent="0.2">
      <c r="X2520" s="284"/>
      <c r="AA2520"/>
      <c r="AB2520"/>
      <c r="AC2520"/>
      <c r="AE2520"/>
      <c r="AF2520"/>
      <c r="AJ2520"/>
    </row>
    <row r="2521" spans="24:36" x14ac:dyDescent="0.2">
      <c r="X2521" s="284"/>
      <c r="AA2521"/>
      <c r="AB2521"/>
      <c r="AC2521"/>
      <c r="AE2521"/>
      <c r="AF2521"/>
      <c r="AJ2521"/>
    </row>
    <row r="2522" spans="24:36" x14ac:dyDescent="0.2">
      <c r="X2522" s="284"/>
      <c r="AA2522"/>
      <c r="AB2522"/>
      <c r="AC2522"/>
      <c r="AE2522"/>
      <c r="AF2522"/>
      <c r="AJ2522"/>
    </row>
    <row r="2523" spans="24:36" x14ac:dyDescent="0.2">
      <c r="X2523" s="284"/>
      <c r="AA2523"/>
      <c r="AB2523"/>
      <c r="AC2523"/>
      <c r="AE2523"/>
      <c r="AF2523"/>
      <c r="AJ2523"/>
    </row>
    <row r="2524" spans="24:36" x14ac:dyDescent="0.2">
      <c r="X2524" s="284"/>
      <c r="AA2524"/>
      <c r="AB2524"/>
      <c r="AC2524"/>
      <c r="AE2524"/>
      <c r="AF2524"/>
      <c r="AJ2524"/>
    </row>
    <row r="2525" spans="24:36" x14ac:dyDescent="0.2">
      <c r="X2525" s="284"/>
      <c r="AA2525"/>
      <c r="AB2525"/>
      <c r="AC2525"/>
      <c r="AE2525"/>
      <c r="AF2525"/>
      <c r="AJ2525"/>
    </row>
    <row r="2526" spans="24:36" x14ac:dyDescent="0.2">
      <c r="X2526" s="284"/>
      <c r="AA2526"/>
      <c r="AB2526"/>
      <c r="AC2526"/>
      <c r="AE2526"/>
      <c r="AF2526"/>
      <c r="AJ2526"/>
    </row>
    <row r="2527" spans="24:36" x14ac:dyDescent="0.2">
      <c r="X2527" s="284"/>
      <c r="AA2527"/>
      <c r="AB2527"/>
      <c r="AC2527"/>
      <c r="AE2527"/>
      <c r="AF2527"/>
      <c r="AJ2527"/>
    </row>
    <row r="2528" spans="24:36" x14ac:dyDescent="0.2">
      <c r="X2528" s="284"/>
      <c r="AA2528"/>
      <c r="AB2528"/>
      <c r="AC2528"/>
      <c r="AE2528"/>
      <c r="AF2528"/>
      <c r="AJ2528"/>
    </row>
    <row r="2529" spans="24:36" x14ac:dyDescent="0.2">
      <c r="X2529" s="284"/>
      <c r="AA2529"/>
      <c r="AB2529"/>
      <c r="AC2529"/>
      <c r="AE2529"/>
      <c r="AF2529"/>
      <c r="AJ2529"/>
    </row>
    <row r="2530" spans="24:36" x14ac:dyDescent="0.2">
      <c r="X2530" s="284"/>
      <c r="AA2530"/>
      <c r="AB2530"/>
      <c r="AC2530"/>
      <c r="AE2530"/>
      <c r="AF2530"/>
      <c r="AJ2530"/>
    </row>
    <row r="2531" spans="24:36" x14ac:dyDescent="0.2">
      <c r="X2531" s="284"/>
      <c r="AA2531"/>
      <c r="AB2531"/>
      <c r="AC2531"/>
      <c r="AE2531"/>
      <c r="AF2531"/>
      <c r="AJ2531"/>
    </row>
    <row r="2532" spans="24:36" x14ac:dyDescent="0.2">
      <c r="X2532" s="284"/>
      <c r="AA2532"/>
      <c r="AB2532"/>
      <c r="AC2532"/>
      <c r="AE2532"/>
      <c r="AF2532"/>
      <c r="AJ2532"/>
    </row>
    <row r="2533" spans="24:36" x14ac:dyDescent="0.2">
      <c r="X2533" s="284"/>
      <c r="AA2533"/>
      <c r="AB2533"/>
      <c r="AC2533"/>
      <c r="AE2533"/>
      <c r="AF2533"/>
      <c r="AJ2533"/>
    </row>
    <row r="2534" spans="24:36" x14ac:dyDescent="0.2">
      <c r="X2534" s="284"/>
      <c r="AA2534"/>
      <c r="AB2534"/>
      <c r="AC2534"/>
      <c r="AE2534"/>
      <c r="AF2534"/>
      <c r="AJ2534"/>
    </row>
    <row r="2535" spans="24:36" x14ac:dyDescent="0.2">
      <c r="X2535" s="284"/>
      <c r="AA2535"/>
      <c r="AB2535"/>
      <c r="AC2535"/>
      <c r="AE2535"/>
      <c r="AF2535"/>
      <c r="AJ2535"/>
    </row>
    <row r="2536" spans="24:36" x14ac:dyDescent="0.2">
      <c r="X2536" s="284"/>
      <c r="AA2536"/>
      <c r="AB2536"/>
      <c r="AC2536"/>
      <c r="AE2536"/>
      <c r="AF2536"/>
      <c r="AJ2536"/>
    </row>
    <row r="2537" spans="24:36" x14ac:dyDescent="0.2">
      <c r="X2537" s="284"/>
      <c r="AA2537"/>
      <c r="AB2537"/>
      <c r="AC2537"/>
      <c r="AE2537"/>
      <c r="AF2537"/>
      <c r="AJ2537"/>
    </row>
  </sheetData>
  <autoFilter ref="A5:AW302" xr:uid="{00000000-0001-0000-0500-000000000000}"/>
  <mergeCells count="3">
    <mergeCell ref="AP30:AT30"/>
    <mergeCell ref="AP31:AT31"/>
    <mergeCell ref="AP32:AT32"/>
  </mergeCell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D75FE-8B44-4A12-BBF6-8713B4133392}">
  <sheetPr codeName="Sheet23">
    <tabColor rgb="FF00B050"/>
  </sheetPr>
  <dimension ref="A1:L298"/>
  <sheetViews>
    <sheetView zoomScaleNormal="100" workbookViewId="0"/>
  </sheetViews>
  <sheetFormatPr defaultRowHeight="12.75" x14ac:dyDescent="0.2"/>
  <cols>
    <col min="1" max="1" width="14.28515625" bestFit="1" customWidth="1"/>
    <col min="2" max="2" width="12.28515625" bestFit="1" customWidth="1"/>
    <col min="3" max="3" width="17.28515625" bestFit="1" customWidth="1"/>
    <col min="4" max="4" width="17" bestFit="1" customWidth="1"/>
    <col min="5" max="5" width="13.140625" bestFit="1" customWidth="1"/>
    <col min="6" max="6" width="13.42578125" bestFit="1" customWidth="1"/>
    <col min="7" max="7" width="16.85546875" bestFit="1" customWidth="1"/>
    <col min="8" max="8" width="18" bestFit="1" customWidth="1"/>
    <col min="9" max="9" width="15.7109375" bestFit="1" customWidth="1"/>
    <col min="10" max="10" width="19.85546875" bestFit="1" customWidth="1"/>
    <col min="11" max="11" width="21.7109375" bestFit="1" customWidth="1"/>
    <col min="12" max="12" width="21.140625" bestFit="1" customWidth="1"/>
  </cols>
  <sheetData>
    <row r="1" spans="1:12" x14ac:dyDescent="0.2">
      <c r="B1" s="261" t="s">
        <v>307</v>
      </c>
      <c r="C1" s="261" t="s">
        <v>308</v>
      </c>
      <c r="D1" s="261" t="s">
        <v>309</v>
      </c>
      <c r="E1" s="261" t="s">
        <v>310</v>
      </c>
      <c r="F1" s="261" t="s">
        <v>311</v>
      </c>
      <c r="G1" s="261" t="s">
        <v>312</v>
      </c>
      <c r="H1" s="261" t="s">
        <v>313</v>
      </c>
      <c r="I1" s="261" t="s">
        <v>314</v>
      </c>
      <c r="J1" s="261" t="s">
        <v>315</v>
      </c>
      <c r="K1" s="261" t="s">
        <v>234</v>
      </c>
      <c r="L1" s="261" t="s">
        <v>237</v>
      </c>
    </row>
    <row r="2" spans="1:12" x14ac:dyDescent="0.2">
      <c r="A2" s="261" t="s">
        <v>1476</v>
      </c>
      <c r="B2" s="261" t="s">
        <v>1477</v>
      </c>
      <c r="C2" s="261" t="s">
        <v>1478</v>
      </c>
      <c r="D2" s="261" t="s">
        <v>1479</v>
      </c>
      <c r="E2" s="261" t="s">
        <v>1480</v>
      </c>
      <c r="F2" s="261" t="s">
        <v>1481</v>
      </c>
      <c r="G2" s="261" t="s">
        <v>1482</v>
      </c>
      <c r="H2" s="261" t="s">
        <v>1483</v>
      </c>
      <c r="I2" s="261" t="s">
        <v>1484</v>
      </c>
      <c r="J2" s="261" t="s">
        <v>1485</v>
      </c>
      <c r="K2" s="261" t="s">
        <v>1486</v>
      </c>
      <c r="L2" s="261" t="s">
        <v>1487</v>
      </c>
    </row>
    <row r="3" spans="1:12" x14ac:dyDescent="0.2">
      <c r="A3" t="s">
        <v>856</v>
      </c>
      <c r="B3" s="160">
        <v>55194118</v>
      </c>
      <c r="C3" s="160">
        <v>0</v>
      </c>
      <c r="D3" s="160">
        <v>76713</v>
      </c>
      <c r="E3" s="160">
        <v>55117405</v>
      </c>
      <c r="F3" s="160">
        <v>133313</v>
      </c>
      <c r="G3" s="180">
        <v>26857.87</v>
      </c>
      <c r="H3" s="444">
        <v>0.98499999999999999</v>
      </c>
      <c r="I3" s="824">
        <v>0</v>
      </c>
      <c r="J3" s="180">
        <v>26455</v>
      </c>
      <c r="K3" s="377">
        <v>2086.34</v>
      </c>
      <c r="L3" s="377">
        <v>2083.44</v>
      </c>
    </row>
    <row r="4" spans="1:12" x14ac:dyDescent="0.2">
      <c r="A4" t="s">
        <v>996</v>
      </c>
      <c r="B4" s="160">
        <v>75783139</v>
      </c>
      <c r="C4" s="160">
        <v>0</v>
      </c>
      <c r="D4" s="160">
        <v>40881</v>
      </c>
      <c r="E4" s="160">
        <v>75742258</v>
      </c>
      <c r="F4" s="160">
        <v>131798</v>
      </c>
      <c r="G4" s="180">
        <v>37145.370000000003</v>
      </c>
      <c r="H4" s="444">
        <v>0.98299999999999998</v>
      </c>
      <c r="I4" s="824">
        <v>0</v>
      </c>
      <c r="J4" s="180">
        <v>36513.9</v>
      </c>
      <c r="K4" s="377">
        <v>2075.46</v>
      </c>
      <c r="L4" s="377">
        <v>2074.34</v>
      </c>
    </row>
    <row r="5" spans="1:12" x14ac:dyDescent="0.2">
      <c r="A5" t="s">
        <v>1111</v>
      </c>
      <c r="B5" s="160">
        <v>83942254</v>
      </c>
      <c r="C5" s="160">
        <v>0</v>
      </c>
      <c r="D5" s="160">
        <v>742303</v>
      </c>
      <c r="E5" s="160">
        <v>83199951</v>
      </c>
      <c r="F5" s="160">
        <v>276425</v>
      </c>
      <c r="G5" s="180">
        <v>42242.94</v>
      </c>
      <c r="H5" s="444">
        <v>0.98750000000000004</v>
      </c>
      <c r="I5" s="824">
        <v>0</v>
      </c>
      <c r="J5" s="180">
        <v>41714.9</v>
      </c>
      <c r="K5" s="377">
        <v>2012.28</v>
      </c>
      <c r="L5" s="377">
        <v>1994.49</v>
      </c>
    </row>
    <row r="6" spans="1:12" x14ac:dyDescent="0.2">
      <c r="A6" t="s">
        <v>1247</v>
      </c>
      <c r="B6" s="160">
        <v>125612202</v>
      </c>
      <c r="C6" s="160">
        <v>0</v>
      </c>
      <c r="D6" s="160">
        <v>1073343</v>
      </c>
      <c r="E6" s="160">
        <v>124538859</v>
      </c>
      <c r="F6" s="160">
        <v>271000</v>
      </c>
      <c r="G6" s="180">
        <v>62166.95</v>
      </c>
      <c r="H6" s="444">
        <v>0.98250000000000004</v>
      </c>
      <c r="I6" s="824">
        <v>0</v>
      </c>
      <c r="J6" s="180">
        <v>61079.03</v>
      </c>
      <c r="K6" s="377">
        <v>2056.5500000000002</v>
      </c>
      <c r="L6" s="377">
        <v>2038.98</v>
      </c>
    </row>
    <row r="7" spans="1:12" x14ac:dyDescent="0.2">
      <c r="A7" t="s">
        <v>684</v>
      </c>
      <c r="B7" s="160">
        <v>70596728</v>
      </c>
      <c r="C7" s="160">
        <v>0</v>
      </c>
      <c r="D7" s="160">
        <v>255728</v>
      </c>
      <c r="E7" s="160">
        <v>70341000</v>
      </c>
      <c r="F7" s="160">
        <v>129598</v>
      </c>
      <c r="G7" s="180">
        <v>36235.050000000003</v>
      </c>
      <c r="H7" s="444">
        <v>0.99</v>
      </c>
      <c r="I7" s="824">
        <v>31.8</v>
      </c>
      <c r="J7" s="180">
        <v>35904.5</v>
      </c>
      <c r="K7" s="377">
        <v>1966.24</v>
      </c>
      <c r="L7" s="377">
        <v>1959.11</v>
      </c>
    </row>
    <row r="8" spans="1:12" x14ac:dyDescent="0.2">
      <c r="A8" t="s">
        <v>833</v>
      </c>
      <c r="B8" s="160">
        <v>68453719</v>
      </c>
      <c r="C8" s="160">
        <v>0</v>
      </c>
      <c r="D8" s="160">
        <v>245485</v>
      </c>
      <c r="E8" s="160">
        <v>68208234</v>
      </c>
      <c r="F8" s="160">
        <v>3335650</v>
      </c>
      <c r="G8" s="180">
        <v>38078.35</v>
      </c>
      <c r="H8" s="444">
        <v>0.97</v>
      </c>
      <c r="I8" s="824">
        <v>0</v>
      </c>
      <c r="J8" s="180">
        <v>36936</v>
      </c>
      <c r="K8" s="377">
        <v>1853.31</v>
      </c>
      <c r="L8" s="377">
        <v>1846.66</v>
      </c>
    </row>
    <row r="9" spans="1:12" x14ac:dyDescent="0.2">
      <c r="A9" t="s">
        <v>1343</v>
      </c>
      <c r="B9" s="160">
        <v>137974863</v>
      </c>
      <c r="C9" s="160">
        <v>0</v>
      </c>
      <c r="D9" s="160">
        <v>3004357</v>
      </c>
      <c r="E9" s="160">
        <v>134970506</v>
      </c>
      <c r="F9" s="160">
        <v>0</v>
      </c>
      <c r="G9" s="180">
        <v>74496.91</v>
      </c>
      <c r="H9" s="444">
        <v>0.97</v>
      </c>
      <c r="I9" s="824">
        <v>0</v>
      </c>
      <c r="J9" s="180">
        <v>72262</v>
      </c>
      <c r="K9" s="377">
        <v>1909.37</v>
      </c>
      <c r="L9" s="377">
        <v>1867.79</v>
      </c>
    </row>
    <row r="10" spans="1:12" x14ac:dyDescent="0.2">
      <c r="A10" t="s">
        <v>462</v>
      </c>
      <c r="B10" s="160">
        <v>73882000</v>
      </c>
      <c r="C10" s="160">
        <v>0</v>
      </c>
      <c r="D10" s="160">
        <v>191605</v>
      </c>
      <c r="E10" s="160">
        <v>73690395</v>
      </c>
      <c r="F10" s="160">
        <v>0</v>
      </c>
      <c r="G10" s="180">
        <v>39065.5</v>
      </c>
      <c r="H10" s="444">
        <v>0.96</v>
      </c>
      <c r="I10" s="824">
        <v>0</v>
      </c>
      <c r="J10" s="180">
        <v>37502.879999999997</v>
      </c>
      <c r="K10" s="377">
        <v>1970.04</v>
      </c>
      <c r="L10" s="377">
        <v>1964.93</v>
      </c>
    </row>
    <row r="11" spans="1:12" x14ac:dyDescent="0.2">
      <c r="A11" t="s">
        <v>470</v>
      </c>
      <c r="B11" s="160">
        <v>80509080</v>
      </c>
      <c r="C11" s="160">
        <v>0</v>
      </c>
      <c r="D11" s="160">
        <v>0</v>
      </c>
      <c r="E11" s="160">
        <v>80509080</v>
      </c>
      <c r="F11" s="160">
        <v>79931</v>
      </c>
      <c r="G11" s="180">
        <v>40775.4</v>
      </c>
      <c r="H11" s="444">
        <v>0.97499999999999998</v>
      </c>
      <c r="I11" s="824">
        <v>0</v>
      </c>
      <c r="J11" s="180">
        <v>39756.019999999997</v>
      </c>
      <c r="K11" s="377">
        <v>2025.08</v>
      </c>
      <c r="L11" s="377">
        <v>2025.08</v>
      </c>
    </row>
    <row r="12" spans="1:12" x14ac:dyDescent="0.2">
      <c r="A12" t="s">
        <v>917</v>
      </c>
      <c r="B12" s="160">
        <v>118683559</v>
      </c>
      <c r="C12" s="160">
        <v>0</v>
      </c>
      <c r="D12" s="160">
        <v>0</v>
      </c>
      <c r="E12" s="160">
        <v>118683559</v>
      </c>
      <c r="F12" s="160">
        <v>523123</v>
      </c>
      <c r="G12" s="180">
        <v>68752.33</v>
      </c>
      <c r="H12" s="444">
        <v>0.96740000000000004</v>
      </c>
      <c r="I12" s="824">
        <v>0</v>
      </c>
      <c r="J12" s="180">
        <v>66511</v>
      </c>
      <c r="K12" s="377">
        <v>1784.42</v>
      </c>
      <c r="L12" s="377">
        <v>1784.42</v>
      </c>
    </row>
    <row r="13" spans="1:12" x14ac:dyDescent="0.2">
      <c r="A13" t="s">
        <v>742</v>
      </c>
      <c r="B13" s="160">
        <v>249741765</v>
      </c>
      <c r="C13" s="160">
        <v>549142</v>
      </c>
      <c r="D13" s="160">
        <v>8994839</v>
      </c>
      <c r="E13" s="160">
        <v>240746926</v>
      </c>
      <c r="F13" s="160">
        <v>3056502</v>
      </c>
      <c r="G13" s="180">
        <v>130893.67</v>
      </c>
      <c r="H13" s="444">
        <v>0.98</v>
      </c>
      <c r="I13" s="824">
        <v>96.7</v>
      </c>
      <c r="J13" s="180">
        <v>128372.5</v>
      </c>
      <c r="K13" s="377">
        <v>1945.45</v>
      </c>
      <c r="L13" s="377">
        <v>1875.38</v>
      </c>
    </row>
    <row r="14" spans="1:12" x14ac:dyDescent="0.2">
      <c r="A14" t="s">
        <v>1026</v>
      </c>
      <c r="B14" s="160">
        <v>93131985</v>
      </c>
      <c r="C14" s="160">
        <v>50509.84</v>
      </c>
      <c r="D14" s="160">
        <v>985036</v>
      </c>
      <c r="E14" s="160">
        <v>92146949</v>
      </c>
      <c r="F14" s="160">
        <v>978000</v>
      </c>
      <c r="G14" s="180">
        <v>48070.73</v>
      </c>
      <c r="H14" s="444">
        <v>0.98199999999999998</v>
      </c>
      <c r="I14" s="824">
        <v>0</v>
      </c>
      <c r="J14" s="180">
        <v>47205.46</v>
      </c>
      <c r="K14" s="377">
        <v>1972.91</v>
      </c>
      <c r="L14" s="377">
        <v>1952.04</v>
      </c>
    </row>
    <row r="15" spans="1:12" x14ac:dyDescent="0.2">
      <c r="A15" t="s">
        <v>1035</v>
      </c>
      <c r="B15" s="160">
        <v>95989174.469999999</v>
      </c>
      <c r="C15" s="160">
        <v>651456.80000000005</v>
      </c>
      <c r="D15" s="160">
        <v>2067757.94</v>
      </c>
      <c r="E15" s="160">
        <v>93921416.530000001</v>
      </c>
      <c r="F15" s="160">
        <v>2172744.1</v>
      </c>
      <c r="G15" s="180">
        <v>53231.12</v>
      </c>
      <c r="H15" s="444">
        <v>0.98</v>
      </c>
      <c r="I15" s="824">
        <v>1.7</v>
      </c>
      <c r="J15" s="180">
        <v>52168.2</v>
      </c>
      <c r="K15" s="377">
        <v>1839.99</v>
      </c>
      <c r="L15" s="377">
        <v>1800.36</v>
      </c>
    </row>
    <row r="16" spans="1:12" x14ac:dyDescent="0.2">
      <c r="A16" t="s">
        <v>1426</v>
      </c>
      <c r="B16" s="160">
        <v>121299494</v>
      </c>
      <c r="C16" s="160">
        <v>0</v>
      </c>
      <c r="D16" s="160">
        <v>1119444</v>
      </c>
      <c r="E16" s="160">
        <v>120180050</v>
      </c>
      <c r="F16" s="160">
        <v>1123531</v>
      </c>
      <c r="G16" s="180">
        <v>69957.97</v>
      </c>
      <c r="H16" s="444">
        <v>0.98750000000000004</v>
      </c>
      <c r="I16" s="824">
        <v>342.6</v>
      </c>
      <c r="J16" s="180">
        <v>69426.100000000006</v>
      </c>
      <c r="K16" s="377">
        <v>1747.17</v>
      </c>
      <c r="L16" s="377">
        <v>1731.05</v>
      </c>
    </row>
    <row r="17" spans="1:12" x14ac:dyDescent="0.2">
      <c r="A17" t="s">
        <v>697</v>
      </c>
      <c r="B17" s="160">
        <v>132290466</v>
      </c>
      <c r="C17" s="160">
        <v>0</v>
      </c>
      <c r="D17" s="160">
        <v>0</v>
      </c>
      <c r="E17" s="160">
        <v>132290466</v>
      </c>
      <c r="F17" s="160">
        <v>88087</v>
      </c>
      <c r="G17" s="180">
        <v>74328.83</v>
      </c>
      <c r="H17" s="444">
        <v>0.98399999999999999</v>
      </c>
      <c r="I17" s="824">
        <v>0</v>
      </c>
      <c r="J17" s="180">
        <v>73139.570000000007</v>
      </c>
      <c r="K17" s="377">
        <v>1808.74</v>
      </c>
      <c r="L17" s="377">
        <v>1808.74</v>
      </c>
    </row>
    <row r="18" spans="1:12" x14ac:dyDescent="0.2">
      <c r="A18" t="s">
        <v>942</v>
      </c>
      <c r="B18" s="160">
        <v>166976104</v>
      </c>
      <c r="C18" s="160">
        <v>0</v>
      </c>
      <c r="D18" s="160">
        <v>0</v>
      </c>
      <c r="E18" s="160">
        <v>166976104</v>
      </c>
      <c r="F18" s="160">
        <v>99463</v>
      </c>
      <c r="G18" s="180">
        <v>84528.9</v>
      </c>
      <c r="H18" s="444">
        <v>0.97750000000000004</v>
      </c>
      <c r="I18" s="824">
        <v>0</v>
      </c>
      <c r="J18" s="180">
        <v>82627</v>
      </c>
      <c r="K18" s="377">
        <v>2020.84</v>
      </c>
      <c r="L18" s="377">
        <v>2020.84</v>
      </c>
    </row>
    <row r="19" spans="1:12" x14ac:dyDescent="0.2">
      <c r="A19" t="s">
        <v>1153</v>
      </c>
      <c r="B19" s="160">
        <v>37215711</v>
      </c>
      <c r="C19" s="160">
        <v>0</v>
      </c>
      <c r="D19" s="160">
        <v>1062004</v>
      </c>
      <c r="E19" s="160">
        <v>36153707</v>
      </c>
      <c r="F19" s="160">
        <v>0</v>
      </c>
      <c r="G19" s="180">
        <v>16082.43</v>
      </c>
      <c r="H19" s="444">
        <v>0.99</v>
      </c>
      <c r="I19" s="824">
        <v>371.56</v>
      </c>
      <c r="J19" s="180">
        <v>16293.17</v>
      </c>
      <c r="K19" s="377">
        <v>2284.13</v>
      </c>
      <c r="L19" s="377">
        <v>2218.9499999999998</v>
      </c>
    </row>
    <row r="20" spans="1:12" x14ac:dyDescent="0.2">
      <c r="A20" t="s">
        <v>1075</v>
      </c>
      <c r="B20" s="160">
        <v>160804779</v>
      </c>
      <c r="C20" s="160">
        <v>0</v>
      </c>
      <c r="D20" s="160">
        <v>0</v>
      </c>
      <c r="E20" s="160">
        <v>160804779</v>
      </c>
      <c r="F20" s="160">
        <v>85584</v>
      </c>
      <c r="G20" s="180">
        <v>72884.100000000006</v>
      </c>
      <c r="H20" s="444">
        <v>0.97499999999999998</v>
      </c>
      <c r="I20" s="824">
        <v>0</v>
      </c>
      <c r="J20" s="180">
        <v>71062</v>
      </c>
      <c r="K20" s="377">
        <v>2262.88</v>
      </c>
      <c r="L20" s="377">
        <v>2262.88</v>
      </c>
    </row>
    <row r="21" spans="1:12" x14ac:dyDescent="0.2">
      <c r="A21" t="s">
        <v>872</v>
      </c>
      <c r="B21" s="160">
        <v>149670995.03</v>
      </c>
      <c r="C21" s="160">
        <v>0</v>
      </c>
      <c r="D21" s="160">
        <v>6268582</v>
      </c>
      <c r="E21" s="160">
        <v>143402413.03</v>
      </c>
      <c r="F21" s="160">
        <v>246940.57</v>
      </c>
      <c r="G21" s="180">
        <v>72782.45</v>
      </c>
      <c r="H21" s="444">
        <v>0.995</v>
      </c>
      <c r="I21" s="824">
        <v>398.2</v>
      </c>
      <c r="J21" s="180">
        <v>72816.740000000005</v>
      </c>
      <c r="K21" s="377">
        <v>2055.4499999999998</v>
      </c>
      <c r="L21" s="377">
        <v>1969.36</v>
      </c>
    </row>
    <row r="22" spans="1:12" x14ac:dyDescent="0.2">
      <c r="A22" t="s">
        <v>1288</v>
      </c>
      <c r="B22" s="160">
        <v>100929516</v>
      </c>
      <c r="C22" s="160">
        <v>853041</v>
      </c>
      <c r="D22" s="160">
        <v>7070960</v>
      </c>
      <c r="E22" s="160">
        <v>93858556</v>
      </c>
      <c r="F22" s="160">
        <v>71819</v>
      </c>
      <c r="G22" s="180">
        <v>58454.81</v>
      </c>
      <c r="H22" s="444">
        <v>0.99250000000000005</v>
      </c>
      <c r="I22" s="824">
        <v>148.30000000000001</v>
      </c>
      <c r="J22" s="180">
        <v>58164.7</v>
      </c>
      <c r="K22" s="377">
        <v>1735.24</v>
      </c>
      <c r="L22" s="377">
        <v>1613.67</v>
      </c>
    </row>
    <row r="23" spans="1:12" x14ac:dyDescent="0.2">
      <c r="A23" t="s">
        <v>1250</v>
      </c>
      <c r="B23" s="160">
        <v>116977509</v>
      </c>
      <c r="C23" s="160">
        <v>0</v>
      </c>
      <c r="D23" s="160">
        <v>0</v>
      </c>
      <c r="E23" s="160">
        <v>116977509</v>
      </c>
      <c r="F23" s="160">
        <v>82880</v>
      </c>
      <c r="G23" s="180">
        <v>69546.3</v>
      </c>
      <c r="H23" s="444">
        <v>0.99</v>
      </c>
      <c r="I23" s="824">
        <v>0</v>
      </c>
      <c r="J23" s="180">
        <v>68850.84</v>
      </c>
      <c r="K23" s="377">
        <v>1699</v>
      </c>
      <c r="L23" s="377">
        <v>1699</v>
      </c>
    </row>
    <row r="24" spans="1:12" x14ac:dyDescent="0.2">
      <c r="A24" t="s">
        <v>424</v>
      </c>
      <c r="B24" s="160">
        <v>133584846</v>
      </c>
      <c r="C24" s="160">
        <v>0</v>
      </c>
      <c r="D24" s="160">
        <v>4195241</v>
      </c>
      <c r="E24" s="160">
        <v>129389605</v>
      </c>
      <c r="F24" s="160">
        <v>5577384</v>
      </c>
      <c r="G24" s="180">
        <v>71857.070000000007</v>
      </c>
      <c r="H24" s="444">
        <v>0.98750000000000004</v>
      </c>
      <c r="I24" s="824">
        <v>15</v>
      </c>
      <c r="J24" s="180">
        <v>70973.86</v>
      </c>
      <c r="K24" s="377">
        <v>1882.17</v>
      </c>
      <c r="L24" s="377">
        <v>1823.06</v>
      </c>
    </row>
    <row r="25" spans="1:12" x14ac:dyDescent="0.2">
      <c r="A25" t="s">
        <v>538</v>
      </c>
      <c r="B25" s="160">
        <v>299257362</v>
      </c>
      <c r="C25" s="160">
        <v>0</v>
      </c>
      <c r="D25" s="160">
        <v>0</v>
      </c>
      <c r="E25" s="160">
        <v>299257362</v>
      </c>
      <c r="F25" s="160">
        <v>0</v>
      </c>
      <c r="G25" s="180">
        <v>138765.82</v>
      </c>
      <c r="H25" s="444">
        <v>0.98</v>
      </c>
      <c r="I25" s="824">
        <v>19.5</v>
      </c>
      <c r="J25" s="180">
        <v>136010</v>
      </c>
      <c r="K25" s="377">
        <v>2200.2600000000002</v>
      </c>
      <c r="L25" s="377">
        <v>2200.2600000000002</v>
      </c>
    </row>
    <row r="26" spans="1:12" x14ac:dyDescent="0.2">
      <c r="A26" t="s">
        <v>1047</v>
      </c>
      <c r="B26" s="160">
        <v>158181363</v>
      </c>
      <c r="C26" s="160">
        <v>69410</v>
      </c>
      <c r="D26" s="160">
        <v>9729178</v>
      </c>
      <c r="E26" s="160">
        <v>148452185</v>
      </c>
      <c r="F26" s="160">
        <v>1012471</v>
      </c>
      <c r="G26" s="180">
        <v>83808.210000000006</v>
      </c>
      <c r="H26" s="444">
        <v>0.98699999999999999</v>
      </c>
      <c r="I26" s="824">
        <v>42.1</v>
      </c>
      <c r="J26" s="180">
        <v>82760.800000000003</v>
      </c>
      <c r="K26" s="377">
        <v>1911.31</v>
      </c>
      <c r="L26" s="377">
        <v>1793.75</v>
      </c>
    </row>
    <row r="27" spans="1:12" x14ac:dyDescent="0.2">
      <c r="A27" t="s">
        <v>1190</v>
      </c>
      <c r="B27" s="160">
        <v>211850196</v>
      </c>
      <c r="C27" s="160">
        <v>2737814</v>
      </c>
      <c r="D27" s="160">
        <v>11704085</v>
      </c>
      <c r="E27" s="160">
        <v>200146111</v>
      </c>
      <c r="F27" s="160">
        <v>826683</v>
      </c>
      <c r="G27" s="180">
        <v>104906.44</v>
      </c>
      <c r="H27" s="444">
        <v>0.98499999999999999</v>
      </c>
      <c r="I27" s="824">
        <v>298.2</v>
      </c>
      <c r="J27" s="180">
        <v>103631.03999999999</v>
      </c>
      <c r="K27" s="377">
        <v>2044.27</v>
      </c>
      <c r="L27" s="377">
        <v>1931.33</v>
      </c>
    </row>
    <row r="28" spans="1:12" x14ac:dyDescent="0.2">
      <c r="A28" t="s">
        <v>1096</v>
      </c>
      <c r="B28" s="160">
        <v>147949465</v>
      </c>
      <c r="C28" s="160">
        <v>0</v>
      </c>
      <c r="D28" s="160">
        <v>0</v>
      </c>
      <c r="E28" s="160">
        <v>147949465</v>
      </c>
      <c r="F28" s="160">
        <v>158468</v>
      </c>
      <c r="G28" s="180">
        <v>77696</v>
      </c>
      <c r="H28" s="444">
        <v>0.97499999999999998</v>
      </c>
      <c r="I28" s="824">
        <v>803.4</v>
      </c>
      <c r="J28" s="180">
        <v>76557</v>
      </c>
      <c r="K28" s="377">
        <v>1932.54</v>
      </c>
      <c r="L28" s="377">
        <v>1932.54</v>
      </c>
    </row>
    <row r="29" spans="1:12" x14ac:dyDescent="0.2">
      <c r="A29" t="s">
        <v>1312</v>
      </c>
      <c r="B29" s="160">
        <v>96427935</v>
      </c>
      <c r="C29" s="160">
        <v>0</v>
      </c>
      <c r="D29" s="160">
        <v>531935</v>
      </c>
      <c r="E29" s="160">
        <v>95896000</v>
      </c>
      <c r="F29" s="160">
        <v>129352</v>
      </c>
      <c r="G29" s="180">
        <v>51306.5</v>
      </c>
      <c r="H29" s="444">
        <v>0.96</v>
      </c>
      <c r="I29" s="824">
        <v>0</v>
      </c>
      <c r="J29" s="180">
        <v>49254.239999999998</v>
      </c>
      <c r="K29" s="377">
        <v>1957.76</v>
      </c>
      <c r="L29" s="377">
        <v>1946.96</v>
      </c>
    </row>
    <row r="30" spans="1:12" x14ac:dyDescent="0.2">
      <c r="A30" t="s">
        <v>1271</v>
      </c>
      <c r="B30" s="160">
        <v>152706273</v>
      </c>
      <c r="C30" s="160">
        <v>0</v>
      </c>
      <c r="D30" s="160">
        <v>12942721</v>
      </c>
      <c r="E30" s="160">
        <v>139763552</v>
      </c>
      <c r="F30" s="160">
        <v>187855</v>
      </c>
      <c r="G30" s="180">
        <v>79473.279999999999</v>
      </c>
      <c r="H30" s="444">
        <v>0.98799999999999999</v>
      </c>
      <c r="I30" s="824">
        <v>97.3</v>
      </c>
      <c r="J30" s="180">
        <v>78616.899999999994</v>
      </c>
      <c r="K30" s="377">
        <v>1942.41</v>
      </c>
      <c r="L30" s="377">
        <v>1777.78</v>
      </c>
    </row>
    <row r="31" spans="1:12" x14ac:dyDescent="0.2">
      <c r="A31" t="s">
        <v>1093</v>
      </c>
      <c r="B31" s="160">
        <v>111197004</v>
      </c>
      <c r="C31" s="160">
        <v>0</v>
      </c>
      <c r="D31" s="160">
        <v>861802</v>
      </c>
      <c r="E31" s="160">
        <v>110335202</v>
      </c>
      <c r="F31" s="160">
        <v>4576374</v>
      </c>
      <c r="G31" s="180">
        <v>63769.17</v>
      </c>
      <c r="H31" s="444">
        <v>0.98499999999999999</v>
      </c>
      <c r="I31" s="824">
        <v>256.95999999999998</v>
      </c>
      <c r="J31" s="180">
        <v>63069.59</v>
      </c>
      <c r="K31" s="377">
        <v>1763.08</v>
      </c>
      <c r="L31" s="377">
        <v>1749.42</v>
      </c>
    </row>
    <row r="32" spans="1:12" x14ac:dyDescent="0.2">
      <c r="A32" t="s">
        <v>960</v>
      </c>
      <c r="B32" s="160">
        <v>110317683</v>
      </c>
      <c r="C32" s="160">
        <v>0</v>
      </c>
      <c r="D32" s="160">
        <v>0</v>
      </c>
      <c r="E32" s="160">
        <v>110317683</v>
      </c>
      <c r="F32" s="160">
        <v>137035</v>
      </c>
      <c r="G32" s="180">
        <v>59429.01</v>
      </c>
      <c r="H32" s="444">
        <v>0.96499999999999997</v>
      </c>
      <c r="I32" s="824">
        <v>0</v>
      </c>
      <c r="J32" s="180">
        <v>57348.99</v>
      </c>
      <c r="K32" s="377">
        <v>1923.62</v>
      </c>
      <c r="L32" s="377">
        <v>1923.62</v>
      </c>
    </row>
    <row r="33" spans="1:12" x14ac:dyDescent="0.2">
      <c r="A33" t="s">
        <v>1220</v>
      </c>
      <c r="B33" s="160">
        <v>109957240</v>
      </c>
      <c r="C33" s="160">
        <v>0</v>
      </c>
      <c r="D33" s="160">
        <v>484790</v>
      </c>
      <c r="E33" s="160">
        <v>109472450</v>
      </c>
      <c r="F33" s="160">
        <v>0</v>
      </c>
      <c r="G33" s="180">
        <v>62742.92</v>
      </c>
      <c r="H33" s="444">
        <v>0.97</v>
      </c>
      <c r="I33" s="824">
        <v>0</v>
      </c>
      <c r="J33" s="180">
        <v>60860.63</v>
      </c>
      <c r="K33" s="377">
        <v>1806.71</v>
      </c>
      <c r="L33" s="377">
        <v>1798.74</v>
      </c>
    </row>
    <row r="34" spans="1:12" x14ac:dyDescent="0.2">
      <c r="A34" t="s">
        <v>1306</v>
      </c>
      <c r="B34" s="160">
        <v>97249352</v>
      </c>
      <c r="C34" s="160">
        <v>0</v>
      </c>
      <c r="D34" s="160">
        <v>0</v>
      </c>
      <c r="E34" s="160">
        <v>97249352</v>
      </c>
      <c r="F34" s="160">
        <v>0</v>
      </c>
      <c r="G34" s="180">
        <v>54771.26</v>
      </c>
      <c r="H34" s="444">
        <v>0.98799999999999999</v>
      </c>
      <c r="I34" s="824">
        <v>0</v>
      </c>
      <c r="J34" s="180">
        <v>54114</v>
      </c>
      <c r="K34" s="377">
        <v>1797.12</v>
      </c>
      <c r="L34" s="377">
        <v>1797.12</v>
      </c>
    </row>
    <row r="35" spans="1:12" x14ac:dyDescent="0.2">
      <c r="A35" t="s">
        <v>978</v>
      </c>
      <c r="B35" s="160">
        <v>169678040</v>
      </c>
      <c r="C35" s="160">
        <v>0</v>
      </c>
      <c r="D35" s="160">
        <v>740954</v>
      </c>
      <c r="E35" s="160">
        <v>168937086</v>
      </c>
      <c r="F35" s="160">
        <v>0</v>
      </c>
      <c r="G35" s="180">
        <v>94361.48</v>
      </c>
      <c r="H35" s="444">
        <v>0.97350000000000003</v>
      </c>
      <c r="I35" s="824">
        <v>239.3</v>
      </c>
      <c r="J35" s="180">
        <v>92100.2</v>
      </c>
      <c r="K35" s="377">
        <v>1842.32</v>
      </c>
      <c r="L35" s="377">
        <v>1834.27</v>
      </c>
    </row>
    <row r="36" spans="1:12" x14ac:dyDescent="0.2">
      <c r="A36" t="s">
        <v>499</v>
      </c>
      <c r="B36" s="160">
        <v>90152248</v>
      </c>
      <c r="C36" s="160">
        <v>0</v>
      </c>
      <c r="D36" s="160">
        <v>4485724</v>
      </c>
      <c r="E36" s="160">
        <v>85666524</v>
      </c>
      <c r="F36" s="160">
        <v>120641</v>
      </c>
      <c r="G36" s="180">
        <v>50454.9</v>
      </c>
      <c r="H36" s="444">
        <v>0.99534440000000002</v>
      </c>
      <c r="I36" s="824">
        <v>268</v>
      </c>
      <c r="J36" s="180">
        <v>50488</v>
      </c>
      <c r="K36" s="377">
        <v>1785.62</v>
      </c>
      <c r="L36" s="377">
        <v>1696.77</v>
      </c>
    </row>
    <row r="37" spans="1:12" x14ac:dyDescent="0.2">
      <c r="A37" t="s">
        <v>1361</v>
      </c>
      <c r="B37" s="160">
        <v>137930823</v>
      </c>
      <c r="C37" s="160">
        <v>0</v>
      </c>
      <c r="D37" s="160">
        <v>6292469</v>
      </c>
      <c r="E37" s="160">
        <v>131638354</v>
      </c>
      <c r="F37" s="160">
        <v>163707.57999999999</v>
      </c>
      <c r="G37" s="180">
        <v>68547.12</v>
      </c>
      <c r="H37" s="444">
        <v>0.995</v>
      </c>
      <c r="I37" s="824">
        <v>307</v>
      </c>
      <c r="J37" s="180">
        <v>68511.38</v>
      </c>
      <c r="K37" s="377">
        <v>2013.25</v>
      </c>
      <c r="L37" s="377">
        <v>1921.41</v>
      </c>
    </row>
    <row r="38" spans="1:12" x14ac:dyDescent="0.2">
      <c r="A38" t="s">
        <v>1105</v>
      </c>
      <c r="B38" s="160">
        <v>126134293</v>
      </c>
      <c r="C38" s="160">
        <v>0</v>
      </c>
      <c r="D38" s="160">
        <v>0</v>
      </c>
      <c r="E38" s="160">
        <v>126134293</v>
      </c>
      <c r="F38" s="160">
        <v>142335</v>
      </c>
      <c r="G38" s="180">
        <v>60321</v>
      </c>
      <c r="H38" s="444">
        <v>0.98750000000000004</v>
      </c>
      <c r="I38" s="824">
        <v>0</v>
      </c>
      <c r="J38" s="180">
        <v>59566.99</v>
      </c>
      <c r="K38" s="377">
        <v>2117.52</v>
      </c>
      <c r="L38" s="377">
        <v>2117.52</v>
      </c>
    </row>
    <row r="39" spans="1:12" x14ac:dyDescent="0.2">
      <c r="A39" t="s">
        <v>1175</v>
      </c>
      <c r="B39" s="160">
        <v>86754680</v>
      </c>
      <c r="C39" s="160">
        <v>0</v>
      </c>
      <c r="D39" s="160">
        <v>263801</v>
      </c>
      <c r="E39" s="160">
        <v>86490879</v>
      </c>
      <c r="F39" s="160">
        <v>0</v>
      </c>
      <c r="G39" s="180">
        <v>45776</v>
      </c>
      <c r="H39" s="444">
        <v>0.98250000000000004</v>
      </c>
      <c r="I39" s="824">
        <v>0</v>
      </c>
      <c r="J39" s="180">
        <v>44974.92</v>
      </c>
      <c r="K39" s="377">
        <v>1928.96</v>
      </c>
      <c r="L39" s="377">
        <v>1923.09</v>
      </c>
    </row>
    <row r="40" spans="1:12" x14ac:dyDescent="0.2">
      <c r="A40" t="s">
        <v>1396</v>
      </c>
      <c r="B40" s="160">
        <v>103574820</v>
      </c>
      <c r="C40" s="160">
        <v>1478467</v>
      </c>
      <c r="D40" s="160">
        <v>2391520</v>
      </c>
      <c r="E40" s="160">
        <v>101183300</v>
      </c>
      <c r="F40" s="160">
        <v>166649</v>
      </c>
      <c r="G40" s="180">
        <v>72692.86</v>
      </c>
      <c r="H40" s="444">
        <v>0.98</v>
      </c>
      <c r="I40" s="824">
        <v>0</v>
      </c>
      <c r="J40" s="180">
        <v>71239</v>
      </c>
      <c r="K40" s="377">
        <v>1453.91</v>
      </c>
      <c r="L40" s="377">
        <v>1420.34</v>
      </c>
    </row>
    <row r="41" spans="1:12" x14ac:dyDescent="0.2">
      <c r="A41" t="s">
        <v>1405</v>
      </c>
      <c r="B41" s="160">
        <v>156067026</v>
      </c>
      <c r="C41" s="160">
        <v>0</v>
      </c>
      <c r="D41" s="160">
        <v>5870735</v>
      </c>
      <c r="E41" s="160">
        <v>150196291</v>
      </c>
      <c r="F41" s="160">
        <v>0</v>
      </c>
      <c r="G41" s="180">
        <v>78383.55</v>
      </c>
      <c r="H41" s="444">
        <v>0.99229999999999996</v>
      </c>
      <c r="I41" s="824">
        <v>0</v>
      </c>
      <c r="J41" s="180">
        <v>77780</v>
      </c>
      <c r="K41" s="377">
        <v>2006.52</v>
      </c>
      <c r="L41" s="377">
        <v>1931.04</v>
      </c>
    </row>
    <row r="42" spans="1:12" x14ac:dyDescent="0.2">
      <c r="A42" t="s">
        <v>999</v>
      </c>
      <c r="B42" s="160">
        <v>188333151</v>
      </c>
      <c r="C42" s="160">
        <v>0</v>
      </c>
      <c r="D42" s="160">
        <v>13003889</v>
      </c>
      <c r="E42" s="160">
        <v>175329262</v>
      </c>
      <c r="F42" s="160">
        <v>598308</v>
      </c>
      <c r="G42" s="180">
        <v>100438.26</v>
      </c>
      <c r="H42" s="444">
        <v>0.99199999999999999</v>
      </c>
      <c r="I42" s="824">
        <v>0</v>
      </c>
      <c r="J42" s="180">
        <v>99634.75</v>
      </c>
      <c r="K42" s="377">
        <v>1890.24</v>
      </c>
      <c r="L42" s="377">
        <v>1759.72</v>
      </c>
    </row>
    <row r="43" spans="1:12" x14ac:dyDescent="0.2">
      <c r="A43" t="s">
        <v>533</v>
      </c>
      <c r="B43" s="160">
        <v>197684340</v>
      </c>
      <c r="C43" s="160">
        <v>34328</v>
      </c>
      <c r="D43" s="160">
        <v>60340</v>
      </c>
      <c r="E43" s="160">
        <v>197624000</v>
      </c>
      <c r="F43" s="160">
        <v>213187</v>
      </c>
      <c r="G43" s="180">
        <v>96364.86</v>
      </c>
      <c r="H43" s="444">
        <v>0.98750000000000004</v>
      </c>
      <c r="I43" s="824">
        <v>0</v>
      </c>
      <c r="J43" s="180">
        <v>95160.3</v>
      </c>
      <c r="K43" s="377">
        <v>2077.38</v>
      </c>
      <c r="L43" s="377">
        <v>2076.75</v>
      </c>
    </row>
    <row r="44" spans="1:12" x14ac:dyDescent="0.2">
      <c r="A44" t="s">
        <v>1099</v>
      </c>
      <c r="B44" s="160">
        <v>107857571</v>
      </c>
      <c r="C44" s="160">
        <v>0</v>
      </c>
      <c r="D44" s="160">
        <v>0</v>
      </c>
      <c r="E44" s="160">
        <v>107857571</v>
      </c>
      <c r="F44" s="160">
        <v>95000</v>
      </c>
      <c r="G44" s="180">
        <v>60832.54</v>
      </c>
      <c r="H44" s="444">
        <v>0.96499999999999997</v>
      </c>
      <c r="I44" s="824">
        <v>636.6</v>
      </c>
      <c r="J44" s="180">
        <v>59340</v>
      </c>
      <c r="K44" s="377">
        <v>1817.62</v>
      </c>
      <c r="L44" s="377">
        <v>1817.62</v>
      </c>
    </row>
    <row r="45" spans="1:12" x14ac:dyDescent="0.2">
      <c r="A45" t="s">
        <v>1217</v>
      </c>
      <c r="B45" s="160">
        <v>128166963</v>
      </c>
      <c r="C45" s="160">
        <v>0</v>
      </c>
      <c r="D45" s="160">
        <v>0</v>
      </c>
      <c r="E45" s="160">
        <v>128166963</v>
      </c>
      <c r="F45" s="160">
        <v>96757</v>
      </c>
      <c r="G45" s="180">
        <v>68544.53</v>
      </c>
      <c r="H45" s="444">
        <v>0.98250000000000004</v>
      </c>
      <c r="I45" s="824">
        <v>0</v>
      </c>
      <c r="J45" s="180">
        <v>67345</v>
      </c>
      <c r="K45" s="377">
        <v>1903.14</v>
      </c>
      <c r="L45" s="377">
        <v>1903.14</v>
      </c>
    </row>
    <row r="46" spans="1:12" x14ac:dyDescent="0.2">
      <c r="A46" t="s">
        <v>902</v>
      </c>
      <c r="B46" s="160">
        <v>122898174</v>
      </c>
      <c r="C46" s="160">
        <v>0</v>
      </c>
      <c r="D46" s="160">
        <v>7290495</v>
      </c>
      <c r="E46" s="160">
        <v>115607679</v>
      </c>
      <c r="F46" s="160">
        <v>0</v>
      </c>
      <c r="G46" s="180">
        <v>58874.6</v>
      </c>
      <c r="H46" s="444">
        <v>0.98</v>
      </c>
      <c r="I46" s="824">
        <v>0</v>
      </c>
      <c r="J46" s="180">
        <v>57697.11</v>
      </c>
      <c r="K46" s="377">
        <v>2130.06</v>
      </c>
      <c r="L46" s="377">
        <v>2003.7</v>
      </c>
    </row>
    <row r="47" spans="1:12" x14ac:dyDescent="0.2">
      <c r="A47" t="s">
        <v>715</v>
      </c>
      <c r="B47" s="160">
        <v>319211806.5</v>
      </c>
      <c r="C47" s="160">
        <v>0</v>
      </c>
      <c r="D47" s="160">
        <v>17123656.5</v>
      </c>
      <c r="E47" s="160">
        <v>302088150</v>
      </c>
      <c r="F47" s="160">
        <v>17578722</v>
      </c>
      <c r="G47" s="180">
        <v>150263.23000000001</v>
      </c>
      <c r="H47" s="444">
        <v>0.99</v>
      </c>
      <c r="I47" s="824">
        <v>0</v>
      </c>
      <c r="J47" s="180">
        <v>148760.6</v>
      </c>
      <c r="K47" s="377">
        <v>2145.81</v>
      </c>
      <c r="L47" s="377">
        <v>2030.7</v>
      </c>
    </row>
    <row r="48" spans="1:12" x14ac:dyDescent="0.2">
      <c r="A48" t="s">
        <v>632</v>
      </c>
      <c r="B48" s="160">
        <v>320085755</v>
      </c>
      <c r="C48" s="160">
        <v>0</v>
      </c>
      <c r="D48" s="160">
        <v>12821834</v>
      </c>
      <c r="E48" s="160">
        <v>307263921</v>
      </c>
      <c r="F48" s="160">
        <v>0</v>
      </c>
      <c r="G48" s="180">
        <v>164910.20000000001</v>
      </c>
      <c r="H48" s="444">
        <v>0.99</v>
      </c>
      <c r="I48" s="824">
        <v>0</v>
      </c>
      <c r="J48" s="180">
        <v>163261.1</v>
      </c>
      <c r="K48" s="377">
        <v>1960.58</v>
      </c>
      <c r="L48" s="377">
        <v>1882.04</v>
      </c>
    </row>
    <row r="49" spans="1:12" x14ac:dyDescent="0.2">
      <c r="A49" t="s">
        <v>639</v>
      </c>
      <c r="B49" s="160">
        <v>265966130</v>
      </c>
      <c r="C49" s="160">
        <v>228381</v>
      </c>
      <c r="D49" s="160">
        <v>5518141</v>
      </c>
      <c r="E49" s="160">
        <v>260447989</v>
      </c>
      <c r="F49" s="160">
        <v>400161</v>
      </c>
      <c r="G49" s="180">
        <v>132865.29999999999</v>
      </c>
      <c r="H49" s="444">
        <v>0.99</v>
      </c>
      <c r="I49" s="824">
        <v>129.75</v>
      </c>
      <c r="J49" s="180">
        <v>131666.4</v>
      </c>
      <c r="K49" s="377">
        <v>2020</v>
      </c>
      <c r="L49" s="377">
        <v>1978.09</v>
      </c>
    </row>
    <row r="50" spans="1:12" x14ac:dyDescent="0.2">
      <c r="A50" t="s">
        <v>1170</v>
      </c>
      <c r="B50" s="160">
        <v>231563519</v>
      </c>
      <c r="C50" s="160">
        <v>0</v>
      </c>
      <c r="D50" s="160">
        <v>12280682</v>
      </c>
      <c r="E50" s="160">
        <v>219282837</v>
      </c>
      <c r="F50" s="160">
        <v>0</v>
      </c>
      <c r="G50" s="180">
        <v>123007.19</v>
      </c>
      <c r="H50" s="444">
        <v>0.98199999999999998</v>
      </c>
      <c r="I50" s="824">
        <v>580.98</v>
      </c>
      <c r="J50" s="180">
        <v>121374.04</v>
      </c>
      <c r="K50" s="377">
        <v>1907.85</v>
      </c>
      <c r="L50" s="377">
        <v>1806.67</v>
      </c>
    </row>
    <row r="51" spans="1:12" x14ac:dyDescent="0.2">
      <c r="A51" t="s">
        <v>657</v>
      </c>
      <c r="B51" s="160">
        <v>482363425</v>
      </c>
      <c r="C51" s="160">
        <v>0</v>
      </c>
      <c r="D51" s="160">
        <v>40984048.340000004</v>
      </c>
      <c r="E51" s="160">
        <v>441379376.66000003</v>
      </c>
      <c r="F51" s="160">
        <v>2012527.13</v>
      </c>
      <c r="G51" s="180">
        <v>223645</v>
      </c>
      <c r="H51" s="444">
        <v>0.99099999999999999</v>
      </c>
      <c r="I51" s="824">
        <v>479</v>
      </c>
      <c r="J51" s="180">
        <v>222111.2</v>
      </c>
      <c r="K51" s="377">
        <v>2171.7199999999998</v>
      </c>
      <c r="L51" s="377">
        <v>1987.2</v>
      </c>
    </row>
    <row r="52" spans="1:12" x14ac:dyDescent="0.2">
      <c r="A52" t="s">
        <v>905</v>
      </c>
      <c r="B52" s="160">
        <v>2381236</v>
      </c>
      <c r="C52" s="160">
        <v>0</v>
      </c>
      <c r="D52" s="160">
        <v>0</v>
      </c>
      <c r="E52" s="160">
        <v>2381236</v>
      </c>
      <c r="F52" s="160">
        <v>42688</v>
      </c>
      <c r="G52" s="180">
        <v>1454.7</v>
      </c>
      <c r="H52" s="444">
        <v>0.98499999999999999</v>
      </c>
      <c r="I52" s="824">
        <v>0.02</v>
      </c>
      <c r="J52" s="180">
        <v>1432.9</v>
      </c>
      <c r="K52" s="377">
        <v>1661.83</v>
      </c>
      <c r="L52" s="377">
        <v>1661.83</v>
      </c>
    </row>
    <row r="53" spans="1:12" x14ac:dyDescent="0.2">
      <c r="A53" t="s">
        <v>1391</v>
      </c>
      <c r="B53" s="160">
        <v>404232661</v>
      </c>
      <c r="C53" s="160">
        <v>0</v>
      </c>
      <c r="D53" s="160">
        <v>35413785</v>
      </c>
      <c r="E53" s="160">
        <v>368818876</v>
      </c>
      <c r="F53" s="160">
        <v>0</v>
      </c>
      <c r="G53" s="180">
        <v>189287.82</v>
      </c>
      <c r="H53" s="444">
        <v>0.998</v>
      </c>
      <c r="I53" s="824">
        <v>6544.3</v>
      </c>
      <c r="J53" s="180">
        <v>195453.54</v>
      </c>
      <c r="K53" s="377">
        <v>2068.1799999999998</v>
      </c>
      <c r="L53" s="377">
        <v>1886.99</v>
      </c>
    </row>
    <row r="54" spans="1:12" x14ac:dyDescent="0.2">
      <c r="A54" t="s">
        <v>433</v>
      </c>
      <c r="B54" s="160">
        <v>126576997</v>
      </c>
      <c r="C54" s="160">
        <v>1547092</v>
      </c>
      <c r="D54" s="160">
        <v>2490093</v>
      </c>
      <c r="E54" s="160">
        <v>124086904</v>
      </c>
      <c r="F54" s="160">
        <v>887269</v>
      </c>
      <c r="G54" s="180">
        <v>65760.41</v>
      </c>
      <c r="H54" s="444">
        <v>0.98499999999999999</v>
      </c>
      <c r="I54" s="824">
        <v>0</v>
      </c>
      <c r="J54" s="180">
        <v>64774</v>
      </c>
      <c r="K54" s="377">
        <v>1954.13</v>
      </c>
      <c r="L54" s="377">
        <v>1915.69</v>
      </c>
    </row>
    <row r="55" spans="1:12" x14ac:dyDescent="0.2">
      <c r="A55" t="s">
        <v>611</v>
      </c>
      <c r="B55" s="160">
        <v>229510623</v>
      </c>
      <c r="C55" s="160">
        <v>0</v>
      </c>
      <c r="D55" s="160">
        <v>18107939</v>
      </c>
      <c r="E55" s="160">
        <v>211402684</v>
      </c>
      <c r="F55" s="160">
        <v>1009089</v>
      </c>
      <c r="G55" s="180">
        <v>115254.76</v>
      </c>
      <c r="H55" s="444">
        <v>0.997</v>
      </c>
      <c r="I55" s="824">
        <v>0</v>
      </c>
      <c r="J55" s="180">
        <v>114909</v>
      </c>
      <c r="K55" s="377">
        <v>1997.33</v>
      </c>
      <c r="L55" s="377">
        <v>1839.74</v>
      </c>
    </row>
    <row r="56" spans="1:12" x14ac:dyDescent="0.2">
      <c r="A56" t="s">
        <v>1069</v>
      </c>
      <c r="B56" s="160">
        <v>265447283</v>
      </c>
      <c r="C56" s="160">
        <v>3957</v>
      </c>
      <c r="D56" s="160">
        <v>11436912</v>
      </c>
      <c r="E56" s="160">
        <v>254010371</v>
      </c>
      <c r="F56" s="160">
        <v>7475208</v>
      </c>
      <c r="G56" s="180">
        <v>118175.97</v>
      </c>
      <c r="H56" s="444">
        <v>0.99004669999999995</v>
      </c>
      <c r="I56" s="824">
        <v>0</v>
      </c>
      <c r="J56" s="180">
        <v>116999.73</v>
      </c>
      <c r="K56" s="377">
        <v>2268.79</v>
      </c>
      <c r="L56" s="377">
        <v>2171.0300000000002</v>
      </c>
    </row>
    <row r="57" spans="1:12" x14ac:dyDescent="0.2">
      <c r="A57" t="s">
        <v>491</v>
      </c>
      <c r="B57" s="160">
        <v>282723523</v>
      </c>
      <c r="C57" s="160">
        <v>0</v>
      </c>
      <c r="D57" s="160">
        <v>1491237</v>
      </c>
      <c r="E57" s="160">
        <v>281232286</v>
      </c>
      <c r="F57" s="160">
        <v>673732</v>
      </c>
      <c r="G57" s="180">
        <v>153722</v>
      </c>
      <c r="H57" s="444">
        <v>0.98499999999999999</v>
      </c>
      <c r="I57" s="824">
        <v>158</v>
      </c>
      <c r="J57" s="180">
        <v>151574.17000000001</v>
      </c>
      <c r="K57" s="377">
        <v>1865.25</v>
      </c>
      <c r="L57" s="377">
        <v>1855.41</v>
      </c>
    </row>
    <row r="58" spans="1:12" x14ac:dyDescent="0.2">
      <c r="A58" t="s">
        <v>706</v>
      </c>
      <c r="B58" s="160">
        <v>358692728</v>
      </c>
      <c r="C58" s="160">
        <v>0</v>
      </c>
      <c r="D58" s="160">
        <v>20858595</v>
      </c>
      <c r="E58" s="160">
        <v>337834133</v>
      </c>
      <c r="F58" s="160">
        <v>0</v>
      </c>
      <c r="G58" s="180">
        <v>161160.73000000001</v>
      </c>
      <c r="H58" s="444">
        <v>0.99299999999999999</v>
      </c>
      <c r="I58" s="824">
        <v>760.4</v>
      </c>
      <c r="J58" s="180">
        <v>160793</v>
      </c>
      <c r="K58" s="377">
        <v>2230.77</v>
      </c>
      <c r="L58" s="377">
        <v>2101.0500000000002</v>
      </c>
    </row>
    <row r="59" spans="1:12" x14ac:dyDescent="0.2">
      <c r="A59" t="s">
        <v>566</v>
      </c>
      <c r="B59" s="160">
        <v>474417619</v>
      </c>
      <c r="C59" s="160">
        <v>1529688.34</v>
      </c>
      <c r="D59" s="160">
        <v>21727031</v>
      </c>
      <c r="E59" s="160">
        <v>452690588</v>
      </c>
      <c r="F59" s="160">
        <v>0</v>
      </c>
      <c r="G59" s="180">
        <v>235992.14</v>
      </c>
      <c r="H59" s="444">
        <v>0.98399999999999999</v>
      </c>
      <c r="I59" s="824">
        <v>1051.52</v>
      </c>
      <c r="J59" s="180">
        <v>233267.79</v>
      </c>
      <c r="K59" s="377">
        <v>2033.79</v>
      </c>
      <c r="L59" s="377">
        <v>1940.65</v>
      </c>
    </row>
    <row r="60" spans="1:12" x14ac:dyDescent="0.2">
      <c r="A60" t="s">
        <v>1041</v>
      </c>
      <c r="B60" s="160">
        <v>223587317</v>
      </c>
      <c r="C60" s="160">
        <v>0</v>
      </c>
      <c r="D60" s="160">
        <v>8752317</v>
      </c>
      <c r="E60" s="160">
        <v>214835000</v>
      </c>
      <c r="F60" s="160">
        <v>0</v>
      </c>
      <c r="G60" s="180">
        <v>119375.63</v>
      </c>
      <c r="H60" s="444">
        <v>0.98499999999999999</v>
      </c>
      <c r="I60" s="824">
        <v>0</v>
      </c>
      <c r="J60" s="180">
        <v>117585</v>
      </c>
      <c r="K60" s="377">
        <v>1901.5</v>
      </c>
      <c r="L60" s="377">
        <v>1827.06</v>
      </c>
    </row>
    <row r="61" spans="1:12" x14ac:dyDescent="0.2">
      <c r="A61" t="s">
        <v>1373</v>
      </c>
      <c r="B61" s="160">
        <v>286757863</v>
      </c>
      <c r="C61" s="160">
        <v>703857</v>
      </c>
      <c r="D61" s="160">
        <v>13897588</v>
      </c>
      <c r="E61" s="160">
        <v>272860275</v>
      </c>
      <c r="F61" s="160">
        <v>0</v>
      </c>
      <c r="G61" s="180">
        <v>149132.96</v>
      </c>
      <c r="H61" s="444">
        <v>0.98</v>
      </c>
      <c r="I61" s="824">
        <v>0</v>
      </c>
      <c r="J61" s="180">
        <v>146150.29999999999</v>
      </c>
      <c r="K61" s="377">
        <v>1962.08</v>
      </c>
      <c r="L61" s="377">
        <v>1866.98</v>
      </c>
    </row>
    <row r="62" spans="1:12" x14ac:dyDescent="0.2">
      <c r="A62" t="s">
        <v>674</v>
      </c>
      <c r="B62" s="160">
        <v>184744630</v>
      </c>
      <c r="C62" s="160">
        <v>0</v>
      </c>
      <c r="D62" s="160">
        <v>6020091</v>
      </c>
      <c r="E62" s="160">
        <v>178724539</v>
      </c>
      <c r="F62" s="160">
        <v>0</v>
      </c>
      <c r="G62" s="180">
        <v>95124.53</v>
      </c>
      <c r="H62" s="444">
        <v>0.98499999999999999</v>
      </c>
      <c r="I62" s="824">
        <v>0</v>
      </c>
      <c r="J62" s="180">
        <v>93697.66</v>
      </c>
      <c r="K62" s="377">
        <v>1971.71</v>
      </c>
      <c r="L62" s="377">
        <v>1907.46</v>
      </c>
    </row>
    <row r="63" spans="1:12" x14ac:dyDescent="0.2">
      <c r="A63" t="s">
        <v>1385</v>
      </c>
      <c r="B63" s="160">
        <v>189127757</v>
      </c>
      <c r="C63" s="160">
        <v>0</v>
      </c>
      <c r="D63" s="160">
        <v>4599986</v>
      </c>
      <c r="E63" s="160">
        <v>184527771</v>
      </c>
      <c r="F63" s="160">
        <v>0</v>
      </c>
      <c r="G63" s="180">
        <v>97131.11</v>
      </c>
      <c r="H63" s="444">
        <v>0.99</v>
      </c>
      <c r="I63" s="824">
        <v>0</v>
      </c>
      <c r="J63" s="180">
        <v>96159.8</v>
      </c>
      <c r="K63" s="377">
        <v>1966.81</v>
      </c>
      <c r="L63" s="377">
        <v>1918.97</v>
      </c>
    </row>
    <row r="64" spans="1:12" x14ac:dyDescent="0.2">
      <c r="A64" t="s">
        <v>1063</v>
      </c>
      <c r="B64" s="160">
        <v>507158495.56999999</v>
      </c>
      <c r="C64" s="160">
        <v>0</v>
      </c>
      <c r="D64" s="160">
        <v>12953288.24</v>
      </c>
      <c r="E64" s="160">
        <v>494205207.32999998</v>
      </c>
      <c r="F64" s="160">
        <v>3616800</v>
      </c>
      <c r="G64" s="180">
        <v>256068.9</v>
      </c>
      <c r="H64" s="444">
        <v>0.98488129999999996</v>
      </c>
      <c r="I64" s="824">
        <v>2607.91</v>
      </c>
      <c r="J64" s="180">
        <v>254805.37</v>
      </c>
      <c r="K64" s="377">
        <v>1990.38</v>
      </c>
      <c r="L64" s="377">
        <v>1939.54</v>
      </c>
    </row>
    <row r="65" spans="1:12" x14ac:dyDescent="0.2">
      <c r="A65" t="s">
        <v>1181</v>
      </c>
      <c r="B65" s="160">
        <v>433625094</v>
      </c>
      <c r="C65" s="160">
        <v>151509</v>
      </c>
      <c r="D65" s="160">
        <v>38761591</v>
      </c>
      <c r="E65" s="160">
        <v>394863503</v>
      </c>
      <c r="F65" s="160">
        <v>3369371</v>
      </c>
      <c r="G65" s="180">
        <v>216261.39</v>
      </c>
      <c r="H65" s="444">
        <v>0.98</v>
      </c>
      <c r="I65" s="824">
        <v>547.62</v>
      </c>
      <c r="J65" s="180">
        <v>212483.78</v>
      </c>
      <c r="K65" s="377">
        <v>2040.74</v>
      </c>
      <c r="L65" s="377">
        <v>1858.32</v>
      </c>
    </row>
    <row r="66" spans="1:12" x14ac:dyDescent="0.2">
      <c r="A66" t="s">
        <v>582</v>
      </c>
      <c r="B66" s="160">
        <v>10615429</v>
      </c>
      <c r="C66" s="160">
        <v>0</v>
      </c>
      <c r="D66" s="160">
        <v>0</v>
      </c>
      <c r="E66" s="160">
        <v>10615429</v>
      </c>
      <c r="F66" s="160">
        <v>0</v>
      </c>
      <c r="G66" s="180">
        <v>46333.33</v>
      </c>
      <c r="H66" s="444">
        <v>0.98699999999999999</v>
      </c>
      <c r="I66" s="824">
        <v>0</v>
      </c>
      <c r="J66" s="180">
        <v>45731</v>
      </c>
      <c r="K66" s="377">
        <v>232.13</v>
      </c>
      <c r="L66" s="377">
        <v>232.13</v>
      </c>
    </row>
    <row r="67" spans="1:12" x14ac:dyDescent="0.2">
      <c r="A67" t="s">
        <v>723</v>
      </c>
      <c r="B67" s="160">
        <v>8298422</v>
      </c>
      <c r="C67" s="160">
        <v>0</v>
      </c>
      <c r="D67" s="160">
        <v>3596232</v>
      </c>
      <c r="E67" s="160">
        <v>4702190</v>
      </c>
      <c r="F67" s="160">
        <v>841368</v>
      </c>
      <c r="G67" s="180">
        <v>33585.18</v>
      </c>
      <c r="H67" s="444">
        <v>0.98499999999999999</v>
      </c>
      <c r="I67" s="824">
        <v>0</v>
      </c>
      <c r="J67" s="180">
        <v>33081.4</v>
      </c>
      <c r="K67" s="377">
        <v>250.85</v>
      </c>
      <c r="L67" s="377">
        <v>142.13999999999999</v>
      </c>
    </row>
    <row r="68" spans="1:12" x14ac:dyDescent="0.2">
      <c r="A68" t="s">
        <v>790</v>
      </c>
      <c r="B68" s="160">
        <v>9952541</v>
      </c>
      <c r="C68" s="160">
        <v>0</v>
      </c>
      <c r="D68" s="160">
        <v>1760028</v>
      </c>
      <c r="E68" s="160">
        <v>8192513</v>
      </c>
      <c r="F68" s="160">
        <v>2468240</v>
      </c>
      <c r="G68" s="180">
        <v>32544.53</v>
      </c>
      <c r="H68" s="444">
        <v>0.98799999999999999</v>
      </c>
      <c r="I68" s="824">
        <v>0</v>
      </c>
      <c r="J68" s="180">
        <v>32154</v>
      </c>
      <c r="K68" s="377">
        <v>309.52999999999997</v>
      </c>
      <c r="L68" s="377">
        <v>254.79</v>
      </c>
    </row>
    <row r="69" spans="1:12" x14ac:dyDescent="0.2">
      <c r="A69" t="s">
        <v>893</v>
      </c>
      <c r="B69" s="160">
        <v>21083892.039999999</v>
      </c>
      <c r="C69" s="160">
        <v>0</v>
      </c>
      <c r="D69" s="160">
        <v>10031601</v>
      </c>
      <c r="E69" s="160">
        <v>11052291.039999999</v>
      </c>
      <c r="F69" s="160">
        <v>629096</v>
      </c>
      <c r="G69" s="180">
        <v>66761.267609999995</v>
      </c>
      <c r="H69" s="444">
        <v>0.99399999999999999</v>
      </c>
      <c r="I69" s="824">
        <v>277.3</v>
      </c>
      <c r="J69" s="180">
        <v>66638</v>
      </c>
      <c r="K69" s="377">
        <v>316.39</v>
      </c>
      <c r="L69" s="377">
        <v>165.86</v>
      </c>
    </row>
    <row r="70" spans="1:12" x14ac:dyDescent="0.2">
      <c r="A70" t="s">
        <v>1184</v>
      </c>
      <c r="B70" s="160">
        <v>20349474</v>
      </c>
      <c r="C70" s="160">
        <v>0</v>
      </c>
      <c r="D70" s="160">
        <v>8094136</v>
      </c>
      <c r="E70" s="160">
        <v>12255338</v>
      </c>
      <c r="F70" s="160">
        <v>279070</v>
      </c>
      <c r="G70" s="180">
        <v>70163.88</v>
      </c>
      <c r="H70" s="444">
        <v>0.99399999999999999</v>
      </c>
      <c r="I70" s="824">
        <v>127.9</v>
      </c>
      <c r="J70" s="180">
        <v>69870.8</v>
      </c>
      <c r="K70" s="377">
        <v>291.24</v>
      </c>
      <c r="L70" s="377">
        <v>175.4</v>
      </c>
    </row>
    <row r="71" spans="1:12" x14ac:dyDescent="0.2">
      <c r="A71" t="s">
        <v>329</v>
      </c>
      <c r="B71" s="160">
        <v>11993256.882999999</v>
      </c>
      <c r="C71" s="160">
        <v>0</v>
      </c>
      <c r="D71" s="160">
        <v>3573239.68</v>
      </c>
      <c r="E71" s="160">
        <v>8420017.2029999997</v>
      </c>
      <c r="F71" s="160">
        <v>0</v>
      </c>
      <c r="G71" s="180">
        <v>42986.22</v>
      </c>
      <c r="H71" s="444">
        <v>0.99000010000000005</v>
      </c>
      <c r="I71" s="824">
        <v>1.22</v>
      </c>
      <c r="J71" s="180">
        <v>42557.58</v>
      </c>
      <c r="K71" s="377">
        <v>281.81</v>
      </c>
      <c r="L71" s="377">
        <v>197.85</v>
      </c>
    </row>
    <row r="72" spans="1:12" x14ac:dyDescent="0.2">
      <c r="A72" t="s">
        <v>473</v>
      </c>
      <c r="B72" s="160">
        <v>10079061.48</v>
      </c>
      <c r="C72" s="160">
        <v>0</v>
      </c>
      <c r="D72" s="160">
        <v>5196507</v>
      </c>
      <c r="E72" s="160">
        <v>4882554.4800000004</v>
      </c>
      <c r="F72" s="160">
        <v>0</v>
      </c>
      <c r="G72" s="180">
        <v>23795.07</v>
      </c>
      <c r="H72" s="444">
        <v>0.98199999999999998</v>
      </c>
      <c r="I72" s="824">
        <v>0</v>
      </c>
      <c r="J72" s="180">
        <v>23366.76</v>
      </c>
      <c r="K72" s="377">
        <v>431.34</v>
      </c>
      <c r="L72" s="377">
        <v>208.95</v>
      </c>
    </row>
    <row r="73" spans="1:12" x14ac:dyDescent="0.2">
      <c r="A73" t="s">
        <v>642</v>
      </c>
      <c r="B73" s="160">
        <v>6680443</v>
      </c>
      <c r="C73" s="160">
        <v>0</v>
      </c>
      <c r="D73" s="160">
        <v>629401</v>
      </c>
      <c r="E73" s="160">
        <v>6051042</v>
      </c>
      <c r="F73" s="160">
        <v>0</v>
      </c>
      <c r="G73" s="180">
        <v>31341.01</v>
      </c>
      <c r="H73" s="444">
        <v>0.98250000000000004</v>
      </c>
      <c r="I73" s="824">
        <v>0</v>
      </c>
      <c r="J73" s="180">
        <v>30792.54</v>
      </c>
      <c r="K73" s="377">
        <v>216.95</v>
      </c>
      <c r="L73" s="377">
        <v>196.51</v>
      </c>
    </row>
    <row r="74" spans="1:12" x14ac:dyDescent="0.2">
      <c r="A74" t="s">
        <v>700</v>
      </c>
      <c r="B74" s="160">
        <v>10047210</v>
      </c>
      <c r="C74" s="160">
        <v>0</v>
      </c>
      <c r="D74" s="160">
        <v>2293210</v>
      </c>
      <c r="E74" s="160">
        <v>7754000</v>
      </c>
      <c r="F74" s="160">
        <v>0</v>
      </c>
      <c r="G74" s="180">
        <v>32026.18</v>
      </c>
      <c r="H74" s="444">
        <v>0.99199999999999999</v>
      </c>
      <c r="I74" s="824">
        <v>0</v>
      </c>
      <c r="J74" s="180">
        <v>31769.97</v>
      </c>
      <c r="K74" s="377">
        <v>316.25</v>
      </c>
      <c r="L74" s="377">
        <v>244.07</v>
      </c>
    </row>
    <row r="75" spans="1:12" x14ac:dyDescent="0.2">
      <c r="A75" t="s">
        <v>781</v>
      </c>
      <c r="B75" s="160">
        <v>8416742</v>
      </c>
      <c r="C75" s="160">
        <v>0</v>
      </c>
      <c r="D75" s="160">
        <v>816882</v>
      </c>
      <c r="E75" s="160">
        <v>7599860</v>
      </c>
      <c r="F75" s="160">
        <v>0</v>
      </c>
      <c r="G75" s="180">
        <v>35035.839999999997</v>
      </c>
      <c r="H75" s="444">
        <v>0.98499999999999999</v>
      </c>
      <c r="I75" s="824">
        <v>0</v>
      </c>
      <c r="J75" s="180">
        <v>34510.300000000003</v>
      </c>
      <c r="K75" s="377">
        <v>243.89</v>
      </c>
      <c r="L75" s="377">
        <v>220.22</v>
      </c>
    </row>
    <row r="76" spans="1:12" x14ac:dyDescent="0.2">
      <c r="A76" t="s">
        <v>878</v>
      </c>
      <c r="B76" s="160">
        <v>8524534</v>
      </c>
      <c r="C76" s="160">
        <v>0</v>
      </c>
      <c r="D76" s="160">
        <v>1155634</v>
      </c>
      <c r="E76" s="160">
        <v>7368900</v>
      </c>
      <c r="F76" s="160">
        <v>0</v>
      </c>
      <c r="G76" s="180">
        <v>33201.01</v>
      </c>
      <c r="H76" s="444">
        <v>0.99</v>
      </c>
      <c r="I76" s="824">
        <v>0</v>
      </c>
      <c r="J76" s="180">
        <v>32869</v>
      </c>
      <c r="K76" s="377">
        <v>259.35000000000002</v>
      </c>
      <c r="L76" s="377">
        <v>224.19</v>
      </c>
    </row>
    <row r="77" spans="1:12" x14ac:dyDescent="0.2">
      <c r="A77" t="s">
        <v>1023</v>
      </c>
      <c r="B77" s="160">
        <v>11331005</v>
      </c>
      <c r="C77" s="160">
        <v>0</v>
      </c>
      <c r="D77" s="160">
        <v>4083784</v>
      </c>
      <c r="E77" s="160">
        <v>7247221</v>
      </c>
      <c r="F77" s="160">
        <v>0</v>
      </c>
      <c r="G77" s="180">
        <v>34131.129999999997</v>
      </c>
      <c r="H77" s="444">
        <v>0.98</v>
      </c>
      <c r="I77" s="824">
        <v>0</v>
      </c>
      <c r="J77" s="180">
        <v>33448.51</v>
      </c>
      <c r="K77" s="377">
        <v>338.76</v>
      </c>
      <c r="L77" s="377">
        <v>216.67</v>
      </c>
    </row>
    <row r="78" spans="1:12" x14ac:dyDescent="0.2">
      <c r="A78" t="s">
        <v>1187</v>
      </c>
      <c r="B78" s="160">
        <v>8580953</v>
      </c>
      <c r="C78" s="160">
        <v>0</v>
      </c>
      <c r="D78" s="160">
        <v>1211365</v>
      </c>
      <c r="E78" s="160">
        <v>7369588</v>
      </c>
      <c r="F78" s="160">
        <v>0</v>
      </c>
      <c r="G78" s="180">
        <v>40185.86</v>
      </c>
      <c r="H78" s="444">
        <v>0.99</v>
      </c>
      <c r="I78" s="824">
        <v>0</v>
      </c>
      <c r="J78" s="180">
        <v>39784</v>
      </c>
      <c r="K78" s="377">
        <v>215.69</v>
      </c>
      <c r="L78" s="377">
        <v>185.24</v>
      </c>
    </row>
    <row r="79" spans="1:12" x14ac:dyDescent="0.2">
      <c r="A79" t="s">
        <v>726</v>
      </c>
      <c r="B79" s="160">
        <v>17410188</v>
      </c>
      <c r="C79" s="160">
        <v>0</v>
      </c>
      <c r="D79" s="160">
        <v>6220006</v>
      </c>
      <c r="E79" s="160">
        <v>11190182</v>
      </c>
      <c r="F79" s="160">
        <v>0</v>
      </c>
      <c r="G79" s="180">
        <v>65912.5</v>
      </c>
      <c r="H79" s="444">
        <v>0.98599999999999999</v>
      </c>
      <c r="I79" s="824">
        <v>152.79</v>
      </c>
      <c r="J79" s="180">
        <v>65142.52</v>
      </c>
      <c r="K79" s="377">
        <v>267.26</v>
      </c>
      <c r="L79" s="377">
        <v>171.78</v>
      </c>
    </row>
    <row r="80" spans="1:12" x14ac:dyDescent="0.2">
      <c r="A80" t="s">
        <v>784</v>
      </c>
      <c r="B80" s="160">
        <v>7403098</v>
      </c>
      <c r="C80" s="160">
        <v>0</v>
      </c>
      <c r="D80" s="160">
        <v>0</v>
      </c>
      <c r="E80" s="160">
        <v>7403098</v>
      </c>
      <c r="F80" s="160">
        <v>0</v>
      </c>
      <c r="G80" s="180">
        <v>40873.85</v>
      </c>
      <c r="H80" s="444">
        <v>0.97499999999999998</v>
      </c>
      <c r="I80" s="824">
        <v>0</v>
      </c>
      <c r="J80" s="180">
        <v>39852</v>
      </c>
      <c r="K80" s="377">
        <v>185.76</v>
      </c>
      <c r="L80" s="377">
        <v>185.76</v>
      </c>
    </row>
    <row r="81" spans="1:12" x14ac:dyDescent="0.2">
      <c r="A81" t="s">
        <v>987</v>
      </c>
      <c r="B81" s="160">
        <v>10050700.560000001</v>
      </c>
      <c r="C81" s="160">
        <v>0</v>
      </c>
      <c r="D81" s="160">
        <v>2701848</v>
      </c>
      <c r="E81" s="160">
        <v>7348852.5599999996</v>
      </c>
      <c r="F81" s="160">
        <v>0</v>
      </c>
      <c r="G81" s="180">
        <v>31520.91</v>
      </c>
      <c r="H81" s="444">
        <v>0.9750008</v>
      </c>
      <c r="I81" s="824">
        <v>0</v>
      </c>
      <c r="J81" s="180">
        <v>30732.91</v>
      </c>
      <c r="K81" s="377">
        <v>327.02999999999997</v>
      </c>
      <c r="L81" s="377">
        <v>239.12</v>
      </c>
    </row>
    <row r="82" spans="1:12" x14ac:dyDescent="0.2">
      <c r="A82" t="s">
        <v>1020</v>
      </c>
      <c r="B82" s="160">
        <v>12074232</v>
      </c>
      <c r="C82" s="160">
        <v>0</v>
      </c>
      <c r="D82" s="160">
        <v>3911802</v>
      </c>
      <c r="E82" s="160">
        <v>8162430</v>
      </c>
      <c r="F82" s="160">
        <v>0</v>
      </c>
      <c r="G82" s="180">
        <v>38636.339999999997</v>
      </c>
      <c r="H82" s="444">
        <v>0.97499999999999998</v>
      </c>
      <c r="I82" s="824">
        <v>0</v>
      </c>
      <c r="J82" s="180">
        <v>37670.43</v>
      </c>
      <c r="K82" s="377">
        <v>320.52</v>
      </c>
      <c r="L82" s="377">
        <v>216.68</v>
      </c>
    </row>
    <row r="83" spans="1:12" x14ac:dyDescent="0.2">
      <c r="A83" t="s">
        <v>1193</v>
      </c>
      <c r="B83" s="160">
        <v>13192323</v>
      </c>
      <c r="C83" s="160">
        <v>0</v>
      </c>
      <c r="D83" s="160">
        <v>4474918</v>
      </c>
      <c r="E83" s="160">
        <v>8717405</v>
      </c>
      <c r="F83" s="160">
        <v>0</v>
      </c>
      <c r="G83" s="180">
        <v>45017.29</v>
      </c>
      <c r="H83" s="444">
        <v>0.98250000000000004</v>
      </c>
      <c r="I83" s="824">
        <v>97.8</v>
      </c>
      <c r="J83" s="180">
        <v>44327.29</v>
      </c>
      <c r="K83" s="377">
        <v>297.61</v>
      </c>
      <c r="L83" s="377">
        <v>196.66</v>
      </c>
    </row>
    <row r="84" spans="1:12" x14ac:dyDescent="0.2">
      <c r="A84" t="s">
        <v>1285</v>
      </c>
      <c r="B84" s="160">
        <v>16432368</v>
      </c>
      <c r="C84" s="160">
        <v>0</v>
      </c>
      <c r="D84" s="160">
        <v>6002408</v>
      </c>
      <c r="E84" s="160">
        <v>10429960</v>
      </c>
      <c r="F84" s="160">
        <v>0</v>
      </c>
      <c r="G84" s="180">
        <v>52668.03</v>
      </c>
      <c r="H84" s="444">
        <v>0.97899999999999998</v>
      </c>
      <c r="I84" s="824">
        <v>0</v>
      </c>
      <c r="J84" s="180">
        <v>51562</v>
      </c>
      <c r="K84" s="377">
        <v>318.69</v>
      </c>
      <c r="L84" s="377">
        <v>202.28</v>
      </c>
    </row>
    <row r="85" spans="1:12" x14ac:dyDescent="0.2">
      <c r="A85" t="s">
        <v>1315</v>
      </c>
      <c r="B85" s="160">
        <v>7525819</v>
      </c>
      <c r="C85" s="160">
        <v>0</v>
      </c>
      <c r="D85" s="160">
        <v>2371810</v>
      </c>
      <c r="E85" s="160">
        <v>5154009</v>
      </c>
      <c r="F85" s="160">
        <v>0</v>
      </c>
      <c r="G85" s="180">
        <v>27365.599999999999</v>
      </c>
      <c r="H85" s="444">
        <v>0.96499999999999997</v>
      </c>
      <c r="I85" s="824">
        <v>0</v>
      </c>
      <c r="J85" s="180">
        <v>26407.8</v>
      </c>
      <c r="K85" s="377">
        <v>284.98</v>
      </c>
      <c r="L85" s="377">
        <v>195.17</v>
      </c>
    </row>
    <row r="86" spans="1:12" x14ac:dyDescent="0.2">
      <c r="A86" t="s">
        <v>1364</v>
      </c>
      <c r="B86" s="160">
        <v>8413556</v>
      </c>
      <c r="C86" s="160">
        <v>0</v>
      </c>
      <c r="D86" s="160">
        <v>2450898</v>
      </c>
      <c r="E86" s="160">
        <v>5962658</v>
      </c>
      <c r="F86" s="160">
        <v>0</v>
      </c>
      <c r="G86" s="180">
        <v>22566.2</v>
      </c>
      <c r="H86" s="444">
        <v>0.98</v>
      </c>
      <c r="I86" s="824">
        <v>17.399999999999999</v>
      </c>
      <c r="J86" s="180">
        <v>22132.28</v>
      </c>
      <c r="K86" s="377">
        <v>380.15</v>
      </c>
      <c r="L86" s="377">
        <v>269.41000000000003</v>
      </c>
    </row>
    <row r="87" spans="1:12" x14ac:dyDescent="0.2">
      <c r="A87" t="s">
        <v>757</v>
      </c>
      <c r="B87" s="160">
        <v>10303104</v>
      </c>
      <c r="C87" s="160">
        <v>0</v>
      </c>
      <c r="D87" s="160">
        <v>0</v>
      </c>
      <c r="E87" s="160">
        <v>10303104</v>
      </c>
      <c r="F87" s="160">
        <v>298412</v>
      </c>
      <c r="G87" s="180">
        <v>36943.4</v>
      </c>
      <c r="H87" s="444">
        <v>0.97499999999999998</v>
      </c>
      <c r="I87" s="824">
        <v>0</v>
      </c>
      <c r="J87" s="180">
        <v>36019.82</v>
      </c>
      <c r="K87" s="377">
        <v>286.04000000000002</v>
      </c>
      <c r="L87" s="377">
        <v>286.04000000000002</v>
      </c>
    </row>
    <row r="88" spans="1:12" x14ac:dyDescent="0.2">
      <c r="A88" t="s">
        <v>863</v>
      </c>
      <c r="B88" s="160">
        <v>8391691</v>
      </c>
      <c r="C88" s="160">
        <v>0</v>
      </c>
      <c r="D88" s="160">
        <v>0</v>
      </c>
      <c r="E88" s="160">
        <v>8391691</v>
      </c>
      <c r="F88" s="160">
        <v>0</v>
      </c>
      <c r="G88" s="180">
        <v>28262.38725</v>
      </c>
      <c r="H88" s="444">
        <v>0.96499999999999997</v>
      </c>
      <c r="I88" s="824">
        <v>0</v>
      </c>
      <c r="J88" s="180">
        <v>27273.200000000001</v>
      </c>
      <c r="K88" s="377">
        <v>307.69</v>
      </c>
      <c r="L88" s="377">
        <v>307.69</v>
      </c>
    </row>
    <row r="89" spans="1:12" x14ac:dyDescent="0.2">
      <c r="A89" t="s">
        <v>945</v>
      </c>
      <c r="B89" s="160">
        <v>14839425</v>
      </c>
      <c r="C89" s="160">
        <v>732478</v>
      </c>
      <c r="D89" s="160">
        <v>5685413</v>
      </c>
      <c r="E89" s="160">
        <v>9154012</v>
      </c>
      <c r="F89" s="160">
        <v>0</v>
      </c>
      <c r="G89" s="180">
        <v>39749.910000000003</v>
      </c>
      <c r="H89" s="444">
        <v>0.98</v>
      </c>
      <c r="I89" s="824">
        <v>0</v>
      </c>
      <c r="J89" s="180">
        <v>38954.910000000003</v>
      </c>
      <c r="K89" s="377">
        <v>380.94</v>
      </c>
      <c r="L89" s="377">
        <v>234.99</v>
      </c>
    </row>
    <row r="90" spans="1:12" x14ac:dyDescent="0.2">
      <c r="A90" t="s">
        <v>1135</v>
      </c>
      <c r="B90" s="160">
        <v>12494878</v>
      </c>
      <c r="C90" s="160">
        <v>811745</v>
      </c>
      <c r="D90" s="160">
        <v>3323298</v>
      </c>
      <c r="E90" s="160">
        <v>9171580</v>
      </c>
      <c r="F90" s="160">
        <v>0</v>
      </c>
      <c r="G90" s="180">
        <v>40372.230000000003</v>
      </c>
      <c r="H90" s="444">
        <v>0.98299999999999998</v>
      </c>
      <c r="I90" s="824">
        <v>0</v>
      </c>
      <c r="J90" s="180">
        <v>39685.9</v>
      </c>
      <c r="K90" s="377">
        <v>314.83999999999997</v>
      </c>
      <c r="L90" s="377">
        <v>231.1</v>
      </c>
    </row>
    <row r="91" spans="1:12" x14ac:dyDescent="0.2">
      <c r="A91" t="s">
        <v>1355</v>
      </c>
      <c r="B91" s="160">
        <v>25103213</v>
      </c>
      <c r="C91" s="160">
        <v>0</v>
      </c>
      <c r="D91" s="160">
        <v>9767433</v>
      </c>
      <c r="E91" s="160">
        <v>15335780</v>
      </c>
      <c r="F91" s="160">
        <v>95000</v>
      </c>
      <c r="G91" s="180">
        <v>70404.800000000003</v>
      </c>
      <c r="H91" s="444">
        <v>0.98499999999999999</v>
      </c>
      <c r="I91" s="824">
        <v>0</v>
      </c>
      <c r="J91" s="180">
        <v>69348.73</v>
      </c>
      <c r="K91" s="377">
        <v>361.99</v>
      </c>
      <c r="L91" s="377">
        <v>221.14</v>
      </c>
    </row>
    <row r="92" spans="1:12" x14ac:dyDescent="0.2">
      <c r="A92" t="s">
        <v>400</v>
      </c>
      <c r="B92" s="160">
        <v>19536375</v>
      </c>
      <c r="C92" s="160">
        <v>0</v>
      </c>
      <c r="D92" s="160">
        <v>772945</v>
      </c>
      <c r="E92" s="160">
        <v>18763430</v>
      </c>
      <c r="F92" s="160">
        <v>0</v>
      </c>
      <c r="G92" s="180">
        <v>63188</v>
      </c>
      <c r="H92" s="444">
        <v>0.97499999999999998</v>
      </c>
      <c r="I92" s="824">
        <v>0</v>
      </c>
      <c r="J92" s="180">
        <v>61608.3</v>
      </c>
      <c r="K92" s="377">
        <v>317.11</v>
      </c>
      <c r="L92" s="377">
        <v>304.56</v>
      </c>
    </row>
    <row r="93" spans="1:12" x14ac:dyDescent="0.2">
      <c r="A93" t="s">
        <v>515</v>
      </c>
      <c r="B93" s="160">
        <v>15515157</v>
      </c>
      <c r="C93" s="160">
        <v>0</v>
      </c>
      <c r="D93" s="160">
        <v>3550302</v>
      </c>
      <c r="E93" s="160">
        <v>11964855</v>
      </c>
      <c r="F93" s="160">
        <v>0</v>
      </c>
      <c r="G93" s="180">
        <v>59113.49</v>
      </c>
      <c r="H93" s="444">
        <v>0.98250000000000004</v>
      </c>
      <c r="I93" s="824">
        <v>0</v>
      </c>
      <c r="J93" s="180">
        <v>58079</v>
      </c>
      <c r="K93" s="377">
        <v>267.14</v>
      </c>
      <c r="L93" s="377">
        <v>206.01</v>
      </c>
    </row>
    <row r="94" spans="1:12" x14ac:dyDescent="0.2">
      <c r="A94" t="s">
        <v>529</v>
      </c>
      <c r="B94" s="160">
        <v>8254873</v>
      </c>
      <c r="C94" s="160">
        <v>0</v>
      </c>
      <c r="D94" s="160">
        <v>765877</v>
      </c>
      <c r="E94" s="160">
        <v>7488996</v>
      </c>
      <c r="F94" s="160">
        <v>0</v>
      </c>
      <c r="G94" s="180">
        <v>35469.17</v>
      </c>
      <c r="H94" s="444">
        <v>0.97299999999999998</v>
      </c>
      <c r="I94" s="824">
        <v>0</v>
      </c>
      <c r="J94" s="180">
        <v>34511.5</v>
      </c>
      <c r="K94" s="377">
        <v>239.19</v>
      </c>
      <c r="L94" s="377">
        <v>217</v>
      </c>
    </row>
    <row r="95" spans="1:12" x14ac:dyDescent="0.2">
      <c r="A95" t="s">
        <v>608</v>
      </c>
      <c r="B95" s="160">
        <v>9367456</v>
      </c>
      <c r="C95" s="160">
        <v>0</v>
      </c>
      <c r="D95" s="160">
        <v>297866</v>
      </c>
      <c r="E95" s="160">
        <v>9069590</v>
      </c>
      <c r="F95" s="160">
        <v>0</v>
      </c>
      <c r="G95" s="180">
        <v>31944</v>
      </c>
      <c r="H95" s="444">
        <v>0.97850000000000004</v>
      </c>
      <c r="I95" s="824">
        <v>0</v>
      </c>
      <c r="J95" s="180">
        <v>31257.200000000001</v>
      </c>
      <c r="K95" s="377">
        <v>299.69</v>
      </c>
      <c r="L95" s="377">
        <v>290.16000000000003</v>
      </c>
    </row>
    <row r="96" spans="1:12" x14ac:dyDescent="0.2">
      <c r="A96" t="s">
        <v>617</v>
      </c>
      <c r="B96" s="160">
        <v>20141940</v>
      </c>
      <c r="C96" s="160">
        <v>2368178</v>
      </c>
      <c r="D96" s="160">
        <v>3703320</v>
      </c>
      <c r="E96" s="160">
        <v>16438620</v>
      </c>
      <c r="F96" s="160">
        <v>0</v>
      </c>
      <c r="G96" s="180">
        <v>73094.5</v>
      </c>
      <c r="H96" s="444">
        <v>0.98609999999999998</v>
      </c>
      <c r="I96" s="824">
        <v>0</v>
      </c>
      <c r="J96" s="180">
        <v>72078.490000000005</v>
      </c>
      <c r="K96" s="377">
        <v>279.44</v>
      </c>
      <c r="L96" s="377">
        <v>228.07</v>
      </c>
    </row>
    <row r="97" spans="1:12" x14ac:dyDescent="0.2">
      <c r="A97" t="s">
        <v>654</v>
      </c>
      <c r="B97" s="160">
        <v>17777676</v>
      </c>
      <c r="C97" s="160">
        <v>0</v>
      </c>
      <c r="D97" s="160">
        <v>2695106</v>
      </c>
      <c r="E97" s="160">
        <v>15082570</v>
      </c>
      <c r="F97" s="160">
        <v>0</v>
      </c>
      <c r="G97" s="180">
        <v>67093.740000000005</v>
      </c>
      <c r="H97" s="444">
        <v>0.99</v>
      </c>
      <c r="I97" s="824">
        <v>778.1</v>
      </c>
      <c r="J97" s="180">
        <v>67200.899999999994</v>
      </c>
      <c r="K97" s="377">
        <v>264.55</v>
      </c>
      <c r="L97" s="377">
        <v>224.44</v>
      </c>
    </row>
    <row r="98" spans="1:12" x14ac:dyDescent="0.2">
      <c r="A98" t="s">
        <v>775</v>
      </c>
      <c r="B98" s="160">
        <v>14498964</v>
      </c>
      <c r="C98" s="160">
        <v>0</v>
      </c>
      <c r="D98" s="160">
        <v>4876966</v>
      </c>
      <c r="E98" s="160">
        <v>9621998</v>
      </c>
      <c r="F98" s="160">
        <v>0</v>
      </c>
      <c r="G98" s="180">
        <v>57086.84</v>
      </c>
      <c r="H98" s="444">
        <v>0.98</v>
      </c>
      <c r="I98" s="824">
        <v>0</v>
      </c>
      <c r="J98" s="180">
        <v>55945.1</v>
      </c>
      <c r="K98" s="377">
        <v>259.16000000000003</v>
      </c>
      <c r="L98" s="377">
        <v>171.99</v>
      </c>
    </row>
    <row r="99" spans="1:12" x14ac:dyDescent="0.2">
      <c r="A99" t="s">
        <v>847</v>
      </c>
      <c r="B99" s="160">
        <v>8464071</v>
      </c>
      <c r="C99" s="160">
        <v>0</v>
      </c>
      <c r="D99" s="160">
        <v>0</v>
      </c>
      <c r="E99" s="160">
        <v>8464071</v>
      </c>
      <c r="F99" s="160">
        <v>0</v>
      </c>
      <c r="G99" s="180">
        <v>30101.279999999999</v>
      </c>
      <c r="H99" s="444">
        <v>0.97330000000000005</v>
      </c>
      <c r="I99" s="824">
        <v>0</v>
      </c>
      <c r="J99" s="180">
        <v>29297.58</v>
      </c>
      <c r="K99" s="377">
        <v>288.89999999999998</v>
      </c>
      <c r="L99" s="377">
        <v>288.89999999999998</v>
      </c>
    </row>
    <row r="100" spans="1:12" x14ac:dyDescent="0.2">
      <c r="A100" t="s">
        <v>966</v>
      </c>
      <c r="B100" s="160">
        <v>8198545</v>
      </c>
      <c r="C100" s="160">
        <v>0</v>
      </c>
      <c r="D100" s="160">
        <v>1968056</v>
      </c>
      <c r="E100" s="160">
        <v>6230489</v>
      </c>
      <c r="F100" s="160">
        <v>0</v>
      </c>
      <c r="G100" s="180">
        <v>27486.6</v>
      </c>
      <c r="H100" s="444">
        <v>0.97699999999999998</v>
      </c>
      <c r="I100" s="824">
        <v>0</v>
      </c>
      <c r="J100" s="180">
        <v>26854.41</v>
      </c>
      <c r="K100" s="377">
        <v>305.3</v>
      </c>
      <c r="L100" s="377">
        <v>232.01</v>
      </c>
    </row>
    <row r="101" spans="1:12" x14ac:dyDescent="0.2">
      <c r="A101" t="s">
        <v>1129</v>
      </c>
      <c r="B101" s="160">
        <v>11433706</v>
      </c>
      <c r="C101" s="160">
        <v>0</v>
      </c>
      <c r="D101" s="160">
        <v>2445046</v>
      </c>
      <c r="E101" s="160">
        <v>8988660</v>
      </c>
      <c r="F101" s="160">
        <v>0</v>
      </c>
      <c r="G101" s="180">
        <v>34093.4</v>
      </c>
      <c r="H101" s="444">
        <v>0.98499999999999999</v>
      </c>
      <c r="I101" s="824">
        <v>0</v>
      </c>
      <c r="J101" s="180">
        <v>33582</v>
      </c>
      <c r="K101" s="377">
        <v>340.47</v>
      </c>
      <c r="L101" s="377">
        <v>267.66000000000003</v>
      </c>
    </row>
    <row r="102" spans="1:12" x14ac:dyDescent="0.2">
      <c r="A102" t="s">
        <v>1291</v>
      </c>
      <c r="B102" s="160">
        <v>13423869</v>
      </c>
      <c r="C102" s="160">
        <v>682999</v>
      </c>
      <c r="D102" s="160">
        <v>2750189</v>
      </c>
      <c r="E102" s="160">
        <v>10673680</v>
      </c>
      <c r="F102" s="160">
        <v>0</v>
      </c>
      <c r="G102" s="180">
        <v>55037.86</v>
      </c>
      <c r="H102" s="444">
        <v>0.97199999999999998</v>
      </c>
      <c r="I102" s="824">
        <v>0</v>
      </c>
      <c r="J102" s="180">
        <v>53496.800000000003</v>
      </c>
      <c r="K102" s="377">
        <v>250.93</v>
      </c>
      <c r="L102" s="377">
        <v>199.52</v>
      </c>
    </row>
    <row r="103" spans="1:12" x14ac:dyDescent="0.2">
      <c r="A103" t="s">
        <v>1326</v>
      </c>
      <c r="B103" s="160">
        <v>12567782</v>
      </c>
      <c r="C103" s="160">
        <v>0</v>
      </c>
      <c r="D103" s="160">
        <v>5186478</v>
      </c>
      <c r="E103" s="160">
        <v>7381304</v>
      </c>
      <c r="F103" s="160">
        <v>0</v>
      </c>
      <c r="G103" s="180">
        <v>40858.85</v>
      </c>
      <c r="H103" s="444">
        <v>0.98599999999999999</v>
      </c>
      <c r="I103" s="824">
        <v>265.33</v>
      </c>
      <c r="J103" s="180">
        <v>40552.160000000003</v>
      </c>
      <c r="K103" s="377">
        <v>309.92</v>
      </c>
      <c r="L103" s="377">
        <v>182.02</v>
      </c>
    </row>
    <row r="104" spans="1:12" x14ac:dyDescent="0.2">
      <c r="A104" t="s">
        <v>620</v>
      </c>
      <c r="B104" s="160">
        <v>11403821</v>
      </c>
      <c r="C104" s="160">
        <v>0</v>
      </c>
      <c r="D104" s="160">
        <v>522857</v>
      </c>
      <c r="E104" s="160">
        <v>10880964</v>
      </c>
      <c r="F104" s="160">
        <v>0</v>
      </c>
      <c r="G104" s="180">
        <v>44899.19</v>
      </c>
      <c r="H104" s="444">
        <v>0.99</v>
      </c>
      <c r="I104" s="824">
        <v>0</v>
      </c>
      <c r="J104" s="180">
        <v>44450.2</v>
      </c>
      <c r="K104" s="377">
        <v>256.55</v>
      </c>
      <c r="L104" s="377">
        <v>244.79</v>
      </c>
    </row>
    <row r="105" spans="1:12" x14ac:dyDescent="0.2">
      <c r="A105" t="s">
        <v>662</v>
      </c>
      <c r="B105" s="160">
        <v>12224262.26</v>
      </c>
      <c r="C105" s="160">
        <v>0</v>
      </c>
      <c r="D105" s="160">
        <v>5158844.75</v>
      </c>
      <c r="E105" s="160">
        <v>7065417.5099999998</v>
      </c>
      <c r="F105" s="160">
        <v>0</v>
      </c>
      <c r="G105" s="180">
        <v>44765.108990000001</v>
      </c>
      <c r="H105" s="444">
        <v>0.99</v>
      </c>
      <c r="I105" s="824">
        <v>138.69999999999999</v>
      </c>
      <c r="J105" s="180">
        <v>44456.160000000003</v>
      </c>
      <c r="K105" s="377">
        <v>274.97000000000003</v>
      </c>
      <c r="L105" s="377">
        <v>158.93</v>
      </c>
    </row>
    <row r="106" spans="1:12" x14ac:dyDescent="0.2">
      <c r="A106" t="s">
        <v>796</v>
      </c>
      <c r="B106" s="160">
        <v>10336605</v>
      </c>
      <c r="C106" s="160">
        <v>9110</v>
      </c>
      <c r="D106" s="160">
        <v>3598575</v>
      </c>
      <c r="E106" s="160">
        <v>6738030</v>
      </c>
      <c r="F106" s="160">
        <v>0</v>
      </c>
      <c r="G106" s="180">
        <v>32020.6</v>
      </c>
      <c r="H106" s="444">
        <v>0.98750000000000004</v>
      </c>
      <c r="I106" s="824">
        <v>170.34</v>
      </c>
      <c r="J106" s="180">
        <v>31790.68</v>
      </c>
      <c r="K106" s="377">
        <v>325.14999999999998</v>
      </c>
      <c r="L106" s="377">
        <v>211.95</v>
      </c>
    </row>
    <row r="107" spans="1:12" x14ac:dyDescent="0.2">
      <c r="A107" t="s">
        <v>812</v>
      </c>
      <c r="B107" s="160">
        <v>9735977</v>
      </c>
      <c r="C107" s="160">
        <v>0</v>
      </c>
      <c r="D107" s="160">
        <v>294195</v>
      </c>
      <c r="E107" s="160">
        <v>9441782</v>
      </c>
      <c r="F107" s="160">
        <v>0</v>
      </c>
      <c r="G107" s="180">
        <v>40309.06</v>
      </c>
      <c r="H107" s="444">
        <v>0.98750000000000004</v>
      </c>
      <c r="I107" s="824">
        <v>26.1</v>
      </c>
      <c r="J107" s="180">
        <v>39831.300000000003</v>
      </c>
      <c r="K107" s="377">
        <v>244.43</v>
      </c>
      <c r="L107" s="377">
        <v>237.04</v>
      </c>
    </row>
    <row r="108" spans="1:12" x14ac:dyDescent="0.2">
      <c r="A108" t="s">
        <v>1256</v>
      </c>
      <c r="B108" s="160">
        <v>17559278</v>
      </c>
      <c r="C108" s="160">
        <v>0</v>
      </c>
      <c r="D108" s="160">
        <v>5949332</v>
      </c>
      <c r="E108" s="160">
        <v>11609946</v>
      </c>
      <c r="F108" s="160">
        <v>0</v>
      </c>
      <c r="G108" s="180">
        <v>48736.71</v>
      </c>
      <c r="H108" s="444">
        <v>0.98</v>
      </c>
      <c r="I108" s="824">
        <v>0</v>
      </c>
      <c r="J108" s="180">
        <v>47761.98</v>
      </c>
      <c r="K108" s="377">
        <v>367.64</v>
      </c>
      <c r="L108" s="377">
        <v>243.08</v>
      </c>
    </row>
    <row r="109" spans="1:12" x14ac:dyDescent="0.2">
      <c r="A109" t="s">
        <v>1297</v>
      </c>
      <c r="B109" s="160">
        <v>8719447.1899999995</v>
      </c>
      <c r="C109" s="160">
        <v>0</v>
      </c>
      <c r="D109" s="160">
        <v>2926539</v>
      </c>
      <c r="E109" s="160">
        <v>5792908.1900000004</v>
      </c>
      <c r="F109" s="160">
        <v>0</v>
      </c>
      <c r="G109" s="180">
        <v>38928.800000000003</v>
      </c>
      <c r="H109" s="444">
        <v>0.98499999999999999</v>
      </c>
      <c r="I109" s="824">
        <v>440</v>
      </c>
      <c r="J109" s="180">
        <v>38784.870000000003</v>
      </c>
      <c r="K109" s="377">
        <v>224.82</v>
      </c>
      <c r="L109" s="377">
        <v>149.36000000000001</v>
      </c>
    </row>
    <row r="110" spans="1:12" x14ac:dyDescent="0.2">
      <c r="A110" t="s">
        <v>410</v>
      </c>
      <c r="B110" s="160">
        <v>12235919</v>
      </c>
      <c r="C110" s="160">
        <v>0</v>
      </c>
      <c r="D110" s="160">
        <v>1982819</v>
      </c>
      <c r="E110" s="160">
        <v>10253100</v>
      </c>
      <c r="F110" s="160">
        <v>0</v>
      </c>
      <c r="G110" s="180">
        <v>71454.42</v>
      </c>
      <c r="H110" s="444">
        <v>0.98</v>
      </c>
      <c r="I110" s="824">
        <v>0</v>
      </c>
      <c r="J110" s="180">
        <v>70025.33</v>
      </c>
      <c r="K110" s="377">
        <v>174.74</v>
      </c>
      <c r="L110" s="377">
        <v>146.41999999999999</v>
      </c>
    </row>
    <row r="111" spans="1:12" x14ac:dyDescent="0.2">
      <c r="A111" t="s">
        <v>733</v>
      </c>
      <c r="B111" s="160">
        <v>13655482</v>
      </c>
      <c r="C111" s="160">
        <v>0</v>
      </c>
      <c r="D111" s="160">
        <v>5630563</v>
      </c>
      <c r="E111" s="160">
        <v>8024919</v>
      </c>
      <c r="F111" s="160">
        <v>0</v>
      </c>
      <c r="G111" s="180">
        <v>52982.28</v>
      </c>
      <c r="H111" s="444">
        <v>0.997</v>
      </c>
      <c r="I111" s="824">
        <v>0</v>
      </c>
      <c r="J111" s="180">
        <v>52823.33</v>
      </c>
      <c r="K111" s="377">
        <v>258.51</v>
      </c>
      <c r="L111" s="377">
        <v>151.91999999999999</v>
      </c>
    </row>
    <row r="112" spans="1:12" x14ac:dyDescent="0.2">
      <c r="A112" t="s">
        <v>762</v>
      </c>
      <c r="B112" s="160">
        <v>12619579</v>
      </c>
      <c r="C112" s="160">
        <v>1156174</v>
      </c>
      <c r="D112" s="160">
        <v>5491444</v>
      </c>
      <c r="E112" s="160">
        <v>7128135</v>
      </c>
      <c r="F112" s="160">
        <v>0</v>
      </c>
      <c r="G112" s="180">
        <v>50847.5</v>
      </c>
      <c r="H112" s="444">
        <v>0.97499999999999998</v>
      </c>
      <c r="I112" s="824">
        <v>0</v>
      </c>
      <c r="J112" s="180">
        <v>49576.31</v>
      </c>
      <c r="K112" s="377">
        <v>254.55</v>
      </c>
      <c r="L112" s="377">
        <v>143.78</v>
      </c>
    </row>
    <row r="113" spans="1:12" x14ac:dyDescent="0.2">
      <c r="A113" t="s">
        <v>787</v>
      </c>
      <c r="B113" s="160">
        <v>8536643</v>
      </c>
      <c r="C113" s="160">
        <v>0</v>
      </c>
      <c r="D113" s="160">
        <v>0</v>
      </c>
      <c r="E113" s="160">
        <v>8536643</v>
      </c>
      <c r="F113" s="160">
        <v>0</v>
      </c>
      <c r="G113" s="180">
        <v>44277.48</v>
      </c>
      <c r="H113" s="444">
        <v>0.999</v>
      </c>
      <c r="I113" s="824">
        <v>363.2</v>
      </c>
      <c r="J113" s="180">
        <v>44596.4</v>
      </c>
      <c r="K113" s="377">
        <v>191.42</v>
      </c>
      <c r="L113" s="377">
        <v>191.42</v>
      </c>
    </row>
    <row r="114" spans="1:12" x14ac:dyDescent="0.2">
      <c r="A114" t="s">
        <v>815</v>
      </c>
      <c r="B114" s="160">
        <v>7124020</v>
      </c>
      <c r="C114" s="160">
        <v>0</v>
      </c>
      <c r="D114" s="160">
        <v>0</v>
      </c>
      <c r="E114" s="160">
        <v>7124020</v>
      </c>
      <c r="F114" s="160">
        <v>0</v>
      </c>
      <c r="G114" s="180">
        <v>26989.439999999999</v>
      </c>
      <c r="H114" s="444">
        <v>0.97499999999999998</v>
      </c>
      <c r="I114" s="824">
        <v>771.8</v>
      </c>
      <c r="J114" s="180">
        <v>27086.5</v>
      </c>
      <c r="K114" s="377">
        <v>263.01</v>
      </c>
      <c r="L114" s="377">
        <v>263.01</v>
      </c>
    </row>
    <row r="115" spans="1:12" x14ac:dyDescent="0.2">
      <c r="A115" t="s">
        <v>853</v>
      </c>
      <c r="B115" s="160">
        <v>13439428</v>
      </c>
      <c r="C115" s="160">
        <v>0</v>
      </c>
      <c r="D115" s="160">
        <v>4648400</v>
      </c>
      <c r="E115" s="160">
        <v>8791028</v>
      </c>
      <c r="F115" s="160">
        <v>0</v>
      </c>
      <c r="G115" s="180">
        <v>43088.71</v>
      </c>
      <c r="H115" s="444">
        <v>0.98699999999999999</v>
      </c>
      <c r="I115" s="824">
        <v>543.6</v>
      </c>
      <c r="J115" s="180">
        <v>43072.160000000003</v>
      </c>
      <c r="K115" s="377">
        <v>312.02</v>
      </c>
      <c r="L115" s="377">
        <v>204.1</v>
      </c>
    </row>
    <row r="116" spans="1:12" x14ac:dyDescent="0.2">
      <c r="A116" t="s">
        <v>866</v>
      </c>
      <c r="B116" s="160">
        <v>10345021</v>
      </c>
      <c r="C116" s="160">
        <v>0</v>
      </c>
      <c r="D116" s="160">
        <v>0</v>
      </c>
      <c r="E116" s="160">
        <v>10345021</v>
      </c>
      <c r="F116" s="160">
        <v>0</v>
      </c>
      <c r="G116" s="180">
        <v>43624.2</v>
      </c>
      <c r="H116" s="444">
        <v>0.98750000000000004</v>
      </c>
      <c r="I116" s="824">
        <v>68.5</v>
      </c>
      <c r="J116" s="180">
        <v>43147.4</v>
      </c>
      <c r="K116" s="377">
        <v>239.76</v>
      </c>
      <c r="L116" s="377">
        <v>239.76</v>
      </c>
    </row>
    <row r="117" spans="1:12" x14ac:dyDescent="0.2">
      <c r="A117" t="s">
        <v>1005</v>
      </c>
      <c r="B117" s="160">
        <v>24224876</v>
      </c>
      <c r="C117" s="160">
        <v>0</v>
      </c>
      <c r="D117" s="160">
        <v>9130576</v>
      </c>
      <c r="E117" s="160">
        <v>15094300</v>
      </c>
      <c r="F117" s="160">
        <v>0</v>
      </c>
      <c r="G117" s="180">
        <v>74249.95</v>
      </c>
      <c r="H117" s="444">
        <v>0.98499999999999999</v>
      </c>
      <c r="I117" s="824">
        <v>218.8</v>
      </c>
      <c r="J117" s="180">
        <v>73355</v>
      </c>
      <c r="K117" s="377">
        <v>330.24</v>
      </c>
      <c r="L117" s="377">
        <v>205.77</v>
      </c>
    </row>
    <row r="118" spans="1:12" x14ac:dyDescent="0.2">
      <c r="A118" t="s">
        <v>1150</v>
      </c>
      <c r="B118" s="160">
        <v>8008154</v>
      </c>
      <c r="C118" s="160">
        <v>0</v>
      </c>
      <c r="D118" s="160">
        <v>0</v>
      </c>
      <c r="E118" s="160">
        <v>8008154</v>
      </c>
      <c r="F118" s="160">
        <v>0</v>
      </c>
      <c r="G118" s="180">
        <v>32200.58</v>
      </c>
      <c r="H118" s="444">
        <v>0.98</v>
      </c>
      <c r="I118" s="824">
        <v>1854</v>
      </c>
      <c r="J118" s="180">
        <v>33410.57</v>
      </c>
      <c r="K118" s="377">
        <v>239.69</v>
      </c>
      <c r="L118" s="377">
        <v>239.69</v>
      </c>
    </row>
    <row r="119" spans="1:12" x14ac:dyDescent="0.2">
      <c r="A119" t="s">
        <v>1294</v>
      </c>
      <c r="B119" s="160">
        <v>11707984</v>
      </c>
      <c r="C119" s="160">
        <v>350692</v>
      </c>
      <c r="D119" s="160">
        <v>2505225</v>
      </c>
      <c r="E119" s="160">
        <v>9202759</v>
      </c>
      <c r="F119" s="160">
        <v>0</v>
      </c>
      <c r="G119" s="180">
        <v>52522.400000000001</v>
      </c>
      <c r="H119" s="444">
        <v>0.98499999999999999</v>
      </c>
      <c r="I119" s="824">
        <v>672.44</v>
      </c>
      <c r="J119" s="180">
        <v>52407</v>
      </c>
      <c r="K119" s="377">
        <v>223.4</v>
      </c>
      <c r="L119" s="377">
        <v>175.6</v>
      </c>
    </row>
    <row r="120" spans="1:12" x14ac:dyDescent="0.2">
      <c r="A120" t="s">
        <v>1394</v>
      </c>
      <c r="B120" s="160">
        <v>15263391</v>
      </c>
      <c r="C120" s="160">
        <v>1364045</v>
      </c>
      <c r="D120" s="160">
        <v>4916621</v>
      </c>
      <c r="E120" s="160">
        <v>10346770</v>
      </c>
      <c r="F120" s="160">
        <v>0</v>
      </c>
      <c r="G120" s="180">
        <v>54820.24</v>
      </c>
      <c r="H120" s="444">
        <v>0.99299999999999999</v>
      </c>
      <c r="I120" s="824">
        <v>450</v>
      </c>
      <c r="J120" s="180">
        <v>54886.5</v>
      </c>
      <c r="K120" s="377">
        <v>278.08999999999997</v>
      </c>
      <c r="L120" s="377">
        <v>188.51</v>
      </c>
    </row>
    <row r="121" spans="1:12" x14ac:dyDescent="0.2">
      <c r="A121" t="s">
        <v>556</v>
      </c>
      <c r="B121" s="160">
        <v>5980461</v>
      </c>
      <c r="C121" s="160">
        <v>0</v>
      </c>
      <c r="D121" s="160">
        <v>0</v>
      </c>
      <c r="E121" s="160">
        <v>5980461</v>
      </c>
      <c r="F121" s="160">
        <v>0</v>
      </c>
      <c r="G121" s="180">
        <v>37383.699999999997</v>
      </c>
      <c r="H121" s="444">
        <v>0.98</v>
      </c>
      <c r="I121" s="824">
        <v>0</v>
      </c>
      <c r="J121" s="180">
        <v>36636.03</v>
      </c>
      <c r="K121" s="377">
        <v>163.24</v>
      </c>
      <c r="L121" s="377">
        <v>163.24</v>
      </c>
    </row>
    <row r="122" spans="1:12" x14ac:dyDescent="0.2">
      <c r="A122" t="s">
        <v>681</v>
      </c>
      <c r="B122" s="160">
        <v>15564139.529999999</v>
      </c>
      <c r="C122" s="160">
        <v>0</v>
      </c>
      <c r="D122" s="160">
        <v>1392920</v>
      </c>
      <c r="E122" s="160">
        <v>14171219.529999999</v>
      </c>
      <c r="F122" s="160">
        <v>0</v>
      </c>
      <c r="G122" s="180">
        <v>60923.25</v>
      </c>
      <c r="H122" s="444">
        <v>0.98499999999999999</v>
      </c>
      <c r="I122" s="824">
        <v>0</v>
      </c>
      <c r="J122" s="180">
        <v>60009.4</v>
      </c>
      <c r="K122" s="377">
        <v>259.36</v>
      </c>
      <c r="L122" s="377">
        <v>236.15</v>
      </c>
    </row>
    <row r="123" spans="1:12" x14ac:dyDescent="0.2">
      <c r="A123" t="s">
        <v>875</v>
      </c>
      <c r="B123" s="160">
        <v>11021341</v>
      </c>
      <c r="C123" s="160">
        <v>690341</v>
      </c>
      <c r="D123" s="160">
        <v>1919075</v>
      </c>
      <c r="E123" s="160">
        <v>9102266</v>
      </c>
      <c r="F123" s="160">
        <v>0</v>
      </c>
      <c r="G123" s="180">
        <v>43960.2</v>
      </c>
      <c r="H123" s="444">
        <v>0.98</v>
      </c>
      <c r="I123" s="824">
        <v>250.4</v>
      </c>
      <c r="J123" s="180">
        <v>43331.4</v>
      </c>
      <c r="K123" s="377">
        <v>254.35</v>
      </c>
      <c r="L123" s="377">
        <v>210.06</v>
      </c>
    </row>
    <row r="124" spans="1:12" x14ac:dyDescent="0.2">
      <c r="A124" t="s">
        <v>1029</v>
      </c>
      <c r="B124" s="160">
        <v>15135792</v>
      </c>
      <c r="C124" s="160">
        <v>0</v>
      </c>
      <c r="D124" s="160">
        <v>1522848</v>
      </c>
      <c r="E124" s="160">
        <v>13612944</v>
      </c>
      <c r="F124" s="160">
        <v>10150</v>
      </c>
      <c r="G124" s="180">
        <v>51349.8</v>
      </c>
      <c r="H124" s="444">
        <v>0.99</v>
      </c>
      <c r="I124" s="824">
        <v>0</v>
      </c>
      <c r="J124" s="180">
        <v>50836.3</v>
      </c>
      <c r="K124" s="377">
        <v>297.74</v>
      </c>
      <c r="L124" s="377">
        <v>267.77999999999997</v>
      </c>
    </row>
    <row r="125" spans="1:12" x14ac:dyDescent="0.2">
      <c r="A125" t="s">
        <v>1303</v>
      </c>
      <c r="B125" s="160">
        <v>10874712</v>
      </c>
      <c r="C125" s="160">
        <v>1270434</v>
      </c>
      <c r="D125" s="160">
        <v>2612285</v>
      </c>
      <c r="E125" s="160">
        <v>8262427</v>
      </c>
      <c r="F125" s="160">
        <v>0</v>
      </c>
      <c r="G125" s="180">
        <v>40297.879999999997</v>
      </c>
      <c r="H125" s="444">
        <v>0.99</v>
      </c>
      <c r="I125" s="824">
        <v>144</v>
      </c>
      <c r="J125" s="180">
        <v>40038.9</v>
      </c>
      <c r="K125" s="377">
        <v>271.60000000000002</v>
      </c>
      <c r="L125" s="377">
        <v>206.36</v>
      </c>
    </row>
    <row r="126" spans="1:12" x14ac:dyDescent="0.2">
      <c r="A126" t="s">
        <v>1349</v>
      </c>
      <c r="B126" s="160">
        <v>10997857</v>
      </c>
      <c r="C126" s="160">
        <v>0</v>
      </c>
      <c r="D126" s="160">
        <v>0</v>
      </c>
      <c r="E126" s="160">
        <v>10997857</v>
      </c>
      <c r="F126" s="160">
        <v>0</v>
      </c>
      <c r="G126" s="180">
        <v>36750.82</v>
      </c>
      <c r="H126" s="444">
        <v>0.97</v>
      </c>
      <c r="I126" s="824">
        <v>0</v>
      </c>
      <c r="J126" s="180">
        <v>35648.300000000003</v>
      </c>
      <c r="K126" s="377">
        <v>308.51</v>
      </c>
      <c r="L126" s="377">
        <v>308.51</v>
      </c>
    </row>
    <row r="127" spans="1:12" x14ac:dyDescent="0.2">
      <c r="A127" t="s">
        <v>357</v>
      </c>
      <c r="B127" s="160">
        <v>12579189</v>
      </c>
      <c r="C127" s="160">
        <v>0</v>
      </c>
      <c r="D127" s="160">
        <v>3029502</v>
      </c>
      <c r="E127" s="160">
        <v>9549687</v>
      </c>
      <c r="F127" s="160">
        <v>348880</v>
      </c>
      <c r="G127" s="180">
        <v>50589</v>
      </c>
      <c r="H127" s="444">
        <v>0.97499999999999998</v>
      </c>
      <c r="I127" s="824">
        <v>7.72</v>
      </c>
      <c r="J127" s="180">
        <v>49332</v>
      </c>
      <c r="K127" s="377">
        <v>254.99</v>
      </c>
      <c r="L127" s="377">
        <v>193.58</v>
      </c>
    </row>
    <row r="128" spans="1:12" x14ac:dyDescent="0.2">
      <c r="A128" t="s">
        <v>605</v>
      </c>
      <c r="B128" s="160">
        <v>14618244</v>
      </c>
      <c r="C128" s="160">
        <v>0</v>
      </c>
      <c r="D128" s="160">
        <v>1017158</v>
      </c>
      <c r="E128" s="160">
        <v>13601086</v>
      </c>
      <c r="F128" s="160">
        <v>174277</v>
      </c>
      <c r="G128" s="180">
        <v>56756.68</v>
      </c>
      <c r="H128" s="444">
        <v>0.97</v>
      </c>
      <c r="I128" s="824">
        <v>0</v>
      </c>
      <c r="J128" s="180">
        <v>55053.98</v>
      </c>
      <c r="K128" s="377">
        <v>265.52999999999997</v>
      </c>
      <c r="L128" s="377">
        <v>247.05</v>
      </c>
    </row>
    <row r="129" spans="1:12" x14ac:dyDescent="0.2">
      <c r="A129" t="s">
        <v>694</v>
      </c>
      <c r="B129" s="160">
        <v>9355803</v>
      </c>
      <c r="C129" s="160">
        <v>0</v>
      </c>
      <c r="D129" s="160">
        <v>1489074</v>
      </c>
      <c r="E129" s="160">
        <v>7866729</v>
      </c>
      <c r="F129" s="160">
        <v>0</v>
      </c>
      <c r="G129" s="180">
        <v>42992.1</v>
      </c>
      <c r="H129" s="444">
        <v>0.97</v>
      </c>
      <c r="I129" s="824">
        <v>0</v>
      </c>
      <c r="J129" s="180">
        <v>41702.339999999997</v>
      </c>
      <c r="K129" s="377">
        <v>224.35</v>
      </c>
      <c r="L129" s="377">
        <v>188.64</v>
      </c>
    </row>
    <row r="130" spans="1:12" x14ac:dyDescent="0.2">
      <c r="A130" t="s">
        <v>709</v>
      </c>
      <c r="B130" s="160">
        <v>12983614</v>
      </c>
      <c r="C130" s="160">
        <v>0</v>
      </c>
      <c r="D130" s="160">
        <v>3684843</v>
      </c>
      <c r="E130" s="160">
        <v>9298771</v>
      </c>
      <c r="F130" s="160">
        <v>98223</v>
      </c>
      <c r="G130" s="180">
        <v>43273.84</v>
      </c>
      <c r="H130" s="444">
        <v>0.97</v>
      </c>
      <c r="I130" s="824">
        <v>144.1</v>
      </c>
      <c r="J130" s="180">
        <v>42119.72</v>
      </c>
      <c r="K130" s="377">
        <v>308.25</v>
      </c>
      <c r="L130" s="377">
        <v>220.77</v>
      </c>
    </row>
    <row r="131" spans="1:12" x14ac:dyDescent="0.2">
      <c r="A131" t="s">
        <v>818</v>
      </c>
      <c r="B131" s="160">
        <v>9103970</v>
      </c>
      <c r="C131" s="160">
        <v>0</v>
      </c>
      <c r="D131" s="160">
        <v>669980</v>
      </c>
      <c r="E131" s="160">
        <v>8433990</v>
      </c>
      <c r="F131" s="160">
        <v>48800</v>
      </c>
      <c r="G131" s="180">
        <v>36258.71</v>
      </c>
      <c r="H131" s="444">
        <v>0.97750000000000004</v>
      </c>
      <c r="I131" s="824">
        <v>0</v>
      </c>
      <c r="J131" s="180">
        <v>35442.89</v>
      </c>
      <c r="K131" s="377">
        <v>256.86</v>
      </c>
      <c r="L131" s="377">
        <v>237.96</v>
      </c>
    </row>
    <row r="132" spans="1:12" x14ac:dyDescent="0.2">
      <c r="A132" t="s">
        <v>963</v>
      </c>
      <c r="B132" s="160">
        <v>23665143</v>
      </c>
      <c r="C132" s="160">
        <v>0</v>
      </c>
      <c r="D132" s="160">
        <v>3125109</v>
      </c>
      <c r="E132" s="160">
        <v>20540034</v>
      </c>
      <c r="F132" s="160">
        <v>142574</v>
      </c>
      <c r="G132" s="180">
        <v>69652.41</v>
      </c>
      <c r="H132" s="444">
        <v>0.97499999999999998</v>
      </c>
      <c r="I132" s="824">
        <v>174.4</v>
      </c>
      <c r="J132" s="180">
        <v>68085.5</v>
      </c>
      <c r="K132" s="377">
        <v>347.58</v>
      </c>
      <c r="L132" s="377">
        <v>301.68</v>
      </c>
    </row>
    <row r="133" spans="1:12" x14ac:dyDescent="0.2">
      <c r="A133" t="s">
        <v>1165</v>
      </c>
      <c r="B133" s="160">
        <v>19254898</v>
      </c>
      <c r="C133" s="160">
        <v>0</v>
      </c>
      <c r="D133" s="160">
        <v>5949277</v>
      </c>
      <c r="E133" s="160">
        <v>13305621</v>
      </c>
      <c r="F133" s="160">
        <v>20310</v>
      </c>
      <c r="G133" s="180">
        <v>53318.239999999998</v>
      </c>
      <c r="H133" s="444">
        <v>0.99399999999999999</v>
      </c>
      <c r="I133" s="824">
        <v>10</v>
      </c>
      <c r="J133" s="180">
        <v>53008.33</v>
      </c>
      <c r="K133" s="377">
        <v>363.24</v>
      </c>
      <c r="L133" s="377">
        <v>251.01</v>
      </c>
    </row>
    <row r="134" spans="1:12" x14ac:dyDescent="0.2">
      <c r="A134" t="s">
        <v>793</v>
      </c>
      <c r="B134" s="160">
        <v>15784698</v>
      </c>
      <c r="C134" s="160">
        <v>677494</v>
      </c>
      <c r="D134" s="160">
        <v>3161440</v>
      </c>
      <c r="E134" s="160">
        <v>12623258</v>
      </c>
      <c r="F134" s="160">
        <v>609040</v>
      </c>
      <c r="G134" s="180">
        <v>43100.73</v>
      </c>
      <c r="H134" s="444">
        <v>0.95499999999999996</v>
      </c>
      <c r="I134" s="824">
        <v>252.44</v>
      </c>
      <c r="J134" s="180">
        <v>41413.64</v>
      </c>
      <c r="K134" s="377">
        <v>381.15</v>
      </c>
      <c r="L134" s="377">
        <v>304.81</v>
      </c>
    </row>
    <row r="135" spans="1:12" x14ac:dyDescent="0.2">
      <c r="A135" t="s">
        <v>1268</v>
      </c>
      <c r="B135" s="160">
        <v>12605434</v>
      </c>
      <c r="C135" s="160">
        <v>0</v>
      </c>
      <c r="D135" s="160">
        <v>2166353</v>
      </c>
      <c r="E135" s="160">
        <v>10439081</v>
      </c>
      <c r="F135" s="160">
        <v>1000079</v>
      </c>
      <c r="G135" s="180">
        <v>51707.48</v>
      </c>
      <c r="H135" s="444">
        <v>0.97699999999999998</v>
      </c>
      <c r="I135" s="824">
        <v>0</v>
      </c>
      <c r="J135" s="180">
        <v>50518.21</v>
      </c>
      <c r="K135" s="377">
        <v>249.52</v>
      </c>
      <c r="L135" s="377">
        <v>206.64</v>
      </c>
    </row>
    <row r="136" spans="1:12" x14ac:dyDescent="0.2">
      <c r="A136" t="s">
        <v>1300</v>
      </c>
      <c r="B136" s="160">
        <v>16168940</v>
      </c>
      <c r="C136" s="160">
        <v>0</v>
      </c>
      <c r="D136" s="160">
        <v>3087826</v>
      </c>
      <c r="E136" s="160">
        <v>13081114</v>
      </c>
      <c r="F136" s="160">
        <v>115138</v>
      </c>
      <c r="G136" s="180">
        <v>49742.77</v>
      </c>
      <c r="H136" s="444">
        <v>0.97</v>
      </c>
      <c r="I136" s="824">
        <v>10.4</v>
      </c>
      <c r="J136" s="180">
        <v>48260.89</v>
      </c>
      <c r="K136" s="377">
        <v>335.03</v>
      </c>
      <c r="L136" s="377">
        <v>271.05</v>
      </c>
    </row>
    <row r="137" spans="1:12" x14ac:dyDescent="0.2">
      <c r="A137" t="s">
        <v>1309</v>
      </c>
      <c r="B137" s="160">
        <v>17154967</v>
      </c>
      <c r="C137" s="160">
        <v>1237295</v>
      </c>
      <c r="D137" s="160">
        <v>3945607</v>
      </c>
      <c r="E137" s="160">
        <v>13209360</v>
      </c>
      <c r="F137" s="160">
        <v>518250</v>
      </c>
      <c r="G137" s="180">
        <v>55061.15</v>
      </c>
      <c r="H137" s="444">
        <v>0.97799999999999998</v>
      </c>
      <c r="I137" s="824">
        <v>0</v>
      </c>
      <c r="J137" s="180">
        <v>53849.8</v>
      </c>
      <c r="K137" s="377">
        <v>318.57</v>
      </c>
      <c r="L137" s="377">
        <v>245.3</v>
      </c>
    </row>
    <row r="138" spans="1:12" x14ac:dyDescent="0.2">
      <c r="A138" t="s">
        <v>1323</v>
      </c>
      <c r="B138" s="160">
        <v>14298019</v>
      </c>
      <c r="C138" s="160">
        <v>2977570</v>
      </c>
      <c r="D138" s="160">
        <v>3920549</v>
      </c>
      <c r="E138" s="160">
        <v>10377470</v>
      </c>
      <c r="F138" s="160">
        <v>331051</v>
      </c>
      <c r="G138" s="180">
        <v>50137.35</v>
      </c>
      <c r="H138" s="444">
        <v>0.98</v>
      </c>
      <c r="I138" s="824">
        <v>0</v>
      </c>
      <c r="J138" s="180">
        <v>49134.6</v>
      </c>
      <c r="K138" s="377">
        <v>291</v>
      </c>
      <c r="L138" s="377">
        <v>211.2</v>
      </c>
    </row>
    <row r="139" spans="1:12" x14ac:dyDescent="0.2">
      <c r="A139" t="s">
        <v>571</v>
      </c>
      <c r="B139" s="160">
        <v>8506556</v>
      </c>
      <c r="C139" s="160">
        <v>0</v>
      </c>
      <c r="D139" s="160">
        <v>200800</v>
      </c>
      <c r="E139" s="160">
        <v>8305756</v>
      </c>
      <c r="F139" s="160">
        <v>0</v>
      </c>
      <c r="G139" s="180">
        <v>24849.48</v>
      </c>
      <c r="H139" s="444">
        <v>0.97</v>
      </c>
      <c r="I139" s="824">
        <v>0</v>
      </c>
      <c r="J139" s="180">
        <v>24104</v>
      </c>
      <c r="K139" s="377">
        <v>352.91</v>
      </c>
      <c r="L139" s="377">
        <v>344.58</v>
      </c>
    </row>
    <row r="140" spans="1:12" x14ac:dyDescent="0.2">
      <c r="A140" t="s">
        <v>648</v>
      </c>
      <c r="B140" s="160">
        <v>9297800</v>
      </c>
      <c r="C140" s="160">
        <v>896812</v>
      </c>
      <c r="D140" s="160">
        <v>927688</v>
      </c>
      <c r="E140" s="160">
        <v>8370112</v>
      </c>
      <c r="F140" s="160">
        <v>0</v>
      </c>
      <c r="G140" s="180">
        <v>39342.14</v>
      </c>
      <c r="H140" s="444">
        <v>0.98499999999999999</v>
      </c>
      <c r="I140" s="824">
        <v>0</v>
      </c>
      <c r="J140" s="180">
        <v>38752.01</v>
      </c>
      <c r="K140" s="377">
        <v>239.93</v>
      </c>
      <c r="L140" s="377">
        <v>215.99</v>
      </c>
    </row>
    <row r="141" spans="1:12" x14ac:dyDescent="0.2">
      <c r="A141" t="s">
        <v>799</v>
      </c>
      <c r="B141" s="160">
        <v>9304961</v>
      </c>
      <c r="C141" s="160">
        <v>1600117</v>
      </c>
      <c r="D141" s="160">
        <v>1721128</v>
      </c>
      <c r="E141" s="160">
        <v>7583833</v>
      </c>
      <c r="F141" s="160">
        <v>0</v>
      </c>
      <c r="G141" s="180">
        <v>33156.230000000003</v>
      </c>
      <c r="H141" s="444">
        <v>0.98250000000000004</v>
      </c>
      <c r="I141" s="824">
        <v>89</v>
      </c>
      <c r="J141" s="180">
        <v>32665</v>
      </c>
      <c r="K141" s="377">
        <v>284.86</v>
      </c>
      <c r="L141" s="377">
        <v>232.17</v>
      </c>
    </row>
    <row r="142" spans="1:12" x14ac:dyDescent="0.2">
      <c r="A142" t="s">
        <v>896</v>
      </c>
      <c r="B142" s="160">
        <v>6141369</v>
      </c>
      <c r="C142" s="160">
        <v>0</v>
      </c>
      <c r="D142" s="160">
        <v>14186</v>
      </c>
      <c r="E142" s="160">
        <v>6127183</v>
      </c>
      <c r="F142" s="160">
        <v>0</v>
      </c>
      <c r="G142" s="180">
        <v>22731.279999999999</v>
      </c>
      <c r="H142" s="444">
        <v>0.97499999999999998</v>
      </c>
      <c r="I142" s="824">
        <v>0</v>
      </c>
      <c r="J142" s="180">
        <v>22163</v>
      </c>
      <c r="K142" s="377">
        <v>277.10000000000002</v>
      </c>
      <c r="L142" s="377">
        <v>276.45999999999998</v>
      </c>
    </row>
    <row r="143" spans="1:12" x14ac:dyDescent="0.2">
      <c r="A143" t="s">
        <v>936</v>
      </c>
      <c r="B143" s="160">
        <v>13310545.619999999</v>
      </c>
      <c r="C143" s="160">
        <v>0</v>
      </c>
      <c r="D143" s="160">
        <v>1760016</v>
      </c>
      <c r="E143" s="160">
        <v>11550529.619999999</v>
      </c>
      <c r="F143" s="160">
        <v>0</v>
      </c>
      <c r="G143" s="180">
        <v>44287.93</v>
      </c>
      <c r="H143" s="444">
        <v>0.98677000000000004</v>
      </c>
      <c r="I143" s="824">
        <v>0</v>
      </c>
      <c r="J143" s="180">
        <v>43702</v>
      </c>
      <c r="K143" s="377">
        <v>304.58</v>
      </c>
      <c r="L143" s="377">
        <v>264.3</v>
      </c>
    </row>
    <row r="144" spans="1:12" x14ac:dyDescent="0.2">
      <c r="A144" t="s">
        <v>1090</v>
      </c>
      <c r="B144" s="160">
        <v>10857857</v>
      </c>
      <c r="C144" s="160">
        <v>0</v>
      </c>
      <c r="D144" s="160">
        <v>3133569</v>
      </c>
      <c r="E144" s="160">
        <v>7724288</v>
      </c>
      <c r="F144" s="160">
        <v>11375</v>
      </c>
      <c r="G144" s="180">
        <v>26164.6</v>
      </c>
      <c r="H144" s="444">
        <v>0.96</v>
      </c>
      <c r="I144" s="824">
        <v>0</v>
      </c>
      <c r="J144" s="180">
        <v>25118.02</v>
      </c>
      <c r="K144" s="377">
        <v>432.27</v>
      </c>
      <c r="L144" s="377">
        <v>307.52</v>
      </c>
    </row>
    <row r="145" spans="1:12" x14ac:dyDescent="0.2">
      <c r="A145" t="s">
        <v>1102</v>
      </c>
      <c r="B145" s="160">
        <v>16565323</v>
      </c>
      <c r="C145" s="160">
        <v>0</v>
      </c>
      <c r="D145" s="160">
        <v>463120</v>
      </c>
      <c r="E145" s="160">
        <v>16102203</v>
      </c>
      <c r="F145" s="160">
        <v>0</v>
      </c>
      <c r="G145" s="180">
        <v>45987.360000000001</v>
      </c>
      <c r="H145" s="444">
        <v>0.96</v>
      </c>
      <c r="I145" s="824">
        <v>34.33</v>
      </c>
      <c r="J145" s="180">
        <v>44182.2</v>
      </c>
      <c r="K145" s="377">
        <v>374.93</v>
      </c>
      <c r="L145" s="377">
        <v>364.45</v>
      </c>
    </row>
    <row r="146" spans="1:12" x14ac:dyDescent="0.2">
      <c r="A146" t="s">
        <v>1120</v>
      </c>
      <c r="B146" s="160">
        <v>5044193</v>
      </c>
      <c r="C146" s="160">
        <v>0</v>
      </c>
      <c r="D146" s="160">
        <v>666166</v>
      </c>
      <c r="E146" s="160">
        <v>4378027</v>
      </c>
      <c r="F146" s="160">
        <v>0</v>
      </c>
      <c r="G146" s="180">
        <v>25842.82</v>
      </c>
      <c r="H146" s="444">
        <v>0.99250000000000005</v>
      </c>
      <c r="I146" s="824">
        <v>0</v>
      </c>
      <c r="J146" s="180">
        <v>25649</v>
      </c>
      <c r="K146" s="377">
        <v>196.66</v>
      </c>
      <c r="L146" s="377">
        <v>170.69</v>
      </c>
    </row>
    <row r="147" spans="1:12" x14ac:dyDescent="0.2">
      <c r="A147" t="s">
        <v>1132</v>
      </c>
      <c r="B147" s="160">
        <v>6799223</v>
      </c>
      <c r="C147" s="160">
        <v>0</v>
      </c>
      <c r="D147" s="160">
        <v>80079</v>
      </c>
      <c r="E147" s="160">
        <v>6719144</v>
      </c>
      <c r="F147" s="160">
        <v>0</v>
      </c>
      <c r="G147" s="180">
        <v>22033.33</v>
      </c>
      <c r="H147" s="444">
        <v>0.96</v>
      </c>
      <c r="I147" s="824">
        <v>0</v>
      </c>
      <c r="J147" s="180">
        <v>21152</v>
      </c>
      <c r="K147" s="377">
        <v>321.45</v>
      </c>
      <c r="L147" s="377">
        <v>317.66000000000003</v>
      </c>
    </row>
    <row r="148" spans="1:12" x14ac:dyDescent="0.2">
      <c r="A148" t="s">
        <v>1208</v>
      </c>
      <c r="B148" s="160">
        <v>9527700</v>
      </c>
      <c r="C148" s="160">
        <v>0</v>
      </c>
      <c r="D148" s="160">
        <v>474845</v>
      </c>
      <c r="E148" s="160">
        <v>9052855</v>
      </c>
      <c r="F148" s="160">
        <v>0</v>
      </c>
      <c r="G148" s="180">
        <v>39013.519999999997</v>
      </c>
      <c r="H148" s="444">
        <v>0.98</v>
      </c>
      <c r="I148" s="824">
        <v>0</v>
      </c>
      <c r="J148" s="180">
        <v>38233.25</v>
      </c>
      <c r="K148" s="377">
        <v>249.2</v>
      </c>
      <c r="L148" s="377">
        <v>236.78</v>
      </c>
    </row>
    <row r="149" spans="1:12" x14ac:dyDescent="0.2">
      <c r="A149" t="s">
        <v>1367</v>
      </c>
      <c r="B149" s="160">
        <v>10118581.53228</v>
      </c>
      <c r="C149" s="160">
        <v>0</v>
      </c>
      <c r="D149" s="160">
        <v>805001</v>
      </c>
      <c r="E149" s="160">
        <v>9313580.5322799999</v>
      </c>
      <c r="F149" s="160">
        <v>0</v>
      </c>
      <c r="G149" s="180">
        <v>39834.244899999998</v>
      </c>
      <c r="H149" s="444">
        <v>0.98</v>
      </c>
      <c r="I149" s="824">
        <v>0</v>
      </c>
      <c r="J149" s="180">
        <v>39037.56</v>
      </c>
      <c r="K149" s="377">
        <v>259.2</v>
      </c>
      <c r="L149" s="377">
        <v>238.58</v>
      </c>
    </row>
    <row r="150" spans="1:12" x14ac:dyDescent="0.2">
      <c r="A150" t="s">
        <v>1420</v>
      </c>
      <c r="B150" s="160">
        <v>10455507</v>
      </c>
      <c r="C150" s="160">
        <v>0</v>
      </c>
      <c r="D150" s="160">
        <v>1182613</v>
      </c>
      <c r="E150" s="160">
        <v>9272894</v>
      </c>
      <c r="F150" s="160">
        <v>0</v>
      </c>
      <c r="G150" s="180">
        <v>41014.620000000003</v>
      </c>
      <c r="H150" s="444">
        <v>0.97</v>
      </c>
      <c r="I150" s="824">
        <v>0</v>
      </c>
      <c r="J150" s="180">
        <v>39784.18</v>
      </c>
      <c r="K150" s="377">
        <v>262.81</v>
      </c>
      <c r="L150" s="377">
        <v>233.08</v>
      </c>
    </row>
    <row r="151" spans="1:12" x14ac:dyDescent="0.2">
      <c r="A151" t="s">
        <v>453</v>
      </c>
      <c r="B151" s="160">
        <v>11733050</v>
      </c>
      <c r="C151" s="160">
        <v>0</v>
      </c>
      <c r="D151" s="160">
        <v>4978992</v>
      </c>
      <c r="E151" s="160">
        <v>6754058</v>
      </c>
      <c r="F151" s="160">
        <v>0</v>
      </c>
      <c r="G151" s="180">
        <v>35022.99</v>
      </c>
      <c r="H151" s="444">
        <v>0.99</v>
      </c>
      <c r="I151" s="824">
        <v>0</v>
      </c>
      <c r="J151" s="180">
        <v>34672.76</v>
      </c>
      <c r="K151" s="377">
        <v>338.39</v>
      </c>
      <c r="L151" s="377">
        <v>194.79</v>
      </c>
    </row>
    <row r="152" spans="1:12" x14ac:dyDescent="0.2">
      <c r="A152" t="s">
        <v>614</v>
      </c>
      <c r="B152" s="160">
        <v>15618834</v>
      </c>
      <c r="C152" s="160">
        <v>1426865</v>
      </c>
      <c r="D152" s="160">
        <v>5184881</v>
      </c>
      <c r="E152" s="160">
        <v>10433953</v>
      </c>
      <c r="F152" s="160">
        <v>0</v>
      </c>
      <c r="G152" s="180">
        <v>61168.63</v>
      </c>
      <c r="H152" s="444">
        <v>0.98499999999999999</v>
      </c>
      <c r="I152" s="824">
        <v>25.2</v>
      </c>
      <c r="J152" s="180">
        <v>60276.3</v>
      </c>
      <c r="K152" s="377">
        <v>259.12</v>
      </c>
      <c r="L152" s="377">
        <v>173.1</v>
      </c>
    </row>
    <row r="153" spans="1:12" x14ac:dyDescent="0.2">
      <c r="A153" t="s">
        <v>841</v>
      </c>
      <c r="B153" s="160">
        <v>10154691</v>
      </c>
      <c r="C153" s="160">
        <v>743192</v>
      </c>
      <c r="D153" s="160">
        <v>2900733</v>
      </c>
      <c r="E153" s="160">
        <v>7253958</v>
      </c>
      <c r="F153" s="160">
        <v>0</v>
      </c>
      <c r="G153" s="180">
        <v>40179.1</v>
      </c>
      <c r="H153" s="444">
        <v>0.98499999999999999</v>
      </c>
      <c r="I153" s="824">
        <v>0</v>
      </c>
      <c r="J153" s="180">
        <v>39576.410000000003</v>
      </c>
      <c r="K153" s="377">
        <v>256.58</v>
      </c>
      <c r="L153" s="377">
        <v>183.29</v>
      </c>
    </row>
    <row r="154" spans="1:12" x14ac:dyDescent="0.2">
      <c r="A154" t="s">
        <v>884</v>
      </c>
      <c r="B154" s="160">
        <v>9461809</v>
      </c>
      <c r="C154" s="160">
        <v>0</v>
      </c>
      <c r="D154" s="160">
        <v>3046022</v>
      </c>
      <c r="E154" s="160">
        <v>6415787</v>
      </c>
      <c r="F154" s="160">
        <v>0</v>
      </c>
      <c r="G154" s="180">
        <v>40619.839999999997</v>
      </c>
      <c r="H154" s="444">
        <v>0.98799999999999999</v>
      </c>
      <c r="I154" s="824">
        <v>0</v>
      </c>
      <c r="J154" s="180">
        <v>40132.400000000001</v>
      </c>
      <c r="K154" s="377">
        <v>235.76</v>
      </c>
      <c r="L154" s="377">
        <v>159.87</v>
      </c>
    </row>
    <row r="155" spans="1:12" x14ac:dyDescent="0.2">
      <c r="A155" t="s">
        <v>981</v>
      </c>
      <c r="B155" s="160">
        <v>5775625</v>
      </c>
      <c r="C155" s="160">
        <v>606669</v>
      </c>
      <c r="D155" s="160">
        <v>911270</v>
      </c>
      <c r="E155" s="160">
        <v>4864355</v>
      </c>
      <c r="F155" s="160">
        <v>29964</v>
      </c>
      <c r="G155" s="180">
        <v>20597.330000000002</v>
      </c>
      <c r="H155" s="444">
        <v>0.99099999999999999</v>
      </c>
      <c r="I155" s="824">
        <v>47.1</v>
      </c>
      <c r="J155" s="180">
        <v>20459.05</v>
      </c>
      <c r="K155" s="377">
        <v>282.3</v>
      </c>
      <c r="L155" s="377">
        <v>237.76</v>
      </c>
    </row>
    <row r="156" spans="1:12" x14ac:dyDescent="0.2">
      <c r="A156" t="s">
        <v>1060</v>
      </c>
      <c r="B156" s="160">
        <v>10122989</v>
      </c>
      <c r="C156" s="160">
        <v>0</v>
      </c>
      <c r="D156" s="160">
        <v>3215826</v>
      </c>
      <c r="E156" s="160">
        <v>6907163</v>
      </c>
      <c r="F156" s="160">
        <v>638942</v>
      </c>
      <c r="G156" s="180">
        <v>38494.36</v>
      </c>
      <c r="H156" s="444">
        <v>0.97499999999999998</v>
      </c>
      <c r="I156" s="824">
        <v>0</v>
      </c>
      <c r="J156" s="180">
        <v>37532</v>
      </c>
      <c r="K156" s="377">
        <v>269.72000000000003</v>
      </c>
      <c r="L156" s="377">
        <v>184.03</v>
      </c>
    </row>
    <row r="157" spans="1:12" x14ac:dyDescent="0.2">
      <c r="A157" t="s">
        <v>1081</v>
      </c>
      <c r="B157" s="160">
        <v>4864982</v>
      </c>
      <c r="C157" s="160">
        <v>0</v>
      </c>
      <c r="D157" s="160">
        <v>0</v>
      </c>
      <c r="E157" s="160">
        <v>4864982</v>
      </c>
      <c r="F157" s="160">
        <v>0</v>
      </c>
      <c r="G157" s="180">
        <v>18877.349999999999</v>
      </c>
      <c r="H157" s="444">
        <v>0.98499999999999999</v>
      </c>
      <c r="I157" s="824">
        <v>0</v>
      </c>
      <c r="J157" s="180">
        <v>18594.189999999999</v>
      </c>
      <c r="K157" s="377">
        <v>261.64</v>
      </c>
      <c r="L157" s="377">
        <v>261.64</v>
      </c>
    </row>
    <row r="158" spans="1:12" x14ac:dyDescent="0.2">
      <c r="A158" t="s">
        <v>482</v>
      </c>
      <c r="B158" s="160">
        <v>5937455</v>
      </c>
      <c r="C158" s="160">
        <v>769057</v>
      </c>
      <c r="D158" s="160">
        <v>630316</v>
      </c>
      <c r="E158" s="160">
        <v>5307139</v>
      </c>
      <c r="F158" s="160">
        <v>2927050</v>
      </c>
      <c r="G158" s="180">
        <v>20675.57</v>
      </c>
      <c r="H158" s="444">
        <v>0.98140000000000005</v>
      </c>
      <c r="I158" s="824">
        <v>0</v>
      </c>
      <c r="J158" s="180">
        <v>20291</v>
      </c>
      <c r="K158" s="377">
        <v>292.62</v>
      </c>
      <c r="L158" s="377">
        <v>261.55</v>
      </c>
    </row>
    <row r="159" spans="1:12" x14ac:dyDescent="0.2">
      <c r="A159" t="s">
        <v>739</v>
      </c>
      <c r="B159" s="160">
        <v>12406302</v>
      </c>
      <c r="C159" s="160">
        <v>0</v>
      </c>
      <c r="D159" s="160">
        <v>4143906</v>
      </c>
      <c r="E159" s="160">
        <v>8262396</v>
      </c>
      <c r="F159" s="160">
        <v>5391099</v>
      </c>
      <c r="G159" s="180">
        <v>48727.24</v>
      </c>
      <c r="H159" s="444">
        <v>0.9829</v>
      </c>
      <c r="I159" s="824">
        <v>272</v>
      </c>
      <c r="J159" s="180">
        <v>48166</v>
      </c>
      <c r="K159" s="377">
        <v>257.57</v>
      </c>
      <c r="L159" s="377">
        <v>171.54</v>
      </c>
    </row>
    <row r="160" spans="1:12" x14ac:dyDescent="0.2">
      <c r="A160" t="s">
        <v>954</v>
      </c>
      <c r="B160" s="160">
        <v>8166750</v>
      </c>
      <c r="C160" s="160">
        <v>0</v>
      </c>
      <c r="D160" s="160">
        <v>0</v>
      </c>
      <c r="E160" s="160">
        <v>8166750</v>
      </c>
      <c r="F160" s="160">
        <v>1326700</v>
      </c>
      <c r="G160" s="180">
        <v>26161.52</v>
      </c>
      <c r="H160" s="444">
        <v>0.98250000000000004</v>
      </c>
      <c r="I160" s="824">
        <v>60.56</v>
      </c>
      <c r="J160" s="180">
        <v>25764.25</v>
      </c>
      <c r="K160" s="377">
        <v>316.98</v>
      </c>
      <c r="L160" s="377">
        <v>316.98</v>
      </c>
    </row>
    <row r="161" spans="1:12" x14ac:dyDescent="0.2">
      <c r="A161" t="s">
        <v>1032</v>
      </c>
      <c r="B161" s="160">
        <v>12682500</v>
      </c>
      <c r="C161" s="160">
        <v>0</v>
      </c>
      <c r="D161" s="160">
        <v>4906522</v>
      </c>
      <c r="E161" s="160">
        <v>7775978</v>
      </c>
      <c r="F161" s="160">
        <v>1034700</v>
      </c>
      <c r="G161" s="180">
        <v>39787.760000000002</v>
      </c>
      <c r="H161" s="444">
        <v>0.98499999999999999</v>
      </c>
      <c r="I161" s="824">
        <v>809.06</v>
      </c>
      <c r="J161" s="180">
        <v>40000</v>
      </c>
      <c r="K161" s="377">
        <v>317.06</v>
      </c>
      <c r="L161" s="377">
        <v>194.4</v>
      </c>
    </row>
    <row r="162" spans="1:12" x14ac:dyDescent="0.2">
      <c r="A162" t="s">
        <v>1196</v>
      </c>
      <c r="B162" s="160">
        <v>8071966</v>
      </c>
      <c r="C162" s="160">
        <v>223459</v>
      </c>
      <c r="D162" s="160">
        <v>1407016</v>
      </c>
      <c r="E162" s="160">
        <v>6664950</v>
      </c>
      <c r="F162" s="160">
        <v>3570565</v>
      </c>
      <c r="G162" s="180">
        <v>31293.69</v>
      </c>
      <c r="H162" s="444">
        <v>0.98709999999999998</v>
      </c>
      <c r="I162" s="824">
        <v>0</v>
      </c>
      <c r="J162" s="180">
        <v>30890</v>
      </c>
      <c r="K162" s="377">
        <v>261.31</v>
      </c>
      <c r="L162" s="377">
        <v>215.76</v>
      </c>
    </row>
    <row r="163" spans="1:12" x14ac:dyDescent="0.2">
      <c r="A163" t="s">
        <v>1199</v>
      </c>
      <c r="B163" s="160">
        <v>12181791</v>
      </c>
      <c r="C163" s="160">
        <v>605391</v>
      </c>
      <c r="D163" s="160">
        <v>2686489</v>
      </c>
      <c r="E163" s="160">
        <v>9495302</v>
      </c>
      <c r="F163" s="160">
        <v>1014012</v>
      </c>
      <c r="G163" s="180">
        <v>50070.2</v>
      </c>
      <c r="H163" s="444">
        <v>1</v>
      </c>
      <c r="I163" s="824">
        <v>70.3</v>
      </c>
      <c r="J163" s="180">
        <v>50140.5</v>
      </c>
      <c r="K163" s="377">
        <v>242.95</v>
      </c>
      <c r="L163" s="377">
        <v>189.37</v>
      </c>
    </row>
    <row r="164" spans="1:12" x14ac:dyDescent="0.2">
      <c r="A164" t="s">
        <v>1370</v>
      </c>
      <c r="B164" s="160">
        <v>10998800</v>
      </c>
      <c r="C164" s="160">
        <v>0</v>
      </c>
      <c r="D164" s="160">
        <v>2850190</v>
      </c>
      <c r="E164" s="160">
        <v>8148610</v>
      </c>
      <c r="F164" s="160">
        <v>552590</v>
      </c>
      <c r="G164" s="180">
        <v>33254.28</v>
      </c>
      <c r="H164" s="444">
        <v>0.98299999999999998</v>
      </c>
      <c r="I164" s="824">
        <v>67.790000000000006</v>
      </c>
      <c r="J164" s="180">
        <v>32756.75</v>
      </c>
      <c r="K164" s="377">
        <v>335.77</v>
      </c>
      <c r="L164" s="377">
        <v>248.76</v>
      </c>
    </row>
    <row r="165" spans="1:12" x14ac:dyDescent="0.2">
      <c r="A165" t="s">
        <v>519</v>
      </c>
      <c r="B165" s="160">
        <v>11594146</v>
      </c>
      <c r="C165" s="160">
        <v>92042</v>
      </c>
      <c r="D165" s="160">
        <v>5849396</v>
      </c>
      <c r="E165" s="160">
        <v>5744750</v>
      </c>
      <c r="F165" s="160">
        <v>91700</v>
      </c>
      <c r="G165" s="180">
        <v>47520.1</v>
      </c>
      <c r="H165" s="444">
        <v>1</v>
      </c>
      <c r="I165" s="824">
        <v>170</v>
      </c>
      <c r="J165" s="180">
        <v>47690.1</v>
      </c>
      <c r="K165" s="377">
        <v>243.11</v>
      </c>
      <c r="L165" s="377">
        <v>120.46</v>
      </c>
    </row>
    <row r="166" spans="1:12" x14ac:dyDescent="0.2">
      <c r="A166" t="s">
        <v>541</v>
      </c>
      <c r="B166" s="160">
        <v>12074303</v>
      </c>
      <c r="C166" s="160">
        <v>62155</v>
      </c>
      <c r="D166" s="160">
        <v>5295114</v>
      </c>
      <c r="E166" s="160">
        <v>6779189</v>
      </c>
      <c r="F166" s="160">
        <v>351966</v>
      </c>
      <c r="G166" s="180">
        <v>50165.241000000002</v>
      </c>
      <c r="H166" s="444">
        <v>0.99250000000000005</v>
      </c>
      <c r="I166" s="824">
        <v>0</v>
      </c>
      <c r="J166" s="180">
        <v>49789</v>
      </c>
      <c r="K166" s="377">
        <v>242.51</v>
      </c>
      <c r="L166" s="377">
        <v>136.16</v>
      </c>
    </row>
    <row r="167" spans="1:12" x14ac:dyDescent="0.2">
      <c r="A167" t="s">
        <v>821</v>
      </c>
      <c r="B167" s="160">
        <v>6933820</v>
      </c>
      <c r="C167" s="160">
        <v>0</v>
      </c>
      <c r="D167" s="160">
        <v>857488</v>
      </c>
      <c r="E167" s="160">
        <v>6076332</v>
      </c>
      <c r="F167" s="160">
        <v>595100</v>
      </c>
      <c r="G167" s="180">
        <v>32211.22</v>
      </c>
      <c r="H167" s="444">
        <v>0.98</v>
      </c>
      <c r="I167" s="824">
        <v>0</v>
      </c>
      <c r="J167" s="180">
        <v>31567</v>
      </c>
      <c r="K167" s="377">
        <v>219.65</v>
      </c>
      <c r="L167" s="377">
        <v>192.49</v>
      </c>
    </row>
    <row r="168" spans="1:12" x14ac:dyDescent="0.2">
      <c r="A168" t="s">
        <v>914</v>
      </c>
      <c r="B168" s="160">
        <v>13213920</v>
      </c>
      <c r="C168" s="160">
        <v>921530</v>
      </c>
      <c r="D168" s="160">
        <v>3628520</v>
      </c>
      <c r="E168" s="160">
        <v>9585400</v>
      </c>
      <c r="F168" s="160">
        <v>3729780</v>
      </c>
      <c r="G168" s="180">
        <v>56289.599999999999</v>
      </c>
      <c r="H168" s="444">
        <v>1</v>
      </c>
      <c r="I168" s="824">
        <v>385.2</v>
      </c>
      <c r="J168" s="180">
        <v>56674.8</v>
      </c>
      <c r="K168" s="377">
        <v>233.15</v>
      </c>
      <c r="L168" s="377">
        <v>169.13</v>
      </c>
    </row>
    <row r="169" spans="1:12" x14ac:dyDescent="0.2">
      <c r="A169" t="s">
        <v>1038</v>
      </c>
      <c r="B169" s="160">
        <v>11510437</v>
      </c>
      <c r="C169" s="160">
        <v>0</v>
      </c>
      <c r="D169" s="160">
        <v>3697853</v>
      </c>
      <c r="E169" s="160">
        <v>7812584</v>
      </c>
      <c r="F169" s="160">
        <v>0</v>
      </c>
      <c r="G169" s="180">
        <v>45849.39</v>
      </c>
      <c r="H169" s="444">
        <v>0.98199999999999998</v>
      </c>
      <c r="I169" s="824">
        <v>0</v>
      </c>
      <c r="J169" s="180">
        <v>45024.1</v>
      </c>
      <c r="K169" s="377">
        <v>255.65</v>
      </c>
      <c r="L169" s="377">
        <v>173.52</v>
      </c>
    </row>
    <row r="170" spans="1:12" x14ac:dyDescent="0.2">
      <c r="A170" t="s">
        <v>1072</v>
      </c>
      <c r="B170" s="160">
        <v>11989104</v>
      </c>
      <c r="C170" s="160">
        <v>0</v>
      </c>
      <c r="D170" s="160">
        <v>0</v>
      </c>
      <c r="E170" s="160">
        <v>11989104</v>
      </c>
      <c r="F170" s="160">
        <v>0</v>
      </c>
      <c r="G170" s="180">
        <v>39965.31</v>
      </c>
      <c r="H170" s="444">
        <v>0.98</v>
      </c>
      <c r="I170" s="824">
        <v>0</v>
      </c>
      <c r="J170" s="180">
        <v>39166</v>
      </c>
      <c r="K170" s="377">
        <v>306.11</v>
      </c>
      <c r="L170" s="377">
        <v>306.11</v>
      </c>
    </row>
    <row r="171" spans="1:12" x14ac:dyDescent="0.2">
      <c r="A171" t="s">
        <v>1202</v>
      </c>
      <c r="B171" s="160">
        <v>15277695</v>
      </c>
      <c r="C171" s="160">
        <v>7540</v>
      </c>
      <c r="D171" s="160">
        <v>5803180</v>
      </c>
      <c r="E171" s="160">
        <v>9474515</v>
      </c>
      <c r="F171" s="160">
        <v>249311</v>
      </c>
      <c r="G171" s="180">
        <v>54505.864999999998</v>
      </c>
      <c r="H171" s="444">
        <v>0.99250000000000005</v>
      </c>
      <c r="I171" s="824">
        <v>0</v>
      </c>
      <c r="J171" s="180">
        <v>54097.07</v>
      </c>
      <c r="K171" s="377">
        <v>282.41000000000003</v>
      </c>
      <c r="L171" s="377">
        <v>175.14</v>
      </c>
    </row>
    <row r="172" spans="1:12" x14ac:dyDescent="0.2">
      <c r="A172" t="s">
        <v>346</v>
      </c>
      <c r="B172" s="160">
        <v>7587815</v>
      </c>
      <c r="C172" s="160">
        <v>0</v>
      </c>
      <c r="D172" s="160">
        <v>403987</v>
      </c>
      <c r="E172" s="160">
        <v>7183828</v>
      </c>
      <c r="F172" s="160">
        <v>0</v>
      </c>
      <c r="G172" s="180">
        <v>35526.410000000003</v>
      </c>
      <c r="H172" s="444">
        <v>0.97499999999999998</v>
      </c>
      <c r="I172" s="824">
        <v>44.5</v>
      </c>
      <c r="J172" s="180">
        <v>34682.75</v>
      </c>
      <c r="K172" s="377">
        <v>218.78</v>
      </c>
      <c r="L172" s="377">
        <v>207.13</v>
      </c>
    </row>
    <row r="173" spans="1:12" x14ac:dyDescent="0.2">
      <c r="A173" t="s">
        <v>420</v>
      </c>
      <c r="B173" s="160">
        <v>9666363</v>
      </c>
      <c r="C173" s="160">
        <v>0</v>
      </c>
      <c r="D173" s="160">
        <v>1758259</v>
      </c>
      <c r="E173" s="160">
        <v>7908104</v>
      </c>
      <c r="F173" s="160">
        <v>939600</v>
      </c>
      <c r="G173" s="180">
        <v>39595.360000000001</v>
      </c>
      <c r="H173" s="444">
        <v>0.97</v>
      </c>
      <c r="I173" s="824">
        <v>0</v>
      </c>
      <c r="J173" s="180">
        <v>38407.5</v>
      </c>
      <c r="K173" s="377">
        <v>251.68</v>
      </c>
      <c r="L173" s="377">
        <v>205.9</v>
      </c>
    </row>
    <row r="174" spans="1:12" x14ac:dyDescent="0.2">
      <c r="A174" t="s">
        <v>563</v>
      </c>
      <c r="B174" s="160">
        <v>8121949</v>
      </c>
      <c r="C174" s="160">
        <v>26000</v>
      </c>
      <c r="D174" s="160">
        <v>1233770</v>
      </c>
      <c r="E174" s="160">
        <v>6888179</v>
      </c>
      <c r="F174" s="160">
        <v>0</v>
      </c>
      <c r="G174" s="180">
        <v>35943.480000000003</v>
      </c>
      <c r="H174" s="444">
        <v>0.98499999999999999</v>
      </c>
      <c r="I174" s="824">
        <v>163.9</v>
      </c>
      <c r="J174" s="180">
        <v>35568.230000000003</v>
      </c>
      <c r="K174" s="377">
        <v>228.35</v>
      </c>
      <c r="L174" s="377">
        <v>193.66</v>
      </c>
    </row>
    <row r="175" spans="1:12" x14ac:dyDescent="0.2">
      <c r="A175" t="s">
        <v>809</v>
      </c>
      <c r="B175" s="160">
        <v>8696163</v>
      </c>
      <c r="C175" s="160">
        <v>0</v>
      </c>
      <c r="D175" s="160">
        <v>981413</v>
      </c>
      <c r="E175" s="160">
        <v>7714750</v>
      </c>
      <c r="F175" s="160">
        <v>38278</v>
      </c>
      <c r="G175" s="180">
        <v>40152.97</v>
      </c>
      <c r="H175" s="444">
        <v>0.98750000000000004</v>
      </c>
      <c r="I175" s="824">
        <v>13.2</v>
      </c>
      <c r="J175" s="180">
        <v>39664.26</v>
      </c>
      <c r="K175" s="377">
        <v>219.24</v>
      </c>
      <c r="L175" s="377">
        <v>194.5</v>
      </c>
    </row>
    <row r="176" spans="1:12" x14ac:dyDescent="0.2">
      <c r="A176" t="s">
        <v>975</v>
      </c>
      <c r="B176" s="160">
        <v>6588240</v>
      </c>
      <c r="C176" s="160">
        <v>0</v>
      </c>
      <c r="D176" s="160">
        <v>125593</v>
      </c>
      <c r="E176" s="160">
        <v>6462647</v>
      </c>
      <c r="F176" s="160">
        <v>0</v>
      </c>
      <c r="G176" s="180">
        <v>31766.799999999999</v>
      </c>
      <c r="H176" s="444">
        <v>0.98499999999999999</v>
      </c>
      <c r="I176" s="824">
        <v>0</v>
      </c>
      <c r="J176" s="180">
        <v>31290.3</v>
      </c>
      <c r="K176" s="377">
        <v>210.55</v>
      </c>
      <c r="L176" s="377">
        <v>206.54</v>
      </c>
    </row>
    <row r="177" spans="1:12" x14ac:dyDescent="0.2">
      <c r="A177" t="s">
        <v>1008</v>
      </c>
      <c r="B177" s="160">
        <v>12575542</v>
      </c>
      <c r="C177" s="160">
        <v>0</v>
      </c>
      <c r="D177" s="160">
        <v>4091219</v>
      </c>
      <c r="E177" s="160">
        <v>8484323</v>
      </c>
      <c r="F177" s="160">
        <v>952467</v>
      </c>
      <c r="G177" s="180">
        <v>43021.81</v>
      </c>
      <c r="H177" s="444">
        <v>0.99299999999999999</v>
      </c>
      <c r="I177" s="824">
        <v>0</v>
      </c>
      <c r="J177" s="180">
        <v>42720.66</v>
      </c>
      <c r="K177" s="377">
        <v>294.37</v>
      </c>
      <c r="L177" s="377">
        <v>198.6</v>
      </c>
    </row>
    <row r="178" spans="1:12" x14ac:dyDescent="0.2">
      <c r="A178" t="s">
        <v>1147</v>
      </c>
      <c r="B178" s="160">
        <v>11639164</v>
      </c>
      <c r="C178" s="160">
        <v>1011600</v>
      </c>
      <c r="D178" s="160">
        <v>2900064</v>
      </c>
      <c r="E178" s="160">
        <v>8739100</v>
      </c>
      <c r="F178" s="160">
        <v>446836</v>
      </c>
      <c r="G178" s="180">
        <v>48252.32</v>
      </c>
      <c r="H178" s="444">
        <v>0.99</v>
      </c>
      <c r="I178" s="824">
        <v>0</v>
      </c>
      <c r="J178" s="180">
        <v>47769.8</v>
      </c>
      <c r="K178" s="377">
        <v>243.65</v>
      </c>
      <c r="L178" s="377">
        <v>182.94</v>
      </c>
    </row>
    <row r="179" spans="1:12" x14ac:dyDescent="0.2">
      <c r="A179" t="s">
        <v>627</v>
      </c>
      <c r="B179" s="160">
        <v>16112078</v>
      </c>
      <c r="C179" s="160">
        <v>0</v>
      </c>
      <c r="D179" s="160">
        <v>6625282</v>
      </c>
      <c r="E179" s="160">
        <v>9486796</v>
      </c>
      <c r="F179" s="160">
        <v>0</v>
      </c>
      <c r="G179" s="180">
        <v>60821.120000000003</v>
      </c>
      <c r="H179" s="444">
        <v>0.98</v>
      </c>
      <c r="I179" s="824">
        <v>248.9</v>
      </c>
      <c r="J179" s="180">
        <v>59853.599999999999</v>
      </c>
      <c r="K179" s="377">
        <v>269.19</v>
      </c>
      <c r="L179" s="377">
        <v>158.5</v>
      </c>
    </row>
    <row r="180" spans="1:12" x14ac:dyDescent="0.2">
      <c r="A180" t="s">
        <v>1087</v>
      </c>
      <c r="B180" s="160">
        <v>17266136</v>
      </c>
      <c r="C180" s="160">
        <v>734560</v>
      </c>
      <c r="D180" s="160">
        <v>272848</v>
      </c>
      <c r="E180" s="160">
        <v>16993288</v>
      </c>
      <c r="F180" s="160">
        <v>0</v>
      </c>
      <c r="G180" s="180">
        <v>48610</v>
      </c>
      <c r="H180" s="444">
        <v>0.98</v>
      </c>
      <c r="I180" s="824">
        <v>0</v>
      </c>
      <c r="J180" s="180">
        <v>47637.8</v>
      </c>
      <c r="K180" s="377">
        <v>362.45</v>
      </c>
      <c r="L180" s="377">
        <v>356.72</v>
      </c>
    </row>
    <row r="181" spans="1:12" x14ac:dyDescent="0.2">
      <c r="A181" t="s">
        <v>1205</v>
      </c>
      <c r="B181" s="160">
        <v>17803715</v>
      </c>
      <c r="C181" s="160">
        <v>0</v>
      </c>
      <c r="D181" s="160">
        <v>8178817</v>
      </c>
      <c r="E181" s="160">
        <v>9624898</v>
      </c>
      <c r="F181" s="160">
        <v>0</v>
      </c>
      <c r="G181" s="180">
        <v>63947.41</v>
      </c>
      <c r="H181" s="444">
        <v>0.98499999999999999</v>
      </c>
      <c r="I181" s="824">
        <v>651.70000000000005</v>
      </c>
      <c r="J181" s="180">
        <v>63639.9</v>
      </c>
      <c r="K181" s="377">
        <v>279.76</v>
      </c>
      <c r="L181" s="377">
        <v>151.24</v>
      </c>
    </row>
    <row r="182" spans="1:12" x14ac:dyDescent="0.2">
      <c r="A182" t="s">
        <v>1329</v>
      </c>
      <c r="B182" s="160">
        <v>15506024</v>
      </c>
      <c r="C182" s="160">
        <v>0</v>
      </c>
      <c r="D182" s="160">
        <v>5941818</v>
      </c>
      <c r="E182" s="160">
        <v>9564206</v>
      </c>
      <c r="F182" s="160">
        <v>0</v>
      </c>
      <c r="G182" s="180">
        <v>59003.25</v>
      </c>
      <c r="H182" s="444">
        <v>0.98499999999999999</v>
      </c>
      <c r="I182" s="824">
        <v>1033.3</v>
      </c>
      <c r="J182" s="180">
        <v>59151.5</v>
      </c>
      <c r="K182" s="377">
        <v>262.14</v>
      </c>
      <c r="L182" s="377">
        <v>161.69</v>
      </c>
    </row>
    <row r="183" spans="1:12" x14ac:dyDescent="0.2">
      <c r="A183" t="s">
        <v>1376</v>
      </c>
      <c r="B183" s="160">
        <v>12146690</v>
      </c>
      <c r="C183" s="160">
        <v>0</v>
      </c>
      <c r="D183" s="160">
        <v>5840407</v>
      </c>
      <c r="E183" s="160">
        <v>6306283</v>
      </c>
      <c r="F183" s="160">
        <v>0</v>
      </c>
      <c r="G183" s="180">
        <v>48346.86</v>
      </c>
      <c r="H183" s="444">
        <v>0.98499999999999999</v>
      </c>
      <c r="I183" s="824">
        <v>1120.67</v>
      </c>
      <c r="J183" s="180">
        <v>48742.33</v>
      </c>
      <c r="K183" s="377">
        <v>249.2</v>
      </c>
      <c r="L183" s="377">
        <v>129.38</v>
      </c>
    </row>
    <row r="184" spans="1:12" x14ac:dyDescent="0.2">
      <c r="A184" t="s">
        <v>596</v>
      </c>
      <c r="B184" s="160">
        <v>8437142</v>
      </c>
      <c r="C184" s="160">
        <v>0</v>
      </c>
      <c r="D184" s="160">
        <v>898376</v>
      </c>
      <c r="E184" s="160">
        <v>7538766</v>
      </c>
      <c r="F184" s="160">
        <v>0</v>
      </c>
      <c r="G184" s="180">
        <v>30798.12</v>
      </c>
      <c r="H184" s="444">
        <v>0.97399999999999998</v>
      </c>
      <c r="I184" s="824">
        <v>1.7</v>
      </c>
      <c r="J184" s="180">
        <v>29999.07</v>
      </c>
      <c r="K184" s="377">
        <v>281.25</v>
      </c>
      <c r="L184" s="377">
        <v>251.3</v>
      </c>
    </row>
    <row r="185" spans="1:12" x14ac:dyDescent="0.2">
      <c r="A185" t="s">
        <v>751</v>
      </c>
      <c r="B185" s="160">
        <v>10661205</v>
      </c>
      <c r="C185" s="160">
        <v>464982</v>
      </c>
      <c r="D185" s="160">
        <v>1692016.11</v>
      </c>
      <c r="E185" s="160">
        <v>8969188.8900000006</v>
      </c>
      <c r="F185" s="160">
        <v>0</v>
      </c>
      <c r="G185" s="180">
        <v>42423.67</v>
      </c>
      <c r="H185" s="444">
        <v>0.98</v>
      </c>
      <c r="I185" s="824">
        <v>0</v>
      </c>
      <c r="J185" s="180">
        <v>41575.199999999997</v>
      </c>
      <c r="K185" s="377">
        <v>256.43</v>
      </c>
      <c r="L185" s="377">
        <v>215.73</v>
      </c>
    </row>
    <row r="186" spans="1:12" x14ac:dyDescent="0.2">
      <c r="A186" t="s">
        <v>951</v>
      </c>
      <c r="B186" s="160">
        <v>10719338</v>
      </c>
      <c r="C186" s="160">
        <v>0</v>
      </c>
      <c r="D186" s="160">
        <v>2504072</v>
      </c>
      <c r="E186" s="160">
        <v>8215266</v>
      </c>
      <c r="F186" s="160">
        <v>0</v>
      </c>
      <c r="G186" s="180">
        <v>41782.726970000003</v>
      </c>
      <c r="H186" s="444">
        <v>0.99</v>
      </c>
      <c r="I186" s="824">
        <v>157.80000000000001</v>
      </c>
      <c r="J186" s="180">
        <v>41522.699999999997</v>
      </c>
      <c r="K186" s="377">
        <v>258.16000000000003</v>
      </c>
      <c r="L186" s="377">
        <v>197.85</v>
      </c>
    </row>
    <row r="187" spans="1:12" x14ac:dyDescent="0.2">
      <c r="A187" t="s">
        <v>1014</v>
      </c>
      <c r="B187" s="160">
        <v>9704960</v>
      </c>
      <c r="C187" s="160">
        <v>0</v>
      </c>
      <c r="D187" s="160">
        <v>826410</v>
      </c>
      <c r="E187" s="160">
        <v>8878550</v>
      </c>
      <c r="F187" s="160">
        <v>0</v>
      </c>
      <c r="G187" s="180">
        <v>40619.39</v>
      </c>
      <c r="H187" s="444">
        <v>0.98</v>
      </c>
      <c r="I187" s="824">
        <v>0</v>
      </c>
      <c r="J187" s="180">
        <v>39807</v>
      </c>
      <c r="K187" s="377">
        <v>243.8</v>
      </c>
      <c r="L187" s="377">
        <v>223.04</v>
      </c>
    </row>
    <row r="188" spans="1:12" x14ac:dyDescent="0.2">
      <c r="A188" t="s">
        <v>1211</v>
      </c>
      <c r="B188" s="160">
        <v>8785991</v>
      </c>
      <c r="C188" s="160">
        <v>0</v>
      </c>
      <c r="D188" s="160">
        <v>2944631</v>
      </c>
      <c r="E188" s="160">
        <v>5841360</v>
      </c>
      <c r="F188" s="160">
        <v>0</v>
      </c>
      <c r="G188" s="180">
        <v>40597</v>
      </c>
      <c r="H188" s="444">
        <v>0.99</v>
      </c>
      <c r="I188" s="824">
        <v>0</v>
      </c>
      <c r="J188" s="180">
        <v>40191.03</v>
      </c>
      <c r="K188" s="377">
        <v>218.61</v>
      </c>
      <c r="L188" s="377">
        <v>145.34</v>
      </c>
    </row>
    <row r="189" spans="1:12" x14ac:dyDescent="0.2">
      <c r="A189" t="s">
        <v>1235</v>
      </c>
      <c r="B189" s="160">
        <v>10409588</v>
      </c>
      <c r="C189" s="160">
        <v>0</v>
      </c>
      <c r="D189" s="160">
        <v>1537484</v>
      </c>
      <c r="E189" s="160">
        <v>8872104</v>
      </c>
      <c r="F189" s="160">
        <v>0</v>
      </c>
      <c r="G189" s="180">
        <v>50361.62</v>
      </c>
      <c r="H189" s="444">
        <v>0.97629999999999995</v>
      </c>
      <c r="I189" s="824">
        <v>466.1</v>
      </c>
      <c r="J189" s="180">
        <v>49634.15</v>
      </c>
      <c r="K189" s="377">
        <v>209.73</v>
      </c>
      <c r="L189" s="377">
        <v>178.75</v>
      </c>
    </row>
    <row r="190" spans="1:12" x14ac:dyDescent="0.2">
      <c r="A190" t="s">
        <v>1238</v>
      </c>
      <c r="B190" s="160">
        <v>8230289</v>
      </c>
      <c r="C190" s="160">
        <v>0</v>
      </c>
      <c r="D190" s="160">
        <v>1836749</v>
      </c>
      <c r="E190" s="160">
        <v>6393540</v>
      </c>
      <c r="F190" s="160">
        <v>444080</v>
      </c>
      <c r="G190" s="180">
        <v>34729.29</v>
      </c>
      <c r="H190" s="444">
        <v>0.99</v>
      </c>
      <c r="I190" s="824">
        <v>0</v>
      </c>
      <c r="J190" s="180">
        <v>34382</v>
      </c>
      <c r="K190" s="377">
        <v>239.38</v>
      </c>
      <c r="L190" s="377">
        <v>185.96</v>
      </c>
    </row>
    <row r="191" spans="1:12" x14ac:dyDescent="0.2">
      <c r="A191" t="s">
        <v>1279</v>
      </c>
      <c r="B191" s="160">
        <v>4925901</v>
      </c>
      <c r="C191" s="160">
        <v>0</v>
      </c>
      <c r="D191" s="160">
        <v>0</v>
      </c>
      <c r="E191" s="160">
        <v>4925901</v>
      </c>
      <c r="F191" s="160">
        <v>0</v>
      </c>
      <c r="G191" s="180">
        <v>23858.44</v>
      </c>
      <c r="H191" s="444">
        <v>0.98899999999999999</v>
      </c>
      <c r="I191" s="824">
        <v>0</v>
      </c>
      <c r="J191" s="180">
        <v>23596</v>
      </c>
      <c r="K191" s="377">
        <v>208.76</v>
      </c>
      <c r="L191" s="377">
        <v>208.76</v>
      </c>
    </row>
    <row r="192" spans="1:12" x14ac:dyDescent="0.2">
      <c r="A192" t="s">
        <v>367</v>
      </c>
      <c r="B192" s="160">
        <v>10849723</v>
      </c>
      <c r="C192" s="160">
        <v>0</v>
      </c>
      <c r="D192" s="160">
        <v>3705195</v>
      </c>
      <c r="E192" s="160">
        <v>7144528</v>
      </c>
      <c r="F192" s="160">
        <v>0</v>
      </c>
      <c r="G192" s="180">
        <v>37075.339999999997</v>
      </c>
      <c r="H192" s="444">
        <v>0.99</v>
      </c>
      <c r="I192" s="824">
        <v>174.2</v>
      </c>
      <c r="J192" s="180">
        <v>36878.79</v>
      </c>
      <c r="K192" s="377">
        <v>294.2</v>
      </c>
      <c r="L192" s="377">
        <v>193.73</v>
      </c>
    </row>
    <row r="193" spans="1:12" x14ac:dyDescent="0.2">
      <c r="A193" t="s">
        <v>899</v>
      </c>
      <c r="B193" s="160">
        <v>16882220</v>
      </c>
      <c r="C193" s="160">
        <v>0</v>
      </c>
      <c r="D193" s="160">
        <v>0</v>
      </c>
      <c r="E193" s="160">
        <v>16882220</v>
      </c>
      <c r="F193" s="160">
        <v>0</v>
      </c>
      <c r="G193" s="180">
        <v>40642.42</v>
      </c>
      <c r="H193" s="444">
        <v>0.99</v>
      </c>
      <c r="I193" s="824">
        <v>0</v>
      </c>
      <c r="J193" s="180">
        <v>40236</v>
      </c>
      <c r="K193" s="377">
        <v>419.58</v>
      </c>
      <c r="L193" s="377">
        <v>419.58</v>
      </c>
    </row>
    <row r="194" spans="1:12" x14ac:dyDescent="0.2">
      <c r="A194" t="s">
        <v>990</v>
      </c>
      <c r="B194" s="160">
        <v>11531003</v>
      </c>
      <c r="C194" s="160">
        <v>0</v>
      </c>
      <c r="D194" s="160">
        <v>4041481</v>
      </c>
      <c r="E194" s="160">
        <v>7489522</v>
      </c>
      <c r="F194" s="160">
        <v>0</v>
      </c>
      <c r="G194" s="180">
        <v>43026.92</v>
      </c>
      <c r="H194" s="444">
        <v>0.99</v>
      </c>
      <c r="I194" s="824">
        <v>194.4</v>
      </c>
      <c r="J194" s="180">
        <v>42791.05</v>
      </c>
      <c r="K194" s="377">
        <v>269.47000000000003</v>
      </c>
      <c r="L194" s="377">
        <v>175.03</v>
      </c>
    </row>
    <row r="195" spans="1:12" x14ac:dyDescent="0.2">
      <c r="A195" t="s">
        <v>765</v>
      </c>
      <c r="B195" s="160">
        <v>17417764</v>
      </c>
      <c r="C195" s="160">
        <v>0</v>
      </c>
      <c r="D195" s="160">
        <v>58115</v>
      </c>
      <c r="E195" s="160">
        <v>17359649</v>
      </c>
      <c r="F195" s="160">
        <v>0</v>
      </c>
      <c r="G195" s="180">
        <v>67928.28</v>
      </c>
      <c r="H195" s="444">
        <v>0.99</v>
      </c>
      <c r="I195" s="824">
        <v>0</v>
      </c>
      <c r="J195" s="180">
        <v>67249</v>
      </c>
      <c r="K195" s="377">
        <v>259</v>
      </c>
      <c r="L195" s="377">
        <v>258.14</v>
      </c>
    </row>
    <row r="196" spans="1:12" x14ac:dyDescent="0.2">
      <c r="A196" t="s">
        <v>778</v>
      </c>
      <c r="B196" s="160">
        <v>7883620</v>
      </c>
      <c r="C196" s="160">
        <v>0</v>
      </c>
      <c r="D196" s="160">
        <v>0</v>
      </c>
      <c r="E196" s="160">
        <v>7883620</v>
      </c>
      <c r="F196" s="160">
        <v>0</v>
      </c>
      <c r="G196" s="180">
        <v>34292.75</v>
      </c>
      <c r="H196" s="444">
        <v>0.98699999999999999</v>
      </c>
      <c r="I196" s="824">
        <v>0</v>
      </c>
      <c r="J196" s="180">
        <v>33846.94</v>
      </c>
      <c r="K196" s="377">
        <v>232.92</v>
      </c>
      <c r="L196" s="377">
        <v>232.92</v>
      </c>
    </row>
    <row r="197" spans="1:12" x14ac:dyDescent="0.2">
      <c r="A197" t="s">
        <v>827</v>
      </c>
      <c r="B197" s="160">
        <v>14853474</v>
      </c>
      <c r="C197" s="160">
        <v>0</v>
      </c>
      <c r="D197" s="160">
        <v>2478247</v>
      </c>
      <c r="E197" s="160">
        <v>12375227</v>
      </c>
      <c r="F197" s="160">
        <v>0</v>
      </c>
      <c r="G197" s="180">
        <v>61447</v>
      </c>
      <c r="H197" s="444">
        <v>0.98</v>
      </c>
      <c r="I197" s="824">
        <v>417.8</v>
      </c>
      <c r="J197" s="180">
        <v>60635.86</v>
      </c>
      <c r="K197" s="377">
        <v>244.96</v>
      </c>
      <c r="L197" s="377">
        <v>204.09</v>
      </c>
    </row>
    <row r="198" spans="1:12" x14ac:dyDescent="0.2">
      <c r="A198" t="s">
        <v>1002</v>
      </c>
      <c r="B198" s="160">
        <v>9402724</v>
      </c>
      <c r="C198" s="160">
        <v>0</v>
      </c>
      <c r="D198" s="160">
        <v>447220</v>
      </c>
      <c r="E198" s="160">
        <v>8955504</v>
      </c>
      <c r="F198" s="160">
        <v>0</v>
      </c>
      <c r="G198" s="180">
        <v>42815</v>
      </c>
      <c r="H198" s="444">
        <v>0.99</v>
      </c>
      <c r="I198" s="824">
        <v>0</v>
      </c>
      <c r="J198" s="180">
        <v>42386.85</v>
      </c>
      <c r="K198" s="377">
        <v>221.83</v>
      </c>
      <c r="L198" s="377">
        <v>211.28</v>
      </c>
    </row>
    <row r="199" spans="1:12" x14ac:dyDescent="0.2">
      <c r="A199" t="s">
        <v>1117</v>
      </c>
      <c r="B199" s="160">
        <v>17773291</v>
      </c>
      <c r="C199" s="160">
        <v>0</v>
      </c>
      <c r="D199" s="160">
        <v>672145</v>
      </c>
      <c r="E199" s="160">
        <v>17101146</v>
      </c>
      <c r="F199" s="160">
        <v>0</v>
      </c>
      <c r="G199" s="180">
        <v>64745.599999999999</v>
      </c>
      <c r="H199" s="444">
        <v>0.99719999999999998</v>
      </c>
      <c r="I199" s="824">
        <v>0</v>
      </c>
      <c r="J199" s="180">
        <v>64564.31</v>
      </c>
      <c r="K199" s="377">
        <v>275.27999999999997</v>
      </c>
      <c r="L199" s="377">
        <v>264.87</v>
      </c>
    </row>
    <row r="200" spans="1:12" x14ac:dyDescent="0.2">
      <c r="A200" t="s">
        <v>1144</v>
      </c>
      <c r="B200" s="160">
        <v>7024636</v>
      </c>
      <c r="C200" s="160">
        <v>0</v>
      </c>
      <c r="D200" s="160">
        <v>0</v>
      </c>
      <c r="E200" s="160">
        <v>7024636</v>
      </c>
      <c r="F200" s="160">
        <v>0</v>
      </c>
      <c r="G200" s="180">
        <v>36687.379999999997</v>
      </c>
      <c r="H200" s="444">
        <v>0.97499999999999998</v>
      </c>
      <c r="I200" s="824">
        <v>44.2</v>
      </c>
      <c r="J200" s="180">
        <v>35814.400000000001</v>
      </c>
      <c r="K200" s="377">
        <v>196.14</v>
      </c>
      <c r="L200" s="377">
        <v>196.14</v>
      </c>
    </row>
    <row r="201" spans="1:12" x14ac:dyDescent="0.2">
      <c r="A201" t="s">
        <v>1226</v>
      </c>
      <c r="B201" s="160">
        <v>9296300</v>
      </c>
      <c r="C201" s="160">
        <v>0</v>
      </c>
      <c r="D201" s="160">
        <v>0</v>
      </c>
      <c r="E201" s="160">
        <v>9296300</v>
      </c>
      <c r="F201" s="160">
        <v>0</v>
      </c>
      <c r="G201" s="180">
        <v>41851.54</v>
      </c>
      <c r="H201" s="444">
        <v>0.97</v>
      </c>
      <c r="I201" s="824">
        <v>24</v>
      </c>
      <c r="J201" s="180">
        <v>40619.99</v>
      </c>
      <c r="K201" s="377">
        <v>228.86</v>
      </c>
      <c r="L201" s="377">
        <v>228.86</v>
      </c>
    </row>
    <row r="202" spans="1:12" x14ac:dyDescent="0.2">
      <c r="A202" t="s">
        <v>1262</v>
      </c>
      <c r="B202" s="160">
        <v>11371525</v>
      </c>
      <c r="C202" s="160">
        <v>0</v>
      </c>
      <c r="D202" s="160">
        <v>945783</v>
      </c>
      <c r="E202" s="160">
        <v>10425742</v>
      </c>
      <c r="F202" s="160">
        <v>202005</v>
      </c>
      <c r="G202" s="180">
        <v>40364.370000000003</v>
      </c>
      <c r="H202" s="444">
        <v>0.98499999999999999</v>
      </c>
      <c r="I202" s="824">
        <v>290</v>
      </c>
      <c r="J202" s="180">
        <v>40048.9</v>
      </c>
      <c r="K202" s="377">
        <v>283.94</v>
      </c>
      <c r="L202" s="377">
        <v>260.33</v>
      </c>
    </row>
    <row r="203" spans="1:12" x14ac:dyDescent="0.2">
      <c r="A203" t="s">
        <v>1282</v>
      </c>
      <c r="B203" s="160">
        <v>11351812</v>
      </c>
      <c r="C203" s="160">
        <v>0</v>
      </c>
      <c r="D203" s="160">
        <v>1395845</v>
      </c>
      <c r="E203" s="160">
        <v>9955967</v>
      </c>
      <c r="F203" s="160">
        <v>0</v>
      </c>
      <c r="G203" s="180">
        <v>39936.94</v>
      </c>
      <c r="H203" s="444">
        <v>0.98799999999999999</v>
      </c>
      <c r="I203" s="824">
        <v>0</v>
      </c>
      <c r="J203" s="180">
        <v>39457.699999999997</v>
      </c>
      <c r="K203" s="377">
        <v>287.7</v>
      </c>
      <c r="L203" s="377">
        <v>252.32</v>
      </c>
    </row>
    <row r="204" spans="1:12" x14ac:dyDescent="0.2">
      <c r="A204" t="s">
        <v>1352</v>
      </c>
      <c r="B204" s="160">
        <v>17724947</v>
      </c>
      <c r="C204" s="160">
        <v>0</v>
      </c>
      <c r="D204" s="160">
        <v>5086527</v>
      </c>
      <c r="E204" s="160">
        <v>12638420</v>
      </c>
      <c r="F204" s="160">
        <v>0</v>
      </c>
      <c r="G204" s="180">
        <v>59985.48</v>
      </c>
      <c r="H204" s="444">
        <v>0.98499999999999999</v>
      </c>
      <c r="I204" s="824">
        <v>11</v>
      </c>
      <c r="J204" s="180">
        <v>59096.7</v>
      </c>
      <c r="K204" s="377">
        <v>299.93</v>
      </c>
      <c r="L204" s="377">
        <v>213.86</v>
      </c>
    </row>
    <row r="205" spans="1:12" x14ac:dyDescent="0.2">
      <c r="A205" t="s">
        <v>1402</v>
      </c>
      <c r="B205" s="160">
        <v>12782897</v>
      </c>
      <c r="C205" s="160">
        <v>0</v>
      </c>
      <c r="D205" s="160">
        <v>0</v>
      </c>
      <c r="E205" s="160">
        <v>12782897</v>
      </c>
      <c r="F205" s="160">
        <v>0</v>
      </c>
      <c r="G205" s="180">
        <v>43658</v>
      </c>
      <c r="H205" s="444">
        <v>0.98</v>
      </c>
      <c r="I205" s="824">
        <v>95</v>
      </c>
      <c r="J205" s="180">
        <v>42879.839999999997</v>
      </c>
      <c r="K205" s="377">
        <v>298.11</v>
      </c>
      <c r="L205" s="377">
        <v>298.11</v>
      </c>
    </row>
    <row r="206" spans="1:12" x14ac:dyDescent="0.2">
      <c r="A206" t="s">
        <v>1053</v>
      </c>
      <c r="B206" s="160">
        <v>6685229</v>
      </c>
      <c r="C206" s="160">
        <v>0</v>
      </c>
      <c r="D206" s="160">
        <v>1366599</v>
      </c>
      <c r="E206" s="160">
        <v>5318630</v>
      </c>
      <c r="F206" s="160">
        <v>0</v>
      </c>
      <c r="G206" s="180">
        <v>22357.040000000001</v>
      </c>
      <c r="H206" s="444">
        <v>0.98</v>
      </c>
      <c r="I206" s="824">
        <v>0</v>
      </c>
      <c r="J206" s="180">
        <v>21909.9</v>
      </c>
      <c r="K206" s="377">
        <v>305.12</v>
      </c>
      <c r="L206" s="377">
        <v>242.75</v>
      </c>
    </row>
    <row r="207" spans="1:12" x14ac:dyDescent="0.2">
      <c r="A207" t="s">
        <v>1078</v>
      </c>
      <c r="B207" s="160">
        <v>11078501</v>
      </c>
      <c r="C207" s="160">
        <v>0</v>
      </c>
      <c r="D207" s="160">
        <v>0</v>
      </c>
      <c r="E207" s="160">
        <v>11078501</v>
      </c>
      <c r="F207" s="160">
        <v>0</v>
      </c>
      <c r="G207" s="180">
        <v>42046.080000000002</v>
      </c>
      <c r="H207" s="444">
        <v>0.97</v>
      </c>
      <c r="I207" s="824">
        <v>24.6</v>
      </c>
      <c r="J207" s="180">
        <v>40809.300000000003</v>
      </c>
      <c r="K207" s="377">
        <v>271.47000000000003</v>
      </c>
      <c r="L207" s="377">
        <v>271.47000000000003</v>
      </c>
    </row>
    <row r="208" spans="1:12" x14ac:dyDescent="0.2">
      <c r="A208" t="s">
        <v>1141</v>
      </c>
      <c r="B208" s="160">
        <v>10454747</v>
      </c>
      <c r="C208" s="160">
        <v>2296374</v>
      </c>
      <c r="D208" s="160">
        <v>1155503</v>
      </c>
      <c r="E208" s="160">
        <v>9299244</v>
      </c>
      <c r="F208" s="160">
        <v>0</v>
      </c>
      <c r="G208" s="180">
        <v>42031.12</v>
      </c>
      <c r="H208" s="444">
        <v>0.98599999999999999</v>
      </c>
      <c r="I208" s="824">
        <v>140.4</v>
      </c>
      <c r="J208" s="180">
        <v>41583.08</v>
      </c>
      <c r="K208" s="377">
        <v>251.42</v>
      </c>
      <c r="L208" s="377">
        <v>223.63</v>
      </c>
    </row>
    <row r="209" spans="1:12" x14ac:dyDescent="0.2">
      <c r="A209" t="s">
        <v>1253</v>
      </c>
      <c r="B209" s="160">
        <v>15873540</v>
      </c>
      <c r="C209" s="160">
        <v>0</v>
      </c>
      <c r="D209" s="160">
        <v>5273220</v>
      </c>
      <c r="E209" s="160">
        <v>10600320</v>
      </c>
      <c r="F209" s="160">
        <v>0</v>
      </c>
      <c r="G209" s="180">
        <v>62849.99</v>
      </c>
      <c r="H209" s="444">
        <v>0.99601110000000004</v>
      </c>
      <c r="I209" s="824">
        <v>80</v>
      </c>
      <c r="J209" s="180">
        <v>62679.29</v>
      </c>
      <c r="K209" s="377">
        <v>253.25</v>
      </c>
      <c r="L209" s="377">
        <v>169.12</v>
      </c>
    </row>
    <row r="210" spans="1:12" x14ac:dyDescent="0.2">
      <c r="A210" t="s">
        <v>1346</v>
      </c>
      <c r="B210" s="160">
        <v>13727441</v>
      </c>
      <c r="C210" s="160">
        <v>0</v>
      </c>
      <c r="D210" s="160">
        <v>2524061</v>
      </c>
      <c r="E210" s="160">
        <v>11203380</v>
      </c>
      <c r="F210" s="160">
        <v>0</v>
      </c>
      <c r="G210" s="180">
        <v>60019.61</v>
      </c>
      <c r="H210" s="444">
        <v>0.995</v>
      </c>
      <c r="I210" s="824">
        <v>0</v>
      </c>
      <c r="J210" s="180">
        <v>59719.51</v>
      </c>
      <c r="K210" s="377">
        <v>229.87</v>
      </c>
      <c r="L210" s="377">
        <v>187.6</v>
      </c>
    </row>
    <row r="211" spans="1:12" x14ac:dyDescent="0.2">
      <c r="A211" t="s">
        <v>320</v>
      </c>
      <c r="B211" s="160">
        <v>8304442</v>
      </c>
      <c r="C211" s="160">
        <v>0</v>
      </c>
      <c r="D211" s="160">
        <v>485452</v>
      </c>
      <c r="E211" s="160">
        <v>7818990</v>
      </c>
      <c r="F211" s="160">
        <v>477220</v>
      </c>
      <c r="G211" s="180">
        <v>23547.040000000001</v>
      </c>
      <c r="H211" s="444">
        <v>0.96609999999999996</v>
      </c>
      <c r="I211" s="824">
        <v>0</v>
      </c>
      <c r="J211" s="180">
        <v>22748.799999999999</v>
      </c>
      <c r="K211" s="377">
        <v>365.05</v>
      </c>
      <c r="L211" s="377">
        <v>343.71</v>
      </c>
    </row>
    <row r="212" spans="1:12" x14ac:dyDescent="0.2">
      <c r="A212" t="s">
        <v>342</v>
      </c>
      <c r="B212" s="160">
        <v>20306653</v>
      </c>
      <c r="C212" s="160">
        <v>0</v>
      </c>
      <c r="D212" s="160">
        <v>5953511</v>
      </c>
      <c r="E212" s="160">
        <v>14353142</v>
      </c>
      <c r="F212" s="160">
        <v>249000</v>
      </c>
      <c r="G212" s="180">
        <v>68592</v>
      </c>
      <c r="H212" s="444">
        <v>0.97499709999999995</v>
      </c>
      <c r="I212" s="824">
        <v>0</v>
      </c>
      <c r="J212" s="180">
        <v>66877</v>
      </c>
      <c r="K212" s="377">
        <v>303.64</v>
      </c>
      <c r="L212" s="377">
        <v>214.62</v>
      </c>
    </row>
    <row r="213" spans="1:12" x14ac:dyDescent="0.2">
      <c r="A213" t="s">
        <v>645</v>
      </c>
      <c r="B213" s="160">
        <v>16656682</v>
      </c>
      <c r="C213" s="160">
        <v>0</v>
      </c>
      <c r="D213" s="160">
        <v>5188182</v>
      </c>
      <c r="E213" s="160">
        <v>11468500</v>
      </c>
      <c r="F213" s="160">
        <v>300</v>
      </c>
      <c r="G213" s="180">
        <v>60027.73</v>
      </c>
      <c r="H213" s="444">
        <v>0.99</v>
      </c>
      <c r="I213" s="824">
        <v>285.55</v>
      </c>
      <c r="J213" s="180">
        <v>59713</v>
      </c>
      <c r="K213" s="377">
        <v>278.95</v>
      </c>
      <c r="L213" s="377">
        <v>192.06</v>
      </c>
    </row>
    <row r="214" spans="1:12" x14ac:dyDescent="0.2">
      <c r="A214" t="s">
        <v>668</v>
      </c>
      <c r="B214" s="160">
        <v>8840927</v>
      </c>
      <c r="C214" s="160">
        <v>0</v>
      </c>
      <c r="D214" s="160">
        <v>0</v>
      </c>
      <c r="E214" s="160">
        <v>8840927</v>
      </c>
      <c r="F214" s="160">
        <v>0</v>
      </c>
      <c r="G214" s="180">
        <v>37171.03</v>
      </c>
      <c r="H214" s="444">
        <v>0.995</v>
      </c>
      <c r="I214" s="824">
        <v>0</v>
      </c>
      <c r="J214" s="180">
        <v>36985.17</v>
      </c>
      <c r="K214" s="377">
        <v>239.04</v>
      </c>
      <c r="L214" s="377">
        <v>239.04</v>
      </c>
    </row>
    <row r="215" spans="1:12" x14ac:dyDescent="0.2">
      <c r="A215" t="s">
        <v>887</v>
      </c>
      <c r="B215" s="160">
        <v>16614764</v>
      </c>
      <c r="C215" s="160">
        <v>499800</v>
      </c>
      <c r="D215" s="160">
        <v>4675408</v>
      </c>
      <c r="E215" s="160">
        <v>11939356</v>
      </c>
      <c r="F215" s="160">
        <v>0</v>
      </c>
      <c r="G215" s="180">
        <v>66049.7</v>
      </c>
      <c r="H215" s="444">
        <v>0.99</v>
      </c>
      <c r="I215" s="824">
        <v>0</v>
      </c>
      <c r="J215" s="180">
        <v>65389.2</v>
      </c>
      <c r="K215" s="377">
        <v>254.09</v>
      </c>
      <c r="L215" s="377">
        <v>182.59</v>
      </c>
    </row>
    <row r="216" spans="1:12" x14ac:dyDescent="0.2">
      <c r="A216" t="s">
        <v>993</v>
      </c>
      <c r="B216" s="160">
        <v>19306799</v>
      </c>
      <c r="C216" s="160">
        <v>0</v>
      </c>
      <c r="D216" s="160">
        <v>6185825</v>
      </c>
      <c r="E216" s="160">
        <v>13120974</v>
      </c>
      <c r="F216" s="160">
        <v>1149.77</v>
      </c>
      <c r="G216" s="180">
        <v>67200.413329999996</v>
      </c>
      <c r="H216" s="444">
        <v>0.99399999999999999</v>
      </c>
      <c r="I216" s="824">
        <v>0</v>
      </c>
      <c r="J216" s="180">
        <v>66797.210000000006</v>
      </c>
      <c r="K216" s="377">
        <v>289.04000000000002</v>
      </c>
      <c r="L216" s="377">
        <v>196.43</v>
      </c>
    </row>
    <row r="217" spans="1:12" x14ac:dyDescent="0.2">
      <c r="A217" t="s">
        <v>1414</v>
      </c>
      <c r="B217" s="160">
        <v>10879200</v>
      </c>
      <c r="C217" s="160">
        <v>0</v>
      </c>
      <c r="D217" s="160">
        <v>0</v>
      </c>
      <c r="E217" s="160">
        <v>10879200</v>
      </c>
      <c r="F217" s="160">
        <v>0</v>
      </c>
      <c r="G217" s="180">
        <v>40895.96</v>
      </c>
      <c r="H217" s="444">
        <v>0.96499999999999997</v>
      </c>
      <c r="I217" s="824">
        <v>0</v>
      </c>
      <c r="J217" s="180">
        <v>39464.6</v>
      </c>
      <c r="K217" s="377">
        <v>275.67</v>
      </c>
      <c r="L217" s="377">
        <v>275.67</v>
      </c>
    </row>
    <row r="218" spans="1:12" x14ac:dyDescent="0.2">
      <c r="A218" t="s">
        <v>547</v>
      </c>
      <c r="B218" s="160">
        <v>11250708</v>
      </c>
      <c r="C218" s="160">
        <v>0</v>
      </c>
      <c r="D218" s="160">
        <v>1373801</v>
      </c>
      <c r="E218" s="160">
        <v>9876907</v>
      </c>
      <c r="F218" s="160">
        <v>0</v>
      </c>
      <c r="G218" s="180">
        <v>38735.75</v>
      </c>
      <c r="H218" s="444">
        <v>0.99</v>
      </c>
      <c r="I218" s="824">
        <v>11.55</v>
      </c>
      <c r="J218" s="180">
        <v>38359.94</v>
      </c>
      <c r="K218" s="377">
        <v>293.29000000000002</v>
      </c>
      <c r="L218" s="377">
        <v>257.48</v>
      </c>
    </row>
    <row r="219" spans="1:12" x14ac:dyDescent="0.2">
      <c r="A219" t="s">
        <v>969</v>
      </c>
      <c r="B219" s="160">
        <v>9107308</v>
      </c>
      <c r="C219" s="160">
        <v>0</v>
      </c>
      <c r="D219" s="160">
        <v>2979639</v>
      </c>
      <c r="E219" s="160">
        <v>6127669</v>
      </c>
      <c r="F219" s="160">
        <v>0</v>
      </c>
      <c r="G219" s="180">
        <v>33726.639999999999</v>
      </c>
      <c r="H219" s="444">
        <v>0.995</v>
      </c>
      <c r="I219" s="824">
        <v>0</v>
      </c>
      <c r="J219" s="180">
        <v>33558.01</v>
      </c>
      <c r="K219" s="377">
        <v>271.39</v>
      </c>
      <c r="L219" s="377">
        <v>182.6</v>
      </c>
    </row>
    <row r="220" spans="1:12" x14ac:dyDescent="0.2">
      <c r="A220" t="s">
        <v>1114</v>
      </c>
      <c r="B220" s="160">
        <v>7405117</v>
      </c>
      <c r="C220" s="160">
        <v>0</v>
      </c>
      <c r="D220" s="160">
        <v>60000</v>
      </c>
      <c r="E220" s="160">
        <v>7345117</v>
      </c>
      <c r="F220" s="160">
        <v>0</v>
      </c>
      <c r="G220" s="180">
        <v>26995.51</v>
      </c>
      <c r="H220" s="444">
        <v>0.98</v>
      </c>
      <c r="I220" s="824">
        <v>0</v>
      </c>
      <c r="J220" s="180">
        <v>26455.599999999999</v>
      </c>
      <c r="K220" s="377">
        <v>279.91000000000003</v>
      </c>
      <c r="L220" s="377">
        <v>277.64</v>
      </c>
    </row>
    <row r="221" spans="1:12" x14ac:dyDescent="0.2">
      <c r="A221" t="s">
        <v>1411</v>
      </c>
      <c r="B221" s="160">
        <v>7536868</v>
      </c>
      <c r="C221" s="160">
        <v>0</v>
      </c>
      <c r="D221" s="160">
        <v>169690</v>
      </c>
      <c r="E221" s="160">
        <v>7367178</v>
      </c>
      <c r="F221" s="160">
        <v>0</v>
      </c>
      <c r="G221" s="180">
        <v>33824.79</v>
      </c>
      <c r="H221" s="444">
        <v>0.99250000000000005</v>
      </c>
      <c r="I221" s="824">
        <v>0</v>
      </c>
      <c r="J221" s="180">
        <v>33571.1</v>
      </c>
      <c r="K221" s="377">
        <v>224.5</v>
      </c>
      <c r="L221" s="377">
        <v>219.45</v>
      </c>
    </row>
    <row r="222" spans="1:12" x14ac:dyDescent="0.2">
      <c r="A222" t="s">
        <v>1417</v>
      </c>
      <c r="B222" s="160">
        <v>10299312</v>
      </c>
      <c r="C222" s="160">
        <v>0</v>
      </c>
      <c r="D222" s="160">
        <v>3405800</v>
      </c>
      <c r="E222" s="160">
        <v>6893512</v>
      </c>
      <c r="F222" s="160">
        <v>0</v>
      </c>
      <c r="G222" s="180">
        <v>55146</v>
      </c>
      <c r="H222" s="444">
        <v>0.97499999999999998</v>
      </c>
      <c r="I222" s="824">
        <v>0</v>
      </c>
      <c r="J222" s="180">
        <v>53767.35</v>
      </c>
      <c r="K222" s="377">
        <v>191.55</v>
      </c>
      <c r="L222" s="377">
        <v>128.21</v>
      </c>
    </row>
    <row r="223" spans="1:12" x14ac:dyDescent="0.2">
      <c r="A223" t="s">
        <v>1423</v>
      </c>
      <c r="B223" s="160">
        <v>11239569</v>
      </c>
      <c r="C223" s="160">
        <v>0</v>
      </c>
      <c r="D223" s="160">
        <v>2384569</v>
      </c>
      <c r="E223" s="160">
        <v>8855000</v>
      </c>
      <c r="F223" s="160">
        <v>0</v>
      </c>
      <c r="G223" s="180">
        <v>35876.14</v>
      </c>
      <c r="H223" s="444">
        <v>0.98499999999999999</v>
      </c>
      <c r="I223" s="824">
        <v>0</v>
      </c>
      <c r="J223" s="180">
        <v>35338</v>
      </c>
      <c r="K223" s="377">
        <v>318.06</v>
      </c>
      <c r="L223" s="377">
        <v>250.58</v>
      </c>
    </row>
    <row r="224" spans="1:12" x14ac:dyDescent="0.2">
      <c r="A224" t="s">
        <v>1229</v>
      </c>
      <c r="B224" s="160">
        <v>17520730</v>
      </c>
      <c r="C224" s="160">
        <v>1271855</v>
      </c>
      <c r="D224" s="160">
        <v>4077243</v>
      </c>
      <c r="E224" s="160">
        <v>13443487</v>
      </c>
      <c r="F224" s="160">
        <v>0</v>
      </c>
      <c r="G224" s="180">
        <v>65616.399999999994</v>
      </c>
      <c r="H224" s="444">
        <v>0.98499999999999999</v>
      </c>
      <c r="I224" s="824">
        <v>0</v>
      </c>
      <c r="J224" s="180">
        <v>64632.15</v>
      </c>
      <c r="K224" s="377">
        <v>271.08</v>
      </c>
      <c r="L224" s="377">
        <v>208</v>
      </c>
    </row>
    <row r="225" spans="1:12" x14ac:dyDescent="0.2">
      <c r="A225" t="s">
        <v>1358</v>
      </c>
      <c r="B225" s="160">
        <v>13212787</v>
      </c>
      <c r="C225" s="160">
        <v>0</v>
      </c>
      <c r="D225" s="160">
        <v>2384223</v>
      </c>
      <c r="E225" s="160">
        <v>10828564</v>
      </c>
      <c r="F225" s="160">
        <v>0</v>
      </c>
      <c r="G225" s="180">
        <v>44517.5</v>
      </c>
      <c r="H225" s="444">
        <v>0.99399999999999999</v>
      </c>
      <c r="I225" s="824">
        <v>0</v>
      </c>
      <c r="J225" s="180">
        <v>44250.400000000001</v>
      </c>
      <c r="K225" s="377">
        <v>298.58999999999997</v>
      </c>
      <c r="L225" s="377">
        <v>244.71</v>
      </c>
    </row>
    <row r="226" spans="1:12" x14ac:dyDescent="0.2">
      <c r="A226" t="s">
        <v>736</v>
      </c>
      <c r="B226" s="160">
        <v>19905368</v>
      </c>
      <c r="C226" s="160">
        <v>0</v>
      </c>
      <c r="D226" s="160">
        <v>6774633</v>
      </c>
      <c r="E226" s="160">
        <v>13130735</v>
      </c>
      <c r="F226" s="160">
        <v>0</v>
      </c>
      <c r="G226" s="180">
        <v>66308.67</v>
      </c>
      <c r="H226" s="444">
        <v>0.98499999999999999</v>
      </c>
      <c r="I226" s="824">
        <v>0</v>
      </c>
      <c r="J226" s="180">
        <v>65314.04</v>
      </c>
      <c r="K226" s="377">
        <v>304.76</v>
      </c>
      <c r="L226" s="377">
        <v>201.04</v>
      </c>
    </row>
    <row r="227" spans="1:12" x14ac:dyDescent="0.2">
      <c r="A227" t="s">
        <v>1241</v>
      </c>
      <c r="B227" s="160">
        <v>7040510</v>
      </c>
      <c r="C227" s="160">
        <v>0</v>
      </c>
      <c r="D227" s="160">
        <v>0</v>
      </c>
      <c r="E227" s="160">
        <v>7040510</v>
      </c>
      <c r="F227" s="160">
        <v>0</v>
      </c>
      <c r="G227" s="180">
        <v>29154.9</v>
      </c>
      <c r="H227" s="444">
        <v>0.98</v>
      </c>
      <c r="I227" s="824">
        <v>0</v>
      </c>
      <c r="J227" s="180">
        <v>28571.8</v>
      </c>
      <c r="K227" s="377">
        <v>246.41</v>
      </c>
      <c r="L227" s="377">
        <v>246.41</v>
      </c>
    </row>
    <row r="228" spans="1:12" x14ac:dyDescent="0.2">
      <c r="A228" t="s">
        <v>754</v>
      </c>
      <c r="B228" s="160">
        <v>27310863</v>
      </c>
      <c r="C228" s="160">
        <v>0</v>
      </c>
      <c r="D228" s="160">
        <v>8793754</v>
      </c>
      <c r="E228" s="160">
        <v>18517109</v>
      </c>
      <c r="F228" s="160">
        <v>177100</v>
      </c>
      <c r="G228" s="180">
        <v>97160.6</v>
      </c>
      <c r="H228" s="444">
        <v>0.99</v>
      </c>
      <c r="I228" s="824">
        <v>179</v>
      </c>
      <c r="J228" s="180">
        <v>96367.99</v>
      </c>
      <c r="K228" s="377">
        <v>283.39999999999998</v>
      </c>
      <c r="L228" s="377">
        <v>192.15</v>
      </c>
    </row>
    <row r="229" spans="1:12" x14ac:dyDescent="0.2">
      <c r="A229" t="s">
        <v>1379</v>
      </c>
      <c r="B229" s="160">
        <v>18075407</v>
      </c>
      <c r="C229" s="160">
        <v>0</v>
      </c>
      <c r="D229" s="160">
        <v>5967228</v>
      </c>
      <c r="E229" s="160">
        <v>12108179</v>
      </c>
      <c r="F229" s="160">
        <v>0</v>
      </c>
      <c r="G229" s="180">
        <v>60362.23</v>
      </c>
      <c r="H229" s="444">
        <v>0.98</v>
      </c>
      <c r="I229" s="824">
        <v>295</v>
      </c>
      <c r="J229" s="180">
        <v>59449.99</v>
      </c>
      <c r="K229" s="377">
        <v>304.04000000000002</v>
      </c>
      <c r="L229" s="377">
        <v>203.67</v>
      </c>
    </row>
    <row r="230" spans="1:12" x14ac:dyDescent="0.2">
      <c r="A230" t="s">
        <v>476</v>
      </c>
      <c r="B230" s="160">
        <v>150549492</v>
      </c>
      <c r="C230" s="160">
        <v>0</v>
      </c>
      <c r="D230" s="160">
        <v>566029</v>
      </c>
      <c r="E230" s="160">
        <v>149983463</v>
      </c>
      <c r="F230" s="160">
        <v>42462100</v>
      </c>
      <c r="G230" s="180">
        <v>82270.600000000006</v>
      </c>
      <c r="H230" s="444">
        <v>0.98</v>
      </c>
      <c r="I230" s="824">
        <v>0</v>
      </c>
      <c r="J230" s="180">
        <v>80625.19</v>
      </c>
      <c r="K230" s="377">
        <v>1867.28</v>
      </c>
      <c r="L230" s="377">
        <v>1860.26</v>
      </c>
    </row>
    <row r="231" spans="1:12" x14ac:dyDescent="0.2">
      <c r="A231" t="s">
        <v>576</v>
      </c>
      <c r="B231" s="160">
        <v>118295558</v>
      </c>
      <c r="C231" s="160">
        <v>0</v>
      </c>
      <c r="D231" s="160">
        <v>0</v>
      </c>
      <c r="E231" s="160">
        <v>118295558</v>
      </c>
      <c r="F231" s="160">
        <v>29301472</v>
      </c>
      <c r="G231" s="180">
        <v>60201.088210000002</v>
      </c>
      <c r="H231" s="444">
        <v>0.97499999999999998</v>
      </c>
      <c r="I231" s="824">
        <v>1.8</v>
      </c>
      <c r="J231" s="180">
        <v>58697.86</v>
      </c>
      <c r="K231" s="377">
        <v>2015.33</v>
      </c>
      <c r="L231" s="377">
        <v>2015.33</v>
      </c>
    </row>
    <row r="232" spans="1:12" x14ac:dyDescent="0.2">
      <c r="A232" t="s">
        <v>972</v>
      </c>
      <c r="B232" s="160">
        <v>251235424</v>
      </c>
      <c r="C232" s="160">
        <v>0</v>
      </c>
      <c r="D232" s="160">
        <v>0</v>
      </c>
      <c r="E232" s="160">
        <v>251235424</v>
      </c>
      <c r="F232" s="160">
        <v>74741173</v>
      </c>
      <c r="G232" s="180">
        <v>145952.75</v>
      </c>
      <c r="H232" s="444">
        <v>0.96499999999999997</v>
      </c>
      <c r="I232" s="824">
        <v>0</v>
      </c>
      <c r="J232" s="180">
        <v>140844.4</v>
      </c>
      <c r="K232" s="377">
        <v>1783.78</v>
      </c>
      <c r="L232" s="377">
        <v>1783.78</v>
      </c>
    </row>
    <row r="233" spans="1:12" x14ac:dyDescent="0.2">
      <c r="A233" t="s">
        <v>1084</v>
      </c>
      <c r="B233" s="160">
        <v>122580521</v>
      </c>
      <c r="C233" s="160">
        <v>0</v>
      </c>
      <c r="D233" s="160">
        <v>380937</v>
      </c>
      <c r="E233" s="160">
        <v>122199584</v>
      </c>
      <c r="F233" s="160">
        <v>36932362</v>
      </c>
      <c r="G233" s="180">
        <v>61499.5</v>
      </c>
      <c r="H233" s="444">
        <v>0.96750000000000003</v>
      </c>
      <c r="I233" s="824">
        <v>0</v>
      </c>
      <c r="J233" s="180">
        <v>59500.77</v>
      </c>
      <c r="K233" s="377">
        <v>2060.15</v>
      </c>
      <c r="L233" s="377">
        <v>2053.75</v>
      </c>
    </row>
    <row r="234" spans="1:12" x14ac:dyDescent="0.2">
      <c r="A234" t="s">
        <v>1126</v>
      </c>
      <c r="B234" s="160">
        <v>123170103</v>
      </c>
      <c r="C234" s="160">
        <v>0</v>
      </c>
      <c r="D234" s="160">
        <v>0</v>
      </c>
      <c r="E234" s="160">
        <v>123170103</v>
      </c>
      <c r="F234" s="160">
        <v>33180280</v>
      </c>
      <c r="G234" s="180">
        <v>61046</v>
      </c>
      <c r="H234" s="444">
        <v>0.98</v>
      </c>
      <c r="I234" s="824">
        <v>0</v>
      </c>
      <c r="J234" s="180">
        <v>59825.08</v>
      </c>
      <c r="K234" s="377">
        <v>2058.84</v>
      </c>
      <c r="L234" s="377">
        <v>2058.84</v>
      </c>
    </row>
    <row r="235" spans="1:12" x14ac:dyDescent="0.2">
      <c r="A235" t="s">
        <v>1156</v>
      </c>
      <c r="B235" s="160">
        <v>161401094</v>
      </c>
      <c r="C235" s="160">
        <v>0</v>
      </c>
      <c r="D235" s="160">
        <v>0</v>
      </c>
      <c r="E235" s="160">
        <v>161401094</v>
      </c>
      <c r="F235" s="160">
        <v>41845081</v>
      </c>
      <c r="G235" s="180">
        <v>82330.89</v>
      </c>
      <c r="H235" s="444">
        <v>0.95499999999999996</v>
      </c>
      <c r="I235" s="824">
        <v>0</v>
      </c>
      <c r="J235" s="180">
        <v>78626</v>
      </c>
      <c r="K235" s="377">
        <v>2052.77</v>
      </c>
      <c r="L235" s="377">
        <v>2052.77</v>
      </c>
    </row>
    <row r="236" spans="1:12" x14ac:dyDescent="0.2">
      <c r="A236" t="s">
        <v>1244</v>
      </c>
      <c r="B236" s="160">
        <v>206234970</v>
      </c>
      <c r="C236" s="160">
        <v>0</v>
      </c>
      <c r="D236" s="160">
        <v>0</v>
      </c>
      <c r="E236" s="160">
        <v>206234970</v>
      </c>
      <c r="F236" s="160">
        <v>43954726</v>
      </c>
      <c r="G236" s="180">
        <v>100546.15</v>
      </c>
      <c r="H236" s="444">
        <v>0.98799999999999999</v>
      </c>
      <c r="I236" s="824">
        <v>0</v>
      </c>
      <c r="J236" s="180">
        <v>99339.6</v>
      </c>
      <c r="K236" s="377">
        <v>2076.06</v>
      </c>
      <c r="L236" s="377">
        <v>2076.06</v>
      </c>
    </row>
    <row r="237" spans="1:12" x14ac:dyDescent="0.2">
      <c r="A237" t="s">
        <v>1276</v>
      </c>
      <c r="B237" s="160">
        <v>124513402</v>
      </c>
      <c r="C237" s="160">
        <v>0</v>
      </c>
      <c r="D237" s="160">
        <v>36500</v>
      </c>
      <c r="E237" s="160">
        <v>124476902</v>
      </c>
      <c r="F237" s="160">
        <v>33795000</v>
      </c>
      <c r="G237" s="180">
        <v>66772.639999999999</v>
      </c>
      <c r="H237" s="444">
        <v>0.97499999999999998</v>
      </c>
      <c r="I237" s="824">
        <v>0</v>
      </c>
      <c r="J237" s="180">
        <v>65103.32</v>
      </c>
      <c r="K237" s="377">
        <v>1912.55</v>
      </c>
      <c r="L237" s="377">
        <v>1911.99</v>
      </c>
    </row>
    <row r="238" spans="1:12" x14ac:dyDescent="0.2">
      <c r="A238" t="s">
        <v>1320</v>
      </c>
      <c r="B238" s="160">
        <v>139288250</v>
      </c>
      <c r="C238" s="160">
        <v>0</v>
      </c>
      <c r="D238" s="160">
        <v>137296</v>
      </c>
      <c r="E238" s="160">
        <v>139150954</v>
      </c>
      <c r="F238" s="160">
        <v>33953506</v>
      </c>
      <c r="G238" s="180">
        <v>81602.22</v>
      </c>
      <c r="H238" s="444">
        <v>0.99050000000000005</v>
      </c>
      <c r="I238" s="824">
        <v>0</v>
      </c>
      <c r="J238" s="180">
        <v>80827</v>
      </c>
      <c r="K238" s="377">
        <v>1723.29</v>
      </c>
      <c r="L238" s="377">
        <v>1721.59</v>
      </c>
    </row>
    <row r="239" spans="1:12" x14ac:dyDescent="0.2">
      <c r="A239" t="s">
        <v>1388</v>
      </c>
      <c r="B239" s="160">
        <v>160917680</v>
      </c>
      <c r="C239" s="160">
        <v>0</v>
      </c>
      <c r="D239" s="160">
        <v>110529</v>
      </c>
      <c r="E239" s="160">
        <v>160807151</v>
      </c>
      <c r="F239" s="160">
        <v>24427000</v>
      </c>
      <c r="G239" s="180">
        <v>99595.96</v>
      </c>
      <c r="H239" s="444">
        <v>0.99</v>
      </c>
      <c r="I239" s="824">
        <v>0</v>
      </c>
      <c r="J239" s="180">
        <v>98600</v>
      </c>
      <c r="K239" s="377">
        <v>1632.03</v>
      </c>
      <c r="L239" s="377">
        <v>1630.9</v>
      </c>
    </row>
    <row r="240" spans="1:12" x14ac:dyDescent="0.2">
      <c r="A240" t="s">
        <v>926</v>
      </c>
      <c r="B240" s="160">
        <v>78168559</v>
      </c>
      <c r="C240" s="160">
        <v>0</v>
      </c>
      <c r="D240" s="160">
        <v>1567727</v>
      </c>
      <c r="E240" s="160">
        <v>76600832</v>
      </c>
      <c r="F240" s="160">
        <v>21347000</v>
      </c>
      <c r="G240" s="180">
        <v>40654.36</v>
      </c>
      <c r="H240" s="444">
        <v>0.97499999999999998</v>
      </c>
      <c r="I240" s="824">
        <v>0</v>
      </c>
      <c r="J240" s="180">
        <v>39638</v>
      </c>
      <c r="K240" s="377">
        <v>1972.06</v>
      </c>
      <c r="L240" s="377">
        <v>1932.51</v>
      </c>
    </row>
    <row r="241" spans="1:12" x14ac:dyDescent="0.2">
      <c r="A241" t="s">
        <v>957</v>
      </c>
      <c r="B241" s="160">
        <v>258220676</v>
      </c>
      <c r="C241" s="160">
        <v>0</v>
      </c>
      <c r="D241" s="160">
        <v>0</v>
      </c>
      <c r="E241" s="160">
        <v>258220676</v>
      </c>
      <c r="F241" s="160">
        <v>66743517</v>
      </c>
      <c r="G241" s="180">
        <v>127933.55</v>
      </c>
      <c r="H241" s="444">
        <v>0.94</v>
      </c>
      <c r="I241" s="824">
        <v>0</v>
      </c>
      <c r="J241" s="180">
        <v>120257.54</v>
      </c>
      <c r="K241" s="377">
        <v>2147.23</v>
      </c>
      <c r="L241" s="377">
        <v>2147.23</v>
      </c>
    </row>
    <row r="242" spans="1:12" x14ac:dyDescent="0.2">
      <c r="A242" t="s">
        <v>1232</v>
      </c>
      <c r="B242" s="160">
        <v>101456183</v>
      </c>
      <c r="C242" s="160">
        <v>0</v>
      </c>
      <c r="D242" s="160">
        <v>406208</v>
      </c>
      <c r="E242" s="160">
        <v>101049975</v>
      </c>
      <c r="F242" s="160">
        <v>23804105</v>
      </c>
      <c r="G242" s="180">
        <v>55190.13</v>
      </c>
      <c r="H242" s="444">
        <v>0.97299999999999998</v>
      </c>
      <c r="I242" s="824">
        <v>0</v>
      </c>
      <c r="J242" s="180">
        <v>53700</v>
      </c>
      <c r="K242" s="377">
        <v>1889.31</v>
      </c>
      <c r="L242" s="377">
        <v>1881.75</v>
      </c>
    </row>
    <row r="243" spans="1:12" x14ac:dyDescent="0.2">
      <c r="A243" t="s">
        <v>1162</v>
      </c>
      <c r="B243" s="160">
        <v>180125737</v>
      </c>
      <c r="C243" s="160">
        <v>0</v>
      </c>
      <c r="D243" s="160">
        <v>1586347</v>
      </c>
      <c r="E243" s="160">
        <v>178539390</v>
      </c>
      <c r="F243" s="160">
        <v>37749824</v>
      </c>
      <c r="G243" s="180">
        <v>89922.5</v>
      </c>
      <c r="H243" s="444">
        <v>0.97150000000000003</v>
      </c>
      <c r="I243" s="824">
        <v>7.99</v>
      </c>
      <c r="J243" s="180">
        <v>87367.7</v>
      </c>
      <c r="K243" s="377">
        <v>2061.6999999999998</v>
      </c>
      <c r="L243" s="377">
        <v>2043.54</v>
      </c>
    </row>
    <row r="244" spans="1:12" x14ac:dyDescent="0.2">
      <c r="A244" t="s">
        <v>1399</v>
      </c>
      <c r="B244" s="160">
        <v>194098639</v>
      </c>
      <c r="C244" s="160">
        <v>0</v>
      </c>
      <c r="D244" s="160">
        <v>0</v>
      </c>
      <c r="E244" s="160">
        <v>194098639</v>
      </c>
      <c r="F244" s="160">
        <v>43180906.136179999</v>
      </c>
      <c r="G244" s="180">
        <v>100937.07</v>
      </c>
      <c r="H244" s="444">
        <v>0.97</v>
      </c>
      <c r="I244" s="824">
        <v>0</v>
      </c>
      <c r="J244" s="180">
        <v>97908.96</v>
      </c>
      <c r="K244" s="377">
        <v>1982.44</v>
      </c>
      <c r="L244" s="377">
        <v>1982.44</v>
      </c>
    </row>
    <row r="245" spans="1:12" x14ac:dyDescent="0.2">
      <c r="A245" s="26" t="s">
        <v>703</v>
      </c>
      <c r="B245" s="160">
        <v>154623676</v>
      </c>
      <c r="C245" s="160">
        <v>0</v>
      </c>
      <c r="D245" s="160">
        <v>3511170</v>
      </c>
      <c r="E245" s="160">
        <v>151112506</v>
      </c>
      <c r="F245" s="160">
        <v>15225550</v>
      </c>
      <c r="G245" s="180">
        <v>89334.69</v>
      </c>
      <c r="H245" s="444">
        <v>0.98599999999999999</v>
      </c>
      <c r="I245" s="824">
        <v>0</v>
      </c>
      <c r="J245" s="180">
        <v>88084</v>
      </c>
      <c r="K245" s="377">
        <v>1755.41</v>
      </c>
      <c r="L245" s="377">
        <v>1715.55</v>
      </c>
    </row>
    <row r="246" spans="1:12" x14ac:dyDescent="0.2">
      <c r="A246" t="s">
        <v>1138</v>
      </c>
      <c r="B246" s="160">
        <v>141917373</v>
      </c>
      <c r="C246" s="160">
        <v>0</v>
      </c>
      <c r="D246" s="160">
        <v>4235135</v>
      </c>
      <c r="E246" s="160">
        <v>137682238</v>
      </c>
      <c r="F246" s="160">
        <v>12225781</v>
      </c>
      <c r="G246" s="180">
        <v>76668.820000000007</v>
      </c>
      <c r="H246" s="444">
        <v>0.96</v>
      </c>
      <c r="I246" s="824">
        <v>0</v>
      </c>
      <c r="J246" s="180">
        <v>73602.070000000007</v>
      </c>
      <c r="K246" s="377">
        <v>1928.17</v>
      </c>
      <c r="L246" s="377">
        <v>1870.63</v>
      </c>
    </row>
    <row r="247" spans="1:12" x14ac:dyDescent="0.2">
      <c r="A247" t="s">
        <v>1011</v>
      </c>
      <c r="B247" s="160">
        <v>149791797</v>
      </c>
      <c r="C247" s="160">
        <v>0</v>
      </c>
      <c r="D247" s="160">
        <v>110267</v>
      </c>
      <c r="E247" s="160">
        <v>149681530</v>
      </c>
      <c r="F247" s="160">
        <v>19844064</v>
      </c>
      <c r="G247" s="180">
        <v>72152</v>
      </c>
      <c r="H247" s="444">
        <v>0.98</v>
      </c>
      <c r="I247" s="824">
        <v>40.9</v>
      </c>
      <c r="J247" s="180">
        <v>70749.86</v>
      </c>
      <c r="K247" s="377">
        <v>2117.1999999999998</v>
      </c>
      <c r="L247" s="377">
        <v>2115.64</v>
      </c>
    </row>
    <row r="248" spans="1:12" x14ac:dyDescent="0.2">
      <c r="A248" s="26" t="s">
        <v>1050</v>
      </c>
      <c r="B248" s="160">
        <v>132529761</v>
      </c>
      <c r="C248" s="160">
        <v>0</v>
      </c>
      <c r="D248" s="160">
        <v>0</v>
      </c>
      <c r="E248" s="160">
        <v>132529761</v>
      </c>
      <c r="F248" s="160">
        <v>13531439</v>
      </c>
      <c r="G248" s="180">
        <v>65893</v>
      </c>
      <c r="H248" s="444">
        <v>0.98499999999999999</v>
      </c>
      <c r="I248" s="824">
        <v>45.11</v>
      </c>
      <c r="J248" s="180">
        <v>64949.72</v>
      </c>
      <c r="K248" s="377">
        <v>2040.5</v>
      </c>
      <c r="L248" s="377">
        <v>2040.5</v>
      </c>
    </row>
    <row r="249" spans="1:12" x14ac:dyDescent="0.2">
      <c r="A249" t="s">
        <v>1214</v>
      </c>
      <c r="B249" s="160">
        <v>79919387</v>
      </c>
      <c r="C249" s="160">
        <v>0</v>
      </c>
      <c r="D249" s="160">
        <v>0</v>
      </c>
      <c r="E249" s="160">
        <v>79919387</v>
      </c>
      <c r="F249" s="160">
        <v>9478445</v>
      </c>
      <c r="G249" s="180">
        <v>40674.559999999998</v>
      </c>
      <c r="H249" s="444">
        <v>0.97499999999999998</v>
      </c>
      <c r="I249" s="824">
        <v>0</v>
      </c>
      <c r="J249" s="180">
        <v>39657.699999999997</v>
      </c>
      <c r="K249" s="377">
        <v>2015.23</v>
      </c>
      <c r="L249" s="377">
        <v>2015.23</v>
      </c>
    </row>
    <row r="250" spans="1:12" x14ac:dyDescent="0.2">
      <c r="A250" t="s">
        <v>1259</v>
      </c>
      <c r="B250" s="160">
        <v>137359128</v>
      </c>
      <c r="C250" s="160">
        <v>0</v>
      </c>
      <c r="D250" s="160">
        <v>65437</v>
      </c>
      <c r="E250" s="160">
        <v>137293691</v>
      </c>
      <c r="F250" s="160">
        <v>17979989</v>
      </c>
      <c r="G250" s="180">
        <v>78005.100000000006</v>
      </c>
      <c r="H250" s="444">
        <v>0.98</v>
      </c>
      <c r="I250" s="824">
        <v>0</v>
      </c>
      <c r="J250" s="180">
        <v>76445</v>
      </c>
      <c r="K250" s="377">
        <v>1796.84</v>
      </c>
      <c r="L250" s="377">
        <v>1795.98</v>
      </c>
    </row>
    <row r="251" spans="1:12" x14ac:dyDescent="0.2">
      <c r="A251" t="s">
        <v>443</v>
      </c>
      <c r="B251" s="160">
        <v>528925149</v>
      </c>
      <c r="C251" s="160">
        <v>0</v>
      </c>
      <c r="D251" s="160">
        <v>2299255</v>
      </c>
      <c r="E251" s="160">
        <v>526625894</v>
      </c>
      <c r="F251" s="160">
        <v>48417687</v>
      </c>
      <c r="G251" s="180">
        <v>280537.99</v>
      </c>
      <c r="H251" s="444">
        <v>0.97399999999999998</v>
      </c>
      <c r="I251" s="824">
        <v>0</v>
      </c>
      <c r="J251" s="180">
        <v>273244</v>
      </c>
      <c r="K251" s="377">
        <v>1935.72</v>
      </c>
      <c r="L251" s="377">
        <v>1927.31</v>
      </c>
    </row>
    <row r="252" spans="1:12" x14ac:dyDescent="0.2">
      <c r="A252" t="s">
        <v>665</v>
      </c>
      <c r="B252" s="160">
        <v>189490860</v>
      </c>
      <c r="C252" s="160">
        <v>0</v>
      </c>
      <c r="D252" s="160">
        <v>51386</v>
      </c>
      <c r="E252" s="160">
        <v>189439474</v>
      </c>
      <c r="F252" s="160">
        <v>14986772</v>
      </c>
      <c r="G252" s="180">
        <v>92277.3</v>
      </c>
      <c r="H252" s="444">
        <v>0.97599999999999998</v>
      </c>
      <c r="I252" s="824">
        <v>0</v>
      </c>
      <c r="J252" s="180">
        <v>90062.64</v>
      </c>
      <c r="K252" s="377">
        <v>2103.9899999999998</v>
      </c>
      <c r="L252" s="377">
        <v>2103.42</v>
      </c>
    </row>
    <row r="253" spans="1:12" x14ac:dyDescent="0.2">
      <c r="A253" t="s">
        <v>712</v>
      </c>
      <c r="B253" s="160">
        <v>169250000</v>
      </c>
      <c r="C253" s="160">
        <v>0</v>
      </c>
      <c r="D253" s="160">
        <v>0</v>
      </c>
      <c r="E253" s="160">
        <v>169250000</v>
      </c>
      <c r="F253" s="160">
        <v>13592860</v>
      </c>
      <c r="G253" s="180">
        <v>99386.45</v>
      </c>
      <c r="H253" s="444">
        <v>0.98499999999999999</v>
      </c>
      <c r="I253" s="824">
        <v>0</v>
      </c>
      <c r="J253" s="180">
        <v>97895.65</v>
      </c>
      <c r="K253" s="377">
        <v>1728.88</v>
      </c>
      <c r="L253" s="377">
        <v>1728.88</v>
      </c>
    </row>
    <row r="254" spans="1:12" x14ac:dyDescent="0.2">
      <c r="A254" t="s">
        <v>1159</v>
      </c>
      <c r="B254" s="160">
        <v>146565196</v>
      </c>
      <c r="C254" s="160">
        <v>0</v>
      </c>
      <c r="D254" s="160">
        <v>0</v>
      </c>
      <c r="E254" s="160">
        <v>146565196</v>
      </c>
      <c r="F254" s="160">
        <v>14430208</v>
      </c>
      <c r="G254" s="180">
        <v>82088.149999999994</v>
      </c>
      <c r="H254" s="444">
        <v>0.97899999999999998</v>
      </c>
      <c r="I254" s="824">
        <v>0</v>
      </c>
      <c r="J254" s="180">
        <v>80364.3</v>
      </c>
      <c r="K254" s="377">
        <v>1823.76</v>
      </c>
      <c r="L254" s="377">
        <v>1823.76</v>
      </c>
    </row>
    <row r="255" spans="1:12" x14ac:dyDescent="0.2">
      <c r="A255" t="s">
        <v>1178</v>
      </c>
      <c r="B255" s="160">
        <v>143371760</v>
      </c>
      <c r="C255" s="160">
        <v>0</v>
      </c>
      <c r="D255" s="160">
        <v>1811140.19</v>
      </c>
      <c r="E255" s="160">
        <v>141560619.81</v>
      </c>
      <c r="F255" s="160">
        <v>9120283</v>
      </c>
      <c r="G255" s="180">
        <v>81602.06</v>
      </c>
      <c r="H255" s="444">
        <v>0.98809999999999998</v>
      </c>
      <c r="I255" s="824">
        <v>0</v>
      </c>
      <c r="J255" s="180">
        <v>80631</v>
      </c>
      <c r="K255" s="377">
        <v>1778.12</v>
      </c>
      <c r="L255" s="377">
        <v>1755.66</v>
      </c>
    </row>
    <row r="256" spans="1:12" x14ac:dyDescent="0.2">
      <c r="A256" t="s">
        <v>1335</v>
      </c>
      <c r="B256" s="160">
        <v>162776391</v>
      </c>
      <c r="C256" s="160">
        <v>0</v>
      </c>
      <c r="D256" s="160">
        <v>0</v>
      </c>
      <c r="E256" s="160">
        <v>162776391</v>
      </c>
      <c r="F256" s="160">
        <v>11997222</v>
      </c>
      <c r="G256" s="180">
        <v>75893.22</v>
      </c>
      <c r="H256" s="444">
        <v>0.98</v>
      </c>
      <c r="I256" s="824">
        <v>0</v>
      </c>
      <c r="J256" s="180">
        <v>74375.360000000001</v>
      </c>
      <c r="K256" s="377">
        <v>2188.58</v>
      </c>
      <c r="L256" s="377">
        <v>2188.58</v>
      </c>
    </row>
    <row r="257" spans="1:12" x14ac:dyDescent="0.2">
      <c r="A257" t="s">
        <v>1408</v>
      </c>
      <c r="B257" s="160">
        <v>142665685</v>
      </c>
      <c r="C257" s="160">
        <v>0</v>
      </c>
      <c r="D257" s="160">
        <v>0</v>
      </c>
      <c r="E257" s="160">
        <v>142665685</v>
      </c>
      <c r="F257" s="160">
        <v>11317508</v>
      </c>
      <c r="G257" s="180">
        <v>69450.460000000006</v>
      </c>
      <c r="H257" s="444">
        <v>0.97619999999999996</v>
      </c>
      <c r="I257" s="824">
        <v>0</v>
      </c>
      <c r="J257" s="180">
        <v>67797.539999999994</v>
      </c>
      <c r="K257" s="377">
        <v>2104.29</v>
      </c>
      <c r="L257" s="377">
        <v>2104.29</v>
      </c>
    </row>
    <row r="258" spans="1:12" x14ac:dyDescent="0.2">
      <c r="A258" t="s">
        <v>506</v>
      </c>
      <c r="B258" s="160">
        <v>280447489</v>
      </c>
      <c r="C258" s="160">
        <v>0</v>
      </c>
      <c r="D258" s="160">
        <v>3915275</v>
      </c>
      <c r="E258" s="160">
        <v>276532214</v>
      </c>
      <c r="F258" s="160">
        <v>24275335</v>
      </c>
      <c r="G258" s="180">
        <v>150991.41</v>
      </c>
      <c r="H258" s="444">
        <v>0.97840000000000005</v>
      </c>
      <c r="I258" s="824">
        <v>0</v>
      </c>
      <c r="J258" s="180">
        <v>147730</v>
      </c>
      <c r="K258" s="377">
        <v>1898.38</v>
      </c>
      <c r="L258" s="377">
        <v>1871.88</v>
      </c>
    </row>
    <row r="259" spans="1:12" x14ac:dyDescent="0.2">
      <c r="A259" t="s">
        <v>579</v>
      </c>
      <c r="B259" s="160">
        <v>129481113</v>
      </c>
      <c r="C259" s="160">
        <v>0</v>
      </c>
      <c r="D259" s="160">
        <v>1129639</v>
      </c>
      <c r="E259" s="160">
        <v>128351474</v>
      </c>
      <c r="F259" s="160">
        <v>9033356</v>
      </c>
      <c r="G259" s="180">
        <v>67254.399999999994</v>
      </c>
      <c r="H259" s="444">
        <v>0.98499999999999999</v>
      </c>
      <c r="I259" s="824">
        <v>0</v>
      </c>
      <c r="J259" s="180">
        <v>66245.58</v>
      </c>
      <c r="K259" s="377">
        <v>1954.56</v>
      </c>
      <c r="L259" s="377">
        <v>1937.51</v>
      </c>
    </row>
    <row r="260" spans="1:12" x14ac:dyDescent="0.2">
      <c r="A260" t="s">
        <v>923</v>
      </c>
      <c r="B260" s="160">
        <v>254135792</v>
      </c>
      <c r="C260" s="160">
        <v>0</v>
      </c>
      <c r="D260" s="160">
        <v>1234792</v>
      </c>
      <c r="E260" s="160">
        <v>252901000</v>
      </c>
      <c r="F260" s="160">
        <v>17610135</v>
      </c>
      <c r="G260" s="180">
        <v>130702.44</v>
      </c>
      <c r="H260" s="444">
        <v>0.98499999999999999</v>
      </c>
      <c r="I260" s="824">
        <v>0</v>
      </c>
      <c r="J260" s="180">
        <v>128741.9</v>
      </c>
      <c r="K260" s="377">
        <v>1973.99</v>
      </c>
      <c r="L260" s="377">
        <v>1964.4</v>
      </c>
    </row>
    <row r="261" spans="1:12" x14ac:dyDescent="0.2">
      <c r="A261" t="s">
        <v>939</v>
      </c>
      <c r="B261" s="160">
        <v>445161164</v>
      </c>
      <c r="C261" s="160">
        <v>0</v>
      </c>
      <c r="D261" s="160">
        <v>2803313</v>
      </c>
      <c r="E261" s="160">
        <v>442357851</v>
      </c>
      <c r="F261" s="160">
        <v>38895123</v>
      </c>
      <c r="G261" s="180">
        <v>247688.2</v>
      </c>
      <c r="H261" s="444">
        <v>0.98499999999999999</v>
      </c>
      <c r="I261" s="824">
        <v>1.22</v>
      </c>
      <c r="J261" s="180">
        <v>243974.1</v>
      </c>
      <c r="K261" s="377">
        <v>1824.62</v>
      </c>
      <c r="L261" s="377">
        <v>1813.13</v>
      </c>
    </row>
    <row r="262" spans="1:12" x14ac:dyDescent="0.2">
      <c r="A262" t="s">
        <v>1332</v>
      </c>
      <c r="B262" s="160">
        <v>196113572</v>
      </c>
      <c r="C262" s="160">
        <v>0</v>
      </c>
      <c r="D262" s="160">
        <v>3886998</v>
      </c>
      <c r="E262" s="160">
        <v>192226574</v>
      </c>
      <c r="F262" s="160">
        <v>15668349</v>
      </c>
      <c r="G262" s="180">
        <v>107767.67999999999</v>
      </c>
      <c r="H262" s="444">
        <v>0.99</v>
      </c>
      <c r="I262" s="824">
        <v>0</v>
      </c>
      <c r="J262" s="180">
        <v>106690</v>
      </c>
      <c r="K262" s="377">
        <v>1838.16</v>
      </c>
      <c r="L262" s="377">
        <v>1801.73</v>
      </c>
    </row>
    <row r="263" spans="1:12" x14ac:dyDescent="0.2">
      <c r="A263" t="s">
        <v>802</v>
      </c>
      <c r="B263" s="160">
        <v>124234957</v>
      </c>
      <c r="C263" s="160">
        <v>0</v>
      </c>
      <c r="D263" s="160">
        <v>15548</v>
      </c>
      <c r="E263" s="160">
        <v>124219409</v>
      </c>
      <c r="F263" s="160">
        <v>12702844</v>
      </c>
      <c r="G263" s="180">
        <v>55682</v>
      </c>
      <c r="H263" s="444">
        <v>0.97750000000000004</v>
      </c>
      <c r="I263" s="824">
        <v>0</v>
      </c>
      <c r="J263" s="180">
        <v>54429.16</v>
      </c>
      <c r="K263" s="377">
        <v>2282.5100000000002</v>
      </c>
      <c r="L263" s="377">
        <v>2282.2199999999998</v>
      </c>
    </row>
    <row r="264" spans="1:12" x14ac:dyDescent="0.2">
      <c r="A264" t="s">
        <v>390</v>
      </c>
      <c r="B264" s="160">
        <v>127533887</v>
      </c>
      <c r="C264" s="160">
        <v>0</v>
      </c>
      <c r="D264" s="160">
        <v>529764</v>
      </c>
      <c r="E264" s="160">
        <v>127004123</v>
      </c>
      <c r="F264" s="160">
        <v>12055542</v>
      </c>
      <c r="G264" s="180">
        <v>70798.100000000006</v>
      </c>
      <c r="H264" s="444">
        <v>0.95499999999999996</v>
      </c>
      <c r="I264" s="824">
        <v>0</v>
      </c>
      <c r="J264" s="180">
        <v>67612.19</v>
      </c>
      <c r="K264" s="377">
        <v>1886.26</v>
      </c>
      <c r="L264" s="377">
        <v>1878.42</v>
      </c>
    </row>
    <row r="265" spans="1:12" x14ac:dyDescent="0.2">
      <c r="A265" t="s">
        <v>1168</v>
      </c>
      <c r="B265" s="160">
        <v>301950562</v>
      </c>
      <c r="C265" s="160">
        <v>0</v>
      </c>
      <c r="D265" s="160">
        <v>694640</v>
      </c>
      <c r="E265" s="160">
        <v>301255922</v>
      </c>
      <c r="F265" s="160">
        <v>24417870</v>
      </c>
      <c r="G265" s="180">
        <v>155469.93</v>
      </c>
      <c r="H265" s="444">
        <v>0.95499999999999996</v>
      </c>
      <c r="I265" s="824">
        <v>2</v>
      </c>
      <c r="J265" s="180">
        <v>148475.78</v>
      </c>
      <c r="K265" s="377">
        <v>2033.67</v>
      </c>
      <c r="L265" s="377">
        <v>2028.99</v>
      </c>
    </row>
    <row r="266" spans="1:12" x14ac:dyDescent="0.2">
      <c r="A266" t="s">
        <v>651</v>
      </c>
      <c r="B266" s="160">
        <v>10581635</v>
      </c>
      <c r="C266" s="160">
        <v>0</v>
      </c>
      <c r="D266" s="160">
        <v>416021</v>
      </c>
      <c r="E266" s="160">
        <v>10165614</v>
      </c>
      <c r="F266" s="160">
        <v>276176</v>
      </c>
      <c r="G266" s="180">
        <v>9891.82</v>
      </c>
      <c r="H266" s="444">
        <v>0.97</v>
      </c>
      <c r="I266" s="824">
        <v>0</v>
      </c>
      <c r="J266" s="180">
        <v>9595.07</v>
      </c>
      <c r="K266" s="377">
        <v>1102.82</v>
      </c>
      <c r="L266" s="377">
        <v>1059.46</v>
      </c>
    </row>
    <row r="267" spans="1:12" x14ac:dyDescent="0.2">
      <c r="A267" t="s">
        <v>377</v>
      </c>
      <c r="B267" s="160">
        <v>93486358</v>
      </c>
      <c r="C267" s="160">
        <v>0</v>
      </c>
      <c r="D267" s="160">
        <v>0</v>
      </c>
      <c r="E267" s="160">
        <v>93486358</v>
      </c>
      <c r="F267" s="160">
        <v>17000000</v>
      </c>
      <c r="G267" s="180">
        <v>58556.7</v>
      </c>
      <c r="H267" s="444">
        <v>0.99299999999999999</v>
      </c>
      <c r="I267" s="824">
        <v>0</v>
      </c>
      <c r="J267" s="180">
        <v>58146.8</v>
      </c>
      <c r="K267" s="377">
        <v>1607.76</v>
      </c>
      <c r="L267" s="377">
        <v>1607.76</v>
      </c>
    </row>
    <row r="268" spans="1:12" x14ac:dyDescent="0.2">
      <c r="A268" t="s">
        <v>385</v>
      </c>
      <c r="B268" s="160">
        <v>244777146</v>
      </c>
      <c r="C268" s="160">
        <v>0</v>
      </c>
      <c r="D268" s="160">
        <v>0</v>
      </c>
      <c r="E268" s="160">
        <v>244777146</v>
      </c>
      <c r="F268" s="160">
        <v>22542387.260000002</v>
      </c>
      <c r="G268" s="180">
        <v>161647.69</v>
      </c>
      <c r="H268" s="444">
        <v>0.98</v>
      </c>
      <c r="I268" s="824">
        <v>2.8</v>
      </c>
      <c r="J268" s="180">
        <v>158417.54</v>
      </c>
      <c r="K268" s="377">
        <v>1545.14</v>
      </c>
      <c r="L268" s="377">
        <v>1545.14</v>
      </c>
    </row>
    <row r="269" spans="1:12" x14ac:dyDescent="0.2">
      <c r="A269" t="s">
        <v>440</v>
      </c>
      <c r="B269" s="160">
        <v>150619000</v>
      </c>
      <c r="C269" s="160">
        <v>0</v>
      </c>
      <c r="D269" s="160">
        <v>0</v>
      </c>
      <c r="E269" s="160">
        <v>150619000</v>
      </c>
      <c r="F269" s="160">
        <v>621914</v>
      </c>
      <c r="G269" s="180">
        <v>86506.4</v>
      </c>
      <c r="H269" s="444">
        <v>0.98499999999999999</v>
      </c>
      <c r="I269" s="824">
        <v>0</v>
      </c>
      <c r="J269" s="180">
        <v>85208.8</v>
      </c>
      <c r="K269" s="377">
        <v>1767.65</v>
      </c>
      <c r="L269" s="377">
        <v>1767.65</v>
      </c>
    </row>
    <row r="270" spans="1:12" x14ac:dyDescent="0.2">
      <c r="A270" t="s">
        <v>526</v>
      </c>
      <c r="B270" s="160">
        <v>178432749</v>
      </c>
      <c r="C270" s="160">
        <v>0</v>
      </c>
      <c r="D270" s="160">
        <v>0</v>
      </c>
      <c r="E270" s="160">
        <v>178432749</v>
      </c>
      <c r="F270" s="160">
        <v>3510787</v>
      </c>
      <c r="G270" s="180">
        <v>111976</v>
      </c>
      <c r="H270" s="444">
        <v>0.97</v>
      </c>
      <c r="I270" s="824">
        <v>0</v>
      </c>
      <c r="J270" s="180">
        <v>108616.72</v>
      </c>
      <c r="K270" s="377">
        <v>1642.77</v>
      </c>
      <c r="L270" s="377">
        <v>1642.77</v>
      </c>
    </row>
    <row r="271" spans="1:12" x14ac:dyDescent="0.2">
      <c r="A271" t="s">
        <v>544</v>
      </c>
      <c r="B271" s="160">
        <v>213396000</v>
      </c>
      <c r="C271" s="160">
        <v>0</v>
      </c>
      <c r="D271" s="160">
        <v>0</v>
      </c>
      <c r="E271" s="160">
        <v>213396000</v>
      </c>
      <c r="F271" s="160">
        <v>1310586</v>
      </c>
      <c r="G271" s="180">
        <v>139796.51999999999</v>
      </c>
      <c r="H271" s="444">
        <v>0.98340000000000005</v>
      </c>
      <c r="I271" s="824">
        <v>14.1</v>
      </c>
      <c r="J271" s="180">
        <v>137490</v>
      </c>
      <c r="K271" s="377">
        <v>1552.08</v>
      </c>
      <c r="L271" s="377">
        <v>1552.08</v>
      </c>
    </row>
    <row r="272" spans="1:12" x14ac:dyDescent="0.2">
      <c r="A272" t="s">
        <v>593</v>
      </c>
      <c r="B272" s="160">
        <v>154792070</v>
      </c>
      <c r="C272" s="160">
        <v>31636</v>
      </c>
      <c r="D272" s="160">
        <v>0</v>
      </c>
      <c r="E272" s="160">
        <v>154792070</v>
      </c>
      <c r="F272" s="160">
        <v>22344000</v>
      </c>
      <c r="G272" s="180">
        <v>98701.75</v>
      </c>
      <c r="H272" s="444">
        <v>0.97</v>
      </c>
      <c r="I272" s="824">
        <v>28.3</v>
      </c>
      <c r="J272" s="180">
        <v>95769</v>
      </c>
      <c r="K272" s="377">
        <v>1616.31</v>
      </c>
      <c r="L272" s="377">
        <v>1616.31</v>
      </c>
    </row>
    <row r="273" spans="1:12" x14ac:dyDescent="0.2">
      <c r="A273" t="s">
        <v>671</v>
      </c>
      <c r="B273" s="160">
        <v>275430835</v>
      </c>
      <c r="C273" s="160">
        <v>0</v>
      </c>
      <c r="D273" s="160">
        <v>0</v>
      </c>
      <c r="E273" s="160">
        <v>275430835</v>
      </c>
      <c r="F273" s="160">
        <v>1548000</v>
      </c>
      <c r="G273" s="180">
        <v>141225</v>
      </c>
      <c r="H273" s="444">
        <v>0.98</v>
      </c>
      <c r="I273" s="824">
        <v>0</v>
      </c>
      <c r="J273" s="180">
        <v>138400.5</v>
      </c>
      <c r="K273" s="377">
        <v>1990.1</v>
      </c>
      <c r="L273" s="377">
        <v>1990.1</v>
      </c>
    </row>
    <row r="274" spans="1:12" x14ac:dyDescent="0.2">
      <c r="A274" t="s">
        <v>720</v>
      </c>
      <c r="B274" s="160">
        <v>192983836</v>
      </c>
      <c r="C274" s="160">
        <v>0</v>
      </c>
      <c r="D274" s="160">
        <v>0</v>
      </c>
      <c r="E274" s="160">
        <v>192983836</v>
      </c>
      <c r="F274" s="160">
        <v>32728701</v>
      </c>
      <c r="G274" s="180">
        <v>126994.25</v>
      </c>
      <c r="H274" s="444">
        <v>0.98</v>
      </c>
      <c r="I274" s="824">
        <v>0</v>
      </c>
      <c r="J274" s="180">
        <v>124454.36</v>
      </c>
      <c r="K274" s="377">
        <v>1550.64</v>
      </c>
      <c r="L274" s="377">
        <v>1550.64</v>
      </c>
    </row>
    <row r="275" spans="1:12" x14ac:dyDescent="0.2">
      <c r="A275" t="s">
        <v>772</v>
      </c>
      <c r="B275" s="160">
        <v>174544600</v>
      </c>
      <c r="C275" s="160">
        <v>0</v>
      </c>
      <c r="D275" s="160">
        <v>0</v>
      </c>
      <c r="E275" s="160">
        <v>174544600</v>
      </c>
      <c r="F275" s="160">
        <v>14021816</v>
      </c>
      <c r="G275" s="180">
        <v>109791.25</v>
      </c>
      <c r="H275" s="444">
        <v>0.94989999999999997</v>
      </c>
      <c r="I275" s="824">
        <v>0</v>
      </c>
      <c r="J275" s="180">
        <v>104290.71</v>
      </c>
      <c r="K275" s="377">
        <v>1673.64</v>
      </c>
      <c r="L275" s="377">
        <v>1673.64</v>
      </c>
    </row>
    <row r="276" spans="1:12" x14ac:dyDescent="0.2">
      <c r="A276" t="s">
        <v>824</v>
      </c>
      <c r="B276" s="160">
        <v>138584910</v>
      </c>
      <c r="C276" s="160">
        <v>0</v>
      </c>
      <c r="D276" s="160">
        <v>0</v>
      </c>
      <c r="E276" s="160">
        <v>138584910</v>
      </c>
      <c r="F276" s="160">
        <v>1646160</v>
      </c>
      <c r="G276" s="180">
        <v>96377.59</v>
      </c>
      <c r="H276" s="444">
        <v>0.9425</v>
      </c>
      <c r="I276" s="824">
        <v>253</v>
      </c>
      <c r="J276" s="180">
        <v>91088.88</v>
      </c>
      <c r="K276" s="377">
        <v>1521.43</v>
      </c>
      <c r="L276" s="377">
        <v>1521.43</v>
      </c>
    </row>
    <row r="277" spans="1:12" x14ac:dyDescent="0.2">
      <c r="A277" t="s">
        <v>830</v>
      </c>
      <c r="B277" s="160">
        <v>116251290</v>
      </c>
      <c r="C277" s="160">
        <v>0</v>
      </c>
      <c r="D277" s="160">
        <v>0</v>
      </c>
      <c r="E277" s="160">
        <v>116251290</v>
      </c>
      <c r="F277" s="160">
        <v>11510228</v>
      </c>
      <c r="G277" s="180">
        <v>83780.960000000006</v>
      </c>
      <c r="H277" s="444">
        <v>0.94</v>
      </c>
      <c r="I277" s="824">
        <v>0</v>
      </c>
      <c r="J277" s="180">
        <v>78754.100000000006</v>
      </c>
      <c r="K277" s="377">
        <v>1476.13</v>
      </c>
      <c r="L277" s="377">
        <v>1476.13</v>
      </c>
    </row>
    <row r="278" spans="1:12" x14ac:dyDescent="0.2">
      <c r="A278" t="s">
        <v>838</v>
      </c>
      <c r="B278" s="160">
        <v>84863676</v>
      </c>
      <c r="C278" s="160">
        <v>0</v>
      </c>
      <c r="D278" s="160">
        <v>0</v>
      </c>
      <c r="E278" s="160">
        <v>84863676</v>
      </c>
      <c r="F278" s="160">
        <v>2478624</v>
      </c>
      <c r="G278" s="180">
        <v>91035.05</v>
      </c>
      <c r="H278" s="444">
        <v>0.97</v>
      </c>
      <c r="I278" s="824">
        <v>0</v>
      </c>
      <c r="J278" s="180">
        <v>88304</v>
      </c>
      <c r="K278" s="377">
        <v>961.04</v>
      </c>
      <c r="L278" s="377">
        <v>961.04</v>
      </c>
    </row>
    <row r="279" spans="1:12" x14ac:dyDescent="0.2">
      <c r="A279" t="s">
        <v>844</v>
      </c>
      <c r="B279" s="160">
        <v>141851563</v>
      </c>
      <c r="C279" s="160">
        <v>0</v>
      </c>
      <c r="D279" s="160">
        <v>0</v>
      </c>
      <c r="E279" s="160">
        <v>141851563</v>
      </c>
      <c r="F279" s="160">
        <v>11909000</v>
      </c>
      <c r="G279" s="180">
        <v>86255</v>
      </c>
      <c r="H279" s="444">
        <v>0.95750000000000002</v>
      </c>
      <c r="I279" s="824">
        <v>0</v>
      </c>
      <c r="J279" s="180">
        <v>82589.16</v>
      </c>
      <c r="K279" s="377">
        <v>1717.56</v>
      </c>
      <c r="L279" s="377">
        <v>1717.56</v>
      </c>
    </row>
    <row r="280" spans="1:12" x14ac:dyDescent="0.2">
      <c r="A280" t="s">
        <v>850</v>
      </c>
      <c r="B280" s="160">
        <v>173099520</v>
      </c>
      <c r="C280" s="160">
        <v>0</v>
      </c>
      <c r="D280" s="160">
        <v>0</v>
      </c>
      <c r="E280" s="160">
        <v>173099520</v>
      </c>
      <c r="F280" s="160">
        <v>3891777</v>
      </c>
      <c r="G280" s="180">
        <v>92573.27</v>
      </c>
      <c r="H280" s="444">
        <v>0.98</v>
      </c>
      <c r="I280" s="824">
        <v>121.2</v>
      </c>
      <c r="J280" s="180">
        <v>90843</v>
      </c>
      <c r="K280" s="377">
        <v>1905.48</v>
      </c>
      <c r="L280" s="377">
        <v>1905.48</v>
      </c>
    </row>
    <row r="281" spans="1:12" x14ac:dyDescent="0.2">
      <c r="A281" t="s">
        <v>869</v>
      </c>
      <c r="B281" s="160">
        <v>164361000</v>
      </c>
      <c r="C281" s="160">
        <v>0</v>
      </c>
      <c r="D281" s="160">
        <v>0</v>
      </c>
      <c r="E281" s="160">
        <v>164361000</v>
      </c>
      <c r="F281" s="160">
        <v>18771980</v>
      </c>
      <c r="G281" s="180">
        <v>92939.18</v>
      </c>
      <c r="H281" s="444">
        <v>0.97</v>
      </c>
      <c r="I281" s="824">
        <v>0</v>
      </c>
      <c r="J281" s="180">
        <v>90151</v>
      </c>
      <c r="K281" s="377">
        <v>1823.17</v>
      </c>
      <c r="L281" s="377">
        <v>1823.17</v>
      </c>
    </row>
    <row r="282" spans="1:12" x14ac:dyDescent="0.2">
      <c r="A282" t="s">
        <v>881</v>
      </c>
      <c r="B282" s="160">
        <v>154126964</v>
      </c>
      <c r="C282" s="160">
        <v>0</v>
      </c>
      <c r="D282" s="160">
        <v>0</v>
      </c>
      <c r="E282" s="160">
        <v>154126964</v>
      </c>
      <c r="F282" s="160">
        <v>800812</v>
      </c>
      <c r="G282" s="180">
        <v>105719.59596000001</v>
      </c>
      <c r="H282" s="444">
        <v>0.99</v>
      </c>
      <c r="I282" s="824">
        <v>759.6</v>
      </c>
      <c r="J282" s="180">
        <v>105422</v>
      </c>
      <c r="K282" s="377">
        <v>1462</v>
      </c>
      <c r="L282" s="377">
        <v>1462</v>
      </c>
    </row>
    <row r="283" spans="1:12" x14ac:dyDescent="0.2">
      <c r="A283" t="s">
        <v>890</v>
      </c>
      <c r="B283" s="160">
        <v>150135000</v>
      </c>
      <c r="C283" s="160">
        <v>0</v>
      </c>
      <c r="D283" s="160">
        <v>0</v>
      </c>
      <c r="E283" s="160">
        <v>150135000</v>
      </c>
      <c r="F283" s="160">
        <v>13398062</v>
      </c>
      <c r="G283" s="180">
        <v>95956.02</v>
      </c>
      <c r="H283" s="444">
        <v>0.98</v>
      </c>
      <c r="I283" s="824">
        <v>65.7</v>
      </c>
      <c r="J283" s="180">
        <v>94102.6</v>
      </c>
      <c r="K283" s="377">
        <v>1595.44</v>
      </c>
      <c r="L283" s="377">
        <v>1595.44</v>
      </c>
    </row>
    <row r="284" spans="1:12" x14ac:dyDescent="0.2">
      <c r="A284" t="s">
        <v>908</v>
      </c>
      <c r="B284" s="160">
        <v>125803940</v>
      </c>
      <c r="C284" s="160">
        <v>22947.78</v>
      </c>
      <c r="D284" s="160">
        <v>0</v>
      </c>
      <c r="E284" s="160">
        <v>125803940</v>
      </c>
      <c r="F284" s="160">
        <v>10642000</v>
      </c>
      <c r="G284" s="180">
        <v>85229.07</v>
      </c>
      <c r="H284" s="444">
        <v>0.97</v>
      </c>
      <c r="I284" s="824">
        <v>0</v>
      </c>
      <c r="J284" s="180">
        <v>82672.2</v>
      </c>
      <c r="K284" s="377">
        <v>1521.72</v>
      </c>
      <c r="L284" s="377">
        <v>1521.72</v>
      </c>
    </row>
    <row r="285" spans="1:12" x14ac:dyDescent="0.2">
      <c r="A285" t="s">
        <v>911</v>
      </c>
      <c r="B285" s="160">
        <v>108585825</v>
      </c>
      <c r="C285" s="160">
        <v>0</v>
      </c>
      <c r="D285" s="160">
        <v>0</v>
      </c>
      <c r="E285" s="160">
        <v>108585825</v>
      </c>
      <c r="F285" s="160">
        <v>5142679</v>
      </c>
      <c r="G285" s="180">
        <v>100824.42</v>
      </c>
      <c r="H285" s="444">
        <v>0.97750000000000004</v>
      </c>
      <c r="I285" s="824">
        <v>50.05</v>
      </c>
      <c r="J285" s="180">
        <v>98605.92</v>
      </c>
      <c r="K285" s="377">
        <v>1101.21</v>
      </c>
      <c r="L285" s="377">
        <v>1101.21</v>
      </c>
    </row>
    <row r="286" spans="1:12" x14ac:dyDescent="0.2">
      <c r="A286" t="s">
        <v>920</v>
      </c>
      <c r="B286" s="160">
        <v>134401976</v>
      </c>
      <c r="C286" s="160">
        <v>0</v>
      </c>
      <c r="D286" s="160">
        <v>0</v>
      </c>
      <c r="E286" s="160">
        <v>134401976</v>
      </c>
      <c r="F286" s="160">
        <v>541844</v>
      </c>
      <c r="G286" s="180">
        <v>67727.320000000007</v>
      </c>
      <c r="H286" s="444">
        <v>0.99</v>
      </c>
      <c r="I286" s="824">
        <v>186</v>
      </c>
      <c r="J286" s="180">
        <v>67236.05</v>
      </c>
      <c r="K286" s="377">
        <v>1998.96</v>
      </c>
      <c r="L286" s="377">
        <v>1998.96</v>
      </c>
    </row>
    <row r="287" spans="1:12" x14ac:dyDescent="0.2">
      <c r="A287" t="s">
        <v>933</v>
      </c>
      <c r="B287" s="160">
        <v>173175159</v>
      </c>
      <c r="C287" s="160">
        <v>0</v>
      </c>
      <c r="D287" s="160">
        <v>0</v>
      </c>
      <c r="E287" s="160">
        <v>173175159</v>
      </c>
      <c r="F287" s="160">
        <v>3342793</v>
      </c>
      <c r="G287" s="180">
        <v>122615.35</v>
      </c>
      <c r="H287" s="444">
        <v>0.96499999999999997</v>
      </c>
      <c r="I287" s="824">
        <v>0</v>
      </c>
      <c r="J287" s="180">
        <v>118323.81</v>
      </c>
      <c r="K287" s="377">
        <v>1463.57</v>
      </c>
      <c r="L287" s="377">
        <v>1463.57</v>
      </c>
    </row>
    <row r="288" spans="1:12" x14ac:dyDescent="0.2">
      <c r="A288" t="s">
        <v>948</v>
      </c>
      <c r="B288" s="160">
        <v>152279672</v>
      </c>
      <c r="C288" s="160">
        <v>0</v>
      </c>
      <c r="D288" s="160">
        <v>0</v>
      </c>
      <c r="E288" s="160">
        <v>152279672</v>
      </c>
      <c r="F288" s="160">
        <v>2900697</v>
      </c>
      <c r="G288" s="180">
        <v>96443.02</v>
      </c>
      <c r="H288" s="444">
        <v>0.96</v>
      </c>
      <c r="I288" s="824">
        <v>0</v>
      </c>
      <c r="J288" s="180">
        <v>92585.3</v>
      </c>
      <c r="K288" s="377">
        <v>1644.75</v>
      </c>
      <c r="L288" s="377">
        <v>1644.75</v>
      </c>
    </row>
    <row r="289" spans="1:12" x14ac:dyDescent="0.2">
      <c r="A289" t="s">
        <v>984</v>
      </c>
      <c r="B289" s="160">
        <v>126771000</v>
      </c>
      <c r="C289" s="160">
        <v>0</v>
      </c>
      <c r="D289" s="160">
        <v>0</v>
      </c>
      <c r="E289" s="160">
        <v>126771000</v>
      </c>
      <c r="F289" s="160">
        <v>893587</v>
      </c>
      <c r="G289" s="180">
        <v>80026.84</v>
      </c>
      <c r="H289" s="444">
        <v>0.98750000000000004</v>
      </c>
      <c r="I289" s="824">
        <v>5.3</v>
      </c>
      <c r="J289" s="180">
        <v>79031.8</v>
      </c>
      <c r="K289" s="377">
        <v>1604.05</v>
      </c>
      <c r="L289" s="377">
        <v>1604.05</v>
      </c>
    </row>
    <row r="290" spans="1:12" x14ac:dyDescent="0.2">
      <c r="A290" t="s">
        <v>1017</v>
      </c>
      <c r="B290" s="160">
        <v>126437960</v>
      </c>
      <c r="C290" s="160">
        <v>0</v>
      </c>
      <c r="D290" s="160">
        <v>0</v>
      </c>
      <c r="E290" s="160">
        <v>126437960</v>
      </c>
      <c r="F290" s="160">
        <v>24514862</v>
      </c>
      <c r="G290" s="180">
        <v>97462.32</v>
      </c>
      <c r="H290" s="444">
        <v>0.95</v>
      </c>
      <c r="I290" s="824">
        <v>0</v>
      </c>
      <c r="J290" s="180">
        <v>92589.2</v>
      </c>
      <c r="K290" s="377">
        <v>1365.58</v>
      </c>
      <c r="L290" s="377">
        <v>1365.58</v>
      </c>
    </row>
    <row r="291" spans="1:12" x14ac:dyDescent="0.2">
      <c r="A291" t="s">
        <v>1108</v>
      </c>
      <c r="B291" s="160">
        <v>158005082</v>
      </c>
      <c r="C291" s="160">
        <v>0</v>
      </c>
      <c r="D291" s="160">
        <v>0</v>
      </c>
      <c r="E291" s="160">
        <v>158005082</v>
      </c>
      <c r="F291" s="160">
        <v>20760000</v>
      </c>
      <c r="G291" s="180">
        <v>94880.8</v>
      </c>
      <c r="H291" s="444">
        <v>0.98</v>
      </c>
      <c r="I291" s="824">
        <v>0</v>
      </c>
      <c r="J291" s="180">
        <v>92983.18</v>
      </c>
      <c r="K291" s="377">
        <v>1699.29</v>
      </c>
      <c r="L291" s="377">
        <v>1699.29</v>
      </c>
    </row>
    <row r="292" spans="1:12" x14ac:dyDescent="0.2">
      <c r="A292" t="s">
        <v>1123</v>
      </c>
      <c r="B292" s="160">
        <v>169617436</v>
      </c>
      <c r="C292" s="160">
        <v>0</v>
      </c>
      <c r="D292" s="160">
        <v>0</v>
      </c>
      <c r="E292" s="160">
        <v>169617436</v>
      </c>
      <c r="F292" s="160">
        <v>2913595</v>
      </c>
      <c r="G292" s="180">
        <v>91488.43</v>
      </c>
      <c r="H292" s="444">
        <v>0.98499999999999999</v>
      </c>
      <c r="I292" s="824">
        <v>24.67</v>
      </c>
      <c r="J292" s="180">
        <v>90140.77</v>
      </c>
      <c r="K292" s="377">
        <v>1881.69</v>
      </c>
      <c r="L292" s="377">
        <v>1881.69</v>
      </c>
    </row>
    <row r="293" spans="1:12" x14ac:dyDescent="0.2">
      <c r="A293" t="s">
        <v>1223</v>
      </c>
      <c r="B293" s="160">
        <v>155897585</v>
      </c>
      <c r="C293" s="160">
        <v>0</v>
      </c>
      <c r="D293" s="160">
        <v>0</v>
      </c>
      <c r="E293" s="160">
        <v>155897585</v>
      </c>
      <c r="F293" s="160">
        <v>2084944</v>
      </c>
      <c r="G293" s="180">
        <v>116432</v>
      </c>
      <c r="H293" s="444">
        <v>0.96499999999999997</v>
      </c>
      <c r="I293" s="824">
        <v>0</v>
      </c>
      <c r="J293" s="180">
        <v>112356.88</v>
      </c>
      <c r="K293" s="377">
        <v>1387.52</v>
      </c>
      <c r="L293" s="377">
        <v>1387.52</v>
      </c>
    </row>
    <row r="294" spans="1:12" x14ac:dyDescent="0.2">
      <c r="A294" t="s">
        <v>1265</v>
      </c>
      <c r="B294" s="160">
        <v>134885182</v>
      </c>
      <c r="C294" s="160">
        <v>0</v>
      </c>
      <c r="D294" s="160">
        <v>0</v>
      </c>
      <c r="E294" s="160">
        <v>134885182</v>
      </c>
      <c r="F294" s="160">
        <v>618000</v>
      </c>
      <c r="G294" s="180">
        <v>76618.5</v>
      </c>
      <c r="H294" s="444">
        <v>0.98939999999999995</v>
      </c>
      <c r="I294" s="824">
        <v>0</v>
      </c>
      <c r="J294" s="180">
        <v>75806.34</v>
      </c>
      <c r="K294" s="377">
        <v>1779.34</v>
      </c>
      <c r="L294" s="377">
        <v>1779.34</v>
      </c>
    </row>
    <row r="295" spans="1:12" x14ac:dyDescent="0.2">
      <c r="A295" t="s">
        <v>1318</v>
      </c>
      <c r="B295" s="160">
        <v>148077103</v>
      </c>
      <c r="C295" s="160">
        <v>0</v>
      </c>
      <c r="D295" s="160">
        <v>0</v>
      </c>
      <c r="E295" s="160">
        <v>148077103</v>
      </c>
      <c r="F295" s="160">
        <v>1265396</v>
      </c>
      <c r="G295" s="180">
        <v>120135.38</v>
      </c>
      <c r="H295" s="444">
        <v>0.97499999999999998</v>
      </c>
      <c r="I295" s="824">
        <v>0</v>
      </c>
      <c r="J295" s="180">
        <v>117132</v>
      </c>
      <c r="K295" s="377">
        <v>1264.19</v>
      </c>
      <c r="L295" s="377">
        <v>1264.19</v>
      </c>
    </row>
    <row r="296" spans="1:12" x14ac:dyDescent="0.2">
      <c r="A296" t="s">
        <v>1338</v>
      </c>
      <c r="B296" s="160">
        <v>147955600</v>
      </c>
      <c r="C296" s="160">
        <v>0</v>
      </c>
      <c r="D296" s="160">
        <v>0</v>
      </c>
      <c r="E296" s="160">
        <v>147955600</v>
      </c>
      <c r="F296" s="160">
        <v>12199700</v>
      </c>
      <c r="G296" s="180">
        <v>84905.64</v>
      </c>
      <c r="H296" s="444">
        <v>0.97499999999999998</v>
      </c>
      <c r="I296" s="824">
        <v>0</v>
      </c>
      <c r="J296" s="180">
        <v>82783</v>
      </c>
      <c r="K296" s="377">
        <v>1787.27</v>
      </c>
      <c r="L296" s="377">
        <v>1787.27</v>
      </c>
    </row>
    <row r="297" spans="1:12" x14ac:dyDescent="0.2">
      <c r="A297" t="s">
        <v>1341</v>
      </c>
      <c r="B297" s="160">
        <v>74386970</v>
      </c>
      <c r="C297" s="160">
        <v>0</v>
      </c>
      <c r="D297" s="160">
        <v>0</v>
      </c>
      <c r="E297" s="160">
        <v>74386970</v>
      </c>
      <c r="F297" s="160">
        <v>4152376</v>
      </c>
      <c r="G297" s="180">
        <v>150998.70000000001</v>
      </c>
      <c r="H297" s="444">
        <v>0.97</v>
      </c>
      <c r="I297" s="824">
        <v>144.44</v>
      </c>
      <c r="J297" s="180">
        <v>146613.18</v>
      </c>
      <c r="K297" s="377">
        <v>507.37</v>
      </c>
      <c r="L297" s="377">
        <v>507.37</v>
      </c>
    </row>
    <row r="298" spans="1:12" x14ac:dyDescent="0.2">
      <c r="A298" t="s">
        <v>1382</v>
      </c>
      <c r="B298" s="160">
        <v>74837007</v>
      </c>
      <c r="C298" s="160">
        <v>62400</v>
      </c>
      <c r="D298" s="160">
        <v>195621</v>
      </c>
      <c r="E298" s="160">
        <v>74641386</v>
      </c>
      <c r="F298" s="160">
        <v>1529401</v>
      </c>
      <c r="G298" s="180">
        <v>146986.39000000001</v>
      </c>
      <c r="H298" s="444">
        <v>0.96</v>
      </c>
      <c r="I298" s="824">
        <v>462.9</v>
      </c>
      <c r="J298" s="180">
        <v>141569.82999999999</v>
      </c>
      <c r="K298" s="377">
        <v>528.62</v>
      </c>
      <c r="L298" s="377">
        <v>527.24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15be43daee028af450d1b7c014b1029">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42a81fd107413efe770814c7336497d5"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_ip_UnifiedCompliancePolicyUIAction xmlns="http://schemas.microsoft.com/sharepoint/v3" xsi:nil="true"/>
    <_ip_UnifiedCompliancePolicyProperties xmlns="http://schemas.microsoft.com/sharepoint/v3" xsi:nil="true"/>
  </documentManagement>
</p:properties>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0DFE4F-6F7F-4BDA-B86C-96EDE3CAF6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F6F3E1-D6FC-4815-8FC1-6EC07D807D4E}">
  <ds:schemaRefs>
    <ds:schemaRef ds:uri="http://schemas.openxmlformats.org/package/2006/metadata/core-properties"/>
    <ds:schemaRef ds:uri="http://purl.org/dc/terms/"/>
    <ds:schemaRef ds:uri="63fd57c9-5291-4ee5-b3d3-37b4b570c278"/>
    <ds:schemaRef ds:uri="http://schemas.microsoft.com/office/infopath/2007/PartnerControls"/>
    <ds:schemaRef ds:uri="http://schemas.microsoft.com/office/2006/documentManagement/types"/>
    <ds:schemaRef ds:uri="3fa4860e-4e84-4984-b511-cb934d7752ca"/>
    <ds:schemaRef ds:uri="83a87e31-bf32-46ab-8e70-9fa18461fa4d"/>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EE00F7D8-DE27-4ED4-8354-DBA02B4443BD}">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D2D7F139-548C-45D9-94F4-386136385FCD}">
  <ds:schemaRefs>
    <ds:schemaRef ds:uri="http://schemas.microsoft.com/sharepoint/v3/contenttype/forms"/>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17</vt:i4>
      </vt:variant>
    </vt:vector>
  </HeadingPairs>
  <TitlesOfParts>
    <vt:vector size="24" baseType="lpstr">
      <vt:lpstr>Upload_Data_CTR1_Billing</vt:lpstr>
      <vt:lpstr>Upload_Data_CTR1_Local</vt:lpstr>
      <vt:lpstr>Instructions</vt:lpstr>
      <vt:lpstr>CTR1_Billing</vt:lpstr>
      <vt:lpstr>CTR1_Local</vt:lpstr>
      <vt:lpstr>Main_Validation</vt:lpstr>
      <vt:lpstr>Local_Validation</vt:lpstr>
      <vt:lpstr>CTR1_Local!CTRprint1</vt:lpstr>
      <vt:lpstr>CTRprint1</vt:lpstr>
      <vt:lpstr>CTR1_Local!CTRprint2</vt:lpstr>
      <vt:lpstr>CTRprint2</vt:lpstr>
      <vt:lpstr>Data!datar</vt:lpstr>
      <vt:lpstr>datar</vt:lpstr>
      <vt:lpstr>CTR1_Billing!detruse</vt:lpstr>
      <vt:lpstr>Data!LAcodes</vt:lpstr>
      <vt:lpstr>Data!LAlist</vt:lpstr>
      <vt:lpstr>CTR1_Billing!Print_Area</vt:lpstr>
      <vt:lpstr>CTR1_Local!Print_Area</vt:lpstr>
      <vt:lpstr>Instructions!Print_Area</vt:lpstr>
      <vt:lpstr>Local_Validation!Print_Area</vt:lpstr>
      <vt:lpstr>Main_Validation!Print_Area</vt:lpstr>
      <vt:lpstr>CTR1_Billing!Print_Titles</vt:lpstr>
      <vt:lpstr>CTR1_Local!Print_Titles</vt:lpstr>
      <vt:lpstr>Data!Table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CTR scheme</dc:title>
  <dc:subject/>
  <dc:creator>LGF</dc:creator>
  <cp:keywords/>
  <dc:description/>
  <cp:lastModifiedBy>Olivia McDonnell</cp:lastModifiedBy>
  <cp:revision/>
  <dcterms:created xsi:type="dcterms:W3CDTF">2000-02-14T13:52:12Z</dcterms:created>
  <dcterms:modified xsi:type="dcterms:W3CDTF">2026-02-12T16:00:25Z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0aaa435a-0cf5-4f8d-b6f4-e9e4bc90bb93</vt:lpwstr>
  </property>
  <property fmtid="{D5CDD505-2E9C-101B-9397-08002B2CF9AE}" pid="3" name="bjSaver">
    <vt:lpwstr>x83X+1/811XqcBvxUzZI2s9tCYeE/WZu</vt:lpwstr>
  </property>
  <property fmtid="{D5CDD505-2E9C-101B-9397-08002B2CF9AE}" pid="4" name="bjDocumentSecurityLabel">
    <vt:lpwstr>No Marking</vt:lpwstr>
  </property>
  <property fmtid="{D5CDD505-2E9C-101B-9397-08002B2CF9AE}" pid="5" name="ContentTypeId">
    <vt:lpwstr>0x010100ECCB7E1F660E4D499F35AD51896216AD</vt:lpwstr>
  </property>
  <property fmtid="{D5CDD505-2E9C-101B-9397-08002B2CF9AE}" pid="6" name="MediaServiceImageTags">
    <vt:lpwstr/>
  </property>
</Properties>
</file>